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5"/>
    <sheet state="visible" name="Trung tâm nhập liệu" sheetId="2" r:id="rId6"/>
    <sheet state="visible" name="Bản đồ công việc" sheetId="3" r:id="rId7"/>
    <sheet state="visible" name="Lớp 1-Lớp 2" sheetId="4" r:id="rId8"/>
    <sheet state="visible" name="Lớp 3 - Công việc chính" sheetId="5" r:id="rId9"/>
    <sheet state="visible" name="Lớp 4 - Danh mục" sheetId="6" r:id="rId10"/>
    <sheet state="visible" name="Lớp 5 - Phân công" sheetId="7" r:id="rId11"/>
    <sheet state="visible" name="Lớp 6 - Chi tiết" sheetId="8" r:id="rId12"/>
    <sheet state="hidden" name="Tra cứu quan hệ" sheetId="9" r:id="rId13"/>
    <sheet state="hidden" name="_DM_Dropdown" sheetId="10" r:id="rId14"/>
    <sheet state="hidden" name="Lớp tổng hợp" sheetId="11" r:id="rId15"/>
    <sheet state="hidden" name="Danh mục chọn" sheetId="12" r:id="rId16"/>
    <sheet state="hidden" name="Ngày nghỉ lễ" sheetId="13" r:id="rId17"/>
    <sheet state="visible" name="Báo cáo ngày" sheetId="14" r:id="rId18"/>
    <sheet state="visible" name="Báo cáo tuần" sheetId="15" r:id="rId19"/>
    <sheet state="visible" name="Báo cáo tháng" sheetId="16" r:id="rId20"/>
    <sheet state="visible" name="Báo cáo năm"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3">
      <text>
        <t xml:space="preserve">Tự động đánh số lại từ 1 trong từng lớp; không cần nhập tay.</t>
      </text>
    </comment>
    <comment authorId="0" ref="C216">
      <text>
        <t xml:space="preserve">Kỳ ghi nhận lần thực hiện, thường nhập theo tháng/năm.</t>
      </text>
    </comment>
    <comment authorId="0" ref="A117">
      <text>
        <t xml:space="preserve">Tự động đánh số lại từ 1 trong từng lớp; không cần nhập tay.</t>
      </text>
    </comment>
    <comment authorId="0" ref="A84">
      <text>
        <t xml:space="preserve">Tự động đánh số lại từ 1 trong từng lớp; không cần nhập tay.</t>
      </text>
    </comment>
    <comment authorId="0" ref="E216">
      <text>
        <t xml:space="preserve">Chọn mã công việc định kỳ hoặc công việc cần ghi nhận từng lần thực hiện.</t>
      </text>
    </comment>
    <comment authorId="0" ref="F150">
      <text>
        <t xml:space="preserve">ĐT trực tiếp, ĐT gián tiếp, KH khảo sát </t>
      </text>
    </comment>
    <comment authorId="0" ref="K216">
      <text>
        <t xml:space="preserve">Hạn của riêng lần thực hiện này.</t>
      </text>
    </comment>
    <comment authorId="0" ref="L216">
      <text>
        <t xml:space="preserve">Giá trị chuẩn: Chưa thực hiện, Đang thực hiện, Hoàn thành, Bỏ qua.</t>
      </text>
    </comment>
    <comment authorId="0" ref="M216">
      <text>
        <t xml:space="preserve">% hoàn thành của riêng kỳ/lần thực hiện, không thay thế % tổng của công việc gốc.</t>
      </text>
    </comment>
    <comment authorId="0" ref="N216">
      <text>
        <t xml:space="preserve">Số giờ thực tế phát sinh trong kỳ/lần thực hiện.</t>
      </text>
    </comment>
    <comment authorId="0" ref="P216">
      <text>
        <t xml:space="preserve">Ghi chú ngắn về kết quả, vướng mắc hoặc thay đổi của lần thực hiện.</t>
      </text>
    </comment>
    <comment authorId="0" ref="A167">
      <text>
        <t xml:space="preserve">Tự động đánh số lại từ 1 trong từng lớp; không cần nhập tay.</t>
      </text>
    </comment>
    <comment authorId="0" ref="A134">
      <text>
        <t xml:space="preserve">Tự động đánh số lại từ 1 trong từng lớp; không cần nhập tay.</t>
      </text>
    </comment>
    <comment authorId="0" ref="A68">
      <text>
        <t xml:space="preserve">Tự động đánh số lại từ 1 trong từng lớp; không cần nhập tay.</t>
      </text>
    </comment>
    <comment authorId="0" ref="B2">
      <text>
        <t xml:space="preserve">Mục đích: tìm đúng công việc trước khi cập nhật. Nguyên lý: tra theo mã chính xác hoặc từ khóa tên; kết quả chỉ đọc từ Bảng Master và không tạo dữ liệu mới.</t>
      </text>
    </comment>
    <comment authorId="0" ref="C2">
      <text>
        <t xml:space="preserve">Nhập hoặc dán một mã L3-L6. Sheet sẽ kiểm tra mã con và chỉ dẫn vị trí nhập.</t>
      </text>
    </comment>
    <comment authorId="0" ref="A184">
      <text>
        <t xml:space="preserve">Tự động đánh số lại từ 1 trong từng lớp; không cần nhập tay.</t>
      </text>
    </comment>
    <comment authorId="0" ref="B217">
      <text>
        <t xml:space="preserve">Tự sinh; không nhập.</t>
      </text>
    </comment>
    <comment authorId="0" ref="A118">
      <text>
        <t xml:space="preserve">Tự động đánh số lại từ 1 trong từng lớp; không cần nhập tay.</t>
      </text>
    </comment>
    <comment authorId="0" ref="A85">
      <text>
        <t xml:space="preserve">Tự động đánh số lại từ 1 trong từng lớp; không cần nhập tay.</t>
      </text>
    </comment>
    <comment authorId="0" ref="F151">
      <text>
        <t xml:space="preserve">Cá nhân hóa, CĐS, Xu hướng TMĐT, Chuyên việt hóa theo kênh </t>
      </text>
    </comment>
    <comment authorId="0" ref="A168">
      <text>
        <t xml:space="preserve">Tự động đánh số lại từ 1 trong từng lớp; không cần nhập tay.</t>
      </text>
    </comment>
    <comment authorId="0" ref="A135">
      <text>
        <t xml:space="preserve">Tự động đánh số lại từ 1 trong từng lớp; không cần nhập tay.</t>
      </text>
    </comment>
    <comment authorId="0" ref="A69">
      <text>
        <t xml:space="preserve">Tự động đánh số lại từ 1 trong từng lớp; không cần nhập tay.</t>
      </text>
    </comment>
    <comment authorId="0" ref="C3">
      <text>
        <t xml:space="preserve">Nhập đúng mã công việc để tìm chính xác. Nếu không nhớ mã, dùng ô tìm theo tên ở F6.</t>
      </text>
    </comment>
    <comment authorId="0" ref="G3">
      <text>
        <t xml:space="preserve">Nhập một phần tên công việc. Kết quả gần đúng xuất hiện từ dòng 14.</t>
      </text>
    </comment>
    <comment authorId="0" ref="A185">
      <text>
        <t xml:space="preserve">Tự động đánh số lại từ 1 trong từng lớp; không cần nhập tay.</t>
      </text>
    </comment>
    <comment authorId="0" ref="B218">
      <text>
        <t xml:space="preserve">Tự sinh; không nhập.</t>
      </text>
    </comment>
    <comment authorId="0" ref="A119">
      <text>
        <t xml:space="preserve">Tự động đánh số lại từ 1 trong từng lớp; không cần nhập tay.</t>
      </text>
    </comment>
    <comment authorId="0" ref="A86">
      <text>
        <t xml:space="preserve">Tự động đánh số lại từ 1 trong từng lớp; không cần nhập tay.</t>
      </text>
    </comment>
    <comment authorId="0" ref="A202">
      <text>
        <t xml:space="preserve">Tự động đánh số lại từ 1 trong từng lớp; không cần nhập tay.</t>
      </text>
    </comment>
    <comment authorId="0" ref="A169">
      <text>
        <t xml:space="preserve">Tự động đánh số lại từ 1 trong từng lớp; không cần nhập tay.</t>
      </text>
    </comment>
    <comment authorId="0" ref="A136">
      <text>
        <t xml:space="preserve">Tự động đánh số lại từ 1 trong từng lớp; không cần nhập tay.</t>
      </text>
    </comment>
    <comment authorId="0" ref="A70">
      <text>
        <t xml:space="preserve">Tự động đánh số lại từ 1 trong từng lớp; không cần nhập tay.</t>
      </text>
    </comment>
    <comment authorId="0" ref="A186">
      <text>
        <t xml:space="preserve">Tự động đánh số lại từ 1 trong từng lớp; không cần nhập tay.</t>
      </text>
    </comment>
    <comment authorId="0" ref="B219">
      <text>
        <t xml:space="preserve">Tự sinh; không nhập.</t>
      </text>
    </comment>
    <comment authorId="0" ref="A153">
      <text>
        <t xml:space="preserve">Tự động đánh số lại từ 1 trong từng lớp; không cần nhập tay.</t>
      </text>
    </comment>
    <comment authorId="0" ref="A120">
      <text>
        <t xml:space="preserve">Tự động đánh số lại từ 1 trong từng lớp; không cần nhập tay.</t>
      </text>
    </comment>
    <comment authorId="0" ref="A87">
      <text>
        <t xml:space="preserve">Tự động đánh số lại từ 1 trong từng lớp; không cần nhập tay.</t>
      </text>
    </comment>
    <comment authorId="0" ref="A203">
      <text>
        <t xml:space="preserve">Tự động đánh số lại từ 1 trong từng lớp; không cần nhập tay.</t>
      </text>
    </comment>
    <comment authorId="0" ref="A170">
      <text>
        <t xml:space="preserve">Tự động đánh số lại từ 1 trong từng lớp; không cần nhập tay.</t>
      </text>
    </comment>
    <comment authorId="0" ref="A137">
      <text>
        <t xml:space="preserve">Tự động đánh số lại từ 1 trong từng lớp; không cần nhập tay.</t>
      </text>
    </comment>
    <comment authorId="0" ref="A71">
      <text>
        <t xml:space="preserve">Tự động đánh số lại từ 1 trong từng lớp; không cần nhập tay.</t>
      </text>
    </comment>
    <comment authorId="0" ref="A187">
      <text>
        <t xml:space="preserve">Tự động đánh số lại từ 1 trong từng lớp; không cần nhập tay.</t>
      </text>
    </comment>
    <comment authorId="0" ref="A154">
      <text>
        <t xml:space="preserve">Tự động đánh số lại từ 1 trong từng lớp; không cần nhập tay.</t>
      </text>
    </comment>
    <comment authorId="0" ref="A121">
      <text>
        <t xml:space="preserve">Tự động đánh số lại từ 1 trong từng lớp; không cần nhập tay.</t>
      </text>
    </comment>
    <comment authorId="0" ref="A88">
      <text>
        <t xml:space="preserve">Tự động đánh số lại từ 1 trong từng lớp; không cần nhập tay.</t>
      </text>
    </comment>
    <comment authorId="0" ref="A204">
      <text>
        <t xml:space="preserve">Tự động đánh số lại từ 1 trong từng lớp; không cần nhập tay.</t>
      </text>
    </comment>
    <comment authorId="0" ref="A171">
      <text>
        <t xml:space="preserve">Tự động đánh số lại từ 1 trong từng lớp; không cần nhập tay.</t>
      </text>
    </comment>
    <comment authorId="0" ref="B204">
      <text>
        <t xml:space="preserve">Trước khi nhập L6, dùng hàng tìm kiếm ngay dưới để xác định mã cha L5.</t>
      </text>
    </comment>
    <comment authorId="0" ref="A138">
      <text>
        <t xml:space="preserve">Tự động đánh số lại từ 1 trong từng lớp; không cần nhập tay.</t>
      </text>
    </comment>
    <comment authorId="0" ref="A72">
      <text>
        <t xml:space="preserve">Tự động đánh số lại từ 1 trong từng lớp; không cần nhập tay.</t>
      </text>
    </comment>
    <comment authorId="0" ref="A188">
      <text>
        <t xml:space="preserve">Tự động đánh số lại từ 1 trong từng lớp; không cần nhập tay.</t>
      </text>
    </comment>
    <comment authorId="0" ref="A155">
      <text>
        <t xml:space="preserve">Tự động đánh số lại từ 1 trong từng lớp; không cần nhập tay.</t>
      </text>
    </comment>
    <comment authorId="0" ref="A122">
      <text>
        <t xml:space="preserve">Tự động đánh số lại từ 1 trong từng lớp; không cần nhập tay.</t>
      </text>
    </comment>
    <comment authorId="0" ref="A89">
      <text>
        <t xml:space="preserve">Tự động đánh số lại từ 1 trong từng lớp; không cần nhập tay.</t>
      </text>
    </comment>
    <comment authorId="0" ref="A205">
      <text>
        <t xml:space="preserve">Tự động đánh số lại từ 1 trong từng lớp; không cần nhập tay.</t>
      </text>
    </comment>
    <comment authorId="0" ref="A172">
      <text>
        <t xml:space="preserve">Tự động đánh số lại từ 1 trong từng lớp; không cần nhập tay.</t>
      </text>
    </comment>
    <comment authorId="0" ref="B205">
      <text>
        <t xml:space="preserve">Nhập mã hoặc một phần tên công việc L5 để tìm công việc cha trước khi thêm hoặc sửa công việc L6.</t>
      </text>
    </comment>
    <comment authorId="0" ref="A139">
      <text>
        <t xml:space="preserve">Tự động đánh số lại từ 1 trong từng lớp; không cần nhập tay.</t>
      </text>
    </comment>
    <comment authorId="0" ref="A73">
      <text>
        <t xml:space="preserve">Tự động đánh số lại từ 1 trong từng lớp; không cần nhập tay.</t>
      </text>
    </comment>
    <comment authorId="0" ref="F205">
      <text>
        <t xml:space="preserve">Nhập mã hoặc một phần tên công việc cha. Kết quả hiển thị tại ô G189 để bạn nhập hoặc sửa công việc con nhanh.</t>
      </text>
    </comment>
    <comment authorId="0" ref="A189">
      <text>
        <t xml:space="preserve">Tự động đánh số lại từ 1 trong từng lớp; không cần nhập tay.</t>
      </text>
    </comment>
    <comment authorId="0" ref="A156">
      <text>
        <t xml:space="preserve">Tự động đánh số lại từ 1 trong từng lớp; không cần nhập tay.</t>
      </text>
    </comment>
    <comment authorId="0" ref="A123">
      <text>
        <t xml:space="preserve">Tự động đánh số lại từ 1 trong từng lớp; không cần nhập tay.</t>
      </text>
    </comment>
    <comment authorId="0" ref="A90">
      <text>
        <t xml:space="preserve">Tự động đánh số lại từ 1 trong từng lớp; không cần nhập tay.</t>
      </text>
    </comment>
    <comment authorId="0" ref="B24">
      <text>
        <t xml:space="preserve">Mục đích: hướng người dùng đến đúng dòng để thêm mới hoặc chỉnh sửa. Nguyên lý: chỉ nhập tại ô màu xanh; nếu công việc có cấp con thì cập nhật ở mã thấp nhất.</t>
      </text>
    </comment>
    <comment authorId="0" ref="A206">
      <text>
        <t xml:space="preserve">Tự động đánh số lại từ 1 trong từng lớp; không cần nhập tay.</t>
      </text>
    </comment>
    <comment authorId="0" ref="A173">
      <text>
        <t xml:space="preserve">Tự động đánh số lại từ 1 trong từng lớp; không cần nhập tay.</t>
      </text>
    </comment>
    <comment authorId="0" ref="B206">
      <text>
        <t xml:space="preserve">Mã L6 được tạo từ mã cha L5 + số thứ tự 2 chữ số theo thứ tự dòng. Không đổi thứ tự các dòng đã có mã nếu không muốn mã L6 thay đổi.</t>
      </text>
    </comment>
    <comment authorId="0" ref="A140">
      <text>
        <t xml:space="preserve">Tự động đánh số lại từ 1 trong từng lớp; không cần nhập tay.</t>
      </text>
    </comment>
    <comment authorId="0" ref="A107">
      <text>
        <t xml:space="preserve">Tự động đánh số lại từ 1 trong từng lớp; không cần nhập tay.</t>
      </text>
    </comment>
    <comment authorId="0" ref="A74">
      <text>
        <t xml:space="preserve">Tự động đánh số lại từ 1 trong từng lớp; không cần nhập tay.</t>
      </text>
    </comment>
    <comment authorId="0" ref="A190">
      <text>
        <t xml:space="preserve">Tự động đánh số lại từ 1 trong từng lớp; không cần nhập tay.</t>
      </text>
    </comment>
    <comment authorId="0" ref="A157">
      <text>
        <t xml:space="preserve">Tự động đánh số lại từ 1 trong từng lớp; không cần nhập tay.</t>
      </text>
    </comment>
    <comment authorId="0" ref="A124">
      <text>
        <t xml:space="preserve">Tự động đánh số lại từ 1 trong từng lớp; không cần nhập tay.</t>
      </text>
    </comment>
    <comment authorId="0" ref="B157">
      <text>
        <t xml:space="preserve">Trước khi nhập L5, dùng hàng tìm kiếm ngay dưới để xác định mã cha L4.</t>
      </text>
    </comment>
    <comment authorId="0" ref="A91">
      <text>
        <t xml:space="preserve">Tự động đánh số lại từ 1 trong từng lớp; không cần nhập tay.</t>
      </text>
    </comment>
    <comment authorId="0" ref="A207">
      <text>
        <t xml:space="preserve">Tự động đánh số lại từ 1 trong từng lớp; không cần nhập tay.</t>
      </text>
    </comment>
    <comment authorId="0" ref="A174">
      <text>
        <t xml:space="preserve">Tự động đánh số lại từ 1 trong từng lớp; không cần nhập tay.</t>
      </text>
    </comment>
    <comment authorId="0" ref="B207">
      <text>
        <t xml:space="preserve">Mã L6 được tạo từ mã cha L5 + số thứ tự 2 chữ số theo thứ tự dòng. Không đổi thứ tự các dòng đã có mã nếu không muốn mã L6 thay đổi.</t>
      </text>
    </comment>
    <comment authorId="0" ref="A141">
      <text>
        <t xml:space="preserve">Tự động đánh số lại từ 1 trong từng lớp; không cần nhập tay.</t>
      </text>
    </comment>
    <comment authorId="0" ref="A108">
      <text>
        <t xml:space="preserve">Tự động đánh số lại từ 1 trong từng lớp; không cần nhập tay.</t>
      </text>
    </comment>
    <comment authorId="0" ref="A75">
      <text>
        <t xml:space="preserve">Tự động đánh số lại từ 1 trong từng lớp; không cần nhập tay.</t>
      </text>
    </comment>
    <comment authorId="0" ref="A191">
      <text>
        <t xml:space="preserve">Tự động đánh số lại từ 1 trong từng lớp; không cần nhập tay.</t>
      </text>
    </comment>
    <comment authorId="0" ref="A158">
      <text>
        <t xml:space="preserve">Tự động đánh số lại từ 1 trong từng lớp; không cần nhập tay.</t>
      </text>
    </comment>
    <comment authorId="0" ref="A125">
      <text>
        <t xml:space="preserve">Tự động đánh số lại từ 1 trong từng lớp; không cần nhập tay.</t>
      </text>
    </comment>
    <comment authorId="0" ref="B158">
      <text>
        <t xml:space="preserve">Nhập mã hoặc một phần tên công việc L4 để tìm công việc cha trước khi thêm hoặc sửa công việc L5.</t>
      </text>
    </comment>
    <comment authorId="0" ref="F158">
      <text>
        <t xml:space="preserve">Nhập mã hoặc một phần tên công việc cha. Kết quả hiển thị tại ô G147 để bạn nhập hoặc sửa công việc con nhanh.</t>
      </text>
    </comment>
    <comment authorId="0" ref="A208">
      <text>
        <t xml:space="preserve">Tự động đánh số lại từ 1 trong từng lớp; không cần nhập tay.</t>
      </text>
    </comment>
    <comment authorId="0" ref="A175">
      <text>
        <t xml:space="preserve">Tự động đánh số lại từ 1 trong từng lớp; không cần nhập tay.</t>
      </text>
    </comment>
    <comment authorId="0" ref="B208">
      <text>
        <t xml:space="preserve">Mã L6 được tạo từ mã cha L5 + số thứ tự 2 chữ số theo thứ tự dòng. Không đổi thứ tự các dòng đã có mã nếu không muốn mã L6 thay đổi.</t>
      </text>
    </comment>
    <comment authorId="0" ref="A142">
      <text>
        <t xml:space="preserve">Tự động đánh số lại từ 1 trong từng lớp; không cần nhập tay.</t>
      </text>
    </comment>
    <comment authorId="0" ref="A109">
      <text>
        <t xml:space="preserve">Tự động đánh số lại từ 1 trong từng lớp; không cần nhập tay.</t>
      </text>
    </comment>
    <comment authorId="0" ref="A76">
      <text>
        <t xml:space="preserve">Tự động đánh số lại từ 1 trong từng lớp; không cần nhập tay.</t>
      </text>
    </comment>
    <comment authorId="0" ref="A192">
      <text>
        <t xml:space="preserve">Tự động đánh số lại từ 1 trong từng lớp; không cần nhập tay.</t>
      </text>
    </comment>
    <comment authorId="0" ref="A159">
      <text>
        <t xml:space="preserve">Tự động đánh số lại từ 1 trong từng lớp; không cần nhập tay.</t>
      </text>
    </comment>
    <comment authorId="0" ref="A126">
      <text>
        <t xml:space="preserve">Tự động đánh số lại từ 1 trong từng lớp; không cần nhập tay.</t>
      </text>
    </comment>
    <comment authorId="0" ref="Y208">
      <text>
        <t xml:space="preserve">Công việc đã ở trạng thái Hoàn thành và có ngày hoàn thành thực tế nhưng chưa có Link kết quả.</t>
      </text>
    </comment>
    <comment authorId="0" ref="N159">
      <text>
        <t xml:space="preserve">Đại xác định công thức , cần chốt lại :
1. tham số TK 
2. trường hợp NPP không DMS
3. CK 2 lớp </t>
      </text>
    </comment>
    <comment authorId="0" ref="A209">
      <text>
        <t xml:space="preserve">Tự động đánh số lại từ 1 trong từng lớp; không cần nhập tay.</t>
      </text>
    </comment>
    <comment authorId="0" ref="A176">
      <text>
        <t xml:space="preserve">Tự động đánh số lại từ 1 trong từng lớp; không cần nhập tay.</t>
      </text>
    </comment>
    <comment authorId="0" ref="B209">
      <text>
        <t xml:space="preserve">Mã L6 được tạo từ mã cha L5 + số thứ tự 2 chữ số theo thứ tự dòng. Không đổi thứ tự các dòng đã có mã nếu không muốn mã L6 thay đổi.</t>
      </text>
    </comment>
    <comment authorId="0" ref="A143">
      <text>
        <t xml:space="preserve">Tự động đánh số lại từ 1 trong từng lớp; không cần nhập tay.</t>
      </text>
    </comment>
    <comment authorId="0" ref="A110">
      <text>
        <t xml:space="preserve">Tự động đánh số lại từ 1 trong từng lớp; không cần nhập tay.</t>
      </text>
    </comment>
    <comment authorId="0" ref="A77">
      <text>
        <t xml:space="preserve">Tự động đánh số lại từ 1 trong từng lớp; không cần nhập tay.</t>
      </text>
    </comment>
    <comment authorId="0" ref="A193">
      <text>
        <t xml:space="preserve">Tự động đánh số lại từ 1 trong từng lớp; không cần nhập tay.</t>
      </text>
    </comment>
    <comment authorId="0" ref="A160">
      <text>
        <t xml:space="preserve">Tự động đánh số lại từ 1 trong từng lớp; không cần nhập tay.</t>
      </text>
    </comment>
    <comment authorId="0" ref="A127">
      <text>
        <t xml:space="preserve">Tự động đánh số lại từ 1 trong từng lớp; không cần nhập tay.</t>
      </text>
    </comment>
    <comment authorId="0" ref="B28">
      <text>
        <t xml:space="preserve">Luôn giữ tối đa 5 dòng trống ở cuối mỗi cấp để bảng không kéo dài không cần thiết.</t>
      </text>
    </comment>
    <comment authorId="0" ref="A210">
      <text>
        <t xml:space="preserve">Tự động đánh số lại từ 1 trong từng lớp; không cần nhập tay.</t>
      </text>
    </comment>
    <comment authorId="0" ref="A177">
      <text>
        <t xml:space="preserve">Tự động đánh số lại từ 1 trong từng lớp; không cần nhập tay.</t>
      </text>
    </comment>
    <comment authorId="0" ref="B210">
      <text>
        <t xml:space="preserve">Mã L6 được tạo từ mã cha L5 + số thứ tự 2 chữ số theo thứ tự dòng. Không đổi thứ tự các dòng đã có mã nếu không muốn mã L6 thay đổi.</t>
      </text>
    </comment>
    <comment authorId="0" ref="A144">
      <text>
        <t xml:space="preserve">Tự động đánh số lại từ 1 trong từng lớp; không cần nhập tay.</t>
      </text>
    </comment>
    <comment authorId="0" ref="A111">
      <text>
        <t xml:space="preserve">Tự động đánh số lại từ 1 trong từng lớp; không cần nhập tay.</t>
      </text>
    </comment>
    <comment authorId="0" ref="A78">
      <text>
        <t xml:space="preserve">Tự động đánh số lại từ 1 trong từng lớp; không cần nhập tay.</t>
      </text>
    </comment>
    <comment authorId="0" ref="A161">
      <text>
        <t xml:space="preserve">Tự động đánh số lại từ 1 trong từng lớp; không cần nhập tay.</t>
      </text>
    </comment>
    <comment authorId="0" ref="A128">
      <text>
        <t xml:space="preserve">Tự động đánh số lại từ 1 trong từng lớp; không cần nhập tay.</t>
      </text>
    </comment>
    <comment authorId="0" ref="B62">
      <text>
        <t xml:space="preserve">Mục đích: Bảng Master là nguồn dữ liệu duy nhất cho toàn hệ thống. Nguyên lý: mỗi công việc là một dòng, liên kết theo mã cha; mỗi cấp L3–L6 chỉ duy trì tối đa 5 dòng trống để thêm mới.</t>
      </text>
    </comment>
    <comment authorId="0" ref="A211">
      <text>
        <t xml:space="preserve">Tự động đánh số lại từ 1 trong từng lớp; không cần nhập tay.</t>
      </text>
    </comment>
    <comment authorId="0" ref="A178">
      <text>
        <t xml:space="preserve">Tự động đánh số lại từ 1 trong từng lớp; không cần nhập tay.</t>
      </text>
    </comment>
    <comment authorId="0" ref="B211">
      <text>
        <t xml:space="preserve">Mã L6 được tạo từ mã cha L5 + số thứ tự 2 chữ số theo thứ tự dòng. Không đổi thứ tự các dòng đã có mã nếu không muốn mã L6 thay đổi.</t>
      </text>
    </comment>
    <comment authorId="0" ref="A145">
      <text>
        <t xml:space="preserve">Tự động đánh số lại từ 1 trong từng lớp; không cần nhập tay.</t>
      </text>
    </comment>
    <comment authorId="0" ref="A112">
      <text>
        <t xml:space="preserve">Tự động đánh số lại từ 1 trong từng lớp; không cần nhập tay.</t>
      </text>
    </comment>
    <comment authorId="0" ref="A79">
      <text>
        <t xml:space="preserve">Tự động đánh số lại từ 1 trong từng lớp; không cần nhập tay.</t>
      </text>
    </comment>
    <comment authorId="0" ref="A162">
      <text>
        <t xml:space="preserve">Tự động đánh số lại từ 1 trong từng lớp; không cần nhập tay.</t>
      </text>
    </comment>
    <comment authorId="0" ref="A129">
      <text>
        <t xml:space="preserve">Tự động đánh số lại từ 1 trong từng lớp; không cần nhập tay.</t>
      </text>
    </comment>
    <comment authorId="0" ref="A63">
      <text>
        <t xml:space="preserve">STT tự động đếm lại từ 1 trong từng lớp; không nhập tay.</t>
      </text>
    </comment>
    <comment authorId="0" ref="B63">
      <text>
        <t xml:space="preserve">Mã công việc duy nhất để liên kết cha–con, các lớp và Dashboard.</t>
      </text>
    </comment>
    <comment authorId="0" ref="C63">
      <text>
        <t xml:space="preserve">Chọn đúng cấp L3, L4, L5 hoặc L6 để dữ liệu đổ về đúng sheet lớp.</t>
      </text>
    </comment>
    <comment authorId="0" ref="B30">
      <text>
        <t xml:space="preserve">Mục đích: thống nhất cách nhập các trường quan trọng. Nguyên lý: tên công việc rõ ràng, trạng thái đúng thực tế, ngày và khối lượng nhập tại mã thấp nhất; cấp cha tự tổng hợp.</t>
      </text>
    </comment>
    <comment authorId="0" ref="D63">
      <text>
        <t xml:space="preserve">Mã công việc cha trực tiếp. Bắt buộc với L4–L6; L3 để trống.</t>
      </text>
    </comment>
    <comment authorId="0" ref="E63">
      <text>
        <t xml:space="preserve">Năm kế hoạch hoặc năm theo dõi chính của công việc.</t>
      </text>
    </comment>
    <comment authorId="0" ref="F63">
      <text>
        <t xml:space="preserve">Tên công việc ngắn gọn, bắt đầu bằng động từ và mô tả rõ việc cần làm.</t>
      </text>
    </comment>
    <comment authorId="0" ref="G63">
      <text>
        <t xml:space="preserve">Kết quả/sản phẩm cụ thể cần bàn giao khi hoàn thành công việc.</t>
      </text>
    </comment>
    <comment authorId="0" ref="H63">
      <text>
        <t xml:space="preserve">Mô tả ngắn giá trị hoặc tác động chính mà công việc tạo ra.</t>
      </text>
    </comment>
    <comment authorId="0" ref="I63">
      <text>
        <t xml:space="preserve">Đơn vị chịu trách nhiệm chính; dùng để phân nhóm trên các sheet lớp.</t>
      </text>
    </comment>
    <comment authorId="0" ref="J63">
      <text>
        <t xml:space="preserve">Người dẫn dắt và chịu trách nhiệm điều phối công việc.</t>
      </text>
    </comment>
    <comment authorId="0" ref="K63">
      <text>
        <t xml:space="preserve">Người trực tiếp thực hiện hoặc đầu mối cập nhật tiến độ.</t>
      </text>
    </comment>
    <comment authorId="0" ref="L63">
      <text>
        <t xml:space="preserve">Trạng thái là trường chọn bắt buộc. Script sẽ bôi vàng nếu thiếu và bôi đỏ nếu giá trị không thuộc Dropdown.</t>
      </text>
    </comment>
    <comment authorId="0" ref="A212">
      <text>
        <t xml:space="preserve">Tự động đánh số lại từ 1 trong từng lớp; không cần nhập tay.</t>
      </text>
    </comment>
    <comment authorId="0" ref="M63">
      <text>
        <t xml:space="preserve">Mức độ ưu tiên là trường chọn bắt buộc. Script sẽ bôi vàng nếu thiếu và bôi đỏ nếu giá trị không thuộc Dropdown.</t>
      </text>
    </comment>
    <comment authorId="0" ref="A179">
      <text>
        <t xml:space="preserve">Tự động đánh số lại từ 1 trong từng lớp; không cần nhập tay.</t>
      </text>
    </comment>
    <comment authorId="0" ref="B212">
      <text>
        <t xml:space="preserve">Mã L6 được tạo từ mã cha L5 + số thứ tự 2 chữ số theo thứ tự dòng. Không đổi thứ tự các dòng đã có mã nếu không muốn mã L6 thay đổi.</t>
      </text>
    </comment>
    <comment authorId="0" ref="N63">
      <text>
        <t xml:space="preserve">Chỉ nhập % tại công việc thấp nhất của từng nhánh. Khi trạng thái cần cập nhật tiến độ, 0% được xem là chưa cập nhật. Nếu ô này là công thức, hãy nhập tại ô nguồn mà công thức tham chiếu.</t>
      </text>
    </comment>
    <comment authorId="0" ref="A146">
      <text>
        <t xml:space="preserve">Tự động đánh số lại từ 1 trong từng lớp; không cần nhập tay.</t>
      </text>
    </comment>
    <comment authorId="0" ref="O63">
      <text>
        <t xml:space="preserve">Loại lịch là trường chọn bắt buộc. Nếu là Định kỳ, phải nhập thêm Chu kỳ.</t>
      </text>
    </comment>
    <comment authorId="0" ref="A113">
      <text>
        <t xml:space="preserve">Tự động đánh số lại từ 1 trong từng lớp; không cần nhập tay.</t>
      </text>
    </comment>
    <comment authorId="0" ref="P63">
      <text>
        <t xml:space="preserve">Nhập chu kỳ khi Loại lịch là Định kỳ, ví dụ: Tuần, Tháng, Quý.</t>
      </text>
    </comment>
    <comment authorId="0" ref="A80">
      <text>
        <t xml:space="preserve">Tự động đánh số lại từ 1 trong từng lớp; không cần nhập tay.</t>
      </text>
    </comment>
    <comment authorId="0" ref="B113">
      <text>
        <t xml:space="preserve">Trước khi nhập L4, dùng hàng tìm kiếm ngay dưới để xác định mã cha L3.</t>
      </text>
    </comment>
    <comment authorId="0" ref="Q63">
      <text>
        <t xml:space="preserve">Hạn hoàn thành cam kết; là trường trọng tâm để theo dõi đúng/trễ hạn.</t>
      </text>
    </comment>
    <comment authorId="0" ref="R63">
      <text>
        <t xml:space="preserve">Ngày dự kiến bắt đầu; dùng hỗ trợ lập lịch nhưng không phải trường trọng tâm hiển thị.</t>
      </text>
    </comment>
    <comment authorId="0" ref="S63">
      <text>
        <t xml:space="preserve">Mốc rà soát/kiểm tra giữa kỳ nếu công việc cần theo dõi bổ sung.</t>
      </text>
    </comment>
    <comment authorId="0" ref="T63">
      <text>
        <t xml:space="preserve">Nhập số giờ ước tính tại mã công việc thấp nhất, không nhập ở công việc cha.</t>
      </text>
    </comment>
    <comment authorId="0" ref="U63">
      <text>
        <t xml:space="preserve">Khối lượng quản trị được hệ thống tính/tổng hợp; không nhập tay nếu đã có công thức.</t>
      </text>
    </comment>
    <comment authorId="0" ref="V63">
      <text>
        <t xml:space="preserve">Đơn vị phân bổ chỉ bắt buộc tại công việc thấp nhất của từng nhánh.</t>
      </text>
    </comment>
    <comment authorId="0" ref="W63">
      <text>
        <t xml:space="preserve">Số giờ phân bổ cho mỗi kỳ theo đơn vị phân bổ đã chọn.</t>
      </text>
    </comment>
    <comment authorId="0" ref="X63">
      <text>
        <t xml:space="preserve">Ngày hoàn thành thực tế; bắt buộc khi trạng thái là Hoàn thành.</t>
      </text>
    </comment>
    <comment authorId="0" ref="Y63">
      <text>
        <t xml:space="preserve">Đường dẫn đến tài liệu hoặc kết quả cuối cùng; đặt ở cột cuối của nhóm nhập liệu.</t>
      </text>
    </comment>
    <comment authorId="0" ref="Z63">
      <text>
        <t xml:space="preserve">Cờ công thức xác định công việc có mã con; dùng để áp dụng quy tắc nhập tại cấp thấp nhất.</t>
      </text>
    </comment>
    <comment authorId="0" ref="A163">
      <text>
        <t xml:space="preserve">Tự động đánh số lại từ 1 trong từng lớp; không cần nhập tay.</t>
      </text>
    </comment>
    <comment authorId="0" ref="A130">
      <text>
        <t xml:space="preserve">Tự động đánh số lại từ 1 trong từng lớp; không cần nhập tay.</t>
      </text>
    </comment>
    <comment authorId="0" ref="B64">
      <text>
        <t xml:space="preserve">Apps Script cần được dán vào Extensions → Apps Script và chạy hàm caiDatCanhBaoNhapLieu một lần để quét toàn bộ các ô bắt buộc đang trống.</t>
      </text>
    </comment>
    <comment authorId="0" ref="F196">
      <text>
        <t xml:space="preserve">Độ phủ,
chiến lược, 
DT, 
SL, 
địa lý, 
kênh, 
nông thôn thành thị, 
phân khúc 
BLN gộp
tốc đọ tăng trưởng 
vòng đời 
NLSX</t>
      </text>
    </comment>
    <comment authorId="0" ref="A180">
      <text>
        <t xml:space="preserve">Tự động đánh số lại từ 1 trong từng lớp; không cần nhập tay.</t>
      </text>
    </comment>
    <comment authorId="0" ref="B213">
      <text>
        <t xml:space="preserve">Nhập mã hoặc một phần tên công việc L6 để tìm nhanh dòng cần kiểm tra hoặc chỉnh sửa.</t>
      </text>
    </comment>
    <comment authorId="0" ref="A147">
      <text>
        <t xml:space="preserve">Tự động đánh số lại từ 1 trong từng lớp; không cần nhập tay.</t>
      </text>
    </comment>
    <comment authorId="0" ref="A114">
      <text>
        <t xml:space="preserve">Tự động đánh số lại từ 1 trong từng lớp; không cần nhập tay.</t>
      </text>
    </comment>
    <comment authorId="0" ref="A81">
      <text>
        <t xml:space="preserve">Tự động đánh số lại từ 1 trong từng lớp; không cần nhập tay.</t>
      </text>
    </comment>
    <comment authorId="0" ref="B114">
      <text>
        <t xml:space="preserve">Nhập mã hoặc một phần tên công việc L3 để tìm công việc cha trước khi thêm hoặc sửa công việc L4.</t>
      </text>
    </comment>
    <comment authorId="0" ref="C114">
      <text>
        <t xml:space="preserve">Nhập mã hoặc một phần tên công việc L3 tại đây.</t>
      </text>
    </comment>
    <comment authorId="0" ref="F213">
      <text>
        <t xml:space="preserve">Nhập mã công việc cha chính xác hoặc một phần tên công việc cha. Kết quả tại F197 giúp xác định đúng dòng cha trước khi thêm hoặc sửa công việc con.</t>
      </text>
    </comment>
    <comment authorId="0" ref="F147">
      <text>
        <t xml:space="preserve">Báo cáo phân tích NPP
Báo cáo phân tích NLSX
Báo cáo phân tích biên gộp SP HHa và OEM
Báo cáo phân tích vòng đời và vòng quay SP</t>
      </text>
    </comment>
    <comment authorId="0" ref="F114">
      <text>
        <t xml:space="preserve">Nhập mã hoặc một phần tên công việc cha. Kết quả hiển thị tại ô G105 để bạn nhập hoặc sửa công việc con nhanh.</t>
      </text>
    </comment>
    <comment authorId="0" ref="A197">
      <text>
        <t xml:space="preserve">Tự động đánh số lại từ 1 trong từng lớp; không cần nhập tay.</t>
      </text>
    </comment>
    <comment authorId="0" ref="A164">
      <text>
        <t xml:space="preserve">Tự động đánh số lại từ 1 trong từng lớp; không cần nhập tay.</t>
      </text>
    </comment>
    <comment authorId="0" ref="A131">
      <text>
        <t xml:space="preserve">Tự động đánh số lại từ 1 trong từng lớp; không cần nhập tay.</t>
      </text>
    </comment>
    <comment authorId="0" ref="B65">
      <text>
        <t xml:space="preserve">L3 là cấp đầu tiên trong Bảng Master và không yêu cầu mã cha.</t>
      </text>
    </comment>
    <comment authorId="0" ref="A214">
      <text>
        <t xml:space="preserve">Khu vực ghi từng lần thực hiện của công việc định kỳ hoặc công việc phát sinh lặp lại.</t>
      </text>
    </comment>
    <comment authorId="0" ref="A181">
      <text>
        <t xml:space="preserve">Tự động đánh số lại từ 1 trong từng lớp; không cần nhập tay.</t>
      </text>
    </comment>
    <comment authorId="0" ref="A115">
      <text>
        <t xml:space="preserve">Tự động đánh số lại từ 1 trong từng lớp; không cần nhập tay.</t>
      </text>
    </comment>
    <comment authorId="0" ref="A82">
      <text>
        <t xml:space="preserve">Tự động đánh số lại từ 1 trong từng lớp; không cần nhập tay.</t>
      </text>
    </comment>
    <comment authorId="0" ref="A198">
      <text>
        <t xml:space="preserve">Tự động đánh số lại từ 1 trong từng lớp; không cần nhập tay.</t>
      </text>
    </comment>
    <comment authorId="0" ref="A165">
      <text>
        <t xml:space="preserve">Tự động đánh số lại từ 1 trong từng lớp; không cần nhập tay.</t>
      </text>
    </comment>
    <comment authorId="0" ref="A132">
      <text>
        <t xml:space="preserve">Tự động đánh số lại từ 1 trong từng lớp; không cần nhập tay.</t>
      </text>
    </comment>
    <comment authorId="0" ref="A182">
      <text>
        <t xml:space="preserve">Tự động đánh số lại từ 1 trong từng lớp; không cần nhập tay.</t>
      </text>
    </comment>
    <comment authorId="0" ref="A116">
      <text>
        <t xml:space="preserve">Tự động đánh số lại từ 1 trong từng lớp; không cần nhập tay.</t>
      </text>
    </comment>
    <comment authorId="0" ref="A83">
      <text>
        <t xml:space="preserve">Tự động đánh số lại từ 1 trong từng lớp; không cần nhập tay.</t>
      </text>
    </comment>
    <comment authorId="0" ref="A166">
      <text>
        <t xml:space="preserve">Tự động đánh số lại từ 1 trong từng lớp; không cần nhập tay.</t>
      </text>
    </comment>
    <comment authorId="0" ref="A133">
      <text>
        <t xml:space="preserve">Tự động đánh số lại từ 1 trong từng lớp; không cần nhập tay.</t>
      </text>
    </comment>
    <comment authorId="0" ref="A67">
      <text>
        <t xml:space="preserve">Tự động đánh số lại từ 1 trong từng lớp; không cần nhập tay.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Điểm nhìn quản trị tổng hợp, tự động lấy dữ liệu từ các lớp công việc và nhật ký thực hiện.</t>
      </text>
    </comment>
    <comment authorId="0" ref="A695">
      <text>
        <t xml:space="preserve">Danh sách mã nhánh tự động sắp xếp theo thứ tự cha–con.</t>
      </text>
    </comment>
    <comment authorId="0" ref="A662">
      <text>
        <t xml:space="preserve">Danh sách mã nhánh tự động sắp xếp theo thứ tự cha–con.</t>
      </text>
    </comment>
    <comment authorId="0" ref="A629">
      <text>
        <t xml:space="preserve">Danh sách mã nhánh tự động sắp xếp theo thứ tự cha–con.</t>
      </text>
    </comment>
    <comment authorId="0" ref="A596">
      <text>
        <t xml:space="preserve">Danh sách mã nhánh tự động sắp xếp theo thứ tự cha–con.</t>
      </text>
    </comment>
    <comment authorId="0" ref="A563">
      <text>
        <t xml:space="preserve">Danh sách mã nhánh tự động sắp xếp theo thứ tự cha–con.</t>
      </text>
    </comment>
    <comment authorId="0" ref="A530">
      <text>
        <t xml:space="preserve">Danh sách mã nhánh tự động sắp xếp theo thứ tự cha–con.</t>
      </text>
    </comment>
    <comment authorId="0" ref="A497">
      <text>
        <t xml:space="preserve">Danh sách mã nhánh tự động sắp xếp theo thứ tự cha–con.</t>
      </text>
    </comment>
    <comment authorId="0" ref="A464">
      <text>
        <t xml:space="preserve">Danh sách mã nhánh tự động sắp xếp theo thứ tự cha–con.</t>
      </text>
    </comment>
    <comment authorId="0" ref="A431">
      <text>
        <t xml:space="preserve">Danh sách mã nhánh tự động sắp xếp theo thứ tự cha–con.</t>
      </text>
    </comment>
    <comment authorId="0" ref="A398">
      <text>
        <t xml:space="preserve">Danh sách mã nhánh tự động sắp xếp theo thứ tự cha–con.</t>
      </text>
    </comment>
    <comment authorId="0" ref="A365">
      <text>
        <t xml:space="preserve">Danh sách mã nhánh tự động sắp xếp theo thứ tự cha–con.</t>
      </text>
    </comment>
    <comment authorId="0" ref="A332">
      <text>
        <t xml:space="preserve">Danh sách mã nhánh tự động sắp xếp theo thứ tự cha–con.</t>
      </text>
    </comment>
    <comment authorId="0" ref="A299">
      <text>
        <t xml:space="preserve">Danh sách mã nhánh tự động sắp xếp theo thứ tự cha–con.</t>
      </text>
    </comment>
    <comment authorId="0" ref="A266">
      <text>
        <t xml:space="preserve">Danh sách mã nhánh tự động sắp xếp theo thứ tự cha–con.</t>
      </text>
    </comment>
    <comment authorId="0" ref="A233">
      <text>
        <t xml:space="preserve">Danh sách mã nhánh tự động sắp xếp theo thứ tự cha–con.</t>
      </text>
    </comment>
    <comment authorId="0" ref="A200">
      <text>
        <t xml:space="preserve">Danh sách mã nhánh tự động sắp xếp theo thứ tự cha–con.</t>
      </text>
    </comment>
    <comment authorId="0" ref="A167">
      <text>
        <t xml:space="preserve">Danh sách mã nhánh tự động sắp xếp theo thứ tự cha–con.</t>
      </text>
    </comment>
    <comment authorId="0" ref="A134">
      <text>
        <t xml:space="preserve">Danh sách mã nhánh tự động sắp xếp theo thứ tự cha–con.</t>
      </text>
    </comment>
    <comment authorId="0" ref="A101">
      <text>
        <t xml:space="preserve">Danh sách mã nhánh tự động sắp xếp theo thứ tự cha–con.</t>
      </text>
    </comment>
    <comment authorId="0" ref="A68">
      <text>
        <t xml:space="preserve">Danh sách mã nhánh tự động sắp xếp theo thứ tự cha–con.</t>
      </text>
    </comment>
    <comment authorId="0" ref="A35">
      <text>
        <t xml:space="preserve">Danh sách mã nhánh tự động sắp xếp theo thứ tự cha–con.</t>
      </text>
    </comment>
    <comment authorId="0" ref="A696">
      <text>
        <t xml:space="preserve">Danh sách mã nhánh tự động sắp xếp theo thứ tự cha–con.</t>
      </text>
    </comment>
    <comment authorId="0" ref="A663">
      <text>
        <t xml:space="preserve">Danh sách mã nhánh tự động sắp xếp theo thứ tự cha–con.</t>
      </text>
    </comment>
    <comment authorId="0" ref="A630">
      <text>
        <t xml:space="preserve">Danh sách mã nhánh tự động sắp xếp theo thứ tự cha–con.</t>
      </text>
    </comment>
    <comment authorId="0" ref="A597">
      <text>
        <t xml:space="preserve">Danh sách mã nhánh tự động sắp xếp theo thứ tự cha–con.</t>
      </text>
    </comment>
    <comment authorId="0" ref="A564">
      <text>
        <t xml:space="preserve">Danh sách mã nhánh tự động sắp xếp theo thứ tự cha–con.</t>
      </text>
    </comment>
    <comment authorId="0" ref="A531">
      <text>
        <t xml:space="preserve">Danh sách mã nhánh tự động sắp xếp theo thứ tự cha–con.</t>
      </text>
    </comment>
    <comment authorId="0" ref="A498">
      <text>
        <t xml:space="preserve">Danh sách mã nhánh tự động sắp xếp theo thứ tự cha–con.</t>
      </text>
    </comment>
    <comment authorId="0" ref="A465">
      <text>
        <t xml:space="preserve">Danh sách mã nhánh tự động sắp xếp theo thứ tự cha–con.</t>
      </text>
    </comment>
    <comment authorId="0" ref="A432">
      <text>
        <t xml:space="preserve">Danh sách mã nhánh tự động sắp xếp theo thứ tự cha–con.</t>
      </text>
    </comment>
    <comment authorId="0" ref="A399">
      <text>
        <t xml:space="preserve">Danh sách mã nhánh tự động sắp xếp theo thứ tự cha–con.</t>
      </text>
    </comment>
    <comment authorId="0" ref="A366">
      <text>
        <t xml:space="preserve">Danh sách mã nhánh tự động sắp xếp theo thứ tự cha–con.</t>
      </text>
    </comment>
    <comment authorId="0" ref="A333">
      <text>
        <t xml:space="preserve">Danh sách mã nhánh tự động sắp xếp theo thứ tự cha–con.</t>
      </text>
    </comment>
    <comment authorId="0" ref="A300">
      <text>
        <t xml:space="preserve">Danh sách mã nhánh tự động sắp xếp theo thứ tự cha–con.</t>
      </text>
    </comment>
    <comment authorId="0" ref="A267">
      <text>
        <t xml:space="preserve">Danh sách mã nhánh tự động sắp xếp theo thứ tự cha–con.</t>
      </text>
    </comment>
    <comment authorId="0" ref="A234">
      <text>
        <t xml:space="preserve">Danh sách mã nhánh tự động sắp xếp theo thứ tự cha–con.</t>
      </text>
    </comment>
    <comment authorId="0" ref="A201">
      <text>
        <t xml:space="preserve">Danh sách mã nhánh tự động sắp xếp theo thứ tự cha–con.</t>
      </text>
    </comment>
    <comment authorId="0" ref="A168">
      <text>
        <t xml:space="preserve">Danh sách mã nhánh tự động sắp xếp theo thứ tự cha–con.</t>
      </text>
    </comment>
    <comment authorId="0" ref="A135">
      <text>
        <t xml:space="preserve">Danh sách mã nhánh tự động sắp xếp theo thứ tự cha–con.</t>
      </text>
    </comment>
    <comment authorId="0" ref="A102">
      <text>
        <t xml:space="preserve">Danh sách mã nhánh tự động sắp xếp theo thứ tự cha–con.</t>
      </text>
    </comment>
    <comment authorId="0" ref="A69">
      <text>
        <t xml:space="preserve">Danh sách mã nhánh tự động sắp xếp theo thứ tự cha–con.</t>
      </text>
    </comment>
    <comment authorId="0" ref="A36">
      <text>
        <t xml:space="preserve">Danh sách mã nhánh tự động sắp xếp theo thứ tự cha–con.</t>
      </text>
    </comment>
    <comment authorId="0" ref="A697">
      <text>
        <t xml:space="preserve">Danh sách mã nhánh tự động sắp xếp theo thứ tự cha–con.</t>
      </text>
    </comment>
    <comment authorId="0" ref="A664">
      <text>
        <t xml:space="preserve">Danh sách mã nhánh tự động sắp xếp theo thứ tự cha–con.</t>
      </text>
    </comment>
    <comment authorId="0" ref="A631">
      <text>
        <t xml:space="preserve">Danh sách mã nhánh tự động sắp xếp theo thứ tự cha–con.</t>
      </text>
    </comment>
    <comment authorId="0" ref="A598">
      <text>
        <t xml:space="preserve">Danh sách mã nhánh tự động sắp xếp theo thứ tự cha–con.</t>
      </text>
    </comment>
    <comment authorId="0" ref="A565">
      <text>
        <t xml:space="preserve">Danh sách mã nhánh tự động sắp xếp theo thứ tự cha–con.</t>
      </text>
    </comment>
    <comment authorId="0" ref="A532">
      <text>
        <t xml:space="preserve">Danh sách mã nhánh tự động sắp xếp theo thứ tự cha–con.</t>
      </text>
    </comment>
    <comment authorId="0" ref="A499">
      <text>
        <t xml:space="preserve">Danh sách mã nhánh tự động sắp xếp theo thứ tự cha–con.</t>
      </text>
    </comment>
    <comment authorId="0" ref="A466">
      <text>
        <t xml:space="preserve">Danh sách mã nhánh tự động sắp xếp theo thứ tự cha–con.</t>
      </text>
    </comment>
    <comment authorId="0" ref="A433">
      <text>
        <t xml:space="preserve">Danh sách mã nhánh tự động sắp xếp theo thứ tự cha–con.</t>
      </text>
    </comment>
    <comment authorId="0" ref="A400">
      <text>
        <t xml:space="preserve">Danh sách mã nhánh tự động sắp xếp theo thứ tự cha–con.</t>
      </text>
    </comment>
    <comment authorId="0" ref="A367">
      <text>
        <t xml:space="preserve">Danh sách mã nhánh tự động sắp xếp theo thứ tự cha–con.</t>
      </text>
    </comment>
    <comment authorId="0" ref="A334">
      <text>
        <t xml:space="preserve">Danh sách mã nhánh tự động sắp xếp theo thứ tự cha–con.</t>
      </text>
    </comment>
    <comment authorId="0" ref="A301">
      <text>
        <t xml:space="preserve">Danh sách mã nhánh tự động sắp xếp theo thứ tự cha–con.</t>
      </text>
    </comment>
    <comment authorId="0" ref="A268">
      <text>
        <t xml:space="preserve">Danh sách mã nhánh tự động sắp xếp theo thứ tự cha–con.</t>
      </text>
    </comment>
    <comment authorId="0" ref="A235">
      <text>
        <t xml:space="preserve">Danh sách mã nhánh tự động sắp xếp theo thứ tự cha–con.</t>
      </text>
    </comment>
    <comment authorId="0" ref="A202">
      <text>
        <t xml:space="preserve">Danh sách mã nhánh tự động sắp xếp theo thứ tự cha–con.</t>
      </text>
    </comment>
    <comment authorId="0" ref="A169">
      <text>
        <t xml:space="preserve">Danh sách mã nhánh tự động sắp xếp theo thứ tự cha–con.</t>
      </text>
    </comment>
    <comment authorId="0" ref="A136">
      <text>
        <t xml:space="preserve">Danh sách mã nhánh tự động sắp xếp theo thứ tự cha–con.</t>
      </text>
    </comment>
    <comment authorId="0" ref="A103">
      <text>
        <t xml:space="preserve">Danh sách mã nhánh tự động sắp xếp theo thứ tự cha–con.</t>
      </text>
    </comment>
    <comment authorId="0" ref="A70">
      <text>
        <t xml:space="preserve">Danh sách mã nhánh tự động sắp xếp theo thứ tự cha–con.</t>
      </text>
    </comment>
    <comment authorId="0" ref="A37">
      <text>
        <t xml:space="preserve">Danh sách mã nhánh tự động sắp xếp theo thứ tự cha–con.</t>
      </text>
    </comment>
    <comment authorId="0" ref="A4">
      <text>
        <t xml:space="preserve">Tổng số nút đang có mã và được đưa vào bản đồ. Xem toàn bộ chi tiết tại bảng A22:Q và vị trí nguồn ở cột Q.</t>
      </text>
    </comment>
    <comment authorId="0" ref="B4">
      <text>
        <t xml:space="preserve">Tổng số nút công việc có mã trong cây L3–L6, không phải số dự án độc lập.</t>
      </text>
    </comment>
    <comment authorId="0" ref="D4">
      <text>
        <t xml:space="preserve">Số việc ưu tiên P1. Đối chiếu tại cột I của cây công việc; cột Q chỉ đúng sheet và dòng nguồn.</t>
      </text>
    </comment>
    <comment authorId="0" ref="E4">
      <text>
        <t xml:space="preserve">Số công việc đang được gắn mức ưu tiên cao nhất P1.</t>
      </text>
    </comment>
    <comment authorId="0" ref="G4">
      <text>
        <t xml:space="preserve">Số việc đã quá deadline và chưa hoàn thành/hủy. Đối chiếu các dòng có cảnh báo đỏ tại cột O.</t>
      </text>
    </comment>
    <comment authorId="0" ref="H4">
      <text>
        <t xml:space="preserve">Số công việc chưa hoàn thành có deadline trước ngày hiện tại.</t>
      </text>
    </comment>
    <comment authorId="0" ref="J4">
      <text>
        <t xml:space="preserve">Số việc còn từ 0 đến 7 ngày tới deadline. Đối chiếu các dòng cảnh báo màu cam tại cột O.</t>
      </text>
    </comment>
    <comment authorId="0" ref="K4">
      <text>
        <t xml:space="preserve">Số công việc chưa hoàn thành có hạn từ hôm nay đến 7 ngày tới.</t>
      </text>
    </comment>
    <comment authorId="0" ref="A698">
      <text>
        <t xml:space="preserve">Danh sách mã nhánh tự động sắp xếp theo thứ tự cha–con.</t>
      </text>
    </comment>
    <comment authorId="0" ref="A665">
      <text>
        <t xml:space="preserve">Danh sách mã nhánh tự động sắp xếp theo thứ tự cha–con.</t>
      </text>
    </comment>
    <comment authorId="0" ref="M4">
      <text>
        <t xml:space="preserve">Tổng khối lượng giờ chưa hoàn thành của các nút đang được bản đồ ghi nhận. Đối chiếu chi tiết tại cột N.</t>
      </text>
    </comment>
    <comment authorId="0" ref="A632">
      <text>
        <t xml:space="preserve">Danh sách mã nhánh tự động sắp xếp theo thứ tự cha–con.</t>
      </text>
    </comment>
    <comment authorId="0" ref="N4">
      <text>
        <t xml:space="preserve">Tổng khối lượng giờ còn lại của các công việc có dữ liệu khối lượng.</t>
      </text>
    </comment>
    <comment authorId="0" ref="A599">
      <text>
        <t xml:space="preserve">Danh sách mã nhánh tự động sắp xếp theo thứ tự cha–con.</t>
      </text>
    </comment>
    <comment authorId="0" ref="A566">
      <text>
        <t xml:space="preserve">Danh sách mã nhánh tự động sắp xếp theo thứ tự cha–con.</t>
      </text>
    </comment>
    <comment authorId="0" ref="A533">
      <text>
        <t xml:space="preserve">Danh sách mã nhánh tự động sắp xếp theo thứ tự cha–con.</t>
      </text>
    </comment>
    <comment authorId="0" ref="A500">
      <text>
        <t xml:space="preserve">Danh sách mã nhánh tự động sắp xếp theo thứ tự cha–con.</t>
      </text>
    </comment>
    <comment authorId="0" ref="A467">
      <text>
        <t xml:space="preserve">Danh sách mã nhánh tự động sắp xếp theo thứ tự cha–con.</t>
      </text>
    </comment>
    <comment authorId="0" ref="A434">
      <text>
        <t xml:space="preserve">Danh sách mã nhánh tự động sắp xếp theo thứ tự cha–con.</t>
      </text>
    </comment>
    <comment authorId="0" ref="A401">
      <text>
        <t xml:space="preserve">Danh sách mã nhánh tự động sắp xếp theo thứ tự cha–con.</t>
      </text>
    </comment>
    <comment authorId="0" ref="A368">
      <text>
        <t xml:space="preserve">Danh sách mã nhánh tự động sắp xếp theo thứ tự cha–con.</t>
      </text>
    </comment>
    <comment authorId="0" ref="A335">
      <text>
        <t xml:space="preserve">Danh sách mã nhánh tự động sắp xếp theo thứ tự cha–con.</t>
      </text>
    </comment>
    <comment authorId="0" ref="A302">
      <text>
        <t xml:space="preserve">Danh sách mã nhánh tự động sắp xếp theo thứ tự cha–con.</t>
      </text>
    </comment>
    <comment authorId="0" ref="A269">
      <text>
        <t xml:space="preserve">Danh sách mã nhánh tự động sắp xếp theo thứ tự cha–con.</t>
      </text>
    </comment>
    <comment authorId="0" ref="A236">
      <text>
        <t xml:space="preserve">Danh sách mã nhánh tự động sắp xếp theo thứ tự cha–con.</t>
      </text>
    </comment>
    <comment authorId="0" ref="A203">
      <text>
        <t xml:space="preserve">Danh sách mã nhánh tự động sắp xếp theo thứ tự cha–con.</t>
      </text>
    </comment>
    <comment authorId="0" ref="A170">
      <text>
        <t xml:space="preserve">Danh sách mã nhánh tự động sắp xếp theo thứ tự cha–con.</t>
      </text>
    </comment>
    <comment authorId="0" ref="A137">
      <text>
        <t xml:space="preserve">Danh sách mã nhánh tự động sắp xếp theo thứ tự cha–con.</t>
      </text>
    </comment>
    <comment authorId="0" ref="A104">
      <text>
        <t xml:space="preserve">Danh sách mã nhánh tự động sắp xếp theo thứ tự cha–con.</t>
      </text>
    </comment>
    <comment authorId="0" ref="A71">
      <text>
        <t xml:space="preserve">Danh sách mã nhánh tự động sắp xếp theo thứ tự cha–con.</t>
      </text>
    </comment>
    <comment authorId="0" ref="A38">
      <text>
        <t xml:space="preserve">Danh sách mã nhánh tự động sắp xếp theo thứ tự cha–con.</t>
      </text>
    </comment>
    <comment authorId="0" ref="A699">
      <text>
        <t xml:space="preserve">Danh sách mã nhánh tự động sắp xếp theo thứ tự cha–con.</t>
      </text>
    </comment>
    <comment authorId="0" ref="A666">
      <text>
        <t xml:space="preserve">Danh sách mã nhánh tự động sắp xếp theo thứ tự cha–con.</t>
      </text>
    </comment>
    <comment authorId="0" ref="A633">
      <text>
        <t xml:space="preserve">Danh sách mã nhánh tự động sắp xếp theo thứ tự cha–con.</t>
      </text>
    </comment>
    <comment authorId="0" ref="A600">
      <text>
        <t xml:space="preserve">Danh sách mã nhánh tự động sắp xếp theo thứ tự cha–con.</t>
      </text>
    </comment>
    <comment authorId="0" ref="A567">
      <text>
        <t xml:space="preserve">Danh sách mã nhánh tự động sắp xếp theo thứ tự cha–con.</t>
      </text>
    </comment>
    <comment authorId="0" ref="A534">
      <text>
        <t xml:space="preserve">Danh sách mã nhánh tự động sắp xếp theo thứ tự cha–con.</t>
      </text>
    </comment>
    <comment authorId="0" ref="A501">
      <text>
        <t xml:space="preserve">Danh sách mã nhánh tự động sắp xếp theo thứ tự cha–con.</t>
      </text>
    </comment>
    <comment authorId="0" ref="A468">
      <text>
        <t xml:space="preserve">Danh sách mã nhánh tự động sắp xếp theo thứ tự cha–con.</t>
      </text>
    </comment>
    <comment authorId="0" ref="A435">
      <text>
        <t xml:space="preserve">Danh sách mã nhánh tự động sắp xếp theo thứ tự cha–con.</t>
      </text>
    </comment>
    <comment authorId="0" ref="A402">
      <text>
        <t xml:space="preserve">Danh sách mã nhánh tự động sắp xếp theo thứ tự cha–con.</t>
      </text>
    </comment>
    <comment authorId="0" ref="A369">
      <text>
        <t xml:space="preserve">Danh sách mã nhánh tự động sắp xếp theo thứ tự cha–con.</t>
      </text>
    </comment>
    <comment authorId="0" ref="A336">
      <text>
        <t xml:space="preserve">Danh sách mã nhánh tự động sắp xếp theo thứ tự cha–con.</t>
      </text>
    </comment>
    <comment authorId="0" ref="A303">
      <text>
        <t xml:space="preserve">Danh sách mã nhánh tự động sắp xếp theo thứ tự cha–con.</t>
      </text>
    </comment>
    <comment authorId="0" ref="A270">
      <text>
        <t xml:space="preserve">Danh sách mã nhánh tự động sắp xếp theo thứ tự cha–con.</t>
      </text>
    </comment>
    <comment authorId="0" ref="A237">
      <text>
        <t xml:space="preserve">Danh sách mã nhánh tự động sắp xếp theo thứ tự cha–con.</t>
      </text>
    </comment>
    <comment authorId="0" ref="A204">
      <text>
        <t xml:space="preserve">Danh sách mã nhánh tự động sắp xếp theo thứ tự cha–con.</t>
      </text>
    </comment>
    <comment authorId="0" ref="A171">
      <text>
        <t xml:space="preserve">Danh sách mã nhánh tự động sắp xếp theo thứ tự cha–con.</t>
      </text>
    </comment>
    <comment authorId="0" ref="A138">
      <text>
        <t xml:space="preserve">Danh sách mã nhánh tự động sắp xếp theo thứ tự cha–con.</t>
      </text>
    </comment>
    <comment authorId="0" ref="A105">
      <text>
        <t xml:space="preserve">Danh sách mã nhánh tự động sắp xếp theo thứ tự cha–con.</t>
      </text>
    </comment>
    <comment authorId="0" ref="A72">
      <text>
        <t xml:space="preserve">Danh sách mã nhánh tự động sắp xếp theo thứ tự cha–con.</t>
      </text>
    </comment>
    <comment authorId="0" ref="A39">
      <text>
        <t xml:space="preserve">Danh sách mã nhánh tự động sắp xếp theo thứ tự cha–con.</t>
      </text>
    </comment>
    <comment authorId="0" ref="A6">
      <text>
        <t xml:space="preserve">Ba công việc có điểm can thiệp cao nhất dựa trên ưu tiên, deadline, tải và cảnh báo dữ liệu.</t>
      </text>
    </comment>
    <comment authorId="0" ref="A700">
      <text>
        <t xml:space="preserve">Danh sách mã nhánh tự động sắp xếp theo thứ tự cha–con.</t>
      </text>
    </comment>
    <comment authorId="0" ref="A667">
      <text>
        <t xml:space="preserve">Danh sách mã nhánh tự động sắp xếp theo thứ tự cha–con.</t>
      </text>
    </comment>
    <comment authorId="0" ref="A634">
      <text>
        <t xml:space="preserve">Danh sách mã nhánh tự động sắp xếp theo thứ tự cha–con.</t>
      </text>
    </comment>
    <comment authorId="0" ref="A601">
      <text>
        <t xml:space="preserve">Danh sách mã nhánh tự động sắp xếp theo thứ tự cha–con.</t>
      </text>
    </comment>
    <comment authorId="0" ref="A568">
      <text>
        <t xml:space="preserve">Danh sách mã nhánh tự động sắp xếp theo thứ tự cha–con.</t>
      </text>
    </comment>
    <comment authorId="0" ref="A535">
      <text>
        <t xml:space="preserve">Danh sách mã nhánh tự động sắp xếp theo thứ tự cha–con.</t>
      </text>
    </comment>
    <comment authorId="0" ref="A502">
      <text>
        <t xml:space="preserve">Danh sách mã nhánh tự động sắp xếp theo thứ tự cha–con.</t>
      </text>
    </comment>
    <comment authorId="0" ref="A469">
      <text>
        <t xml:space="preserve">Danh sách mã nhánh tự động sắp xếp theo thứ tự cha–con.</t>
      </text>
    </comment>
    <comment authorId="0" ref="A436">
      <text>
        <t xml:space="preserve">Danh sách mã nhánh tự động sắp xếp theo thứ tự cha–con.</t>
      </text>
    </comment>
    <comment authorId="0" ref="A403">
      <text>
        <t xml:space="preserve">Danh sách mã nhánh tự động sắp xếp theo thứ tự cha–con.</t>
      </text>
    </comment>
    <comment authorId="0" ref="A370">
      <text>
        <t xml:space="preserve">Danh sách mã nhánh tự động sắp xếp theo thứ tự cha–con.</t>
      </text>
    </comment>
    <comment authorId="0" ref="A337">
      <text>
        <t xml:space="preserve">Danh sách mã nhánh tự động sắp xếp theo thứ tự cha–con.</t>
      </text>
    </comment>
    <comment authorId="0" ref="A304">
      <text>
        <t xml:space="preserve">Danh sách mã nhánh tự động sắp xếp theo thứ tự cha–con.</t>
      </text>
    </comment>
    <comment authorId="0" ref="A271">
      <text>
        <t xml:space="preserve">Danh sách mã nhánh tự động sắp xếp theo thứ tự cha–con.</t>
      </text>
    </comment>
    <comment authorId="0" ref="A238">
      <text>
        <t xml:space="preserve">Danh sách mã nhánh tự động sắp xếp theo thứ tự cha–con.</t>
      </text>
    </comment>
    <comment authorId="0" ref="A205">
      <text>
        <t xml:space="preserve">Danh sách mã nhánh tự động sắp xếp theo thứ tự cha–con.</t>
      </text>
    </comment>
    <comment authorId="0" ref="A172">
      <text>
        <t xml:space="preserve">Danh sách mã nhánh tự động sắp xếp theo thứ tự cha–con.</t>
      </text>
    </comment>
    <comment authorId="0" ref="A139">
      <text>
        <t xml:space="preserve">Danh sách mã nhánh tự động sắp xếp theo thứ tự cha–con.</t>
      </text>
    </comment>
    <comment authorId="0" ref="A106">
      <text>
        <t xml:space="preserve">Danh sách mã nhánh tự động sắp xếp theo thứ tự cha–con.</t>
      </text>
    </comment>
    <comment authorId="0" ref="A73">
      <text>
        <t xml:space="preserve">Danh sách mã nhánh tự động sắp xếp theo thứ tự cha–con.</t>
      </text>
    </comment>
    <comment authorId="0" ref="A40">
      <text>
        <t xml:space="preserve">Danh sách mã nhánh tự động sắp xếp theo thứ tự cha–con.</t>
      </text>
    </comment>
    <comment authorId="0" ref="A668">
      <text>
        <t xml:space="preserve">Danh sách mã nhánh tự động sắp xếp theo thứ tự cha–con.</t>
      </text>
    </comment>
    <comment authorId="0" ref="A635">
      <text>
        <t xml:space="preserve">Danh sách mã nhánh tự động sắp xếp theo thứ tự cha–con.</t>
      </text>
    </comment>
    <comment authorId="0" ref="A602">
      <text>
        <t xml:space="preserve">Danh sách mã nhánh tự động sắp xếp theo thứ tự cha–con.</t>
      </text>
    </comment>
    <comment authorId="0" ref="A569">
      <text>
        <t xml:space="preserve">Danh sách mã nhánh tự động sắp xếp theo thứ tự cha–con.</t>
      </text>
    </comment>
    <comment authorId="0" ref="A536">
      <text>
        <t xml:space="preserve">Danh sách mã nhánh tự động sắp xếp theo thứ tự cha–con.</t>
      </text>
    </comment>
    <comment authorId="0" ref="A503">
      <text>
        <t xml:space="preserve">Danh sách mã nhánh tự động sắp xếp theo thứ tự cha–con.</t>
      </text>
    </comment>
    <comment authorId="0" ref="A470">
      <text>
        <t xml:space="preserve">Danh sách mã nhánh tự động sắp xếp theo thứ tự cha–con.</t>
      </text>
    </comment>
    <comment authorId="0" ref="A437">
      <text>
        <t xml:space="preserve">Danh sách mã nhánh tự động sắp xếp theo thứ tự cha–con.</t>
      </text>
    </comment>
    <comment authorId="0" ref="A404">
      <text>
        <t xml:space="preserve">Danh sách mã nhánh tự động sắp xếp theo thứ tự cha–con.</t>
      </text>
    </comment>
    <comment authorId="0" ref="A371">
      <text>
        <t xml:space="preserve">Danh sách mã nhánh tự động sắp xếp theo thứ tự cha–con.</t>
      </text>
    </comment>
    <comment authorId="0" ref="A338">
      <text>
        <t xml:space="preserve">Danh sách mã nhánh tự động sắp xếp theo thứ tự cha–con.</t>
      </text>
    </comment>
    <comment authorId="0" ref="A305">
      <text>
        <t xml:space="preserve">Danh sách mã nhánh tự động sắp xếp theo thứ tự cha–con.</t>
      </text>
    </comment>
    <comment authorId="0" ref="A272">
      <text>
        <t xml:space="preserve">Danh sách mã nhánh tự động sắp xếp theo thứ tự cha–con.</t>
      </text>
    </comment>
    <comment authorId="0" ref="A239">
      <text>
        <t xml:space="preserve">Danh sách mã nhánh tự động sắp xếp theo thứ tự cha–con.</t>
      </text>
    </comment>
    <comment authorId="0" ref="A206">
      <text>
        <t xml:space="preserve">Danh sách mã nhánh tự động sắp xếp theo thứ tự cha–con.</t>
      </text>
    </comment>
    <comment authorId="0" ref="A173">
      <text>
        <t xml:space="preserve">Danh sách mã nhánh tự động sắp xếp theo thứ tự cha–con.</t>
      </text>
    </comment>
    <comment authorId="0" ref="A140">
      <text>
        <t xml:space="preserve">Danh sách mã nhánh tự động sắp xếp theo thứ tự cha–con.</t>
      </text>
    </comment>
    <comment authorId="0" ref="A107">
      <text>
        <t xml:space="preserve">Danh sách mã nhánh tự động sắp xếp theo thứ tự cha–con.</t>
      </text>
    </comment>
    <comment authorId="0" ref="A74">
      <text>
        <t xml:space="preserve">Danh sách mã nhánh tự động sắp xếp theo thứ tự cha–con.</t>
      </text>
    </comment>
    <comment authorId="0" ref="A41">
      <text>
        <t xml:space="preserve">Danh sách mã nhánh tự động sắp xếp theo thứ tự cha–con.</t>
      </text>
    </comment>
    <comment authorId="0" ref="A669">
      <text>
        <t xml:space="preserve">Danh sách mã nhánh tự động sắp xếp theo thứ tự cha–con.</t>
      </text>
    </comment>
    <comment authorId="0" ref="A636">
      <text>
        <t xml:space="preserve">Danh sách mã nhánh tự động sắp xếp theo thứ tự cha–con.</t>
      </text>
    </comment>
    <comment authorId="0" ref="A603">
      <text>
        <t xml:space="preserve">Danh sách mã nhánh tự động sắp xếp theo thứ tự cha–con.</t>
      </text>
    </comment>
    <comment authorId="0" ref="A570">
      <text>
        <t xml:space="preserve">Danh sách mã nhánh tự động sắp xếp theo thứ tự cha–con.</t>
      </text>
    </comment>
    <comment authorId="0" ref="A537">
      <text>
        <t xml:space="preserve">Danh sách mã nhánh tự động sắp xếp theo thứ tự cha–con.</t>
      </text>
    </comment>
    <comment authorId="0" ref="A504">
      <text>
        <t xml:space="preserve">Danh sách mã nhánh tự động sắp xếp theo thứ tự cha–con.</t>
      </text>
    </comment>
    <comment authorId="0" ref="A471">
      <text>
        <t xml:space="preserve">Danh sách mã nhánh tự động sắp xếp theo thứ tự cha–con.</t>
      </text>
    </comment>
    <comment authorId="0" ref="A438">
      <text>
        <t xml:space="preserve">Danh sách mã nhánh tự động sắp xếp theo thứ tự cha–con.</t>
      </text>
    </comment>
    <comment authorId="0" ref="A405">
      <text>
        <t xml:space="preserve">Danh sách mã nhánh tự động sắp xếp theo thứ tự cha–con.</t>
      </text>
    </comment>
    <comment authorId="0" ref="A372">
      <text>
        <t xml:space="preserve">Danh sách mã nhánh tự động sắp xếp theo thứ tự cha–con.</t>
      </text>
    </comment>
    <comment authorId="0" ref="A339">
      <text>
        <t xml:space="preserve">Danh sách mã nhánh tự động sắp xếp theo thứ tự cha–con.</t>
      </text>
    </comment>
    <comment authorId="0" ref="A306">
      <text>
        <t xml:space="preserve">Danh sách mã nhánh tự động sắp xếp theo thứ tự cha–con.</t>
      </text>
    </comment>
    <comment authorId="0" ref="A273">
      <text>
        <t xml:space="preserve">Danh sách mã nhánh tự động sắp xếp theo thứ tự cha–con.</t>
      </text>
    </comment>
    <comment authorId="0" ref="A240">
      <text>
        <t xml:space="preserve">Danh sách mã nhánh tự động sắp xếp theo thứ tự cha–con.</t>
      </text>
    </comment>
    <comment authorId="0" ref="A207">
      <text>
        <t xml:space="preserve">Danh sách mã nhánh tự động sắp xếp theo thứ tự cha–con.</t>
      </text>
    </comment>
    <comment authorId="0" ref="A174">
      <text>
        <t xml:space="preserve">Danh sách mã nhánh tự động sắp xếp theo thứ tự cha–con.</t>
      </text>
    </comment>
    <comment authorId="0" ref="A141">
      <text>
        <t xml:space="preserve">Danh sách mã nhánh tự động sắp xếp theo thứ tự cha–con.</t>
      </text>
    </comment>
    <comment authorId="0" ref="A108">
      <text>
        <t xml:space="preserve">Danh sách mã nhánh tự động sắp xếp theo thứ tự cha–con.</t>
      </text>
    </comment>
    <comment authorId="0" ref="A75">
      <text>
        <t xml:space="preserve">Danh sách mã nhánh tự động sắp xếp theo thứ tự cha–con.</t>
      </text>
    </comment>
    <comment authorId="0" ref="A42">
      <text>
        <t xml:space="preserve">Danh sách mã nhánh tự động sắp xếp theo thứ tự cha–con.</t>
      </text>
    </comment>
    <comment authorId="0" ref="A670">
      <text>
        <t xml:space="preserve">Danh sách mã nhánh tự động sắp xếp theo thứ tự cha–con.</t>
      </text>
    </comment>
    <comment authorId="0" ref="A637">
      <text>
        <t xml:space="preserve">Danh sách mã nhánh tự động sắp xếp theo thứ tự cha–con.</t>
      </text>
    </comment>
    <comment authorId="0" ref="A604">
      <text>
        <t xml:space="preserve">Danh sách mã nhánh tự động sắp xếp theo thứ tự cha–con.</t>
      </text>
    </comment>
    <comment authorId="0" ref="A571">
      <text>
        <t xml:space="preserve">Danh sách mã nhánh tự động sắp xếp theo thứ tự cha–con.</t>
      </text>
    </comment>
    <comment authorId="0" ref="A538">
      <text>
        <t xml:space="preserve">Danh sách mã nhánh tự động sắp xếp theo thứ tự cha–con.</t>
      </text>
    </comment>
    <comment authorId="0" ref="A505">
      <text>
        <t xml:space="preserve">Danh sách mã nhánh tự động sắp xếp theo thứ tự cha–con.</t>
      </text>
    </comment>
    <comment authorId="0" ref="A472">
      <text>
        <t xml:space="preserve">Danh sách mã nhánh tự động sắp xếp theo thứ tự cha–con.</t>
      </text>
    </comment>
    <comment authorId="0" ref="A439">
      <text>
        <t xml:space="preserve">Danh sách mã nhánh tự động sắp xếp theo thứ tự cha–con.</t>
      </text>
    </comment>
    <comment authorId="0" ref="A406">
      <text>
        <t xml:space="preserve">Danh sách mã nhánh tự động sắp xếp theo thứ tự cha–con.</t>
      </text>
    </comment>
    <comment authorId="0" ref="A373">
      <text>
        <t xml:space="preserve">Danh sách mã nhánh tự động sắp xếp theo thứ tự cha–con.</t>
      </text>
    </comment>
    <comment authorId="0" ref="A340">
      <text>
        <t xml:space="preserve">Danh sách mã nhánh tự động sắp xếp theo thứ tự cha–con.</t>
      </text>
    </comment>
    <comment authorId="0" ref="A307">
      <text>
        <t xml:space="preserve">Danh sách mã nhánh tự động sắp xếp theo thứ tự cha–con.</t>
      </text>
    </comment>
    <comment authorId="0" ref="A274">
      <text>
        <t xml:space="preserve">Danh sách mã nhánh tự động sắp xếp theo thứ tự cha–con.</t>
      </text>
    </comment>
    <comment authorId="0" ref="A241">
      <text>
        <t xml:space="preserve">Danh sách mã nhánh tự động sắp xếp theo thứ tự cha–con.</t>
      </text>
    </comment>
    <comment authorId="0" ref="A208">
      <text>
        <t xml:space="preserve">Danh sách mã nhánh tự động sắp xếp theo thứ tự cha–con.</t>
      </text>
    </comment>
    <comment authorId="0" ref="A175">
      <text>
        <t xml:space="preserve">Danh sách mã nhánh tự động sắp xếp theo thứ tự cha–con.</t>
      </text>
    </comment>
    <comment authorId="0" ref="A142">
      <text>
        <t xml:space="preserve">Danh sách mã nhánh tự động sắp xếp theo thứ tự cha–con.</t>
      </text>
    </comment>
    <comment authorId="0" ref="A109">
      <text>
        <t xml:space="preserve">Danh sách mã nhánh tự động sắp xếp theo thứ tự cha–con.</t>
      </text>
    </comment>
    <comment authorId="0" ref="A76">
      <text>
        <t xml:space="preserve">Danh sách mã nhánh tự động sắp xếp theo thứ tự cha–con.</t>
      </text>
    </comment>
    <comment authorId="0" ref="A43">
      <text>
        <t xml:space="preserve">Danh sách mã nhánh tự động sắp xếp theo thứ tự cha–con.</t>
      </text>
    </comment>
    <comment authorId="0" ref="A671">
      <text>
        <t xml:space="preserve">Danh sách mã nhánh tự động sắp xếp theo thứ tự cha–con.</t>
      </text>
    </comment>
    <comment authorId="0" ref="A638">
      <text>
        <t xml:space="preserve">Danh sách mã nhánh tự động sắp xếp theo thứ tự cha–con.</t>
      </text>
    </comment>
    <comment authorId="0" ref="A605">
      <text>
        <t xml:space="preserve">Danh sách mã nhánh tự động sắp xếp theo thứ tự cha–con.</t>
      </text>
    </comment>
    <comment authorId="0" ref="A572">
      <text>
        <t xml:space="preserve">Danh sách mã nhánh tự động sắp xếp theo thứ tự cha–con.</t>
      </text>
    </comment>
    <comment authorId="0" ref="A539">
      <text>
        <t xml:space="preserve">Danh sách mã nhánh tự động sắp xếp theo thứ tự cha–con.</t>
      </text>
    </comment>
    <comment authorId="0" ref="A506">
      <text>
        <t xml:space="preserve">Danh sách mã nhánh tự động sắp xếp theo thứ tự cha–con.</t>
      </text>
    </comment>
    <comment authorId="0" ref="A473">
      <text>
        <t xml:space="preserve">Danh sách mã nhánh tự động sắp xếp theo thứ tự cha–con.</t>
      </text>
    </comment>
    <comment authorId="0" ref="A440">
      <text>
        <t xml:space="preserve">Danh sách mã nhánh tự động sắp xếp theo thứ tự cha–con.</t>
      </text>
    </comment>
    <comment authorId="0" ref="A407">
      <text>
        <t xml:space="preserve">Danh sách mã nhánh tự động sắp xếp theo thứ tự cha–con.</t>
      </text>
    </comment>
    <comment authorId="0" ref="A374">
      <text>
        <t xml:space="preserve">Danh sách mã nhánh tự động sắp xếp theo thứ tự cha–con.</t>
      </text>
    </comment>
    <comment authorId="0" ref="A341">
      <text>
        <t xml:space="preserve">Danh sách mã nhánh tự động sắp xếp theo thứ tự cha–con.</t>
      </text>
    </comment>
    <comment authorId="0" ref="A308">
      <text>
        <t xml:space="preserve">Danh sách mã nhánh tự động sắp xếp theo thứ tự cha–con.</t>
      </text>
    </comment>
    <comment authorId="0" ref="A275">
      <text>
        <t xml:space="preserve">Danh sách mã nhánh tự động sắp xếp theo thứ tự cha–con.</t>
      </text>
    </comment>
    <comment authorId="0" ref="A242">
      <text>
        <t xml:space="preserve">Danh sách mã nhánh tự động sắp xếp theo thứ tự cha–con.</t>
      </text>
    </comment>
    <comment authorId="0" ref="A209">
      <text>
        <t xml:space="preserve">Danh sách mã nhánh tự động sắp xếp theo thứ tự cha–con.</t>
      </text>
    </comment>
    <comment authorId="0" ref="A176">
      <text>
        <t xml:space="preserve">Danh sách mã nhánh tự động sắp xếp theo thứ tự cha–con.</t>
      </text>
    </comment>
    <comment authorId="0" ref="A143">
      <text>
        <t xml:space="preserve">Danh sách mã nhánh tự động sắp xếp theo thứ tự cha–con.</t>
      </text>
    </comment>
    <comment authorId="0" ref="A110">
      <text>
        <t xml:space="preserve">Danh sách mã nhánh tự động sắp xếp theo thứ tự cha–con.</t>
      </text>
    </comment>
    <comment authorId="0" ref="A77">
      <text>
        <t xml:space="preserve">Danh sách mã nhánh tự động sắp xếp theo thứ tự cha–con.</t>
      </text>
    </comment>
    <comment authorId="0" ref="A44">
      <text>
        <t xml:space="preserve">Danh sách mã nhánh tự động sắp xếp theo thứ tự cha–con.</t>
      </text>
    </comment>
    <comment authorId="0" ref="A672">
      <text>
        <t xml:space="preserve">Danh sách mã nhánh tự động sắp xếp theo thứ tự cha–con.</t>
      </text>
    </comment>
    <comment authorId="0" ref="A639">
      <text>
        <t xml:space="preserve">Danh sách mã nhánh tự động sắp xếp theo thứ tự cha–con.</t>
      </text>
    </comment>
    <comment authorId="0" ref="A606">
      <text>
        <t xml:space="preserve">Danh sách mã nhánh tự động sắp xếp theo thứ tự cha–con.</t>
      </text>
    </comment>
    <comment authorId="0" ref="A573">
      <text>
        <t xml:space="preserve">Danh sách mã nhánh tự động sắp xếp theo thứ tự cha–con.</t>
      </text>
    </comment>
    <comment authorId="0" ref="A540">
      <text>
        <t xml:space="preserve">Danh sách mã nhánh tự động sắp xếp theo thứ tự cha–con.</t>
      </text>
    </comment>
    <comment authorId="0" ref="A507">
      <text>
        <t xml:space="preserve">Danh sách mã nhánh tự động sắp xếp theo thứ tự cha–con.</t>
      </text>
    </comment>
    <comment authorId="0" ref="A474">
      <text>
        <t xml:space="preserve">Danh sách mã nhánh tự động sắp xếp theo thứ tự cha–con.</t>
      </text>
    </comment>
    <comment authorId="0" ref="A441">
      <text>
        <t xml:space="preserve">Danh sách mã nhánh tự động sắp xếp theo thứ tự cha–con.</t>
      </text>
    </comment>
    <comment authorId="0" ref="A408">
      <text>
        <t xml:space="preserve">Danh sách mã nhánh tự động sắp xếp theo thứ tự cha–con.</t>
      </text>
    </comment>
    <comment authorId="0" ref="A375">
      <text>
        <t xml:space="preserve">Danh sách mã nhánh tự động sắp xếp theo thứ tự cha–con.</t>
      </text>
    </comment>
    <comment authorId="0" ref="A342">
      <text>
        <t xml:space="preserve">Danh sách mã nhánh tự động sắp xếp theo thứ tự cha–con.</t>
      </text>
    </comment>
    <comment authorId="0" ref="A309">
      <text>
        <t xml:space="preserve">Danh sách mã nhánh tự động sắp xếp theo thứ tự cha–con.</t>
      </text>
    </comment>
    <comment authorId="0" ref="A276">
      <text>
        <t xml:space="preserve">Danh sách mã nhánh tự động sắp xếp theo thứ tự cha–con.</t>
      </text>
    </comment>
    <comment authorId="0" ref="A243">
      <text>
        <t xml:space="preserve">Danh sách mã nhánh tự động sắp xếp theo thứ tự cha–con.</t>
      </text>
    </comment>
    <comment authorId="0" ref="A210">
      <text>
        <t xml:space="preserve">Danh sách mã nhánh tự động sắp xếp theo thứ tự cha–con.</t>
      </text>
    </comment>
    <comment authorId="0" ref="A177">
      <text>
        <t xml:space="preserve">Danh sách mã nhánh tự động sắp xếp theo thứ tự cha–con.</t>
      </text>
    </comment>
    <comment authorId="0" ref="A144">
      <text>
        <t xml:space="preserve">Danh sách mã nhánh tự động sắp xếp theo thứ tự cha–con.</t>
      </text>
    </comment>
    <comment authorId="0" ref="A111">
      <text>
        <t xml:space="preserve">Danh sách mã nhánh tự động sắp xếp theo thứ tự cha–con.</t>
      </text>
    </comment>
    <comment authorId="0" ref="A78">
      <text>
        <t xml:space="preserve">Danh sách mã nhánh tự động sắp xếp theo thứ tự cha–con.</t>
      </text>
    </comment>
    <comment authorId="0" ref="A45">
      <text>
        <t xml:space="preserve">Danh sách mã nhánh tự động sắp xếp theo thứ tự cha–con.</t>
      </text>
    </comment>
    <comment authorId="0" ref="A12">
      <text>
        <t xml:space="preserve">Phân loại công việc chưa hoàn thành/chưa hủy theo hai chiều: mức ưu tiên và tính cấp bách của deadline.</t>
      </text>
    </comment>
    <comment authorId="0" ref="H12">
      <text>
        <t xml:space="preserve">Xếp hạng tự động theo tổng số giờ còn lại của từng người/nhóm đang được giao việc.</t>
      </text>
    </comment>
    <comment authorId="0" ref="K12">
      <text>
        <t xml:space="preserve">Phân bố số công việc và giờ còn lại theo khoảng thời gian đến hạn.</t>
      </text>
    </comment>
    <comment authorId="0" ref="A673">
      <text>
        <t xml:space="preserve">Danh sách mã nhánh tự động sắp xếp theo thứ tự cha–con.</t>
      </text>
    </comment>
    <comment authorId="0" ref="A640">
      <text>
        <t xml:space="preserve">Danh sách mã nhánh tự động sắp xếp theo thứ tự cha–con.</t>
      </text>
    </comment>
    <comment authorId="0" ref="A607">
      <text>
        <t xml:space="preserve">Danh sách mã nhánh tự động sắp xếp theo thứ tự cha–con.</t>
      </text>
    </comment>
    <comment authorId="0" ref="O12">
      <text>
        <t xml:space="preserve">Các chỉ tiêu này cảnh báo dữ liệu thiếu hoặc tình trạng cần xử lý trước khi sử dụng báo cáo để ra quyết định.</t>
      </text>
    </comment>
    <comment authorId="0" ref="A574">
      <text>
        <t xml:space="preserve">Danh sách mã nhánh tự động sắp xếp theo thứ tự cha–con.</t>
      </text>
    </comment>
    <comment authorId="0" ref="A541">
      <text>
        <t xml:space="preserve">Danh sách mã nhánh tự động sắp xếp theo thứ tự cha–con.</t>
      </text>
    </comment>
    <comment authorId="0" ref="A508">
      <text>
        <t xml:space="preserve">Danh sách mã nhánh tự động sắp xếp theo thứ tự cha–con.</t>
      </text>
    </comment>
    <comment authorId="0" ref="A475">
      <text>
        <t xml:space="preserve">Danh sách mã nhánh tự động sắp xếp theo thứ tự cha–con.</t>
      </text>
    </comment>
    <comment authorId="0" ref="A442">
      <text>
        <t xml:space="preserve">Danh sách mã nhánh tự động sắp xếp theo thứ tự cha–con.</t>
      </text>
    </comment>
    <comment authorId="0" ref="A409">
      <text>
        <t xml:space="preserve">Danh sách mã nhánh tự động sắp xếp theo thứ tự cha–con.</t>
      </text>
    </comment>
    <comment authorId="0" ref="A376">
      <text>
        <t xml:space="preserve">Danh sách mã nhánh tự động sắp xếp theo thứ tự cha–con.</t>
      </text>
    </comment>
    <comment authorId="0" ref="A343">
      <text>
        <t xml:space="preserve">Danh sách mã nhánh tự động sắp xếp theo thứ tự cha–con.</t>
      </text>
    </comment>
    <comment authorId="0" ref="A310">
      <text>
        <t xml:space="preserve">Danh sách mã nhánh tự động sắp xếp theo thứ tự cha–con.</t>
      </text>
    </comment>
    <comment authorId="0" ref="A277">
      <text>
        <t xml:space="preserve">Danh sách mã nhánh tự động sắp xếp theo thứ tự cha–con.</t>
      </text>
    </comment>
    <comment authorId="0" ref="A244">
      <text>
        <t xml:space="preserve">Danh sách mã nhánh tự động sắp xếp theo thứ tự cha–con.</t>
      </text>
    </comment>
    <comment authorId="0" ref="A211">
      <text>
        <t xml:space="preserve">Danh sách mã nhánh tự động sắp xếp theo thứ tự cha–con.</t>
      </text>
    </comment>
    <comment authorId="0" ref="A178">
      <text>
        <t xml:space="preserve">Danh sách mã nhánh tự động sắp xếp theo thứ tự cha–con.</t>
      </text>
    </comment>
    <comment authorId="0" ref="A145">
      <text>
        <t xml:space="preserve">Danh sách mã nhánh tự động sắp xếp theo thứ tự cha–con.</t>
      </text>
    </comment>
    <comment authorId="0" ref="A112">
      <text>
        <t xml:space="preserve">Danh sách mã nhánh tự động sắp xếp theo thứ tự cha–con.</t>
      </text>
    </comment>
    <comment authorId="0" ref="A79">
      <text>
        <t xml:space="preserve">Danh sách mã nhánh tự động sắp xếp theo thứ tự cha–con.</t>
      </text>
    </comment>
    <comment authorId="0" ref="A46">
      <text>
        <t xml:space="preserve">Danh sách mã nhánh tự động sắp xếp theo thứ tự cha–con.</t>
      </text>
    </comment>
    <comment authorId="0" ref="J13">
      <text>
        <t xml:space="preserve">Tổng tải phân bổ theo giờ/ngày của người hoặc nhóm; tuần được quy đổi theo 5 ngày làm việc.</t>
      </text>
    </comment>
    <comment authorId="0" ref="A674">
      <text>
        <t xml:space="preserve">Danh sách mã nhánh tự động sắp xếp theo thứ tự cha–con.</t>
      </text>
    </comment>
    <comment authorId="0" ref="A641">
      <text>
        <t xml:space="preserve">Danh sách mã nhánh tự động sắp xếp theo thứ tự cha–con.</t>
      </text>
    </comment>
    <comment authorId="0" ref="N13">
      <text>
        <t xml:space="preserve">Tỷ trọng số việc trong từng khung deadline trên tổng số nút công việc.</t>
      </text>
    </comment>
    <comment authorId="0" ref="A608">
      <text>
        <t xml:space="preserve">Danh sách mã nhánh tự động sắp xếp theo thứ tự cha–con.</t>
      </text>
    </comment>
    <comment authorId="0" ref="A575">
      <text>
        <t xml:space="preserve">Danh sách mã nhánh tự động sắp xếp theo thứ tự cha–con.</t>
      </text>
    </comment>
    <comment authorId="0" ref="A542">
      <text>
        <t xml:space="preserve">Danh sách mã nhánh tự động sắp xếp theo thứ tự cha–con.</t>
      </text>
    </comment>
    <comment authorId="0" ref="A509">
      <text>
        <t xml:space="preserve">Danh sách mã nhánh tự động sắp xếp theo thứ tự cha–con.</t>
      </text>
    </comment>
    <comment authorId="0" ref="A476">
      <text>
        <t xml:space="preserve">Danh sách mã nhánh tự động sắp xếp theo thứ tự cha–con.</t>
      </text>
    </comment>
    <comment authorId="0" ref="A443">
      <text>
        <t xml:space="preserve">Danh sách mã nhánh tự động sắp xếp theo thứ tự cha–con.</t>
      </text>
    </comment>
    <comment authorId="0" ref="A410">
      <text>
        <t xml:space="preserve">Danh sách mã nhánh tự động sắp xếp theo thứ tự cha–con.</t>
      </text>
    </comment>
    <comment authorId="0" ref="A377">
      <text>
        <t xml:space="preserve">Danh sách mã nhánh tự động sắp xếp theo thứ tự cha–con.</t>
      </text>
    </comment>
    <comment authorId="0" ref="A344">
      <text>
        <t xml:space="preserve">Danh sách mã nhánh tự động sắp xếp theo thứ tự cha–con.</t>
      </text>
    </comment>
    <comment authorId="0" ref="A311">
      <text>
        <t xml:space="preserve">Danh sách mã nhánh tự động sắp xếp theo thứ tự cha–con.</t>
      </text>
    </comment>
    <comment authorId="0" ref="A278">
      <text>
        <t xml:space="preserve">Danh sách mã nhánh tự động sắp xếp theo thứ tự cha–con.</t>
      </text>
    </comment>
    <comment authorId="0" ref="A245">
      <text>
        <t xml:space="preserve">Danh sách mã nhánh tự động sắp xếp theo thứ tự cha–con.</t>
      </text>
    </comment>
    <comment authorId="0" ref="A212">
      <text>
        <t xml:space="preserve">Danh sách mã nhánh tự động sắp xếp theo thứ tự cha–con.</t>
      </text>
    </comment>
    <comment authorId="0" ref="A179">
      <text>
        <t xml:space="preserve">Danh sách mã nhánh tự động sắp xếp theo thứ tự cha–con.</t>
      </text>
    </comment>
    <comment authorId="0" ref="A146">
      <text>
        <t xml:space="preserve">Danh sách mã nhánh tự động sắp xếp theo thứ tự cha–con.</t>
      </text>
    </comment>
    <comment authorId="0" ref="A113">
      <text>
        <t xml:space="preserve">Danh sách mã nhánh tự động sắp xếp theo thứ tự cha–con.</t>
      </text>
    </comment>
    <comment authorId="0" ref="A80">
      <text>
        <t xml:space="preserve">Danh sách mã nhánh tự động sắp xếp theo thứ tự cha–con.</t>
      </text>
    </comment>
    <comment authorId="0" ref="A47">
      <text>
        <t xml:space="preserve">Danh sách mã nhánh tự động sắp xếp theo thứ tự cha–con.</t>
      </text>
    </comment>
    <comment authorId="0" ref="A675">
      <text>
        <t xml:space="preserve">Danh sách mã nhánh tự động sắp xếp theo thứ tự cha–con.</t>
      </text>
    </comment>
    <comment authorId="0" ref="A642">
      <text>
        <t xml:space="preserve">Danh sách mã nhánh tự động sắp xếp theo thứ tự cha–con.</t>
      </text>
    </comment>
    <comment authorId="0" ref="A609">
      <text>
        <t xml:space="preserve">Danh sách mã nhánh tự động sắp xếp theo thứ tự cha–con.</t>
      </text>
    </comment>
    <comment authorId="0" ref="A576">
      <text>
        <t xml:space="preserve">Danh sách mã nhánh tự động sắp xếp theo thứ tự cha–con.</t>
      </text>
    </comment>
    <comment authorId="0" ref="A543">
      <text>
        <t xml:space="preserve">Danh sách mã nhánh tự động sắp xếp theo thứ tự cha–con.</t>
      </text>
    </comment>
    <comment authorId="0" ref="A510">
      <text>
        <t xml:space="preserve">Danh sách mã nhánh tự động sắp xếp theo thứ tự cha–con.</t>
      </text>
    </comment>
    <comment authorId="0" ref="A477">
      <text>
        <t xml:space="preserve">Danh sách mã nhánh tự động sắp xếp theo thứ tự cha–con.</t>
      </text>
    </comment>
    <comment authorId="0" ref="A444">
      <text>
        <t xml:space="preserve">Danh sách mã nhánh tự động sắp xếp theo thứ tự cha–con.</t>
      </text>
    </comment>
    <comment authorId="0" ref="A411">
      <text>
        <t xml:space="preserve">Danh sách mã nhánh tự động sắp xếp theo thứ tự cha–con.</t>
      </text>
    </comment>
    <comment authorId="0" ref="A378">
      <text>
        <t xml:space="preserve">Danh sách mã nhánh tự động sắp xếp theo thứ tự cha–con.</t>
      </text>
    </comment>
    <comment authorId="0" ref="A345">
      <text>
        <t xml:space="preserve">Danh sách mã nhánh tự động sắp xếp theo thứ tự cha–con.</t>
      </text>
    </comment>
    <comment authorId="0" ref="A312">
      <text>
        <t xml:space="preserve">Danh sách mã nhánh tự động sắp xếp theo thứ tự cha–con.</t>
      </text>
    </comment>
    <comment authorId="0" ref="A279">
      <text>
        <t xml:space="preserve">Danh sách mã nhánh tự động sắp xếp theo thứ tự cha–con.</t>
      </text>
    </comment>
    <comment authorId="0" ref="A246">
      <text>
        <t xml:space="preserve">Danh sách mã nhánh tự động sắp xếp theo thứ tự cha–con.</t>
      </text>
    </comment>
    <comment authorId="0" ref="A213">
      <text>
        <t xml:space="preserve">Danh sách mã nhánh tự động sắp xếp theo thứ tự cha–con.</t>
      </text>
    </comment>
    <comment authorId="0" ref="A180">
      <text>
        <t xml:space="preserve">Danh sách mã nhánh tự động sắp xếp theo thứ tự cha–con.</t>
      </text>
    </comment>
    <comment authorId="0" ref="A147">
      <text>
        <t xml:space="preserve">Danh sách mã nhánh tự động sắp xếp theo thứ tự cha–con.</t>
      </text>
    </comment>
    <comment authorId="0" ref="A114">
      <text>
        <t xml:space="preserve">Danh sách mã nhánh tự động sắp xếp theo thứ tự cha–con.</t>
      </text>
    </comment>
    <comment authorId="0" ref="A81">
      <text>
        <t xml:space="preserve">Danh sách mã nhánh tự động sắp xếp theo thứ tự cha–con.</t>
      </text>
    </comment>
    <comment authorId="0" ref="A48">
      <text>
        <t xml:space="preserve">Danh sách mã nhánh tự động sắp xếp theo thứ tự cha–con.</t>
      </text>
    </comment>
    <comment authorId="0" ref="A676">
      <text>
        <t xml:space="preserve">Danh sách mã nhánh tự động sắp xếp theo thứ tự cha–con.</t>
      </text>
    </comment>
    <comment authorId="0" ref="A643">
      <text>
        <t xml:space="preserve">Danh sách mã nhánh tự động sắp xếp theo thứ tự cha–con.</t>
      </text>
    </comment>
    <comment authorId="0" ref="A610">
      <text>
        <t xml:space="preserve">Danh sách mã nhánh tự động sắp xếp theo thứ tự cha–con.</t>
      </text>
    </comment>
    <comment authorId="0" ref="A577">
      <text>
        <t xml:space="preserve">Danh sách mã nhánh tự động sắp xếp theo thứ tự cha–con.</t>
      </text>
    </comment>
    <comment authorId="0" ref="A544">
      <text>
        <t xml:space="preserve">Danh sách mã nhánh tự động sắp xếp theo thứ tự cha–con.</t>
      </text>
    </comment>
    <comment authorId="0" ref="A511">
      <text>
        <t xml:space="preserve">Danh sách mã nhánh tự động sắp xếp theo thứ tự cha–con.</t>
      </text>
    </comment>
    <comment authorId="0" ref="A478">
      <text>
        <t xml:space="preserve">Danh sách mã nhánh tự động sắp xếp theo thứ tự cha–con.</t>
      </text>
    </comment>
    <comment authorId="0" ref="A445">
      <text>
        <t xml:space="preserve">Danh sách mã nhánh tự động sắp xếp theo thứ tự cha–con.</t>
      </text>
    </comment>
    <comment authorId="0" ref="A412">
      <text>
        <t xml:space="preserve">Danh sách mã nhánh tự động sắp xếp theo thứ tự cha–con.</t>
      </text>
    </comment>
    <comment authorId="0" ref="A379">
      <text>
        <t xml:space="preserve">Danh sách mã nhánh tự động sắp xếp theo thứ tự cha–con.</t>
      </text>
    </comment>
    <comment authorId="0" ref="A346">
      <text>
        <t xml:space="preserve">Danh sách mã nhánh tự động sắp xếp theo thứ tự cha–con.</t>
      </text>
    </comment>
    <comment authorId="0" ref="A313">
      <text>
        <t xml:space="preserve">Danh sách mã nhánh tự động sắp xếp theo thứ tự cha–con.</t>
      </text>
    </comment>
    <comment authorId="0" ref="A280">
      <text>
        <t xml:space="preserve">Danh sách mã nhánh tự động sắp xếp theo thứ tự cha–con.</t>
      </text>
    </comment>
    <comment authorId="0" ref="A247">
      <text>
        <t xml:space="preserve">Danh sách mã nhánh tự động sắp xếp theo thứ tự cha–con.</t>
      </text>
    </comment>
    <comment authorId="0" ref="A214">
      <text>
        <t xml:space="preserve">Danh sách mã nhánh tự động sắp xếp theo thứ tự cha–con.</t>
      </text>
    </comment>
    <comment authorId="0" ref="A181">
      <text>
        <t xml:space="preserve">Danh sách mã nhánh tự động sắp xếp theo thứ tự cha–con.</t>
      </text>
    </comment>
    <comment authorId="0" ref="A148">
      <text>
        <t xml:space="preserve">Danh sách mã nhánh tự động sắp xếp theo thứ tự cha–con.</t>
      </text>
    </comment>
    <comment authorId="0" ref="A115">
      <text>
        <t xml:space="preserve">Danh sách mã nhánh tự động sắp xếp theo thứ tự cha–con.</t>
      </text>
    </comment>
    <comment authorId="0" ref="A82">
      <text>
        <t xml:space="preserve">Danh sách mã nhánh tự động sắp xếp theo thứ tự cha–con.</t>
      </text>
    </comment>
    <comment authorId="0" ref="A49">
      <text>
        <t xml:space="preserve">Danh sách mã nhánh tự động sắp xếp theo thứ tự cha–con.</t>
      </text>
    </comment>
    <comment authorId="0" ref="A677">
      <text>
        <t xml:space="preserve">Danh sách mã nhánh tự động sắp xếp theo thứ tự cha–con.</t>
      </text>
    </comment>
    <comment authorId="0" ref="A644">
      <text>
        <t xml:space="preserve">Danh sách mã nhánh tự động sắp xếp theo thứ tự cha–con.</t>
      </text>
    </comment>
    <comment authorId="0" ref="A611">
      <text>
        <t xml:space="preserve">Danh sách mã nhánh tự động sắp xếp theo thứ tự cha–con.</t>
      </text>
    </comment>
    <comment authorId="0" ref="A578">
      <text>
        <t xml:space="preserve">Danh sách mã nhánh tự động sắp xếp theo thứ tự cha–con.</t>
      </text>
    </comment>
    <comment authorId="0" ref="A545">
      <text>
        <t xml:space="preserve">Danh sách mã nhánh tự động sắp xếp theo thứ tự cha–con.</t>
      </text>
    </comment>
    <comment authorId="0" ref="A512">
      <text>
        <t xml:space="preserve">Danh sách mã nhánh tự động sắp xếp theo thứ tự cha–con.</t>
      </text>
    </comment>
    <comment authorId="0" ref="A479">
      <text>
        <t xml:space="preserve">Danh sách mã nhánh tự động sắp xếp theo thứ tự cha–con.</t>
      </text>
    </comment>
    <comment authorId="0" ref="A446">
      <text>
        <t xml:space="preserve">Danh sách mã nhánh tự động sắp xếp theo thứ tự cha–con.</t>
      </text>
    </comment>
    <comment authorId="0" ref="A413">
      <text>
        <t xml:space="preserve">Danh sách mã nhánh tự động sắp xếp theo thứ tự cha–con.</t>
      </text>
    </comment>
    <comment authorId="0" ref="A380">
      <text>
        <t xml:space="preserve">Danh sách mã nhánh tự động sắp xếp theo thứ tự cha–con.</t>
      </text>
    </comment>
    <comment authorId="0" ref="A347">
      <text>
        <t xml:space="preserve">Danh sách mã nhánh tự động sắp xếp theo thứ tự cha–con.</t>
      </text>
    </comment>
    <comment authorId="0" ref="A314">
      <text>
        <t xml:space="preserve">Danh sách mã nhánh tự động sắp xếp theo thứ tự cha–con.</t>
      </text>
    </comment>
    <comment authorId="0" ref="A281">
      <text>
        <t xml:space="preserve">Danh sách mã nhánh tự động sắp xếp theo thứ tự cha–con.</t>
      </text>
    </comment>
    <comment authorId="0" ref="A248">
      <text>
        <t xml:space="preserve">Danh sách mã nhánh tự động sắp xếp theo thứ tự cha–con.</t>
      </text>
    </comment>
    <comment authorId="0" ref="A215">
      <text>
        <t xml:space="preserve">Danh sách mã nhánh tự động sắp xếp theo thứ tự cha–con.</t>
      </text>
    </comment>
    <comment authorId="0" ref="A182">
      <text>
        <t xml:space="preserve">Danh sách mã nhánh tự động sắp xếp theo thứ tự cha–con.</t>
      </text>
    </comment>
    <comment authorId="0" ref="A149">
      <text>
        <t xml:space="preserve">Danh sách mã nhánh tự động sắp xếp theo thứ tự cha–con.</t>
      </text>
    </comment>
    <comment authorId="0" ref="A116">
      <text>
        <t xml:space="preserve">Danh sách mã nhánh tự động sắp xếp theo thứ tự cha–con.</t>
      </text>
    </comment>
    <comment authorId="0" ref="A83">
      <text>
        <t xml:space="preserve">Danh sách mã nhánh tự động sắp xếp theo thứ tự cha–con.</t>
      </text>
    </comment>
    <comment authorId="0" ref="A50">
      <text>
        <t xml:space="preserve">Danh sách mã nhánh tự động sắp xếp theo thứ tự cha–con.</t>
      </text>
    </comment>
    <comment authorId="0" ref="A678">
      <text>
        <t xml:space="preserve">Danh sách mã nhánh tự động sắp xếp theo thứ tự cha–con.</t>
      </text>
    </comment>
    <comment authorId="0" ref="A645">
      <text>
        <t xml:space="preserve">Danh sách mã nhánh tự động sắp xếp theo thứ tự cha–con.</t>
      </text>
    </comment>
    <comment authorId="0" ref="A612">
      <text>
        <t xml:space="preserve">Danh sách mã nhánh tự động sắp xếp theo thứ tự cha–con.</t>
      </text>
    </comment>
    <comment authorId="0" ref="A579">
      <text>
        <t xml:space="preserve">Danh sách mã nhánh tự động sắp xếp theo thứ tự cha–con.</t>
      </text>
    </comment>
    <comment authorId="0" ref="A546">
      <text>
        <t xml:space="preserve">Danh sách mã nhánh tự động sắp xếp theo thứ tự cha–con.</t>
      </text>
    </comment>
    <comment authorId="0" ref="A513">
      <text>
        <t xml:space="preserve">Danh sách mã nhánh tự động sắp xếp theo thứ tự cha–con.</t>
      </text>
    </comment>
    <comment authorId="0" ref="A480">
      <text>
        <t xml:space="preserve">Danh sách mã nhánh tự động sắp xếp theo thứ tự cha–con.</t>
      </text>
    </comment>
    <comment authorId="0" ref="A447">
      <text>
        <t xml:space="preserve">Danh sách mã nhánh tự động sắp xếp theo thứ tự cha–con.</t>
      </text>
    </comment>
    <comment authorId="0" ref="A414">
      <text>
        <t xml:space="preserve">Danh sách mã nhánh tự động sắp xếp theo thứ tự cha–con.</t>
      </text>
    </comment>
    <comment authorId="0" ref="A381">
      <text>
        <t xml:space="preserve">Danh sách mã nhánh tự động sắp xếp theo thứ tự cha–con.</t>
      </text>
    </comment>
    <comment authorId="0" ref="A348">
      <text>
        <t xml:space="preserve">Danh sách mã nhánh tự động sắp xếp theo thứ tự cha–con.</t>
      </text>
    </comment>
    <comment authorId="0" ref="A315">
      <text>
        <t xml:space="preserve">Danh sách mã nhánh tự động sắp xếp theo thứ tự cha–con.</t>
      </text>
    </comment>
    <comment authorId="0" ref="A282">
      <text>
        <t xml:space="preserve">Danh sách mã nhánh tự động sắp xếp theo thứ tự cha–con.</t>
      </text>
    </comment>
    <comment authorId="0" ref="A249">
      <text>
        <t xml:space="preserve">Danh sách mã nhánh tự động sắp xếp theo thứ tự cha–con.</t>
      </text>
    </comment>
    <comment authorId="0" ref="A216">
      <text>
        <t xml:space="preserve">Danh sách mã nhánh tự động sắp xếp theo thứ tự cha–con.</t>
      </text>
    </comment>
    <comment authorId="0" ref="A183">
      <text>
        <t xml:space="preserve">Danh sách mã nhánh tự động sắp xếp theo thứ tự cha–con.</t>
      </text>
    </comment>
    <comment authorId="0" ref="A150">
      <text>
        <t xml:space="preserve">Danh sách mã nhánh tự động sắp xếp theo thứ tự cha–con.</t>
      </text>
    </comment>
    <comment authorId="0" ref="A117">
      <text>
        <t xml:space="preserve">Danh sách mã nhánh tự động sắp xếp theo thứ tự cha–con.</t>
      </text>
    </comment>
    <comment authorId="0" ref="A84">
      <text>
        <t xml:space="preserve">Danh sách mã nhánh tự động sắp xếp theo thứ tự cha–con.</t>
      </text>
    </comment>
    <comment authorId="0" ref="A51">
      <text>
        <t xml:space="preserve">Danh sách mã nhánh tự động sắp xếp theo thứ tự cha–con.</t>
      </text>
    </comment>
    <comment authorId="0" ref="A679">
      <text>
        <t xml:space="preserve">Danh sách mã nhánh tự động sắp xếp theo thứ tự cha–con.</t>
      </text>
    </comment>
    <comment authorId="0" ref="A646">
      <text>
        <t xml:space="preserve">Danh sách mã nhánh tự động sắp xếp theo thứ tự cha–con.</t>
      </text>
    </comment>
    <comment authorId="0" ref="A613">
      <text>
        <t xml:space="preserve">Danh sách mã nhánh tự động sắp xếp theo thứ tự cha–con.</t>
      </text>
    </comment>
    <comment authorId="0" ref="A580">
      <text>
        <t xml:space="preserve">Danh sách mã nhánh tự động sắp xếp theo thứ tự cha–con.</t>
      </text>
    </comment>
    <comment authorId="0" ref="A547">
      <text>
        <t xml:space="preserve">Danh sách mã nhánh tự động sắp xếp theo thứ tự cha–con.</t>
      </text>
    </comment>
    <comment authorId="0" ref="A514">
      <text>
        <t xml:space="preserve">Danh sách mã nhánh tự động sắp xếp theo thứ tự cha–con.</t>
      </text>
    </comment>
    <comment authorId="0" ref="A481">
      <text>
        <t xml:space="preserve">Danh sách mã nhánh tự động sắp xếp theo thứ tự cha–con.</t>
      </text>
    </comment>
    <comment authorId="0" ref="A448">
      <text>
        <t xml:space="preserve">Danh sách mã nhánh tự động sắp xếp theo thứ tự cha–con.</t>
      </text>
    </comment>
    <comment authorId="0" ref="A415">
      <text>
        <t xml:space="preserve">Danh sách mã nhánh tự động sắp xếp theo thứ tự cha–con.</t>
      </text>
    </comment>
    <comment authorId="0" ref="A382">
      <text>
        <t xml:space="preserve">Danh sách mã nhánh tự động sắp xếp theo thứ tự cha–con.</t>
      </text>
    </comment>
    <comment authorId="0" ref="A349">
      <text>
        <t xml:space="preserve">Danh sách mã nhánh tự động sắp xếp theo thứ tự cha–con.</t>
      </text>
    </comment>
    <comment authorId="0" ref="A316">
      <text>
        <t xml:space="preserve">Danh sách mã nhánh tự động sắp xếp theo thứ tự cha–con.</t>
      </text>
    </comment>
    <comment authorId="0" ref="A283">
      <text>
        <t xml:space="preserve">Danh sách mã nhánh tự động sắp xếp theo thứ tự cha–con.</t>
      </text>
    </comment>
    <comment authorId="0" ref="A250">
      <text>
        <t xml:space="preserve">Danh sách mã nhánh tự động sắp xếp theo thứ tự cha–con.</t>
      </text>
    </comment>
    <comment authorId="0" ref="A217">
      <text>
        <t xml:space="preserve">Danh sách mã nhánh tự động sắp xếp theo thứ tự cha–con.</t>
      </text>
    </comment>
    <comment authorId="0" ref="A184">
      <text>
        <t xml:space="preserve">Danh sách mã nhánh tự động sắp xếp theo thứ tự cha–con.</t>
      </text>
    </comment>
    <comment authorId="0" ref="A151">
      <text>
        <t xml:space="preserve">Danh sách mã nhánh tự động sắp xếp theo thứ tự cha–con.</t>
      </text>
    </comment>
    <comment authorId="0" ref="A118">
      <text>
        <t xml:space="preserve">Danh sách mã nhánh tự động sắp xếp theo thứ tự cha–con.</t>
      </text>
    </comment>
    <comment authorId="0" ref="A85">
      <text>
        <t xml:space="preserve">Danh sách mã nhánh tự động sắp xếp theo thứ tự cha–con.</t>
      </text>
    </comment>
    <comment authorId="0" ref="A52">
      <text>
        <t xml:space="preserve">Danh sách mã nhánh tự động sắp xếp theo thứ tự cha–con.</t>
      </text>
    </comment>
    <comment authorId="0" ref="A680">
      <text>
        <t xml:space="preserve">Danh sách mã nhánh tự động sắp xếp theo thứ tự cha–con.</t>
      </text>
    </comment>
    <comment authorId="0" ref="A647">
      <text>
        <t xml:space="preserve">Danh sách mã nhánh tự động sắp xếp theo thứ tự cha–con.</t>
      </text>
    </comment>
    <comment authorId="0" ref="A614">
      <text>
        <t xml:space="preserve">Danh sách mã nhánh tự động sắp xếp theo thứ tự cha–con.</t>
      </text>
    </comment>
    <comment authorId="0" ref="A581">
      <text>
        <t xml:space="preserve">Danh sách mã nhánh tự động sắp xếp theo thứ tự cha–con.</t>
      </text>
    </comment>
    <comment authorId="0" ref="A548">
      <text>
        <t xml:space="preserve">Danh sách mã nhánh tự động sắp xếp theo thứ tự cha–con.</t>
      </text>
    </comment>
    <comment authorId="0" ref="A515">
      <text>
        <t xml:space="preserve">Danh sách mã nhánh tự động sắp xếp theo thứ tự cha–con.</t>
      </text>
    </comment>
    <comment authorId="0" ref="A482">
      <text>
        <t xml:space="preserve">Danh sách mã nhánh tự động sắp xếp theo thứ tự cha–con.</t>
      </text>
    </comment>
    <comment authorId="0" ref="A449">
      <text>
        <t xml:space="preserve">Danh sách mã nhánh tự động sắp xếp theo thứ tự cha–con.</t>
      </text>
    </comment>
    <comment authorId="0" ref="A416">
      <text>
        <t xml:space="preserve">Danh sách mã nhánh tự động sắp xếp theo thứ tự cha–con.</t>
      </text>
    </comment>
    <comment authorId="0" ref="A383">
      <text>
        <t xml:space="preserve">Danh sách mã nhánh tự động sắp xếp theo thứ tự cha–con.</t>
      </text>
    </comment>
    <comment authorId="0" ref="A350">
      <text>
        <t xml:space="preserve">Danh sách mã nhánh tự động sắp xếp theo thứ tự cha–con.</t>
      </text>
    </comment>
    <comment authorId="0" ref="A317">
      <text>
        <t xml:space="preserve">Danh sách mã nhánh tự động sắp xếp theo thứ tự cha–con.</t>
      </text>
    </comment>
    <comment authorId="0" ref="A284">
      <text>
        <t xml:space="preserve">Danh sách mã nhánh tự động sắp xếp theo thứ tự cha–con.</t>
      </text>
    </comment>
    <comment authorId="0" ref="A251">
      <text>
        <t xml:space="preserve">Danh sách mã nhánh tự động sắp xếp theo thứ tự cha–con.</t>
      </text>
    </comment>
    <comment authorId="0" ref="A218">
      <text>
        <t xml:space="preserve">Danh sách mã nhánh tự động sắp xếp theo thứ tự cha–con.</t>
      </text>
    </comment>
    <comment authorId="0" ref="A185">
      <text>
        <t xml:space="preserve">Danh sách mã nhánh tự động sắp xếp theo thứ tự cha–con.</t>
      </text>
    </comment>
    <comment authorId="0" ref="A152">
      <text>
        <t xml:space="preserve">Danh sách mã nhánh tự động sắp xếp theo thứ tự cha–con.</t>
      </text>
    </comment>
    <comment authorId="0" ref="A119">
      <text>
        <t xml:space="preserve">Danh sách mã nhánh tự động sắp xếp theo thứ tự cha–con.</t>
      </text>
    </comment>
    <comment authorId="0" ref="A86">
      <text>
        <t xml:space="preserve">Danh sách mã nhánh tự động sắp xếp theo thứ tự cha–con.</t>
      </text>
    </comment>
    <comment authorId="0" ref="A53">
      <text>
        <t xml:space="preserve">Danh sách mã nhánh tự động sắp xếp theo thứ tự cha–con.</t>
      </text>
    </comment>
    <comment authorId="0" ref="A681">
      <text>
        <t xml:space="preserve">Danh sách mã nhánh tự động sắp xếp theo thứ tự cha–con.</t>
      </text>
    </comment>
    <comment authorId="0" ref="A648">
      <text>
        <t xml:space="preserve">Danh sách mã nhánh tự động sắp xếp theo thứ tự cha–con.</t>
      </text>
    </comment>
    <comment authorId="0" ref="A615">
      <text>
        <t xml:space="preserve">Danh sách mã nhánh tự động sắp xếp theo thứ tự cha–con.</t>
      </text>
    </comment>
    <comment authorId="0" ref="A582">
      <text>
        <t xml:space="preserve">Danh sách mã nhánh tự động sắp xếp theo thứ tự cha–con.</t>
      </text>
    </comment>
    <comment authorId="0" ref="A549">
      <text>
        <t xml:space="preserve">Danh sách mã nhánh tự động sắp xếp theo thứ tự cha–con.</t>
      </text>
    </comment>
    <comment authorId="0" ref="A516">
      <text>
        <t xml:space="preserve">Danh sách mã nhánh tự động sắp xếp theo thứ tự cha–con.</t>
      </text>
    </comment>
    <comment authorId="0" ref="A483">
      <text>
        <t xml:space="preserve">Danh sách mã nhánh tự động sắp xếp theo thứ tự cha–con.</t>
      </text>
    </comment>
    <comment authorId="0" ref="A450">
      <text>
        <t xml:space="preserve">Danh sách mã nhánh tự động sắp xếp theo thứ tự cha–con.</t>
      </text>
    </comment>
    <comment authorId="0" ref="A417">
      <text>
        <t xml:space="preserve">Danh sách mã nhánh tự động sắp xếp theo thứ tự cha–con.</t>
      </text>
    </comment>
    <comment authorId="0" ref="A384">
      <text>
        <t xml:space="preserve">Danh sách mã nhánh tự động sắp xếp theo thứ tự cha–con.</t>
      </text>
    </comment>
    <comment authorId="0" ref="A351">
      <text>
        <t xml:space="preserve">Danh sách mã nhánh tự động sắp xếp theo thứ tự cha–con.</t>
      </text>
    </comment>
    <comment authorId="0" ref="A318">
      <text>
        <t xml:space="preserve">Danh sách mã nhánh tự động sắp xếp theo thứ tự cha–con.</t>
      </text>
    </comment>
    <comment authorId="0" ref="A285">
      <text>
        <t xml:space="preserve">Danh sách mã nhánh tự động sắp xếp theo thứ tự cha–con.</t>
      </text>
    </comment>
    <comment authorId="0" ref="A252">
      <text>
        <t xml:space="preserve">Danh sách mã nhánh tự động sắp xếp theo thứ tự cha–con.</t>
      </text>
    </comment>
    <comment authorId="0" ref="A219">
      <text>
        <t xml:space="preserve">Danh sách mã nhánh tự động sắp xếp theo thứ tự cha–con.</t>
      </text>
    </comment>
    <comment authorId="0" ref="A186">
      <text>
        <t xml:space="preserve">Danh sách mã nhánh tự động sắp xếp theo thứ tự cha–con.</t>
      </text>
    </comment>
    <comment authorId="0" ref="A153">
      <text>
        <t xml:space="preserve">Danh sách mã nhánh tự động sắp xếp theo thứ tự cha–con.</t>
      </text>
    </comment>
    <comment authorId="0" ref="A120">
      <text>
        <t xml:space="preserve">Danh sách mã nhánh tự động sắp xếp theo thứ tự cha–con.</t>
      </text>
    </comment>
    <comment authorId="0" ref="A87">
      <text>
        <t xml:space="preserve">Danh sách mã nhánh tự động sắp xếp theo thứ tự cha–con.</t>
      </text>
    </comment>
    <comment authorId="0" ref="A54">
      <text>
        <t xml:space="preserve">Danh sách mã nhánh tự động sắp xếp theo thứ tự cha–con.</t>
      </text>
    </comment>
    <comment authorId="0" ref="A21">
      <text>
        <t xml:space="preserve">Cây bắt đầu từ L3. Thụt lề và ký hiệu L3→L6 thể hiện quan hệ cha, con, cháu và chắt.</t>
      </text>
    </comment>
    <comment authorId="0" ref="A682">
      <text>
        <t xml:space="preserve">Danh sách mã nhánh tự động sắp xếp theo thứ tự cha–con.</t>
      </text>
    </comment>
    <comment authorId="0" ref="A649">
      <text>
        <t xml:space="preserve">Danh sách mã nhánh tự động sắp xếp theo thứ tự cha–con.</t>
      </text>
    </comment>
    <comment authorId="0" ref="A616">
      <text>
        <t xml:space="preserve">Danh sách mã nhánh tự động sắp xếp theo thứ tự cha–con.</t>
      </text>
    </comment>
    <comment authorId="0" ref="A583">
      <text>
        <t xml:space="preserve">Danh sách mã nhánh tự động sắp xếp theo thứ tự cha–con.</t>
      </text>
    </comment>
    <comment authorId="0" ref="A550">
      <text>
        <t xml:space="preserve">Danh sách mã nhánh tự động sắp xếp theo thứ tự cha–con.</t>
      </text>
    </comment>
    <comment authorId="0" ref="A517">
      <text>
        <t xml:space="preserve">Danh sách mã nhánh tự động sắp xếp theo thứ tự cha–con.</t>
      </text>
    </comment>
    <comment authorId="0" ref="A484">
      <text>
        <t xml:space="preserve">Danh sách mã nhánh tự động sắp xếp theo thứ tự cha–con.</t>
      </text>
    </comment>
    <comment authorId="0" ref="A451">
      <text>
        <t xml:space="preserve">Danh sách mã nhánh tự động sắp xếp theo thứ tự cha–con.</t>
      </text>
    </comment>
    <comment authorId="0" ref="A418">
      <text>
        <t xml:space="preserve">Danh sách mã nhánh tự động sắp xếp theo thứ tự cha–con.</t>
      </text>
    </comment>
    <comment authorId="0" ref="A385">
      <text>
        <t xml:space="preserve">Danh sách mã nhánh tự động sắp xếp theo thứ tự cha–con.</t>
      </text>
    </comment>
    <comment authorId="0" ref="A352">
      <text>
        <t xml:space="preserve">Danh sách mã nhánh tự động sắp xếp theo thứ tự cha–con.</t>
      </text>
    </comment>
    <comment authorId="0" ref="A319">
      <text>
        <t xml:space="preserve">Danh sách mã nhánh tự động sắp xếp theo thứ tự cha–con.</t>
      </text>
    </comment>
    <comment authorId="0" ref="A286">
      <text>
        <t xml:space="preserve">Danh sách mã nhánh tự động sắp xếp theo thứ tự cha–con.</t>
      </text>
    </comment>
    <comment authorId="0" ref="A253">
      <text>
        <t xml:space="preserve">Danh sách mã nhánh tự động sắp xếp theo thứ tự cha–con.</t>
      </text>
    </comment>
    <comment authorId="0" ref="A220">
      <text>
        <t xml:space="preserve">Danh sách mã nhánh tự động sắp xếp theo thứ tự cha–con.</t>
      </text>
    </comment>
    <comment authorId="0" ref="A187">
      <text>
        <t xml:space="preserve">Danh sách mã nhánh tự động sắp xếp theo thứ tự cha–con.</t>
      </text>
    </comment>
    <comment authorId="0" ref="A154">
      <text>
        <t xml:space="preserve">Danh sách mã nhánh tự động sắp xếp theo thứ tự cha–con.</t>
      </text>
    </comment>
    <comment authorId="0" ref="A121">
      <text>
        <t xml:space="preserve">Danh sách mã nhánh tự động sắp xếp theo thứ tự cha–con.</t>
      </text>
    </comment>
    <comment authorId="0" ref="A88">
      <text>
        <t xml:space="preserve">Danh sách mã nhánh tự động sắp xếp theo thứ tự cha–con.</t>
      </text>
    </comment>
    <comment authorId="0" ref="A55">
      <text>
        <t xml:space="preserve">Danh sách mã nhánh tự động sắp xếp theo thứ tự cha–con.</t>
      </text>
    </comment>
    <comment authorId="0" ref="A22">
      <text>
        <t xml:space="preserve">Chuỗi mã cha–con dùng để kiểm tra quan hệ phân cấp và truy vết dữ liệu nguồn.</t>
      </text>
    </comment>
    <comment authorId="0" ref="B22">
      <text>
        <t xml:space="preserve">Dấu ◆ là L3; độ thụt dòng và ký hiệu nhánh thể hiện các cấp L4, L5 và L6.</t>
      </text>
    </comment>
    <comment authorId="0" ref="F22">
      <text>
        <t xml:space="preserve">Bấm vào tên nút để chuyển tới đúng dòng trong sheet Lớp 3, Lớp 4, Lớp 5 hoặc Lớp 6.</t>
      </text>
    </comment>
    <comment authorId="0" ref="L22">
      <text>
        <t xml:space="preserve">Địa chỉ của dòng dữ liệu gốc. Dùng để truy về sheet nhập liệu khi cần sửa hoặc xem chi tiết.</t>
      </text>
    </comment>
    <comment authorId="0" ref="A683">
      <text>
        <t xml:space="preserve">Danh sách mã nhánh tự động sắp xếp theo thứ tự cha–con.</t>
      </text>
    </comment>
    <comment authorId="0" ref="A650">
      <text>
        <t xml:space="preserve">Danh sách mã nhánh tự động sắp xếp theo thứ tự cha–con.</t>
      </text>
    </comment>
    <comment authorId="0" ref="N22">
      <text>
        <t xml:space="preserve">Kết quả kiểm tra mức giờ phân bổ có đủ để hoàn thành đúng hạn hay không.</t>
      </text>
    </comment>
    <comment authorId="0" ref="A617">
      <text>
        <t xml:space="preserve">Danh sách mã nhánh tự động sắp xếp theo thứ tự cha–con.</t>
      </text>
    </comment>
    <comment authorId="0" ref="A584">
      <text>
        <t xml:space="preserve">Danh sách mã nhánh tự động sắp xếp theo thứ tự cha–con.</t>
      </text>
    </comment>
    <comment authorId="0" ref="P22">
      <text>
        <t xml:space="preserve">Cột này cho biết vấn đề quản trị cần xử lý như thiếu người, quá tải hoặc cần theo dõi ở cấp thấp hơn.</t>
      </text>
    </comment>
    <comment authorId="0" ref="A551">
      <text>
        <t xml:space="preserve">Danh sách mã nhánh tự động sắp xếp theo thứ tự cha–con.</t>
      </text>
    </comment>
    <comment authorId="0" ref="Q22">
      <text>
        <t xml:space="preserve">Địa chỉ truy vết về sheet và dòng dữ liệu gốc. Môi trường hiện tại chặn hàm HYPERLINK; địa chỉ được hiển thị chính xác để người dùng mở nhanh bằng Name Box hoặc Ctrl+G.</t>
      </text>
    </comment>
    <comment authorId="0" ref="A518">
      <text>
        <t xml:space="preserve">Danh sách mã nhánh tự động sắp xếp theo thứ tự cha–con.</t>
      </text>
    </comment>
    <comment authorId="0" ref="A485">
      <text>
        <t xml:space="preserve">Danh sách mã nhánh tự động sắp xếp theo thứ tự cha–con.</t>
      </text>
    </comment>
    <comment authorId="0" ref="A452">
      <text>
        <t xml:space="preserve">Danh sách mã nhánh tự động sắp xếp theo thứ tự cha–con.</t>
      </text>
    </comment>
    <comment authorId="0" ref="A419">
      <text>
        <t xml:space="preserve">Danh sách mã nhánh tự động sắp xếp theo thứ tự cha–con.</t>
      </text>
    </comment>
    <comment authorId="0" ref="A386">
      <text>
        <t xml:space="preserve">Danh sách mã nhánh tự động sắp xếp theo thứ tự cha–con.</t>
      </text>
    </comment>
    <comment authorId="0" ref="A353">
      <text>
        <t xml:space="preserve">Danh sách mã nhánh tự động sắp xếp theo thứ tự cha–con.</t>
      </text>
    </comment>
    <comment authorId="0" ref="A320">
      <text>
        <t xml:space="preserve">Danh sách mã nhánh tự động sắp xếp theo thứ tự cha–con.</t>
      </text>
    </comment>
    <comment authorId="0" ref="A287">
      <text>
        <t xml:space="preserve">Danh sách mã nhánh tự động sắp xếp theo thứ tự cha–con.</t>
      </text>
    </comment>
    <comment authorId="0" ref="A254">
      <text>
        <t xml:space="preserve">Danh sách mã nhánh tự động sắp xếp theo thứ tự cha–con.</t>
      </text>
    </comment>
    <comment authorId="0" ref="A221">
      <text>
        <t xml:space="preserve">Danh sách mã nhánh tự động sắp xếp theo thứ tự cha–con.</t>
      </text>
    </comment>
    <comment authorId="0" ref="A188">
      <text>
        <t xml:space="preserve">Danh sách mã nhánh tự động sắp xếp theo thứ tự cha–con.</t>
      </text>
    </comment>
    <comment authorId="0" ref="A155">
      <text>
        <t xml:space="preserve">Danh sách mã nhánh tự động sắp xếp theo thứ tự cha–con.</t>
      </text>
    </comment>
    <comment authorId="0" ref="A122">
      <text>
        <t xml:space="preserve">Danh sách mã nhánh tự động sắp xếp theo thứ tự cha–con.</t>
      </text>
    </comment>
    <comment authorId="0" ref="A89">
      <text>
        <t xml:space="preserve">Danh sách mã nhánh tự động sắp xếp theo thứ tự cha–con.</t>
      </text>
    </comment>
    <comment authorId="0" ref="A56">
      <text>
        <t xml:space="preserve">Danh sách mã nhánh tự động sắp xếp theo thứ tự cha–con.</t>
      </text>
    </comment>
    <comment authorId="0" ref="A23">
      <text>
        <t xml:space="preserve">Danh sách mã nhánh tự động sắp xếp theo thứ tự cha–con.</t>
      </text>
    </comment>
    <comment authorId="0" ref="A684">
      <text>
        <t xml:space="preserve">Danh sách mã nhánh tự động sắp xếp theo thứ tự cha–con.</t>
      </text>
    </comment>
    <comment authorId="0" ref="A651">
      <text>
        <t xml:space="preserve">Danh sách mã nhánh tự động sắp xếp theo thứ tự cha–con.</t>
      </text>
    </comment>
    <comment authorId="0" ref="A618">
      <text>
        <t xml:space="preserve">Danh sách mã nhánh tự động sắp xếp theo thứ tự cha–con.</t>
      </text>
    </comment>
    <comment authorId="0" ref="A585">
      <text>
        <t xml:space="preserve">Danh sách mã nhánh tự động sắp xếp theo thứ tự cha–con.</t>
      </text>
    </comment>
    <comment authorId="0" ref="A552">
      <text>
        <t xml:space="preserve">Danh sách mã nhánh tự động sắp xếp theo thứ tự cha–con.</t>
      </text>
    </comment>
    <comment authorId="0" ref="A519">
      <text>
        <t xml:space="preserve">Danh sách mã nhánh tự động sắp xếp theo thứ tự cha–con.</t>
      </text>
    </comment>
    <comment authorId="0" ref="A486">
      <text>
        <t xml:space="preserve">Danh sách mã nhánh tự động sắp xếp theo thứ tự cha–con.</t>
      </text>
    </comment>
    <comment authorId="0" ref="A453">
      <text>
        <t xml:space="preserve">Danh sách mã nhánh tự động sắp xếp theo thứ tự cha–con.</t>
      </text>
    </comment>
    <comment authorId="0" ref="A420">
      <text>
        <t xml:space="preserve">Danh sách mã nhánh tự động sắp xếp theo thứ tự cha–con.</t>
      </text>
    </comment>
    <comment authorId="0" ref="A387">
      <text>
        <t xml:space="preserve">Danh sách mã nhánh tự động sắp xếp theo thứ tự cha–con.</t>
      </text>
    </comment>
    <comment authorId="0" ref="A354">
      <text>
        <t xml:space="preserve">Danh sách mã nhánh tự động sắp xếp theo thứ tự cha–con.</t>
      </text>
    </comment>
    <comment authorId="0" ref="A321">
      <text>
        <t xml:space="preserve">Danh sách mã nhánh tự động sắp xếp theo thứ tự cha–con.</t>
      </text>
    </comment>
    <comment authorId="0" ref="A288">
      <text>
        <t xml:space="preserve">Danh sách mã nhánh tự động sắp xếp theo thứ tự cha–con.</t>
      </text>
    </comment>
    <comment authorId="0" ref="A255">
      <text>
        <t xml:space="preserve">Danh sách mã nhánh tự động sắp xếp theo thứ tự cha–con.</t>
      </text>
    </comment>
    <comment authorId="0" ref="A222">
      <text>
        <t xml:space="preserve">Danh sách mã nhánh tự động sắp xếp theo thứ tự cha–con.</t>
      </text>
    </comment>
    <comment authorId="0" ref="A189">
      <text>
        <t xml:space="preserve">Danh sách mã nhánh tự động sắp xếp theo thứ tự cha–con.</t>
      </text>
    </comment>
    <comment authorId="0" ref="A156">
      <text>
        <t xml:space="preserve">Danh sách mã nhánh tự động sắp xếp theo thứ tự cha–con.</t>
      </text>
    </comment>
    <comment authorId="0" ref="A123">
      <text>
        <t xml:space="preserve">Danh sách mã nhánh tự động sắp xếp theo thứ tự cha–con.</t>
      </text>
    </comment>
    <comment authorId="0" ref="A90">
      <text>
        <t xml:space="preserve">Danh sách mã nhánh tự động sắp xếp theo thứ tự cha–con.</t>
      </text>
    </comment>
    <comment authorId="0" ref="A57">
      <text>
        <t xml:space="preserve">Danh sách mã nhánh tự động sắp xếp theo thứ tự cha–con.</t>
      </text>
    </comment>
    <comment authorId="0" ref="A24">
      <text>
        <t xml:space="preserve">Danh sách mã nhánh tự động sắp xếp theo thứ tự cha–con.</t>
      </text>
    </comment>
    <comment authorId="0" ref="A685">
      <text>
        <t xml:space="preserve">Danh sách mã nhánh tự động sắp xếp theo thứ tự cha–con.</t>
      </text>
    </comment>
    <comment authorId="0" ref="A652">
      <text>
        <t xml:space="preserve">Danh sách mã nhánh tự động sắp xếp theo thứ tự cha–con.</t>
      </text>
    </comment>
    <comment authorId="0" ref="A619">
      <text>
        <t xml:space="preserve">Danh sách mã nhánh tự động sắp xếp theo thứ tự cha–con.</t>
      </text>
    </comment>
    <comment authorId="0" ref="A586">
      <text>
        <t xml:space="preserve">Danh sách mã nhánh tự động sắp xếp theo thứ tự cha–con.</t>
      </text>
    </comment>
    <comment authorId="0" ref="A553">
      <text>
        <t xml:space="preserve">Danh sách mã nhánh tự động sắp xếp theo thứ tự cha–con.</t>
      </text>
    </comment>
    <comment authorId="0" ref="A520">
      <text>
        <t xml:space="preserve">Danh sách mã nhánh tự động sắp xếp theo thứ tự cha–con.</t>
      </text>
    </comment>
    <comment authorId="0" ref="A487">
      <text>
        <t xml:space="preserve">Danh sách mã nhánh tự động sắp xếp theo thứ tự cha–con.</t>
      </text>
    </comment>
    <comment authorId="0" ref="A454">
      <text>
        <t xml:space="preserve">Danh sách mã nhánh tự động sắp xếp theo thứ tự cha–con.</t>
      </text>
    </comment>
    <comment authorId="0" ref="A421">
      <text>
        <t xml:space="preserve">Danh sách mã nhánh tự động sắp xếp theo thứ tự cha–con.</t>
      </text>
    </comment>
    <comment authorId="0" ref="A388">
      <text>
        <t xml:space="preserve">Danh sách mã nhánh tự động sắp xếp theo thứ tự cha–con.</t>
      </text>
    </comment>
    <comment authorId="0" ref="A355">
      <text>
        <t xml:space="preserve">Danh sách mã nhánh tự động sắp xếp theo thứ tự cha–con.</t>
      </text>
    </comment>
    <comment authorId="0" ref="A322">
      <text>
        <t xml:space="preserve">Danh sách mã nhánh tự động sắp xếp theo thứ tự cha–con.</t>
      </text>
    </comment>
    <comment authorId="0" ref="A289">
      <text>
        <t xml:space="preserve">Danh sách mã nhánh tự động sắp xếp theo thứ tự cha–con.</t>
      </text>
    </comment>
    <comment authorId="0" ref="A256">
      <text>
        <t xml:space="preserve">Danh sách mã nhánh tự động sắp xếp theo thứ tự cha–con.</t>
      </text>
    </comment>
    <comment authorId="0" ref="A223">
      <text>
        <t xml:space="preserve">Danh sách mã nhánh tự động sắp xếp theo thứ tự cha–con.</t>
      </text>
    </comment>
    <comment authorId="0" ref="A190">
      <text>
        <t xml:space="preserve">Danh sách mã nhánh tự động sắp xếp theo thứ tự cha–con.</t>
      </text>
    </comment>
    <comment authorId="0" ref="A157">
      <text>
        <t xml:space="preserve">Danh sách mã nhánh tự động sắp xếp theo thứ tự cha–con.</t>
      </text>
    </comment>
    <comment authorId="0" ref="A124">
      <text>
        <t xml:space="preserve">Danh sách mã nhánh tự động sắp xếp theo thứ tự cha–con.</t>
      </text>
    </comment>
    <comment authorId="0" ref="A91">
      <text>
        <t xml:space="preserve">Danh sách mã nhánh tự động sắp xếp theo thứ tự cha–con.</t>
      </text>
    </comment>
    <comment authorId="0" ref="A58">
      <text>
        <t xml:space="preserve">Danh sách mã nhánh tự động sắp xếp theo thứ tự cha–con.</t>
      </text>
    </comment>
    <comment authorId="0" ref="A25">
      <text>
        <t xml:space="preserve">Danh sách mã nhánh tự động sắp xếp theo thứ tự cha–con.</t>
      </text>
    </comment>
    <comment authorId="0" ref="A686">
      <text>
        <t xml:space="preserve">Danh sách mã nhánh tự động sắp xếp theo thứ tự cha–con.</t>
      </text>
    </comment>
    <comment authorId="0" ref="A653">
      <text>
        <t xml:space="preserve">Danh sách mã nhánh tự động sắp xếp theo thứ tự cha–con.</t>
      </text>
    </comment>
    <comment authorId="0" ref="A620">
      <text>
        <t xml:space="preserve">Danh sách mã nhánh tự động sắp xếp theo thứ tự cha–con.</t>
      </text>
    </comment>
    <comment authorId="0" ref="A587">
      <text>
        <t xml:space="preserve">Danh sách mã nhánh tự động sắp xếp theo thứ tự cha–con.</t>
      </text>
    </comment>
    <comment authorId="0" ref="A554">
      <text>
        <t xml:space="preserve">Danh sách mã nhánh tự động sắp xếp theo thứ tự cha–con.</t>
      </text>
    </comment>
    <comment authorId="0" ref="A521">
      <text>
        <t xml:space="preserve">Danh sách mã nhánh tự động sắp xếp theo thứ tự cha–con.</t>
      </text>
    </comment>
    <comment authorId="0" ref="A488">
      <text>
        <t xml:space="preserve">Danh sách mã nhánh tự động sắp xếp theo thứ tự cha–con.</t>
      </text>
    </comment>
    <comment authorId="0" ref="A455">
      <text>
        <t xml:space="preserve">Danh sách mã nhánh tự động sắp xếp theo thứ tự cha–con.</t>
      </text>
    </comment>
    <comment authorId="0" ref="A422">
      <text>
        <t xml:space="preserve">Danh sách mã nhánh tự động sắp xếp theo thứ tự cha–con.</t>
      </text>
    </comment>
    <comment authorId="0" ref="A389">
      <text>
        <t xml:space="preserve">Danh sách mã nhánh tự động sắp xếp theo thứ tự cha–con.</t>
      </text>
    </comment>
    <comment authorId="0" ref="A356">
      <text>
        <t xml:space="preserve">Danh sách mã nhánh tự động sắp xếp theo thứ tự cha–con.</t>
      </text>
    </comment>
    <comment authorId="0" ref="A323">
      <text>
        <t xml:space="preserve">Danh sách mã nhánh tự động sắp xếp theo thứ tự cha–con.</t>
      </text>
    </comment>
    <comment authorId="0" ref="A290">
      <text>
        <t xml:space="preserve">Danh sách mã nhánh tự động sắp xếp theo thứ tự cha–con.</t>
      </text>
    </comment>
    <comment authorId="0" ref="A257">
      <text>
        <t xml:space="preserve">Danh sách mã nhánh tự động sắp xếp theo thứ tự cha–con.</t>
      </text>
    </comment>
    <comment authorId="0" ref="A224">
      <text>
        <t xml:space="preserve">Danh sách mã nhánh tự động sắp xếp theo thứ tự cha–con.</t>
      </text>
    </comment>
    <comment authorId="0" ref="A191">
      <text>
        <t xml:space="preserve">Danh sách mã nhánh tự động sắp xếp theo thứ tự cha–con.</t>
      </text>
    </comment>
    <comment authorId="0" ref="A158">
      <text>
        <t xml:space="preserve">Danh sách mã nhánh tự động sắp xếp theo thứ tự cha–con.</t>
      </text>
    </comment>
    <comment authorId="0" ref="A125">
      <text>
        <t xml:space="preserve">Danh sách mã nhánh tự động sắp xếp theo thứ tự cha–con.</t>
      </text>
    </comment>
    <comment authorId="0" ref="A92">
      <text>
        <t xml:space="preserve">Danh sách mã nhánh tự động sắp xếp theo thứ tự cha–con.</t>
      </text>
    </comment>
    <comment authorId="0" ref="A59">
      <text>
        <t xml:space="preserve">Danh sách mã nhánh tự động sắp xếp theo thứ tự cha–con.</t>
      </text>
    </comment>
    <comment authorId="0" ref="A26">
      <text>
        <t xml:space="preserve">Danh sách mã nhánh tự động sắp xếp theo thứ tự cha–con.</t>
      </text>
    </comment>
    <comment authorId="0" ref="A687">
      <text>
        <t xml:space="preserve">Danh sách mã nhánh tự động sắp xếp theo thứ tự cha–con.</t>
      </text>
    </comment>
    <comment authorId="0" ref="A654">
      <text>
        <t xml:space="preserve">Danh sách mã nhánh tự động sắp xếp theo thứ tự cha–con.</t>
      </text>
    </comment>
    <comment authorId="0" ref="A621">
      <text>
        <t xml:space="preserve">Danh sách mã nhánh tự động sắp xếp theo thứ tự cha–con.</t>
      </text>
    </comment>
    <comment authorId="0" ref="A588">
      <text>
        <t xml:space="preserve">Danh sách mã nhánh tự động sắp xếp theo thứ tự cha–con.</t>
      </text>
    </comment>
    <comment authorId="0" ref="A555">
      <text>
        <t xml:space="preserve">Danh sách mã nhánh tự động sắp xếp theo thứ tự cha–con.</t>
      </text>
    </comment>
    <comment authorId="0" ref="A522">
      <text>
        <t xml:space="preserve">Danh sách mã nhánh tự động sắp xếp theo thứ tự cha–con.</t>
      </text>
    </comment>
    <comment authorId="0" ref="A489">
      <text>
        <t xml:space="preserve">Danh sách mã nhánh tự động sắp xếp theo thứ tự cha–con.</t>
      </text>
    </comment>
    <comment authorId="0" ref="A456">
      <text>
        <t xml:space="preserve">Danh sách mã nhánh tự động sắp xếp theo thứ tự cha–con.</t>
      </text>
    </comment>
    <comment authorId="0" ref="A423">
      <text>
        <t xml:space="preserve">Danh sách mã nhánh tự động sắp xếp theo thứ tự cha–con.</t>
      </text>
    </comment>
    <comment authorId="0" ref="A390">
      <text>
        <t xml:space="preserve">Danh sách mã nhánh tự động sắp xếp theo thứ tự cha–con.</t>
      </text>
    </comment>
    <comment authorId="0" ref="A357">
      <text>
        <t xml:space="preserve">Danh sách mã nhánh tự động sắp xếp theo thứ tự cha–con.</t>
      </text>
    </comment>
    <comment authorId="0" ref="A324">
      <text>
        <t xml:space="preserve">Danh sách mã nhánh tự động sắp xếp theo thứ tự cha–con.</t>
      </text>
    </comment>
    <comment authorId="0" ref="A291">
      <text>
        <t xml:space="preserve">Danh sách mã nhánh tự động sắp xếp theo thứ tự cha–con.</t>
      </text>
    </comment>
    <comment authorId="0" ref="A258">
      <text>
        <t xml:space="preserve">Danh sách mã nhánh tự động sắp xếp theo thứ tự cha–con.</t>
      </text>
    </comment>
    <comment authorId="0" ref="A225">
      <text>
        <t xml:space="preserve">Danh sách mã nhánh tự động sắp xếp theo thứ tự cha–con.</t>
      </text>
    </comment>
    <comment authorId="0" ref="A192">
      <text>
        <t xml:space="preserve">Danh sách mã nhánh tự động sắp xếp theo thứ tự cha–con.</t>
      </text>
    </comment>
    <comment authorId="0" ref="A159">
      <text>
        <t xml:space="preserve">Danh sách mã nhánh tự động sắp xếp theo thứ tự cha–con.</t>
      </text>
    </comment>
    <comment authorId="0" ref="A126">
      <text>
        <t xml:space="preserve">Danh sách mã nhánh tự động sắp xếp theo thứ tự cha–con.</t>
      </text>
    </comment>
    <comment authorId="0" ref="A93">
      <text>
        <t xml:space="preserve">Danh sách mã nhánh tự động sắp xếp theo thứ tự cha–con.</t>
      </text>
    </comment>
    <comment authorId="0" ref="A60">
      <text>
        <t xml:space="preserve">Danh sách mã nhánh tự động sắp xếp theo thứ tự cha–con.</t>
      </text>
    </comment>
    <comment authorId="0" ref="A27">
      <text>
        <t xml:space="preserve">Danh sách mã nhánh tự động sắp xếp theo thứ tự cha–con.</t>
      </text>
    </comment>
    <comment authorId="0" ref="A688">
      <text>
        <t xml:space="preserve">Danh sách mã nhánh tự động sắp xếp theo thứ tự cha–con.</t>
      </text>
    </comment>
    <comment authorId="0" ref="A655">
      <text>
        <t xml:space="preserve">Danh sách mã nhánh tự động sắp xếp theo thứ tự cha–con.</t>
      </text>
    </comment>
    <comment authorId="0" ref="A622">
      <text>
        <t xml:space="preserve">Danh sách mã nhánh tự động sắp xếp theo thứ tự cha–con.</t>
      </text>
    </comment>
    <comment authorId="0" ref="A589">
      <text>
        <t xml:space="preserve">Danh sách mã nhánh tự động sắp xếp theo thứ tự cha–con.</t>
      </text>
    </comment>
    <comment authorId="0" ref="A556">
      <text>
        <t xml:space="preserve">Danh sách mã nhánh tự động sắp xếp theo thứ tự cha–con.</t>
      </text>
    </comment>
    <comment authorId="0" ref="A523">
      <text>
        <t xml:space="preserve">Danh sách mã nhánh tự động sắp xếp theo thứ tự cha–con.</t>
      </text>
    </comment>
    <comment authorId="0" ref="A490">
      <text>
        <t xml:space="preserve">Danh sách mã nhánh tự động sắp xếp theo thứ tự cha–con.</t>
      </text>
    </comment>
    <comment authorId="0" ref="A457">
      <text>
        <t xml:space="preserve">Danh sách mã nhánh tự động sắp xếp theo thứ tự cha–con.</t>
      </text>
    </comment>
    <comment authorId="0" ref="A424">
      <text>
        <t xml:space="preserve">Danh sách mã nhánh tự động sắp xếp theo thứ tự cha–con.</t>
      </text>
    </comment>
    <comment authorId="0" ref="A391">
      <text>
        <t xml:space="preserve">Danh sách mã nhánh tự động sắp xếp theo thứ tự cha–con.</t>
      </text>
    </comment>
    <comment authorId="0" ref="A358">
      <text>
        <t xml:space="preserve">Danh sách mã nhánh tự động sắp xếp theo thứ tự cha–con.</t>
      </text>
    </comment>
    <comment authorId="0" ref="A325">
      <text>
        <t xml:space="preserve">Danh sách mã nhánh tự động sắp xếp theo thứ tự cha–con.</t>
      </text>
    </comment>
    <comment authorId="0" ref="A292">
      <text>
        <t xml:space="preserve">Danh sách mã nhánh tự động sắp xếp theo thứ tự cha–con.</t>
      </text>
    </comment>
    <comment authorId="0" ref="A259">
      <text>
        <t xml:space="preserve">Danh sách mã nhánh tự động sắp xếp theo thứ tự cha–con.</t>
      </text>
    </comment>
    <comment authorId="0" ref="A226">
      <text>
        <t xml:space="preserve">Danh sách mã nhánh tự động sắp xếp theo thứ tự cha–con.</t>
      </text>
    </comment>
    <comment authorId="0" ref="A193">
      <text>
        <t xml:space="preserve">Danh sách mã nhánh tự động sắp xếp theo thứ tự cha–con.</t>
      </text>
    </comment>
    <comment authorId="0" ref="A160">
      <text>
        <t xml:space="preserve">Danh sách mã nhánh tự động sắp xếp theo thứ tự cha–con.</t>
      </text>
    </comment>
    <comment authorId="0" ref="A127">
      <text>
        <t xml:space="preserve">Danh sách mã nhánh tự động sắp xếp theo thứ tự cha–con.</t>
      </text>
    </comment>
    <comment authorId="0" ref="A94">
      <text>
        <t xml:space="preserve">Danh sách mã nhánh tự động sắp xếp theo thứ tự cha–con.</t>
      </text>
    </comment>
    <comment authorId="0" ref="A61">
      <text>
        <t xml:space="preserve">Danh sách mã nhánh tự động sắp xếp theo thứ tự cha–con.</t>
      </text>
    </comment>
    <comment authorId="0" ref="A28">
      <text>
        <t xml:space="preserve">Danh sách mã nhánh tự động sắp xếp theo thứ tự cha–con.</t>
      </text>
    </comment>
    <comment authorId="0" ref="A689">
      <text>
        <t xml:space="preserve">Danh sách mã nhánh tự động sắp xếp theo thứ tự cha–con.</t>
      </text>
    </comment>
    <comment authorId="0" ref="A656">
      <text>
        <t xml:space="preserve">Danh sách mã nhánh tự động sắp xếp theo thứ tự cha–con.</t>
      </text>
    </comment>
    <comment authorId="0" ref="A623">
      <text>
        <t xml:space="preserve">Danh sách mã nhánh tự động sắp xếp theo thứ tự cha–con.</t>
      </text>
    </comment>
    <comment authorId="0" ref="A590">
      <text>
        <t xml:space="preserve">Danh sách mã nhánh tự động sắp xếp theo thứ tự cha–con.</t>
      </text>
    </comment>
    <comment authorId="0" ref="A557">
      <text>
        <t xml:space="preserve">Danh sách mã nhánh tự động sắp xếp theo thứ tự cha–con.</t>
      </text>
    </comment>
    <comment authorId="0" ref="A524">
      <text>
        <t xml:space="preserve">Danh sách mã nhánh tự động sắp xếp theo thứ tự cha–con.</t>
      </text>
    </comment>
    <comment authorId="0" ref="A491">
      <text>
        <t xml:space="preserve">Danh sách mã nhánh tự động sắp xếp theo thứ tự cha–con.</t>
      </text>
    </comment>
    <comment authorId="0" ref="A458">
      <text>
        <t xml:space="preserve">Danh sách mã nhánh tự động sắp xếp theo thứ tự cha–con.</t>
      </text>
    </comment>
    <comment authorId="0" ref="A425">
      <text>
        <t xml:space="preserve">Danh sách mã nhánh tự động sắp xếp theo thứ tự cha–con.</t>
      </text>
    </comment>
    <comment authorId="0" ref="A392">
      <text>
        <t xml:space="preserve">Danh sách mã nhánh tự động sắp xếp theo thứ tự cha–con.</t>
      </text>
    </comment>
    <comment authorId="0" ref="A359">
      <text>
        <t xml:space="preserve">Danh sách mã nhánh tự động sắp xếp theo thứ tự cha–con.</t>
      </text>
    </comment>
    <comment authorId="0" ref="A326">
      <text>
        <t xml:space="preserve">Danh sách mã nhánh tự động sắp xếp theo thứ tự cha–con.</t>
      </text>
    </comment>
    <comment authorId="0" ref="A293">
      <text>
        <t xml:space="preserve">Danh sách mã nhánh tự động sắp xếp theo thứ tự cha–con.</t>
      </text>
    </comment>
    <comment authorId="0" ref="A260">
      <text>
        <t xml:space="preserve">Danh sách mã nhánh tự động sắp xếp theo thứ tự cha–con.</t>
      </text>
    </comment>
    <comment authorId="0" ref="A227">
      <text>
        <t xml:space="preserve">Danh sách mã nhánh tự động sắp xếp theo thứ tự cha–con.</t>
      </text>
    </comment>
    <comment authorId="0" ref="A194">
      <text>
        <t xml:space="preserve">Danh sách mã nhánh tự động sắp xếp theo thứ tự cha–con.</t>
      </text>
    </comment>
    <comment authorId="0" ref="A161">
      <text>
        <t xml:space="preserve">Danh sách mã nhánh tự động sắp xếp theo thứ tự cha–con.</t>
      </text>
    </comment>
    <comment authorId="0" ref="A128">
      <text>
        <t xml:space="preserve">Danh sách mã nhánh tự động sắp xếp theo thứ tự cha–con.</t>
      </text>
    </comment>
    <comment authorId="0" ref="A95">
      <text>
        <t xml:space="preserve">Danh sách mã nhánh tự động sắp xếp theo thứ tự cha–con.</t>
      </text>
    </comment>
    <comment authorId="0" ref="A62">
      <text>
        <t xml:space="preserve">Danh sách mã nhánh tự động sắp xếp theo thứ tự cha–con.</t>
      </text>
    </comment>
    <comment authorId="0" ref="A29">
      <text>
        <t xml:space="preserve">Danh sách mã nhánh tự động sắp xếp theo thứ tự cha–con.</t>
      </text>
    </comment>
    <comment authorId="0" ref="A690">
      <text>
        <t xml:space="preserve">Danh sách mã nhánh tự động sắp xếp theo thứ tự cha–con.</t>
      </text>
    </comment>
    <comment authorId="0" ref="A657">
      <text>
        <t xml:space="preserve">Danh sách mã nhánh tự động sắp xếp theo thứ tự cha–con.</t>
      </text>
    </comment>
    <comment authorId="0" ref="A624">
      <text>
        <t xml:space="preserve">Danh sách mã nhánh tự động sắp xếp theo thứ tự cha–con.</t>
      </text>
    </comment>
    <comment authorId="0" ref="A591">
      <text>
        <t xml:space="preserve">Danh sách mã nhánh tự động sắp xếp theo thứ tự cha–con.</t>
      </text>
    </comment>
    <comment authorId="0" ref="A558">
      <text>
        <t xml:space="preserve">Danh sách mã nhánh tự động sắp xếp theo thứ tự cha–con.</t>
      </text>
    </comment>
    <comment authorId="0" ref="A525">
      <text>
        <t xml:space="preserve">Danh sách mã nhánh tự động sắp xếp theo thứ tự cha–con.</t>
      </text>
    </comment>
    <comment authorId="0" ref="A492">
      <text>
        <t xml:space="preserve">Danh sách mã nhánh tự động sắp xếp theo thứ tự cha–con.</t>
      </text>
    </comment>
    <comment authorId="0" ref="A459">
      <text>
        <t xml:space="preserve">Danh sách mã nhánh tự động sắp xếp theo thứ tự cha–con.</t>
      </text>
    </comment>
    <comment authorId="0" ref="A426">
      <text>
        <t xml:space="preserve">Danh sách mã nhánh tự động sắp xếp theo thứ tự cha–con.</t>
      </text>
    </comment>
    <comment authorId="0" ref="A393">
      <text>
        <t xml:space="preserve">Danh sách mã nhánh tự động sắp xếp theo thứ tự cha–con.</t>
      </text>
    </comment>
    <comment authorId="0" ref="A360">
      <text>
        <t xml:space="preserve">Danh sách mã nhánh tự động sắp xếp theo thứ tự cha–con.</t>
      </text>
    </comment>
    <comment authorId="0" ref="A327">
      <text>
        <t xml:space="preserve">Danh sách mã nhánh tự động sắp xếp theo thứ tự cha–con.</t>
      </text>
    </comment>
    <comment authorId="0" ref="A294">
      <text>
        <t xml:space="preserve">Danh sách mã nhánh tự động sắp xếp theo thứ tự cha–con.</t>
      </text>
    </comment>
    <comment authorId="0" ref="A261">
      <text>
        <t xml:space="preserve">Danh sách mã nhánh tự động sắp xếp theo thứ tự cha–con.</t>
      </text>
    </comment>
    <comment authorId="0" ref="A228">
      <text>
        <t xml:space="preserve">Danh sách mã nhánh tự động sắp xếp theo thứ tự cha–con.</t>
      </text>
    </comment>
    <comment authorId="0" ref="A195">
      <text>
        <t xml:space="preserve">Danh sách mã nhánh tự động sắp xếp theo thứ tự cha–con.</t>
      </text>
    </comment>
    <comment authorId="0" ref="A162">
      <text>
        <t xml:space="preserve">Danh sách mã nhánh tự động sắp xếp theo thứ tự cha–con.</t>
      </text>
    </comment>
    <comment authorId="0" ref="A129">
      <text>
        <t xml:space="preserve">Danh sách mã nhánh tự động sắp xếp theo thứ tự cha–con.</t>
      </text>
    </comment>
    <comment authorId="0" ref="A96">
      <text>
        <t xml:space="preserve">Danh sách mã nhánh tự động sắp xếp theo thứ tự cha–con.</t>
      </text>
    </comment>
    <comment authorId="0" ref="A63">
      <text>
        <t xml:space="preserve">Danh sách mã nhánh tự động sắp xếp theo thứ tự cha–con.</t>
      </text>
    </comment>
    <comment authorId="0" ref="A30">
      <text>
        <t xml:space="preserve">Danh sách mã nhánh tự động sắp xếp theo thứ tự cha–con.</t>
      </text>
    </comment>
    <comment authorId="0" ref="A691">
      <text>
        <t xml:space="preserve">Danh sách mã nhánh tự động sắp xếp theo thứ tự cha–con.</t>
      </text>
    </comment>
    <comment authorId="0" ref="A658">
      <text>
        <t xml:space="preserve">Danh sách mã nhánh tự động sắp xếp theo thứ tự cha–con.</t>
      </text>
    </comment>
    <comment authorId="0" ref="A625">
      <text>
        <t xml:space="preserve">Danh sách mã nhánh tự động sắp xếp theo thứ tự cha–con.</t>
      </text>
    </comment>
    <comment authorId="0" ref="A592">
      <text>
        <t xml:space="preserve">Danh sách mã nhánh tự động sắp xếp theo thứ tự cha–con.</t>
      </text>
    </comment>
    <comment authorId="0" ref="A559">
      <text>
        <t xml:space="preserve">Danh sách mã nhánh tự động sắp xếp theo thứ tự cha–con.</t>
      </text>
    </comment>
    <comment authorId="0" ref="A526">
      <text>
        <t xml:space="preserve">Danh sách mã nhánh tự động sắp xếp theo thứ tự cha–con.</t>
      </text>
    </comment>
    <comment authorId="0" ref="A493">
      <text>
        <t xml:space="preserve">Danh sách mã nhánh tự động sắp xếp theo thứ tự cha–con.</t>
      </text>
    </comment>
    <comment authorId="0" ref="A460">
      <text>
        <t xml:space="preserve">Danh sách mã nhánh tự động sắp xếp theo thứ tự cha–con.</t>
      </text>
    </comment>
    <comment authorId="0" ref="A427">
      <text>
        <t xml:space="preserve">Danh sách mã nhánh tự động sắp xếp theo thứ tự cha–con.</t>
      </text>
    </comment>
    <comment authorId="0" ref="A394">
      <text>
        <t xml:space="preserve">Danh sách mã nhánh tự động sắp xếp theo thứ tự cha–con.</t>
      </text>
    </comment>
    <comment authorId="0" ref="A361">
      <text>
        <t xml:space="preserve">Danh sách mã nhánh tự động sắp xếp theo thứ tự cha–con.</t>
      </text>
    </comment>
    <comment authorId="0" ref="A328">
      <text>
        <t xml:space="preserve">Danh sách mã nhánh tự động sắp xếp theo thứ tự cha–con.</t>
      </text>
    </comment>
    <comment authorId="0" ref="A295">
      <text>
        <t xml:space="preserve">Danh sách mã nhánh tự động sắp xếp theo thứ tự cha–con.</t>
      </text>
    </comment>
    <comment authorId="0" ref="A262">
      <text>
        <t xml:space="preserve">Danh sách mã nhánh tự động sắp xếp theo thứ tự cha–con.</t>
      </text>
    </comment>
    <comment authorId="0" ref="A229">
      <text>
        <t xml:space="preserve">Danh sách mã nhánh tự động sắp xếp theo thứ tự cha–con.</t>
      </text>
    </comment>
    <comment authorId="0" ref="A196">
      <text>
        <t xml:space="preserve">Danh sách mã nhánh tự động sắp xếp theo thứ tự cha–con.</t>
      </text>
    </comment>
    <comment authorId="0" ref="A163">
      <text>
        <t xml:space="preserve">Danh sách mã nhánh tự động sắp xếp theo thứ tự cha–con.</t>
      </text>
    </comment>
    <comment authorId="0" ref="A130">
      <text>
        <t xml:space="preserve">Danh sách mã nhánh tự động sắp xếp theo thứ tự cha–con.</t>
      </text>
    </comment>
    <comment authorId="0" ref="A97">
      <text>
        <t xml:space="preserve">Danh sách mã nhánh tự động sắp xếp theo thứ tự cha–con.</t>
      </text>
    </comment>
    <comment authorId="0" ref="A64">
      <text>
        <t xml:space="preserve">Danh sách mã nhánh tự động sắp xếp theo thứ tự cha–con.</t>
      </text>
    </comment>
    <comment authorId="0" ref="A31">
      <text>
        <t xml:space="preserve">Danh sách mã nhánh tự động sắp xếp theo thứ tự cha–con.</t>
      </text>
    </comment>
    <comment authorId="0" ref="A692">
      <text>
        <t xml:space="preserve">Danh sách mã nhánh tự động sắp xếp theo thứ tự cha–con.</t>
      </text>
    </comment>
    <comment authorId="0" ref="A659">
      <text>
        <t xml:space="preserve">Danh sách mã nhánh tự động sắp xếp theo thứ tự cha–con.</t>
      </text>
    </comment>
    <comment authorId="0" ref="A626">
      <text>
        <t xml:space="preserve">Danh sách mã nhánh tự động sắp xếp theo thứ tự cha–con.</t>
      </text>
    </comment>
    <comment authorId="0" ref="A593">
      <text>
        <t xml:space="preserve">Danh sách mã nhánh tự động sắp xếp theo thứ tự cha–con.</t>
      </text>
    </comment>
    <comment authorId="0" ref="A560">
      <text>
        <t xml:space="preserve">Danh sách mã nhánh tự động sắp xếp theo thứ tự cha–con.</t>
      </text>
    </comment>
    <comment authorId="0" ref="A527">
      <text>
        <t xml:space="preserve">Danh sách mã nhánh tự động sắp xếp theo thứ tự cha–con.</t>
      </text>
    </comment>
    <comment authorId="0" ref="A494">
      <text>
        <t xml:space="preserve">Danh sách mã nhánh tự động sắp xếp theo thứ tự cha–con.</t>
      </text>
    </comment>
    <comment authorId="0" ref="A461">
      <text>
        <t xml:space="preserve">Danh sách mã nhánh tự động sắp xếp theo thứ tự cha–con.</t>
      </text>
    </comment>
    <comment authorId="0" ref="A428">
      <text>
        <t xml:space="preserve">Danh sách mã nhánh tự động sắp xếp theo thứ tự cha–con.</t>
      </text>
    </comment>
    <comment authorId="0" ref="A395">
      <text>
        <t xml:space="preserve">Danh sách mã nhánh tự động sắp xếp theo thứ tự cha–con.</t>
      </text>
    </comment>
    <comment authorId="0" ref="A362">
      <text>
        <t xml:space="preserve">Danh sách mã nhánh tự động sắp xếp theo thứ tự cha–con.</t>
      </text>
    </comment>
    <comment authorId="0" ref="A329">
      <text>
        <t xml:space="preserve">Danh sách mã nhánh tự động sắp xếp theo thứ tự cha–con.</t>
      </text>
    </comment>
    <comment authorId="0" ref="A296">
      <text>
        <t xml:space="preserve">Danh sách mã nhánh tự động sắp xếp theo thứ tự cha–con.</t>
      </text>
    </comment>
    <comment authorId="0" ref="A263">
      <text>
        <t xml:space="preserve">Danh sách mã nhánh tự động sắp xếp theo thứ tự cha–con.</t>
      </text>
    </comment>
    <comment authorId="0" ref="A230">
      <text>
        <t xml:space="preserve">Danh sách mã nhánh tự động sắp xếp theo thứ tự cha–con.</t>
      </text>
    </comment>
    <comment authorId="0" ref="A197">
      <text>
        <t xml:space="preserve">Danh sách mã nhánh tự động sắp xếp theo thứ tự cha–con.</t>
      </text>
    </comment>
    <comment authorId="0" ref="A164">
      <text>
        <t xml:space="preserve">Danh sách mã nhánh tự động sắp xếp theo thứ tự cha–con.</t>
      </text>
    </comment>
    <comment authorId="0" ref="A131">
      <text>
        <t xml:space="preserve">Danh sách mã nhánh tự động sắp xếp theo thứ tự cha–con.</t>
      </text>
    </comment>
    <comment authorId="0" ref="A98">
      <text>
        <t xml:space="preserve">Danh sách mã nhánh tự động sắp xếp theo thứ tự cha–con.</t>
      </text>
    </comment>
    <comment authorId="0" ref="A65">
      <text>
        <t xml:space="preserve">Danh sách mã nhánh tự động sắp xếp theo thứ tự cha–con.</t>
      </text>
    </comment>
    <comment authorId="0" ref="A32">
      <text>
        <t xml:space="preserve">Danh sách mã nhánh tự động sắp xếp theo thứ tự cha–con.</t>
      </text>
    </comment>
    <comment authorId="0" ref="A693">
      <text>
        <t xml:space="preserve">Danh sách mã nhánh tự động sắp xếp theo thứ tự cha–con.</t>
      </text>
    </comment>
    <comment authorId="0" ref="A660">
      <text>
        <t xml:space="preserve">Danh sách mã nhánh tự động sắp xếp theo thứ tự cha–con.</t>
      </text>
    </comment>
    <comment authorId="0" ref="A627">
      <text>
        <t xml:space="preserve">Danh sách mã nhánh tự động sắp xếp theo thứ tự cha–con.</t>
      </text>
    </comment>
    <comment authorId="0" ref="A594">
      <text>
        <t xml:space="preserve">Danh sách mã nhánh tự động sắp xếp theo thứ tự cha–con.</t>
      </text>
    </comment>
    <comment authorId="0" ref="A561">
      <text>
        <t xml:space="preserve">Danh sách mã nhánh tự động sắp xếp theo thứ tự cha–con.</t>
      </text>
    </comment>
    <comment authorId="0" ref="A528">
      <text>
        <t xml:space="preserve">Danh sách mã nhánh tự động sắp xếp theo thứ tự cha–con.</t>
      </text>
    </comment>
    <comment authorId="0" ref="A495">
      <text>
        <t xml:space="preserve">Danh sách mã nhánh tự động sắp xếp theo thứ tự cha–con.</t>
      </text>
    </comment>
    <comment authorId="0" ref="A462">
      <text>
        <t xml:space="preserve">Danh sách mã nhánh tự động sắp xếp theo thứ tự cha–con.</t>
      </text>
    </comment>
    <comment authorId="0" ref="A429">
      <text>
        <t xml:space="preserve">Danh sách mã nhánh tự động sắp xếp theo thứ tự cha–con.</t>
      </text>
    </comment>
    <comment authorId="0" ref="A396">
      <text>
        <t xml:space="preserve">Danh sách mã nhánh tự động sắp xếp theo thứ tự cha–con.</t>
      </text>
    </comment>
    <comment authorId="0" ref="A363">
      <text>
        <t xml:space="preserve">Danh sách mã nhánh tự động sắp xếp theo thứ tự cha–con.</t>
      </text>
    </comment>
    <comment authorId="0" ref="A330">
      <text>
        <t xml:space="preserve">Danh sách mã nhánh tự động sắp xếp theo thứ tự cha–con.</t>
      </text>
    </comment>
    <comment authorId="0" ref="A297">
      <text>
        <t xml:space="preserve">Danh sách mã nhánh tự động sắp xếp theo thứ tự cha–con.</t>
      </text>
    </comment>
    <comment authorId="0" ref="A264">
      <text>
        <t xml:space="preserve">Danh sách mã nhánh tự động sắp xếp theo thứ tự cha–con.</t>
      </text>
    </comment>
    <comment authorId="0" ref="A231">
      <text>
        <t xml:space="preserve">Danh sách mã nhánh tự động sắp xếp theo thứ tự cha–con.</t>
      </text>
    </comment>
    <comment authorId="0" ref="A198">
      <text>
        <t xml:space="preserve">Danh sách mã nhánh tự động sắp xếp theo thứ tự cha–con.</t>
      </text>
    </comment>
    <comment authorId="0" ref="A165">
      <text>
        <t xml:space="preserve">Danh sách mã nhánh tự động sắp xếp theo thứ tự cha–con.</t>
      </text>
    </comment>
    <comment authorId="0" ref="A132">
      <text>
        <t xml:space="preserve">Danh sách mã nhánh tự động sắp xếp theo thứ tự cha–con.</t>
      </text>
    </comment>
    <comment authorId="0" ref="A99">
      <text>
        <t xml:space="preserve">Danh sách mã nhánh tự động sắp xếp theo thứ tự cha–con.</t>
      </text>
    </comment>
    <comment authorId="0" ref="A66">
      <text>
        <t xml:space="preserve">Danh sách mã nhánh tự động sắp xếp theo thứ tự cha–con.</t>
      </text>
    </comment>
    <comment authorId="0" ref="A33">
      <text>
        <t xml:space="preserve">Danh sách mã nhánh tự động sắp xếp theo thứ tự cha–con.</t>
      </text>
    </comment>
    <comment authorId="0" ref="A694">
      <text>
        <t xml:space="preserve">Danh sách mã nhánh tự động sắp xếp theo thứ tự cha–con.</t>
      </text>
    </comment>
    <comment authorId="0" ref="A661">
      <text>
        <t xml:space="preserve">Danh sách mã nhánh tự động sắp xếp theo thứ tự cha–con.</t>
      </text>
    </comment>
    <comment authorId="0" ref="A628">
      <text>
        <t xml:space="preserve">Danh sách mã nhánh tự động sắp xếp theo thứ tự cha–con.</t>
      </text>
    </comment>
    <comment authorId="0" ref="A595">
      <text>
        <t xml:space="preserve">Danh sách mã nhánh tự động sắp xếp theo thứ tự cha–con.</t>
      </text>
    </comment>
    <comment authorId="0" ref="A562">
      <text>
        <t xml:space="preserve">Danh sách mã nhánh tự động sắp xếp theo thứ tự cha–con.</t>
      </text>
    </comment>
    <comment authorId="0" ref="A529">
      <text>
        <t xml:space="preserve">Danh sách mã nhánh tự động sắp xếp theo thứ tự cha–con.</t>
      </text>
    </comment>
    <comment authorId="0" ref="A496">
      <text>
        <t xml:space="preserve">Danh sách mã nhánh tự động sắp xếp theo thứ tự cha–con.</t>
      </text>
    </comment>
    <comment authorId="0" ref="A463">
      <text>
        <t xml:space="preserve">Danh sách mã nhánh tự động sắp xếp theo thứ tự cha–con.</t>
      </text>
    </comment>
    <comment authorId="0" ref="A430">
      <text>
        <t xml:space="preserve">Danh sách mã nhánh tự động sắp xếp theo thứ tự cha–con.</t>
      </text>
    </comment>
    <comment authorId="0" ref="A397">
      <text>
        <t xml:space="preserve">Danh sách mã nhánh tự động sắp xếp theo thứ tự cha–con.</t>
      </text>
    </comment>
    <comment authorId="0" ref="A364">
      <text>
        <t xml:space="preserve">Danh sách mã nhánh tự động sắp xếp theo thứ tự cha–con.</t>
      </text>
    </comment>
    <comment authorId="0" ref="A331">
      <text>
        <t xml:space="preserve">Danh sách mã nhánh tự động sắp xếp theo thứ tự cha–con.</t>
      </text>
    </comment>
    <comment authorId="0" ref="A298">
      <text>
        <t xml:space="preserve">Danh sách mã nhánh tự động sắp xếp theo thứ tự cha–con.</t>
      </text>
    </comment>
    <comment authorId="0" ref="A265">
      <text>
        <t xml:space="preserve">Danh sách mã nhánh tự động sắp xếp theo thứ tự cha–con.</t>
      </text>
    </comment>
    <comment authorId="0" ref="A232">
      <text>
        <t xml:space="preserve">Danh sách mã nhánh tự động sắp xếp theo thứ tự cha–con.</t>
      </text>
    </comment>
    <comment authorId="0" ref="A199">
      <text>
        <t xml:space="preserve">Danh sách mã nhánh tự động sắp xếp theo thứ tự cha–con.</t>
      </text>
    </comment>
    <comment authorId="0" ref="A166">
      <text>
        <t xml:space="preserve">Danh sách mã nhánh tự động sắp xếp theo thứ tự cha–con.</t>
      </text>
    </comment>
    <comment authorId="0" ref="A133">
      <text>
        <t xml:space="preserve">Danh sách mã nhánh tự động sắp xếp theo thứ tự cha–con.</t>
      </text>
    </comment>
    <comment authorId="0" ref="A100">
      <text>
        <t xml:space="preserve">Danh sách mã nhánh tự động sắp xếp theo thứ tự cha–con.</t>
      </text>
    </comment>
    <comment authorId="0" ref="A67">
      <text>
        <t xml:space="preserve">Danh sách mã nhánh tự động sắp xếp theo thứ tự cha–con.</t>
      </text>
    </comment>
    <comment authorId="0" ref="A34">
      <text>
        <t xml:space="preserve">Danh sách mã nhánh tự động sắp xếp theo thứ tự cha–con.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Tổng số nhiệm vụ L5 đang có dữ liệu; không cộng trực tiếp các lớp để suy ra số công việc độc lập.</t>
      </text>
    </comment>
    <comment authorId="0" ref="I8">
      <text>
        <t xml:space="preserve">Dán đường dẫn tới thư mục, báo cáo hoặc kết quả tổng hợp tương ứng với cấp quản trị tại cột A.</t>
      </text>
    </comment>
    <comment authorId="0" ref="G5">
      <text>
        <t xml:space="preserve">Tiến độ trung bình của L3, loại trừ nhóm “Công việc khác”. Tiến độ L3 có thể được tổng hợp từ các lớp con.</t>
      </text>
    </comment>
    <comment authorId="0" ref="J8">
      <text>
        <t xml:space="preserve">Dán đường dẫn tới thư mục, báo cáo hoặc kết quả tổng hợp tương ứng với nhóm công việc tại cột F.</t>
      </text>
    </comment>
    <comment authorId="0" ref="A14">
      <text>
        <t xml:space="preserve">Nhập dữ liệu theo thứ tự L3 → L4 → L5 để các mã cha và công thức tổng hợp hoạt động đúng.</t>
      </text>
    </comment>
    <comment authorId="0" ref="A8">
      <text>
        <t xml:space="preserve">Bảng bên trái phân loại số lượng công việc theo cấp quản trị của Lớp 1.</t>
      </text>
    </comment>
    <comment authorId="0" ref="A5">
      <text>
        <t xml:space="preserve">Tổng số mã công việc L3 đang có dữ liệu.</t>
      </text>
    </comment>
    <comment authorId="0" ref="C5">
      <text>
        <t xml:space="preserve">Tổng số mã công việc L4 đang có dữ liệu; một công việc L3 có thể có nhiều L4.</t>
      </text>
    </comment>
    <comment authorId="0" ref="F8">
      <text>
        <t xml:space="preserve">Bảng bên phải phân loại L3 theo nhóm công việc BOC và hiển thị tiến độ trung bình của từng nhóm.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33">
      <text>
        <t xml:space="preserve">L4 nằm trong ngày L3 = đúng khung. L4 vượt ngày L3 = ngoài khung. Chưa có L4 hoặc thiếu ngày = chưa đủ dữ liệu.</t>
      </text>
    </comment>
    <comment authorId="0" ref="AH6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7">
      <text>
        <t xml:space="preserve">Tự động tính từ tiến độ L4. Muốn thay đổi, hãy cập nhật ở lớp chi tiết hơn.</t>
      </text>
    </comment>
    <comment authorId="0" ref="D34">
      <text>
        <t xml:space="preserve">Tự động tính từ tiến độ L4. Muốn thay đổi, hãy cập nhật ở lớp chi tiết hơn.</t>
      </text>
    </comment>
    <comment authorId="0" ref="Q67">
      <text>
        <t xml:space="preserve">Ngày kết thúc lớp cha tự mở rộng nếu có công việc lớp 4 kết thúc muộn hơn khung gốc.</t>
      </text>
    </comment>
    <comment authorId="0" ref="Q34">
      <text>
        <t xml:space="preserve">Ngày kết thúc lớp cha tự mở rộng nếu có công việc lớp 4 kết thúc muộn hơn khung gốc.</t>
      </text>
    </comment>
    <comment authorId="0" ref="R67">
      <text>
        <t xml:space="preserve">Ngày bắt đầu lớp cha tự mở rộng nếu có công việc lớp 4 bắt đầu sớm hơn khung gốc.</t>
      </text>
    </comment>
    <comment authorId="0" ref="R34">
      <text>
        <t xml:space="preserve">Ngày bắt đầu lớp cha tự mở rộng nếu có công việc lớp 4 bắt đầu sớm hơn khung gốc.</t>
      </text>
    </comment>
    <comment authorId="0" ref="AC67">
      <text>
        <t xml:space="preserve">Tự động tính từ tiến độ L4. Muốn thay đổi, hãy cập nhật ở lớp chi tiết hơn.</t>
      </text>
    </comment>
    <comment authorId="0" ref="AC34">
      <text>
        <t xml:space="preserve">Tự động tính từ tiến độ L4. Muốn thay đổi, hãy cập nhật ở lớp chi tiết hơn.</t>
      </text>
    </comment>
    <comment authorId="0" ref="AG67">
      <text>
        <t xml:space="preserve">L4 nằm trong ngày L3 = đúng khung. L4 vượt ngày L3 = ngoài khung. Chưa có L4 hoặc thiếu ngày = chưa đủ dữ liệu.</t>
      </text>
    </comment>
    <comment authorId="0" ref="AG34">
      <text>
        <t xml:space="preserve">L4 nằm trong ngày L3 = đúng khung. L4 vượt ngày L3 = ngoài khung. Chưa có L4 hoặc thiếu ngày = chưa đủ dữ liệu.</t>
      </text>
    </comment>
    <comment authorId="0" ref="AH6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8">
      <text>
        <t xml:space="preserve">Tự động tính từ tiến độ L4. Muốn thay đổi, hãy cập nhật ở lớp chi tiết hơn.</t>
      </text>
    </comment>
    <comment authorId="0" ref="D35">
      <text>
        <t xml:space="preserve">Tự động tính từ tiến độ L4. Muốn thay đổi, hãy cập nhật ở lớp chi tiết hơn.</t>
      </text>
    </comment>
    <comment authorId="0" ref="Q68">
      <text>
        <t xml:space="preserve">Ngày kết thúc lớp cha tự mở rộng nếu có công việc lớp 4 kết thúc muộn hơn khung gốc.</t>
      </text>
    </comment>
    <comment authorId="0" ref="Q35">
      <text>
        <t xml:space="preserve">Ngày kết thúc lớp cha tự mở rộng nếu có công việc lớp 4 kết thúc muộn hơn khung gốc.</t>
      </text>
    </comment>
    <comment authorId="0" ref="R68">
      <text>
        <t xml:space="preserve">Ngày bắt đầu lớp cha tự mở rộng nếu có công việc lớp 4 bắt đầu sớm hơn khung gốc.</t>
      </text>
    </comment>
    <comment authorId="0" ref="R35">
      <text>
        <t xml:space="preserve">Ngày bắt đầu lớp cha tự mở rộng nếu có công việc lớp 4 bắt đầu sớm hơn khung gốc.</t>
      </text>
    </comment>
    <comment authorId="0" ref="AC68">
      <text>
        <t xml:space="preserve">Tự động tính từ tiến độ L4. Muốn thay đổi, hãy cập nhật ở lớp chi tiết hơn.</t>
      </text>
    </comment>
    <comment authorId="0" ref="AC35">
      <text>
        <t xml:space="preserve">Tự động tính từ tiến độ L4. Muốn thay đổi, hãy cập nhật ở lớp chi tiết hơn.</t>
      </text>
    </comment>
    <comment authorId="0" ref="AG68">
      <text>
        <t xml:space="preserve">L4 nằm trong ngày L3 = đúng khung. L4 vượt ngày L3 = ngoài khung. Chưa có L4 hoặc thiếu ngày = chưa đủ dữ liệu.</t>
      </text>
    </comment>
    <comment authorId="0" ref="AG35">
      <text>
        <t xml:space="preserve">L4 nằm trong ngày L3 = đúng khung. L4 vượt ngày L3 = ngoài khung. Chưa có L4 hoặc thiếu ngày = chưa đủ dữ liệu.</t>
      </text>
    </comment>
    <comment authorId="0" ref="AH6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9">
      <text>
        <t xml:space="preserve">Tự động tính từ tiến độ L4. Muốn thay đổi, hãy cập nhật ở lớp chi tiết hơn.</t>
      </text>
    </comment>
    <comment authorId="0" ref="D36">
      <text>
        <t xml:space="preserve">Tự động tính từ tiến độ L4. Muốn thay đổi, hãy cập nhật ở lớp chi tiết hơn.</t>
      </text>
    </comment>
    <comment authorId="0" ref="Q69">
      <text>
        <t xml:space="preserve">Ngày kết thúc lớp cha tự mở rộng nếu có công việc lớp 4 kết thúc muộn hơn khung gốc.</t>
      </text>
    </comment>
    <comment authorId="0" ref="Q36">
      <text>
        <t xml:space="preserve">Ngày kết thúc lớp cha tự mở rộng nếu có công việc lớp 4 kết thúc muộn hơn khung gốc.</t>
      </text>
    </comment>
    <comment authorId="0" ref="R69">
      <text>
        <t xml:space="preserve">Ngày bắt đầu lớp cha tự mở rộng nếu có công việc lớp 4 bắt đầu sớm hơn khung gốc.</t>
      </text>
    </comment>
    <comment authorId="0" ref="R36">
      <text>
        <t xml:space="preserve">Ngày bắt đầu lớp cha tự mở rộng nếu có công việc lớp 4 bắt đầu sớm hơn khung gốc.</t>
      </text>
    </comment>
    <comment authorId="0" ref="Z3">
      <text>
        <t xml:space="preserve">Nhập một phần hoặc toàn bộ tên công việc lớp con L4.</t>
      </text>
    </comment>
    <comment authorId="0" ref="AC69">
      <text>
        <t xml:space="preserve">Tự động tính từ tiến độ L4. Muốn thay đổi, hãy cập nhật ở lớp chi tiết hơn.</t>
      </text>
    </comment>
    <comment authorId="0" ref="AC36">
      <text>
        <t xml:space="preserve">Tự động tính từ tiến độ L4. Muốn thay đổi, hãy cập nhật ở lớp chi tiết hơn.</t>
      </text>
    </comment>
    <comment authorId="0" ref="AG69">
      <text>
        <t xml:space="preserve">L4 nằm trong ngày L3 = đúng khung. L4 vượt ngày L3 = ngoài khung. Chưa có L4 hoặc thiếu ngày = chưa đủ dữ liệu.</t>
      </text>
    </comment>
    <comment authorId="0" ref="AG36">
      <text>
        <t xml:space="preserve">L4 nằm trong ngày L3 = đúng khung. L4 vượt ngày L3 = ngoài khung. Chưa có L4 hoặc thiếu ngày = chưa đủ dữ liệu.</t>
      </text>
    </comment>
    <comment authorId="0" ref="AH6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0">
      <text>
        <t xml:space="preserve">Tự động tính từ tiến độ L4. Muốn thay đổi, hãy cập nhật ở lớp chi tiết hơn.</t>
      </text>
    </comment>
    <comment authorId="0" ref="D37">
      <text>
        <t xml:space="preserve">Tự động tính từ tiến độ L4. Muốn thay đổi, hãy cập nhật ở lớp chi tiết hơn.</t>
      </text>
    </comment>
    <comment authorId="0" ref="Q70">
      <text>
        <t xml:space="preserve">Ngày kết thúc lớp cha tự mở rộng nếu có công việc lớp 4 kết thúc muộn hơn khung gốc.</t>
      </text>
    </comment>
    <comment authorId="0" ref="Q37">
      <text>
        <t xml:space="preserve">Ngày kết thúc lớp cha tự mở rộng nếu có công việc lớp 4 kết thúc muộn hơn khung gốc.</t>
      </text>
    </comment>
    <comment authorId="0" ref="R70">
      <text>
        <t xml:space="preserve">Ngày bắt đầu lớp cha tự mở rộng nếu có công việc lớp 4 bắt đầu sớm hơn khung gốc.</t>
      </text>
    </comment>
    <comment authorId="0" ref="R37">
      <text>
        <t xml:space="preserve">Ngày bắt đầu lớp cha tự mở rộng nếu có công việc lớp 4 bắt đầu sớm hơn khung gốc.</t>
      </text>
    </comment>
    <comment authorId="0" ref="AC70">
      <text>
        <t xml:space="preserve">Tự động tính từ tiến độ L4. Muốn thay đổi, hãy cập nhật ở lớp chi tiết hơn.</t>
      </text>
    </comment>
    <comment authorId="0" ref="AC37">
      <text>
        <t xml:space="preserve">Tự động tính từ tiến độ L4. Muốn thay đổi, hãy cập nhật ở lớp chi tiết hơn.</t>
      </text>
    </comment>
    <comment authorId="0" ref="AG70">
      <text>
        <t xml:space="preserve">L4 nằm trong ngày L3 = đúng khung. L4 vượt ngày L3 = ngoài khung. Chưa có L4 hoặc thiếu ngày = chưa đủ dữ liệu.</t>
      </text>
    </comment>
    <comment authorId="0" ref="AG37">
      <text>
        <t xml:space="preserve">L4 nằm trong ngày L3 = đúng khung. L4 vượt ngày L3 = ngoài khung. Chưa có L4 hoặc thiếu ngày = chưa đủ dữ liệu.</t>
      </text>
    </comment>
    <comment authorId="0" ref="AH7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1">
      <text>
        <t xml:space="preserve">Tự động tính từ tiến độ L4. Muốn thay đổi, hãy cập nhật ở lớp chi tiết hơn.</t>
      </text>
    </comment>
    <comment authorId="0" ref="D38">
      <text>
        <t xml:space="preserve">Tự động tính từ tiến độ L4. Muốn thay đổi, hãy cập nhật ở lớp chi tiết hơn.</t>
      </text>
    </comment>
    <comment authorId="0" ref="Q71">
      <text>
        <t xml:space="preserve">Ngày kết thúc lớp cha tự mở rộng nếu có công việc lớp 4 kết thúc muộn hơn khung gốc.</t>
      </text>
    </comment>
    <comment authorId="0" ref="Q38">
      <text>
        <t xml:space="preserve">Ngày kết thúc lớp cha tự mở rộng nếu có công việc lớp 4 kết thúc muộn hơn khung gốc.</t>
      </text>
    </comment>
    <comment authorId="0" ref="R71">
      <text>
        <t xml:space="preserve">Ngày bắt đầu lớp cha tự mở rộng nếu có công việc lớp 4 bắt đầu sớm hơn khung gốc.</t>
      </text>
    </comment>
    <comment authorId="0" ref="R38">
      <text>
        <t xml:space="preserve">Ngày bắt đầu lớp cha tự mở rộng nếu có công việc lớp 4 bắt đầu sớm hơn khung gốc.</t>
      </text>
    </comment>
    <comment authorId="0" ref="AC71">
      <text>
        <t xml:space="preserve">Tự động tính từ tiến độ L4. Muốn thay đổi, hãy cập nhật ở lớp chi tiết hơn.</t>
      </text>
    </comment>
    <comment authorId="0" ref="AC38">
      <text>
        <t xml:space="preserve">Tự động tính từ tiến độ L4. Muốn thay đổi, hãy cập nhật ở lớp chi tiết hơn.</t>
      </text>
    </comment>
    <comment authorId="0" ref="AG71">
      <text>
        <t xml:space="preserve">L4 nằm trong ngày L3 = đúng khung. L4 vượt ngày L3 = ngoài khung. Chưa có L4 hoặc thiếu ngày = chưa đủ dữ liệu.</t>
      </text>
    </comment>
    <comment authorId="0" ref="AG38">
      <text>
        <t xml:space="preserve">L4 nằm trong ngày L3 = đúng khung. L4 vượt ngày L3 = ngoài khung. Chưa có L4 hoặc thiếu ngày = chưa đủ dữ liệu.</t>
      </text>
    </comment>
    <comment authorId="0" ref="AH7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2">
      <text>
        <t xml:space="preserve">Tự động tính từ tiến độ L4. Muốn thay đổi, hãy cập nhật ở lớp chi tiết hơn.</t>
      </text>
    </comment>
    <comment authorId="0" ref="D39">
      <text>
        <t xml:space="preserve">Tự động tính từ tiến độ L4. Muốn thay đổi, hãy cập nhật ở lớp chi tiết hơn.</t>
      </text>
    </comment>
    <comment authorId="0" ref="Q72">
      <text>
        <t xml:space="preserve">Ngày kết thúc lớp cha tự mở rộng nếu có công việc lớp 4 kết thúc muộn hơn khung gốc.</t>
      </text>
    </comment>
    <comment authorId="0" ref="Q39">
      <text>
        <t xml:space="preserve">Ngày kết thúc lớp cha tự mở rộng nếu có công việc lớp 4 kết thúc muộn hơn khung gốc.</t>
      </text>
    </comment>
    <comment authorId="0" ref="R72">
      <text>
        <t xml:space="preserve">Ngày bắt đầu lớp cha tự mở rộng nếu có công việc lớp 4 bắt đầu sớm hơn khung gốc.</t>
      </text>
    </comment>
    <comment authorId="0" ref="R39">
      <text>
        <t xml:space="preserve">Ngày bắt đầu lớp cha tự mở rộng nếu có công việc lớp 4 bắt đầu sớm hơn khung gốc.</t>
      </text>
    </comment>
    <comment authorId="0" ref="AC72">
      <text>
        <t xml:space="preserve">Tự động tính từ tiến độ L4. Muốn thay đổi, hãy cập nhật ở lớp chi tiết hơn.</t>
      </text>
    </comment>
    <comment authorId="0" ref="AC39">
      <text>
        <t xml:space="preserve">Tự động tính từ tiến độ L4. Muốn thay đổi, hãy cập nhật ở lớp chi tiết hơn.</t>
      </text>
    </comment>
    <comment authorId="0" ref="AG72">
      <text>
        <t xml:space="preserve">L4 nằm trong ngày L3 = đúng khung. L4 vượt ngày L3 = ngoài khung. Chưa có L4 hoặc thiếu ngày = chưa đủ dữ liệu.</t>
      </text>
    </comment>
    <comment authorId="0" ref="AG39">
      <text>
        <t xml:space="preserve">L4 nằm trong ngày L3 = đúng khung. L4 vượt ngày L3 = ngoài khung. Chưa có L4 hoặc thiếu ngày = chưa đủ dữ liệu.</t>
      </text>
    </comment>
    <comment authorId="0" ref="AH7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3">
      <text>
        <t xml:space="preserve">Tự động tính từ tiến độ L4. Muốn thay đổi, hãy cập nhật ở lớp chi tiết hơn.</t>
      </text>
    </comment>
    <comment authorId="0" ref="D40">
      <text>
        <t xml:space="preserve">Tự động tính từ tiến độ L4. Muốn thay đổi, hãy cập nhật ở lớp chi tiết hơn.</t>
      </text>
    </comment>
    <comment authorId="0" ref="Q73">
      <text>
        <t xml:space="preserve">Ngày kết thúc lớp cha tự mở rộng nếu có công việc lớp 4 kết thúc muộn hơn khung gốc.</t>
      </text>
    </comment>
    <comment authorId="0" ref="Q40">
      <text>
        <t xml:space="preserve">Ngày kết thúc lớp cha tự mở rộng nếu có công việc lớp 4 kết thúc muộn hơn khung gốc.</t>
      </text>
    </comment>
    <comment authorId="0" ref="R73">
      <text>
        <t xml:space="preserve">Ngày bắt đầu lớp cha tự mở rộng nếu có công việc lớp 4 bắt đầu sớm hơn khung gốc.</t>
      </text>
    </comment>
    <comment authorId="0" ref="R40">
      <text>
        <t xml:space="preserve">Ngày bắt đầu lớp cha tự mở rộng nếu có công việc lớp 4 bắt đầu sớm hơn khung gốc.</t>
      </text>
    </comment>
    <comment authorId="0" ref="AC73">
      <text>
        <t xml:space="preserve">Tự động tính từ tiến độ L4. Muốn thay đổi, hãy cập nhật ở lớp chi tiết hơn.</t>
      </text>
    </comment>
    <comment authorId="0" ref="AC40">
      <text>
        <t xml:space="preserve">Tự động tính từ tiến độ L4. Muốn thay đổi, hãy cập nhật ở lớp chi tiết hơn.</t>
      </text>
    </comment>
    <comment authorId="0" ref="AG73">
      <text>
        <t xml:space="preserve">L4 nằm trong ngày L3 = đúng khung. L4 vượt ngày L3 = ngoài khung. Chưa có L4 hoặc thiếu ngày = chưa đủ dữ liệu.</t>
      </text>
    </comment>
    <comment authorId="0" ref="AG40">
      <text>
        <t xml:space="preserve">L4 nằm trong ngày L3 = đúng khung. L4 vượt ngày L3 = ngoài khung. Chưa có L4 hoặc thiếu ngày = chưa đủ dữ liệu.</t>
      </text>
    </comment>
    <comment authorId="0" ref="AH7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4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4">
      <text>
        <t xml:space="preserve">Tự động tính từ tiến độ L4. Muốn thay đổi, hãy cập nhật ở lớp chi tiết hơn.</t>
      </text>
    </comment>
    <comment authorId="0" ref="D41">
      <text>
        <t xml:space="preserve">Tự động tính từ tiến độ L4. Muốn thay đổi, hãy cập nhật ở lớp chi tiết hơn.</t>
      </text>
    </comment>
    <comment authorId="0" ref="Q74">
      <text>
        <t xml:space="preserve">Ngày kết thúc lớp cha tự mở rộng nếu có công việc lớp 4 kết thúc muộn hơn khung gốc.</t>
      </text>
    </comment>
    <comment authorId="0" ref="Q41">
      <text>
        <t xml:space="preserve">Ngày kết thúc lớp cha tự mở rộng nếu có công việc lớp 4 kết thúc muộn hơn khung gốc.</t>
      </text>
    </comment>
    <comment authorId="0" ref="R74">
      <text>
        <t xml:space="preserve">Ngày bắt đầu lớp cha tự mở rộng nếu có công việc lớp 4 bắt đầu sớm hơn khung gốc.</t>
      </text>
    </comment>
    <comment authorId="0" ref="R41">
      <text>
        <t xml:space="preserve">Ngày bắt đầu lớp cha tự mở rộng nếu có công việc lớp 4 bắt đầu sớm hơn khung gốc.</t>
      </text>
    </comment>
    <comment authorId="0" ref="AC74">
      <text>
        <t xml:space="preserve">Tự động tính từ tiến độ L4. Muốn thay đổi, hãy cập nhật ở lớp chi tiết hơn.</t>
      </text>
    </comment>
    <comment authorId="0" ref="AC41">
      <text>
        <t xml:space="preserve">Tự động tính từ tiến độ L4. Muốn thay đổi, hãy cập nhật ở lớp chi tiết hơn.</t>
      </text>
    </comment>
    <comment authorId="0" ref="AG74">
      <text>
        <t xml:space="preserve">L4 nằm trong ngày L3 = đúng khung. L4 vượt ngày L3 = ngoài khung. Chưa có L4 hoặc thiếu ngày = chưa đủ dữ liệu.</t>
      </text>
    </comment>
    <comment authorId="0" ref="AG41">
      <text>
        <t xml:space="preserve">L4 nằm trong ngày L3 = đúng khung. L4 vượt ngày L3 = ngoài khung. Chưa có L4 hoặc thiếu ngày = chưa đủ dữ liệu.</t>
      </text>
    </comment>
    <comment authorId="0" ref="AH7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4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5">
      <text>
        <t xml:space="preserve">Tự động tính từ tiến độ L4. Muốn thay đổi, hãy cập nhật ở lớp chi tiết hơn.</t>
      </text>
    </comment>
    <comment authorId="0" ref="D42">
      <text>
        <t xml:space="preserve">Tự động tính từ tiến độ L4. Muốn thay đổi, hãy cập nhật ở lớp chi tiết hơn.</t>
      </text>
    </comment>
    <comment authorId="0" ref="Q75">
      <text>
        <t xml:space="preserve">Ngày kết thúc lớp cha tự mở rộng nếu có công việc lớp 4 kết thúc muộn hơn khung gốc.</t>
      </text>
    </comment>
    <comment authorId="0" ref="Q42">
      <text>
        <t xml:space="preserve">Ngày kết thúc lớp cha tự mở rộng nếu có công việc lớp 4 kết thúc muộn hơn khung gốc.</t>
      </text>
    </comment>
    <comment authorId="0" ref="R75">
      <text>
        <t xml:space="preserve">Ngày bắt đầu lớp cha tự mở rộng nếu có công việc lớp 4 bắt đầu sớm hơn khung gốc.</t>
      </text>
    </comment>
    <comment authorId="0" ref="R42">
      <text>
        <t xml:space="preserve">Ngày bắt đầu lớp cha tự mở rộng nếu có công việc lớp 4 bắt đầu sớm hơn khung gốc.</t>
      </text>
    </comment>
    <comment authorId="0" ref="AC75">
      <text>
        <t xml:space="preserve">Tự động tính từ tiến độ L4. Muốn thay đổi, hãy cập nhật ở lớp chi tiết hơn.</t>
      </text>
    </comment>
    <comment authorId="0" ref="AC42">
      <text>
        <t xml:space="preserve">Tự động tính từ tiến độ L4. Muốn thay đổi, hãy cập nhật ở lớp chi tiết hơn.</t>
      </text>
    </comment>
    <comment authorId="0" ref="AG75">
      <text>
        <t xml:space="preserve">L4 nằm trong ngày L3 = đúng khung. L4 vượt ngày L3 = ngoài khung. Chưa có L4 hoặc thiếu ngày = chưa đủ dữ liệu.</t>
      </text>
    </comment>
    <comment authorId="0" ref="AG42">
      <text>
        <t xml:space="preserve">L4 nằm trong ngày L3 = đúng khung. L4 vượt ngày L3 = ngoài khung. Chưa có L4 hoặc thiếu ngày = chưa đủ dữ liệu.</t>
      </text>
    </comment>
    <comment authorId="0" ref="AH7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4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6">
      <text>
        <t xml:space="preserve">Tự động tính từ tiến độ L4. Muốn thay đổi, hãy cập nhật ở lớp chi tiết hơn.</t>
      </text>
    </comment>
    <comment authorId="0" ref="D43">
      <text>
        <t xml:space="preserve">Tự động tính từ tiến độ L4. Muốn thay đổi, hãy cập nhật ở lớp chi tiết hơn.</t>
      </text>
    </comment>
    <comment authorId="0" ref="Q76">
      <text>
        <t xml:space="preserve">Ngày kết thúc lớp cha tự mở rộng nếu có công việc lớp 4 kết thúc muộn hơn khung gốc.</t>
      </text>
    </comment>
    <comment authorId="0" ref="Q43">
      <text>
        <t xml:space="preserve">Ngày kết thúc lớp cha tự mở rộng nếu có công việc lớp 4 kết thúc muộn hơn khung gốc.</t>
      </text>
    </comment>
    <comment authorId="0" ref="R76">
      <text>
        <t xml:space="preserve">Ngày bắt đầu lớp cha tự mở rộng nếu có công việc lớp 4 bắt đầu sớm hơn khung gốc.</t>
      </text>
    </comment>
    <comment authorId="0" ref="R43">
      <text>
        <t xml:space="preserve">Ngày bắt đầu lớp cha tự mở rộng nếu có công việc lớp 4 bắt đầu sớm hơn khung gốc.</t>
      </text>
    </comment>
    <comment authorId="0" ref="AC76">
      <text>
        <t xml:space="preserve">Tự động tính từ tiến độ L4. Muốn thay đổi, hãy cập nhật ở lớp chi tiết hơn.</t>
      </text>
    </comment>
    <comment authorId="0" ref="AC43">
      <text>
        <t xml:space="preserve">Tự động tính từ tiến độ L4. Muốn thay đổi, hãy cập nhật ở lớp chi tiết hơn.</t>
      </text>
    </comment>
    <comment authorId="0" ref="AG76">
      <text>
        <t xml:space="preserve">L4 nằm trong ngày L3 = đúng khung. L4 vượt ngày L3 = ngoài khung. Chưa có L4 hoặc thiếu ngày = chưa đủ dữ liệu.</t>
      </text>
    </comment>
    <comment authorId="0" ref="AG43">
      <text>
        <t xml:space="preserve">L4 nằm trong ngày L3 = đúng khung. L4 vượt ngày L3 = ngoài khung. Chưa có L4 hoặc thiếu ngày = chưa đủ dữ liệu.</t>
      </text>
    </comment>
    <comment authorId="0" ref="AH7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4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7">
      <text>
        <t xml:space="preserve">Tự động tính từ tiến độ L4. Muốn thay đổi, hãy cập nhật ở lớp chi tiết hơn.</t>
      </text>
    </comment>
    <comment authorId="0" ref="D44">
      <text>
        <t xml:space="preserve">Tự động tính từ tiến độ L4. Muốn thay đổi, hãy cập nhật ở lớp chi tiết hơn.</t>
      </text>
    </comment>
    <comment authorId="0" ref="Q77">
      <text>
        <t xml:space="preserve">Ngày kết thúc lớp cha tự mở rộng nếu có công việc lớp 4 kết thúc muộn hơn khung gốc.</t>
      </text>
    </comment>
    <comment authorId="0" ref="Q44">
      <text>
        <t xml:space="preserve">Ngày kết thúc lớp cha tự mở rộng nếu có công việc lớp 4 kết thúc muộn hơn khung gốc.</t>
      </text>
    </comment>
    <comment authorId="0" ref="R77">
      <text>
        <t xml:space="preserve">Ngày bắt đầu lớp cha tự mở rộng nếu có công việc lớp 4 bắt đầu sớm hơn khung gốc.</t>
      </text>
    </comment>
    <comment authorId="0" ref="R44">
      <text>
        <t xml:space="preserve">Ngày bắt đầu lớp cha tự mở rộng nếu có công việc lớp 4 bắt đầu sớm hơn khung gốc.</t>
      </text>
    </comment>
    <comment authorId="0" ref="AC77">
      <text>
        <t xml:space="preserve">Tự động tính từ tiến độ L4. Muốn thay đổi, hãy cập nhật ở lớp chi tiết hơn.</t>
      </text>
    </comment>
    <comment authorId="0" ref="AC44">
      <text>
        <t xml:space="preserve">Tự động tính từ tiến độ L4. Muốn thay đổi, hãy cập nhật ở lớp chi tiết hơn.</t>
      </text>
    </comment>
    <comment authorId="0" ref="AG77">
      <text>
        <t xml:space="preserve">L4 nằm trong ngày L3 = đúng khung. L4 vượt ngày L3 = ngoài khung. Chưa có L4 hoặc thiếu ngày = chưa đủ dữ liệu.</t>
      </text>
    </comment>
    <comment authorId="0" ref="AG44">
      <text>
        <t xml:space="preserve">L4 nằm trong ngày L3 = đúng khung. L4 vượt ngày L3 = ngoài khung. Chưa có L4 hoặc thiếu ngày = chưa đủ dữ liệu.</t>
      </text>
    </comment>
    <comment authorId="0" ref="A12">
      <text>
        <t xml:space="preserve">Sheet này là báo cáo/tổng hợp. Không nhập hoặc chỉnh sửa trực tiếp tại các dòng dữ liệu.</t>
      </text>
    </comment>
    <comment authorId="0" ref="AH7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4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8">
      <text>
        <t xml:space="preserve">Tự động tính từ tiến độ L4. Muốn thay đổi, hãy cập nhật ở lớp chi tiết hơn.</t>
      </text>
    </comment>
    <comment authorId="0" ref="D45">
      <text>
        <t xml:space="preserve">Tự động tính từ tiến độ L4. Muốn thay đổi, hãy cập nhật ở lớp chi tiết hơn.</t>
      </text>
    </comment>
    <comment authorId="0" ref="Q78">
      <text>
        <t xml:space="preserve">Ngày kết thúc lớp cha tự mở rộng nếu có công việc lớp 4 kết thúc muộn hơn khung gốc.</t>
      </text>
    </comment>
    <comment authorId="0" ref="Q45">
      <text>
        <t xml:space="preserve">Ngày kết thúc lớp cha tự mở rộng nếu có công việc lớp 4 kết thúc muộn hơn khung gốc.</t>
      </text>
    </comment>
    <comment authorId="0" ref="R78">
      <text>
        <t xml:space="preserve">Ngày bắt đầu lớp cha tự mở rộng nếu có công việc lớp 4 bắt đầu sớm hơn khung gốc.</t>
      </text>
    </comment>
    <comment authorId="0" ref="R45">
      <text>
        <t xml:space="preserve">Ngày bắt đầu lớp cha tự mở rộng nếu có công việc lớp 4 bắt đầu sớm hơn khung gốc.</t>
      </text>
    </comment>
    <comment authorId="0" ref="AC78">
      <text>
        <t xml:space="preserve">Tự động tính từ tiến độ L4. Muốn thay đổi, hãy cập nhật ở lớp chi tiết hơn.</t>
      </text>
    </comment>
    <comment authorId="0" ref="AC45">
      <text>
        <t xml:space="preserve">Tự động tính từ tiến độ L4. Muốn thay đổi, hãy cập nhật ở lớp chi tiết hơn.</t>
      </text>
    </comment>
    <comment authorId="0" ref="AG78">
      <text>
        <t xml:space="preserve">L4 nằm trong ngày L3 = đúng khung. L4 vượt ngày L3 = ngoài khung. Chưa có L4 hoặc thiếu ngày = chưa đủ dữ liệu.</t>
      </text>
    </comment>
    <comment authorId="0" ref="AG45">
      <text>
        <t xml:space="preserve">L4 nằm trong ngày L3 = đúng khung. L4 vượt ngày L3 = ngoài khung. Chưa có L4 hoặc thiếu ngày = chưa đủ dữ liệu.</t>
      </text>
    </comment>
    <comment authorId="0" ref="A13">
      <text>
        <t xml:space="preserve">Số thứ tự tự động theo các dòng có tên công việc.</t>
      </text>
    </comment>
    <comment authorId="0" ref="AH7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B13">
      <text>
        <t xml:space="preserve">Màu nền và màu chữ của Tên công việc L3 được đồng bộ tự động theo Mức độ ưu tiên tại cột J cùng hàng.</t>
      </text>
    </comment>
    <comment authorId="0" ref="AH4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C13">
      <text>
        <t xml:space="preserve">Quy tắc màu ưu tiên thống nhất: P1 navy đậm (#1F3A5F), P2 teal đậm (#2F7C85), P3 teal sáng (#A8D7D4), P4 teal rất nhạt (#E7F3F2).</t>
      </text>
    </comment>
    <comment authorId="0" ref="D46">
      <text>
        <t xml:space="preserve">Tự động tính từ tiến độ L4. Muốn thay đổi, hãy cập nhật ở lớp chi tiết hơn.</t>
      </text>
    </comment>
    <comment authorId="0" ref="D13">
      <text>
        <t xml:space="preserve">Tỷ lệ tiến độ từ 0% đến 100%. Nếu có L4, hệ thống ưu tiên tổng hợp từ các công việc con.</t>
      </text>
    </comment>
    <comment authorId="0" ref="F13">
      <text>
        <t xml:space="preserve">Ngày kết thúc tự động của lớp 3. Hệ thống lấy mốc muộn hơn giữa khung gốc và các công việc lớp 4 trực thuộc.</t>
      </text>
    </comment>
    <comment authorId="0" ref="G13">
      <text>
        <t xml:space="preserve">Ngày bắt đầu tự động của lớp 3. Hệ thống lấy mốc sớm hơn giữa khung gốc và các công việc lớp 4 trực thuộc.</t>
      </text>
    </comment>
    <comment authorId="0" ref="H13">
      <text>
        <t xml:space="preserve">Có: công việc này được chia tiếp xuống Lớp 4. Không: đây là cấp thực hiện cuối của nhánh.</t>
      </text>
    </comment>
    <comment authorId="0" ref="I13">
      <text>
        <t xml:space="preserve">Mã duy nhất của công việc L3. Mã này được các lớp dưới dùng để xác định quan hệ cha–con; không đổi sau khi đã phát sinh dữ liệu con.</t>
      </text>
    </comment>
    <comment authorId="0" ref="J13">
      <text>
        <t xml:space="preserve">Năm quản trị của công việc, không nhất thiết là năm hoàn thành nếu công việc kéo dài nhiều năm.</t>
      </text>
    </comment>
    <comment authorId="0" ref="L13">
      <text>
        <t xml:space="preserve">Nhóm công việc BOC dùng để phân loại quản trị; cần chọn từ danh mục để báo cáo không bị tách nhóm.</t>
      </text>
    </comment>
    <comment authorId="0" ref="M13">
      <text>
        <t xml:space="preserve">Màu nền và màu chữ của Tên công việc L3 được đồng bộ tự động theo Mức độ ưu tiên tại cột J cùng hàng.</t>
      </text>
    </comment>
    <comment authorId="0" ref="N13">
      <text>
        <t xml:space="preserve">Quy tắc màu ưu tiên thống nhất: P1 navy đậm (#1F3A5F), P2 teal đậm (#2F7C85), P3 teal sáng (#A8D7D4), P4 teal rất nhạt (#E7F3F2).</t>
      </text>
    </comment>
    <comment authorId="0" ref="Q46">
      <text>
        <t xml:space="preserve">Ngày kết thúc lớp cha tự mở rộng nếu có công việc lớp 4 kết thúc muộn hơn khung gốc.</t>
      </text>
    </comment>
    <comment authorId="0" ref="R46">
      <text>
        <t xml:space="preserve">Ngày bắt đầu lớp cha tự mở rộng nếu có công việc lớp 4 bắt đầu sớm hơn khung gốc.</t>
      </text>
    </comment>
    <comment authorId="0" ref="Q13">
      <text>
        <t xml:space="preserve">Tự tính số ngày làm việc giữa ngày bắt đầu và kết thúc; loại Chủ nhật và các ngày trong sheet Ngày nghỉ lễ, nhưng vẫn tính thứ Bảy.</t>
      </text>
    </comment>
    <comment authorId="0" ref="R13">
      <text>
        <t xml:space="preserve">Tỷ lệ tiến độ từ 0% đến 100%. Nếu có L4, hệ thống ưu tiên tổng hợp từ các công việc con.</t>
      </text>
    </comment>
    <comment authorId="0" ref="S13">
      <text>
        <t xml:space="preserve">Số dương là số ngày làm việc còn lại; số âm là số ngày đã quá hạn; bằng 0 khi đã Hoàn thành hoặc Hủy.</t>
      </text>
    </comment>
    <comment authorId="0" ref="T13">
      <text>
        <t xml:space="preserve">Mô tả sản phẩm/kết quả có thể kiểm chứng để xác nhận công việc đã hoàn thành.</t>
      </text>
    </comment>
    <comment authorId="0" ref="U13">
      <text>
        <t xml:space="preserve">Người Lead chịu trách nhiệm điều phối hoặc phê duyệt; có thể khác người trực tiếp thực hiện.</t>
      </text>
    </comment>
    <comment authorId="0" ref="V13">
      <text>
        <t xml:space="preserve">Người trực tiếp chịu tải công việc. Trường này được dùng để tính tổng giờ/ngày theo người.</t>
      </text>
    </comment>
    <comment authorId="0" ref="Y13">
      <text>
        <t xml:space="preserve">Quy tắc màu ưu tiên thống nhất: P1 navy đậm (#1F3A5F), P2 teal đậm (#2F7C85), P3 teal sáng (#A8D7D4), P4 teal rất nhạt (#E7F3F2).</t>
      </text>
    </comment>
    <comment authorId="0" ref="AB13">
      <text>
        <t xml:space="preserve">Tự tính số ngày làm việc giữa ngày bắt đầu và kết thúc; loại Chủ nhật và các ngày trong sheet Ngày nghỉ lễ, nhưng vẫn tính thứ Bảy.</t>
      </text>
    </comment>
    <comment authorId="0" ref="AC46">
      <text>
        <t xml:space="preserve">Tự động tính từ tiến độ L4. Muốn thay đổi, hãy cập nhật ở lớp chi tiết hơn.</t>
      </text>
    </comment>
    <comment authorId="0" ref="AC13">
      <text>
        <t xml:space="preserve">Tỷ lệ tiến độ từ 0% đến 100%. Nếu có L4, hệ thống ưu tiên tổng hợp từ các công việc con.</t>
      </text>
    </comment>
    <comment authorId="0" ref="AD13">
      <text>
        <t xml:space="preserve">Số dương là số ngày làm việc còn lại; số âm là số ngày đã quá hạn; bằng 0 khi đã Hoàn thành hoặc Hủy.</t>
      </text>
    </comment>
    <comment authorId="0" ref="AE13">
      <text>
        <t xml:space="preserve">Tổng số giờ ước tính để hoàn thành toàn bộ công việc, không phải số giờ mỗi ngày.</t>
      </text>
    </comment>
    <comment authorId="0" ref="AG46">
      <text>
        <t xml:space="preserve">L4 nằm trong ngày L3 = đúng khung. L4 vượt ngày L3 = ngoài khung. Chưa có L4 hoặc thiếu ngày = chưa đủ dữ liệu.</t>
      </text>
    </comment>
    <comment authorId="0" ref="AF13">
      <text>
        <t xml:space="preserve">Số giờ công việc yêu cầu trung bình trong một ngày làm việc.</t>
      </text>
    </comment>
    <comment authorId="0" ref="AG13">
      <text>
        <t xml:space="preserve">Đối chiếu thời gian Lớp 3 với các công việc Lớp 4 bên dưới.</t>
      </text>
    </comment>
    <comment authorId="0" ref="AH4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13">
      <text>
        <t xml:space="preserve">Cảnh báo tải của người thực hiện: bình thường, cận tải hoặc quá tải.</t>
      </text>
    </comment>
    <comment authorId="0" ref="D47">
      <text>
        <t xml:space="preserve">Tự động tính từ tiến độ L4. Muốn thay đổi, hãy cập nhật ở lớp chi tiết hơn.</t>
      </text>
    </comment>
    <comment authorId="0" ref="AI13">
      <text>
        <t xml:space="preserve">Chọn cách công việc được xếp lịch: có thời hạn, định kỳ, khi phát sinh hoặc chưa xếp lịch.</t>
      </text>
    </comment>
    <comment authorId="0" ref="D14">
      <text>
        <t xml:space="preserve">Tự động tính từ tiến độ L4. Muốn thay đổi, hãy cập nhật ở lớp chi tiết hơn.</t>
      </text>
    </comment>
    <comment authorId="0" ref="AJ13">
      <text>
        <t xml:space="preserve">Tần suất lặp lại, chỉ dùng khi Loại lịch là Định kỳ.</t>
      </text>
    </comment>
    <comment authorId="0" ref="AK13">
      <text>
        <t xml:space="preserve">Ngày dự kiến kiểm tra hoặc cập nhật lại công việc.</t>
      </text>
    </comment>
    <comment authorId="0" ref="AL13">
      <text>
        <t xml:space="preserve">Ngày công việc thực sự hoàn tất; chỉ nhập khi trạng thái là Hoàn thành.</t>
      </text>
    </comment>
    <comment authorId="0" ref="AM13">
      <text>
        <t xml:space="preserve">Tháng hoàn thành thực tế, hệ thống tự xác định từ ngày hoàn thành.</t>
      </text>
    </comment>
    <comment authorId="0" ref="AN13">
      <text>
        <t xml:space="preserve">Đường dẫn tới file, báo cáo hoặc bằng chứng đầu ra cuối cùng. Nên dùng link bắt đầu bằng https://.</t>
      </text>
    </comment>
    <comment authorId="0" ref="AO13">
      <text>
        <t xml:space="preserve">Đơn vị tính cho mức phân bổ: ngày hoặc tuần.</t>
      </text>
    </comment>
    <comment authorId="0" ref="AP13">
      <text>
        <t xml:space="preserve">Số giờ dự kiến dành cho công việc trong mỗi ngày hoặc tuần.</t>
      </text>
    </comment>
    <comment authorId="0" ref="AQ13">
      <text>
        <t xml:space="preserve">Ô tự tính cho công việc L3 không có L4 đang hiệu lực. Điều kiện: Loại lịch = Có thời hạn; có Mã công việc và Khối lượng ước tính; trạng thái không phải Hoàn thành/Hủy; có tiến độ, số ngày làm việc còn lại và Đơn vị phân bổ là Ngày hoặc Tuần. Nguyên lý: Khối lượng còn lại = Khối lượng ước tính × (1 - % hoàn thành); Giờ/ngày cần = Khối lượng còn lại ÷ số ngày còn lại; nếu đơn vị là Tuần thì nhân 5.</t>
      </text>
    </comment>
    <comment authorId="0" ref="AR13">
      <text>
        <t xml:space="preserve">So sánh giờ đã phân bổ với số giờ cần thiết để kịp hạn.</t>
      </text>
    </comment>
    <comment authorId="0" ref="AS13">
      <text>
        <t xml:space="preserve">CỘT TỰ ĐỘNG — KHÔNG NHẬP DỮ LIỆU.
Cột này đối chiếu sự phù hợp giữa: Trạng thái, Ngày bắt đầu, Ngày kết thúc, % hoàn thành, Ngày hoàn thành thực tế và Đường link kết quả.
• OK: Dữ liệu hiện tại hợp lý, chưa phát hiện mâu thuẫn.
• Nếu hiện nội dung khác OK: Đó là cảnh báo cần kiểm tra và sửa theo đúng nội dung hiển thị.
Ví dụ:
- “Thiếu ngày bắt đầu/kết thúc”: cần nhập đủ ngày.
- “Ngày kết thúc trước ngày bắt đầu”: cần sửa lại thứ tự ngày.
- “Tiến độ 100% – chuyển Hoàn thành”: cần đổi trạng thái thành Hoàn thành.
- “Thiếu đường link kết quả”: công việc Hoàn thành nhưng chưa có link kết quả.
- “Quá hạn nhưng chưa bắt đầu”: ngày kết thúc đã qua nhưng trạng thái vẫn Chưa bắt đầu.</t>
      </text>
    </comment>
    <comment authorId="0" ref="AT13">
      <text>
        <t xml:space="preserve">Dán liên kết tới báo cáo, tệp hoặc kết quả đã hoàn thành.</t>
      </text>
    </comment>
    <comment authorId="0" ref="Q47">
      <text>
        <t xml:space="preserve">Ngày kết thúc lớp cha tự mở rộng nếu có công việc lớp 4 kết thúc muộn hơn khung gốc.</t>
      </text>
    </comment>
    <comment authorId="0" ref="R47">
      <text>
        <t xml:space="preserve">Ngày bắt đầu lớp cha tự mở rộng nếu có công việc lớp 4 bắt đầu sớm hơn khung gốc.</t>
      </text>
    </comment>
    <comment authorId="0" ref="Q14">
      <text>
        <t xml:space="preserve">Ngày kết thúc lớp cha tự mở rộng nếu có công việc lớp 4 kết thúc muộn hơn khung gốc.</t>
      </text>
    </comment>
    <comment authorId="0" ref="R14">
      <text>
        <t xml:space="preserve">Ngày bắt đầu lớp cha tự mở rộng nếu có công việc lớp 4 bắt đầu sớm hơn khung gốc.</t>
      </text>
    </comment>
    <comment authorId="0" ref="AC47">
      <text>
        <t xml:space="preserve">Tự động tính từ tiến độ L4. Muốn thay đổi, hãy cập nhật ở lớp chi tiết hơn.</t>
      </text>
    </comment>
    <comment authorId="0" ref="AC14">
      <text>
        <t xml:space="preserve">Tự động tính từ tiến độ L4. Muốn thay đổi, hãy cập nhật ở lớp chi tiết hơn.</t>
      </text>
    </comment>
    <comment authorId="0" ref="AG47">
      <text>
        <t xml:space="preserve">L4 nằm trong ngày L3 = đúng khung. L4 vượt ngày L3 = ngoài khung. Chưa có L4 hoặc thiếu ngày = chưa đủ dữ liệu.</t>
      </text>
    </comment>
    <comment authorId="0" ref="AF14">
      <text>
        <t xml:space="preserve">Tự động quy đổi phân bổ 3 giờ/tuần thành 0,6 giờ/ngày theo quy ước 5 ngày làm việc/tuần của mô hình.</t>
      </text>
    </comment>
    <comment authorId="0" ref="AG14">
      <text>
        <t xml:space="preserve">L4 nằm trong ngày L3 = đúng khung. L4 vượt ngày L3 = ngoài khung. Chưa có L4 hoặc thiếu ngày = chưa đủ dữ liệu.</t>
      </text>
    </comment>
    <comment authorId="0" ref="AH4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8">
      <text>
        <t xml:space="preserve">Tự động tính từ tiến độ L4. Muốn thay đổi, hãy cập nhật ở lớp chi tiết hơn.</t>
      </text>
    </comment>
    <comment authorId="0" ref="D15">
      <text>
        <t xml:space="preserve">Tự động tính từ tiến độ L4. Muốn thay đổi, hãy cập nhật ở lớp chi tiết hơn.</t>
      </text>
    </comment>
    <comment authorId="0" ref="Q48">
      <text>
        <t xml:space="preserve">Ngày kết thúc lớp cha tự mở rộng nếu có công việc lớp 4 kết thúc muộn hơn khung gốc.</t>
      </text>
    </comment>
    <comment authorId="0" ref="R48">
      <text>
        <t xml:space="preserve">Ngày bắt đầu lớp cha tự mở rộng nếu có công việc lớp 4 bắt đầu sớm hơn khung gốc.</t>
      </text>
    </comment>
    <comment authorId="0" ref="Q15">
      <text>
        <t xml:space="preserve">Ngày kết thúc lớp cha tự mở rộng nếu có công việc lớp 4 kết thúc muộn hơn khung gốc.</t>
      </text>
    </comment>
    <comment authorId="0" ref="R15">
      <text>
        <t xml:space="preserve">Ngày bắt đầu lớp cha tự mở rộng nếu có công việc lớp 4 bắt đầu sớm hơn khung gốc.</t>
      </text>
    </comment>
    <comment authorId="0" ref="AC48">
      <text>
        <t xml:space="preserve">Tự động tính từ tiến độ L4. Muốn thay đổi, hãy cập nhật ở lớp chi tiết hơn.</t>
      </text>
    </comment>
    <comment authorId="0" ref="AC15">
      <text>
        <t xml:space="preserve">Tự động tính từ tiến độ L4. Muốn thay đổi, hãy cập nhật ở lớp chi tiết hơn.</t>
      </text>
    </comment>
    <comment authorId="0" ref="AG48">
      <text>
        <t xml:space="preserve">L4 nằm trong ngày L3 = đúng khung. L4 vượt ngày L3 = ngoài khung. Chưa có L4 hoặc thiếu ngày = chưa đủ dữ liệu.</t>
      </text>
    </comment>
    <comment authorId="0" ref="AG15">
      <text>
        <t xml:space="preserve">L4 nằm trong ngày L3 = đúng khung. L4 vượt ngày L3 = ngoài khung. Chưa có L4 hoặc thiếu ngày = chưa đủ dữ liệu.</t>
      </text>
    </comment>
    <comment authorId="0" ref="AH4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9">
      <text>
        <t xml:space="preserve">Tự động tính từ tiến độ L4. Muốn thay đổi, hãy cập nhật ở lớp chi tiết hơn.</t>
      </text>
    </comment>
    <comment authorId="0" ref="D16">
      <text>
        <t xml:space="preserve">Tự động tính từ tiến độ L4. Muốn thay đổi, hãy cập nhật ở lớp chi tiết hơn.</t>
      </text>
    </comment>
    <comment authorId="0" ref="Q49">
      <text>
        <t xml:space="preserve">Ngày kết thúc lớp cha tự mở rộng nếu có công việc lớp 4 kết thúc muộn hơn khung gốc.</t>
      </text>
    </comment>
    <comment authorId="0" ref="R49">
      <text>
        <t xml:space="preserve">Ngày bắt đầu lớp cha tự mở rộng nếu có công việc lớp 4 bắt đầu sớm hơn khung gốc.</t>
      </text>
    </comment>
    <comment authorId="0" ref="Q16">
      <text>
        <t xml:space="preserve">Ngày kết thúc lớp cha tự mở rộng nếu có công việc lớp 4 kết thúc muộn hơn khung gốc.</t>
      </text>
    </comment>
    <comment authorId="0" ref="R16">
      <text>
        <t xml:space="preserve">Ngày bắt đầu lớp cha tự mở rộng nếu có công việc lớp 4 bắt đầu sớm hơn khung gốc.</t>
      </text>
    </comment>
    <comment authorId="0" ref="AC49">
      <text>
        <t xml:space="preserve">Tự động tính từ tiến độ L4. Muốn thay đổi, hãy cập nhật ở lớp chi tiết hơn.</t>
      </text>
    </comment>
    <comment authorId="0" ref="AC16">
      <text>
        <t xml:space="preserve">Tự động tính từ tiến độ L4. Muốn thay đổi, hãy cập nhật ở lớp chi tiết hơn.</t>
      </text>
    </comment>
    <comment authorId="0" ref="AG49">
      <text>
        <t xml:space="preserve">L4 nằm trong ngày L3 = đúng khung. L4 vượt ngày L3 = ngoài khung. Chưa có L4 hoặc thiếu ngày = chưa đủ dữ liệu.</t>
      </text>
    </comment>
    <comment authorId="0" ref="AG16">
      <text>
        <t xml:space="preserve">L4 nằm trong ngày L3 = đúng khung. L4 vượt ngày L3 = ngoài khung. Chưa có L4 hoặc thiếu ngày = chưa đủ dữ liệu.</t>
      </text>
    </comment>
    <comment authorId="0" ref="AH4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0">
      <text>
        <t xml:space="preserve">Tự động tính từ tiến độ L4. Muốn thay đổi, hãy cập nhật ở lớp chi tiết hơn.</t>
      </text>
    </comment>
    <comment authorId="0" ref="D17">
      <text>
        <t xml:space="preserve">Tự động tính từ tiến độ L4. Muốn thay đổi, hãy cập nhật ở lớp chi tiết hơn.</t>
      </text>
    </comment>
    <comment authorId="0" ref="Q50">
      <text>
        <t xml:space="preserve">Ngày kết thúc lớp cha tự mở rộng nếu có công việc lớp 4 kết thúc muộn hơn khung gốc.</t>
      </text>
    </comment>
    <comment authorId="0" ref="R50">
      <text>
        <t xml:space="preserve">Ngày bắt đầu lớp cha tự mở rộng nếu có công việc lớp 4 bắt đầu sớm hơn khung gốc.</t>
      </text>
    </comment>
    <comment authorId="0" ref="Q17">
      <text>
        <t xml:space="preserve">Ngày kết thúc lớp cha tự mở rộng nếu có công việc lớp 4 kết thúc muộn hơn khung gốc.</t>
      </text>
    </comment>
    <comment authorId="0" ref="R17">
      <text>
        <t xml:space="preserve">Ngày bắt đầu lớp cha tự mở rộng nếu có công việc lớp 4 bắt đầu sớm hơn khung gốc.</t>
      </text>
    </comment>
    <comment authorId="0" ref="AC50">
      <text>
        <t xml:space="preserve">Tự động tính từ tiến độ L4. Muốn thay đổi, hãy cập nhật ở lớp chi tiết hơn.</t>
      </text>
    </comment>
    <comment authorId="0" ref="AC17">
      <text>
        <t xml:space="preserve">Tự động tính từ tiến độ L4. Muốn thay đổi, hãy cập nhật ở lớp chi tiết hơn.</t>
      </text>
    </comment>
    <comment authorId="0" ref="AG50">
      <text>
        <t xml:space="preserve">L4 nằm trong ngày L3 = đúng khung. L4 vượt ngày L3 = ngoài khung. Chưa có L4 hoặc thiếu ngày = chưa đủ dữ liệu.</t>
      </text>
    </comment>
    <comment authorId="0" ref="AG17">
      <text>
        <t xml:space="preserve">L4 nằm trong ngày L3 = đúng khung. L4 vượt ngày L3 = ngoài khung. Chưa có L4 hoặc thiếu ngày = chưa đủ dữ liệu.</t>
      </text>
    </comment>
    <comment authorId="0" ref="AH5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1">
      <text>
        <t xml:space="preserve">Tự động tính từ tiến độ L4. Muốn thay đổi, hãy cập nhật ở lớp chi tiết hơn.</t>
      </text>
    </comment>
    <comment authorId="0" ref="D18">
      <text>
        <t xml:space="preserve">Tự động tính từ tiến độ L4. Muốn thay đổi, hãy cập nhật ở lớp chi tiết hơn.</t>
      </text>
    </comment>
    <comment authorId="0" ref="Q51">
      <text>
        <t xml:space="preserve">Ngày kết thúc lớp cha tự mở rộng nếu có công việc lớp 4 kết thúc muộn hơn khung gốc.</t>
      </text>
    </comment>
    <comment authorId="0" ref="R51">
      <text>
        <t xml:space="preserve">Ngày bắt đầu lớp cha tự mở rộng nếu có công việc lớp 4 bắt đầu sớm hơn khung gốc.</t>
      </text>
    </comment>
    <comment authorId="0" ref="Q18">
      <text>
        <t xml:space="preserve">Ngày kết thúc lớp cha tự mở rộng nếu có công việc lớp 4 kết thúc muộn hơn khung gốc.</t>
      </text>
    </comment>
    <comment authorId="0" ref="R18">
      <text>
        <t xml:space="preserve">Ngày bắt đầu lớp cha tự mở rộng nếu có công việc lớp 4 bắt đầu sớm hơn khung gốc.</t>
      </text>
    </comment>
    <comment authorId="0" ref="AC51">
      <text>
        <t xml:space="preserve">Tự động tính từ tiến độ L4. Muốn thay đổi, hãy cập nhật ở lớp chi tiết hơn.</t>
      </text>
    </comment>
    <comment authorId="0" ref="AC18">
      <text>
        <t xml:space="preserve">Tự động tính từ tiến độ L4. Muốn thay đổi, hãy cập nhật ở lớp chi tiết hơn.</t>
      </text>
    </comment>
    <comment authorId="0" ref="AG51">
      <text>
        <t xml:space="preserve">L4 nằm trong ngày L3 = đúng khung. L4 vượt ngày L3 = ngoài khung. Chưa có L4 hoặc thiếu ngày = chưa đủ dữ liệu.</t>
      </text>
    </comment>
    <comment authorId="0" ref="AG18">
      <text>
        <t xml:space="preserve">L4 nằm trong ngày L3 = đúng khung. L4 vượt ngày L3 = ngoài khung. Chưa có L4 hoặc thiếu ngày = chưa đủ dữ liệu.</t>
      </text>
    </comment>
    <comment authorId="0" ref="AH5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2">
      <text>
        <t xml:space="preserve">Tự động tính từ tiến độ L4. Muốn thay đổi, hãy cập nhật ở lớp chi tiết hơn.</t>
      </text>
    </comment>
    <comment authorId="0" ref="D19">
      <text>
        <t xml:space="preserve">Tự động tính từ tiến độ L4. Muốn thay đổi, hãy cập nhật ở lớp chi tiết hơn.</t>
      </text>
    </comment>
    <comment authorId="0" ref="Q52">
      <text>
        <t xml:space="preserve">Ngày kết thúc lớp cha tự mở rộng nếu có công việc lớp 4 kết thúc muộn hơn khung gốc.</t>
      </text>
    </comment>
    <comment authorId="0" ref="R52">
      <text>
        <t xml:space="preserve">Ngày bắt đầu lớp cha tự mở rộng nếu có công việc lớp 4 bắt đầu sớm hơn khung gốc.</t>
      </text>
    </comment>
    <comment authorId="0" ref="Q19">
      <text>
        <t xml:space="preserve">Ngày kết thúc lớp cha tự mở rộng nếu có công việc lớp 4 kết thúc muộn hơn khung gốc.</t>
      </text>
    </comment>
    <comment authorId="0" ref="R19">
      <text>
        <t xml:space="preserve">Ngày bắt đầu lớp cha tự mở rộng nếu có công việc lớp 4 bắt đầu sớm hơn khung gốc.</t>
      </text>
    </comment>
    <comment authorId="0" ref="AC52">
      <text>
        <t xml:space="preserve">Tự động tính từ tiến độ L4. Muốn thay đổi, hãy cập nhật ở lớp chi tiết hơn.</t>
      </text>
    </comment>
    <comment authorId="0" ref="AC19">
      <text>
        <t xml:space="preserve">Tự động tính từ tiến độ L4. Muốn thay đổi, hãy cập nhật ở lớp chi tiết hơn.</t>
      </text>
    </comment>
    <comment authorId="0" ref="AG52">
      <text>
        <t xml:space="preserve">L4 nằm trong ngày L3 = đúng khung. L4 vượt ngày L3 = ngoài khung. Chưa có L4 hoặc thiếu ngày = chưa đủ dữ liệu.</t>
      </text>
    </comment>
    <comment authorId="0" ref="AG19">
      <text>
        <t xml:space="preserve">L4 nằm trong ngày L3 = đúng khung. L4 vượt ngày L3 = ngoài khung. Chưa có L4 hoặc thiếu ngày = chưa đủ dữ liệu.</t>
      </text>
    </comment>
    <comment authorId="0" ref="AH5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3">
      <text>
        <t xml:space="preserve">Tự động tính từ tiến độ L4. Muốn thay đổi, hãy cập nhật ở lớp chi tiết hơn.</t>
      </text>
    </comment>
    <comment authorId="0" ref="D20">
      <text>
        <t xml:space="preserve">Tự động tính từ tiến độ L4. Muốn thay đổi, hãy cập nhật ở lớp chi tiết hơn.</t>
      </text>
    </comment>
    <comment authorId="0" ref="Q53">
      <text>
        <t xml:space="preserve">Ngày kết thúc lớp cha tự mở rộng nếu có công việc lớp 4 kết thúc muộn hơn khung gốc.</t>
      </text>
    </comment>
    <comment authorId="0" ref="R53">
      <text>
        <t xml:space="preserve">Ngày bắt đầu lớp cha tự mở rộng nếu có công việc lớp 4 bắt đầu sớm hơn khung gốc.</t>
      </text>
    </comment>
    <comment authorId="0" ref="Q20">
      <text>
        <t xml:space="preserve">Ngày kết thúc lớp cha tự mở rộng nếu có công việc lớp 4 kết thúc muộn hơn khung gốc.</t>
      </text>
    </comment>
    <comment authorId="0" ref="R20">
      <text>
        <t xml:space="preserve">Ngày bắt đầu lớp cha tự mở rộng nếu có công việc lớp 4 bắt đầu sớm hơn khung gốc.</t>
      </text>
    </comment>
    <comment authorId="0" ref="AC53">
      <text>
        <t xml:space="preserve">Tự động tính từ tiến độ L4. Muốn thay đổi, hãy cập nhật ở lớp chi tiết hơn.</t>
      </text>
    </comment>
    <comment authorId="0" ref="AC20">
      <text>
        <t xml:space="preserve">Tự động tính từ tiến độ L4. Muốn thay đổi, hãy cập nhật ở lớp chi tiết hơn.</t>
      </text>
    </comment>
    <comment authorId="0" ref="AG53">
      <text>
        <t xml:space="preserve">L4 nằm trong ngày L3 = đúng khung. L4 vượt ngày L3 = ngoài khung. Chưa có L4 hoặc thiếu ngày = chưa đủ dữ liệu.</t>
      </text>
    </comment>
    <comment authorId="0" ref="AG20">
      <text>
        <t xml:space="preserve">L4 nằm trong ngày L3 = đúng khung. L4 vượt ngày L3 = ngoài khung. Chưa có L4 hoặc thiếu ngày = chưa đủ dữ liệu.</t>
      </text>
    </comment>
    <comment authorId="0" ref="AH5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4">
      <text>
        <t xml:space="preserve">Tự động tính từ tiến độ L4. Muốn thay đổi, hãy cập nhật ở lớp chi tiết hơn.</t>
      </text>
    </comment>
    <comment authorId="0" ref="D21">
      <text>
        <t xml:space="preserve">Tự động tính từ tiến độ L4. Muốn thay đổi, hãy cập nhật ở lớp chi tiết hơn.</t>
      </text>
    </comment>
    <comment authorId="0" ref="Q54">
      <text>
        <t xml:space="preserve">Ngày kết thúc lớp cha tự mở rộng nếu có công việc lớp 4 kết thúc muộn hơn khung gốc.</t>
      </text>
    </comment>
    <comment authorId="0" ref="R54">
      <text>
        <t xml:space="preserve">Ngày bắt đầu lớp cha tự mở rộng nếu có công việc lớp 4 bắt đầu sớm hơn khung gốc.</t>
      </text>
    </comment>
    <comment authorId="0" ref="Q21">
      <text>
        <t xml:space="preserve">Ngày kết thúc lớp cha tự mở rộng nếu có công việc lớp 4 kết thúc muộn hơn khung gốc.</t>
      </text>
    </comment>
    <comment authorId="0" ref="R21">
      <text>
        <t xml:space="preserve">Ngày bắt đầu lớp cha tự mở rộng nếu có công việc lớp 4 bắt đầu sớm hơn khung gốc.</t>
      </text>
    </comment>
    <comment authorId="0" ref="AC54">
      <text>
        <t xml:space="preserve">Tự động tính từ tiến độ L4. Muốn thay đổi, hãy cập nhật ở lớp chi tiết hơn.</t>
      </text>
    </comment>
    <comment authorId="0" ref="AC21">
      <text>
        <t xml:space="preserve">Tự động tính từ tiến độ L4. Muốn thay đổi, hãy cập nhật ở lớp chi tiết hơn.</t>
      </text>
    </comment>
    <comment authorId="0" ref="AG54">
      <text>
        <t xml:space="preserve">L4 nằm trong ngày L3 = đúng khung. L4 vượt ngày L3 = ngoài khung. Chưa có L4 hoặc thiếu ngày = chưa đủ dữ liệu.</t>
      </text>
    </comment>
    <comment authorId="0" ref="AG21">
      <text>
        <t xml:space="preserve">L4 nằm trong ngày L3 = đúng khung. L4 vượt ngày L3 = ngoài khung. Chưa có L4 hoặc thiếu ngày = chưa đủ dữ liệu.</t>
      </text>
    </comment>
    <comment authorId="0" ref="AH5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5">
      <text>
        <t xml:space="preserve">Tự động tính từ tiến độ L4. Muốn thay đổi, hãy cập nhật ở lớp chi tiết hơn.</t>
      </text>
    </comment>
    <comment authorId="0" ref="D22">
      <text>
        <t xml:space="preserve">Tự động tính từ tiến độ L4. Muốn thay đổi, hãy cập nhật ở lớp chi tiết hơn.</t>
      </text>
    </comment>
    <comment authorId="0" ref="Q55">
      <text>
        <t xml:space="preserve">Ngày kết thúc lớp cha tự mở rộng nếu có công việc lớp 4 kết thúc muộn hơn khung gốc.</t>
      </text>
    </comment>
    <comment authorId="0" ref="Q22">
      <text>
        <t xml:space="preserve">Ngày kết thúc lớp cha tự mở rộng nếu có công việc lớp 4 kết thúc muộn hơn khung gốc.</t>
      </text>
    </comment>
    <comment authorId="0" ref="R55">
      <text>
        <t xml:space="preserve">Ngày bắt đầu lớp cha tự mở rộng nếu có công việc lớp 4 bắt đầu sớm hơn khung gốc.</t>
      </text>
    </comment>
    <comment authorId="0" ref="R22">
      <text>
        <t xml:space="preserve">Ngày bắt đầu lớp cha tự mở rộng nếu có công việc lớp 4 bắt đầu sớm hơn khung gốc.</t>
      </text>
    </comment>
    <comment authorId="0" ref="AC55">
      <text>
        <t xml:space="preserve">Tự động tính từ tiến độ L4. Muốn thay đổi, hãy cập nhật ở lớp chi tiết hơn.</t>
      </text>
    </comment>
    <comment authorId="0" ref="AC22">
      <text>
        <t xml:space="preserve">Tự động tính từ tiến độ L4. Muốn thay đổi, hãy cập nhật ở lớp chi tiết hơn.</t>
      </text>
    </comment>
    <comment authorId="0" ref="AG55">
      <text>
        <t xml:space="preserve">L4 nằm trong ngày L3 = đúng khung. L4 vượt ngày L3 = ngoài khung. Chưa có L4 hoặc thiếu ngày = chưa đủ dữ liệu.</t>
      </text>
    </comment>
    <comment authorId="0" ref="AG22">
      <text>
        <t xml:space="preserve">L4 nằm trong ngày L3 = đúng khung. L4 vượt ngày L3 = ngoài khung. Chưa có L4 hoặc thiếu ngày = chưa đủ dữ liệu.</t>
      </text>
    </comment>
    <comment authorId="0" ref="AH5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6">
      <text>
        <t xml:space="preserve">Tự động tính từ tiến độ L4. Muốn thay đổi, hãy cập nhật ở lớp chi tiết hơn.</t>
      </text>
    </comment>
    <comment authorId="0" ref="D23">
      <text>
        <t xml:space="preserve">Tự động tính từ tiến độ L4. Muốn thay đổi, hãy cập nhật ở lớp chi tiết hơn.</t>
      </text>
    </comment>
    <comment authorId="0" ref="Q56">
      <text>
        <t xml:space="preserve">Ngày kết thúc lớp cha tự mở rộng nếu có công việc lớp 4 kết thúc muộn hơn khung gốc.</t>
      </text>
    </comment>
    <comment authorId="0" ref="Q23">
      <text>
        <t xml:space="preserve">Ngày kết thúc lớp cha tự mở rộng nếu có công việc lớp 4 kết thúc muộn hơn khung gốc.</t>
      </text>
    </comment>
    <comment authorId="0" ref="R56">
      <text>
        <t xml:space="preserve">Ngày bắt đầu lớp cha tự mở rộng nếu có công việc lớp 4 bắt đầu sớm hơn khung gốc.</t>
      </text>
    </comment>
    <comment authorId="0" ref="R23">
      <text>
        <t xml:space="preserve">Ngày bắt đầu lớp cha tự mở rộng nếu có công việc lớp 4 bắt đầu sớm hơn khung gốc.</t>
      </text>
    </comment>
    <comment authorId="0" ref="AC56">
      <text>
        <t xml:space="preserve">Tự động tính từ tiến độ L4. Muốn thay đổi, hãy cập nhật ở lớp chi tiết hơn.</t>
      </text>
    </comment>
    <comment authorId="0" ref="AC23">
      <text>
        <t xml:space="preserve">Tự động tính từ tiến độ L4. Muốn thay đổi, hãy cập nhật ở lớp chi tiết hơn.</t>
      </text>
    </comment>
    <comment authorId="0" ref="AG56">
      <text>
        <t xml:space="preserve">L4 nằm trong ngày L3 = đúng khung. L4 vượt ngày L3 = ngoài khung. Chưa có L4 hoặc thiếu ngày = chưa đủ dữ liệu.</t>
      </text>
    </comment>
    <comment authorId="0" ref="AG23">
      <text>
        <t xml:space="preserve">L4 nằm trong ngày L3 = đúng khung. L4 vượt ngày L3 = ngoài khung. Chưa có L4 hoặc thiếu ngày = chưa đủ dữ liệu.</t>
      </text>
    </comment>
    <comment authorId="0" ref="AH5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7">
      <text>
        <t xml:space="preserve">Tự động tính từ tiến độ L4. Muốn thay đổi, hãy cập nhật ở lớp chi tiết hơn.</t>
      </text>
    </comment>
    <comment authorId="0" ref="D24">
      <text>
        <t xml:space="preserve">Tự động tính từ tiến độ L4. Muốn thay đổi, hãy cập nhật ở lớp chi tiết hơn.</t>
      </text>
    </comment>
    <comment authorId="0" ref="Q57">
      <text>
        <t xml:space="preserve">Ngày kết thúc lớp cha tự mở rộng nếu có công việc lớp 4 kết thúc muộn hơn khung gốc.</t>
      </text>
    </comment>
    <comment authorId="0" ref="Q24">
      <text>
        <t xml:space="preserve">Ngày kết thúc lớp cha tự mở rộng nếu có công việc lớp 4 kết thúc muộn hơn khung gốc.</t>
      </text>
    </comment>
    <comment authorId="0" ref="R57">
      <text>
        <t xml:space="preserve">Ngày bắt đầu lớp cha tự mở rộng nếu có công việc lớp 4 bắt đầu sớm hơn khung gốc.</t>
      </text>
    </comment>
    <comment authorId="0" ref="R24">
      <text>
        <t xml:space="preserve">Ngày bắt đầu lớp cha tự mở rộng nếu có công việc lớp 4 bắt đầu sớm hơn khung gốc.</t>
      </text>
    </comment>
    <comment authorId="0" ref="AC57">
      <text>
        <t xml:space="preserve">Tự động tính từ tiến độ L4. Muốn thay đổi, hãy cập nhật ở lớp chi tiết hơn.</t>
      </text>
    </comment>
    <comment authorId="0" ref="AC24">
      <text>
        <t xml:space="preserve">Tự động tính từ tiến độ L4. Muốn thay đổi, hãy cập nhật ở lớp chi tiết hơn.</t>
      </text>
    </comment>
    <comment authorId="0" ref="AG57">
      <text>
        <t xml:space="preserve">L4 nằm trong ngày L3 = đúng khung. L4 vượt ngày L3 = ngoài khung. Chưa có L4 hoặc thiếu ngày = chưa đủ dữ liệu.</t>
      </text>
    </comment>
    <comment authorId="0" ref="AG24">
      <text>
        <t xml:space="preserve">L4 nằm trong ngày L3 = đúng khung. L4 vượt ngày L3 = ngoài khung. Chưa có L4 hoặc thiếu ngày = chưa đủ dữ liệu.</t>
      </text>
    </comment>
    <comment authorId="0" ref="AH5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8">
      <text>
        <t xml:space="preserve">Tự động tính từ tiến độ L4. Muốn thay đổi, hãy cập nhật ở lớp chi tiết hơn.</t>
      </text>
    </comment>
    <comment authorId="0" ref="D25">
      <text>
        <t xml:space="preserve">Tự động tính từ tiến độ L4. Muốn thay đổi, hãy cập nhật ở lớp chi tiết hơn.</t>
      </text>
    </comment>
    <comment authorId="0" ref="Q58">
      <text>
        <t xml:space="preserve">Ngày kết thúc lớp cha tự mở rộng nếu có công việc lớp 4 kết thúc muộn hơn khung gốc.</t>
      </text>
    </comment>
    <comment authorId="0" ref="Q25">
      <text>
        <t xml:space="preserve">Ngày kết thúc lớp cha tự mở rộng nếu có công việc lớp 4 kết thúc muộn hơn khung gốc.</t>
      </text>
    </comment>
    <comment authorId="0" ref="R58">
      <text>
        <t xml:space="preserve">Ngày bắt đầu lớp cha tự mở rộng nếu có công việc lớp 4 bắt đầu sớm hơn khung gốc.</t>
      </text>
    </comment>
    <comment authorId="0" ref="R25">
      <text>
        <t xml:space="preserve">Ngày bắt đầu lớp cha tự mở rộng nếu có công việc lớp 4 bắt đầu sớm hơn khung gốc.</t>
      </text>
    </comment>
    <comment authorId="0" ref="AC58">
      <text>
        <t xml:space="preserve">Tự động tính từ tiến độ L4. Muốn thay đổi, hãy cập nhật ở lớp chi tiết hơn.</t>
      </text>
    </comment>
    <comment authorId="0" ref="AC25">
      <text>
        <t xml:space="preserve">Tự động tính từ tiến độ L4. Muốn thay đổi, hãy cập nhật ở lớp chi tiết hơn.</t>
      </text>
    </comment>
    <comment authorId="0" ref="AG58">
      <text>
        <t xml:space="preserve">L4 nằm trong ngày L3 = đúng khung. L4 vượt ngày L3 = ngoài khung. Chưa có L4 hoặc thiếu ngày = chưa đủ dữ liệu.</t>
      </text>
    </comment>
    <comment authorId="0" ref="AG25">
      <text>
        <t xml:space="preserve">L4 nằm trong ngày L3 = đúng khung. L4 vượt ngày L3 = ngoài khung. Chưa có L4 hoặc thiếu ngày = chưa đủ dữ liệu.</t>
      </text>
    </comment>
    <comment authorId="0" ref="AH5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9">
      <text>
        <t xml:space="preserve">Tự động tính từ tiến độ L4. Muốn thay đổi, hãy cập nhật ở lớp chi tiết hơn.</t>
      </text>
    </comment>
    <comment authorId="0" ref="D26">
      <text>
        <t xml:space="preserve">Tự động tính từ tiến độ L4. Muốn thay đổi, hãy cập nhật ở lớp chi tiết hơn.</t>
      </text>
    </comment>
    <comment authorId="0" ref="Q59">
      <text>
        <t xml:space="preserve">Ngày kết thúc lớp cha tự mở rộng nếu có công việc lớp 4 kết thúc muộn hơn khung gốc.</t>
      </text>
    </comment>
    <comment authorId="0" ref="Q26">
      <text>
        <t xml:space="preserve">Ngày kết thúc lớp cha tự mở rộng nếu có công việc lớp 4 kết thúc muộn hơn khung gốc.</t>
      </text>
    </comment>
    <comment authorId="0" ref="R59">
      <text>
        <t xml:space="preserve">Ngày bắt đầu lớp cha tự mở rộng nếu có công việc lớp 4 bắt đầu sớm hơn khung gốc.</t>
      </text>
    </comment>
    <comment authorId="0" ref="R26">
      <text>
        <t xml:space="preserve">Ngày bắt đầu lớp cha tự mở rộng nếu có công việc lớp 4 bắt đầu sớm hơn khung gốc.</t>
      </text>
    </comment>
    <comment authorId="0" ref="AC59">
      <text>
        <t xml:space="preserve">Tự động tính từ tiến độ L4. Muốn thay đổi, hãy cập nhật ở lớp chi tiết hơn.</t>
      </text>
    </comment>
    <comment authorId="0" ref="AC26">
      <text>
        <t xml:space="preserve">Tự động tính từ tiến độ L4. Muốn thay đổi, hãy cập nhật ở lớp chi tiết hơn.</t>
      </text>
    </comment>
    <comment authorId="0" ref="AG59">
      <text>
        <t xml:space="preserve">L4 nằm trong ngày L3 = đúng khung. L4 vượt ngày L3 = ngoài khung. Chưa có L4 hoặc thiếu ngày = chưa đủ dữ liệu.</t>
      </text>
    </comment>
    <comment authorId="0" ref="AG26">
      <text>
        <t xml:space="preserve">L4 nằm trong ngày L3 = đúng khung. L4 vượt ngày L3 = ngoài khung. Chưa có L4 hoặc thiếu ngày = chưa đủ dữ liệu.</t>
      </text>
    </comment>
    <comment authorId="0" ref="AH5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0">
      <text>
        <t xml:space="preserve">Tự động tính từ tiến độ L4. Muốn thay đổi, hãy cập nhật ở lớp chi tiết hơn.</t>
      </text>
    </comment>
    <comment authorId="0" ref="D27">
      <text>
        <t xml:space="preserve">Tự động tính từ tiến độ L4. Muốn thay đổi, hãy cập nhật ở lớp chi tiết hơn.</t>
      </text>
    </comment>
    <comment authorId="0" ref="Q60">
      <text>
        <t xml:space="preserve">Ngày kết thúc lớp cha tự mở rộng nếu có công việc lớp 4 kết thúc muộn hơn khung gốc.</t>
      </text>
    </comment>
    <comment authorId="0" ref="Q27">
      <text>
        <t xml:space="preserve">Ngày kết thúc lớp cha tự mở rộng nếu có công việc lớp 4 kết thúc muộn hơn khung gốc.</t>
      </text>
    </comment>
    <comment authorId="0" ref="R60">
      <text>
        <t xml:space="preserve">Ngày bắt đầu lớp cha tự mở rộng nếu có công việc lớp 4 bắt đầu sớm hơn khung gốc.</t>
      </text>
    </comment>
    <comment authorId="0" ref="R27">
      <text>
        <t xml:space="preserve">Ngày bắt đầu lớp cha tự mở rộng nếu có công việc lớp 4 bắt đầu sớm hơn khung gốc.</t>
      </text>
    </comment>
    <comment authorId="0" ref="AC60">
      <text>
        <t xml:space="preserve">Tự động tính từ tiến độ L4. Muốn thay đổi, hãy cập nhật ở lớp chi tiết hơn.</t>
      </text>
    </comment>
    <comment authorId="0" ref="AC27">
      <text>
        <t xml:space="preserve">Tự động tính từ tiến độ L4. Muốn thay đổi, hãy cập nhật ở lớp chi tiết hơn.</t>
      </text>
    </comment>
    <comment authorId="0" ref="AG60">
      <text>
        <t xml:space="preserve">L4 nằm trong ngày L3 = đúng khung. L4 vượt ngày L3 = ngoài khung. Chưa có L4 hoặc thiếu ngày = chưa đủ dữ liệu.</t>
      </text>
    </comment>
    <comment authorId="0" ref="AG27">
      <text>
        <t xml:space="preserve">L4 nằm trong ngày L3 = đúng khung. L4 vượt ngày L3 = ngoài khung. Chưa có L4 hoặc thiếu ngày = chưa đủ dữ liệu.</t>
      </text>
    </comment>
    <comment authorId="0" ref="AH6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1">
      <text>
        <t xml:space="preserve">Tự động tính từ tiến độ L4. Muốn thay đổi, hãy cập nhật ở lớp chi tiết hơn.</t>
      </text>
    </comment>
    <comment authorId="0" ref="D28">
      <text>
        <t xml:space="preserve">Tự động tính từ tiến độ L4. Muốn thay đổi, hãy cập nhật ở lớp chi tiết hơn.</t>
      </text>
    </comment>
    <comment authorId="0" ref="Q61">
      <text>
        <t xml:space="preserve">Ngày kết thúc lớp cha tự mở rộng nếu có công việc lớp 4 kết thúc muộn hơn khung gốc.</t>
      </text>
    </comment>
    <comment authorId="0" ref="Q28">
      <text>
        <t xml:space="preserve">Ngày kết thúc lớp cha tự mở rộng nếu có công việc lớp 4 kết thúc muộn hơn khung gốc.</t>
      </text>
    </comment>
    <comment authorId="0" ref="R61">
      <text>
        <t xml:space="preserve">Ngày bắt đầu lớp cha tự mở rộng nếu có công việc lớp 4 bắt đầu sớm hơn khung gốc.</t>
      </text>
    </comment>
    <comment authorId="0" ref="R28">
      <text>
        <t xml:space="preserve">Ngày bắt đầu lớp cha tự mở rộng nếu có công việc lớp 4 bắt đầu sớm hơn khung gốc.</t>
      </text>
    </comment>
    <comment authorId="0" ref="AC61">
      <text>
        <t xml:space="preserve">Tự động tính từ tiến độ L4. Muốn thay đổi, hãy cập nhật ở lớp chi tiết hơn.</t>
      </text>
    </comment>
    <comment authorId="0" ref="AC28">
      <text>
        <t xml:space="preserve">Tự động tính từ tiến độ L4. Muốn thay đổi, hãy cập nhật ở lớp chi tiết hơn.</t>
      </text>
    </comment>
    <comment authorId="0" ref="AG61">
      <text>
        <t xml:space="preserve">L4 nằm trong ngày L3 = đúng khung. L4 vượt ngày L3 = ngoài khung. Chưa có L4 hoặc thiếu ngày = chưa đủ dữ liệu.</t>
      </text>
    </comment>
    <comment authorId="0" ref="AG28">
      <text>
        <t xml:space="preserve">L4 nằm trong ngày L3 = đúng khung. L4 vượt ngày L3 = ngoài khung. Chưa có L4 hoặc thiếu ngày = chưa đủ dữ liệu.</t>
      </text>
    </comment>
    <comment authorId="0" ref="AH6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2">
      <text>
        <t xml:space="preserve">Tự động tính từ tiến độ L4. Muốn thay đổi, hãy cập nhật ở lớp chi tiết hơn.</t>
      </text>
    </comment>
    <comment authorId="0" ref="D29">
      <text>
        <t xml:space="preserve">Tự động tính từ tiến độ L4. Muốn thay đổi, hãy cập nhật ở lớp chi tiết hơn.</t>
      </text>
    </comment>
    <comment authorId="0" ref="Q62">
      <text>
        <t xml:space="preserve">Ngày kết thúc lớp cha tự mở rộng nếu có công việc lớp 4 kết thúc muộn hơn khung gốc.</t>
      </text>
    </comment>
    <comment authorId="0" ref="Q29">
      <text>
        <t xml:space="preserve">Ngày kết thúc lớp cha tự mở rộng nếu có công việc lớp 4 kết thúc muộn hơn khung gốc.</t>
      </text>
    </comment>
    <comment authorId="0" ref="R62">
      <text>
        <t xml:space="preserve">Ngày bắt đầu lớp cha tự mở rộng nếu có công việc lớp 4 bắt đầu sớm hơn khung gốc.</t>
      </text>
    </comment>
    <comment authorId="0" ref="R29">
      <text>
        <t xml:space="preserve">Ngày bắt đầu lớp cha tự mở rộng nếu có công việc lớp 4 bắt đầu sớm hơn khung gốc.</t>
      </text>
    </comment>
    <comment authorId="0" ref="AC62">
      <text>
        <t xml:space="preserve">Tự động tính từ tiến độ L4. Muốn thay đổi, hãy cập nhật ở lớp chi tiết hơn.</t>
      </text>
    </comment>
    <comment authorId="0" ref="AC29">
      <text>
        <t xml:space="preserve">Tự động tính từ tiến độ L4. Muốn thay đổi, hãy cập nhật ở lớp chi tiết hơn.</t>
      </text>
    </comment>
    <comment authorId="0" ref="AG62">
      <text>
        <t xml:space="preserve">L4 nằm trong ngày L3 = đúng khung. L4 vượt ngày L3 = ngoài khung. Chưa có L4 hoặc thiếu ngày = chưa đủ dữ liệu.</t>
      </text>
    </comment>
    <comment authorId="0" ref="AG29">
      <text>
        <t xml:space="preserve">L4 nằm trong ngày L3 = đúng khung. L4 vượt ngày L3 = ngoài khung. Chưa có L4 hoặc thiếu ngày = chưa đủ dữ liệu.</t>
      </text>
    </comment>
    <comment authorId="0" ref="AH6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3">
      <text>
        <t xml:space="preserve">Tự động tính từ tiến độ L4. Muốn thay đổi, hãy cập nhật ở lớp chi tiết hơn.</t>
      </text>
    </comment>
    <comment authorId="0" ref="D30">
      <text>
        <t xml:space="preserve">Tự động tính từ tiến độ L4. Muốn thay đổi, hãy cập nhật ở lớp chi tiết hơn.</t>
      </text>
    </comment>
    <comment authorId="0" ref="Q63">
      <text>
        <t xml:space="preserve">Ngày kết thúc lớp cha tự mở rộng nếu có công việc lớp 4 kết thúc muộn hơn khung gốc.</t>
      </text>
    </comment>
    <comment authorId="0" ref="Q30">
      <text>
        <t xml:space="preserve">Ngày kết thúc lớp cha tự mở rộng nếu có công việc lớp 4 kết thúc muộn hơn khung gốc.</t>
      </text>
    </comment>
    <comment authorId="0" ref="R63">
      <text>
        <t xml:space="preserve">Ngày bắt đầu lớp cha tự mở rộng nếu có công việc lớp 4 bắt đầu sớm hơn khung gốc.</t>
      </text>
    </comment>
    <comment authorId="0" ref="R30">
      <text>
        <t xml:space="preserve">Ngày bắt đầu lớp cha tự mở rộng nếu có công việc lớp 4 bắt đầu sớm hơn khung gốc.</t>
      </text>
    </comment>
    <comment authorId="0" ref="AC63">
      <text>
        <t xml:space="preserve">Tự động tính từ tiến độ L4. Muốn thay đổi, hãy cập nhật ở lớp chi tiết hơn.</t>
      </text>
    </comment>
    <comment authorId="0" ref="AC30">
      <text>
        <t xml:space="preserve">Tự động tính từ tiến độ L4. Muốn thay đổi, hãy cập nhật ở lớp chi tiết hơn.</t>
      </text>
    </comment>
    <comment authorId="0" ref="AG63">
      <text>
        <t xml:space="preserve">L4 nằm trong ngày L3 = đúng khung. L4 vượt ngày L3 = ngoài khung. Chưa có L4 hoặc thiếu ngày = chưa đủ dữ liệu.</t>
      </text>
    </comment>
    <comment authorId="0" ref="AG30">
      <text>
        <t xml:space="preserve">L4 nằm trong ngày L3 = đúng khung. L4 vượt ngày L3 = ngoài khung. Chưa có L4 hoặc thiếu ngày = chưa đủ dữ liệu.</t>
      </text>
    </comment>
    <comment authorId="0" ref="AH6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4">
      <text>
        <t xml:space="preserve">Tự động tính từ tiến độ L4. Muốn thay đổi, hãy cập nhật ở lớp chi tiết hơn.</t>
      </text>
    </comment>
    <comment authorId="0" ref="D31">
      <text>
        <t xml:space="preserve">Tự động tính từ tiến độ L4. Muốn thay đổi, hãy cập nhật ở lớp chi tiết hơn.</t>
      </text>
    </comment>
    <comment authorId="0" ref="Q64">
      <text>
        <t xml:space="preserve">Ngày kết thúc lớp cha tự mở rộng nếu có công việc lớp 4 kết thúc muộn hơn khung gốc.</t>
      </text>
    </comment>
    <comment authorId="0" ref="Q31">
      <text>
        <t xml:space="preserve">Ngày kết thúc lớp cha tự mở rộng nếu có công việc lớp 4 kết thúc muộn hơn khung gốc.</t>
      </text>
    </comment>
    <comment authorId="0" ref="R64">
      <text>
        <t xml:space="preserve">Ngày bắt đầu lớp cha tự mở rộng nếu có công việc lớp 4 bắt đầu sớm hơn khung gốc.</t>
      </text>
    </comment>
    <comment authorId="0" ref="R31">
      <text>
        <t xml:space="preserve">Ngày bắt đầu lớp cha tự mở rộng nếu có công việc lớp 4 bắt đầu sớm hơn khung gốc.</t>
      </text>
    </comment>
    <comment authorId="0" ref="AC64">
      <text>
        <t xml:space="preserve">Tự động tính từ tiến độ L4. Muốn thay đổi, hãy cập nhật ở lớp chi tiết hơn.</t>
      </text>
    </comment>
    <comment authorId="0" ref="AC31">
      <text>
        <t xml:space="preserve">Tự động tính từ tiến độ L4. Muốn thay đổi, hãy cập nhật ở lớp chi tiết hơn.</t>
      </text>
    </comment>
    <comment authorId="0" ref="AG64">
      <text>
        <t xml:space="preserve">L4 nằm trong ngày L3 = đúng khung. L4 vượt ngày L3 = ngoài khung. Chưa có L4 hoặc thiếu ngày = chưa đủ dữ liệu.</t>
      </text>
    </comment>
    <comment authorId="0" ref="AG31">
      <text>
        <t xml:space="preserve">L4 nằm trong ngày L3 = đúng khung. L4 vượt ngày L3 = ngoài khung. Chưa có L4 hoặc thiếu ngày = chưa đủ dữ liệu.</t>
      </text>
    </comment>
    <comment authorId="0" ref="AH6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5">
      <text>
        <t xml:space="preserve">Tự động tính từ tiến độ L4. Muốn thay đổi, hãy cập nhật ở lớp chi tiết hơn.</t>
      </text>
    </comment>
    <comment authorId="0" ref="D32">
      <text>
        <t xml:space="preserve">Tự động tính từ tiến độ L4. Muốn thay đổi, hãy cập nhật ở lớp chi tiết hơn.</t>
      </text>
    </comment>
    <comment authorId="0" ref="Q65">
      <text>
        <t xml:space="preserve">Ngày kết thúc lớp cha tự mở rộng nếu có công việc lớp 4 kết thúc muộn hơn khung gốc.</t>
      </text>
    </comment>
    <comment authorId="0" ref="Q32">
      <text>
        <t xml:space="preserve">Ngày kết thúc lớp cha tự mở rộng nếu có công việc lớp 4 kết thúc muộn hơn khung gốc.</t>
      </text>
    </comment>
    <comment authorId="0" ref="R65">
      <text>
        <t xml:space="preserve">Ngày bắt đầu lớp cha tự mở rộng nếu có công việc lớp 4 bắt đầu sớm hơn khung gốc.</t>
      </text>
    </comment>
    <comment authorId="0" ref="R32">
      <text>
        <t xml:space="preserve">Ngày bắt đầu lớp cha tự mở rộng nếu có công việc lớp 4 bắt đầu sớm hơn khung gốc.</t>
      </text>
    </comment>
    <comment authorId="0" ref="AC65">
      <text>
        <t xml:space="preserve">Tự động tính từ tiến độ L4. Muốn thay đổi, hãy cập nhật ở lớp chi tiết hơn.</t>
      </text>
    </comment>
    <comment authorId="0" ref="AC32">
      <text>
        <t xml:space="preserve">Tự động tính từ tiến độ L4. Muốn thay đổi, hãy cập nhật ở lớp chi tiết hơn.</t>
      </text>
    </comment>
    <comment authorId="0" ref="AG65">
      <text>
        <t xml:space="preserve">L4 nằm trong ngày L3 = đúng khung. L4 vượt ngày L3 = ngoài khung. Chưa có L4 hoặc thiếu ngày = chưa đủ dữ liệu.</t>
      </text>
    </comment>
    <comment authorId="0" ref="AG32">
      <text>
        <t xml:space="preserve">L4 nằm trong ngày L3 = đúng khung. L4 vượt ngày L3 = ngoài khung. Chưa có L4 hoặc thiếu ngày = chưa đủ dữ liệu.</t>
      </text>
    </comment>
    <comment authorId="0" ref="AH6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H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6">
      <text>
        <t xml:space="preserve">Tự động tính từ tiến độ L4. Muốn thay đổi, hãy cập nhật ở lớp chi tiết hơn.</t>
      </text>
    </comment>
    <comment authorId="0" ref="D33">
      <text>
        <t xml:space="preserve">Tự động tính từ tiến độ L4. Muốn thay đổi, hãy cập nhật ở lớp chi tiết hơn.</t>
      </text>
    </comment>
    <comment authorId="0" ref="Q66">
      <text>
        <t xml:space="preserve">Ngày kết thúc lớp cha tự mở rộng nếu có công việc lớp 4 kết thúc muộn hơn khung gốc.</t>
      </text>
    </comment>
    <comment authorId="0" ref="Q33">
      <text>
        <t xml:space="preserve">Ngày kết thúc lớp cha tự mở rộng nếu có công việc lớp 4 kết thúc muộn hơn khung gốc.</t>
      </text>
    </comment>
    <comment authorId="0" ref="R66">
      <text>
        <t xml:space="preserve">Ngày bắt đầu lớp cha tự mở rộng nếu có công việc lớp 4 bắt đầu sớm hơn khung gốc.</t>
      </text>
    </comment>
    <comment authorId="0" ref="R33">
      <text>
        <t xml:space="preserve">Ngày bắt đầu lớp cha tự mở rộng nếu có công việc lớp 4 bắt đầu sớm hơn khung gốc.</t>
      </text>
    </comment>
    <comment authorId="0" ref="AC66">
      <text>
        <t xml:space="preserve">Tự động tính từ tiến độ L4. Muốn thay đổi, hãy cập nhật ở lớp chi tiết hơn.</t>
      </text>
    </comment>
    <comment authorId="0" ref="AC33">
      <text>
        <t xml:space="preserve">Tự động tính từ tiến độ L4. Muốn thay đổi, hãy cập nhật ở lớp chi tiết hơn.</t>
      </text>
    </comment>
    <comment authorId="0" ref="AG66">
      <text>
        <t xml:space="preserve">L4 nằm trong ngày L3 = đúng khung. L4 vượt ngày L3 = ngoài khung. Chưa có L4 hoặc thiếu ngày = chưa đủ dữ liệu.</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32">
      <text>
        <t xml:space="preserve">L4 phải nằm trong L3; L5 phải nằm trong L4. Đúng khung = hợp lệ. Ngoài khung = vượt ngày. Chưa có hoặc thiếu = chưa đủ dữ liệu.</t>
      </text>
    </comment>
    <comment authorId="0" ref="D67">
      <text>
        <t xml:space="preserve">Tự động tính từ tiến độ L5. Muốn thay đổi, hãy cập nhật ở lớp chi tiết hơn.</t>
      </text>
    </comment>
    <comment authorId="0" ref="AK1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6">
      <text>
        <t xml:space="preserve">L4 phải nằm trong L3; L5 phải nằm trong L4. Đúng khung = hợp lệ. Ngoài khung = vượt ngày. Chưa có hoặc thiếu = chưa đủ dữ liệu.</t>
      </text>
    </comment>
    <comment authorId="0" ref="AK6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33">
      <text>
        <t xml:space="preserve">Ngày kết thúc lớp cha tự mở rộng nếu có công việc lớp 5 kết thúc muộn hơn khung gốc.</t>
      </text>
    </comment>
    <comment authorId="0" ref="T133">
      <text>
        <t xml:space="preserve">Ngày bắt đầu lớp cha tự mở rộng nếu có công việc lớp 5 bắt đầu sớm hơn khung gốc.</t>
      </text>
    </comment>
    <comment authorId="0" ref="S67">
      <text>
        <t xml:space="preserve">Ngày kết thúc lớp cha tự mở rộng nếu có công việc lớp 5 kết thúc muộn hơn khung gốc.</t>
      </text>
    </comment>
    <comment authorId="0" ref="T67">
      <text>
        <t xml:space="preserve">Ngày bắt đầu lớp cha tự mở rộng nếu có công việc lớp 5 bắt đầu sớm hơn khung gốc.</t>
      </text>
    </comment>
    <comment authorId="0" ref="AF133">
      <text>
        <t xml:space="preserve">Tự động tính từ tiến độ L5. Muốn thay đổi, hãy cập nhật ở lớp chi tiết hơn.</t>
      </text>
    </comment>
    <comment authorId="0" ref="AF67">
      <text>
        <t xml:space="preserve">Tự động tính từ tiến độ L5. Muốn thay đổi, hãy cập nhật ở lớp chi tiết hơn.</t>
      </text>
    </comment>
    <comment authorId="0" ref="D134">
      <text>
        <t xml:space="preserve">Tự động tính từ tiến độ L5. Muốn thay đổi, hãy cập nhật ở lớp chi tiết hơn.</t>
      </text>
    </comment>
    <comment authorId="0" ref="AJ133">
      <text>
        <t xml:space="preserve">L4 phải nằm trong L3; L5 phải nằm trong L4. Đúng khung = hợp lệ. Ngoài khung = vượt ngày. Chưa có hoặc thiếu = chưa đủ dữ liệu.</t>
      </text>
    </comment>
    <comment authorId="0" ref="D68">
      <text>
        <t xml:space="preserve">Tự động tính từ tiến độ L5. Muốn thay đổi, hãy cập nhật ở lớp chi tiết hơn.</t>
      </text>
    </comment>
    <comment authorId="0" ref="AK1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7">
      <text>
        <t xml:space="preserve">L4 phải nằm trong L3; L5 phải nằm trong L4. Đúng khung = hợp lệ. Ngoài khung = vượt ngày. Chưa có hoặc thiếu = chưa đủ dữ liệu.</t>
      </text>
    </comment>
    <comment authorId="0" ref="AK6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34">
      <text>
        <t xml:space="preserve">Ngày kết thúc lớp cha tự mở rộng nếu có công việc lớp 5 kết thúc muộn hơn khung gốc.</t>
      </text>
    </comment>
    <comment authorId="0" ref="T134">
      <text>
        <t xml:space="preserve">Ngày bắt đầu lớp cha tự mở rộng nếu có công việc lớp 5 bắt đầu sớm hơn khung gốc.</t>
      </text>
    </comment>
    <comment authorId="0" ref="S68">
      <text>
        <t xml:space="preserve">Ngày kết thúc lớp cha tự mở rộng nếu có công việc lớp 5 kết thúc muộn hơn khung gốc.</t>
      </text>
    </comment>
    <comment authorId="0" ref="T68">
      <text>
        <t xml:space="preserve">Ngày bắt đầu lớp cha tự mở rộng nếu có công việc lớp 5 bắt đầu sớm hơn khung gốc.</t>
      </text>
    </comment>
    <comment authorId="0" ref="AF134">
      <text>
        <t xml:space="preserve">Tự động tính từ tiến độ L5. Muốn thay đổi, hãy cập nhật ở lớp chi tiết hơn.</t>
      </text>
    </comment>
    <comment authorId="0" ref="AF68">
      <text>
        <t xml:space="preserve">Tự động tính từ tiến độ L5. Muốn thay đổi, hãy cập nhật ở lớp chi tiết hơn.</t>
      </text>
    </comment>
    <comment authorId="0" ref="D135">
      <text>
        <t xml:space="preserve">Tự động tính từ tiến độ L5. Muốn thay đổi, hãy cập nhật ở lớp chi tiết hơn.</t>
      </text>
    </comment>
    <comment authorId="0" ref="AJ134">
      <text>
        <t xml:space="preserve">L4 phải nằm trong L3; L5 phải nằm trong L4. Đúng khung = hợp lệ. Ngoài khung = vượt ngày. Chưa có hoặc thiếu = chưa đủ dữ liệu.</t>
      </text>
    </comment>
    <comment authorId="0" ref="D69">
      <text>
        <t xml:space="preserve">Tự động tính từ tiến độ L5. Muốn thay đổi, hãy cập nhật ở lớp chi tiết hơn.</t>
      </text>
    </comment>
    <comment authorId="0" ref="AK1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8">
      <text>
        <t xml:space="preserve">L4 phải nằm trong L3; L5 phải nằm trong L4. Đúng khung = hợp lệ. Ngoài khung = vượt ngày. Chưa có hoặc thiếu = chưa đủ dữ liệu.</t>
      </text>
    </comment>
    <comment authorId="0" ref="AK6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35">
      <text>
        <t xml:space="preserve">Ngày kết thúc lớp cha tự mở rộng nếu có công việc lớp 5 kết thúc muộn hơn khung gốc.</t>
      </text>
    </comment>
    <comment authorId="0" ref="T135">
      <text>
        <t xml:space="preserve">Ngày bắt đầu lớp cha tự mở rộng nếu có công việc lớp 5 bắt đầu sớm hơn khung gốc.</t>
      </text>
    </comment>
    <comment authorId="0" ref="S69">
      <text>
        <t xml:space="preserve">Ngày kết thúc lớp cha tự mở rộng nếu có công việc lớp 5 kết thúc muộn hơn khung gốc.</t>
      </text>
    </comment>
    <comment authorId="0" ref="T69">
      <text>
        <t xml:space="preserve">Ngày bắt đầu lớp cha tự mở rộng nếu có công việc lớp 5 bắt đầu sớm hơn khung gốc.</t>
      </text>
    </comment>
    <comment authorId="0" ref="Z3">
      <text>
        <t xml:space="preserve">Nhập một phần hoặc toàn bộ tên công việc lớp con L5.</t>
      </text>
    </comment>
    <comment authorId="0" ref="AF135">
      <text>
        <t xml:space="preserve">Tự động tính từ tiến độ L5. Muốn thay đổi, hãy cập nhật ở lớp chi tiết hơn.</t>
      </text>
    </comment>
    <comment authorId="0" ref="AF69">
      <text>
        <t xml:space="preserve">Tự động tính từ tiến độ L5. Muốn thay đổi, hãy cập nhật ở lớp chi tiết hơn.</t>
      </text>
    </comment>
    <comment authorId="0" ref="D136">
      <text>
        <t xml:space="preserve">Tự động tính từ tiến độ L5. Muốn thay đổi, hãy cập nhật ở lớp chi tiết hơn.</t>
      </text>
    </comment>
    <comment authorId="0" ref="AJ135">
      <text>
        <t xml:space="preserve">L4 phải nằm trong L3; L5 phải nằm trong L4. Đúng khung = hợp lệ. Ngoài khung = vượt ngày. Chưa có hoặc thiếu = chưa đủ dữ liệu.</t>
      </text>
    </comment>
    <comment authorId="0" ref="D70">
      <text>
        <t xml:space="preserve">Tự động tính từ tiến độ L5. Muốn thay đổi, hãy cập nhật ở lớp chi tiết hơn.</t>
      </text>
    </comment>
    <comment authorId="0" ref="AK1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9">
      <text>
        <t xml:space="preserve">L4 phải nằm trong L3; L5 phải nằm trong L4. Đúng khung = hợp lệ. Ngoài khung = vượt ngày. Chưa có hoặc thiếu = chưa đủ dữ liệu.</t>
      </text>
    </comment>
    <comment authorId="0" ref="AK6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36">
      <text>
        <t xml:space="preserve">Ngày kết thúc lớp cha tự mở rộng nếu có công việc lớp 5 kết thúc muộn hơn khung gốc.</t>
      </text>
    </comment>
    <comment authorId="0" ref="T136">
      <text>
        <t xml:space="preserve">Ngày bắt đầu lớp cha tự mở rộng nếu có công việc lớp 5 bắt đầu sớm hơn khung gốc.</t>
      </text>
    </comment>
    <comment authorId="0" ref="S70">
      <text>
        <t xml:space="preserve">Ngày kết thúc lớp cha tự mở rộng nếu có công việc lớp 5 kết thúc muộn hơn khung gốc.</t>
      </text>
    </comment>
    <comment authorId="0" ref="T70">
      <text>
        <t xml:space="preserve">Ngày bắt đầu lớp cha tự mở rộng nếu có công việc lớp 5 bắt đầu sớm hơn khung gốc.</t>
      </text>
    </comment>
    <comment authorId="0" ref="AF136">
      <text>
        <t xml:space="preserve">Tự động tính từ tiến độ L5. Muốn thay đổi, hãy cập nhật ở lớp chi tiết hơn.</t>
      </text>
    </comment>
    <comment authorId="0" ref="AF70">
      <text>
        <t xml:space="preserve">Tự động tính từ tiến độ L5. Muốn thay đổi, hãy cập nhật ở lớp chi tiết hơn.</t>
      </text>
    </comment>
    <comment authorId="0" ref="D137">
      <text>
        <t xml:space="preserve">Tự động tính từ tiến độ L5. Muốn thay đổi, hãy cập nhật ở lớp chi tiết hơn.</t>
      </text>
    </comment>
    <comment authorId="0" ref="AJ136">
      <text>
        <t xml:space="preserve">L4 phải nằm trong L3; L5 phải nằm trong L4. Đúng khung = hợp lệ. Ngoài khung = vượt ngày. Chưa có hoặc thiếu = chưa đủ dữ liệu.</t>
      </text>
    </comment>
    <comment authorId="0" ref="D71">
      <text>
        <t xml:space="preserve">Tự động tính từ tiến độ L5. Muốn thay đổi, hãy cập nhật ở lớp chi tiết hơn.</t>
      </text>
    </comment>
    <comment authorId="0" ref="AK1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70">
      <text>
        <t xml:space="preserve">L4 phải nằm trong L3; L5 phải nằm trong L4. Đúng khung = hợp lệ. Ngoài khung = vượt ngày. Chưa có hoặc thiếu = chưa đủ dữ liệu.</t>
      </text>
    </comment>
    <comment authorId="0" ref="AK7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37">
      <text>
        <t xml:space="preserve">Ngày kết thúc lớp cha tự mở rộng nếu có công việc lớp 5 kết thúc muộn hơn khung gốc.</t>
      </text>
    </comment>
    <comment authorId="0" ref="T137">
      <text>
        <t xml:space="preserve">Ngày bắt đầu lớp cha tự mở rộng nếu có công việc lớp 5 bắt đầu sớm hơn khung gốc.</t>
      </text>
    </comment>
    <comment authorId="0" ref="S71">
      <text>
        <t xml:space="preserve">Ngày kết thúc lớp cha tự mở rộng nếu có công việc lớp 5 kết thúc muộn hơn khung gốc.</t>
      </text>
    </comment>
    <comment authorId="0" ref="T71">
      <text>
        <t xml:space="preserve">Ngày bắt đầu lớp cha tự mở rộng nếu có công việc lớp 5 bắt đầu sớm hơn khung gốc.</t>
      </text>
    </comment>
    <comment authorId="0" ref="AF137">
      <text>
        <t xml:space="preserve">Tự động tính từ tiến độ L5. Muốn thay đổi, hãy cập nhật ở lớp chi tiết hơn.</t>
      </text>
    </comment>
    <comment authorId="0" ref="AF71">
      <text>
        <t xml:space="preserve">Tự động tính từ tiến độ L5. Muốn thay đổi, hãy cập nhật ở lớp chi tiết hơn.</t>
      </text>
    </comment>
    <comment authorId="0" ref="AJ137">
      <text>
        <t xml:space="preserve">L4 phải nằm trong L3; L5 phải nằm trong L4. Đúng khung = hợp lệ. Ngoài khung = vượt ngày. Chưa có hoặc thiếu = chưa đủ dữ liệu.</t>
      </text>
    </comment>
    <comment authorId="0" ref="D72">
      <text>
        <t xml:space="preserve">Tự động tính từ tiến độ L5. Muốn thay đổi, hãy cập nhật ở lớp chi tiết hơn.</t>
      </text>
    </comment>
    <comment authorId="0" ref="AK1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71">
      <text>
        <t xml:space="preserve">L4 phải nằm trong L3; L5 phải nằm trong L4. Đúng khung = hợp lệ. Ngoài khung = vượt ngày. Chưa có hoặc thiếu = chưa đủ dữ liệu.</t>
      </text>
    </comment>
    <comment authorId="0" ref="AK7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72">
      <text>
        <t xml:space="preserve">Ngày kết thúc lớp cha tự mở rộng nếu có công việc lớp 5 kết thúc muộn hơn khung gốc.</t>
      </text>
    </comment>
    <comment authorId="0" ref="T72">
      <text>
        <t xml:space="preserve">Ngày bắt đầu lớp cha tự mở rộng nếu có công việc lớp 5 bắt đầu sớm hơn khung gốc.</t>
      </text>
    </comment>
    <comment authorId="0" ref="AF72">
      <text>
        <t xml:space="preserve">Tự động tính từ tiến độ L5. Muốn thay đổi, hãy cập nhật ở lớp chi tiết hơn.</t>
      </text>
    </comment>
    <comment authorId="0" ref="D73">
      <text>
        <t xml:space="preserve">Tự động tính từ tiến độ L5. Muốn thay đổi, hãy cập nhật ở lớp chi tiết hơn.</t>
      </text>
    </comment>
    <comment authorId="0" ref="AJ72">
      <text>
        <t xml:space="preserve">L4 phải nằm trong L3; L5 phải nằm trong L4. Đúng khung = hợp lệ. Ngoài khung = vượt ngày. Chưa có hoặc thiếu = chưa đủ dữ liệu.</t>
      </text>
    </comment>
    <comment authorId="0" ref="AK7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73">
      <text>
        <t xml:space="preserve">Ngày kết thúc lớp cha tự mở rộng nếu có công việc lớp 5 kết thúc muộn hơn khung gốc.</t>
      </text>
    </comment>
    <comment authorId="0" ref="T73">
      <text>
        <t xml:space="preserve">Ngày bắt đầu lớp cha tự mở rộng nếu có công việc lớp 5 bắt đầu sớm hơn khung gốc.</t>
      </text>
    </comment>
    <comment authorId="0" ref="AF73">
      <text>
        <t xml:space="preserve">Tự động tính từ tiến độ L5. Muốn thay đổi, hãy cập nhật ở lớp chi tiết hơn.</t>
      </text>
    </comment>
    <comment authorId="0" ref="D74">
      <text>
        <t xml:space="preserve">Tự động tính từ tiến độ L5. Muốn thay đổi, hãy cập nhật ở lớp chi tiết hơn.</t>
      </text>
    </comment>
    <comment authorId="0" ref="AJ73">
      <text>
        <t xml:space="preserve">L4 phải nằm trong L3; L5 phải nằm trong L4. Đúng khung = hợp lệ. Ngoài khung = vượt ngày. Chưa có hoặc thiếu = chưa đủ dữ liệu.</t>
      </text>
    </comment>
    <comment authorId="0" ref="AK7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74">
      <text>
        <t xml:space="preserve">Ngày kết thúc lớp cha tự mở rộng nếu có công việc lớp 5 kết thúc muộn hơn khung gốc.</t>
      </text>
    </comment>
    <comment authorId="0" ref="T74">
      <text>
        <t xml:space="preserve">Ngày bắt đầu lớp cha tự mở rộng nếu có công việc lớp 5 bắt đầu sớm hơn khung gốc.</t>
      </text>
    </comment>
    <comment authorId="0" ref="AF74">
      <text>
        <t xml:space="preserve">Tự động tính từ tiến độ L5. Muốn thay đổi, hãy cập nhật ở lớp chi tiết hơn.</t>
      </text>
    </comment>
    <comment authorId="0" ref="D75">
      <text>
        <t xml:space="preserve">Tự động tính từ tiến độ L5. Muốn thay đổi, hãy cập nhật ở lớp chi tiết hơn.</t>
      </text>
    </comment>
    <comment authorId="0" ref="AJ74">
      <text>
        <t xml:space="preserve">L4 phải nằm trong L3; L5 phải nằm trong L4. Đúng khung = hợp lệ. Ngoài khung = vượt ngày. Chưa có hoặc thiếu = chưa đủ dữ liệu.</t>
      </text>
    </comment>
    <comment authorId="0" ref="AK7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75">
      <text>
        <t xml:space="preserve">Ngày kết thúc lớp cha tự mở rộng nếu có công việc lớp 5 kết thúc muộn hơn khung gốc.</t>
      </text>
    </comment>
    <comment authorId="0" ref="T75">
      <text>
        <t xml:space="preserve">Ngày bắt đầu lớp cha tự mở rộng nếu có công việc lớp 5 bắt đầu sớm hơn khung gốc.</t>
      </text>
    </comment>
    <comment authorId="0" ref="AF75">
      <text>
        <t xml:space="preserve">Tự động tính từ tiến độ L5. Muốn thay đổi, hãy cập nhật ở lớp chi tiết hơn.</t>
      </text>
    </comment>
    <comment authorId="0" ref="D76">
      <text>
        <t xml:space="preserve">Tự động tính từ tiến độ L5. Muốn thay đổi, hãy cập nhật ở lớp chi tiết hơn.</t>
      </text>
    </comment>
    <comment authorId="0" ref="AJ75">
      <text>
        <t xml:space="preserve">L4 phải nằm trong L3; L5 phải nằm trong L4. Đúng khung = hợp lệ. Ngoài khung = vượt ngày. Chưa có hoặc thiếu = chưa đủ dữ liệu.</t>
      </text>
    </comment>
    <comment authorId="0" ref="AK7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76">
      <text>
        <t xml:space="preserve">Ngày kết thúc lớp cha tự mở rộng nếu có công việc lớp 5 kết thúc muộn hơn khung gốc.</t>
      </text>
    </comment>
    <comment authorId="0" ref="T76">
      <text>
        <t xml:space="preserve">Ngày bắt đầu lớp cha tự mở rộng nếu có công việc lớp 5 bắt đầu sớm hơn khung gốc.</t>
      </text>
    </comment>
    <comment authorId="0" ref="AF76">
      <text>
        <t xml:space="preserve">Tự động tính từ tiến độ L5. Muốn thay đổi, hãy cập nhật ở lớp chi tiết hơn.</t>
      </text>
    </comment>
    <comment authorId="0" ref="D77">
      <text>
        <t xml:space="preserve">Tự động tính từ tiến độ L5. Muốn thay đổi, hãy cập nhật ở lớp chi tiết hơn.</t>
      </text>
    </comment>
    <comment authorId="0" ref="AJ76">
      <text>
        <t xml:space="preserve">L4 phải nằm trong L3; L5 phải nằm trong L4. Đúng khung = hợp lệ. Ngoài khung = vượt ngày. Chưa có hoặc thiếu = chưa đủ dữ liệu.</t>
      </text>
    </comment>
    <comment authorId="0" ref="AK7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77">
      <text>
        <t xml:space="preserve">Ngày kết thúc lớp cha tự mở rộng nếu có công việc lớp 5 kết thúc muộn hơn khung gốc.</t>
      </text>
    </comment>
    <comment authorId="0" ref="T77">
      <text>
        <t xml:space="preserve">Ngày bắt đầu lớp cha tự mở rộng nếu có công việc lớp 5 bắt đầu sớm hơn khung gốc.</t>
      </text>
    </comment>
    <comment authorId="0" ref="AF77">
      <text>
        <t xml:space="preserve">Tự động tính từ tiến độ L5. Muốn thay đổi, hãy cập nhật ở lớp chi tiết hơn.</t>
      </text>
    </comment>
    <comment authorId="0" ref="A12">
      <text>
        <t xml:space="preserve">Sheet này là báo cáo/tổng hợp. Không nhập hoặc chỉnh sửa trực tiếp tại các dòng dữ liệu.</t>
      </text>
    </comment>
    <comment authorId="0" ref="D78">
      <text>
        <t xml:space="preserve">Tự động tính từ tiến độ L5. Muốn thay đổi, hãy cập nhật ở lớp chi tiết hơn.</t>
      </text>
    </comment>
    <comment authorId="0" ref="AJ77">
      <text>
        <t xml:space="preserve">L4 phải nằm trong L3; L5 phải nằm trong L4. Đúng khung = hợp lệ. Ngoài khung = vượt ngày. Chưa có hoặc thiếu = chưa đủ dữ liệu.</t>
      </text>
    </comment>
    <comment authorId="0" ref="AK7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78">
      <text>
        <t xml:space="preserve">Ngày kết thúc lớp cha tự mở rộng nếu có công việc lớp 5 kết thúc muộn hơn khung gốc.</t>
      </text>
    </comment>
    <comment authorId="0" ref="T78">
      <text>
        <t xml:space="preserve">Ngày bắt đầu lớp cha tự mở rộng nếu có công việc lớp 5 bắt đầu sớm hơn khung gốc.</t>
      </text>
    </comment>
    <comment authorId="0" ref="AF78">
      <text>
        <t xml:space="preserve">Tự động tính từ tiến độ L5. Muốn thay đổi, hãy cập nhật ở lớp chi tiết hơn.</t>
      </text>
    </comment>
    <comment authorId="0" ref="A13">
      <text>
        <t xml:space="preserve">Số thứ tự tự động theo các dòng có tên công việc.</t>
      </text>
    </comment>
    <comment authorId="0" ref="D79">
      <text>
        <t xml:space="preserve">Tự động tính từ tiến độ L5. Muốn thay đổi, hãy cập nhật ở lớp chi tiết hơn.</t>
      </text>
    </comment>
    <comment authorId="0" ref="B13">
      <text>
        <t xml:space="preserve">Màu nền và màu chữ của Tên công việc L4 được đồng bộ tự động theo Mức độ ưu tiên tại cột K cùng hàng.</t>
      </text>
    </comment>
    <comment authorId="0" ref="AJ78">
      <text>
        <t xml:space="preserve">L4 phải nằm trong L3; L5 phải nằm trong L4. Đúng khung = hợp lệ. Ngoài khung = vượt ngày. Chưa có hoặc thiếu = chưa đủ dữ liệu.</t>
      </text>
    </comment>
    <comment authorId="0" ref="C13">
      <text>
        <t xml:space="preserve">Quy tắc màu ưu tiên thống nhất: P1 navy đậm (#1F3A5F), P2 teal đậm (#2F7C85), P3 teal sáng (#A8D7D4), P4 teal rất nhạt (#E7F3F2).</t>
      </text>
    </comment>
    <comment authorId="0" ref="D13">
      <text>
        <t xml:space="preserve">Tỷ lệ tiến độ từ 0% đến 100%. Nếu có L5, hệ thống tổng hợp từ các công việc con.</t>
      </text>
    </comment>
    <comment authorId="0" ref="AK7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F13">
      <text>
        <t xml:space="preserve">Ngày kết thúc tự động của lớp 4. Hệ thống lấy mốc muộn hơn giữa khung gốc và các công việc lớp 5 trực thuộc.</t>
      </text>
    </comment>
    <comment authorId="0" ref="G13">
      <text>
        <t xml:space="preserve">Ngày bắt đầu tự động của lớp 4. Hệ thống lấy mốc sớm hơn giữa khung gốc và các công việc lớp 5 trực thuộc.</t>
      </text>
    </comment>
    <comment authorId="0" ref="H13">
      <text>
        <t xml:space="preserve">Có: công việc này được chia tiếp xuống Lớp 5. Không: không có công việc Lớp 5 bên dưới.</t>
      </text>
    </comment>
    <comment authorId="0" ref="I13">
      <text>
        <t xml:space="preserve">Mã L4 duy nhất, không trùng. Đây là mã cha được sử dụng tại Lớp 5.</t>
      </text>
    </comment>
    <comment authorId="0" ref="J13">
      <text>
        <t xml:space="preserve">Chọn Mã L3 cha. Các trường năm, cấp quản trị và tên công việc L3 sẽ tự kế thừa.</t>
      </text>
    </comment>
    <comment authorId="0" ref="O13">
      <text>
        <t xml:space="preserve">Màu nền và màu chữ của Tên công việc L4 được đồng bộ tự động theo Mức độ ưu tiên tại cột K cùng hàng.</t>
      </text>
    </comment>
    <comment authorId="0" ref="P13">
      <text>
        <t xml:space="preserve">Quy tắc màu ưu tiên thống nhất: P1 navy đậm (#1F3A5F), P2 teal đậm (#2F7C85), P3 teal sáng (#A8D7D4), P4 teal rất nhạt (#E7F3F2).</t>
      </text>
    </comment>
    <comment authorId="0" ref="S79">
      <text>
        <t xml:space="preserve">Ngày kết thúc lớp cha tự mở rộng nếu có công việc lớp 5 kết thúc muộn hơn khung gốc.</t>
      </text>
    </comment>
    <comment authorId="0" ref="T79">
      <text>
        <t xml:space="preserve">Ngày bắt đầu lớp cha tự mở rộng nếu có công việc lớp 5 bắt đầu sớm hơn khung gốc.</t>
      </text>
    </comment>
    <comment authorId="0" ref="S13">
      <text>
        <t xml:space="preserve">Tự tính ngày làm việc, loại Chủ nhật và ngày nghỉ lễ; thứ Bảy vẫn được tính.</t>
      </text>
    </comment>
    <comment authorId="0" ref="T13">
      <text>
        <t xml:space="preserve">Tỷ lệ tiến độ từ 0% đến 100%. Nếu có L5, hệ thống tổng hợp từ các công việc con.</t>
      </text>
    </comment>
    <comment authorId="0" ref="U13">
      <text>
        <t xml:space="preserve">Số dương là ngày còn lại; số âm là số ngày quá hạn.</t>
      </text>
    </comment>
    <comment authorId="0" ref="V13">
      <text>
        <t xml:space="preserve">Kết quả đầu ra cụ thể, có thể nghiệm thu hoặc kiểm chứng.</t>
      </text>
    </comment>
    <comment authorId="0" ref="W13">
      <text>
        <t xml:space="preserve">Mô tả lợi ích hoặc thay đổi cụ thể mà công việc tạo ra.</t>
      </text>
    </comment>
    <comment authorId="0" ref="Y13">
      <text>
        <t xml:space="preserve">Người Lead điều phối/chịu trách nhiệm chung; tải cá nhân được tính theo Người thực hiện.</t>
      </text>
    </comment>
    <comment authorId="0" ref="Z13">
      <text>
        <t xml:space="preserve">Người trực tiếp thực hiện và được dùng để tính tải công việc.</t>
      </text>
    </comment>
    <comment authorId="0" ref="AB13">
      <text>
        <t xml:space="preserve">Quy tắc màu ưu tiên thống nhất: P1 navy đậm (#1F3A5F), P2 teal đậm (#2F7C85), P3 teal sáng (#A8D7D4), P4 teal rất nhạt (#E7F3F2).</t>
      </text>
    </comment>
    <comment authorId="0" ref="AF79">
      <text>
        <t xml:space="preserve">Tự động tính từ tiến độ L5. Muốn thay đổi, hãy cập nhật ở lớp chi tiết hơn.</t>
      </text>
    </comment>
    <comment authorId="0" ref="AE13">
      <text>
        <t xml:space="preserve">Tự tính ngày làm việc, loại Chủ nhật và ngày nghỉ lễ; thứ Bảy vẫn được tính.</t>
      </text>
    </comment>
    <comment authorId="0" ref="AF13">
      <text>
        <t xml:space="preserve">Tỷ lệ tiến độ từ 0% đến 100%. Nếu có L5, hệ thống tổng hợp từ các công việc con.</t>
      </text>
    </comment>
    <comment authorId="0" ref="D80">
      <text>
        <t xml:space="preserve">Tự động tính từ tiến độ L5. Muốn thay đổi, hãy cập nhật ở lớp chi tiết hơn.</t>
      </text>
    </comment>
    <comment authorId="0" ref="AG13">
      <text>
        <t xml:space="preserve">Số dương là ngày còn lại; số âm là số ngày quá hạn.</t>
      </text>
    </comment>
    <comment authorId="0" ref="AJ79">
      <text>
        <t xml:space="preserve">L4 phải nằm trong L3; L5 phải nằm trong L4. Đúng khung = hợp lệ. Ngoài khung = vượt ngày. Chưa có hoặc thiếu = chưa đủ dữ liệu.</t>
      </text>
    </comment>
    <comment authorId="0" ref="AH13">
      <text>
        <t xml:space="preserve">Tổng số giờ ước tính của toàn bộ công việc L4.</t>
      </text>
    </comment>
    <comment authorId="0" ref="AI13">
      <text>
        <t xml:space="preserve">Số giờ công việc yêu cầu trung bình trong một ngày làm việc.</t>
      </text>
    </comment>
    <comment authorId="0" ref="D14">
      <text>
        <t xml:space="preserve">Tự động tính từ tiến độ L5. Muốn thay đổi, hãy cập nhật ở lớp chi tiết hơn.</t>
      </text>
    </comment>
    <comment authorId="0" ref="AK7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3">
      <text>
        <t xml:space="preserve">Đối chiếu thời gian Lớp 4 với Lớp 3 và các công việc Lớp 5.</t>
      </text>
    </comment>
    <comment authorId="0" ref="AK13">
      <text>
        <t xml:space="preserve">Cảnh báo tải của người thực hiện: bình thường, cận tải hoặc quá tải.</t>
      </text>
    </comment>
    <comment authorId="0" ref="AL13">
      <text>
        <t xml:space="preserve">Chọn cách công việc được xếp lịch: có thời hạn, định kỳ, khi phát sinh hoặc chưa xếp lịch.</t>
      </text>
    </comment>
    <comment authorId="0" ref="AM13">
      <text>
        <t xml:space="preserve">Tần suất lặp lại, chỉ dùng khi Loại lịch là Định kỳ.</t>
      </text>
    </comment>
    <comment authorId="0" ref="AN13">
      <text>
        <t xml:space="preserve">Ngày dự kiến kiểm tra hoặc cập nhật lại công việc.</t>
      </text>
    </comment>
    <comment authorId="0" ref="AO13">
      <text>
        <t xml:space="preserve">Ngày công việc thực sự hoàn tất; chỉ nhập khi trạng thái là Hoàn thành.</t>
      </text>
    </comment>
    <comment authorId="0" ref="AP13">
      <text>
        <t xml:space="preserve">Tháng hoàn thành thực tế, hệ thống tự xác định từ ngày hoàn thành.</t>
      </text>
    </comment>
    <comment authorId="0" ref="AQ13">
      <text>
        <t xml:space="preserve">Đường dẫn tới kết quả hoặc bằng chứng hoàn thành của công việc.</t>
      </text>
    </comment>
    <comment authorId="0" ref="AR13">
      <text>
        <t xml:space="preserve">Đơn vị tính cho mức phân bổ: ngày hoặc tuần.</t>
      </text>
    </comment>
    <comment authorId="0" ref="AS13">
      <text>
        <t xml:space="preserve">Số giờ dự kiến dành cho công việc trong mỗi ngày hoặc tuần.</t>
      </text>
    </comment>
    <comment authorId="0" ref="AT13">
      <text>
        <t xml:space="preserve">Ô tự tính nhu cầu giờ cần phân bổ để hoàn thành đúng hạn cho công việc L4 không có L5 đang hiệu lực. Công thức: Khối lượng còn lại = Khối lượng ước tính × (1 - % hoàn thành); Giờ/ngày cần = Khối lượng còn lại ÷ số ngày làm việc còn lại; nếu Đơn vị phân bổ = Tuần thì nhân 5. Ô chỉ hiển thị khi Loại lịch = Có thời hạn, có Mã L4, có Khối lượng ước tính, trạng thái không phải Hoàn thành/Hủy, Đơn vị phân bổ là Ngày hoặc Tuần và không có L5 chưa Hủy.</t>
      </text>
    </comment>
    <comment authorId="0" ref="AU13">
      <text>
        <t xml:space="preserve">So sánh giờ đã phân bổ với số giờ cần thiết để kịp hạn.</t>
      </text>
    </comment>
    <comment authorId="0" ref="S80">
      <text>
        <t xml:space="preserve">Ngày kết thúc lớp cha tự mở rộng nếu có công việc lớp 5 kết thúc muộn hơn khung gốc.</t>
      </text>
    </comment>
    <comment authorId="0" ref="AV13">
      <text>
        <t xml:space="preserve">CỘT TỰ ĐỘNG — KHÔNG NHẬP DỮ LIỆU.
Cột này đối chiếu sự phù hợp giữa: Trạng thái, Ngày bắt đầu, Ngày kết thúc, % hoàn thành, Ngày hoàn thành thực tế và Đường link kết quả.
• OK: Dữ liệu hiện tại hợp lý, chưa phát hiện mâu thuẫn.
• Nếu hiện nội dung khác OK: Đó là cảnh báo cần kiểm tra và sửa theo đúng nội dung hiển thị.
Ví dụ:
- “Thiếu ngày bắt đầu/kết thúc”: cần nhập đủ ngày.
- “Ngày kết thúc trước ngày bắt đầu”: cần sửa lại thứ tự ngày.
- “Tiến độ 100% – chuyển Hoàn thành”: cần đổi trạng thái thành Hoàn thành.
- “Thiếu đường link kết quả”: công việc Hoàn thành nhưng chưa có link kết quả.
- “Quá hạn nhưng chưa bắt đầu”: ngày kết thúc đã qua nhưng trạng thái vẫn Chưa bắt đầu.</t>
      </text>
    </comment>
    <comment authorId="0" ref="AW13">
      <text>
        <t xml:space="preserve">Dán liên kết tới báo cáo, tệp hoặc kết quả đã hoàn thành.</t>
      </text>
    </comment>
    <comment authorId="0" ref="T80">
      <text>
        <t xml:space="preserve">Ngày bắt đầu lớp cha tự mở rộng nếu có công việc lớp 5 bắt đầu sớm hơn khung gốc.</t>
      </text>
    </comment>
    <comment authorId="0" ref="S14">
      <text>
        <t xml:space="preserve">Ngày kết thúc lớp cha tự mở rộng nếu có công việc lớp 5 kết thúc muộn hơn khung gốc.</t>
      </text>
    </comment>
    <comment authorId="0" ref="T14">
      <text>
        <t xml:space="preserve">Ngày bắt đầu lớp cha tự mở rộng nếu có công việc lớp 5 bắt đầu sớm hơn khung gốc.</t>
      </text>
    </comment>
    <comment authorId="0" ref="AF80">
      <text>
        <t xml:space="preserve">Tự động tính từ tiến độ L5. Muốn thay đổi, hãy cập nhật ở lớp chi tiết hơn.</t>
      </text>
    </comment>
    <comment authorId="0" ref="AF14">
      <text>
        <t xml:space="preserve">Tự động tính từ tiến độ L5. Muốn thay đổi, hãy cập nhật ở lớp chi tiết hơn.</t>
      </text>
    </comment>
    <comment authorId="0" ref="D81">
      <text>
        <t xml:space="preserve">Tự động tính từ tiến độ L5. Muốn thay đổi, hãy cập nhật ở lớp chi tiết hơn.</t>
      </text>
    </comment>
    <comment authorId="0" ref="AJ80">
      <text>
        <t xml:space="preserve">L4 phải nằm trong L3; L5 phải nằm trong L4. Đúng khung = hợp lệ. Ngoài khung = vượt ngày. Chưa có hoặc thiếu = chưa đủ dữ liệu.</t>
      </text>
    </comment>
    <comment authorId="0" ref="D15">
      <text>
        <t xml:space="preserve">Tự động tính từ tiến độ L5. Muốn thay đổi, hãy cập nhật ở lớp chi tiết hơn.</t>
      </text>
    </comment>
    <comment authorId="0" ref="AK8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4">
      <text>
        <t xml:space="preserve">L4 phải nằm trong L3; L5 phải nằm trong L4. Đúng khung = hợp lệ. Ngoài khung = vượt ngày. Chưa có hoặc thiếu = chưa đủ dữ liệu.</t>
      </text>
    </comment>
    <comment authorId="0" ref="AK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1">
      <text>
        <t xml:space="preserve">Ngày kết thúc lớp cha tự mở rộng nếu có công việc lớp 5 kết thúc muộn hơn khung gốc.</t>
      </text>
    </comment>
    <comment authorId="0" ref="T81">
      <text>
        <t xml:space="preserve">Ngày bắt đầu lớp cha tự mở rộng nếu có công việc lớp 5 bắt đầu sớm hơn khung gốc.</t>
      </text>
    </comment>
    <comment authorId="0" ref="S15">
      <text>
        <t xml:space="preserve">Ngày kết thúc lớp cha tự mở rộng nếu có công việc lớp 5 kết thúc muộn hơn khung gốc.</t>
      </text>
    </comment>
    <comment authorId="0" ref="T15">
      <text>
        <t xml:space="preserve">Ngày bắt đầu lớp cha tự mở rộng nếu có công việc lớp 5 bắt đầu sớm hơn khung gốc.</t>
      </text>
    </comment>
    <comment authorId="0" ref="AF81">
      <text>
        <t xml:space="preserve">Tự động tính từ tiến độ L5. Muốn thay đổi, hãy cập nhật ở lớp chi tiết hơn.</t>
      </text>
    </comment>
    <comment authorId="0" ref="AF15">
      <text>
        <t xml:space="preserve">Tự động tính từ tiến độ L5. Muốn thay đổi, hãy cập nhật ở lớp chi tiết hơn.</t>
      </text>
    </comment>
    <comment authorId="0" ref="D82">
      <text>
        <t xml:space="preserve">Tự động tính từ tiến độ L5. Muốn thay đổi, hãy cập nhật ở lớp chi tiết hơn.</t>
      </text>
    </comment>
    <comment authorId="0" ref="AJ81">
      <text>
        <t xml:space="preserve">L4 phải nằm trong L3; L5 phải nằm trong L4. Đúng khung = hợp lệ. Ngoài khung = vượt ngày. Chưa có hoặc thiếu = chưa đủ dữ liệu.</t>
      </text>
    </comment>
    <comment authorId="0" ref="D16">
      <text>
        <t xml:space="preserve">Tự động tính từ tiến độ L5. Muốn thay đổi, hãy cập nhật ở lớp chi tiết hơn.</t>
      </text>
    </comment>
    <comment authorId="0" ref="AK8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5">
      <text>
        <t xml:space="preserve">L4 phải nằm trong L3; L5 phải nằm trong L4. Đúng khung = hợp lệ. Ngoài khung = vượt ngày. Chưa có hoặc thiếu = chưa đủ dữ liệu.</t>
      </text>
    </comment>
    <comment authorId="0" ref="AK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2">
      <text>
        <t xml:space="preserve">Ngày kết thúc lớp cha tự mở rộng nếu có công việc lớp 5 kết thúc muộn hơn khung gốc.</t>
      </text>
    </comment>
    <comment authorId="0" ref="T82">
      <text>
        <t xml:space="preserve">Ngày bắt đầu lớp cha tự mở rộng nếu có công việc lớp 5 bắt đầu sớm hơn khung gốc.</t>
      </text>
    </comment>
    <comment authorId="0" ref="S16">
      <text>
        <t xml:space="preserve">Ngày kết thúc lớp cha tự mở rộng nếu có công việc lớp 5 kết thúc muộn hơn khung gốc.</t>
      </text>
    </comment>
    <comment authorId="0" ref="T16">
      <text>
        <t xml:space="preserve">Ngày bắt đầu lớp cha tự mở rộng nếu có công việc lớp 5 bắt đầu sớm hơn khung gốc.</t>
      </text>
    </comment>
    <comment authorId="0" ref="AF82">
      <text>
        <t xml:space="preserve">Tự động tính từ tiến độ L5. Muốn thay đổi, hãy cập nhật ở lớp chi tiết hơn.</t>
      </text>
    </comment>
    <comment authorId="0" ref="AF16">
      <text>
        <t xml:space="preserve">Tự động tính từ tiến độ L5. Muốn thay đổi, hãy cập nhật ở lớp chi tiết hơn.</t>
      </text>
    </comment>
    <comment authorId="0" ref="D83">
      <text>
        <t xml:space="preserve">Tự động tính từ tiến độ L5. Muốn thay đổi, hãy cập nhật ở lớp chi tiết hơn.</t>
      </text>
    </comment>
    <comment authorId="0" ref="AJ82">
      <text>
        <t xml:space="preserve">L4 phải nằm trong L3; L5 phải nằm trong L4. Đúng khung = hợp lệ. Ngoài khung = vượt ngày. Chưa có hoặc thiếu = chưa đủ dữ liệu.</t>
      </text>
    </comment>
    <comment authorId="0" ref="D17">
      <text>
        <t xml:space="preserve">Tự động tính từ tiến độ L5. Muốn thay đổi, hãy cập nhật ở lớp chi tiết hơn.</t>
      </text>
    </comment>
    <comment authorId="0" ref="AK8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6">
      <text>
        <t xml:space="preserve">L4 phải nằm trong L3; L5 phải nằm trong L4. Đúng khung = hợp lệ. Ngoài khung = vượt ngày. Chưa có hoặc thiếu = chưa đủ dữ liệu.</t>
      </text>
    </comment>
    <comment authorId="0" ref="AK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3">
      <text>
        <t xml:space="preserve">Ngày kết thúc lớp cha tự mở rộng nếu có công việc lớp 5 kết thúc muộn hơn khung gốc.</t>
      </text>
    </comment>
    <comment authorId="0" ref="T83">
      <text>
        <t xml:space="preserve">Ngày bắt đầu lớp cha tự mở rộng nếu có công việc lớp 5 bắt đầu sớm hơn khung gốc.</t>
      </text>
    </comment>
    <comment authorId="0" ref="S17">
      <text>
        <t xml:space="preserve">Ngày kết thúc lớp cha tự mở rộng nếu có công việc lớp 5 kết thúc muộn hơn khung gốc.</t>
      </text>
    </comment>
    <comment authorId="0" ref="T17">
      <text>
        <t xml:space="preserve">Ngày bắt đầu lớp cha tự mở rộng nếu có công việc lớp 5 bắt đầu sớm hơn khung gốc.</t>
      </text>
    </comment>
    <comment authorId="0" ref="AF83">
      <text>
        <t xml:space="preserve">Tự động tính từ tiến độ L5. Muốn thay đổi, hãy cập nhật ở lớp chi tiết hơn.</t>
      </text>
    </comment>
    <comment authorId="0" ref="AF17">
      <text>
        <t xml:space="preserve">Tự động tính từ tiến độ L5. Muốn thay đổi, hãy cập nhật ở lớp chi tiết hơn.</t>
      </text>
    </comment>
    <comment authorId="0" ref="D84">
      <text>
        <t xml:space="preserve">Tự động tính từ tiến độ L5. Muốn thay đổi, hãy cập nhật ở lớp chi tiết hơn.</t>
      </text>
    </comment>
    <comment authorId="0" ref="AJ83">
      <text>
        <t xml:space="preserve">L4 phải nằm trong L3; L5 phải nằm trong L4. Đúng khung = hợp lệ. Ngoài khung = vượt ngày. Chưa có hoặc thiếu = chưa đủ dữ liệu.</t>
      </text>
    </comment>
    <comment authorId="0" ref="D18">
      <text>
        <t xml:space="preserve">Tự động tính từ tiến độ L5. Muốn thay đổi, hãy cập nhật ở lớp chi tiết hơn.</t>
      </text>
    </comment>
    <comment authorId="0" ref="AK8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7">
      <text>
        <t xml:space="preserve">L4 phải nằm trong L3; L5 phải nằm trong L4. Đúng khung = hợp lệ. Ngoài khung = vượt ngày. Chưa có hoặc thiếu = chưa đủ dữ liệu.</t>
      </text>
    </comment>
    <comment authorId="0" ref="AK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4">
      <text>
        <t xml:space="preserve">Ngày kết thúc lớp cha tự mở rộng nếu có công việc lớp 5 kết thúc muộn hơn khung gốc.</t>
      </text>
    </comment>
    <comment authorId="0" ref="T84">
      <text>
        <t xml:space="preserve">Ngày bắt đầu lớp cha tự mở rộng nếu có công việc lớp 5 bắt đầu sớm hơn khung gốc.</t>
      </text>
    </comment>
    <comment authorId="0" ref="S18">
      <text>
        <t xml:space="preserve">Ngày kết thúc lớp cha tự mở rộng nếu có công việc lớp 5 kết thúc muộn hơn khung gốc.</t>
      </text>
    </comment>
    <comment authorId="0" ref="T18">
      <text>
        <t xml:space="preserve">Ngày bắt đầu lớp cha tự mở rộng nếu có công việc lớp 5 bắt đầu sớm hơn khung gốc.</t>
      </text>
    </comment>
    <comment authorId="0" ref="AF84">
      <text>
        <t xml:space="preserve">Tự động tính từ tiến độ L5. Muốn thay đổi, hãy cập nhật ở lớp chi tiết hơn.</t>
      </text>
    </comment>
    <comment authorId="0" ref="AF18">
      <text>
        <t xml:space="preserve">Tự động tính từ tiến độ L5. Muốn thay đổi, hãy cập nhật ở lớp chi tiết hơn.</t>
      </text>
    </comment>
    <comment authorId="0" ref="D85">
      <text>
        <t xml:space="preserve">Tự động tính từ tiến độ L5. Muốn thay đổi, hãy cập nhật ở lớp chi tiết hơn.</t>
      </text>
    </comment>
    <comment authorId="0" ref="AJ84">
      <text>
        <t xml:space="preserve">L4 phải nằm trong L3; L5 phải nằm trong L4. Đúng khung = hợp lệ. Ngoài khung = vượt ngày. Chưa có hoặc thiếu = chưa đủ dữ liệu.</t>
      </text>
    </comment>
    <comment authorId="0" ref="D19">
      <text>
        <t xml:space="preserve">Tự động tính từ tiến độ L5. Muốn thay đổi, hãy cập nhật ở lớp chi tiết hơn.</t>
      </text>
    </comment>
    <comment authorId="0" ref="AK8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8">
      <text>
        <t xml:space="preserve">L4 phải nằm trong L3; L5 phải nằm trong L4. Đúng khung = hợp lệ. Ngoài khung = vượt ngày. Chưa có hoặc thiếu = chưa đủ dữ liệu.</t>
      </text>
    </comment>
    <comment authorId="0" ref="AK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5">
      <text>
        <t xml:space="preserve">Ngày kết thúc lớp cha tự mở rộng nếu có công việc lớp 5 kết thúc muộn hơn khung gốc.</t>
      </text>
    </comment>
    <comment authorId="0" ref="T85">
      <text>
        <t xml:space="preserve">Ngày bắt đầu lớp cha tự mở rộng nếu có công việc lớp 5 bắt đầu sớm hơn khung gốc.</t>
      </text>
    </comment>
    <comment authorId="0" ref="S19">
      <text>
        <t xml:space="preserve">Ngày kết thúc lớp cha tự mở rộng nếu có công việc lớp 5 kết thúc muộn hơn khung gốc.</t>
      </text>
    </comment>
    <comment authorId="0" ref="T19">
      <text>
        <t xml:space="preserve">Ngày bắt đầu lớp cha tự mở rộng nếu có công việc lớp 5 bắt đầu sớm hơn khung gốc.</t>
      </text>
    </comment>
    <comment authorId="0" ref="AF85">
      <text>
        <t xml:space="preserve">Tự động tính từ tiến độ L5. Muốn thay đổi, hãy cập nhật ở lớp chi tiết hơn.</t>
      </text>
    </comment>
    <comment authorId="0" ref="AF19">
      <text>
        <t xml:space="preserve">Tự động tính từ tiến độ L5. Muốn thay đổi, hãy cập nhật ở lớp chi tiết hơn.</t>
      </text>
    </comment>
    <comment authorId="0" ref="D86">
      <text>
        <t xml:space="preserve">Tự động tính từ tiến độ L5. Muốn thay đổi, hãy cập nhật ở lớp chi tiết hơn.</t>
      </text>
    </comment>
    <comment authorId="0" ref="AJ85">
      <text>
        <t xml:space="preserve">L4 phải nằm trong L3; L5 phải nằm trong L4. Đúng khung = hợp lệ. Ngoài khung = vượt ngày. Chưa có hoặc thiếu = chưa đủ dữ liệu.</t>
      </text>
    </comment>
    <comment authorId="0" ref="D20">
      <text>
        <t xml:space="preserve">Tự động tính từ tiến độ L5. Muốn thay đổi, hãy cập nhật ở lớp chi tiết hơn.</t>
      </text>
    </comment>
    <comment authorId="0" ref="AK8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9">
      <text>
        <t xml:space="preserve">L4 phải nằm trong L3; L5 phải nằm trong L4. Đúng khung = hợp lệ. Ngoài khung = vượt ngày. Chưa có hoặc thiếu = chưa đủ dữ liệu.</t>
      </text>
    </comment>
    <comment authorId="0" ref="AK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6">
      <text>
        <t xml:space="preserve">Ngày kết thúc lớp cha tự mở rộng nếu có công việc lớp 5 kết thúc muộn hơn khung gốc.</t>
      </text>
    </comment>
    <comment authorId="0" ref="T86">
      <text>
        <t xml:space="preserve">Ngày bắt đầu lớp cha tự mở rộng nếu có công việc lớp 5 bắt đầu sớm hơn khung gốc.</t>
      </text>
    </comment>
    <comment authorId="0" ref="S20">
      <text>
        <t xml:space="preserve">Ngày kết thúc lớp cha tự mở rộng nếu có công việc lớp 5 kết thúc muộn hơn khung gốc.</t>
      </text>
    </comment>
    <comment authorId="0" ref="T20">
      <text>
        <t xml:space="preserve">Ngày bắt đầu lớp cha tự mở rộng nếu có công việc lớp 5 bắt đầu sớm hơn khung gốc.</t>
      </text>
    </comment>
    <comment authorId="0" ref="AF86">
      <text>
        <t xml:space="preserve">Tự động tính từ tiến độ L5. Muốn thay đổi, hãy cập nhật ở lớp chi tiết hơn.</t>
      </text>
    </comment>
    <comment authorId="0" ref="AF20">
      <text>
        <t xml:space="preserve">Tự động tính từ tiến độ L5. Muốn thay đổi, hãy cập nhật ở lớp chi tiết hơn.</t>
      </text>
    </comment>
    <comment authorId="0" ref="D87">
      <text>
        <t xml:space="preserve">Tự động tính từ tiến độ L5. Muốn thay đổi, hãy cập nhật ở lớp chi tiết hơn.</t>
      </text>
    </comment>
    <comment authorId="0" ref="AJ86">
      <text>
        <t xml:space="preserve">L4 phải nằm trong L3; L5 phải nằm trong L4. Đúng khung = hợp lệ. Ngoài khung = vượt ngày. Chưa có hoặc thiếu = chưa đủ dữ liệu.</t>
      </text>
    </comment>
    <comment authorId="0" ref="D21">
      <text>
        <t xml:space="preserve">Tự động tính từ tiến độ L5. Muốn thay đổi, hãy cập nhật ở lớp chi tiết hơn.</t>
      </text>
    </comment>
    <comment authorId="0" ref="AK8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0">
      <text>
        <t xml:space="preserve">L4 phải nằm trong L3; L5 phải nằm trong L4. Đúng khung = hợp lệ. Ngoài khung = vượt ngày. Chưa có hoặc thiếu = chưa đủ dữ liệu.</t>
      </text>
    </comment>
    <comment authorId="0" ref="AK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7">
      <text>
        <t xml:space="preserve">Ngày kết thúc lớp cha tự mở rộng nếu có công việc lớp 5 kết thúc muộn hơn khung gốc.</t>
      </text>
    </comment>
    <comment authorId="0" ref="T87">
      <text>
        <t xml:space="preserve">Ngày bắt đầu lớp cha tự mở rộng nếu có công việc lớp 5 bắt đầu sớm hơn khung gốc.</t>
      </text>
    </comment>
    <comment authorId="0" ref="S21">
      <text>
        <t xml:space="preserve">Ngày kết thúc lớp cha tự mở rộng nếu có công việc lớp 5 kết thúc muộn hơn khung gốc.</t>
      </text>
    </comment>
    <comment authorId="0" ref="T21">
      <text>
        <t xml:space="preserve">Ngày bắt đầu lớp cha tự mở rộng nếu có công việc lớp 5 bắt đầu sớm hơn khung gốc.</t>
      </text>
    </comment>
    <comment authorId="0" ref="AF87">
      <text>
        <t xml:space="preserve">Tự động tính từ tiến độ L5. Muốn thay đổi, hãy cập nhật ở lớp chi tiết hơn.</t>
      </text>
    </comment>
    <comment authorId="0" ref="AF21">
      <text>
        <t xml:space="preserve">Tự động tính từ tiến độ L5. Muốn thay đổi, hãy cập nhật ở lớp chi tiết hơn.</t>
      </text>
    </comment>
    <comment authorId="0" ref="D88">
      <text>
        <t xml:space="preserve">Tự động tính từ tiến độ L5. Muốn thay đổi, hãy cập nhật ở lớp chi tiết hơn.</t>
      </text>
    </comment>
    <comment authorId="0" ref="AJ87">
      <text>
        <t xml:space="preserve">L4 phải nằm trong L3; L5 phải nằm trong L4. Đúng khung = hợp lệ. Ngoài khung = vượt ngày. Chưa có hoặc thiếu = chưa đủ dữ liệu.</t>
      </text>
    </comment>
    <comment authorId="0" ref="D22">
      <text>
        <t xml:space="preserve">Tự động tính từ tiến độ L5. Muốn thay đổi, hãy cập nhật ở lớp chi tiết hơn.</t>
      </text>
    </comment>
    <comment authorId="0" ref="AK8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1">
      <text>
        <t xml:space="preserve">L4 phải nằm trong L3; L5 phải nằm trong L4. Đúng khung = hợp lệ. Ngoài khung = vượt ngày. Chưa có hoặc thiếu = chưa đủ dữ liệu.</t>
      </text>
    </comment>
    <comment authorId="0" ref="AK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8">
      <text>
        <t xml:space="preserve">Ngày kết thúc lớp cha tự mở rộng nếu có công việc lớp 5 kết thúc muộn hơn khung gốc.</t>
      </text>
    </comment>
    <comment authorId="0" ref="T88">
      <text>
        <t xml:space="preserve">Ngày bắt đầu lớp cha tự mở rộng nếu có công việc lớp 5 bắt đầu sớm hơn khung gốc.</t>
      </text>
    </comment>
    <comment authorId="0" ref="S22">
      <text>
        <t xml:space="preserve">Ngày kết thúc lớp cha tự mở rộng nếu có công việc lớp 5 kết thúc muộn hơn khung gốc.</t>
      </text>
    </comment>
    <comment authorId="0" ref="T22">
      <text>
        <t xml:space="preserve">Ngày bắt đầu lớp cha tự mở rộng nếu có công việc lớp 5 bắt đầu sớm hơn khung gốc.</t>
      </text>
    </comment>
    <comment authorId="0" ref="AF88">
      <text>
        <t xml:space="preserve">Tự động tính từ tiến độ L5. Muốn thay đổi, hãy cập nhật ở lớp chi tiết hơn.</t>
      </text>
    </comment>
    <comment authorId="0" ref="AF22">
      <text>
        <t xml:space="preserve">Tự động tính từ tiến độ L5. Muốn thay đổi, hãy cập nhật ở lớp chi tiết hơn.</t>
      </text>
    </comment>
    <comment authorId="0" ref="D89">
      <text>
        <t xml:space="preserve">Tự động tính từ tiến độ L5. Muốn thay đổi, hãy cập nhật ở lớp chi tiết hơn.</t>
      </text>
    </comment>
    <comment authorId="0" ref="AJ88">
      <text>
        <t xml:space="preserve">L4 phải nằm trong L3; L5 phải nằm trong L4. Đúng khung = hợp lệ. Ngoài khung = vượt ngày. Chưa có hoặc thiếu = chưa đủ dữ liệu.</t>
      </text>
    </comment>
    <comment authorId="0" ref="D23">
      <text>
        <t xml:space="preserve">Tự động tính từ tiến độ L5. Muốn thay đổi, hãy cập nhật ở lớp chi tiết hơn.</t>
      </text>
    </comment>
    <comment authorId="0" ref="AK8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2">
      <text>
        <t xml:space="preserve">L4 phải nằm trong L3; L5 phải nằm trong L4. Đúng khung = hợp lệ. Ngoài khung = vượt ngày. Chưa có hoặc thiếu = chưa đủ dữ liệu.</t>
      </text>
    </comment>
    <comment authorId="0" ref="AK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89">
      <text>
        <t xml:space="preserve">Ngày kết thúc lớp cha tự mở rộng nếu có công việc lớp 5 kết thúc muộn hơn khung gốc.</t>
      </text>
    </comment>
    <comment authorId="0" ref="T89">
      <text>
        <t xml:space="preserve">Ngày bắt đầu lớp cha tự mở rộng nếu có công việc lớp 5 bắt đầu sớm hơn khung gốc.</t>
      </text>
    </comment>
    <comment authorId="0" ref="S23">
      <text>
        <t xml:space="preserve">Ngày kết thúc lớp cha tự mở rộng nếu có công việc lớp 5 kết thúc muộn hơn khung gốc.</t>
      </text>
    </comment>
    <comment authorId="0" ref="T23">
      <text>
        <t xml:space="preserve">Ngày bắt đầu lớp cha tự mở rộng nếu có công việc lớp 5 bắt đầu sớm hơn khung gốc.</t>
      </text>
    </comment>
    <comment authorId="0" ref="AF89">
      <text>
        <t xml:space="preserve">Tự động tính từ tiến độ L5. Muốn thay đổi, hãy cập nhật ở lớp chi tiết hơn.</t>
      </text>
    </comment>
    <comment authorId="0" ref="AF23">
      <text>
        <t xml:space="preserve">Tự động tính từ tiến độ L5. Muốn thay đổi, hãy cập nhật ở lớp chi tiết hơn.</t>
      </text>
    </comment>
    <comment authorId="0" ref="D90">
      <text>
        <t xml:space="preserve">Tự động tính từ tiến độ L5. Muốn thay đổi, hãy cập nhật ở lớp chi tiết hơn.</t>
      </text>
    </comment>
    <comment authorId="0" ref="AJ89">
      <text>
        <t xml:space="preserve">L4 phải nằm trong L3; L5 phải nằm trong L4. Đúng khung = hợp lệ. Ngoài khung = vượt ngày. Chưa có hoặc thiếu = chưa đủ dữ liệu.</t>
      </text>
    </comment>
    <comment authorId="0" ref="D24">
      <text>
        <t xml:space="preserve">Tự động tính từ tiến độ L5. Muốn thay đổi, hãy cập nhật ở lớp chi tiết hơn.</t>
      </text>
    </comment>
    <comment authorId="0" ref="AK8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3">
      <text>
        <t xml:space="preserve">L4 phải nằm trong L3; L5 phải nằm trong L4. Đúng khung = hợp lệ. Ngoài khung = vượt ngày. Chưa có hoặc thiếu = chưa đủ dữ liệu.</t>
      </text>
    </comment>
    <comment authorId="0" ref="AK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0">
      <text>
        <t xml:space="preserve">Ngày kết thúc lớp cha tự mở rộng nếu có công việc lớp 5 kết thúc muộn hơn khung gốc.</t>
      </text>
    </comment>
    <comment authorId="0" ref="T90">
      <text>
        <t xml:space="preserve">Ngày bắt đầu lớp cha tự mở rộng nếu có công việc lớp 5 bắt đầu sớm hơn khung gốc.</t>
      </text>
    </comment>
    <comment authorId="0" ref="S24">
      <text>
        <t xml:space="preserve">Ngày kết thúc lớp cha tự mở rộng nếu có công việc lớp 5 kết thúc muộn hơn khung gốc.</t>
      </text>
    </comment>
    <comment authorId="0" ref="T24">
      <text>
        <t xml:space="preserve">Ngày bắt đầu lớp cha tự mở rộng nếu có công việc lớp 5 bắt đầu sớm hơn khung gốc.</t>
      </text>
    </comment>
    <comment authorId="0" ref="AF90">
      <text>
        <t xml:space="preserve">Tự động tính từ tiến độ L5. Muốn thay đổi, hãy cập nhật ở lớp chi tiết hơn.</t>
      </text>
    </comment>
    <comment authorId="0" ref="AF24">
      <text>
        <t xml:space="preserve">Tự động tính từ tiến độ L5. Muốn thay đổi, hãy cập nhật ở lớp chi tiết hơn.</t>
      </text>
    </comment>
    <comment authorId="0" ref="D91">
      <text>
        <t xml:space="preserve">Tự động tính từ tiến độ L5. Muốn thay đổi, hãy cập nhật ở lớp chi tiết hơn.</t>
      </text>
    </comment>
    <comment authorId="0" ref="AJ90">
      <text>
        <t xml:space="preserve">L4 phải nằm trong L3; L5 phải nằm trong L4. Đúng khung = hợp lệ. Ngoài khung = vượt ngày. Chưa có hoặc thiếu = chưa đủ dữ liệu.</t>
      </text>
    </comment>
    <comment authorId="0" ref="D25">
      <text>
        <t xml:space="preserve">Tự động tính từ tiến độ L5. Muốn thay đổi, hãy cập nhật ở lớp chi tiết hơn.</t>
      </text>
    </comment>
    <comment authorId="0" ref="AK9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4">
      <text>
        <t xml:space="preserve">L4 phải nằm trong L3; L5 phải nằm trong L4. Đúng khung = hợp lệ. Ngoài khung = vượt ngày. Chưa có hoặc thiếu = chưa đủ dữ liệu.</t>
      </text>
    </comment>
    <comment authorId="0" ref="AK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1">
      <text>
        <t xml:space="preserve">Ngày kết thúc lớp cha tự mở rộng nếu có công việc lớp 5 kết thúc muộn hơn khung gốc.</t>
      </text>
    </comment>
    <comment authorId="0" ref="T91">
      <text>
        <t xml:space="preserve">Ngày bắt đầu lớp cha tự mở rộng nếu có công việc lớp 5 bắt đầu sớm hơn khung gốc.</t>
      </text>
    </comment>
    <comment authorId="0" ref="S25">
      <text>
        <t xml:space="preserve">Ngày kết thúc lớp cha tự mở rộng nếu có công việc lớp 5 kết thúc muộn hơn khung gốc.</t>
      </text>
    </comment>
    <comment authorId="0" ref="T25">
      <text>
        <t xml:space="preserve">Ngày bắt đầu lớp cha tự mở rộng nếu có công việc lớp 5 bắt đầu sớm hơn khung gốc.</t>
      </text>
    </comment>
    <comment authorId="0" ref="AF91">
      <text>
        <t xml:space="preserve">Tự động tính từ tiến độ L5. Muốn thay đổi, hãy cập nhật ở lớp chi tiết hơn.</t>
      </text>
    </comment>
    <comment authorId="0" ref="AF25">
      <text>
        <t xml:space="preserve">Tự động tính từ tiến độ L5. Muốn thay đổi, hãy cập nhật ở lớp chi tiết hơn.</t>
      </text>
    </comment>
    <comment authorId="0" ref="D92">
      <text>
        <t xml:space="preserve">Tự động tính từ tiến độ L5. Muốn thay đổi, hãy cập nhật ở lớp chi tiết hơn.</t>
      </text>
    </comment>
    <comment authorId="0" ref="AJ91">
      <text>
        <t xml:space="preserve">L4 phải nằm trong L3; L5 phải nằm trong L4. Đúng khung = hợp lệ. Ngoài khung = vượt ngày. Chưa có hoặc thiếu = chưa đủ dữ liệu.</t>
      </text>
    </comment>
    <comment authorId="0" ref="D26">
      <text>
        <t xml:space="preserve">Tự động tính từ tiến độ L5. Muốn thay đổi, hãy cập nhật ở lớp chi tiết hơn.</t>
      </text>
    </comment>
    <comment authorId="0" ref="AK9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5">
      <text>
        <t xml:space="preserve">L4 phải nằm trong L3; L5 phải nằm trong L4. Đúng khung = hợp lệ. Ngoài khung = vượt ngày. Chưa có hoặc thiếu = chưa đủ dữ liệu.</t>
      </text>
    </comment>
    <comment authorId="0" ref="AK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2">
      <text>
        <t xml:space="preserve">Ngày kết thúc lớp cha tự mở rộng nếu có công việc lớp 5 kết thúc muộn hơn khung gốc.</t>
      </text>
    </comment>
    <comment authorId="0" ref="T92">
      <text>
        <t xml:space="preserve">Ngày bắt đầu lớp cha tự mở rộng nếu có công việc lớp 5 bắt đầu sớm hơn khung gốc.</t>
      </text>
    </comment>
    <comment authorId="0" ref="S26">
      <text>
        <t xml:space="preserve">Ngày kết thúc lớp cha tự mở rộng nếu có công việc lớp 5 kết thúc muộn hơn khung gốc.</t>
      </text>
    </comment>
    <comment authorId="0" ref="T26">
      <text>
        <t xml:space="preserve">Ngày bắt đầu lớp cha tự mở rộng nếu có công việc lớp 5 bắt đầu sớm hơn khung gốc.</t>
      </text>
    </comment>
    <comment authorId="0" ref="AF92">
      <text>
        <t xml:space="preserve">Tự động tính từ tiến độ L5. Muốn thay đổi, hãy cập nhật ở lớp chi tiết hơn.</t>
      </text>
    </comment>
    <comment authorId="0" ref="AF26">
      <text>
        <t xml:space="preserve">Tự động tính từ tiến độ L5. Muốn thay đổi, hãy cập nhật ở lớp chi tiết hơn.</t>
      </text>
    </comment>
    <comment authorId="0" ref="D93">
      <text>
        <t xml:space="preserve">Tự động tính từ tiến độ L5. Muốn thay đổi, hãy cập nhật ở lớp chi tiết hơn.</t>
      </text>
    </comment>
    <comment authorId="0" ref="AJ92">
      <text>
        <t xml:space="preserve">L4 phải nằm trong L3; L5 phải nằm trong L4. Đúng khung = hợp lệ. Ngoài khung = vượt ngày. Chưa có hoặc thiếu = chưa đủ dữ liệu.</t>
      </text>
    </comment>
    <comment authorId="0" ref="D27">
      <text>
        <t xml:space="preserve">Tự động tính từ tiến độ L5. Muốn thay đổi, hãy cập nhật ở lớp chi tiết hơn.</t>
      </text>
    </comment>
    <comment authorId="0" ref="AK9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6">
      <text>
        <t xml:space="preserve">L4 phải nằm trong L3; L5 phải nằm trong L4. Đúng khung = hợp lệ. Ngoài khung = vượt ngày. Chưa có hoặc thiếu = chưa đủ dữ liệu.</t>
      </text>
    </comment>
    <comment authorId="0" ref="AK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3">
      <text>
        <t xml:space="preserve">Ngày kết thúc lớp cha tự mở rộng nếu có công việc lớp 5 kết thúc muộn hơn khung gốc.</t>
      </text>
    </comment>
    <comment authorId="0" ref="T93">
      <text>
        <t xml:space="preserve">Ngày bắt đầu lớp cha tự mở rộng nếu có công việc lớp 5 bắt đầu sớm hơn khung gốc.</t>
      </text>
    </comment>
    <comment authorId="0" ref="S27">
      <text>
        <t xml:space="preserve">Ngày kết thúc lớp cha tự mở rộng nếu có công việc lớp 5 kết thúc muộn hơn khung gốc.</t>
      </text>
    </comment>
    <comment authorId="0" ref="T27">
      <text>
        <t xml:space="preserve">Ngày bắt đầu lớp cha tự mở rộng nếu có công việc lớp 5 bắt đầu sớm hơn khung gốc.</t>
      </text>
    </comment>
    <comment authorId="0" ref="AF93">
      <text>
        <t xml:space="preserve">Tự động tính từ tiến độ L5. Muốn thay đổi, hãy cập nhật ở lớp chi tiết hơn.</t>
      </text>
    </comment>
    <comment authorId="0" ref="AF27">
      <text>
        <t xml:space="preserve">Tự động tính từ tiến độ L5. Muốn thay đổi, hãy cập nhật ở lớp chi tiết hơn.</t>
      </text>
    </comment>
    <comment authorId="0" ref="D94">
      <text>
        <t xml:space="preserve">Tự động tính từ tiến độ L5. Muốn thay đổi, hãy cập nhật ở lớp chi tiết hơn.</t>
      </text>
    </comment>
    <comment authorId="0" ref="AJ93">
      <text>
        <t xml:space="preserve">L4 phải nằm trong L3; L5 phải nằm trong L4. Đúng khung = hợp lệ. Ngoài khung = vượt ngày. Chưa có hoặc thiếu = chưa đủ dữ liệu.</t>
      </text>
    </comment>
    <comment authorId="0" ref="D28">
      <text>
        <t xml:space="preserve">Tự động tính từ tiến độ L5. Muốn thay đổi, hãy cập nhật ở lớp chi tiết hơn.</t>
      </text>
    </comment>
    <comment authorId="0" ref="AK9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7">
      <text>
        <t xml:space="preserve">L4 phải nằm trong L3; L5 phải nằm trong L4. Đúng khung = hợp lệ. Ngoài khung = vượt ngày. Chưa có hoặc thiếu = chưa đủ dữ liệu.</t>
      </text>
    </comment>
    <comment authorId="0" ref="AK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4">
      <text>
        <t xml:space="preserve">Ngày kết thúc lớp cha tự mở rộng nếu có công việc lớp 5 kết thúc muộn hơn khung gốc.</t>
      </text>
    </comment>
    <comment authorId="0" ref="T94">
      <text>
        <t xml:space="preserve">Ngày bắt đầu lớp cha tự mở rộng nếu có công việc lớp 5 bắt đầu sớm hơn khung gốc.</t>
      </text>
    </comment>
    <comment authorId="0" ref="S28">
      <text>
        <t xml:space="preserve">Ngày kết thúc lớp cha tự mở rộng nếu có công việc lớp 5 kết thúc muộn hơn khung gốc.</t>
      </text>
    </comment>
    <comment authorId="0" ref="T28">
      <text>
        <t xml:space="preserve">Ngày bắt đầu lớp cha tự mở rộng nếu có công việc lớp 5 bắt đầu sớm hơn khung gốc.</t>
      </text>
    </comment>
    <comment authorId="0" ref="AF94">
      <text>
        <t xml:space="preserve">Tự động tính từ tiến độ L5. Muốn thay đổi, hãy cập nhật ở lớp chi tiết hơn.</t>
      </text>
    </comment>
    <comment authorId="0" ref="AF28">
      <text>
        <t xml:space="preserve">Tự động tính từ tiến độ L5. Muốn thay đổi, hãy cập nhật ở lớp chi tiết hơn.</t>
      </text>
    </comment>
    <comment authorId="0" ref="D95">
      <text>
        <t xml:space="preserve">Tự động tính từ tiến độ L5. Muốn thay đổi, hãy cập nhật ở lớp chi tiết hơn.</t>
      </text>
    </comment>
    <comment authorId="0" ref="AJ94">
      <text>
        <t xml:space="preserve">L4 phải nằm trong L3; L5 phải nằm trong L4. Đúng khung = hợp lệ. Ngoài khung = vượt ngày. Chưa có hoặc thiếu = chưa đủ dữ liệu.</t>
      </text>
    </comment>
    <comment authorId="0" ref="D29">
      <text>
        <t xml:space="preserve">Tự động tính từ tiến độ L5. Muốn thay đổi, hãy cập nhật ở lớp chi tiết hơn.</t>
      </text>
    </comment>
    <comment authorId="0" ref="AK9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8">
      <text>
        <t xml:space="preserve">L4 phải nằm trong L3; L5 phải nằm trong L4. Đúng khung = hợp lệ. Ngoài khung = vượt ngày. Chưa có hoặc thiếu = chưa đủ dữ liệu.</t>
      </text>
    </comment>
    <comment authorId="0" ref="AK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5">
      <text>
        <t xml:space="preserve">Ngày kết thúc lớp cha tự mở rộng nếu có công việc lớp 5 kết thúc muộn hơn khung gốc.</t>
      </text>
    </comment>
    <comment authorId="0" ref="T95">
      <text>
        <t xml:space="preserve">Ngày bắt đầu lớp cha tự mở rộng nếu có công việc lớp 5 bắt đầu sớm hơn khung gốc.</t>
      </text>
    </comment>
    <comment authorId="0" ref="S29">
      <text>
        <t xml:space="preserve">Ngày kết thúc lớp cha tự mở rộng nếu có công việc lớp 5 kết thúc muộn hơn khung gốc.</t>
      </text>
    </comment>
    <comment authorId="0" ref="T29">
      <text>
        <t xml:space="preserve">Ngày bắt đầu lớp cha tự mở rộng nếu có công việc lớp 5 bắt đầu sớm hơn khung gốc.</t>
      </text>
    </comment>
    <comment authorId="0" ref="AF95">
      <text>
        <t xml:space="preserve">Tự động tính từ tiến độ L5. Muốn thay đổi, hãy cập nhật ở lớp chi tiết hơn.</t>
      </text>
    </comment>
    <comment authorId="0" ref="AF29">
      <text>
        <t xml:space="preserve">Tự động tính từ tiến độ L5. Muốn thay đổi, hãy cập nhật ở lớp chi tiết hơn.</t>
      </text>
    </comment>
    <comment authorId="0" ref="D96">
      <text>
        <t xml:space="preserve">Tự động tính từ tiến độ L5. Muốn thay đổi, hãy cập nhật ở lớp chi tiết hơn.</t>
      </text>
    </comment>
    <comment authorId="0" ref="AJ95">
      <text>
        <t xml:space="preserve">L4 phải nằm trong L3; L5 phải nằm trong L4. Đúng khung = hợp lệ. Ngoài khung = vượt ngày. Chưa có hoặc thiếu = chưa đủ dữ liệu.</t>
      </text>
    </comment>
    <comment authorId="0" ref="D30">
      <text>
        <t xml:space="preserve">Tự động tính từ tiến độ L5. Muốn thay đổi, hãy cập nhật ở lớp chi tiết hơn.</t>
      </text>
    </comment>
    <comment authorId="0" ref="AK9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9">
      <text>
        <t xml:space="preserve">L4 phải nằm trong L3; L5 phải nằm trong L4. Đúng khung = hợp lệ. Ngoài khung = vượt ngày. Chưa có hoặc thiếu = chưa đủ dữ liệu.</t>
      </text>
    </comment>
    <comment authorId="0" ref="AK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6">
      <text>
        <t xml:space="preserve">Ngày kết thúc lớp cha tự mở rộng nếu có công việc lớp 5 kết thúc muộn hơn khung gốc.</t>
      </text>
    </comment>
    <comment authorId="0" ref="T96">
      <text>
        <t xml:space="preserve">Ngày bắt đầu lớp cha tự mở rộng nếu có công việc lớp 5 bắt đầu sớm hơn khung gốc.</t>
      </text>
    </comment>
    <comment authorId="0" ref="S30">
      <text>
        <t xml:space="preserve">Ngày kết thúc lớp cha tự mở rộng nếu có công việc lớp 5 kết thúc muộn hơn khung gốc.</t>
      </text>
    </comment>
    <comment authorId="0" ref="T30">
      <text>
        <t xml:space="preserve">Ngày bắt đầu lớp cha tự mở rộng nếu có công việc lớp 5 bắt đầu sớm hơn khung gốc.</t>
      </text>
    </comment>
    <comment authorId="0" ref="AF96">
      <text>
        <t xml:space="preserve">Tự động tính từ tiến độ L5. Muốn thay đổi, hãy cập nhật ở lớp chi tiết hơn.</t>
      </text>
    </comment>
    <comment authorId="0" ref="AF30">
      <text>
        <t xml:space="preserve">Tự động tính từ tiến độ L5. Muốn thay đổi, hãy cập nhật ở lớp chi tiết hơn.</t>
      </text>
    </comment>
    <comment authorId="0" ref="D97">
      <text>
        <t xml:space="preserve">Tự động tính từ tiến độ L5. Muốn thay đổi, hãy cập nhật ở lớp chi tiết hơn.</t>
      </text>
    </comment>
    <comment authorId="0" ref="AJ96">
      <text>
        <t xml:space="preserve">L4 phải nằm trong L3; L5 phải nằm trong L4. Đúng khung = hợp lệ. Ngoài khung = vượt ngày. Chưa có hoặc thiếu = chưa đủ dữ liệu.</t>
      </text>
    </comment>
    <comment authorId="0" ref="D31">
      <text>
        <t xml:space="preserve">Tự động tính từ tiến độ L5. Muốn thay đổi, hãy cập nhật ở lớp chi tiết hơn.</t>
      </text>
    </comment>
    <comment authorId="0" ref="AK9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0">
      <text>
        <t xml:space="preserve">L4 phải nằm trong L3; L5 phải nằm trong L4. Đúng khung = hợp lệ. Ngoài khung = vượt ngày. Chưa có hoặc thiếu = chưa đủ dữ liệu.</t>
      </text>
    </comment>
    <comment authorId="0" ref="AK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7">
      <text>
        <t xml:space="preserve">Ngày kết thúc lớp cha tự mở rộng nếu có công việc lớp 5 kết thúc muộn hơn khung gốc.</t>
      </text>
    </comment>
    <comment authorId="0" ref="T97">
      <text>
        <t xml:space="preserve">Ngày bắt đầu lớp cha tự mở rộng nếu có công việc lớp 5 bắt đầu sớm hơn khung gốc.</t>
      </text>
    </comment>
    <comment authorId="0" ref="S31">
      <text>
        <t xml:space="preserve">Ngày kết thúc lớp cha tự mở rộng nếu có công việc lớp 5 kết thúc muộn hơn khung gốc.</t>
      </text>
    </comment>
    <comment authorId="0" ref="T31">
      <text>
        <t xml:space="preserve">Ngày bắt đầu lớp cha tự mở rộng nếu có công việc lớp 5 bắt đầu sớm hơn khung gốc.</t>
      </text>
    </comment>
    <comment authorId="0" ref="AF97">
      <text>
        <t xml:space="preserve">Tự động tính từ tiến độ L5. Muốn thay đổi, hãy cập nhật ở lớp chi tiết hơn.</t>
      </text>
    </comment>
    <comment authorId="0" ref="AF31">
      <text>
        <t xml:space="preserve">Tự động tính từ tiến độ L5. Muốn thay đổi, hãy cập nhật ở lớp chi tiết hơn.</t>
      </text>
    </comment>
    <comment authorId="0" ref="D98">
      <text>
        <t xml:space="preserve">Tự động tính từ tiến độ L5. Muốn thay đổi, hãy cập nhật ở lớp chi tiết hơn.</t>
      </text>
    </comment>
    <comment authorId="0" ref="AJ97">
      <text>
        <t xml:space="preserve">L4 phải nằm trong L3; L5 phải nằm trong L4. Đúng khung = hợp lệ. Ngoài khung = vượt ngày. Chưa có hoặc thiếu = chưa đủ dữ liệu.</t>
      </text>
    </comment>
    <comment authorId="0" ref="D32">
      <text>
        <t xml:space="preserve">Tự động tính từ tiến độ L5. Muốn thay đổi, hãy cập nhật ở lớp chi tiết hơn.</t>
      </text>
    </comment>
    <comment authorId="0" ref="AK9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1">
      <text>
        <t xml:space="preserve">L4 phải nằm trong L3; L5 phải nằm trong L4. Đúng khung = hợp lệ. Ngoài khung = vượt ngày. Chưa có hoặc thiếu = chưa đủ dữ liệu.</t>
      </text>
    </comment>
    <comment authorId="0" ref="AK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8">
      <text>
        <t xml:space="preserve">Ngày kết thúc lớp cha tự mở rộng nếu có công việc lớp 5 kết thúc muộn hơn khung gốc.</t>
      </text>
    </comment>
    <comment authorId="0" ref="T98">
      <text>
        <t xml:space="preserve">Ngày bắt đầu lớp cha tự mở rộng nếu có công việc lớp 5 bắt đầu sớm hơn khung gốc.</t>
      </text>
    </comment>
    <comment authorId="0" ref="S32">
      <text>
        <t xml:space="preserve">Ngày kết thúc lớp cha tự mở rộng nếu có công việc lớp 5 kết thúc muộn hơn khung gốc.</t>
      </text>
    </comment>
    <comment authorId="0" ref="T32">
      <text>
        <t xml:space="preserve">Ngày bắt đầu lớp cha tự mở rộng nếu có công việc lớp 5 bắt đầu sớm hơn khung gốc.</t>
      </text>
    </comment>
    <comment authorId="0" ref="AF98">
      <text>
        <t xml:space="preserve">Tự động tính từ tiến độ L5. Muốn thay đổi, hãy cập nhật ở lớp chi tiết hơn.</t>
      </text>
    </comment>
    <comment authorId="0" ref="AF32">
      <text>
        <t xml:space="preserve">Tự động tính từ tiến độ L5. Muốn thay đổi, hãy cập nhật ở lớp chi tiết hơn.</t>
      </text>
    </comment>
    <comment authorId="0" ref="D99">
      <text>
        <t xml:space="preserve">Tự động tính từ tiến độ L5. Muốn thay đổi, hãy cập nhật ở lớp chi tiết hơn.</t>
      </text>
    </comment>
    <comment authorId="0" ref="AJ98">
      <text>
        <t xml:space="preserve">L4 phải nằm trong L3; L5 phải nằm trong L4. Đúng khung = hợp lệ. Ngoài khung = vượt ngày. Chưa có hoặc thiếu = chưa đủ dữ liệu.</t>
      </text>
    </comment>
    <comment authorId="0" ref="D33">
      <text>
        <t xml:space="preserve">Tự động tính từ tiến độ L5. Muốn thay đổi, hãy cập nhật ở lớp chi tiết hơn.</t>
      </text>
    </comment>
    <comment authorId="0" ref="AK9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2">
      <text>
        <t xml:space="preserve">L4 phải nằm trong L3; L5 phải nằm trong L4. Đúng khung = hợp lệ. Ngoài khung = vượt ngày. Chưa có hoặc thiếu = chưa đủ dữ liệu.</t>
      </text>
    </comment>
    <comment authorId="0" ref="AK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99">
      <text>
        <t xml:space="preserve">Ngày kết thúc lớp cha tự mở rộng nếu có công việc lớp 5 kết thúc muộn hơn khung gốc.</t>
      </text>
    </comment>
    <comment authorId="0" ref="T99">
      <text>
        <t xml:space="preserve">Ngày bắt đầu lớp cha tự mở rộng nếu có công việc lớp 5 bắt đầu sớm hơn khung gốc.</t>
      </text>
    </comment>
    <comment authorId="0" ref="S33">
      <text>
        <t xml:space="preserve">Ngày kết thúc lớp cha tự mở rộng nếu có công việc lớp 5 kết thúc muộn hơn khung gốc.</t>
      </text>
    </comment>
    <comment authorId="0" ref="T33">
      <text>
        <t xml:space="preserve">Ngày bắt đầu lớp cha tự mở rộng nếu có công việc lớp 5 bắt đầu sớm hơn khung gốc.</t>
      </text>
    </comment>
    <comment authorId="0" ref="AF99">
      <text>
        <t xml:space="preserve">Tự động tính từ tiến độ L5. Muốn thay đổi, hãy cập nhật ở lớp chi tiết hơn.</t>
      </text>
    </comment>
    <comment authorId="0" ref="AF33">
      <text>
        <t xml:space="preserve">Tự động tính từ tiến độ L5. Muốn thay đổi, hãy cập nhật ở lớp chi tiết hơn.</t>
      </text>
    </comment>
    <comment authorId="0" ref="D100">
      <text>
        <t xml:space="preserve">Tự động tính từ tiến độ L5. Muốn thay đổi, hãy cập nhật ở lớp chi tiết hơn.</t>
      </text>
    </comment>
    <comment authorId="0" ref="AJ99">
      <text>
        <t xml:space="preserve">L4 phải nằm trong L3; L5 phải nằm trong L4. Đúng khung = hợp lệ. Ngoài khung = vượt ngày. Chưa có hoặc thiếu = chưa đủ dữ liệu.</t>
      </text>
    </comment>
    <comment authorId="0" ref="D34">
      <text>
        <t xml:space="preserve">Tự động tính từ tiến độ L5. Muốn thay đổi, hãy cập nhật ở lớp chi tiết hơn.</t>
      </text>
    </comment>
    <comment authorId="0" ref="AK9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3">
      <text>
        <t xml:space="preserve">L4 phải nằm trong L3; L5 phải nằm trong L4. Đúng khung = hợp lệ. Ngoài khung = vượt ngày. Chưa có hoặc thiếu = chưa đủ dữ liệu.</t>
      </text>
    </comment>
    <comment authorId="0" ref="AK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0">
      <text>
        <t xml:space="preserve">Ngày kết thúc lớp cha tự mở rộng nếu có công việc lớp 5 kết thúc muộn hơn khung gốc.</t>
      </text>
    </comment>
    <comment authorId="0" ref="T100">
      <text>
        <t xml:space="preserve">Ngày bắt đầu lớp cha tự mở rộng nếu có công việc lớp 5 bắt đầu sớm hơn khung gốc.</t>
      </text>
    </comment>
    <comment authorId="0" ref="S34">
      <text>
        <t xml:space="preserve">Ngày kết thúc lớp cha tự mở rộng nếu có công việc lớp 5 kết thúc muộn hơn khung gốc.</t>
      </text>
    </comment>
    <comment authorId="0" ref="T34">
      <text>
        <t xml:space="preserve">Ngày bắt đầu lớp cha tự mở rộng nếu có công việc lớp 5 bắt đầu sớm hơn khung gốc.</t>
      </text>
    </comment>
    <comment authorId="0" ref="AF100">
      <text>
        <t xml:space="preserve">Tự động tính từ tiến độ L5. Muốn thay đổi, hãy cập nhật ở lớp chi tiết hơn.</t>
      </text>
    </comment>
    <comment authorId="0" ref="AF34">
      <text>
        <t xml:space="preserve">Tự động tính từ tiến độ L5. Muốn thay đổi, hãy cập nhật ở lớp chi tiết hơn.</t>
      </text>
    </comment>
    <comment authorId="0" ref="D101">
      <text>
        <t xml:space="preserve">Tự động tính từ tiến độ L5. Muốn thay đổi, hãy cập nhật ở lớp chi tiết hơn.</t>
      </text>
    </comment>
    <comment authorId="0" ref="AJ100">
      <text>
        <t xml:space="preserve">L4 phải nằm trong L3; L5 phải nằm trong L4. Đúng khung = hợp lệ. Ngoài khung = vượt ngày. Chưa có hoặc thiếu = chưa đủ dữ liệu.</t>
      </text>
    </comment>
    <comment authorId="0" ref="D35">
      <text>
        <t xml:space="preserve">Tự động tính từ tiến độ L5. Muốn thay đổi, hãy cập nhật ở lớp chi tiết hơn.</t>
      </text>
    </comment>
    <comment authorId="0" ref="AK10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4">
      <text>
        <t xml:space="preserve">L4 phải nằm trong L3; L5 phải nằm trong L4. Đúng khung = hợp lệ. Ngoài khung = vượt ngày. Chưa có hoặc thiếu = chưa đủ dữ liệu.</t>
      </text>
    </comment>
    <comment authorId="0" ref="AK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1">
      <text>
        <t xml:space="preserve">Ngày kết thúc lớp cha tự mở rộng nếu có công việc lớp 5 kết thúc muộn hơn khung gốc.</t>
      </text>
    </comment>
    <comment authorId="0" ref="T101">
      <text>
        <t xml:space="preserve">Ngày bắt đầu lớp cha tự mở rộng nếu có công việc lớp 5 bắt đầu sớm hơn khung gốc.</t>
      </text>
    </comment>
    <comment authorId="0" ref="S35">
      <text>
        <t xml:space="preserve">Ngày kết thúc lớp cha tự mở rộng nếu có công việc lớp 5 kết thúc muộn hơn khung gốc.</t>
      </text>
    </comment>
    <comment authorId="0" ref="T35">
      <text>
        <t xml:space="preserve">Ngày bắt đầu lớp cha tự mở rộng nếu có công việc lớp 5 bắt đầu sớm hơn khung gốc.</t>
      </text>
    </comment>
    <comment authorId="0" ref="AF101">
      <text>
        <t xml:space="preserve">Tự động tính từ tiến độ L5. Muốn thay đổi, hãy cập nhật ở lớp chi tiết hơn.</t>
      </text>
    </comment>
    <comment authorId="0" ref="AF35">
      <text>
        <t xml:space="preserve">Tự động tính từ tiến độ L5. Muốn thay đổi, hãy cập nhật ở lớp chi tiết hơn.</t>
      </text>
    </comment>
    <comment authorId="0" ref="D102">
      <text>
        <t xml:space="preserve">Tự động tính từ tiến độ L5. Muốn thay đổi, hãy cập nhật ở lớp chi tiết hơn.</t>
      </text>
    </comment>
    <comment authorId="0" ref="AJ101">
      <text>
        <t xml:space="preserve">L4 phải nằm trong L3; L5 phải nằm trong L4. Đúng khung = hợp lệ. Ngoài khung = vượt ngày. Chưa có hoặc thiếu = chưa đủ dữ liệu.</t>
      </text>
    </comment>
    <comment authorId="0" ref="D36">
      <text>
        <t xml:space="preserve">Tự động tính từ tiến độ L5. Muốn thay đổi, hãy cập nhật ở lớp chi tiết hơn.</t>
      </text>
    </comment>
    <comment authorId="0" ref="AK10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5">
      <text>
        <t xml:space="preserve">L4 phải nằm trong L3; L5 phải nằm trong L4. Đúng khung = hợp lệ. Ngoài khung = vượt ngày. Chưa có hoặc thiếu = chưa đủ dữ liệu.</t>
      </text>
    </comment>
    <comment authorId="0" ref="AK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2">
      <text>
        <t xml:space="preserve">Ngày kết thúc lớp cha tự mở rộng nếu có công việc lớp 5 kết thúc muộn hơn khung gốc.</t>
      </text>
    </comment>
    <comment authorId="0" ref="T102">
      <text>
        <t xml:space="preserve">Ngày bắt đầu lớp cha tự mở rộng nếu có công việc lớp 5 bắt đầu sớm hơn khung gốc.</t>
      </text>
    </comment>
    <comment authorId="0" ref="S36">
      <text>
        <t xml:space="preserve">Ngày kết thúc lớp cha tự mở rộng nếu có công việc lớp 5 kết thúc muộn hơn khung gốc.</t>
      </text>
    </comment>
    <comment authorId="0" ref="T36">
      <text>
        <t xml:space="preserve">Ngày bắt đầu lớp cha tự mở rộng nếu có công việc lớp 5 bắt đầu sớm hơn khung gốc.</t>
      </text>
    </comment>
    <comment authorId="0" ref="AF102">
      <text>
        <t xml:space="preserve">Tự động tính từ tiến độ L5. Muốn thay đổi, hãy cập nhật ở lớp chi tiết hơn.</t>
      </text>
    </comment>
    <comment authorId="0" ref="AF36">
      <text>
        <t xml:space="preserve">Tự động tính từ tiến độ L5. Muốn thay đổi, hãy cập nhật ở lớp chi tiết hơn.</t>
      </text>
    </comment>
    <comment authorId="0" ref="D103">
      <text>
        <t xml:space="preserve">Tự động tính từ tiến độ L5. Muốn thay đổi, hãy cập nhật ở lớp chi tiết hơn.</t>
      </text>
    </comment>
    <comment authorId="0" ref="AJ102">
      <text>
        <t xml:space="preserve">L4 phải nằm trong L3; L5 phải nằm trong L4. Đúng khung = hợp lệ. Ngoài khung = vượt ngày. Chưa có hoặc thiếu = chưa đủ dữ liệu.</t>
      </text>
    </comment>
    <comment authorId="0" ref="D37">
      <text>
        <t xml:space="preserve">Tự động tính từ tiến độ L5. Muốn thay đổi, hãy cập nhật ở lớp chi tiết hơn.</t>
      </text>
    </comment>
    <comment authorId="0" ref="AK10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6">
      <text>
        <t xml:space="preserve">L4 phải nằm trong L3; L5 phải nằm trong L4. Đúng khung = hợp lệ. Ngoài khung = vượt ngày. Chưa có hoặc thiếu = chưa đủ dữ liệu.</t>
      </text>
    </comment>
    <comment authorId="0" ref="AK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3">
      <text>
        <t xml:space="preserve">Ngày kết thúc lớp cha tự mở rộng nếu có công việc lớp 5 kết thúc muộn hơn khung gốc.</t>
      </text>
    </comment>
    <comment authorId="0" ref="T103">
      <text>
        <t xml:space="preserve">Ngày bắt đầu lớp cha tự mở rộng nếu có công việc lớp 5 bắt đầu sớm hơn khung gốc.</t>
      </text>
    </comment>
    <comment authorId="0" ref="S37">
      <text>
        <t xml:space="preserve">Ngày kết thúc lớp cha tự mở rộng nếu có công việc lớp 5 kết thúc muộn hơn khung gốc.</t>
      </text>
    </comment>
    <comment authorId="0" ref="T37">
      <text>
        <t xml:space="preserve">Ngày bắt đầu lớp cha tự mở rộng nếu có công việc lớp 5 bắt đầu sớm hơn khung gốc.</t>
      </text>
    </comment>
    <comment authorId="0" ref="AF103">
      <text>
        <t xml:space="preserve">Tự động tính từ tiến độ L5. Muốn thay đổi, hãy cập nhật ở lớp chi tiết hơn.</t>
      </text>
    </comment>
    <comment authorId="0" ref="AF37">
      <text>
        <t xml:space="preserve">Tự động tính từ tiến độ L5. Muốn thay đổi, hãy cập nhật ở lớp chi tiết hơn.</t>
      </text>
    </comment>
    <comment authorId="0" ref="D104">
      <text>
        <t xml:space="preserve">Tự động tính từ tiến độ L5. Muốn thay đổi, hãy cập nhật ở lớp chi tiết hơn.</t>
      </text>
    </comment>
    <comment authorId="0" ref="AJ103">
      <text>
        <t xml:space="preserve">L4 phải nằm trong L3; L5 phải nằm trong L4. Đúng khung = hợp lệ. Ngoài khung = vượt ngày. Chưa có hoặc thiếu = chưa đủ dữ liệu.</t>
      </text>
    </comment>
    <comment authorId="0" ref="D38">
      <text>
        <t xml:space="preserve">Tự động tính từ tiến độ L5. Muốn thay đổi, hãy cập nhật ở lớp chi tiết hơn.</t>
      </text>
    </comment>
    <comment authorId="0" ref="AK10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7">
      <text>
        <t xml:space="preserve">L4 phải nằm trong L3; L5 phải nằm trong L4. Đúng khung = hợp lệ. Ngoài khung = vượt ngày. Chưa có hoặc thiếu = chưa đủ dữ liệu.</t>
      </text>
    </comment>
    <comment authorId="0" ref="AK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4">
      <text>
        <t xml:space="preserve">Ngày kết thúc lớp cha tự mở rộng nếu có công việc lớp 5 kết thúc muộn hơn khung gốc.</t>
      </text>
    </comment>
    <comment authorId="0" ref="T104">
      <text>
        <t xml:space="preserve">Ngày bắt đầu lớp cha tự mở rộng nếu có công việc lớp 5 bắt đầu sớm hơn khung gốc.</t>
      </text>
    </comment>
    <comment authorId="0" ref="S38">
      <text>
        <t xml:space="preserve">Ngày kết thúc lớp cha tự mở rộng nếu có công việc lớp 5 kết thúc muộn hơn khung gốc.</t>
      </text>
    </comment>
    <comment authorId="0" ref="T38">
      <text>
        <t xml:space="preserve">Ngày bắt đầu lớp cha tự mở rộng nếu có công việc lớp 5 bắt đầu sớm hơn khung gốc.</t>
      </text>
    </comment>
    <comment authorId="0" ref="AF104">
      <text>
        <t xml:space="preserve">Tự động tính từ tiến độ L5. Muốn thay đổi, hãy cập nhật ở lớp chi tiết hơn.</t>
      </text>
    </comment>
    <comment authorId="0" ref="AF38">
      <text>
        <t xml:space="preserve">Tự động tính từ tiến độ L5. Muốn thay đổi, hãy cập nhật ở lớp chi tiết hơn.</t>
      </text>
    </comment>
    <comment authorId="0" ref="D105">
      <text>
        <t xml:space="preserve">Tự động tính từ tiến độ L5. Muốn thay đổi, hãy cập nhật ở lớp chi tiết hơn.</t>
      </text>
    </comment>
    <comment authorId="0" ref="AJ104">
      <text>
        <t xml:space="preserve">L4 phải nằm trong L3; L5 phải nằm trong L4. Đúng khung = hợp lệ. Ngoài khung = vượt ngày. Chưa có hoặc thiếu = chưa đủ dữ liệu.</t>
      </text>
    </comment>
    <comment authorId="0" ref="D39">
      <text>
        <t xml:space="preserve">Tự động tính từ tiến độ L5. Muốn thay đổi, hãy cập nhật ở lớp chi tiết hơn.</t>
      </text>
    </comment>
    <comment authorId="0" ref="AK10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8">
      <text>
        <t xml:space="preserve">L4 phải nằm trong L3; L5 phải nằm trong L4. Đúng khung = hợp lệ. Ngoài khung = vượt ngày. Chưa có hoặc thiếu = chưa đủ dữ liệu.</t>
      </text>
    </comment>
    <comment authorId="0" ref="AK3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5">
      <text>
        <t xml:space="preserve">Ngày kết thúc lớp cha tự mở rộng nếu có công việc lớp 5 kết thúc muộn hơn khung gốc.</t>
      </text>
    </comment>
    <comment authorId="0" ref="T105">
      <text>
        <t xml:space="preserve">Ngày bắt đầu lớp cha tự mở rộng nếu có công việc lớp 5 bắt đầu sớm hơn khung gốc.</t>
      </text>
    </comment>
    <comment authorId="0" ref="S39">
      <text>
        <t xml:space="preserve">Ngày kết thúc lớp cha tự mở rộng nếu có công việc lớp 5 kết thúc muộn hơn khung gốc.</t>
      </text>
    </comment>
    <comment authorId="0" ref="T39">
      <text>
        <t xml:space="preserve">Ngày bắt đầu lớp cha tự mở rộng nếu có công việc lớp 5 bắt đầu sớm hơn khung gốc.</t>
      </text>
    </comment>
    <comment authorId="0" ref="AF105">
      <text>
        <t xml:space="preserve">Tự động tính từ tiến độ L5. Muốn thay đổi, hãy cập nhật ở lớp chi tiết hơn.</t>
      </text>
    </comment>
    <comment authorId="0" ref="AF39">
      <text>
        <t xml:space="preserve">Tự động tính từ tiến độ L5. Muốn thay đổi, hãy cập nhật ở lớp chi tiết hơn.</t>
      </text>
    </comment>
    <comment authorId="0" ref="D106">
      <text>
        <t xml:space="preserve">Tự động tính từ tiến độ L5. Muốn thay đổi, hãy cập nhật ở lớp chi tiết hơn.</t>
      </text>
    </comment>
    <comment authorId="0" ref="AJ105">
      <text>
        <t xml:space="preserve">L4 phải nằm trong L3; L5 phải nằm trong L4. Đúng khung = hợp lệ. Ngoài khung = vượt ngày. Chưa có hoặc thiếu = chưa đủ dữ liệu.</t>
      </text>
    </comment>
    <comment authorId="0" ref="D40">
      <text>
        <t xml:space="preserve">Tự động tính từ tiến độ L5. Muốn thay đổi, hãy cập nhật ở lớp chi tiết hơn.</t>
      </text>
    </comment>
    <comment authorId="0" ref="AK10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9">
      <text>
        <t xml:space="preserve">L4 phải nằm trong L3; L5 phải nằm trong L4. Đúng khung = hợp lệ. Ngoài khung = vượt ngày. Chưa có hoặc thiếu = chưa đủ dữ liệu.</t>
      </text>
    </comment>
    <comment authorId="0" ref="AK3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6">
      <text>
        <t xml:space="preserve">Ngày kết thúc lớp cha tự mở rộng nếu có công việc lớp 5 kết thúc muộn hơn khung gốc.</t>
      </text>
    </comment>
    <comment authorId="0" ref="T106">
      <text>
        <t xml:space="preserve">Ngày bắt đầu lớp cha tự mở rộng nếu có công việc lớp 5 bắt đầu sớm hơn khung gốc.</t>
      </text>
    </comment>
    <comment authorId="0" ref="S40">
      <text>
        <t xml:space="preserve">Ngày kết thúc lớp cha tự mở rộng nếu có công việc lớp 5 kết thúc muộn hơn khung gốc.</t>
      </text>
    </comment>
    <comment authorId="0" ref="T40">
      <text>
        <t xml:space="preserve">Ngày bắt đầu lớp cha tự mở rộng nếu có công việc lớp 5 bắt đầu sớm hơn khung gốc.</t>
      </text>
    </comment>
    <comment authorId="0" ref="AF106">
      <text>
        <t xml:space="preserve">Tự động tính từ tiến độ L5. Muốn thay đổi, hãy cập nhật ở lớp chi tiết hơn.</t>
      </text>
    </comment>
    <comment authorId="0" ref="AF40">
      <text>
        <t xml:space="preserve">Tự động tính từ tiến độ L5. Muốn thay đổi, hãy cập nhật ở lớp chi tiết hơn.</t>
      </text>
    </comment>
    <comment authorId="0" ref="D107">
      <text>
        <t xml:space="preserve">Tự động tính từ tiến độ L5. Muốn thay đổi, hãy cập nhật ở lớp chi tiết hơn.</t>
      </text>
    </comment>
    <comment authorId="0" ref="AJ106">
      <text>
        <t xml:space="preserve">L4 phải nằm trong L3; L5 phải nằm trong L4. Đúng khung = hợp lệ. Ngoài khung = vượt ngày. Chưa có hoặc thiếu = chưa đủ dữ liệu.</t>
      </text>
    </comment>
    <comment authorId="0" ref="D41">
      <text>
        <t xml:space="preserve">Tự động tính từ tiến độ L5. Muốn thay đổi, hãy cập nhật ở lớp chi tiết hơn.</t>
      </text>
    </comment>
    <comment authorId="0" ref="AK10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0">
      <text>
        <t xml:space="preserve">L4 phải nằm trong L3; L5 phải nằm trong L4. Đúng khung = hợp lệ. Ngoài khung = vượt ngày. Chưa có hoặc thiếu = chưa đủ dữ liệu.</t>
      </text>
    </comment>
    <comment authorId="0" ref="AK4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7">
      <text>
        <t xml:space="preserve">Ngày kết thúc lớp cha tự mở rộng nếu có công việc lớp 5 kết thúc muộn hơn khung gốc.</t>
      </text>
    </comment>
    <comment authorId="0" ref="T107">
      <text>
        <t xml:space="preserve">Ngày bắt đầu lớp cha tự mở rộng nếu có công việc lớp 5 bắt đầu sớm hơn khung gốc.</t>
      </text>
    </comment>
    <comment authorId="0" ref="S41">
      <text>
        <t xml:space="preserve">Ngày kết thúc lớp cha tự mở rộng nếu có công việc lớp 5 kết thúc muộn hơn khung gốc.</t>
      </text>
    </comment>
    <comment authorId="0" ref="T41">
      <text>
        <t xml:space="preserve">Ngày bắt đầu lớp cha tự mở rộng nếu có công việc lớp 5 bắt đầu sớm hơn khung gốc.</t>
      </text>
    </comment>
    <comment authorId="0" ref="AF107">
      <text>
        <t xml:space="preserve">Tự động tính từ tiến độ L5. Muốn thay đổi, hãy cập nhật ở lớp chi tiết hơn.</t>
      </text>
    </comment>
    <comment authorId="0" ref="AF41">
      <text>
        <t xml:space="preserve">Tự động tính từ tiến độ L5. Muốn thay đổi, hãy cập nhật ở lớp chi tiết hơn.</t>
      </text>
    </comment>
    <comment authorId="0" ref="D108">
      <text>
        <t xml:space="preserve">Tự động tính từ tiến độ L5. Muốn thay đổi, hãy cập nhật ở lớp chi tiết hơn.</t>
      </text>
    </comment>
    <comment authorId="0" ref="AJ107">
      <text>
        <t xml:space="preserve">L4 phải nằm trong L3; L5 phải nằm trong L4. Đúng khung = hợp lệ. Ngoài khung = vượt ngày. Chưa có hoặc thiếu = chưa đủ dữ liệu.</t>
      </text>
    </comment>
    <comment authorId="0" ref="D42">
      <text>
        <t xml:space="preserve">Tự động tính từ tiến độ L5. Muốn thay đổi, hãy cập nhật ở lớp chi tiết hơn.</t>
      </text>
    </comment>
    <comment authorId="0" ref="AK10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1">
      <text>
        <t xml:space="preserve">L4 phải nằm trong L3; L5 phải nằm trong L4. Đúng khung = hợp lệ. Ngoài khung = vượt ngày. Chưa có hoặc thiếu = chưa đủ dữ liệu.</t>
      </text>
    </comment>
    <comment authorId="0" ref="AK4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8">
      <text>
        <t xml:space="preserve">Ngày kết thúc lớp cha tự mở rộng nếu có công việc lớp 5 kết thúc muộn hơn khung gốc.</t>
      </text>
    </comment>
    <comment authorId="0" ref="T108">
      <text>
        <t xml:space="preserve">Ngày bắt đầu lớp cha tự mở rộng nếu có công việc lớp 5 bắt đầu sớm hơn khung gốc.</t>
      </text>
    </comment>
    <comment authorId="0" ref="S42">
      <text>
        <t xml:space="preserve">Ngày kết thúc lớp cha tự mở rộng nếu có công việc lớp 5 kết thúc muộn hơn khung gốc.</t>
      </text>
    </comment>
    <comment authorId="0" ref="T42">
      <text>
        <t xml:space="preserve">Ngày bắt đầu lớp cha tự mở rộng nếu có công việc lớp 5 bắt đầu sớm hơn khung gốc.</t>
      </text>
    </comment>
    <comment authorId="0" ref="AF108">
      <text>
        <t xml:space="preserve">Tự động tính từ tiến độ L5. Muốn thay đổi, hãy cập nhật ở lớp chi tiết hơn.</t>
      </text>
    </comment>
    <comment authorId="0" ref="AF42">
      <text>
        <t xml:space="preserve">Tự động tính từ tiến độ L5. Muốn thay đổi, hãy cập nhật ở lớp chi tiết hơn.</t>
      </text>
    </comment>
    <comment authorId="0" ref="D109">
      <text>
        <t xml:space="preserve">Tự động tính từ tiến độ L5. Muốn thay đổi, hãy cập nhật ở lớp chi tiết hơn.</t>
      </text>
    </comment>
    <comment authorId="0" ref="AJ108">
      <text>
        <t xml:space="preserve">L4 phải nằm trong L3; L5 phải nằm trong L4. Đúng khung = hợp lệ. Ngoài khung = vượt ngày. Chưa có hoặc thiếu = chưa đủ dữ liệu.</t>
      </text>
    </comment>
    <comment authorId="0" ref="D43">
      <text>
        <t xml:space="preserve">Tự động tính từ tiến độ L5. Muốn thay đổi, hãy cập nhật ở lớp chi tiết hơn.</t>
      </text>
    </comment>
    <comment authorId="0" ref="AK10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2">
      <text>
        <t xml:space="preserve">L4 phải nằm trong L3; L5 phải nằm trong L4. Đúng khung = hợp lệ. Ngoài khung = vượt ngày. Chưa có hoặc thiếu = chưa đủ dữ liệu.</t>
      </text>
    </comment>
    <comment authorId="0" ref="AK4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09">
      <text>
        <t xml:space="preserve">Ngày kết thúc lớp cha tự mở rộng nếu có công việc lớp 5 kết thúc muộn hơn khung gốc.</t>
      </text>
    </comment>
    <comment authorId="0" ref="T109">
      <text>
        <t xml:space="preserve">Ngày bắt đầu lớp cha tự mở rộng nếu có công việc lớp 5 bắt đầu sớm hơn khung gốc.</t>
      </text>
    </comment>
    <comment authorId="0" ref="S43">
      <text>
        <t xml:space="preserve">Ngày kết thúc lớp cha tự mở rộng nếu có công việc lớp 5 kết thúc muộn hơn khung gốc.</t>
      </text>
    </comment>
    <comment authorId="0" ref="T43">
      <text>
        <t xml:space="preserve">Ngày bắt đầu lớp cha tự mở rộng nếu có công việc lớp 5 bắt đầu sớm hơn khung gốc.</t>
      </text>
    </comment>
    <comment authorId="0" ref="AF109">
      <text>
        <t xml:space="preserve">Tự động tính từ tiến độ L5. Muốn thay đổi, hãy cập nhật ở lớp chi tiết hơn.</t>
      </text>
    </comment>
    <comment authorId="0" ref="AF43">
      <text>
        <t xml:space="preserve">Tự động tính từ tiến độ L5. Muốn thay đổi, hãy cập nhật ở lớp chi tiết hơn.</t>
      </text>
    </comment>
    <comment authorId="0" ref="D110">
      <text>
        <t xml:space="preserve">Tự động tính từ tiến độ L5. Muốn thay đổi, hãy cập nhật ở lớp chi tiết hơn.</t>
      </text>
    </comment>
    <comment authorId="0" ref="AJ109">
      <text>
        <t xml:space="preserve">L4 phải nằm trong L3; L5 phải nằm trong L4. Đúng khung = hợp lệ. Ngoài khung = vượt ngày. Chưa có hoặc thiếu = chưa đủ dữ liệu.</t>
      </text>
    </comment>
    <comment authorId="0" ref="D44">
      <text>
        <t xml:space="preserve">Tự động tính từ tiến độ L5. Muốn thay đổi, hãy cập nhật ở lớp chi tiết hơn.</t>
      </text>
    </comment>
    <comment authorId="0" ref="AK10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3">
      <text>
        <t xml:space="preserve">L4 phải nằm trong L3; L5 phải nằm trong L4. Đúng khung = hợp lệ. Ngoài khung = vượt ngày. Chưa có hoặc thiếu = chưa đủ dữ liệu.</t>
      </text>
    </comment>
    <comment authorId="0" ref="AK4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0">
      <text>
        <t xml:space="preserve">Ngày kết thúc lớp cha tự mở rộng nếu có công việc lớp 5 kết thúc muộn hơn khung gốc.</t>
      </text>
    </comment>
    <comment authorId="0" ref="T110">
      <text>
        <t xml:space="preserve">Ngày bắt đầu lớp cha tự mở rộng nếu có công việc lớp 5 bắt đầu sớm hơn khung gốc.</t>
      </text>
    </comment>
    <comment authorId="0" ref="S44">
      <text>
        <t xml:space="preserve">Ngày kết thúc lớp cha tự mở rộng nếu có công việc lớp 5 kết thúc muộn hơn khung gốc.</t>
      </text>
    </comment>
    <comment authorId="0" ref="T44">
      <text>
        <t xml:space="preserve">Ngày bắt đầu lớp cha tự mở rộng nếu có công việc lớp 5 bắt đầu sớm hơn khung gốc.</t>
      </text>
    </comment>
    <comment authorId="0" ref="AF110">
      <text>
        <t xml:space="preserve">Tự động tính từ tiến độ L5. Muốn thay đổi, hãy cập nhật ở lớp chi tiết hơn.</t>
      </text>
    </comment>
    <comment authorId="0" ref="AF44">
      <text>
        <t xml:space="preserve">Tự động tính từ tiến độ L5. Muốn thay đổi, hãy cập nhật ở lớp chi tiết hơn.</t>
      </text>
    </comment>
    <comment authorId="0" ref="D111">
      <text>
        <t xml:space="preserve">Tự động tính từ tiến độ L5. Muốn thay đổi, hãy cập nhật ở lớp chi tiết hơn.</t>
      </text>
    </comment>
    <comment authorId="0" ref="AJ110">
      <text>
        <t xml:space="preserve">L4 phải nằm trong L3; L5 phải nằm trong L4. Đúng khung = hợp lệ. Ngoài khung = vượt ngày. Chưa có hoặc thiếu = chưa đủ dữ liệu.</t>
      </text>
    </comment>
    <comment authorId="0" ref="D45">
      <text>
        <t xml:space="preserve">Tự động tính từ tiến độ L5. Muốn thay đổi, hãy cập nhật ở lớp chi tiết hơn.</t>
      </text>
    </comment>
    <comment authorId="0" ref="AK11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4">
      <text>
        <t xml:space="preserve">L4 phải nằm trong L3; L5 phải nằm trong L4. Đúng khung = hợp lệ. Ngoài khung = vượt ngày. Chưa có hoặc thiếu = chưa đủ dữ liệu.</t>
      </text>
    </comment>
    <comment authorId="0" ref="AK4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1">
      <text>
        <t xml:space="preserve">Ngày kết thúc lớp cha tự mở rộng nếu có công việc lớp 5 kết thúc muộn hơn khung gốc.</t>
      </text>
    </comment>
    <comment authorId="0" ref="T111">
      <text>
        <t xml:space="preserve">Ngày bắt đầu lớp cha tự mở rộng nếu có công việc lớp 5 bắt đầu sớm hơn khung gốc.</t>
      </text>
    </comment>
    <comment authorId="0" ref="S45">
      <text>
        <t xml:space="preserve">Ngày kết thúc lớp cha tự mở rộng nếu có công việc lớp 5 kết thúc muộn hơn khung gốc.</t>
      </text>
    </comment>
    <comment authorId="0" ref="T45">
      <text>
        <t xml:space="preserve">Ngày bắt đầu lớp cha tự mở rộng nếu có công việc lớp 5 bắt đầu sớm hơn khung gốc.</t>
      </text>
    </comment>
    <comment authorId="0" ref="AF111">
      <text>
        <t xml:space="preserve">Tự động tính từ tiến độ L5. Muốn thay đổi, hãy cập nhật ở lớp chi tiết hơn.</t>
      </text>
    </comment>
    <comment authorId="0" ref="AF45">
      <text>
        <t xml:space="preserve">Tự động tính từ tiến độ L5. Muốn thay đổi, hãy cập nhật ở lớp chi tiết hơn.</t>
      </text>
    </comment>
    <comment authorId="0" ref="D112">
      <text>
        <t xml:space="preserve">Tự động tính từ tiến độ L5. Muốn thay đổi, hãy cập nhật ở lớp chi tiết hơn.</t>
      </text>
    </comment>
    <comment authorId="0" ref="AJ111">
      <text>
        <t xml:space="preserve">L4 phải nằm trong L3; L5 phải nằm trong L4. Đúng khung = hợp lệ. Ngoài khung = vượt ngày. Chưa có hoặc thiếu = chưa đủ dữ liệu.</t>
      </text>
    </comment>
    <comment authorId="0" ref="D46">
      <text>
        <t xml:space="preserve">Tự động tính từ tiến độ L5. Muốn thay đổi, hãy cập nhật ở lớp chi tiết hơn.</t>
      </text>
    </comment>
    <comment authorId="0" ref="AK11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5">
      <text>
        <t xml:space="preserve">L4 phải nằm trong L3; L5 phải nằm trong L4. Đúng khung = hợp lệ. Ngoài khung = vượt ngày. Chưa có hoặc thiếu = chưa đủ dữ liệu.</t>
      </text>
    </comment>
    <comment authorId="0" ref="AK4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2">
      <text>
        <t xml:space="preserve">Ngày kết thúc lớp cha tự mở rộng nếu có công việc lớp 5 kết thúc muộn hơn khung gốc.</t>
      </text>
    </comment>
    <comment authorId="0" ref="T112">
      <text>
        <t xml:space="preserve">Ngày bắt đầu lớp cha tự mở rộng nếu có công việc lớp 5 bắt đầu sớm hơn khung gốc.</t>
      </text>
    </comment>
    <comment authorId="0" ref="S46">
      <text>
        <t xml:space="preserve">Ngày kết thúc lớp cha tự mở rộng nếu có công việc lớp 5 kết thúc muộn hơn khung gốc.</t>
      </text>
    </comment>
    <comment authorId="0" ref="T46">
      <text>
        <t xml:space="preserve">Ngày bắt đầu lớp cha tự mở rộng nếu có công việc lớp 5 bắt đầu sớm hơn khung gốc.</t>
      </text>
    </comment>
    <comment authorId="0" ref="AF112">
      <text>
        <t xml:space="preserve">Tự động tính từ tiến độ L5. Muốn thay đổi, hãy cập nhật ở lớp chi tiết hơn.</t>
      </text>
    </comment>
    <comment authorId="0" ref="AF46">
      <text>
        <t xml:space="preserve">Tự động tính từ tiến độ L5. Muốn thay đổi, hãy cập nhật ở lớp chi tiết hơn.</t>
      </text>
    </comment>
    <comment authorId="0" ref="D113">
      <text>
        <t xml:space="preserve">Tự động tính từ tiến độ L5. Muốn thay đổi, hãy cập nhật ở lớp chi tiết hơn.</t>
      </text>
    </comment>
    <comment authorId="0" ref="AJ112">
      <text>
        <t xml:space="preserve">L4 phải nằm trong L3; L5 phải nằm trong L4. Đúng khung = hợp lệ. Ngoài khung = vượt ngày. Chưa có hoặc thiếu = chưa đủ dữ liệu.</t>
      </text>
    </comment>
    <comment authorId="0" ref="D47">
      <text>
        <t xml:space="preserve">Tự động tính từ tiến độ L5. Muốn thay đổi, hãy cập nhật ở lớp chi tiết hơn.</t>
      </text>
    </comment>
    <comment authorId="0" ref="AK11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6">
      <text>
        <t xml:space="preserve">L4 phải nằm trong L3; L5 phải nằm trong L4. Đúng khung = hợp lệ. Ngoài khung = vượt ngày. Chưa có hoặc thiếu = chưa đủ dữ liệu.</t>
      </text>
    </comment>
    <comment authorId="0" ref="AK4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3">
      <text>
        <t xml:space="preserve">Ngày kết thúc lớp cha tự mở rộng nếu có công việc lớp 5 kết thúc muộn hơn khung gốc.</t>
      </text>
    </comment>
    <comment authorId="0" ref="T113">
      <text>
        <t xml:space="preserve">Ngày bắt đầu lớp cha tự mở rộng nếu có công việc lớp 5 bắt đầu sớm hơn khung gốc.</t>
      </text>
    </comment>
    <comment authorId="0" ref="S47">
      <text>
        <t xml:space="preserve">Ngày kết thúc lớp cha tự mở rộng nếu có công việc lớp 5 kết thúc muộn hơn khung gốc.</t>
      </text>
    </comment>
    <comment authorId="0" ref="T47">
      <text>
        <t xml:space="preserve">Ngày bắt đầu lớp cha tự mở rộng nếu có công việc lớp 5 bắt đầu sớm hơn khung gốc.</t>
      </text>
    </comment>
    <comment authorId="0" ref="AF113">
      <text>
        <t xml:space="preserve">Tự động tính từ tiến độ L5. Muốn thay đổi, hãy cập nhật ở lớp chi tiết hơn.</t>
      </text>
    </comment>
    <comment authorId="0" ref="AF47">
      <text>
        <t xml:space="preserve">Tự động tính từ tiến độ L5. Muốn thay đổi, hãy cập nhật ở lớp chi tiết hơn.</t>
      </text>
    </comment>
    <comment authorId="0" ref="D114">
      <text>
        <t xml:space="preserve">Tự động tính từ tiến độ L5. Muốn thay đổi, hãy cập nhật ở lớp chi tiết hơn.</t>
      </text>
    </comment>
    <comment authorId="0" ref="AJ113">
      <text>
        <t xml:space="preserve">L4 phải nằm trong L3; L5 phải nằm trong L4. Đúng khung = hợp lệ. Ngoài khung = vượt ngày. Chưa có hoặc thiếu = chưa đủ dữ liệu.</t>
      </text>
    </comment>
    <comment authorId="0" ref="D48">
      <text>
        <t xml:space="preserve">Tự động tính từ tiến độ L5. Muốn thay đổi, hãy cập nhật ở lớp chi tiết hơn.</t>
      </text>
    </comment>
    <comment authorId="0" ref="AK11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7">
      <text>
        <t xml:space="preserve">L4 phải nằm trong L3; L5 phải nằm trong L4. Đúng khung = hợp lệ. Ngoài khung = vượt ngày. Chưa có hoặc thiếu = chưa đủ dữ liệu.</t>
      </text>
    </comment>
    <comment authorId="0" ref="AK4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4">
      <text>
        <t xml:space="preserve">Ngày kết thúc lớp cha tự mở rộng nếu có công việc lớp 5 kết thúc muộn hơn khung gốc.</t>
      </text>
    </comment>
    <comment authorId="0" ref="T114">
      <text>
        <t xml:space="preserve">Ngày bắt đầu lớp cha tự mở rộng nếu có công việc lớp 5 bắt đầu sớm hơn khung gốc.</t>
      </text>
    </comment>
    <comment authorId="0" ref="S48">
      <text>
        <t xml:space="preserve">Ngày kết thúc lớp cha tự mở rộng nếu có công việc lớp 5 kết thúc muộn hơn khung gốc.</t>
      </text>
    </comment>
    <comment authorId="0" ref="T48">
      <text>
        <t xml:space="preserve">Ngày bắt đầu lớp cha tự mở rộng nếu có công việc lớp 5 bắt đầu sớm hơn khung gốc.</t>
      </text>
    </comment>
    <comment authorId="0" ref="AF114">
      <text>
        <t xml:space="preserve">Tự động tính từ tiến độ L5. Muốn thay đổi, hãy cập nhật ở lớp chi tiết hơn.</t>
      </text>
    </comment>
    <comment authorId="0" ref="AF48">
      <text>
        <t xml:space="preserve">Tự động tính từ tiến độ L5. Muốn thay đổi, hãy cập nhật ở lớp chi tiết hơn.</t>
      </text>
    </comment>
    <comment authorId="0" ref="D115">
      <text>
        <t xml:space="preserve">Tự động tính từ tiến độ L5. Muốn thay đổi, hãy cập nhật ở lớp chi tiết hơn.</t>
      </text>
    </comment>
    <comment authorId="0" ref="AJ114">
      <text>
        <t xml:space="preserve">L4 phải nằm trong L3; L5 phải nằm trong L4. Đúng khung = hợp lệ. Ngoài khung = vượt ngày. Chưa có hoặc thiếu = chưa đủ dữ liệu.</t>
      </text>
    </comment>
    <comment authorId="0" ref="D49">
      <text>
        <t xml:space="preserve">Tự động tính từ tiến độ L5. Muốn thay đổi, hãy cập nhật ở lớp chi tiết hơn.</t>
      </text>
    </comment>
    <comment authorId="0" ref="AK1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8">
      <text>
        <t xml:space="preserve">L4 phải nằm trong L3; L5 phải nằm trong L4. Đúng khung = hợp lệ. Ngoài khung = vượt ngày. Chưa có hoặc thiếu = chưa đủ dữ liệu.</t>
      </text>
    </comment>
    <comment authorId="0" ref="AK4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5">
      <text>
        <t xml:space="preserve">Ngày kết thúc lớp cha tự mở rộng nếu có công việc lớp 5 kết thúc muộn hơn khung gốc.</t>
      </text>
    </comment>
    <comment authorId="0" ref="T115">
      <text>
        <t xml:space="preserve">Ngày bắt đầu lớp cha tự mở rộng nếu có công việc lớp 5 bắt đầu sớm hơn khung gốc.</t>
      </text>
    </comment>
    <comment authorId="0" ref="S49">
      <text>
        <t xml:space="preserve">Ngày kết thúc lớp cha tự mở rộng nếu có công việc lớp 5 kết thúc muộn hơn khung gốc.</t>
      </text>
    </comment>
    <comment authorId="0" ref="T49">
      <text>
        <t xml:space="preserve">Ngày bắt đầu lớp cha tự mở rộng nếu có công việc lớp 5 bắt đầu sớm hơn khung gốc.</t>
      </text>
    </comment>
    <comment authorId="0" ref="AF115">
      <text>
        <t xml:space="preserve">Tự động tính từ tiến độ L5. Muốn thay đổi, hãy cập nhật ở lớp chi tiết hơn.</t>
      </text>
    </comment>
    <comment authorId="0" ref="AF49">
      <text>
        <t xml:space="preserve">Tự động tính từ tiến độ L5. Muốn thay đổi, hãy cập nhật ở lớp chi tiết hơn.</t>
      </text>
    </comment>
    <comment authorId="0" ref="D116">
      <text>
        <t xml:space="preserve">Tự động tính từ tiến độ L5. Muốn thay đổi, hãy cập nhật ở lớp chi tiết hơn.</t>
      </text>
    </comment>
    <comment authorId="0" ref="AJ115">
      <text>
        <t xml:space="preserve">L4 phải nằm trong L3; L5 phải nằm trong L4. Đúng khung = hợp lệ. Ngoài khung = vượt ngày. Chưa có hoặc thiếu = chưa đủ dữ liệu.</t>
      </text>
    </comment>
    <comment authorId="0" ref="D50">
      <text>
        <t xml:space="preserve">Tự động tính từ tiến độ L5. Muốn thay đổi, hãy cập nhật ở lớp chi tiết hơn.</t>
      </text>
    </comment>
    <comment authorId="0" ref="AK1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9">
      <text>
        <t xml:space="preserve">L4 phải nằm trong L3; L5 phải nằm trong L4. Đúng khung = hợp lệ. Ngoài khung = vượt ngày. Chưa có hoặc thiếu = chưa đủ dữ liệu.</t>
      </text>
    </comment>
    <comment authorId="0" ref="AK4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6">
      <text>
        <t xml:space="preserve">Ngày kết thúc lớp cha tự mở rộng nếu có công việc lớp 5 kết thúc muộn hơn khung gốc.</t>
      </text>
    </comment>
    <comment authorId="0" ref="T116">
      <text>
        <t xml:space="preserve">Ngày bắt đầu lớp cha tự mở rộng nếu có công việc lớp 5 bắt đầu sớm hơn khung gốc.</t>
      </text>
    </comment>
    <comment authorId="0" ref="S50">
      <text>
        <t xml:space="preserve">Ngày kết thúc lớp cha tự mở rộng nếu có công việc lớp 5 kết thúc muộn hơn khung gốc.</t>
      </text>
    </comment>
    <comment authorId="0" ref="T50">
      <text>
        <t xml:space="preserve">Ngày bắt đầu lớp cha tự mở rộng nếu có công việc lớp 5 bắt đầu sớm hơn khung gốc.</t>
      </text>
    </comment>
    <comment authorId="0" ref="AF116">
      <text>
        <t xml:space="preserve">Tự động tính từ tiến độ L5. Muốn thay đổi, hãy cập nhật ở lớp chi tiết hơn.</t>
      </text>
    </comment>
    <comment authorId="0" ref="AF50">
      <text>
        <t xml:space="preserve">Tự động tính từ tiến độ L5. Muốn thay đổi, hãy cập nhật ở lớp chi tiết hơn.</t>
      </text>
    </comment>
    <comment authorId="0" ref="D117">
      <text>
        <t xml:space="preserve">Tự động tính từ tiến độ L5. Muốn thay đổi, hãy cập nhật ở lớp chi tiết hơn.</t>
      </text>
    </comment>
    <comment authorId="0" ref="AJ116">
      <text>
        <t xml:space="preserve">L4 phải nằm trong L3; L5 phải nằm trong L4. Đúng khung = hợp lệ. Ngoài khung = vượt ngày. Chưa có hoặc thiếu = chưa đủ dữ liệu.</t>
      </text>
    </comment>
    <comment authorId="0" ref="D51">
      <text>
        <t xml:space="preserve">Tự động tính từ tiến độ L5. Muốn thay đổi, hãy cập nhật ở lớp chi tiết hơn.</t>
      </text>
    </comment>
    <comment authorId="0" ref="AK1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0">
      <text>
        <t xml:space="preserve">L4 phải nằm trong L3; L5 phải nằm trong L4. Đúng khung = hợp lệ. Ngoài khung = vượt ngày. Chưa có hoặc thiếu = chưa đủ dữ liệu.</t>
      </text>
    </comment>
    <comment authorId="0" ref="AK5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7">
      <text>
        <t xml:space="preserve">Ngày kết thúc lớp cha tự mở rộng nếu có công việc lớp 5 kết thúc muộn hơn khung gốc.</t>
      </text>
    </comment>
    <comment authorId="0" ref="T117">
      <text>
        <t xml:space="preserve">Ngày bắt đầu lớp cha tự mở rộng nếu có công việc lớp 5 bắt đầu sớm hơn khung gốc.</t>
      </text>
    </comment>
    <comment authorId="0" ref="S51">
      <text>
        <t xml:space="preserve">Ngày kết thúc lớp cha tự mở rộng nếu có công việc lớp 5 kết thúc muộn hơn khung gốc.</t>
      </text>
    </comment>
    <comment authorId="0" ref="T51">
      <text>
        <t xml:space="preserve">Ngày bắt đầu lớp cha tự mở rộng nếu có công việc lớp 5 bắt đầu sớm hơn khung gốc.</t>
      </text>
    </comment>
    <comment authorId="0" ref="AF117">
      <text>
        <t xml:space="preserve">Tự động tính từ tiến độ L5. Muốn thay đổi, hãy cập nhật ở lớp chi tiết hơn.</t>
      </text>
    </comment>
    <comment authorId="0" ref="AF51">
      <text>
        <t xml:space="preserve">Tự động tính từ tiến độ L5. Muốn thay đổi, hãy cập nhật ở lớp chi tiết hơn.</t>
      </text>
    </comment>
    <comment authorId="0" ref="D118">
      <text>
        <t xml:space="preserve">Tự động tính từ tiến độ L5. Muốn thay đổi, hãy cập nhật ở lớp chi tiết hơn.</t>
      </text>
    </comment>
    <comment authorId="0" ref="AJ117">
      <text>
        <t xml:space="preserve">L4 phải nằm trong L3; L5 phải nằm trong L4. Đúng khung = hợp lệ. Ngoài khung = vượt ngày. Chưa có hoặc thiếu = chưa đủ dữ liệu.</t>
      </text>
    </comment>
    <comment authorId="0" ref="D52">
      <text>
        <t xml:space="preserve">Tự động tính từ tiến độ L5. Muốn thay đổi, hãy cập nhật ở lớp chi tiết hơn.</t>
      </text>
    </comment>
    <comment authorId="0" ref="AK1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1">
      <text>
        <t xml:space="preserve">L4 phải nằm trong L3; L5 phải nằm trong L4. Đúng khung = hợp lệ. Ngoài khung = vượt ngày. Chưa có hoặc thiếu = chưa đủ dữ liệu.</t>
      </text>
    </comment>
    <comment authorId="0" ref="AK5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8">
      <text>
        <t xml:space="preserve">Ngày kết thúc lớp cha tự mở rộng nếu có công việc lớp 5 kết thúc muộn hơn khung gốc.</t>
      </text>
    </comment>
    <comment authorId="0" ref="T118">
      <text>
        <t xml:space="preserve">Ngày bắt đầu lớp cha tự mở rộng nếu có công việc lớp 5 bắt đầu sớm hơn khung gốc.</t>
      </text>
    </comment>
    <comment authorId="0" ref="S52">
      <text>
        <t xml:space="preserve">Ngày kết thúc lớp cha tự mở rộng nếu có công việc lớp 5 kết thúc muộn hơn khung gốc.</t>
      </text>
    </comment>
    <comment authorId="0" ref="T52">
      <text>
        <t xml:space="preserve">Ngày bắt đầu lớp cha tự mở rộng nếu có công việc lớp 5 bắt đầu sớm hơn khung gốc.</t>
      </text>
    </comment>
    <comment authorId="0" ref="AF118">
      <text>
        <t xml:space="preserve">Tự động tính từ tiến độ L5. Muốn thay đổi, hãy cập nhật ở lớp chi tiết hơn.</t>
      </text>
    </comment>
    <comment authorId="0" ref="AF52">
      <text>
        <t xml:space="preserve">Tự động tính từ tiến độ L5. Muốn thay đổi, hãy cập nhật ở lớp chi tiết hơn.</t>
      </text>
    </comment>
    <comment authorId="0" ref="D119">
      <text>
        <t xml:space="preserve">Tự động tính từ tiến độ L5. Muốn thay đổi, hãy cập nhật ở lớp chi tiết hơn.</t>
      </text>
    </comment>
    <comment authorId="0" ref="AJ118">
      <text>
        <t xml:space="preserve">L4 phải nằm trong L3; L5 phải nằm trong L4. Đúng khung = hợp lệ. Ngoài khung = vượt ngày. Chưa có hoặc thiếu = chưa đủ dữ liệu.</t>
      </text>
    </comment>
    <comment authorId="0" ref="D53">
      <text>
        <t xml:space="preserve">Tự động tính từ tiến độ L5. Muốn thay đổi, hãy cập nhật ở lớp chi tiết hơn.</t>
      </text>
    </comment>
    <comment authorId="0" ref="AK1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2">
      <text>
        <t xml:space="preserve">L4 phải nằm trong L3; L5 phải nằm trong L4. Đúng khung = hợp lệ. Ngoài khung = vượt ngày. Chưa có hoặc thiếu = chưa đủ dữ liệu.</t>
      </text>
    </comment>
    <comment authorId="0" ref="AK5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19">
      <text>
        <t xml:space="preserve">Ngày kết thúc lớp cha tự mở rộng nếu có công việc lớp 5 kết thúc muộn hơn khung gốc.</t>
      </text>
    </comment>
    <comment authorId="0" ref="T119">
      <text>
        <t xml:space="preserve">Ngày bắt đầu lớp cha tự mở rộng nếu có công việc lớp 5 bắt đầu sớm hơn khung gốc.</t>
      </text>
    </comment>
    <comment authorId="0" ref="S53">
      <text>
        <t xml:space="preserve">Ngày kết thúc lớp cha tự mở rộng nếu có công việc lớp 5 kết thúc muộn hơn khung gốc.</t>
      </text>
    </comment>
    <comment authorId="0" ref="T53">
      <text>
        <t xml:space="preserve">Ngày bắt đầu lớp cha tự mở rộng nếu có công việc lớp 5 bắt đầu sớm hơn khung gốc.</t>
      </text>
    </comment>
    <comment authorId="0" ref="AF119">
      <text>
        <t xml:space="preserve">Tự động tính từ tiến độ L5. Muốn thay đổi, hãy cập nhật ở lớp chi tiết hơn.</t>
      </text>
    </comment>
    <comment authorId="0" ref="AF53">
      <text>
        <t xml:space="preserve">Tự động tính từ tiến độ L5. Muốn thay đổi, hãy cập nhật ở lớp chi tiết hơn.</t>
      </text>
    </comment>
    <comment authorId="0" ref="D120">
      <text>
        <t xml:space="preserve">Tự động tính từ tiến độ L5. Muốn thay đổi, hãy cập nhật ở lớp chi tiết hơn.</t>
      </text>
    </comment>
    <comment authorId="0" ref="AJ119">
      <text>
        <t xml:space="preserve">L4 phải nằm trong L3; L5 phải nằm trong L4. Đúng khung = hợp lệ. Ngoài khung = vượt ngày. Chưa có hoặc thiếu = chưa đủ dữ liệu.</t>
      </text>
    </comment>
    <comment authorId="0" ref="D54">
      <text>
        <t xml:space="preserve">Tự động tính từ tiến độ L5. Muốn thay đổi, hãy cập nhật ở lớp chi tiết hơn.</t>
      </text>
    </comment>
    <comment authorId="0" ref="AK1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3">
      <text>
        <t xml:space="preserve">L4 phải nằm trong L3; L5 phải nằm trong L4. Đúng khung = hợp lệ. Ngoài khung = vượt ngày. Chưa có hoặc thiếu = chưa đủ dữ liệu.</t>
      </text>
    </comment>
    <comment authorId="0" ref="AK5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0">
      <text>
        <t xml:space="preserve">Ngày kết thúc lớp cha tự mở rộng nếu có công việc lớp 5 kết thúc muộn hơn khung gốc.</t>
      </text>
    </comment>
    <comment authorId="0" ref="T120">
      <text>
        <t xml:space="preserve">Ngày bắt đầu lớp cha tự mở rộng nếu có công việc lớp 5 bắt đầu sớm hơn khung gốc.</t>
      </text>
    </comment>
    <comment authorId="0" ref="S54">
      <text>
        <t xml:space="preserve">Ngày kết thúc lớp cha tự mở rộng nếu có công việc lớp 5 kết thúc muộn hơn khung gốc.</t>
      </text>
    </comment>
    <comment authorId="0" ref="T54">
      <text>
        <t xml:space="preserve">Ngày bắt đầu lớp cha tự mở rộng nếu có công việc lớp 5 bắt đầu sớm hơn khung gốc.</t>
      </text>
    </comment>
    <comment authorId="0" ref="AF120">
      <text>
        <t xml:space="preserve">Tự động tính từ tiến độ L5. Muốn thay đổi, hãy cập nhật ở lớp chi tiết hơn.</t>
      </text>
    </comment>
    <comment authorId="0" ref="AF54">
      <text>
        <t xml:space="preserve">Tự động tính từ tiến độ L5. Muốn thay đổi, hãy cập nhật ở lớp chi tiết hơn.</t>
      </text>
    </comment>
    <comment authorId="0" ref="D121">
      <text>
        <t xml:space="preserve">Tự động tính từ tiến độ L5. Muốn thay đổi, hãy cập nhật ở lớp chi tiết hơn.</t>
      </text>
    </comment>
    <comment authorId="0" ref="AJ120">
      <text>
        <t xml:space="preserve">L4 phải nằm trong L3; L5 phải nằm trong L4. Đúng khung = hợp lệ. Ngoài khung = vượt ngày. Chưa có hoặc thiếu = chưa đủ dữ liệu.</t>
      </text>
    </comment>
    <comment authorId="0" ref="D55">
      <text>
        <t xml:space="preserve">Tự động tính từ tiến độ L5. Muốn thay đổi, hãy cập nhật ở lớp chi tiết hơn.</t>
      </text>
    </comment>
    <comment authorId="0" ref="AK1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4">
      <text>
        <t xml:space="preserve">L4 phải nằm trong L3; L5 phải nằm trong L4. Đúng khung = hợp lệ. Ngoài khung = vượt ngày. Chưa có hoặc thiếu = chưa đủ dữ liệu.</t>
      </text>
    </comment>
    <comment authorId="0" ref="AK5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1">
      <text>
        <t xml:space="preserve">Ngày kết thúc lớp cha tự mở rộng nếu có công việc lớp 5 kết thúc muộn hơn khung gốc.</t>
      </text>
    </comment>
    <comment authorId="0" ref="T121">
      <text>
        <t xml:space="preserve">Ngày bắt đầu lớp cha tự mở rộng nếu có công việc lớp 5 bắt đầu sớm hơn khung gốc.</t>
      </text>
    </comment>
    <comment authorId="0" ref="S55">
      <text>
        <t xml:space="preserve">Ngày kết thúc lớp cha tự mở rộng nếu có công việc lớp 5 kết thúc muộn hơn khung gốc.</t>
      </text>
    </comment>
    <comment authorId="0" ref="T55">
      <text>
        <t xml:space="preserve">Ngày bắt đầu lớp cha tự mở rộng nếu có công việc lớp 5 bắt đầu sớm hơn khung gốc.</t>
      </text>
    </comment>
    <comment authorId="0" ref="AF121">
      <text>
        <t xml:space="preserve">Tự động tính từ tiến độ L5. Muốn thay đổi, hãy cập nhật ở lớp chi tiết hơn.</t>
      </text>
    </comment>
    <comment authorId="0" ref="AF55">
      <text>
        <t xml:space="preserve">Tự động tính từ tiến độ L5. Muốn thay đổi, hãy cập nhật ở lớp chi tiết hơn.</t>
      </text>
    </comment>
    <comment authorId="0" ref="D122">
      <text>
        <t xml:space="preserve">Tự động tính từ tiến độ L5. Muốn thay đổi, hãy cập nhật ở lớp chi tiết hơn.</t>
      </text>
    </comment>
    <comment authorId="0" ref="AJ121">
      <text>
        <t xml:space="preserve">L4 phải nằm trong L3; L5 phải nằm trong L4. Đúng khung = hợp lệ. Ngoài khung = vượt ngày. Chưa có hoặc thiếu = chưa đủ dữ liệu.</t>
      </text>
    </comment>
    <comment authorId="0" ref="D56">
      <text>
        <t xml:space="preserve">Tự động tính từ tiến độ L5. Muốn thay đổi, hãy cập nhật ở lớp chi tiết hơn.</t>
      </text>
    </comment>
    <comment authorId="0" ref="AK1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5">
      <text>
        <t xml:space="preserve">L4 phải nằm trong L3; L5 phải nằm trong L4. Đúng khung = hợp lệ. Ngoài khung = vượt ngày. Chưa có hoặc thiếu = chưa đủ dữ liệu.</t>
      </text>
    </comment>
    <comment authorId="0" ref="AK5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2">
      <text>
        <t xml:space="preserve">Ngày kết thúc lớp cha tự mở rộng nếu có công việc lớp 5 kết thúc muộn hơn khung gốc.</t>
      </text>
    </comment>
    <comment authorId="0" ref="T122">
      <text>
        <t xml:space="preserve">Ngày bắt đầu lớp cha tự mở rộng nếu có công việc lớp 5 bắt đầu sớm hơn khung gốc.</t>
      </text>
    </comment>
    <comment authorId="0" ref="S56">
      <text>
        <t xml:space="preserve">Ngày kết thúc lớp cha tự mở rộng nếu có công việc lớp 5 kết thúc muộn hơn khung gốc.</t>
      </text>
    </comment>
    <comment authorId="0" ref="T56">
      <text>
        <t xml:space="preserve">Ngày bắt đầu lớp cha tự mở rộng nếu có công việc lớp 5 bắt đầu sớm hơn khung gốc.</t>
      </text>
    </comment>
    <comment authorId="0" ref="AF122">
      <text>
        <t xml:space="preserve">Tự động tính từ tiến độ L5. Muốn thay đổi, hãy cập nhật ở lớp chi tiết hơn.</t>
      </text>
    </comment>
    <comment authorId="0" ref="AF56">
      <text>
        <t xml:space="preserve">Tự động tính từ tiến độ L5. Muốn thay đổi, hãy cập nhật ở lớp chi tiết hơn.</t>
      </text>
    </comment>
    <comment authorId="0" ref="D123">
      <text>
        <t xml:space="preserve">Tự động tính từ tiến độ L5. Muốn thay đổi, hãy cập nhật ở lớp chi tiết hơn.</t>
      </text>
    </comment>
    <comment authorId="0" ref="AJ122">
      <text>
        <t xml:space="preserve">L4 phải nằm trong L3; L5 phải nằm trong L4. Đúng khung = hợp lệ. Ngoài khung = vượt ngày. Chưa có hoặc thiếu = chưa đủ dữ liệu.</t>
      </text>
    </comment>
    <comment authorId="0" ref="D57">
      <text>
        <t xml:space="preserve">Tự động tính từ tiến độ L5. Muốn thay đổi, hãy cập nhật ở lớp chi tiết hơn.</t>
      </text>
    </comment>
    <comment authorId="0" ref="AK1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6">
      <text>
        <t xml:space="preserve">L4 phải nằm trong L3; L5 phải nằm trong L4. Đúng khung = hợp lệ. Ngoài khung = vượt ngày. Chưa có hoặc thiếu = chưa đủ dữ liệu.</t>
      </text>
    </comment>
    <comment authorId="0" ref="AK5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3">
      <text>
        <t xml:space="preserve">Ngày kết thúc lớp cha tự mở rộng nếu có công việc lớp 5 kết thúc muộn hơn khung gốc.</t>
      </text>
    </comment>
    <comment authorId="0" ref="T123">
      <text>
        <t xml:space="preserve">Ngày bắt đầu lớp cha tự mở rộng nếu có công việc lớp 5 bắt đầu sớm hơn khung gốc.</t>
      </text>
    </comment>
    <comment authorId="0" ref="S57">
      <text>
        <t xml:space="preserve">Ngày kết thúc lớp cha tự mở rộng nếu có công việc lớp 5 kết thúc muộn hơn khung gốc.</t>
      </text>
    </comment>
    <comment authorId="0" ref="T57">
      <text>
        <t xml:space="preserve">Ngày bắt đầu lớp cha tự mở rộng nếu có công việc lớp 5 bắt đầu sớm hơn khung gốc.</t>
      </text>
    </comment>
    <comment authorId="0" ref="AF123">
      <text>
        <t xml:space="preserve">Tự động tính từ tiến độ L5. Muốn thay đổi, hãy cập nhật ở lớp chi tiết hơn.</t>
      </text>
    </comment>
    <comment authorId="0" ref="AF57">
      <text>
        <t xml:space="preserve">Tự động tính từ tiến độ L5. Muốn thay đổi, hãy cập nhật ở lớp chi tiết hơn.</t>
      </text>
    </comment>
    <comment authorId="0" ref="D124">
      <text>
        <t xml:space="preserve">Tự động tính từ tiến độ L5. Muốn thay đổi, hãy cập nhật ở lớp chi tiết hơn.</t>
      </text>
    </comment>
    <comment authorId="0" ref="AJ123">
      <text>
        <t xml:space="preserve">L4 phải nằm trong L3; L5 phải nằm trong L4. Đúng khung = hợp lệ. Ngoài khung = vượt ngày. Chưa có hoặc thiếu = chưa đủ dữ liệu.</t>
      </text>
    </comment>
    <comment authorId="0" ref="D58">
      <text>
        <t xml:space="preserve">Tự động tính từ tiến độ L5. Muốn thay đổi, hãy cập nhật ở lớp chi tiết hơn.</t>
      </text>
    </comment>
    <comment authorId="0" ref="AK1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7">
      <text>
        <t xml:space="preserve">L4 phải nằm trong L3; L5 phải nằm trong L4. Đúng khung = hợp lệ. Ngoài khung = vượt ngày. Chưa có hoặc thiếu = chưa đủ dữ liệu.</t>
      </text>
    </comment>
    <comment authorId="0" ref="AK5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4">
      <text>
        <t xml:space="preserve">Ngày kết thúc lớp cha tự mở rộng nếu có công việc lớp 5 kết thúc muộn hơn khung gốc.</t>
      </text>
    </comment>
    <comment authorId="0" ref="T124">
      <text>
        <t xml:space="preserve">Ngày bắt đầu lớp cha tự mở rộng nếu có công việc lớp 5 bắt đầu sớm hơn khung gốc.</t>
      </text>
    </comment>
    <comment authorId="0" ref="S58">
      <text>
        <t xml:space="preserve">Ngày kết thúc lớp cha tự mở rộng nếu có công việc lớp 5 kết thúc muộn hơn khung gốc.</t>
      </text>
    </comment>
    <comment authorId="0" ref="T58">
      <text>
        <t xml:space="preserve">Ngày bắt đầu lớp cha tự mở rộng nếu có công việc lớp 5 bắt đầu sớm hơn khung gốc.</t>
      </text>
    </comment>
    <comment authorId="0" ref="AF124">
      <text>
        <t xml:space="preserve">Tự động tính từ tiến độ L5. Muốn thay đổi, hãy cập nhật ở lớp chi tiết hơn.</t>
      </text>
    </comment>
    <comment authorId="0" ref="AF58">
      <text>
        <t xml:space="preserve">Tự động tính từ tiến độ L5. Muốn thay đổi, hãy cập nhật ở lớp chi tiết hơn.</t>
      </text>
    </comment>
    <comment authorId="0" ref="D125">
      <text>
        <t xml:space="preserve">Tự động tính từ tiến độ L5. Muốn thay đổi, hãy cập nhật ở lớp chi tiết hơn.</t>
      </text>
    </comment>
    <comment authorId="0" ref="AJ124">
      <text>
        <t xml:space="preserve">L4 phải nằm trong L3; L5 phải nằm trong L4. Đúng khung = hợp lệ. Ngoài khung = vượt ngày. Chưa có hoặc thiếu = chưa đủ dữ liệu.</t>
      </text>
    </comment>
    <comment authorId="0" ref="D59">
      <text>
        <t xml:space="preserve">Tự động tính từ tiến độ L5. Muốn thay đổi, hãy cập nhật ở lớp chi tiết hơn.</t>
      </text>
    </comment>
    <comment authorId="0" ref="AK1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8">
      <text>
        <t xml:space="preserve">L4 phải nằm trong L3; L5 phải nằm trong L4. Đúng khung = hợp lệ. Ngoài khung = vượt ngày. Chưa có hoặc thiếu = chưa đủ dữ liệu.</t>
      </text>
    </comment>
    <comment authorId="0" ref="AK5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5">
      <text>
        <t xml:space="preserve">Ngày kết thúc lớp cha tự mở rộng nếu có công việc lớp 5 kết thúc muộn hơn khung gốc.</t>
      </text>
    </comment>
    <comment authorId="0" ref="T125">
      <text>
        <t xml:space="preserve">Ngày bắt đầu lớp cha tự mở rộng nếu có công việc lớp 5 bắt đầu sớm hơn khung gốc.</t>
      </text>
    </comment>
    <comment authorId="0" ref="S59">
      <text>
        <t xml:space="preserve">Ngày kết thúc lớp cha tự mở rộng nếu có công việc lớp 5 kết thúc muộn hơn khung gốc.</t>
      </text>
    </comment>
    <comment authorId="0" ref="T59">
      <text>
        <t xml:space="preserve">Ngày bắt đầu lớp cha tự mở rộng nếu có công việc lớp 5 bắt đầu sớm hơn khung gốc.</t>
      </text>
    </comment>
    <comment authorId="0" ref="AF125">
      <text>
        <t xml:space="preserve">Tự động tính từ tiến độ L5. Muốn thay đổi, hãy cập nhật ở lớp chi tiết hơn.</t>
      </text>
    </comment>
    <comment authorId="0" ref="AF59">
      <text>
        <t xml:space="preserve">Tự động tính từ tiến độ L5. Muốn thay đổi, hãy cập nhật ở lớp chi tiết hơn.</t>
      </text>
    </comment>
    <comment authorId="0" ref="D126">
      <text>
        <t xml:space="preserve">Tự động tính từ tiến độ L5. Muốn thay đổi, hãy cập nhật ở lớp chi tiết hơn.</t>
      </text>
    </comment>
    <comment authorId="0" ref="AJ125">
      <text>
        <t xml:space="preserve">L4 phải nằm trong L3; L5 phải nằm trong L4. Đúng khung = hợp lệ. Ngoài khung = vượt ngày. Chưa có hoặc thiếu = chưa đủ dữ liệu.</t>
      </text>
    </comment>
    <comment authorId="0" ref="D60">
      <text>
        <t xml:space="preserve">Tự động tính từ tiến độ L5. Muốn thay đổi, hãy cập nhật ở lớp chi tiết hơn.</t>
      </text>
    </comment>
    <comment authorId="0" ref="AK1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9">
      <text>
        <t xml:space="preserve">L4 phải nằm trong L3; L5 phải nằm trong L4. Đúng khung = hợp lệ. Ngoài khung = vượt ngày. Chưa có hoặc thiếu = chưa đủ dữ liệu.</t>
      </text>
    </comment>
    <comment authorId="0" ref="AK5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6">
      <text>
        <t xml:space="preserve">Ngày kết thúc lớp cha tự mở rộng nếu có công việc lớp 5 kết thúc muộn hơn khung gốc.</t>
      </text>
    </comment>
    <comment authorId="0" ref="T126">
      <text>
        <t xml:space="preserve">Ngày bắt đầu lớp cha tự mở rộng nếu có công việc lớp 5 bắt đầu sớm hơn khung gốc.</t>
      </text>
    </comment>
    <comment authorId="0" ref="S60">
      <text>
        <t xml:space="preserve">Ngày kết thúc lớp cha tự mở rộng nếu có công việc lớp 5 kết thúc muộn hơn khung gốc.</t>
      </text>
    </comment>
    <comment authorId="0" ref="T60">
      <text>
        <t xml:space="preserve">Ngày bắt đầu lớp cha tự mở rộng nếu có công việc lớp 5 bắt đầu sớm hơn khung gốc.</t>
      </text>
    </comment>
    <comment authorId="0" ref="AF126">
      <text>
        <t xml:space="preserve">Tự động tính từ tiến độ L5. Muốn thay đổi, hãy cập nhật ở lớp chi tiết hơn.</t>
      </text>
    </comment>
    <comment authorId="0" ref="AF60">
      <text>
        <t xml:space="preserve">Tự động tính từ tiến độ L5. Muốn thay đổi, hãy cập nhật ở lớp chi tiết hơn.</t>
      </text>
    </comment>
    <comment authorId="0" ref="D127">
      <text>
        <t xml:space="preserve">Tự động tính từ tiến độ L5. Muốn thay đổi, hãy cập nhật ở lớp chi tiết hơn.</t>
      </text>
    </comment>
    <comment authorId="0" ref="AJ126">
      <text>
        <t xml:space="preserve">L4 phải nằm trong L3; L5 phải nằm trong L4. Đúng khung = hợp lệ. Ngoài khung = vượt ngày. Chưa có hoặc thiếu = chưa đủ dữ liệu.</t>
      </text>
    </comment>
    <comment authorId="0" ref="D61">
      <text>
        <t xml:space="preserve">Tự động tính từ tiến độ L5. Muốn thay đổi, hãy cập nhật ở lớp chi tiết hơn.</t>
      </text>
    </comment>
    <comment authorId="0" ref="AK1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0">
      <text>
        <t xml:space="preserve">L4 phải nằm trong L3; L5 phải nằm trong L4. Đúng khung = hợp lệ. Ngoài khung = vượt ngày. Chưa có hoặc thiếu = chưa đủ dữ liệu.</t>
      </text>
    </comment>
    <comment authorId="0" ref="AK6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7">
      <text>
        <t xml:space="preserve">Ngày kết thúc lớp cha tự mở rộng nếu có công việc lớp 5 kết thúc muộn hơn khung gốc.</t>
      </text>
    </comment>
    <comment authorId="0" ref="T127">
      <text>
        <t xml:space="preserve">Ngày bắt đầu lớp cha tự mở rộng nếu có công việc lớp 5 bắt đầu sớm hơn khung gốc.</t>
      </text>
    </comment>
    <comment authorId="0" ref="S61">
      <text>
        <t xml:space="preserve">Ngày kết thúc lớp cha tự mở rộng nếu có công việc lớp 5 kết thúc muộn hơn khung gốc.</t>
      </text>
    </comment>
    <comment authorId="0" ref="T61">
      <text>
        <t xml:space="preserve">Ngày bắt đầu lớp cha tự mở rộng nếu có công việc lớp 5 bắt đầu sớm hơn khung gốc.</t>
      </text>
    </comment>
    <comment authorId="0" ref="AF127">
      <text>
        <t xml:space="preserve">Tự động tính từ tiến độ L5. Muốn thay đổi, hãy cập nhật ở lớp chi tiết hơn.</t>
      </text>
    </comment>
    <comment authorId="0" ref="AF61">
      <text>
        <t xml:space="preserve">Tự động tính từ tiến độ L5. Muốn thay đổi, hãy cập nhật ở lớp chi tiết hơn.</t>
      </text>
    </comment>
    <comment authorId="0" ref="D128">
      <text>
        <t xml:space="preserve">Tự động tính từ tiến độ L5. Muốn thay đổi, hãy cập nhật ở lớp chi tiết hơn.</t>
      </text>
    </comment>
    <comment authorId="0" ref="AJ127">
      <text>
        <t xml:space="preserve">L4 phải nằm trong L3; L5 phải nằm trong L4. Đúng khung = hợp lệ. Ngoài khung = vượt ngày. Chưa có hoặc thiếu = chưa đủ dữ liệu.</t>
      </text>
    </comment>
    <comment authorId="0" ref="D62">
      <text>
        <t xml:space="preserve">Tự động tính từ tiến độ L5. Muốn thay đổi, hãy cập nhật ở lớp chi tiết hơn.</t>
      </text>
    </comment>
    <comment authorId="0" ref="AK1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1">
      <text>
        <t xml:space="preserve">L4 phải nằm trong L3; L5 phải nằm trong L4. Đúng khung = hợp lệ. Ngoài khung = vượt ngày. Chưa có hoặc thiếu = chưa đủ dữ liệu.</t>
      </text>
    </comment>
    <comment authorId="0" ref="AK6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8">
      <text>
        <t xml:space="preserve">Ngày kết thúc lớp cha tự mở rộng nếu có công việc lớp 5 kết thúc muộn hơn khung gốc.</t>
      </text>
    </comment>
    <comment authorId="0" ref="T128">
      <text>
        <t xml:space="preserve">Ngày bắt đầu lớp cha tự mở rộng nếu có công việc lớp 5 bắt đầu sớm hơn khung gốc.</t>
      </text>
    </comment>
    <comment authorId="0" ref="S62">
      <text>
        <t xml:space="preserve">Ngày kết thúc lớp cha tự mở rộng nếu có công việc lớp 5 kết thúc muộn hơn khung gốc.</t>
      </text>
    </comment>
    <comment authorId="0" ref="T62">
      <text>
        <t xml:space="preserve">Ngày bắt đầu lớp cha tự mở rộng nếu có công việc lớp 5 bắt đầu sớm hơn khung gốc.</t>
      </text>
    </comment>
    <comment authorId="0" ref="AF128">
      <text>
        <t xml:space="preserve">Tự động tính từ tiến độ L5. Muốn thay đổi, hãy cập nhật ở lớp chi tiết hơn.</t>
      </text>
    </comment>
    <comment authorId="0" ref="AF62">
      <text>
        <t xml:space="preserve">Tự động tính từ tiến độ L5. Muốn thay đổi, hãy cập nhật ở lớp chi tiết hơn.</t>
      </text>
    </comment>
    <comment authorId="0" ref="D129">
      <text>
        <t xml:space="preserve">Tự động tính từ tiến độ L5. Muốn thay đổi, hãy cập nhật ở lớp chi tiết hơn.</t>
      </text>
    </comment>
    <comment authorId="0" ref="AJ128">
      <text>
        <t xml:space="preserve">L4 phải nằm trong L3; L5 phải nằm trong L4. Đúng khung = hợp lệ. Ngoài khung = vượt ngày. Chưa có hoặc thiếu = chưa đủ dữ liệu.</t>
      </text>
    </comment>
    <comment authorId="0" ref="D63">
      <text>
        <t xml:space="preserve">Tự động tính từ tiến độ L5. Muốn thay đổi, hãy cập nhật ở lớp chi tiết hơn.</t>
      </text>
    </comment>
    <comment authorId="0" ref="AK1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2">
      <text>
        <t xml:space="preserve">L4 phải nằm trong L3; L5 phải nằm trong L4. Đúng khung = hợp lệ. Ngoài khung = vượt ngày. Chưa có hoặc thiếu = chưa đủ dữ liệu.</t>
      </text>
    </comment>
    <comment authorId="0" ref="AK6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29">
      <text>
        <t xml:space="preserve">Ngày kết thúc lớp cha tự mở rộng nếu có công việc lớp 5 kết thúc muộn hơn khung gốc.</t>
      </text>
    </comment>
    <comment authorId="0" ref="T129">
      <text>
        <t xml:space="preserve">Ngày bắt đầu lớp cha tự mở rộng nếu có công việc lớp 5 bắt đầu sớm hơn khung gốc.</t>
      </text>
    </comment>
    <comment authorId="0" ref="S63">
      <text>
        <t xml:space="preserve">Ngày kết thúc lớp cha tự mở rộng nếu có công việc lớp 5 kết thúc muộn hơn khung gốc.</t>
      </text>
    </comment>
    <comment authorId="0" ref="T63">
      <text>
        <t xml:space="preserve">Ngày bắt đầu lớp cha tự mở rộng nếu có công việc lớp 5 bắt đầu sớm hơn khung gốc.</t>
      </text>
    </comment>
    <comment authorId="0" ref="AF129">
      <text>
        <t xml:space="preserve">Tự động tính từ tiến độ L5. Muốn thay đổi, hãy cập nhật ở lớp chi tiết hơn.</t>
      </text>
    </comment>
    <comment authorId="0" ref="AF63">
      <text>
        <t xml:space="preserve">Tự động tính từ tiến độ L5. Muốn thay đổi, hãy cập nhật ở lớp chi tiết hơn.</t>
      </text>
    </comment>
    <comment authorId="0" ref="D130">
      <text>
        <t xml:space="preserve">Tự động tính từ tiến độ L5. Muốn thay đổi, hãy cập nhật ở lớp chi tiết hơn.</t>
      </text>
    </comment>
    <comment authorId="0" ref="AJ129">
      <text>
        <t xml:space="preserve">L4 phải nằm trong L3; L5 phải nằm trong L4. Đúng khung = hợp lệ. Ngoài khung = vượt ngày. Chưa có hoặc thiếu = chưa đủ dữ liệu.</t>
      </text>
    </comment>
    <comment authorId="0" ref="D64">
      <text>
        <t xml:space="preserve">Tự động tính từ tiến độ L5. Muốn thay đổi, hãy cập nhật ở lớp chi tiết hơn.</t>
      </text>
    </comment>
    <comment authorId="0" ref="AK1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3">
      <text>
        <t xml:space="preserve">L4 phải nằm trong L3; L5 phải nằm trong L4. Đúng khung = hợp lệ. Ngoài khung = vượt ngày. Chưa có hoặc thiếu = chưa đủ dữ liệu.</t>
      </text>
    </comment>
    <comment authorId="0" ref="AK6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30">
      <text>
        <t xml:space="preserve">Ngày kết thúc lớp cha tự mở rộng nếu có công việc lớp 5 kết thúc muộn hơn khung gốc.</t>
      </text>
    </comment>
    <comment authorId="0" ref="T130">
      <text>
        <t xml:space="preserve">Ngày bắt đầu lớp cha tự mở rộng nếu có công việc lớp 5 bắt đầu sớm hơn khung gốc.</t>
      </text>
    </comment>
    <comment authorId="0" ref="S64">
      <text>
        <t xml:space="preserve">Ngày kết thúc lớp cha tự mở rộng nếu có công việc lớp 5 kết thúc muộn hơn khung gốc.</t>
      </text>
    </comment>
    <comment authorId="0" ref="T64">
      <text>
        <t xml:space="preserve">Ngày bắt đầu lớp cha tự mở rộng nếu có công việc lớp 5 bắt đầu sớm hơn khung gốc.</t>
      </text>
    </comment>
    <comment authorId="0" ref="AF130">
      <text>
        <t xml:space="preserve">Tự động tính từ tiến độ L5. Muốn thay đổi, hãy cập nhật ở lớp chi tiết hơn.</t>
      </text>
    </comment>
    <comment authorId="0" ref="AF64">
      <text>
        <t xml:space="preserve">Tự động tính từ tiến độ L5. Muốn thay đổi, hãy cập nhật ở lớp chi tiết hơn.</t>
      </text>
    </comment>
    <comment authorId="0" ref="D131">
      <text>
        <t xml:space="preserve">Tự động tính từ tiến độ L5. Muốn thay đổi, hãy cập nhật ở lớp chi tiết hơn.</t>
      </text>
    </comment>
    <comment authorId="0" ref="AJ130">
      <text>
        <t xml:space="preserve">L4 phải nằm trong L3; L5 phải nằm trong L4. Đúng khung = hợp lệ. Ngoài khung = vượt ngày. Chưa có hoặc thiếu = chưa đủ dữ liệu.</t>
      </text>
    </comment>
    <comment authorId="0" ref="D65">
      <text>
        <t xml:space="preserve">Tự động tính từ tiến độ L5. Muốn thay đổi, hãy cập nhật ở lớp chi tiết hơn.</t>
      </text>
    </comment>
    <comment authorId="0" ref="AK1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4">
      <text>
        <t xml:space="preserve">L4 phải nằm trong L3; L5 phải nằm trong L4. Đúng khung = hợp lệ. Ngoài khung = vượt ngày. Chưa có hoặc thiếu = chưa đủ dữ liệu.</t>
      </text>
    </comment>
    <comment authorId="0" ref="AK6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31">
      <text>
        <t xml:space="preserve">Ngày kết thúc lớp cha tự mở rộng nếu có công việc lớp 5 kết thúc muộn hơn khung gốc.</t>
      </text>
    </comment>
    <comment authorId="0" ref="T131">
      <text>
        <t xml:space="preserve">Ngày bắt đầu lớp cha tự mở rộng nếu có công việc lớp 5 bắt đầu sớm hơn khung gốc.</t>
      </text>
    </comment>
    <comment authorId="0" ref="S65">
      <text>
        <t xml:space="preserve">Ngày kết thúc lớp cha tự mở rộng nếu có công việc lớp 5 kết thúc muộn hơn khung gốc.</t>
      </text>
    </comment>
    <comment authorId="0" ref="T65">
      <text>
        <t xml:space="preserve">Ngày bắt đầu lớp cha tự mở rộng nếu có công việc lớp 5 bắt đầu sớm hơn khung gốc.</t>
      </text>
    </comment>
    <comment authorId="0" ref="AF131">
      <text>
        <t xml:space="preserve">Tự động tính từ tiến độ L5. Muốn thay đổi, hãy cập nhật ở lớp chi tiết hơn.</t>
      </text>
    </comment>
    <comment authorId="0" ref="AF65">
      <text>
        <t xml:space="preserve">Tự động tính từ tiến độ L5. Muốn thay đổi, hãy cập nhật ở lớp chi tiết hơn.</t>
      </text>
    </comment>
    <comment authorId="0" ref="D132">
      <text>
        <t xml:space="preserve">Tự động tính từ tiến độ L5. Muốn thay đổi, hãy cập nhật ở lớp chi tiết hơn.</t>
      </text>
    </comment>
    <comment authorId="0" ref="AJ131">
      <text>
        <t xml:space="preserve">L4 phải nằm trong L3; L5 phải nằm trong L4. Đúng khung = hợp lệ. Ngoài khung = vượt ngày. Chưa có hoặc thiếu = chưa đủ dữ liệu.</t>
      </text>
    </comment>
    <comment authorId="0" ref="D66">
      <text>
        <t xml:space="preserve">Tự động tính từ tiến độ L5. Muốn thay đổi, hãy cập nhật ở lớp chi tiết hơn.</t>
      </text>
    </comment>
    <comment authorId="0" ref="AK1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5">
      <text>
        <t xml:space="preserve">L4 phải nằm trong L3; L5 phải nằm trong L4. Đúng khung = hợp lệ. Ngoài khung = vượt ngày. Chưa có hoặc thiếu = chưa đủ dữ liệu.</t>
      </text>
    </comment>
    <comment authorId="0" ref="AK6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S132">
      <text>
        <t xml:space="preserve">Ngày kết thúc lớp cha tự mở rộng nếu có công việc lớp 5 kết thúc muộn hơn khung gốc.</t>
      </text>
    </comment>
    <comment authorId="0" ref="T132">
      <text>
        <t xml:space="preserve">Ngày bắt đầu lớp cha tự mở rộng nếu có công việc lớp 5 bắt đầu sớm hơn khung gốc.</t>
      </text>
    </comment>
    <comment authorId="0" ref="S66">
      <text>
        <t xml:space="preserve">Ngày kết thúc lớp cha tự mở rộng nếu có công việc lớp 5 kết thúc muộn hơn khung gốc.</t>
      </text>
    </comment>
    <comment authorId="0" ref="T66">
      <text>
        <t xml:space="preserve">Ngày bắt đầu lớp cha tự mở rộng nếu có công việc lớp 5 bắt đầu sớm hơn khung gốc.</t>
      </text>
    </comment>
    <comment authorId="0" ref="AF132">
      <text>
        <t xml:space="preserve">Tự động tính từ tiến độ L5. Muốn thay đổi, hãy cập nhật ở lớp chi tiết hơn.</t>
      </text>
    </comment>
    <comment authorId="0" ref="AF66">
      <text>
        <t xml:space="preserve">Tự động tính từ tiến độ L5. Muốn thay đổi, hãy cập nhật ở lớp chi tiết hơn.</t>
      </text>
    </comment>
    <comment authorId="0" ref="D133">
      <text>
        <t xml:space="preserve">Tự động tính từ tiến độ L5. Muốn thay đổi, hãy cập nhật ở lớp chi tiết hơn.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132">
      <text>
        <t xml:space="preserve">L5 phải nằm trong L4; L6 phải nằm trong L5. Đúng khung = hợp lệ. Ngoài khung = vượt ngày. Chưa có hoặc thiếu = chưa đủ dữ liệu.</t>
      </text>
    </comment>
    <comment authorId="0" ref="AL1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5">
      <text>
        <t xml:space="preserve">Ngày kết thúc lớp cha tự mở rộng nếu có công việc lớp 6 kết thúc muộn hơn khung gốc.</t>
      </text>
    </comment>
    <comment authorId="0" ref="V265">
      <text>
        <t xml:space="preserve">Ngày bắt đầu lớp cha tự mở rộng nếu có công việc lớp 6 bắt đầu sớm hơn khung gốc.</t>
      </text>
    </comment>
    <comment authorId="0" ref="U133">
      <text>
        <t xml:space="preserve">Ngày kết thúc lớp cha tự mở rộng nếu có công việc lớp 6 kết thúc muộn hơn khung gốc.</t>
      </text>
    </comment>
    <comment authorId="0" ref="V133">
      <text>
        <t xml:space="preserve">Ngày bắt đầu lớp cha tự mở rộng nếu có công việc lớp 6 bắt đầu sớm hơn khung gốc.</t>
      </text>
    </comment>
    <comment authorId="0" ref="AG265">
      <text>
        <t xml:space="preserve">Tự động tính từ tiến độ L6. Nếu chưa có L6, trạng thái Hoàn thành tương ứng 100%.</t>
      </text>
    </comment>
    <comment authorId="0" ref="D266">
      <text>
        <t xml:space="preserve">Tự động tính từ tiến độ L6. Nếu chưa có L6, trạng thái Hoàn thành tương ứng 100%.</t>
      </text>
    </comment>
    <comment authorId="0" ref="AG133">
      <text>
        <t xml:space="preserve">Tự động tính từ tiến độ L6. Nếu chưa có L6, trạng thái Hoàn thành tương ứng 100%.</t>
      </text>
    </comment>
    <comment authorId="0" ref="AK265">
      <text>
        <t xml:space="preserve">L5 phải nằm trong L4; L6 phải nằm trong L5. Đúng khung = hợp lệ. Ngoài khung = vượt ngày. Chưa có hoặc thiếu = chưa đủ dữ liệu.</t>
      </text>
    </comment>
    <comment authorId="0" ref="AL26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34">
      <text>
        <t xml:space="preserve">Tự động tính từ tiến độ L6. Nếu chưa có L6, trạng thái Hoàn thành tương ứng 100%.</t>
      </text>
    </comment>
    <comment authorId="0" ref="AK133">
      <text>
        <t xml:space="preserve">L5 phải nằm trong L4; L6 phải nằm trong L5. Đúng khung = hợp lệ. Ngoài khung = vượt ngày. Chưa có hoặc thiếu = chưa đủ dữ liệu.</t>
      </text>
    </comment>
    <comment authorId="0" ref="AL1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6">
      <text>
        <t xml:space="preserve">Ngày kết thúc lớp cha tự mở rộng nếu có công việc lớp 6 kết thúc muộn hơn khung gốc.</t>
      </text>
    </comment>
    <comment authorId="0" ref="V266">
      <text>
        <t xml:space="preserve">Ngày bắt đầu lớp cha tự mở rộng nếu có công việc lớp 6 bắt đầu sớm hơn khung gốc.</t>
      </text>
    </comment>
    <comment authorId="0" ref="U134">
      <text>
        <t xml:space="preserve">Ngày kết thúc lớp cha tự mở rộng nếu có công việc lớp 6 kết thúc muộn hơn khung gốc.</t>
      </text>
    </comment>
    <comment authorId="0" ref="V134">
      <text>
        <t xml:space="preserve">Ngày bắt đầu lớp cha tự mở rộng nếu có công việc lớp 6 bắt đầu sớm hơn khung gốc.</t>
      </text>
    </comment>
    <comment authorId="0" ref="AG266">
      <text>
        <t xml:space="preserve">Tự động tính từ tiến độ L6. Nếu chưa có L6, trạng thái Hoàn thành tương ứng 100%.</t>
      </text>
    </comment>
    <comment authorId="0" ref="D267">
      <text>
        <t xml:space="preserve">Tự động tính từ tiến độ L6. Nếu chưa có L6, trạng thái Hoàn thành tương ứng 100%.</t>
      </text>
    </comment>
    <comment authorId="0" ref="AG134">
      <text>
        <t xml:space="preserve">Tự động tính từ tiến độ L6. Nếu chưa có L6, trạng thái Hoàn thành tương ứng 100%.</t>
      </text>
    </comment>
    <comment authorId="0" ref="AK266">
      <text>
        <t xml:space="preserve">L5 phải nằm trong L4; L6 phải nằm trong L5. Đúng khung = hợp lệ. Ngoài khung = vượt ngày. Chưa có hoặc thiếu = chưa đủ dữ liệu.</t>
      </text>
    </comment>
    <comment authorId="0" ref="AL26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35">
      <text>
        <t xml:space="preserve">Tự động tính từ tiến độ L6. Nếu chưa có L6, trạng thái Hoàn thành tương ứng 100%.</t>
      </text>
    </comment>
    <comment authorId="0" ref="AK134">
      <text>
        <t xml:space="preserve">L5 phải nằm trong L4; L6 phải nằm trong L5. Đúng khung = hợp lệ. Ngoài khung = vượt ngày. Chưa có hoặc thiếu = chưa đủ dữ liệu.</t>
      </text>
    </comment>
    <comment authorId="0" ref="AL1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7">
      <text>
        <t xml:space="preserve">Ngày kết thúc lớp cha tự mở rộng nếu có công việc lớp 6 kết thúc muộn hơn khung gốc.</t>
      </text>
    </comment>
    <comment authorId="0" ref="V267">
      <text>
        <t xml:space="preserve">Ngày bắt đầu lớp cha tự mở rộng nếu có công việc lớp 6 bắt đầu sớm hơn khung gốc.</t>
      </text>
    </comment>
    <comment authorId="0" ref="U135">
      <text>
        <t xml:space="preserve">Ngày kết thúc lớp cha tự mở rộng nếu có công việc lớp 6 kết thúc muộn hơn khung gốc.</t>
      </text>
    </comment>
    <comment authorId="0" ref="V135">
      <text>
        <t xml:space="preserve">Ngày bắt đầu lớp cha tự mở rộng nếu có công việc lớp 6 bắt đầu sớm hơn khung gốc.</t>
      </text>
    </comment>
    <comment authorId="0" ref="AG267">
      <text>
        <t xml:space="preserve">Tự động tính từ tiến độ L6. Nếu chưa có L6, trạng thái Hoàn thành tương ứng 100%.</t>
      </text>
    </comment>
    <comment authorId="0" ref="Z3">
      <text>
        <t xml:space="preserve">Nhập một phần hoặc toàn bộ tên công việc lớp con L6.</t>
      </text>
    </comment>
    <comment authorId="0" ref="AG135">
      <text>
        <t xml:space="preserve">Tự động tính từ tiến độ L6. Nếu chưa có L6, trạng thái Hoàn thành tương ứng 100%.</t>
      </text>
    </comment>
    <comment authorId="0" ref="AK267">
      <text>
        <t xml:space="preserve">L5 phải nằm trong L4; L6 phải nằm trong L5. Đúng khung = hợp lệ. Ngoài khung = vượt ngày. Chưa có hoặc thiếu = chưa đủ dữ liệu.</t>
      </text>
    </comment>
    <comment authorId="0" ref="AL26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36">
      <text>
        <t xml:space="preserve">Tự động tính từ tiến độ L6. Nếu chưa có L6, trạng thái Hoàn thành tương ứng 100%.</t>
      </text>
    </comment>
    <comment authorId="0" ref="AK135">
      <text>
        <t xml:space="preserve">L5 phải nằm trong L4; L6 phải nằm trong L5. Đúng khung = hợp lệ. Ngoài khung = vượt ngày. Chưa có hoặc thiếu = chưa đủ dữ liệu.</t>
      </text>
    </comment>
    <comment authorId="0" ref="AL1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36">
      <text>
        <t xml:space="preserve">Ngày kết thúc lớp cha tự mở rộng nếu có công việc lớp 6 kết thúc muộn hơn khung gốc.</t>
      </text>
    </comment>
    <comment authorId="0" ref="V136">
      <text>
        <t xml:space="preserve">Ngày bắt đầu lớp cha tự mở rộng nếu có công việc lớp 6 bắt đầu sớm hơn khung gốc.</t>
      </text>
    </comment>
    <comment authorId="0" ref="AG136">
      <text>
        <t xml:space="preserve">Tự động tính từ tiến độ L6. Nếu chưa có L6, trạng thái Hoàn thành tương ứng 100%.</t>
      </text>
    </comment>
    <comment authorId="0" ref="D137">
      <text>
        <t xml:space="preserve">Tự động tính từ tiến độ L6. Nếu chưa có L6, trạng thái Hoàn thành tương ứng 100%.</t>
      </text>
    </comment>
    <comment authorId="0" ref="AK136">
      <text>
        <t xml:space="preserve">L5 phải nằm trong L4; L6 phải nằm trong L5. Đúng khung = hợp lệ. Ngoài khung = vượt ngày. Chưa có hoặc thiếu = chưa đủ dữ liệu.</t>
      </text>
    </comment>
    <comment authorId="0" ref="AL1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37">
      <text>
        <t xml:space="preserve">Ngày kết thúc lớp cha tự mở rộng nếu có công việc lớp 6 kết thúc muộn hơn khung gốc.</t>
      </text>
    </comment>
    <comment authorId="0" ref="V137">
      <text>
        <t xml:space="preserve">Ngày bắt đầu lớp cha tự mở rộng nếu có công việc lớp 6 bắt đầu sớm hơn khung gốc.</t>
      </text>
    </comment>
    <comment authorId="0" ref="AG137">
      <text>
        <t xml:space="preserve">Tự động tính từ tiến độ L6. Nếu chưa có L6, trạng thái Hoàn thành tương ứng 100%.</t>
      </text>
    </comment>
    <comment authorId="0" ref="D138">
      <text>
        <t xml:space="preserve">Tự động tính từ tiến độ L6. Nếu chưa có L6, trạng thái Hoàn thành tương ứng 100%.</t>
      </text>
    </comment>
    <comment authorId="0" ref="AK137">
      <text>
        <t xml:space="preserve">L5 phải nằm trong L4; L6 phải nằm trong L5. Đúng khung = hợp lệ. Ngoài khung = vượt ngày. Chưa có hoặc thiếu = chưa đủ dữ liệu.</t>
      </text>
    </comment>
    <comment authorId="0" ref="AL1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38">
      <text>
        <t xml:space="preserve">Ngày kết thúc lớp cha tự mở rộng nếu có công việc lớp 6 kết thúc muộn hơn khung gốc.</t>
      </text>
    </comment>
    <comment authorId="0" ref="V138">
      <text>
        <t xml:space="preserve">Ngày bắt đầu lớp cha tự mở rộng nếu có công việc lớp 6 bắt đầu sớm hơn khung gốc.</t>
      </text>
    </comment>
    <comment authorId="0" ref="AG138">
      <text>
        <t xml:space="preserve">Tự động tính từ tiến độ L6. Nếu chưa có L6, trạng thái Hoàn thành tương ứng 100%.</t>
      </text>
    </comment>
    <comment authorId="0" ref="D139">
      <text>
        <t xml:space="preserve">Tự động tính từ tiến độ L6. Nếu chưa có L6, trạng thái Hoàn thành tương ứng 100%.</t>
      </text>
    </comment>
    <comment authorId="0" ref="AK138">
      <text>
        <t xml:space="preserve">L5 phải nằm trong L4; L6 phải nằm trong L5. Đúng khung = hợp lệ. Ngoài khung = vượt ngày. Chưa có hoặc thiếu = chưa đủ dữ liệu.</t>
      </text>
    </comment>
    <comment authorId="0" ref="AL13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39">
      <text>
        <t xml:space="preserve">Ngày kết thúc lớp cha tự mở rộng nếu có công việc lớp 6 kết thúc muộn hơn khung gốc.</t>
      </text>
    </comment>
    <comment authorId="0" ref="V139">
      <text>
        <t xml:space="preserve">Ngày bắt đầu lớp cha tự mở rộng nếu có công việc lớp 6 bắt đầu sớm hơn khung gốc.</t>
      </text>
    </comment>
    <comment authorId="0" ref="AG139">
      <text>
        <t xml:space="preserve">Tự động tính từ tiến độ L6. Nếu chưa có L6, trạng thái Hoàn thành tương ứng 100%.</t>
      </text>
    </comment>
    <comment authorId="0" ref="D140">
      <text>
        <t xml:space="preserve">Tự động tính từ tiến độ L6. Nếu chưa có L6, trạng thái Hoàn thành tương ứng 100%.</t>
      </text>
    </comment>
    <comment authorId="0" ref="AK139">
      <text>
        <t xml:space="preserve">L5 phải nằm trong L4; L6 phải nằm trong L5. Đúng khung = hợp lệ. Ngoài khung = vượt ngày. Chưa có hoặc thiếu = chưa đủ dữ liệu.</t>
      </text>
    </comment>
    <comment authorId="0" ref="AL13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40">
      <text>
        <t xml:space="preserve">Ngày kết thúc lớp cha tự mở rộng nếu có công việc lớp 6 kết thúc muộn hơn khung gốc.</t>
      </text>
    </comment>
    <comment authorId="0" ref="V140">
      <text>
        <t xml:space="preserve">Ngày bắt đầu lớp cha tự mở rộng nếu có công việc lớp 6 bắt đầu sớm hơn khung gốc.</t>
      </text>
    </comment>
    <comment authorId="0" ref="AG140">
      <text>
        <t xml:space="preserve">Tự động tính từ tiến độ L6. Nếu chưa có L6, trạng thái Hoàn thành tương ứng 100%.</t>
      </text>
    </comment>
    <comment authorId="0" ref="D141">
      <text>
        <t xml:space="preserve">Tự động tính từ tiến độ L6. Nếu chưa có L6, trạng thái Hoàn thành tương ứng 100%.</t>
      </text>
    </comment>
    <comment authorId="0" ref="AK140">
      <text>
        <t xml:space="preserve">L5 phải nằm trong L4; L6 phải nằm trong L5. Đúng khung = hợp lệ. Ngoài khung = vượt ngày. Chưa có hoặc thiếu = chưa đủ dữ liệu.</t>
      </text>
    </comment>
    <comment authorId="0" ref="AL14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41">
      <text>
        <t xml:space="preserve">Ngày kết thúc lớp cha tự mở rộng nếu có công việc lớp 6 kết thúc muộn hơn khung gốc.</t>
      </text>
    </comment>
    <comment authorId="0" ref="V141">
      <text>
        <t xml:space="preserve">Ngày bắt đầu lớp cha tự mở rộng nếu có công việc lớp 6 bắt đầu sớm hơn khung gốc.</t>
      </text>
    </comment>
    <comment authorId="0" ref="AG141">
      <text>
        <t xml:space="preserve">Tự động tính từ tiến độ L6. Nếu chưa có L6, trạng thái Hoàn thành tương ứng 100%.</t>
      </text>
    </comment>
    <comment authorId="0" ref="D142">
      <text>
        <t xml:space="preserve">Tự động tính từ tiến độ L6. Nếu chưa có L6, trạng thái Hoàn thành tương ứng 100%.</t>
      </text>
    </comment>
    <comment authorId="0" ref="AK141">
      <text>
        <t xml:space="preserve">L5 phải nằm trong L4; L6 phải nằm trong L5. Đúng khung = hợp lệ. Ngoài khung = vượt ngày. Chưa có hoặc thiếu = chưa đủ dữ liệu.</t>
      </text>
    </comment>
    <comment authorId="0" ref="AL14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42">
      <text>
        <t xml:space="preserve">Ngày kết thúc lớp cha tự mở rộng nếu có công việc lớp 6 kết thúc muộn hơn khung gốc.</t>
      </text>
    </comment>
    <comment authorId="0" ref="V142">
      <text>
        <t xml:space="preserve">Ngày bắt đầu lớp cha tự mở rộng nếu có công việc lớp 6 bắt đầu sớm hơn khung gốc.</t>
      </text>
    </comment>
    <comment authorId="0" ref="AG142">
      <text>
        <t xml:space="preserve">Tự động tính từ tiến độ L6. Nếu chưa có L6, trạng thái Hoàn thành tương ứng 100%.</t>
      </text>
    </comment>
    <comment authorId="0" ref="D143">
      <text>
        <t xml:space="preserve">Tự động tính từ tiến độ L6. Nếu chưa có L6, trạng thái Hoàn thành tương ứng 100%.</t>
      </text>
    </comment>
    <comment authorId="0" ref="AK142">
      <text>
        <t xml:space="preserve">L5 phải nằm trong L4; L6 phải nằm trong L5. Đúng khung = hợp lệ. Ngoài khung = vượt ngày. Chưa có hoặc thiếu = chưa đủ dữ liệu.</t>
      </text>
    </comment>
    <comment authorId="0" ref="AL14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43">
      <text>
        <t xml:space="preserve">Ngày kết thúc lớp cha tự mở rộng nếu có công việc lớp 6 kết thúc muộn hơn khung gốc.</t>
      </text>
    </comment>
    <comment authorId="0" ref="V143">
      <text>
        <t xml:space="preserve">Ngày bắt đầu lớp cha tự mở rộng nếu có công việc lớp 6 bắt đầu sớm hơn khung gốc.</t>
      </text>
    </comment>
    <comment authorId="0" ref="AG143">
      <text>
        <t xml:space="preserve">Tự động tính từ tiến độ L6. Nếu chưa có L6, trạng thái Hoàn thành tương ứng 100%.</t>
      </text>
    </comment>
    <comment authorId="0" ref="D144">
      <text>
        <t xml:space="preserve">Tự động tính từ tiến độ L6. Nếu chưa có L6, trạng thái Hoàn thành tương ứng 100%.</t>
      </text>
    </comment>
    <comment authorId="0" ref="A12">
      <text>
        <t xml:space="preserve">Sheet này là báo cáo/tổng hợp. Không nhập hoặc chỉnh sửa trực tiếp tại các dòng dữ liệu.</t>
      </text>
    </comment>
    <comment authorId="0" ref="AK143">
      <text>
        <t xml:space="preserve">L5 phải nằm trong L4; L6 phải nằm trong L5. Đúng khung = hợp lệ. Ngoài khung = vượt ngày. Chưa có hoặc thiếu = chưa đủ dữ liệu.</t>
      </text>
    </comment>
    <comment authorId="0" ref="AL14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44">
      <text>
        <t xml:space="preserve">Ngày kết thúc lớp cha tự mở rộng nếu có công việc lớp 6 kết thúc muộn hơn khung gốc.</t>
      </text>
    </comment>
    <comment authorId="0" ref="V144">
      <text>
        <t xml:space="preserve">Ngày bắt đầu lớp cha tự mở rộng nếu có công việc lớp 6 bắt đầu sớm hơn khung gốc.</t>
      </text>
    </comment>
    <comment authorId="0" ref="AG144">
      <text>
        <t xml:space="preserve">Tự động tính từ tiến độ L6. Nếu chưa có L6, trạng thái Hoàn thành tương ứng 100%.</t>
      </text>
    </comment>
    <comment authorId="0" ref="D145">
      <text>
        <t xml:space="preserve">Tự động tính từ tiến độ L6. Nếu chưa có L6, trạng thái Hoàn thành tương ứng 100%.</t>
      </text>
    </comment>
    <comment authorId="0" ref="A13">
      <text>
        <t xml:space="preserve">Số thứ tự tự động theo các dòng có tên công việc.</t>
      </text>
    </comment>
    <comment authorId="0" ref="B13">
      <text>
        <t xml:space="preserve">Màu nền và màu chữ của Tên công việc L5 được đồng bộ tự động theo Mức độ ưu tiên tại cột O cùng hàng.</t>
      </text>
    </comment>
    <comment authorId="0" ref="AK144">
      <text>
        <t xml:space="preserve">L5 phải nằm trong L4; L6 phải nằm trong L5. Đúng khung = hợp lệ. Ngoài khung = vượt ngày. Chưa có hoặc thiếu = chưa đủ dữ liệu.</t>
      </text>
    </comment>
    <comment authorId="0" ref="C13">
      <text>
        <t xml:space="preserve">Quy tắc màu ưu tiên thống nhất: P1 navy đậm (#1F3A5F), P2 teal đậm (#2F7C85), P3 teal sáng (#A8D7D4), P4 teal rất nhạt (#E7F3F2).</t>
      </text>
    </comment>
    <comment authorId="0" ref="AL14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3">
      <text>
        <t xml:space="preserve">Tiến độ từ 0% đến 100%. Nếu có L6, hệ thống tổng hợp từ công việc chi tiết.</t>
      </text>
    </comment>
    <comment authorId="0" ref="F13">
      <text>
        <t xml:space="preserve">Ngày kết thúc tự động của lớp 5. Hệ thống lấy mốc muộn hơn giữa khung gốc và các công việc lớp 6 trực thuộc.</t>
      </text>
    </comment>
    <comment authorId="0" ref="G13">
      <text>
        <t xml:space="preserve">Ngày bắt đầu tự động của lớp 5. Hệ thống lấy mốc sớm hơn giữa khung gốc và các công việc lớp 6 trực thuộc.</t>
      </text>
    </comment>
    <comment authorId="0" ref="H13">
      <text>
        <t xml:space="preserve">Có: công việc này được chia tiếp xuống Lớp 6. Không: đây là cấp thực hiện cuối của nhánh.</t>
      </text>
    </comment>
    <comment authorId="0" ref="I13">
      <text>
        <t xml:space="preserve">Mã L5 duy nhất, không trùng. Đây là mã cha được chọn tại Lớp 6 và Nhật ký thực hiện.</t>
      </text>
    </comment>
    <comment authorId="0" ref="J13">
      <text>
        <t xml:space="preserve">Chọn Mã L4 cha. Các thông tin L3, L4 và đơn vị phụ trách sẽ tự kế thừa.</t>
      </text>
    </comment>
    <comment authorId="0" ref="Q13">
      <text>
        <t xml:space="preserve">Màu nền và màu chữ của Tên công việc L5 được đồng bộ tự động theo Mức độ ưu tiên tại cột O cùng hàng.</t>
      </text>
    </comment>
    <comment authorId="0" ref="U145">
      <text>
        <t xml:space="preserve">Ngày kết thúc lớp cha tự mở rộng nếu có công việc lớp 6 kết thúc muộn hơn khung gốc.</t>
      </text>
    </comment>
    <comment authorId="0" ref="R13">
      <text>
        <t xml:space="preserve">Quy tắc màu ưu tiên thống nhất: P1 navy đậm (#1F3A5F), P2 teal đậm (#2F7C85), P3 teal sáng (#A8D7D4), P4 teal rất nhạt (#E7F3F2).</t>
      </text>
    </comment>
    <comment authorId="0" ref="V145">
      <text>
        <t xml:space="preserve">Ngày bắt đầu lớp cha tự mở rộng nếu có công việc lớp 6 bắt đầu sớm hơn khung gốc.</t>
      </text>
    </comment>
    <comment authorId="0" ref="U13">
      <text>
        <t xml:space="preserve">Tự tính ngày làm việc, loại Chủ nhật và ngày nghỉ lễ; thứ Bảy vẫn được tính.</t>
      </text>
    </comment>
    <comment authorId="0" ref="V13">
      <text>
        <t xml:space="preserve">Tiến độ từ 0% đến 100%. Nếu có L6, hệ thống tổng hợp từ công việc chi tiết.</t>
      </text>
    </comment>
    <comment authorId="0" ref="W13">
      <text>
        <t xml:space="preserve">Số dương là ngày còn lại; số âm là số ngày quá hạn.</t>
      </text>
    </comment>
    <comment authorId="0" ref="X13">
      <text>
        <t xml:space="preserve">Mô tả đầu ra có thể kiểm tra/nghiệm thu để xác định nhiệm vụ đã hoàn thành.</t>
      </text>
    </comment>
    <comment authorId="0" ref="Y13">
      <text>
        <t xml:space="preserve">Mô tả lợi ích hoặc thay đổi cụ thể mà công việc tạo ra.</t>
      </text>
    </comment>
    <comment authorId="0" ref="AA13">
      <text>
        <t xml:space="preserve">Người trực tiếp chịu trách nhiệm thực hiện và được dùng để tính tải.</t>
      </text>
    </comment>
    <comment authorId="0" ref="AG145">
      <text>
        <t xml:space="preserve">Tự động tính từ tiến độ L6. Nếu chưa có L6, trạng thái Hoàn thành tương ứng 100%.</t>
      </text>
    </comment>
    <comment authorId="0" ref="AC13">
      <text>
        <t xml:space="preserve">Quy tắc màu ưu tiên thống nhất: P1 navy đậm (#1F3A5F), P2 teal đậm (#2F7C85), P3 teal sáng (#A8D7D4), P4 teal rất nhạt (#E7F3F2).</t>
      </text>
    </comment>
    <comment authorId="0" ref="D146">
      <text>
        <t xml:space="preserve">Tự động tính từ tiến độ L6. Nếu chưa có L6, trạng thái Hoàn thành tương ứng 100%.</t>
      </text>
    </comment>
    <comment authorId="0" ref="AF13">
      <text>
        <t xml:space="preserve">Tự tính ngày làm việc, loại Chủ nhật và ngày nghỉ lễ; thứ Bảy vẫn được tính.</t>
      </text>
    </comment>
    <comment authorId="0" ref="AG13">
      <text>
        <t xml:space="preserve">Tiến độ từ 0% đến 100%. Nếu có L6, hệ thống tổng hợp từ công việc chi tiết.</t>
      </text>
    </comment>
    <comment authorId="0" ref="AK145">
      <text>
        <t xml:space="preserve">L5 phải nằm trong L4; L6 phải nằm trong L5. Đúng khung = hợp lệ. Ngoài khung = vượt ngày. Chưa có hoặc thiếu = chưa đủ dữ liệu.</t>
      </text>
    </comment>
    <comment authorId="0" ref="AH13">
      <text>
        <t xml:space="preserve">Số dương là ngày còn lại; số âm là số ngày quá hạn.</t>
      </text>
    </comment>
    <comment authorId="0" ref="AL14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I13">
      <text>
        <t xml:space="preserve">Tổng số giờ ước tính để hoàn thành toàn bộ nhiệm vụ L5.</t>
      </text>
    </comment>
    <comment authorId="0" ref="D14">
      <text>
        <t xml:space="preserve">Tự động tính từ tiến độ L6. Nếu chưa có L6, trạng thái Hoàn thành tương ứng 100%.</t>
      </text>
    </comment>
    <comment authorId="0" ref="AJ13">
      <text>
        <t xml:space="preserve">Số giờ công việc yêu cầu trung bình trong một ngày làm việc.</t>
      </text>
    </comment>
    <comment authorId="0" ref="AK13">
      <text>
        <t xml:space="preserve">Đối chiếu thời gian Lớp 5 với Lớp 4 và các công việc Lớp 6.</t>
      </text>
    </comment>
    <comment authorId="0" ref="AL13">
      <text>
        <t xml:space="preserve">Cảnh báo tải của người thực hiện: bình thường, cận tải hoặc quá tải.</t>
      </text>
    </comment>
    <comment authorId="0" ref="AM13">
      <text>
        <t xml:space="preserve">Chọn cách công việc được xếp lịch: có thời hạn, định kỳ, khi phát sinh hoặc chưa xếp lịch.</t>
      </text>
    </comment>
    <comment authorId="0" ref="AN13">
      <text>
        <t xml:space="preserve">Tần suất lặp lại, chỉ dùng khi Loại lịch là Định kỳ.</t>
      </text>
    </comment>
    <comment authorId="0" ref="AO13">
      <text>
        <t xml:space="preserve">Ngày dự kiến kiểm tra hoặc cập nhật lại công việc.</t>
      </text>
    </comment>
    <comment authorId="0" ref="AP13">
      <text>
        <t xml:space="preserve">Ngày công việc thực sự hoàn tất; chỉ nhập khi trạng thái là Hoàn thành.</t>
      </text>
    </comment>
    <comment authorId="0" ref="AQ13">
      <text>
        <t xml:space="preserve">Tháng hoàn thành thực tế, hệ thống tự xác định từ ngày hoàn thành.</t>
      </text>
    </comment>
    <comment authorId="0" ref="AR13">
      <text>
        <t xml:space="preserve">Đường dẫn tới kết quả hoặc bằng chứng hoàn thành.</t>
      </text>
    </comment>
    <comment authorId="0" ref="AS13">
      <text>
        <t xml:space="preserve">Đơn vị tính cho mức phân bổ: ngày hoặc tuần.</t>
      </text>
    </comment>
    <comment authorId="0" ref="AT13">
      <text>
        <t xml:space="preserve">Số giờ dự kiến dành cho công việc trong mỗi ngày hoặc tuần.</t>
      </text>
    </comment>
    <comment authorId="0" ref="AU13">
      <text>
        <t xml:space="preserve">Số giờ tối thiểu cần dành mỗi kỳ để hoàn thành đúng hạn.</t>
      </text>
    </comment>
    <comment authorId="0" ref="AV13">
      <text>
        <t xml:space="preserve">So sánh giờ đã phân bổ với số giờ cần thiết để kịp hạn.</t>
      </text>
    </comment>
    <comment authorId="0" ref="U146">
      <text>
        <t xml:space="preserve">Ngày kết thúc lớp cha tự mở rộng nếu có công việc lớp 6 kết thúc muộn hơn khung gốc.</t>
      </text>
    </comment>
    <comment authorId="0" ref="AW13">
      <text>
        <t xml:space="preserve">CỘT TỰ ĐỘNG — KHÔNG NHẬP DỮ LIỆU.
Cột này đối chiếu sự phù hợp giữa: Trạng thái, Ngày bắt đầu, Ngày kết thúc, % hoàn thành, Ngày hoàn thành thực tế và Đường link kết quả.
• OK: Dữ liệu hiện tại hợp lý, chưa phát hiện mâu thuẫn.
• Nếu hiện nội dung khác OK: Đó là cảnh báo cần kiểm tra và sửa theo đúng nội dung hiển thị.
Ví dụ:
- “Thiếu ngày bắt đầu/kết thúc”: cần nhập đủ ngày.
- “Ngày kết thúc trước ngày bắt đầu”: cần sửa lại thứ tự ngày.
- “Tiến độ 100% – chuyển Hoàn thành”: cần đổi trạng thái thành Hoàn thành.
- “Thiếu đường link kết quả”: công việc Hoàn thành nhưng chưa có link kết quả.
- “Quá hạn nhưng chưa bắt đầu”: ngày kết thúc đã qua nhưng trạng thái vẫn Chưa bắt đầu.</t>
      </text>
    </comment>
    <comment authorId="0" ref="V146">
      <text>
        <t xml:space="preserve">Ngày bắt đầu lớp cha tự mở rộng nếu có công việc lớp 6 bắt đầu sớm hơn khung gốc.</t>
      </text>
    </comment>
    <comment authorId="0" ref="AX13">
      <text>
        <t xml:space="preserve">Dán liên kết tới báo cáo, tệp hoặc kết quả đã hoàn thành.</t>
      </text>
    </comment>
    <comment authorId="0" ref="U14">
      <text>
        <t xml:space="preserve">Ngày kết thúc lớp cha tự mở rộng nếu có công việc lớp 6 kết thúc muộn hơn khung gốc.</t>
      </text>
    </comment>
    <comment authorId="0" ref="V14">
      <text>
        <t xml:space="preserve">Ngày bắt đầu lớp cha tự mở rộng nếu có công việc lớp 6 bắt đầu sớm hơn khung gốc.</t>
      </text>
    </comment>
    <comment authorId="0" ref="AG146">
      <text>
        <t xml:space="preserve">Tự động tính từ tiến độ L6. Nếu chưa có L6, trạng thái Hoàn thành tương ứng 100%.</t>
      </text>
    </comment>
    <comment authorId="0" ref="D147">
      <text>
        <t xml:space="preserve">Tự động tính từ tiến độ L6. Nếu chưa có L6, trạng thái Hoàn thành tương ứng 100%.</t>
      </text>
    </comment>
    <comment authorId="0" ref="AG14">
      <text>
        <t xml:space="preserve">Tự động tính từ tiến độ L6. Nếu chưa có L6, trạng thái Hoàn thành tương ứng 100%.</t>
      </text>
    </comment>
    <comment authorId="0" ref="AK146">
      <text>
        <t xml:space="preserve">L5 phải nằm trong L4; L6 phải nằm trong L5. Đúng khung = hợp lệ. Ngoài khung = vượt ngày. Chưa có hoặc thiếu = chưa đủ dữ liệu.</t>
      </text>
    </comment>
    <comment authorId="0" ref="AL14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5">
      <text>
        <t xml:space="preserve">Tự động tính từ tiến độ L6. Nếu chưa có L6, trạng thái Hoàn thành tương ứng 100%.</t>
      </text>
    </comment>
    <comment authorId="0" ref="AK14">
      <text>
        <t xml:space="preserve">L5 phải nằm trong L4; L6 phải nằm trong L5. Đúng khung = hợp lệ. Ngoài khung = vượt ngày. Chưa có hoặc thiếu = chưa đủ dữ liệu.</t>
      </text>
    </comment>
    <comment authorId="0" ref="AL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47">
      <text>
        <t xml:space="preserve">Ngày kết thúc lớp cha tự mở rộng nếu có công việc lớp 6 kết thúc muộn hơn khung gốc.</t>
      </text>
    </comment>
    <comment authorId="0" ref="V147">
      <text>
        <t xml:space="preserve">Ngày bắt đầu lớp cha tự mở rộng nếu có công việc lớp 6 bắt đầu sớm hơn khung gốc.</t>
      </text>
    </comment>
    <comment authorId="0" ref="U15">
      <text>
        <t xml:space="preserve">Ngày kết thúc lớp cha tự mở rộng nếu có công việc lớp 6 kết thúc muộn hơn khung gốc.</t>
      </text>
    </comment>
    <comment authorId="0" ref="V15">
      <text>
        <t xml:space="preserve">Ngày bắt đầu lớp cha tự mở rộng nếu có công việc lớp 6 bắt đầu sớm hơn khung gốc.</t>
      </text>
    </comment>
    <comment authorId="0" ref="AG147">
      <text>
        <t xml:space="preserve">Tự động tính từ tiến độ L6. Nếu chưa có L6, trạng thái Hoàn thành tương ứng 100%.</t>
      </text>
    </comment>
    <comment authorId="0" ref="D148">
      <text>
        <t xml:space="preserve">Tự động tính từ tiến độ L6. Nếu chưa có L6, trạng thái Hoàn thành tương ứng 100%.</t>
      </text>
    </comment>
    <comment authorId="0" ref="AG15">
      <text>
        <t xml:space="preserve">Tự động tính từ tiến độ L6. Nếu chưa có L6, trạng thái Hoàn thành tương ứng 100%.</t>
      </text>
    </comment>
    <comment authorId="0" ref="AK147">
      <text>
        <t xml:space="preserve">L5 phải nằm trong L4; L6 phải nằm trong L5. Đúng khung = hợp lệ. Ngoài khung = vượt ngày. Chưa có hoặc thiếu = chưa đủ dữ liệu.</t>
      </text>
    </comment>
    <comment authorId="0" ref="AL14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6">
      <text>
        <t xml:space="preserve">Tự động tính từ tiến độ L6. Nếu chưa có L6, trạng thái Hoàn thành tương ứng 100%.</t>
      </text>
    </comment>
    <comment authorId="0" ref="AK15">
      <text>
        <t xml:space="preserve">L5 phải nằm trong L4; L6 phải nằm trong L5. Đúng khung = hợp lệ. Ngoài khung = vượt ngày. Chưa có hoặc thiếu = chưa đủ dữ liệu.</t>
      </text>
    </comment>
    <comment authorId="0" ref="AL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48">
      <text>
        <t xml:space="preserve">Ngày kết thúc lớp cha tự mở rộng nếu có công việc lớp 6 kết thúc muộn hơn khung gốc.</t>
      </text>
    </comment>
    <comment authorId="0" ref="V148">
      <text>
        <t xml:space="preserve">Ngày bắt đầu lớp cha tự mở rộng nếu có công việc lớp 6 bắt đầu sớm hơn khung gốc.</t>
      </text>
    </comment>
    <comment authorId="0" ref="U16">
      <text>
        <t xml:space="preserve">Ngày kết thúc lớp cha tự mở rộng nếu có công việc lớp 6 kết thúc muộn hơn khung gốc.</t>
      </text>
    </comment>
    <comment authorId="0" ref="V16">
      <text>
        <t xml:space="preserve">Ngày bắt đầu lớp cha tự mở rộng nếu có công việc lớp 6 bắt đầu sớm hơn khung gốc.</t>
      </text>
    </comment>
    <comment authorId="0" ref="AG148">
      <text>
        <t xml:space="preserve">Tự động tính từ tiến độ L6. Nếu chưa có L6, trạng thái Hoàn thành tương ứng 100%.</t>
      </text>
    </comment>
    <comment authorId="0" ref="D149">
      <text>
        <t xml:space="preserve">Tự động tính từ tiến độ L6. Nếu chưa có L6, trạng thái Hoàn thành tương ứng 100%.</t>
      </text>
    </comment>
    <comment authorId="0" ref="AG16">
      <text>
        <t xml:space="preserve">Tự động tính từ tiến độ L6. Nếu chưa có L6, trạng thái Hoàn thành tương ứng 100%.</t>
      </text>
    </comment>
    <comment authorId="0" ref="AK148">
      <text>
        <t xml:space="preserve">L5 phải nằm trong L4; L6 phải nằm trong L5. Đúng khung = hợp lệ. Ngoài khung = vượt ngày. Chưa có hoặc thiếu = chưa đủ dữ liệu.</t>
      </text>
    </comment>
    <comment authorId="0" ref="AL14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7">
      <text>
        <t xml:space="preserve">Tự động tính từ tiến độ L6. Nếu chưa có L6, trạng thái Hoàn thành tương ứng 100%.</t>
      </text>
    </comment>
    <comment authorId="0" ref="AK16">
      <text>
        <t xml:space="preserve">L5 phải nằm trong L4; L6 phải nằm trong L5. Đúng khung = hợp lệ. Ngoài khung = vượt ngày. Chưa có hoặc thiếu = chưa đủ dữ liệu.</t>
      </text>
    </comment>
    <comment authorId="0" ref="AL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49">
      <text>
        <t xml:space="preserve">Ngày kết thúc lớp cha tự mở rộng nếu có công việc lớp 6 kết thúc muộn hơn khung gốc.</t>
      </text>
    </comment>
    <comment authorId="0" ref="V149">
      <text>
        <t xml:space="preserve">Ngày bắt đầu lớp cha tự mở rộng nếu có công việc lớp 6 bắt đầu sớm hơn khung gốc.</t>
      </text>
    </comment>
    <comment authorId="0" ref="U17">
      <text>
        <t xml:space="preserve">Ngày kết thúc lớp cha tự mở rộng nếu có công việc lớp 6 kết thúc muộn hơn khung gốc.</t>
      </text>
    </comment>
    <comment authorId="0" ref="V17">
      <text>
        <t xml:space="preserve">Ngày bắt đầu lớp cha tự mở rộng nếu có công việc lớp 6 bắt đầu sớm hơn khung gốc.</t>
      </text>
    </comment>
    <comment authorId="0" ref="AG149">
      <text>
        <t xml:space="preserve">Tự động tính từ tiến độ L6. Nếu chưa có L6, trạng thái Hoàn thành tương ứng 100%.</t>
      </text>
    </comment>
    <comment authorId="0" ref="D150">
      <text>
        <t xml:space="preserve">Tự động tính từ tiến độ L6. Nếu chưa có L6, trạng thái Hoàn thành tương ứng 100%.</t>
      </text>
    </comment>
    <comment authorId="0" ref="AG17">
      <text>
        <t xml:space="preserve">Tự động tính từ tiến độ L6. Nếu chưa có L6, trạng thái Hoàn thành tương ứng 100%.</t>
      </text>
    </comment>
    <comment authorId="0" ref="AK149">
      <text>
        <t xml:space="preserve">L5 phải nằm trong L4; L6 phải nằm trong L5. Đúng khung = hợp lệ. Ngoài khung = vượt ngày. Chưa có hoặc thiếu = chưa đủ dữ liệu.</t>
      </text>
    </comment>
    <comment authorId="0" ref="AL14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8">
      <text>
        <t xml:space="preserve">Tự động tính từ tiến độ L6. Nếu chưa có L6, trạng thái Hoàn thành tương ứng 100%.</t>
      </text>
    </comment>
    <comment authorId="0" ref="AK17">
      <text>
        <t xml:space="preserve">L5 phải nằm trong L4; L6 phải nằm trong L5. Đúng khung = hợp lệ. Ngoài khung = vượt ngày. Chưa có hoặc thiếu = chưa đủ dữ liệu.</t>
      </text>
    </comment>
    <comment authorId="0" ref="AL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0">
      <text>
        <t xml:space="preserve">Ngày kết thúc lớp cha tự mở rộng nếu có công việc lớp 6 kết thúc muộn hơn khung gốc.</t>
      </text>
    </comment>
    <comment authorId="0" ref="V150">
      <text>
        <t xml:space="preserve">Ngày bắt đầu lớp cha tự mở rộng nếu có công việc lớp 6 bắt đầu sớm hơn khung gốc.</t>
      </text>
    </comment>
    <comment authorId="0" ref="U18">
      <text>
        <t xml:space="preserve">Ngày kết thúc lớp cha tự mở rộng nếu có công việc lớp 6 kết thúc muộn hơn khung gốc.</t>
      </text>
    </comment>
    <comment authorId="0" ref="V18">
      <text>
        <t xml:space="preserve">Ngày bắt đầu lớp cha tự mở rộng nếu có công việc lớp 6 bắt đầu sớm hơn khung gốc.</t>
      </text>
    </comment>
    <comment authorId="0" ref="AG150">
      <text>
        <t xml:space="preserve">Tự động tính từ tiến độ L6. Nếu chưa có L6, trạng thái Hoàn thành tương ứng 100%.</t>
      </text>
    </comment>
    <comment authorId="0" ref="D151">
      <text>
        <t xml:space="preserve">Tự động tính từ tiến độ L6. Nếu chưa có L6, trạng thái Hoàn thành tương ứng 100%.</t>
      </text>
    </comment>
    <comment authorId="0" ref="AG18">
      <text>
        <t xml:space="preserve">Tự động tính từ tiến độ L6. Nếu chưa có L6, trạng thái Hoàn thành tương ứng 100%.</t>
      </text>
    </comment>
    <comment authorId="0" ref="AK150">
      <text>
        <t xml:space="preserve">L5 phải nằm trong L4; L6 phải nằm trong L5. Đúng khung = hợp lệ. Ngoài khung = vượt ngày. Chưa có hoặc thiếu = chưa đủ dữ liệu.</t>
      </text>
    </comment>
    <comment authorId="0" ref="AL15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9">
      <text>
        <t xml:space="preserve">Tự động tính từ tiến độ L6. Nếu chưa có L6, trạng thái Hoàn thành tương ứng 100%.</t>
      </text>
    </comment>
    <comment authorId="0" ref="AK18">
      <text>
        <t xml:space="preserve">L5 phải nằm trong L4; L6 phải nằm trong L5. Đúng khung = hợp lệ. Ngoài khung = vượt ngày. Chưa có hoặc thiếu = chưa đủ dữ liệu.</t>
      </text>
    </comment>
    <comment authorId="0" ref="AL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1">
      <text>
        <t xml:space="preserve">Ngày kết thúc lớp cha tự mở rộng nếu có công việc lớp 6 kết thúc muộn hơn khung gốc.</t>
      </text>
    </comment>
    <comment authorId="0" ref="V151">
      <text>
        <t xml:space="preserve">Ngày bắt đầu lớp cha tự mở rộng nếu có công việc lớp 6 bắt đầu sớm hơn khung gốc.</t>
      </text>
    </comment>
    <comment authorId="0" ref="U19">
      <text>
        <t xml:space="preserve">Ngày kết thúc lớp cha tự mở rộng nếu có công việc lớp 6 kết thúc muộn hơn khung gốc.</t>
      </text>
    </comment>
    <comment authorId="0" ref="V19">
      <text>
        <t xml:space="preserve">Ngày bắt đầu lớp cha tự mở rộng nếu có công việc lớp 6 bắt đầu sớm hơn khung gốc.</t>
      </text>
    </comment>
    <comment authorId="0" ref="AG151">
      <text>
        <t xml:space="preserve">Tự động tính từ tiến độ L6. Nếu chưa có L6, trạng thái Hoàn thành tương ứng 100%.</t>
      </text>
    </comment>
    <comment authorId="0" ref="D152">
      <text>
        <t xml:space="preserve">Tự động tính từ tiến độ L6. Nếu chưa có L6, trạng thái Hoàn thành tương ứng 100%.</t>
      </text>
    </comment>
    <comment authorId="0" ref="AG19">
      <text>
        <t xml:space="preserve">Tự động tính từ tiến độ L6. Nếu chưa có L6, trạng thái Hoàn thành tương ứng 100%.</t>
      </text>
    </comment>
    <comment authorId="0" ref="AK151">
      <text>
        <t xml:space="preserve">L5 phải nằm trong L4; L6 phải nằm trong L5. Đúng khung = hợp lệ. Ngoài khung = vượt ngày. Chưa có hoặc thiếu = chưa đủ dữ liệu.</t>
      </text>
    </comment>
    <comment authorId="0" ref="AL15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0">
      <text>
        <t xml:space="preserve">Tự động tính từ tiến độ L6. Nếu chưa có L6, trạng thái Hoàn thành tương ứng 100%.</t>
      </text>
    </comment>
    <comment authorId="0" ref="AK19">
      <text>
        <t xml:space="preserve">L5 phải nằm trong L4; L6 phải nằm trong L5. Đúng khung = hợp lệ. Ngoài khung = vượt ngày. Chưa có hoặc thiếu = chưa đủ dữ liệu.</t>
      </text>
    </comment>
    <comment authorId="0" ref="AL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2">
      <text>
        <t xml:space="preserve">Ngày kết thúc lớp cha tự mở rộng nếu có công việc lớp 6 kết thúc muộn hơn khung gốc.</t>
      </text>
    </comment>
    <comment authorId="0" ref="V152">
      <text>
        <t xml:space="preserve">Ngày bắt đầu lớp cha tự mở rộng nếu có công việc lớp 6 bắt đầu sớm hơn khung gốc.</t>
      </text>
    </comment>
    <comment authorId="0" ref="U20">
      <text>
        <t xml:space="preserve">Ngày kết thúc lớp cha tự mở rộng nếu có công việc lớp 6 kết thúc muộn hơn khung gốc.</t>
      </text>
    </comment>
    <comment authorId="0" ref="V20">
      <text>
        <t xml:space="preserve">Ngày bắt đầu lớp cha tự mở rộng nếu có công việc lớp 6 bắt đầu sớm hơn khung gốc.</t>
      </text>
    </comment>
    <comment authorId="0" ref="AG152">
      <text>
        <t xml:space="preserve">Tự động tính từ tiến độ L6. Nếu chưa có L6, trạng thái Hoàn thành tương ứng 100%.</t>
      </text>
    </comment>
    <comment authorId="0" ref="D153">
      <text>
        <t xml:space="preserve">Tự động tính từ tiến độ L6. Nếu chưa có L6, trạng thái Hoàn thành tương ứng 100%.</t>
      </text>
    </comment>
    <comment authorId="0" ref="AG20">
      <text>
        <t xml:space="preserve">Tự động tính từ tiến độ L6. Nếu chưa có L6, trạng thái Hoàn thành tương ứng 100%.</t>
      </text>
    </comment>
    <comment authorId="0" ref="AK152">
      <text>
        <t xml:space="preserve">L5 phải nằm trong L4; L6 phải nằm trong L5. Đúng khung = hợp lệ. Ngoài khung = vượt ngày. Chưa có hoặc thiếu = chưa đủ dữ liệu.</t>
      </text>
    </comment>
    <comment authorId="0" ref="AL15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1">
      <text>
        <t xml:space="preserve">Tự động tính từ tiến độ L6. Nếu chưa có L6, trạng thái Hoàn thành tương ứng 100%.</t>
      </text>
    </comment>
    <comment authorId="0" ref="AK20">
      <text>
        <t xml:space="preserve">L5 phải nằm trong L4; L6 phải nằm trong L5. Đúng khung = hợp lệ. Ngoài khung = vượt ngày. Chưa có hoặc thiếu = chưa đủ dữ liệu.</t>
      </text>
    </comment>
    <comment authorId="0" ref="AL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3">
      <text>
        <t xml:space="preserve">Ngày kết thúc lớp cha tự mở rộng nếu có công việc lớp 6 kết thúc muộn hơn khung gốc.</t>
      </text>
    </comment>
    <comment authorId="0" ref="V153">
      <text>
        <t xml:space="preserve">Ngày bắt đầu lớp cha tự mở rộng nếu có công việc lớp 6 bắt đầu sớm hơn khung gốc.</t>
      </text>
    </comment>
    <comment authorId="0" ref="U21">
      <text>
        <t xml:space="preserve">Ngày kết thúc lớp cha tự mở rộng nếu có công việc lớp 6 kết thúc muộn hơn khung gốc.</t>
      </text>
    </comment>
    <comment authorId="0" ref="V21">
      <text>
        <t xml:space="preserve">Ngày bắt đầu lớp cha tự mở rộng nếu có công việc lớp 6 bắt đầu sớm hơn khung gốc.</t>
      </text>
    </comment>
    <comment authorId="0" ref="AG153">
      <text>
        <t xml:space="preserve">Tự động tính từ tiến độ L6. Nếu chưa có L6, trạng thái Hoàn thành tương ứng 100%.</t>
      </text>
    </comment>
    <comment authorId="0" ref="D154">
      <text>
        <t xml:space="preserve">Tự động tính từ tiến độ L6. Nếu chưa có L6, trạng thái Hoàn thành tương ứng 100%.</t>
      </text>
    </comment>
    <comment authorId="0" ref="AG21">
      <text>
        <t xml:space="preserve">Tự động tính từ tiến độ L6. Nếu chưa có L6, trạng thái Hoàn thành tương ứng 100%.</t>
      </text>
    </comment>
    <comment authorId="0" ref="AK153">
      <text>
        <t xml:space="preserve">L5 phải nằm trong L4; L6 phải nằm trong L5. Đúng khung = hợp lệ. Ngoài khung = vượt ngày. Chưa có hoặc thiếu = chưa đủ dữ liệu.</t>
      </text>
    </comment>
    <comment authorId="0" ref="AL15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2">
      <text>
        <t xml:space="preserve">Tự động tính từ tiến độ L6. Nếu chưa có L6, trạng thái Hoàn thành tương ứng 100%.</t>
      </text>
    </comment>
    <comment authorId="0" ref="AK21">
      <text>
        <t xml:space="preserve">L5 phải nằm trong L4; L6 phải nằm trong L5. Đúng khung = hợp lệ. Ngoài khung = vượt ngày. Chưa có hoặc thiếu = chưa đủ dữ liệu.</t>
      </text>
    </comment>
    <comment authorId="0" ref="AL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4">
      <text>
        <t xml:space="preserve">Ngày kết thúc lớp cha tự mở rộng nếu có công việc lớp 6 kết thúc muộn hơn khung gốc.</t>
      </text>
    </comment>
    <comment authorId="0" ref="V154">
      <text>
        <t xml:space="preserve">Ngày bắt đầu lớp cha tự mở rộng nếu có công việc lớp 6 bắt đầu sớm hơn khung gốc.</t>
      </text>
    </comment>
    <comment authorId="0" ref="U22">
      <text>
        <t xml:space="preserve">Ngày kết thúc lớp cha tự mở rộng nếu có công việc lớp 6 kết thúc muộn hơn khung gốc.</t>
      </text>
    </comment>
    <comment authorId="0" ref="V22">
      <text>
        <t xml:space="preserve">Ngày bắt đầu lớp cha tự mở rộng nếu có công việc lớp 6 bắt đầu sớm hơn khung gốc.</t>
      </text>
    </comment>
    <comment authorId="0" ref="AG154">
      <text>
        <t xml:space="preserve">Tự động tính từ tiến độ L6. Nếu chưa có L6, trạng thái Hoàn thành tương ứng 100%.</t>
      </text>
    </comment>
    <comment authorId="0" ref="D155">
      <text>
        <t xml:space="preserve">Tự động tính từ tiến độ L6. Nếu chưa có L6, trạng thái Hoàn thành tương ứng 100%.</t>
      </text>
    </comment>
    <comment authorId="0" ref="AG22">
      <text>
        <t xml:space="preserve">Tự động tính từ tiến độ L6. Nếu chưa có L6, trạng thái Hoàn thành tương ứng 100%.</t>
      </text>
    </comment>
    <comment authorId="0" ref="AK154">
      <text>
        <t xml:space="preserve">L5 phải nằm trong L4; L6 phải nằm trong L5. Đúng khung = hợp lệ. Ngoài khung = vượt ngày. Chưa có hoặc thiếu = chưa đủ dữ liệu.</t>
      </text>
    </comment>
    <comment authorId="0" ref="AL15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3">
      <text>
        <t xml:space="preserve">Tự động tính từ tiến độ L6. Nếu chưa có L6, trạng thái Hoàn thành tương ứng 100%.</t>
      </text>
    </comment>
    <comment authorId="0" ref="AK22">
      <text>
        <t xml:space="preserve">L5 phải nằm trong L4; L6 phải nằm trong L5. Đúng khung = hợp lệ. Ngoài khung = vượt ngày. Chưa có hoặc thiếu = chưa đủ dữ liệu.</t>
      </text>
    </comment>
    <comment authorId="0" ref="AL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5">
      <text>
        <t xml:space="preserve">Ngày kết thúc lớp cha tự mở rộng nếu có công việc lớp 6 kết thúc muộn hơn khung gốc.</t>
      </text>
    </comment>
    <comment authorId="0" ref="V155">
      <text>
        <t xml:space="preserve">Ngày bắt đầu lớp cha tự mở rộng nếu có công việc lớp 6 bắt đầu sớm hơn khung gốc.</t>
      </text>
    </comment>
    <comment authorId="0" ref="U23">
      <text>
        <t xml:space="preserve">Ngày kết thúc lớp cha tự mở rộng nếu có công việc lớp 6 kết thúc muộn hơn khung gốc.</t>
      </text>
    </comment>
    <comment authorId="0" ref="V23">
      <text>
        <t xml:space="preserve">Ngày bắt đầu lớp cha tự mở rộng nếu có công việc lớp 6 bắt đầu sớm hơn khung gốc.</t>
      </text>
    </comment>
    <comment authorId="0" ref="AG155">
      <text>
        <t xml:space="preserve">Tự động tính từ tiến độ L6. Nếu chưa có L6, trạng thái Hoàn thành tương ứng 100%.</t>
      </text>
    </comment>
    <comment authorId="0" ref="D156">
      <text>
        <t xml:space="preserve">Tự động tính từ tiến độ L6. Nếu chưa có L6, trạng thái Hoàn thành tương ứng 100%.</t>
      </text>
    </comment>
    <comment authorId="0" ref="AG23">
      <text>
        <t xml:space="preserve">Tự động tính từ tiến độ L6. Nếu chưa có L6, trạng thái Hoàn thành tương ứng 100%.</t>
      </text>
    </comment>
    <comment authorId="0" ref="AK155">
      <text>
        <t xml:space="preserve">L5 phải nằm trong L4; L6 phải nằm trong L5. Đúng khung = hợp lệ. Ngoài khung = vượt ngày. Chưa có hoặc thiếu = chưa đủ dữ liệu.</t>
      </text>
    </comment>
    <comment authorId="0" ref="AL15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4">
      <text>
        <t xml:space="preserve">Tự động tính từ tiến độ L6. Nếu chưa có L6, trạng thái Hoàn thành tương ứng 100%.</t>
      </text>
    </comment>
    <comment authorId="0" ref="AK23">
      <text>
        <t xml:space="preserve">L5 phải nằm trong L4; L6 phải nằm trong L5. Đúng khung = hợp lệ. Ngoài khung = vượt ngày. Chưa có hoặc thiếu = chưa đủ dữ liệu.</t>
      </text>
    </comment>
    <comment authorId="0" ref="AL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6">
      <text>
        <t xml:space="preserve">Ngày kết thúc lớp cha tự mở rộng nếu có công việc lớp 6 kết thúc muộn hơn khung gốc.</t>
      </text>
    </comment>
    <comment authorId="0" ref="V156">
      <text>
        <t xml:space="preserve">Ngày bắt đầu lớp cha tự mở rộng nếu có công việc lớp 6 bắt đầu sớm hơn khung gốc.</t>
      </text>
    </comment>
    <comment authorId="0" ref="U24">
      <text>
        <t xml:space="preserve">Ngày kết thúc lớp cha tự mở rộng nếu có công việc lớp 6 kết thúc muộn hơn khung gốc.</t>
      </text>
    </comment>
    <comment authorId="0" ref="V24">
      <text>
        <t xml:space="preserve">Ngày bắt đầu lớp cha tự mở rộng nếu có công việc lớp 6 bắt đầu sớm hơn khung gốc.</t>
      </text>
    </comment>
    <comment authorId="0" ref="AG156">
      <text>
        <t xml:space="preserve">Tự động tính từ tiến độ L6. Nếu chưa có L6, trạng thái Hoàn thành tương ứng 100%.</t>
      </text>
    </comment>
    <comment authorId="0" ref="D157">
      <text>
        <t xml:space="preserve">Tự động tính từ tiến độ L6. Nếu chưa có L6, trạng thái Hoàn thành tương ứng 100%.</t>
      </text>
    </comment>
    <comment authorId="0" ref="AG24">
      <text>
        <t xml:space="preserve">Tự động tính từ tiến độ L6. Nếu chưa có L6, trạng thái Hoàn thành tương ứng 100%.</t>
      </text>
    </comment>
    <comment authorId="0" ref="AK156">
      <text>
        <t xml:space="preserve">L5 phải nằm trong L4; L6 phải nằm trong L5. Đúng khung = hợp lệ. Ngoài khung = vượt ngày. Chưa có hoặc thiếu = chưa đủ dữ liệu.</t>
      </text>
    </comment>
    <comment authorId="0" ref="AL15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5">
      <text>
        <t xml:space="preserve">Tự động tính từ tiến độ L6. Nếu chưa có L6, trạng thái Hoàn thành tương ứng 100%.</t>
      </text>
    </comment>
    <comment authorId="0" ref="AK24">
      <text>
        <t xml:space="preserve">L5 phải nằm trong L4; L6 phải nằm trong L5. Đúng khung = hợp lệ. Ngoài khung = vượt ngày. Chưa có hoặc thiếu = chưa đủ dữ liệu.</t>
      </text>
    </comment>
    <comment authorId="0" ref="AL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7">
      <text>
        <t xml:space="preserve">Ngày kết thúc lớp cha tự mở rộng nếu có công việc lớp 6 kết thúc muộn hơn khung gốc.</t>
      </text>
    </comment>
    <comment authorId="0" ref="V157">
      <text>
        <t xml:space="preserve">Ngày bắt đầu lớp cha tự mở rộng nếu có công việc lớp 6 bắt đầu sớm hơn khung gốc.</t>
      </text>
    </comment>
    <comment authorId="0" ref="U25">
      <text>
        <t xml:space="preserve">Ngày kết thúc lớp cha tự mở rộng nếu có công việc lớp 6 kết thúc muộn hơn khung gốc.</t>
      </text>
    </comment>
    <comment authorId="0" ref="V25">
      <text>
        <t xml:space="preserve">Ngày bắt đầu lớp cha tự mở rộng nếu có công việc lớp 6 bắt đầu sớm hơn khung gốc.</t>
      </text>
    </comment>
    <comment authorId="0" ref="AG157">
      <text>
        <t xml:space="preserve">Tự động tính từ tiến độ L6. Nếu chưa có L6, trạng thái Hoàn thành tương ứng 100%.</t>
      </text>
    </comment>
    <comment authorId="0" ref="D158">
      <text>
        <t xml:space="preserve">Tự động tính từ tiến độ L6. Nếu chưa có L6, trạng thái Hoàn thành tương ứng 100%.</t>
      </text>
    </comment>
    <comment authorId="0" ref="AG25">
      <text>
        <t xml:space="preserve">Tự động tính từ tiến độ L6. Nếu chưa có L6, trạng thái Hoàn thành tương ứng 100%.</t>
      </text>
    </comment>
    <comment authorId="0" ref="AK157">
      <text>
        <t xml:space="preserve">L5 phải nằm trong L4; L6 phải nằm trong L5. Đúng khung = hợp lệ. Ngoài khung = vượt ngày. Chưa có hoặc thiếu = chưa đủ dữ liệu.</t>
      </text>
    </comment>
    <comment authorId="0" ref="AL15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6">
      <text>
        <t xml:space="preserve">Tự động tính từ tiến độ L6. Nếu chưa có L6, trạng thái Hoàn thành tương ứng 100%.</t>
      </text>
    </comment>
    <comment authorId="0" ref="AK25">
      <text>
        <t xml:space="preserve">L5 phải nằm trong L4; L6 phải nằm trong L5. Đúng khung = hợp lệ. Ngoài khung = vượt ngày. Chưa có hoặc thiếu = chưa đủ dữ liệu.</t>
      </text>
    </comment>
    <comment authorId="0" ref="AL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8">
      <text>
        <t xml:space="preserve">Ngày kết thúc lớp cha tự mở rộng nếu có công việc lớp 6 kết thúc muộn hơn khung gốc.</t>
      </text>
    </comment>
    <comment authorId="0" ref="V158">
      <text>
        <t xml:space="preserve">Ngày bắt đầu lớp cha tự mở rộng nếu có công việc lớp 6 bắt đầu sớm hơn khung gốc.</t>
      </text>
    </comment>
    <comment authorId="0" ref="U26">
      <text>
        <t xml:space="preserve">Ngày kết thúc lớp cha tự mở rộng nếu có công việc lớp 6 kết thúc muộn hơn khung gốc.</t>
      </text>
    </comment>
    <comment authorId="0" ref="V26">
      <text>
        <t xml:space="preserve">Ngày bắt đầu lớp cha tự mở rộng nếu có công việc lớp 6 bắt đầu sớm hơn khung gốc.</t>
      </text>
    </comment>
    <comment authorId="0" ref="AG158">
      <text>
        <t xml:space="preserve">Tự động tính từ tiến độ L6. Nếu chưa có L6, trạng thái Hoàn thành tương ứng 100%.</t>
      </text>
    </comment>
    <comment authorId="0" ref="D159">
      <text>
        <t xml:space="preserve">Tự động tính từ tiến độ L6. Nếu chưa có L6, trạng thái Hoàn thành tương ứng 100%.</t>
      </text>
    </comment>
    <comment authorId="0" ref="AG26">
      <text>
        <t xml:space="preserve">Tự động tính từ tiến độ L6. Nếu chưa có L6, trạng thái Hoàn thành tương ứng 100%.</t>
      </text>
    </comment>
    <comment authorId="0" ref="AK158">
      <text>
        <t xml:space="preserve">L5 phải nằm trong L4; L6 phải nằm trong L5. Đúng khung = hợp lệ. Ngoài khung = vượt ngày. Chưa có hoặc thiếu = chưa đủ dữ liệu.</t>
      </text>
    </comment>
    <comment authorId="0" ref="AL15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7">
      <text>
        <t xml:space="preserve">Tự động tính từ tiến độ L6. Nếu chưa có L6, trạng thái Hoàn thành tương ứng 100%.</t>
      </text>
    </comment>
    <comment authorId="0" ref="AK26">
      <text>
        <t xml:space="preserve">L5 phải nằm trong L4; L6 phải nằm trong L5. Đúng khung = hợp lệ. Ngoài khung = vượt ngày. Chưa có hoặc thiếu = chưa đủ dữ liệu.</t>
      </text>
    </comment>
    <comment authorId="0" ref="AL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59">
      <text>
        <t xml:space="preserve">Ngày kết thúc lớp cha tự mở rộng nếu có công việc lớp 6 kết thúc muộn hơn khung gốc.</t>
      </text>
    </comment>
    <comment authorId="0" ref="V159">
      <text>
        <t xml:space="preserve">Ngày bắt đầu lớp cha tự mở rộng nếu có công việc lớp 6 bắt đầu sớm hơn khung gốc.</t>
      </text>
    </comment>
    <comment authorId="0" ref="U27">
      <text>
        <t xml:space="preserve">Ngày kết thúc lớp cha tự mở rộng nếu có công việc lớp 6 kết thúc muộn hơn khung gốc.</t>
      </text>
    </comment>
    <comment authorId="0" ref="V27">
      <text>
        <t xml:space="preserve">Ngày bắt đầu lớp cha tự mở rộng nếu có công việc lớp 6 bắt đầu sớm hơn khung gốc.</t>
      </text>
    </comment>
    <comment authorId="0" ref="AG159">
      <text>
        <t xml:space="preserve">Tự động tính từ tiến độ L6. Nếu chưa có L6, trạng thái Hoàn thành tương ứng 100%.</t>
      </text>
    </comment>
    <comment authorId="0" ref="D160">
      <text>
        <t xml:space="preserve">Tự động tính từ tiến độ L6. Nếu chưa có L6, trạng thái Hoàn thành tương ứng 100%.</t>
      </text>
    </comment>
    <comment authorId="0" ref="AG27">
      <text>
        <t xml:space="preserve">Tự động tính từ tiến độ L6. Nếu chưa có L6, trạng thái Hoàn thành tương ứng 100%.</t>
      </text>
    </comment>
    <comment authorId="0" ref="AK159">
      <text>
        <t xml:space="preserve">L5 phải nằm trong L4; L6 phải nằm trong L5. Đúng khung = hợp lệ. Ngoài khung = vượt ngày. Chưa có hoặc thiếu = chưa đủ dữ liệu.</t>
      </text>
    </comment>
    <comment authorId="0" ref="AL15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8">
      <text>
        <t xml:space="preserve">Tự động tính từ tiến độ L6. Nếu chưa có L6, trạng thái Hoàn thành tương ứng 100%.</t>
      </text>
    </comment>
    <comment authorId="0" ref="AK27">
      <text>
        <t xml:space="preserve">L5 phải nằm trong L4; L6 phải nằm trong L5. Đúng khung = hợp lệ. Ngoài khung = vượt ngày. Chưa có hoặc thiếu = chưa đủ dữ liệu.</t>
      </text>
    </comment>
    <comment authorId="0" ref="AL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0">
      <text>
        <t xml:space="preserve">Ngày kết thúc lớp cha tự mở rộng nếu có công việc lớp 6 kết thúc muộn hơn khung gốc.</t>
      </text>
    </comment>
    <comment authorId="0" ref="V160">
      <text>
        <t xml:space="preserve">Ngày bắt đầu lớp cha tự mở rộng nếu có công việc lớp 6 bắt đầu sớm hơn khung gốc.</t>
      </text>
    </comment>
    <comment authorId="0" ref="U28">
      <text>
        <t xml:space="preserve">Ngày kết thúc lớp cha tự mở rộng nếu có công việc lớp 6 kết thúc muộn hơn khung gốc.</t>
      </text>
    </comment>
    <comment authorId="0" ref="V28">
      <text>
        <t xml:space="preserve">Ngày bắt đầu lớp cha tự mở rộng nếu có công việc lớp 6 bắt đầu sớm hơn khung gốc.</t>
      </text>
    </comment>
    <comment authorId="0" ref="AG160">
      <text>
        <t xml:space="preserve">Tự động tính từ tiến độ L6. Nếu chưa có L6, trạng thái Hoàn thành tương ứng 100%.</t>
      </text>
    </comment>
    <comment authorId="0" ref="D161">
      <text>
        <t xml:space="preserve">Tự động tính từ tiến độ L6. Nếu chưa có L6, trạng thái Hoàn thành tương ứng 100%.</t>
      </text>
    </comment>
    <comment authorId="0" ref="AG28">
      <text>
        <t xml:space="preserve">Tự động tính từ tiến độ L6. Nếu chưa có L6, trạng thái Hoàn thành tương ứng 100%.</t>
      </text>
    </comment>
    <comment authorId="0" ref="AK160">
      <text>
        <t xml:space="preserve">L5 phải nằm trong L4; L6 phải nằm trong L5. Đúng khung = hợp lệ. Ngoài khung = vượt ngày. Chưa có hoặc thiếu = chưa đủ dữ liệu.</t>
      </text>
    </comment>
    <comment authorId="0" ref="AL16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29">
      <text>
        <t xml:space="preserve">Tự động tính từ tiến độ L6. Nếu chưa có L6, trạng thái Hoàn thành tương ứng 100%.</t>
      </text>
    </comment>
    <comment authorId="0" ref="AK28">
      <text>
        <t xml:space="preserve">L5 phải nằm trong L4; L6 phải nằm trong L5. Đúng khung = hợp lệ. Ngoài khung = vượt ngày. Chưa có hoặc thiếu = chưa đủ dữ liệu.</t>
      </text>
    </comment>
    <comment authorId="0" ref="AL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1">
      <text>
        <t xml:space="preserve">Ngày kết thúc lớp cha tự mở rộng nếu có công việc lớp 6 kết thúc muộn hơn khung gốc.</t>
      </text>
    </comment>
    <comment authorId="0" ref="V161">
      <text>
        <t xml:space="preserve">Ngày bắt đầu lớp cha tự mở rộng nếu có công việc lớp 6 bắt đầu sớm hơn khung gốc.</t>
      </text>
    </comment>
    <comment authorId="0" ref="U29">
      <text>
        <t xml:space="preserve">Ngày kết thúc lớp cha tự mở rộng nếu có công việc lớp 6 kết thúc muộn hơn khung gốc.</t>
      </text>
    </comment>
    <comment authorId="0" ref="V29">
      <text>
        <t xml:space="preserve">Ngày bắt đầu lớp cha tự mở rộng nếu có công việc lớp 6 bắt đầu sớm hơn khung gốc.</t>
      </text>
    </comment>
    <comment authorId="0" ref="AG161">
      <text>
        <t xml:space="preserve">Tự động tính từ tiến độ L6. Nếu chưa có L6, trạng thái Hoàn thành tương ứng 100%.</t>
      </text>
    </comment>
    <comment authorId="0" ref="D162">
      <text>
        <t xml:space="preserve">Tự động tính từ tiến độ L6. Nếu chưa có L6, trạng thái Hoàn thành tương ứng 100%.</t>
      </text>
    </comment>
    <comment authorId="0" ref="AG29">
      <text>
        <t xml:space="preserve">Tự động tính từ tiến độ L6. Nếu chưa có L6, trạng thái Hoàn thành tương ứng 100%.</t>
      </text>
    </comment>
    <comment authorId="0" ref="AK161">
      <text>
        <t xml:space="preserve">L5 phải nằm trong L4; L6 phải nằm trong L5. Đúng khung = hợp lệ. Ngoài khung = vượt ngày. Chưa có hoặc thiếu = chưa đủ dữ liệu.</t>
      </text>
    </comment>
    <comment authorId="0" ref="AL16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0">
      <text>
        <t xml:space="preserve">Tự động tính từ tiến độ L6. Nếu chưa có L6, trạng thái Hoàn thành tương ứng 100%.</t>
      </text>
    </comment>
    <comment authorId="0" ref="AK29">
      <text>
        <t xml:space="preserve">L5 phải nằm trong L4; L6 phải nằm trong L5. Đúng khung = hợp lệ. Ngoài khung = vượt ngày. Chưa có hoặc thiếu = chưa đủ dữ liệu.</t>
      </text>
    </comment>
    <comment authorId="0" ref="AL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2">
      <text>
        <t xml:space="preserve">Ngày kết thúc lớp cha tự mở rộng nếu có công việc lớp 6 kết thúc muộn hơn khung gốc.</t>
      </text>
    </comment>
    <comment authorId="0" ref="V162">
      <text>
        <t xml:space="preserve">Ngày bắt đầu lớp cha tự mở rộng nếu có công việc lớp 6 bắt đầu sớm hơn khung gốc.</t>
      </text>
    </comment>
    <comment authorId="0" ref="U30">
      <text>
        <t xml:space="preserve">Ngày kết thúc lớp cha tự mở rộng nếu có công việc lớp 6 kết thúc muộn hơn khung gốc.</t>
      </text>
    </comment>
    <comment authorId="0" ref="V30">
      <text>
        <t xml:space="preserve">Ngày bắt đầu lớp cha tự mở rộng nếu có công việc lớp 6 bắt đầu sớm hơn khung gốc.</t>
      </text>
    </comment>
    <comment authorId="0" ref="AG162">
      <text>
        <t xml:space="preserve">Tự động tính từ tiến độ L6. Nếu chưa có L6, trạng thái Hoàn thành tương ứng 100%.</t>
      </text>
    </comment>
    <comment authorId="0" ref="D163">
      <text>
        <t xml:space="preserve">Tự động tính từ tiến độ L6. Nếu chưa có L6, trạng thái Hoàn thành tương ứng 100%.</t>
      </text>
    </comment>
    <comment authorId="0" ref="AG30">
      <text>
        <t xml:space="preserve">Tự động tính từ tiến độ L6. Nếu chưa có L6, trạng thái Hoàn thành tương ứng 100%.</t>
      </text>
    </comment>
    <comment authorId="0" ref="AK162">
      <text>
        <t xml:space="preserve">L5 phải nằm trong L4; L6 phải nằm trong L5. Đúng khung = hợp lệ. Ngoài khung = vượt ngày. Chưa có hoặc thiếu = chưa đủ dữ liệu.</t>
      </text>
    </comment>
    <comment authorId="0" ref="AL16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1">
      <text>
        <t xml:space="preserve">Tự động tính từ tiến độ L6. Nếu chưa có L6, trạng thái Hoàn thành tương ứng 100%.</t>
      </text>
    </comment>
    <comment authorId="0" ref="AK30">
      <text>
        <t xml:space="preserve">L5 phải nằm trong L4; L6 phải nằm trong L5. Đúng khung = hợp lệ. Ngoài khung = vượt ngày. Chưa có hoặc thiếu = chưa đủ dữ liệu.</t>
      </text>
    </comment>
    <comment authorId="0" ref="AL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3">
      <text>
        <t xml:space="preserve">Ngày kết thúc lớp cha tự mở rộng nếu có công việc lớp 6 kết thúc muộn hơn khung gốc.</t>
      </text>
    </comment>
    <comment authorId="0" ref="V163">
      <text>
        <t xml:space="preserve">Ngày bắt đầu lớp cha tự mở rộng nếu có công việc lớp 6 bắt đầu sớm hơn khung gốc.</t>
      </text>
    </comment>
    <comment authorId="0" ref="U31">
      <text>
        <t xml:space="preserve">Ngày kết thúc lớp cha tự mở rộng nếu có công việc lớp 6 kết thúc muộn hơn khung gốc.</t>
      </text>
    </comment>
    <comment authorId="0" ref="V31">
      <text>
        <t xml:space="preserve">Ngày bắt đầu lớp cha tự mở rộng nếu có công việc lớp 6 bắt đầu sớm hơn khung gốc.</t>
      </text>
    </comment>
    <comment authorId="0" ref="AG163">
      <text>
        <t xml:space="preserve">Tự động tính từ tiến độ L6. Nếu chưa có L6, trạng thái Hoàn thành tương ứng 100%.</t>
      </text>
    </comment>
    <comment authorId="0" ref="D164">
      <text>
        <t xml:space="preserve">Tự động tính từ tiến độ L6. Nếu chưa có L6, trạng thái Hoàn thành tương ứng 100%.</t>
      </text>
    </comment>
    <comment authorId="0" ref="AG31">
      <text>
        <t xml:space="preserve">Tự động tính từ tiến độ L6. Nếu chưa có L6, trạng thái Hoàn thành tương ứng 100%.</t>
      </text>
    </comment>
    <comment authorId="0" ref="AK163">
      <text>
        <t xml:space="preserve">L5 phải nằm trong L4; L6 phải nằm trong L5. Đúng khung = hợp lệ. Ngoài khung = vượt ngày. Chưa có hoặc thiếu = chưa đủ dữ liệu.</t>
      </text>
    </comment>
    <comment authorId="0" ref="AL16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2">
      <text>
        <t xml:space="preserve">Tự động tính từ tiến độ L6. Nếu chưa có L6, trạng thái Hoàn thành tương ứng 100%.</t>
      </text>
    </comment>
    <comment authorId="0" ref="AK31">
      <text>
        <t xml:space="preserve">L5 phải nằm trong L4; L6 phải nằm trong L5. Đúng khung = hợp lệ. Ngoài khung = vượt ngày. Chưa có hoặc thiếu = chưa đủ dữ liệu.</t>
      </text>
    </comment>
    <comment authorId="0" ref="AL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4">
      <text>
        <t xml:space="preserve">Ngày kết thúc lớp cha tự mở rộng nếu có công việc lớp 6 kết thúc muộn hơn khung gốc.</t>
      </text>
    </comment>
    <comment authorId="0" ref="V164">
      <text>
        <t xml:space="preserve">Ngày bắt đầu lớp cha tự mở rộng nếu có công việc lớp 6 bắt đầu sớm hơn khung gốc.</t>
      </text>
    </comment>
    <comment authorId="0" ref="U32">
      <text>
        <t xml:space="preserve">Ngày kết thúc lớp cha tự mở rộng nếu có công việc lớp 6 kết thúc muộn hơn khung gốc.</t>
      </text>
    </comment>
    <comment authorId="0" ref="V32">
      <text>
        <t xml:space="preserve">Ngày bắt đầu lớp cha tự mở rộng nếu có công việc lớp 6 bắt đầu sớm hơn khung gốc.</t>
      </text>
    </comment>
    <comment authorId="0" ref="AG164">
      <text>
        <t xml:space="preserve">Tự động tính từ tiến độ L6. Nếu chưa có L6, trạng thái Hoàn thành tương ứng 100%.</t>
      </text>
    </comment>
    <comment authorId="0" ref="D165">
      <text>
        <t xml:space="preserve">Tự động tính từ tiến độ L6. Nếu chưa có L6, trạng thái Hoàn thành tương ứng 100%.</t>
      </text>
    </comment>
    <comment authorId="0" ref="AG32">
      <text>
        <t xml:space="preserve">Tự động tính từ tiến độ L6. Nếu chưa có L6, trạng thái Hoàn thành tương ứng 100%.</t>
      </text>
    </comment>
    <comment authorId="0" ref="AK164">
      <text>
        <t xml:space="preserve">L5 phải nằm trong L4; L6 phải nằm trong L5. Đúng khung = hợp lệ. Ngoài khung = vượt ngày. Chưa có hoặc thiếu = chưa đủ dữ liệu.</t>
      </text>
    </comment>
    <comment authorId="0" ref="AL16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3">
      <text>
        <t xml:space="preserve">Tự động tính từ tiến độ L6. Nếu chưa có L6, trạng thái Hoàn thành tương ứng 100%.</t>
      </text>
    </comment>
    <comment authorId="0" ref="AK32">
      <text>
        <t xml:space="preserve">L5 phải nằm trong L4; L6 phải nằm trong L5. Đúng khung = hợp lệ. Ngoài khung = vượt ngày. Chưa có hoặc thiếu = chưa đủ dữ liệu.</t>
      </text>
    </comment>
    <comment authorId="0" ref="AL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5">
      <text>
        <t xml:space="preserve">Ngày kết thúc lớp cha tự mở rộng nếu có công việc lớp 6 kết thúc muộn hơn khung gốc.</t>
      </text>
    </comment>
    <comment authorId="0" ref="V165">
      <text>
        <t xml:space="preserve">Ngày bắt đầu lớp cha tự mở rộng nếu có công việc lớp 6 bắt đầu sớm hơn khung gốc.</t>
      </text>
    </comment>
    <comment authorId="0" ref="U33">
      <text>
        <t xml:space="preserve">Ngày kết thúc lớp cha tự mở rộng nếu có công việc lớp 6 kết thúc muộn hơn khung gốc.</t>
      </text>
    </comment>
    <comment authorId="0" ref="V33">
      <text>
        <t xml:space="preserve">Ngày bắt đầu lớp cha tự mở rộng nếu có công việc lớp 6 bắt đầu sớm hơn khung gốc.</t>
      </text>
    </comment>
    <comment authorId="0" ref="AG165">
      <text>
        <t xml:space="preserve">Tự động tính từ tiến độ L6. Nếu chưa có L6, trạng thái Hoàn thành tương ứng 100%.</t>
      </text>
    </comment>
    <comment authorId="0" ref="D166">
      <text>
        <t xml:space="preserve">Tự động tính từ tiến độ L6. Nếu chưa có L6, trạng thái Hoàn thành tương ứng 100%.</t>
      </text>
    </comment>
    <comment authorId="0" ref="AG33">
      <text>
        <t xml:space="preserve">Tự động tính từ tiến độ L6. Nếu chưa có L6, trạng thái Hoàn thành tương ứng 100%.</t>
      </text>
    </comment>
    <comment authorId="0" ref="AK165">
      <text>
        <t xml:space="preserve">L5 phải nằm trong L4; L6 phải nằm trong L5. Đúng khung = hợp lệ. Ngoài khung = vượt ngày. Chưa có hoặc thiếu = chưa đủ dữ liệu.</t>
      </text>
    </comment>
    <comment authorId="0" ref="AL16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4">
      <text>
        <t xml:space="preserve">Tự động tính từ tiến độ L6. Nếu chưa có L6, trạng thái Hoàn thành tương ứng 100%.</t>
      </text>
    </comment>
    <comment authorId="0" ref="AK33">
      <text>
        <t xml:space="preserve">L5 phải nằm trong L4; L6 phải nằm trong L5. Đúng khung = hợp lệ. Ngoài khung = vượt ngày. Chưa có hoặc thiếu = chưa đủ dữ liệu.</t>
      </text>
    </comment>
    <comment authorId="0" ref="AL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6">
      <text>
        <t xml:space="preserve">Ngày kết thúc lớp cha tự mở rộng nếu có công việc lớp 6 kết thúc muộn hơn khung gốc.</t>
      </text>
    </comment>
    <comment authorId="0" ref="V166">
      <text>
        <t xml:space="preserve">Ngày bắt đầu lớp cha tự mở rộng nếu có công việc lớp 6 bắt đầu sớm hơn khung gốc.</t>
      </text>
    </comment>
    <comment authorId="0" ref="U34">
      <text>
        <t xml:space="preserve">Ngày kết thúc lớp cha tự mở rộng nếu có công việc lớp 6 kết thúc muộn hơn khung gốc.</t>
      </text>
    </comment>
    <comment authorId="0" ref="V34">
      <text>
        <t xml:space="preserve">Ngày bắt đầu lớp cha tự mở rộng nếu có công việc lớp 6 bắt đầu sớm hơn khung gốc.</t>
      </text>
    </comment>
    <comment authorId="0" ref="AG166">
      <text>
        <t xml:space="preserve">Tự động tính từ tiến độ L6. Nếu chưa có L6, trạng thái Hoàn thành tương ứng 100%.</t>
      </text>
    </comment>
    <comment authorId="0" ref="D167">
      <text>
        <t xml:space="preserve">Tự động tính từ tiến độ L6. Nếu chưa có L6, trạng thái Hoàn thành tương ứng 100%.</t>
      </text>
    </comment>
    <comment authorId="0" ref="AG34">
      <text>
        <t xml:space="preserve">Tự động tính từ tiến độ L6. Nếu chưa có L6, trạng thái Hoàn thành tương ứng 100%.</t>
      </text>
    </comment>
    <comment authorId="0" ref="AK166">
      <text>
        <t xml:space="preserve">L5 phải nằm trong L4; L6 phải nằm trong L5. Đúng khung = hợp lệ. Ngoài khung = vượt ngày. Chưa có hoặc thiếu = chưa đủ dữ liệu.</t>
      </text>
    </comment>
    <comment authorId="0" ref="AL16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5">
      <text>
        <t xml:space="preserve">Tự động tính từ tiến độ L6. Nếu chưa có L6, trạng thái Hoàn thành tương ứng 100%.</t>
      </text>
    </comment>
    <comment authorId="0" ref="AK34">
      <text>
        <t xml:space="preserve">L5 phải nằm trong L4; L6 phải nằm trong L5. Đúng khung = hợp lệ. Ngoài khung = vượt ngày. Chưa có hoặc thiếu = chưa đủ dữ liệu.</t>
      </text>
    </comment>
    <comment authorId="0" ref="AL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7">
      <text>
        <t xml:space="preserve">Ngày kết thúc lớp cha tự mở rộng nếu có công việc lớp 6 kết thúc muộn hơn khung gốc.</t>
      </text>
    </comment>
    <comment authorId="0" ref="V167">
      <text>
        <t xml:space="preserve">Ngày bắt đầu lớp cha tự mở rộng nếu có công việc lớp 6 bắt đầu sớm hơn khung gốc.</t>
      </text>
    </comment>
    <comment authorId="0" ref="U35">
      <text>
        <t xml:space="preserve">Ngày kết thúc lớp cha tự mở rộng nếu có công việc lớp 6 kết thúc muộn hơn khung gốc.</t>
      </text>
    </comment>
    <comment authorId="0" ref="V35">
      <text>
        <t xml:space="preserve">Ngày bắt đầu lớp cha tự mở rộng nếu có công việc lớp 6 bắt đầu sớm hơn khung gốc.</t>
      </text>
    </comment>
    <comment authorId="0" ref="AG167">
      <text>
        <t xml:space="preserve">Tự động tính từ tiến độ L6. Nếu chưa có L6, trạng thái Hoàn thành tương ứng 100%.</t>
      </text>
    </comment>
    <comment authorId="0" ref="D168">
      <text>
        <t xml:space="preserve">Tự động tính từ tiến độ L6. Nếu chưa có L6, trạng thái Hoàn thành tương ứng 100%.</t>
      </text>
    </comment>
    <comment authorId="0" ref="AG35">
      <text>
        <t xml:space="preserve">Tự động tính từ tiến độ L6. Nếu chưa có L6, trạng thái Hoàn thành tương ứng 100%.</t>
      </text>
    </comment>
    <comment authorId="0" ref="AK167">
      <text>
        <t xml:space="preserve">L5 phải nằm trong L4; L6 phải nằm trong L5. Đúng khung = hợp lệ. Ngoài khung = vượt ngày. Chưa có hoặc thiếu = chưa đủ dữ liệu.</t>
      </text>
    </comment>
    <comment authorId="0" ref="AL16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6">
      <text>
        <t xml:space="preserve">Tự động tính từ tiến độ L6. Nếu chưa có L6, trạng thái Hoàn thành tương ứng 100%.</t>
      </text>
    </comment>
    <comment authorId="0" ref="AK35">
      <text>
        <t xml:space="preserve">L5 phải nằm trong L4; L6 phải nằm trong L5. Đúng khung = hợp lệ. Ngoài khung = vượt ngày. Chưa có hoặc thiếu = chưa đủ dữ liệu.</t>
      </text>
    </comment>
    <comment authorId="0" ref="AL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8">
      <text>
        <t xml:space="preserve">Ngày kết thúc lớp cha tự mở rộng nếu có công việc lớp 6 kết thúc muộn hơn khung gốc.</t>
      </text>
    </comment>
    <comment authorId="0" ref="V168">
      <text>
        <t xml:space="preserve">Ngày bắt đầu lớp cha tự mở rộng nếu có công việc lớp 6 bắt đầu sớm hơn khung gốc.</t>
      </text>
    </comment>
    <comment authorId="0" ref="U36">
      <text>
        <t xml:space="preserve">Ngày kết thúc lớp cha tự mở rộng nếu có công việc lớp 6 kết thúc muộn hơn khung gốc.</t>
      </text>
    </comment>
    <comment authorId="0" ref="V36">
      <text>
        <t xml:space="preserve">Ngày bắt đầu lớp cha tự mở rộng nếu có công việc lớp 6 bắt đầu sớm hơn khung gốc.</t>
      </text>
    </comment>
    <comment authorId="0" ref="AG168">
      <text>
        <t xml:space="preserve">Tự động tính từ tiến độ L6. Nếu chưa có L6, trạng thái Hoàn thành tương ứng 100%.</t>
      </text>
    </comment>
    <comment authorId="0" ref="D169">
      <text>
        <t xml:space="preserve">Tự động tính từ tiến độ L6. Nếu chưa có L6, trạng thái Hoàn thành tương ứng 100%.</t>
      </text>
    </comment>
    <comment authorId="0" ref="AG36">
      <text>
        <t xml:space="preserve">Tự động tính từ tiến độ L6. Nếu chưa có L6, trạng thái Hoàn thành tương ứng 100%.</t>
      </text>
    </comment>
    <comment authorId="0" ref="AK168">
      <text>
        <t xml:space="preserve">L5 phải nằm trong L4; L6 phải nằm trong L5. Đúng khung = hợp lệ. Ngoài khung = vượt ngày. Chưa có hoặc thiếu = chưa đủ dữ liệu.</t>
      </text>
    </comment>
    <comment authorId="0" ref="AL16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7">
      <text>
        <t xml:space="preserve">Tự động tính từ tiến độ L6. Nếu chưa có L6, trạng thái Hoàn thành tương ứng 100%.</t>
      </text>
    </comment>
    <comment authorId="0" ref="AK36">
      <text>
        <t xml:space="preserve">L5 phải nằm trong L4; L6 phải nằm trong L5. Đúng khung = hợp lệ. Ngoài khung = vượt ngày. Chưa có hoặc thiếu = chưa đủ dữ liệu.</t>
      </text>
    </comment>
    <comment authorId="0" ref="AL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69">
      <text>
        <t xml:space="preserve">Ngày kết thúc lớp cha tự mở rộng nếu có công việc lớp 6 kết thúc muộn hơn khung gốc.</t>
      </text>
    </comment>
    <comment authorId="0" ref="V169">
      <text>
        <t xml:space="preserve">Ngày bắt đầu lớp cha tự mở rộng nếu có công việc lớp 6 bắt đầu sớm hơn khung gốc.</t>
      </text>
    </comment>
    <comment authorId="0" ref="U37">
      <text>
        <t xml:space="preserve">Ngày kết thúc lớp cha tự mở rộng nếu có công việc lớp 6 kết thúc muộn hơn khung gốc.</t>
      </text>
    </comment>
    <comment authorId="0" ref="V37">
      <text>
        <t xml:space="preserve">Ngày bắt đầu lớp cha tự mở rộng nếu có công việc lớp 6 bắt đầu sớm hơn khung gốc.</t>
      </text>
    </comment>
    <comment authorId="0" ref="AG169">
      <text>
        <t xml:space="preserve">Tự động tính từ tiến độ L6. Nếu chưa có L6, trạng thái Hoàn thành tương ứng 100%.</t>
      </text>
    </comment>
    <comment authorId="0" ref="D170">
      <text>
        <t xml:space="preserve">Tự động tính từ tiến độ L6. Nếu chưa có L6, trạng thái Hoàn thành tương ứng 100%.</t>
      </text>
    </comment>
    <comment authorId="0" ref="AG37">
      <text>
        <t xml:space="preserve">Tự động tính từ tiến độ L6. Nếu chưa có L6, trạng thái Hoàn thành tương ứng 100%.</t>
      </text>
    </comment>
    <comment authorId="0" ref="AK169">
      <text>
        <t xml:space="preserve">L5 phải nằm trong L4; L6 phải nằm trong L5. Đúng khung = hợp lệ. Ngoài khung = vượt ngày. Chưa có hoặc thiếu = chưa đủ dữ liệu.</t>
      </text>
    </comment>
    <comment authorId="0" ref="AL16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8">
      <text>
        <t xml:space="preserve">Tự động tính từ tiến độ L6. Nếu chưa có L6, trạng thái Hoàn thành tương ứng 100%.</t>
      </text>
    </comment>
    <comment authorId="0" ref="AK37">
      <text>
        <t xml:space="preserve">L5 phải nằm trong L4; L6 phải nằm trong L5. Đúng khung = hợp lệ. Ngoài khung = vượt ngày. Chưa có hoặc thiếu = chưa đủ dữ liệu.</t>
      </text>
    </comment>
    <comment authorId="0" ref="AL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0">
      <text>
        <t xml:space="preserve">Ngày kết thúc lớp cha tự mở rộng nếu có công việc lớp 6 kết thúc muộn hơn khung gốc.</t>
      </text>
    </comment>
    <comment authorId="0" ref="V170">
      <text>
        <t xml:space="preserve">Ngày bắt đầu lớp cha tự mở rộng nếu có công việc lớp 6 bắt đầu sớm hơn khung gốc.</t>
      </text>
    </comment>
    <comment authorId="0" ref="U38">
      <text>
        <t xml:space="preserve">Ngày kết thúc lớp cha tự mở rộng nếu có công việc lớp 6 kết thúc muộn hơn khung gốc.</t>
      </text>
    </comment>
    <comment authorId="0" ref="V38">
      <text>
        <t xml:space="preserve">Ngày bắt đầu lớp cha tự mở rộng nếu có công việc lớp 6 bắt đầu sớm hơn khung gốc.</t>
      </text>
    </comment>
    <comment authorId="0" ref="AG170">
      <text>
        <t xml:space="preserve">Tự động tính từ tiến độ L6. Nếu chưa có L6, trạng thái Hoàn thành tương ứng 100%.</t>
      </text>
    </comment>
    <comment authorId="0" ref="D171">
      <text>
        <t xml:space="preserve">Tự động tính từ tiến độ L6. Nếu chưa có L6, trạng thái Hoàn thành tương ứng 100%.</t>
      </text>
    </comment>
    <comment authorId="0" ref="AG38">
      <text>
        <t xml:space="preserve">Tự động tính từ tiến độ L6. Nếu chưa có L6, trạng thái Hoàn thành tương ứng 100%.</t>
      </text>
    </comment>
    <comment authorId="0" ref="AK170">
      <text>
        <t xml:space="preserve">L5 phải nằm trong L4; L6 phải nằm trong L5. Đúng khung = hợp lệ. Ngoài khung = vượt ngày. Chưa có hoặc thiếu = chưa đủ dữ liệu.</t>
      </text>
    </comment>
    <comment authorId="0" ref="AL17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39">
      <text>
        <t xml:space="preserve">Tự động tính từ tiến độ L6. Nếu chưa có L6, trạng thái Hoàn thành tương ứng 100%.</t>
      </text>
    </comment>
    <comment authorId="0" ref="AK38">
      <text>
        <t xml:space="preserve">L5 phải nằm trong L4; L6 phải nằm trong L5. Đúng khung = hợp lệ. Ngoài khung = vượt ngày. Chưa có hoặc thiếu = chưa đủ dữ liệu.</t>
      </text>
    </comment>
    <comment authorId="0" ref="AL3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1">
      <text>
        <t xml:space="preserve">Ngày kết thúc lớp cha tự mở rộng nếu có công việc lớp 6 kết thúc muộn hơn khung gốc.</t>
      </text>
    </comment>
    <comment authorId="0" ref="V171">
      <text>
        <t xml:space="preserve">Ngày bắt đầu lớp cha tự mở rộng nếu có công việc lớp 6 bắt đầu sớm hơn khung gốc.</t>
      </text>
    </comment>
    <comment authorId="0" ref="U39">
      <text>
        <t xml:space="preserve">Ngày kết thúc lớp cha tự mở rộng nếu có công việc lớp 6 kết thúc muộn hơn khung gốc.</t>
      </text>
    </comment>
    <comment authorId="0" ref="V39">
      <text>
        <t xml:space="preserve">Ngày bắt đầu lớp cha tự mở rộng nếu có công việc lớp 6 bắt đầu sớm hơn khung gốc.</t>
      </text>
    </comment>
    <comment authorId="0" ref="AG171">
      <text>
        <t xml:space="preserve">Tự động tính từ tiến độ L6. Nếu chưa có L6, trạng thái Hoàn thành tương ứng 100%.</t>
      </text>
    </comment>
    <comment authorId="0" ref="D172">
      <text>
        <t xml:space="preserve">Tự động tính từ tiến độ L6. Nếu chưa có L6, trạng thái Hoàn thành tương ứng 100%.</t>
      </text>
    </comment>
    <comment authorId="0" ref="AG39">
      <text>
        <t xml:space="preserve">Tự động tính từ tiến độ L6. Nếu chưa có L6, trạng thái Hoàn thành tương ứng 100%.</t>
      </text>
    </comment>
    <comment authorId="0" ref="AK171">
      <text>
        <t xml:space="preserve">L5 phải nằm trong L4; L6 phải nằm trong L5. Đúng khung = hợp lệ. Ngoài khung = vượt ngày. Chưa có hoặc thiếu = chưa đủ dữ liệu.</t>
      </text>
    </comment>
    <comment authorId="0" ref="AL17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0">
      <text>
        <t xml:space="preserve">Tự động tính từ tiến độ L6. Nếu chưa có L6, trạng thái Hoàn thành tương ứng 100%.</t>
      </text>
    </comment>
    <comment authorId="0" ref="AK39">
      <text>
        <t xml:space="preserve">L5 phải nằm trong L4; L6 phải nằm trong L5. Đúng khung = hợp lệ. Ngoài khung = vượt ngày. Chưa có hoặc thiếu = chưa đủ dữ liệu.</t>
      </text>
    </comment>
    <comment authorId="0" ref="AL3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2">
      <text>
        <t xml:space="preserve">Ngày kết thúc lớp cha tự mở rộng nếu có công việc lớp 6 kết thúc muộn hơn khung gốc.</t>
      </text>
    </comment>
    <comment authorId="0" ref="V172">
      <text>
        <t xml:space="preserve">Ngày bắt đầu lớp cha tự mở rộng nếu có công việc lớp 6 bắt đầu sớm hơn khung gốc.</t>
      </text>
    </comment>
    <comment authorId="0" ref="U40">
      <text>
        <t xml:space="preserve">Ngày kết thúc lớp cha tự mở rộng nếu có công việc lớp 6 kết thúc muộn hơn khung gốc.</t>
      </text>
    </comment>
    <comment authorId="0" ref="V40">
      <text>
        <t xml:space="preserve">Ngày bắt đầu lớp cha tự mở rộng nếu có công việc lớp 6 bắt đầu sớm hơn khung gốc.</t>
      </text>
    </comment>
    <comment authorId="0" ref="AG172">
      <text>
        <t xml:space="preserve">Tự động tính từ tiến độ L6. Nếu chưa có L6, trạng thái Hoàn thành tương ứng 100%.</t>
      </text>
    </comment>
    <comment authorId="0" ref="D173">
      <text>
        <t xml:space="preserve">Tự động tính từ tiến độ L6. Nếu chưa có L6, trạng thái Hoàn thành tương ứng 100%.</t>
      </text>
    </comment>
    <comment authorId="0" ref="AG40">
      <text>
        <t xml:space="preserve">Tự động tính từ tiến độ L6. Nếu chưa có L6, trạng thái Hoàn thành tương ứng 100%.</t>
      </text>
    </comment>
    <comment authorId="0" ref="AK172">
      <text>
        <t xml:space="preserve">L5 phải nằm trong L4; L6 phải nằm trong L5. Đúng khung = hợp lệ. Ngoài khung = vượt ngày. Chưa có hoặc thiếu = chưa đủ dữ liệu.</t>
      </text>
    </comment>
    <comment authorId="0" ref="AL17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1">
      <text>
        <t xml:space="preserve">Tự động tính từ tiến độ L6. Nếu chưa có L6, trạng thái Hoàn thành tương ứng 100%.</t>
      </text>
    </comment>
    <comment authorId="0" ref="AK40">
      <text>
        <t xml:space="preserve">L5 phải nằm trong L4; L6 phải nằm trong L5. Đúng khung = hợp lệ. Ngoài khung = vượt ngày. Chưa có hoặc thiếu = chưa đủ dữ liệu.</t>
      </text>
    </comment>
    <comment authorId="0" ref="AL4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3">
      <text>
        <t xml:space="preserve">Ngày kết thúc lớp cha tự mở rộng nếu có công việc lớp 6 kết thúc muộn hơn khung gốc.</t>
      </text>
    </comment>
    <comment authorId="0" ref="V173">
      <text>
        <t xml:space="preserve">Ngày bắt đầu lớp cha tự mở rộng nếu có công việc lớp 6 bắt đầu sớm hơn khung gốc.</t>
      </text>
    </comment>
    <comment authorId="0" ref="U41">
      <text>
        <t xml:space="preserve">Ngày kết thúc lớp cha tự mở rộng nếu có công việc lớp 6 kết thúc muộn hơn khung gốc.</t>
      </text>
    </comment>
    <comment authorId="0" ref="V41">
      <text>
        <t xml:space="preserve">Ngày bắt đầu lớp cha tự mở rộng nếu có công việc lớp 6 bắt đầu sớm hơn khung gốc.</t>
      </text>
    </comment>
    <comment authorId="0" ref="AG173">
      <text>
        <t xml:space="preserve">Tự động tính từ tiến độ L6. Nếu chưa có L6, trạng thái Hoàn thành tương ứng 100%.</t>
      </text>
    </comment>
    <comment authorId="0" ref="D174">
      <text>
        <t xml:space="preserve">Tự động tính từ tiến độ L6. Nếu chưa có L6, trạng thái Hoàn thành tương ứng 100%.</t>
      </text>
    </comment>
    <comment authorId="0" ref="AG41">
      <text>
        <t xml:space="preserve">Tự động tính từ tiến độ L6. Nếu chưa có L6, trạng thái Hoàn thành tương ứng 100%.</t>
      </text>
    </comment>
    <comment authorId="0" ref="AK173">
      <text>
        <t xml:space="preserve">L5 phải nằm trong L4; L6 phải nằm trong L5. Đúng khung = hợp lệ. Ngoài khung = vượt ngày. Chưa có hoặc thiếu = chưa đủ dữ liệu.</t>
      </text>
    </comment>
    <comment authorId="0" ref="AL17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2">
      <text>
        <t xml:space="preserve">Tự động tính từ tiến độ L6. Nếu chưa có L6, trạng thái Hoàn thành tương ứng 100%.</t>
      </text>
    </comment>
    <comment authorId="0" ref="AK41">
      <text>
        <t xml:space="preserve">L5 phải nằm trong L4; L6 phải nằm trong L5. Đúng khung = hợp lệ. Ngoài khung = vượt ngày. Chưa có hoặc thiếu = chưa đủ dữ liệu.</t>
      </text>
    </comment>
    <comment authorId="0" ref="AL4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4">
      <text>
        <t xml:space="preserve">Ngày kết thúc lớp cha tự mở rộng nếu có công việc lớp 6 kết thúc muộn hơn khung gốc.</t>
      </text>
    </comment>
    <comment authorId="0" ref="V174">
      <text>
        <t xml:space="preserve">Ngày bắt đầu lớp cha tự mở rộng nếu có công việc lớp 6 bắt đầu sớm hơn khung gốc.</t>
      </text>
    </comment>
    <comment authorId="0" ref="U42">
      <text>
        <t xml:space="preserve">Ngày kết thúc lớp cha tự mở rộng nếu có công việc lớp 6 kết thúc muộn hơn khung gốc.</t>
      </text>
    </comment>
    <comment authorId="0" ref="V42">
      <text>
        <t xml:space="preserve">Ngày bắt đầu lớp cha tự mở rộng nếu có công việc lớp 6 bắt đầu sớm hơn khung gốc.</t>
      </text>
    </comment>
    <comment authorId="0" ref="AG174">
      <text>
        <t xml:space="preserve">Tự động tính từ tiến độ L6. Nếu chưa có L6, trạng thái Hoàn thành tương ứng 100%.</t>
      </text>
    </comment>
    <comment authorId="0" ref="D175">
      <text>
        <t xml:space="preserve">Tự động tính từ tiến độ L6. Nếu chưa có L6, trạng thái Hoàn thành tương ứng 100%.</t>
      </text>
    </comment>
    <comment authorId="0" ref="AG42">
      <text>
        <t xml:space="preserve">Tự động tính từ tiến độ L6. Nếu chưa có L6, trạng thái Hoàn thành tương ứng 100%.</t>
      </text>
    </comment>
    <comment authorId="0" ref="AK174">
      <text>
        <t xml:space="preserve">L5 phải nằm trong L4; L6 phải nằm trong L5. Đúng khung = hợp lệ. Ngoài khung = vượt ngày. Chưa có hoặc thiếu = chưa đủ dữ liệu.</t>
      </text>
    </comment>
    <comment authorId="0" ref="AL17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3">
      <text>
        <t xml:space="preserve">Tự động tính từ tiến độ L6. Nếu chưa có L6, trạng thái Hoàn thành tương ứng 100%.</t>
      </text>
    </comment>
    <comment authorId="0" ref="AK42">
      <text>
        <t xml:space="preserve">L5 phải nằm trong L4; L6 phải nằm trong L5. Đúng khung = hợp lệ. Ngoài khung = vượt ngày. Chưa có hoặc thiếu = chưa đủ dữ liệu.</t>
      </text>
    </comment>
    <comment authorId="0" ref="AL4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5">
      <text>
        <t xml:space="preserve">Ngày kết thúc lớp cha tự mở rộng nếu có công việc lớp 6 kết thúc muộn hơn khung gốc.</t>
      </text>
    </comment>
    <comment authorId="0" ref="V175">
      <text>
        <t xml:space="preserve">Ngày bắt đầu lớp cha tự mở rộng nếu có công việc lớp 6 bắt đầu sớm hơn khung gốc.</t>
      </text>
    </comment>
    <comment authorId="0" ref="U43">
      <text>
        <t xml:space="preserve">Ngày kết thúc lớp cha tự mở rộng nếu có công việc lớp 6 kết thúc muộn hơn khung gốc.</t>
      </text>
    </comment>
    <comment authorId="0" ref="V43">
      <text>
        <t xml:space="preserve">Ngày bắt đầu lớp cha tự mở rộng nếu có công việc lớp 6 bắt đầu sớm hơn khung gốc.</t>
      </text>
    </comment>
    <comment authorId="0" ref="AG175">
      <text>
        <t xml:space="preserve">Tự động tính từ tiến độ L6. Nếu chưa có L6, trạng thái Hoàn thành tương ứng 100%.</t>
      </text>
    </comment>
    <comment authorId="0" ref="D176">
      <text>
        <t xml:space="preserve">Tự động tính từ tiến độ L6. Nếu chưa có L6, trạng thái Hoàn thành tương ứng 100%.</t>
      </text>
    </comment>
    <comment authorId="0" ref="AG43">
      <text>
        <t xml:space="preserve">Tự động tính từ tiến độ L6. Nếu chưa có L6, trạng thái Hoàn thành tương ứng 100%.</t>
      </text>
    </comment>
    <comment authorId="0" ref="AK175">
      <text>
        <t xml:space="preserve">L5 phải nằm trong L4; L6 phải nằm trong L5. Đúng khung = hợp lệ. Ngoài khung = vượt ngày. Chưa có hoặc thiếu = chưa đủ dữ liệu.</t>
      </text>
    </comment>
    <comment authorId="0" ref="AL17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4">
      <text>
        <t xml:space="preserve">Tự động tính từ tiến độ L6. Nếu chưa có L6, trạng thái Hoàn thành tương ứng 100%.</t>
      </text>
    </comment>
    <comment authorId="0" ref="AK43">
      <text>
        <t xml:space="preserve">L5 phải nằm trong L4; L6 phải nằm trong L5. Đúng khung = hợp lệ. Ngoài khung = vượt ngày. Chưa có hoặc thiếu = chưa đủ dữ liệu.</t>
      </text>
    </comment>
    <comment authorId="0" ref="AL4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6">
      <text>
        <t xml:space="preserve">Ngày kết thúc lớp cha tự mở rộng nếu có công việc lớp 6 kết thúc muộn hơn khung gốc.</t>
      </text>
    </comment>
    <comment authorId="0" ref="V176">
      <text>
        <t xml:space="preserve">Ngày bắt đầu lớp cha tự mở rộng nếu có công việc lớp 6 bắt đầu sớm hơn khung gốc.</t>
      </text>
    </comment>
    <comment authorId="0" ref="U44">
      <text>
        <t xml:space="preserve">Ngày kết thúc lớp cha tự mở rộng nếu có công việc lớp 6 kết thúc muộn hơn khung gốc.</t>
      </text>
    </comment>
    <comment authorId="0" ref="V44">
      <text>
        <t xml:space="preserve">Ngày bắt đầu lớp cha tự mở rộng nếu có công việc lớp 6 bắt đầu sớm hơn khung gốc.</t>
      </text>
    </comment>
    <comment authorId="0" ref="AG176">
      <text>
        <t xml:space="preserve">Tự động tính từ tiến độ L6. Nếu chưa có L6, trạng thái Hoàn thành tương ứng 100%.</t>
      </text>
    </comment>
    <comment authorId="0" ref="D177">
      <text>
        <t xml:space="preserve">Tự động tính từ tiến độ L6. Nếu chưa có L6, trạng thái Hoàn thành tương ứng 100%.</t>
      </text>
    </comment>
    <comment authorId="0" ref="AG44">
      <text>
        <t xml:space="preserve">Tự động tính từ tiến độ L6. Nếu chưa có L6, trạng thái Hoàn thành tương ứng 100%.</t>
      </text>
    </comment>
    <comment authorId="0" ref="AK176">
      <text>
        <t xml:space="preserve">L5 phải nằm trong L4; L6 phải nằm trong L5. Đúng khung = hợp lệ. Ngoài khung = vượt ngày. Chưa có hoặc thiếu = chưa đủ dữ liệu.</t>
      </text>
    </comment>
    <comment authorId="0" ref="AL17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5">
      <text>
        <t xml:space="preserve">Tự động tính từ tiến độ L6. Nếu chưa có L6, trạng thái Hoàn thành tương ứng 100%.</t>
      </text>
    </comment>
    <comment authorId="0" ref="AK44">
      <text>
        <t xml:space="preserve">L5 phải nằm trong L4; L6 phải nằm trong L5. Đúng khung = hợp lệ. Ngoài khung = vượt ngày. Chưa có hoặc thiếu = chưa đủ dữ liệu.</t>
      </text>
    </comment>
    <comment authorId="0" ref="AL4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7">
      <text>
        <t xml:space="preserve">Ngày kết thúc lớp cha tự mở rộng nếu có công việc lớp 6 kết thúc muộn hơn khung gốc.</t>
      </text>
    </comment>
    <comment authorId="0" ref="V177">
      <text>
        <t xml:space="preserve">Ngày bắt đầu lớp cha tự mở rộng nếu có công việc lớp 6 bắt đầu sớm hơn khung gốc.</t>
      </text>
    </comment>
    <comment authorId="0" ref="U45">
      <text>
        <t xml:space="preserve">Ngày kết thúc lớp cha tự mở rộng nếu có công việc lớp 6 kết thúc muộn hơn khung gốc.</t>
      </text>
    </comment>
    <comment authorId="0" ref="V45">
      <text>
        <t xml:space="preserve">Ngày bắt đầu lớp cha tự mở rộng nếu có công việc lớp 6 bắt đầu sớm hơn khung gốc.</t>
      </text>
    </comment>
    <comment authorId="0" ref="AG177">
      <text>
        <t xml:space="preserve">Tự động tính từ tiến độ L6. Nếu chưa có L6, trạng thái Hoàn thành tương ứng 100%.</t>
      </text>
    </comment>
    <comment authorId="0" ref="D178">
      <text>
        <t xml:space="preserve">Tự động tính từ tiến độ L6. Nếu chưa có L6, trạng thái Hoàn thành tương ứng 100%.</t>
      </text>
    </comment>
    <comment authorId="0" ref="AG45">
      <text>
        <t xml:space="preserve">Tự động tính từ tiến độ L6. Nếu chưa có L6, trạng thái Hoàn thành tương ứng 100%.</t>
      </text>
    </comment>
    <comment authorId="0" ref="AK177">
      <text>
        <t xml:space="preserve">L5 phải nằm trong L4; L6 phải nằm trong L5. Đúng khung = hợp lệ. Ngoài khung = vượt ngày. Chưa có hoặc thiếu = chưa đủ dữ liệu.</t>
      </text>
    </comment>
    <comment authorId="0" ref="AL17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6">
      <text>
        <t xml:space="preserve">Tự động tính từ tiến độ L6. Nếu chưa có L6, trạng thái Hoàn thành tương ứng 100%.</t>
      </text>
    </comment>
    <comment authorId="0" ref="AK45">
      <text>
        <t xml:space="preserve">L5 phải nằm trong L4; L6 phải nằm trong L5. Đúng khung = hợp lệ. Ngoài khung = vượt ngày. Chưa có hoặc thiếu = chưa đủ dữ liệu.</t>
      </text>
    </comment>
    <comment authorId="0" ref="AL4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8">
      <text>
        <t xml:space="preserve">Ngày kết thúc lớp cha tự mở rộng nếu có công việc lớp 6 kết thúc muộn hơn khung gốc.</t>
      </text>
    </comment>
    <comment authorId="0" ref="V178">
      <text>
        <t xml:space="preserve">Ngày bắt đầu lớp cha tự mở rộng nếu có công việc lớp 6 bắt đầu sớm hơn khung gốc.</t>
      </text>
    </comment>
    <comment authorId="0" ref="U46">
      <text>
        <t xml:space="preserve">Ngày kết thúc lớp cha tự mở rộng nếu có công việc lớp 6 kết thúc muộn hơn khung gốc.</t>
      </text>
    </comment>
    <comment authorId="0" ref="V46">
      <text>
        <t xml:space="preserve">Ngày bắt đầu lớp cha tự mở rộng nếu có công việc lớp 6 bắt đầu sớm hơn khung gốc.</t>
      </text>
    </comment>
    <comment authorId="0" ref="AG178">
      <text>
        <t xml:space="preserve">Tự động tính từ tiến độ L6. Nếu chưa có L6, trạng thái Hoàn thành tương ứng 100%.</t>
      </text>
    </comment>
    <comment authorId="0" ref="D179">
      <text>
        <t xml:space="preserve">Tự động tính từ tiến độ L6. Nếu chưa có L6, trạng thái Hoàn thành tương ứng 100%.</t>
      </text>
    </comment>
    <comment authorId="0" ref="AG46">
      <text>
        <t xml:space="preserve">Tự động tính từ tiến độ L6. Nếu chưa có L6, trạng thái Hoàn thành tương ứng 100%.</t>
      </text>
    </comment>
    <comment authorId="0" ref="AK178">
      <text>
        <t xml:space="preserve">L5 phải nằm trong L4; L6 phải nằm trong L5. Đúng khung = hợp lệ. Ngoài khung = vượt ngày. Chưa có hoặc thiếu = chưa đủ dữ liệu.</t>
      </text>
    </comment>
    <comment authorId="0" ref="AL17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7">
      <text>
        <t xml:space="preserve">Tự động tính từ tiến độ L6. Nếu chưa có L6, trạng thái Hoàn thành tương ứng 100%.</t>
      </text>
    </comment>
    <comment authorId="0" ref="AK46">
      <text>
        <t xml:space="preserve">L5 phải nằm trong L4; L6 phải nằm trong L5. Đúng khung = hợp lệ. Ngoài khung = vượt ngày. Chưa có hoặc thiếu = chưa đủ dữ liệu.</t>
      </text>
    </comment>
    <comment authorId="0" ref="AL4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79">
      <text>
        <t xml:space="preserve">Ngày kết thúc lớp cha tự mở rộng nếu có công việc lớp 6 kết thúc muộn hơn khung gốc.</t>
      </text>
    </comment>
    <comment authorId="0" ref="V179">
      <text>
        <t xml:space="preserve">Ngày bắt đầu lớp cha tự mở rộng nếu có công việc lớp 6 bắt đầu sớm hơn khung gốc.</t>
      </text>
    </comment>
    <comment authorId="0" ref="U47">
      <text>
        <t xml:space="preserve">Ngày kết thúc lớp cha tự mở rộng nếu có công việc lớp 6 kết thúc muộn hơn khung gốc.</t>
      </text>
    </comment>
    <comment authorId="0" ref="V47">
      <text>
        <t xml:space="preserve">Ngày bắt đầu lớp cha tự mở rộng nếu có công việc lớp 6 bắt đầu sớm hơn khung gốc.</t>
      </text>
    </comment>
    <comment authorId="0" ref="AG179">
      <text>
        <t xml:space="preserve">Tự động tính từ tiến độ L6. Nếu chưa có L6, trạng thái Hoàn thành tương ứng 100%.</t>
      </text>
    </comment>
    <comment authorId="0" ref="D180">
      <text>
        <t xml:space="preserve">Tự động tính từ tiến độ L6. Nếu chưa có L6, trạng thái Hoàn thành tương ứng 100%.</t>
      </text>
    </comment>
    <comment authorId="0" ref="AG47">
      <text>
        <t xml:space="preserve">Tự động tính từ tiến độ L6. Nếu chưa có L6, trạng thái Hoàn thành tương ứng 100%.</t>
      </text>
    </comment>
    <comment authorId="0" ref="AK179">
      <text>
        <t xml:space="preserve">L5 phải nằm trong L4; L6 phải nằm trong L5. Đúng khung = hợp lệ. Ngoài khung = vượt ngày. Chưa có hoặc thiếu = chưa đủ dữ liệu.</t>
      </text>
    </comment>
    <comment authorId="0" ref="AL17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8">
      <text>
        <t xml:space="preserve">Tự động tính từ tiến độ L6. Nếu chưa có L6, trạng thái Hoàn thành tương ứng 100%.</t>
      </text>
    </comment>
    <comment authorId="0" ref="AK47">
      <text>
        <t xml:space="preserve">L5 phải nằm trong L4; L6 phải nằm trong L5. Đúng khung = hợp lệ. Ngoài khung = vượt ngày. Chưa có hoặc thiếu = chưa đủ dữ liệu.</t>
      </text>
    </comment>
    <comment authorId="0" ref="AL4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0">
      <text>
        <t xml:space="preserve">Ngày kết thúc lớp cha tự mở rộng nếu có công việc lớp 6 kết thúc muộn hơn khung gốc.</t>
      </text>
    </comment>
    <comment authorId="0" ref="V180">
      <text>
        <t xml:space="preserve">Ngày bắt đầu lớp cha tự mở rộng nếu có công việc lớp 6 bắt đầu sớm hơn khung gốc.</t>
      </text>
    </comment>
    <comment authorId="0" ref="U48">
      <text>
        <t xml:space="preserve">Ngày kết thúc lớp cha tự mở rộng nếu có công việc lớp 6 kết thúc muộn hơn khung gốc.</t>
      </text>
    </comment>
    <comment authorId="0" ref="V48">
      <text>
        <t xml:space="preserve">Ngày bắt đầu lớp cha tự mở rộng nếu có công việc lớp 6 bắt đầu sớm hơn khung gốc.</t>
      </text>
    </comment>
    <comment authorId="0" ref="AG180">
      <text>
        <t xml:space="preserve">Tự động tính từ tiến độ L6. Nếu chưa có L6, trạng thái Hoàn thành tương ứng 100%.</t>
      </text>
    </comment>
    <comment authorId="0" ref="D181">
      <text>
        <t xml:space="preserve">Tự động tính từ tiến độ L6. Nếu chưa có L6, trạng thái Hoàn thành tương ứng 100%.</t>
      </text>
    </comment>
    <comment authorId="0" ref="AG48">
      <text>
        <t xml:space="preserve">Tự động tính từ tiến độ L6. Nếu chưa có L6, trạng thái Hoàn thành tương ứng 100%.</t>
      </text>
    </comment>
    <comment authorId="0" ref="AK180">
      <text>
        <t xml:space="preserve">L5 phải nằm trong L4; L6 phải nằm trong L5. Đúng khung = hợp lệ. Ngoài khung = vượt ngày. Chưa có hoặc thiếu = chưa đủ dữ liệu.</t>
      </text>
    </comment>
    <comment authorId="0" ref="AL18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49">
      <text>
        <t xml:space="preserve">Tự động tính từ tiến độ L6. Nếu chưa có L6, trạng thái Hoàn thành tương ứng 100%.</t>
      </text>
    </comment>
    <comment authorId="0" ref="AK48">
      <text>
        <t xml:space="preserve">L5 phải nằm trong L4; L6 phải nằm trong L5. Đúng khung = hợp lệ. Ngoài khung = vượt ngày. Chưa có hoặc thiếu = chưa đủ dữ liệu.</t>
      </text>
    </comment>
    <comment authorId="0" ref="AL4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1">
      <text>
        <t xml:space="preserve">Ngày kết thúc lớp cha tự mở rộng nếu có công việc lớp 6 kết thúc muộn hơn khung gốc.</t>
      </text>
    </comment>
    <comment authorId="0" ref="V181">
      <text>
        <t xml:space="preserve">Ngày bắt đầu lớp cha tự mở rộng nếu có công việc lớp 6 bắt đầu sớm hơn khung gốc.</t>
      </text>
    </comment>
    <comment authorId="0" ref="U49">
      <text>
        <t xml:space="preserve">Ngày kết thúc lớp cha tự mở rộng nếu có công việc lớp 6 kết thúc muộn hơn khung gốc.</t>
      </text>
    </comment>
    <comment authorId="0" ref="V49">
      <text>
        <t xml:space="preserve">Ngày bắt đầu lớp cha tự mở rộng nếu có công việc lớp 6 bắt đầu sớm hơn khung gốc.</t>
      </text>
    </comment>
    <comment authorId="0" ref="AG181">
      <text>
        <t xml:space="preserve">Tự động tính từ tiến độ L6. Nếu chưa có L6, trạng thái Hoàn thành tương ứng 100%.</t>
      </text>
    </comment>
    <comment authorId="0" ref="D182">
      <text>
        <t xml:space="preserve">Tự động tính từ tiến độ L6. Nếu chưa có L6, trạng thái Hoàn thành tương ứng 100%.</t>
      </text>
    </comment>
    <comment authorId="0" ref="AG49">
      <text>
        <t xml:space="preserve">Tự động tính từ tiến độ L6. Nếu chưa có L6, trạng thái Hoàn thành tương ứng 100%.</t>
      </text>
    </comment>
    <comment authorId="0" ref="AK181">
      <text>
        <t xml:space="preserve">L5 phải nằm trong L4; L6 phải nằm trong L5. Đúng khung = hợp lệ. Ngoài khung = vượt ngày. Chưa có hoặc thiếu = chưa đủ dữ liệu.</t>
      </text>
    </comment>
    <comment authorId="0" ref="AL18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0">
      <text>
        <t xml:space="preserve">Tự động tính từ tiến độ L6. Nếu chưa có L6, trạng thái Hoàn thành tương ứng 100%.</t>
      </text>
    </comment>
    <comment authorId="0" ref="AK49">
      <text>
        <t xml:space="preserve">L5 phải nằm trong L4; L6 phải nằm trong L5. Đúng khung = hợp lệ. Ngoài khung = vượt ngày. Chưa có hoặc thiếu = chưa đủ dữ liệu.</t>
      </text>
    </comment>
    <comment authorId="0" ref="AL4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2">
      <text>
        <t xml:space="preserve">Ngày kết thúc lớp cha tự mở rộng nếu có công việc lớp 6 kết thúc muộn hơn khung gốc.</t>
      </text>
    </comment>
    <comment authorId="0" ref="V182">
      <text>
        <t xml:space="preserve">Ngày bắt đầu lớp cha tự mở rộng nếu có công việc lớp 6 bắt đầu sớm hơn khung gốc.</t>
      </text>
    </comment>
    <comment authorId="0" ref="U50">
      <text>
        <t xml:space="preserve">Ngày kết thúc lớp cha tự mở rộng nếu có công việc lớp 6 kết thúc muộn hơn khung gốc.</t>
      </text>
    </comment>
    <comment authorId="0" ref="V50">
      <text>
        <t xml:space="preserve">Ngày bắt đầu lớp cha tự mở rộng nếu có công việc lớp 6 bắt đầu sớm hơn khung gốc.</t>
      </text>
    </comment>
    <comment authorId="0" ref="AG182">
      <text>
        <t xml:space="preserve">Tự động tính từ tiến độ L6. Nếu chưa có L6, trạng thái Hoàn thành tương ứng 100%.</t>
      </text>
    </comment>
    <comment authorId="0" ref="D183">
      <text>
        <t xml:space="preserve">Tự động tính từ tiến độ L6. Nếu chưa có L6, trạng thái Hoàn thành tương ứng 100%.</t>
      </text>
    </comment>
    <comment authorId="0" ref="AG50">
      <text>
        <t xml:space="preserve">Tự động tính từ tiến độ L6. Nếu chưa có L6, trạng thái Hoàn thành tương ứng 100%.</t>
      </text>
    </comment>
    <comment authorId="0" ref="AK182">
      <text>
        <t xml:space="preserve">L5 phải nằm trong L4; L6 phải nằm trong L5. Đúng khung = hợp lệ. Ngoài khung = vượt ngày. Chưa có hoặc thiếu = chưa đủ dữ liệu.</t>
      </text>
    </comment>
    <comment authorId="0" ref="AL18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1">
      <text>
        <t xml:space="preserve">Tự động tính từ tiến độ L6. Nếu chưa có L6, trạng thái Hoàn thành tương ứng 100%.</t>
      </text>
    </comment>
    <comment authorId="0" ref="AK50">
      <text>
        <t xml:space="preserve">L5 phải nằm trong L4; L6 phải nằm trong L5. Đúng khung = hợp lệ. Ngoài khung = vượt ngày. Chưa có hoặc thiếu = chưa đủ dữ liệu.</t>
      </text>
    </comment>
    <comment authorId="0" ref="AL5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3">
      <text>
        <t xml:space="preserve">Ngày kết thúc lớp cha tự mở rộng nếu có công việc lớp 6 kết thúc muộn hơn khung gốc.</t>
      </text>
    </comment>
    <comment authorId="0" ref="V183">
      <text>
        <t xml:space="preserve">Ngày bắt đầu lớp cha tự mở rộng nếu có công việc lớp 6 bắt đầu sớm hơn khung gốc.</t>
      </text>
    </comment>
    <comment authorId="0" ref="U51">
      <text>
        <t xml:space="preserve">Ngày kết thúc lớp cha tự mở rộng nếu có công việc lớp 6 kết thúc muộn hơn khung gốc.</t>
      </text>
    </comment>
    <comment authorId="0" ref="V51">
      <text>
        <t xml:space="preserve">Ngày bắt đầu lớp cha tự mở rộng nếu có công việc lớp 6 bắt đầu sớm hơn khung gốc.</t>
      </text>
    </comment>
    <comment authorId="0" ref="AG183">
      <text>
        <t xml:space="preserve">Tự động tính từ tiến độ L6. Nếu chưa có L6, trạng thái Hoàn thành tương ứng 100%.</t>
      </text>
    </comment>
    <comment authorId="0" ref="D184">
      <text>
        <t xml:space="preserve">Tự động tính từ tiến độ L6. Nếu chưa có L6, trạng thái Hoàn thành tương ứng 100%.</t>
      </text>
    </comment>
    <comment authorId="0" ref="AG51">
      <text>
        <t xml:space="preserve">Tự động tính từ tiến độ L6. Nếu chưa có L6, trạng thái Hoàn thành tương ứng 100%.</t>
      </text>
    </comment>
    <comment authorId="0" ref="AK183">
      <text>
        <t xml:space="preserve">L5 phải nằm trong L4; L6 phải nằm trong L5. Đúng khung = hợp lệ. Ngoài khung = vượt ngày. Chưa có hoặc thiếu = chưa đủ dữ liệu.</t>
      </text>
    </comment>
    <comment authorId="0" ref="AL18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2">
      <text>
        <t xml:space="preserve">Tự động tính từ tiến độ L6. Nếu chưa có L6, trạng thái Hoàn thành tương ứng 100%.</t>
      </text>
    </comment>
    <comment authorId="0" ref="AK51">
      <text>
        <t xml:space="preserve">L5 phải nằm trong L4; L6 phải nằm trong L5. Đúng khung = hợp lệ. Ngoài khung = vượt ngày. Chưa có hoặc thiếu = chưa đủ dữ liệu.</t>
      </text>
    </comment>
    <comment authorId="0" ref="AL5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4">
      <text>
        <t xml:space="preserve">Ngày kết thúc lớp cha tự mở rộng nếu có công việc lớp 6 kết thúc muộn hơn khung gốc.</t>
      </text>
    </comment>
    <comment authorId="0" ref="V184">
      <text>
        <t xml:space="preserve">Ngày bắt đầu lớp cha tự mở rộng nếu có công việc lớp 6 bắt đầu sớm hơn khung gốc.</t>
      </text>
    </comment>
    <comment authorId="0" ref="U52">
      <text>
        <t xml:space="preserve">Ngày kết thúc lớp cha tự mở rộng nếu có công việc lớp 6 kết thúc muộn hơn khung gốc.</t>
      </text>
    </comment>
    <comment authorId="0" ref="V52">
      <text>
        <t xml:space="preserve">Ngày bắt đầu lớp cha tự mở rộng nếu có công việc lớp 6 bắt đầu sớm hơn khung gốc.</t>
      </text>
    </comment>
    <comment authorId="0" ref="AG184">
      <text>
        <t xml:space="preserve">Tự động tính từ tiến độ L6. Nếu chưa có L6, trạng thái Hoàn thành tương ứng 100%.</t>
      </text>
    </comment>
    <comment authorId="0" ref="D185">
      <text>
        <t xml:space="preserve">Tự động tính từ tiến độ L6. Nếu chưa có L6, trạng thái Hoàn thành tương ứng 100%.</t>
      </text>
    </comment>
    <comment authorId="0" ref="AG52">
      <text>
        <t xml:space="preserve">Tự động tính từ tiến độ L6. Nếu chưa có L6, trạng thái Hoàn thành tương ứng 100%.</t>
      </text>
    </comment>
    <comment authorId="0" ref="AK184">
      <text>
        <t xml:space="preserve">L5 phải nằm trong L4; L6 phải nằm trong L5. Đúng khung = hợp lệ. Ngoài khung = vượt ngày. Chưa có hoặc thiếu = chưa đủ dữ liệu.</t>
      </text>
    </comment>
    <comment authorId="0" ref="AL18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3">
      <text>
        <t xml:space="preserve">Tự động tính từ tiến độ L6. Nếu chưa có L6, trạng thái Hoàn thành tương ứng 100%.</t>
      </text>
    </comment>
    <comment authorId="0" ref="AK52">
      <text>
        <t xml:space="preserve">L5 phải nằm trong L4; L6 phải nằm trong L5. Đúng khung = hợp lệ. Ngoài khung = vượt ngày. Chưa có hoặc thiếu = chưa đủ dữ liệu.</t>
      </text>
    </comment>
    <comment authorId="0" ref="AL5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5">
      <text>
        <t xml:space="preserve">Ngày kết thúc lớp cha tự mở rộng nếu có công việc lớp 6 kết thúc muộn hơn khung gốc.</t>
      </text>
    </comment>
    <comment authorId="0" ref="V185">
      <text>
        <t xml:space="preserve">Ngày bắt đầu lớp cha tự mở rộng nếu có công việc lớp 6 bắt đầu sớm hơn khung gốc.</t>
      </text>
    </comment>
    <comment authorId="0" ref="U53">
      <text>
        <t xml:space="preserve">Ngày kết thúc lớp cha tự mở rộng nếu có công việc lớp 6 kết thúc muộn hơn khung gốc.</t>
      </text>
    </comment>
    <comment authorId="0" ref="V53">
      <text>
        <t xml:space="preserve">Ngày bắt đầu lớp cha tự mở rộng nếu có công việc lớp 6 bắt đầu sớm hơn khung gốc.</t>
      </text>
    </comment>
    <comment authorId="0" ref="AG185">
      <text>
        <t xml:space="preserve">Tự động tính từ tiến độ L6. Nếu chưa có L6, trạng thái Hoàn thành tương ứng 100%.</t>
      </text>
    </comment>
    <comment authorId="0" ref="D186">
      <text>
        <t xml:space="preserve">Tự động tính từ tiến độ L6. Nếu chưa có L6, trạng thái Hoàn thành tương ứng 100%.</t>
      </text>
    </comment>
    <comment authorId="0" ref="AG53">
      <text>
        <t xml:space="preserve">Tự động tính từ tiến độ L6. Nếu chưa có L6, trạng thái Hoàn thành tương ứng 100%.</t>
      </text>
    </comment>
    <comment authorId="0" ref="AK185">
      <text>
        <t xml:space="preserve">L5 phải nằm trong L4; L6 phải nằm trong L5. Đúng khung = hợp lệ. Ngoài khung = vượt ngày. Chưa có hoặc thiếu = chưa đủ dữ liệu.</t>
      </text>
    </comment>
    <comment authorId="0" ref="AL18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4">
      <text>
        <t xml:space="preserve">Tự động tính từ tiến độ L6. Nếu chưa có L6, trạng thái Hoàn thành tương ứng 100%.</t>
      </text>
    </comment>
    <comment authorId="0" ref="AK53">
      <text>
        <t xml:space="preserve">L5 phải nằm trong L4; L6 phải nằm trong L5. Đúng khung = hợp lệ. Ngoài khung = vượt ngày. Chưa có hoặc thiếu = chưa đủ dữ liệu.</t>
      </text>
    </comment>
    <comment authorId="0" ref="AL5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6">
      <text>
        <t xml:space="preserve">Ngày kết thúc lớp cha tự mở rộng nếu có công việc lớp 6 kết thúc muộn hơn khung gốc.</t>
      </text>
    </comment>
    <comment authorId="0" ref="V186">
      <text>
        <t xml:space="preserve">Ngày bắt đầu lớp cha tự mở rộng nếu có công việc lớp 6 bắt đầu sớm hơn khung gốc.</t>
      </text>
    </comment>
    <comment authorId="0" ref="U54">
      <text>
        <t xml:space="preserve">Ngày kết thúc lớp cha tự mở rộng nếu có công việc lớp 6 kết thúc muộn hơn khung gốc.</t>
      </text>
    </comment>
    <comment authorId="0" ref="V54">
      <text>
        <t xml:space="preserve">Ngày bắt đầu lớp cha tự mở rộng nếu có công việc lớp 6 bắt đầu sớm hơn khung gốc.</t>
      </text>
    </comment>
    <comment authorId="0" ref="AG186">
      <text>
        <t xml:space="preserve">Tự động tính từ tiến độ L6. Nếu chưa có L6, trạng thái Hoàn thành tương ứng 100%.</t>
      </text>
    </comment>
    <comment authorId="0" ref="D187">
      <text>
        <t xml:space="preserve">Tự động tính từ tiến độ L6. Nếu chưa có L6, trạng thái Hoàn thành tương ứng 100%.</t>
      </text>
    </comment>
    <comment authorId="0" ref="AG54">
      <text>
        <t xml:space="preserve">Tự động tính từ tiến độ L6. Nếu chưa có L6, trạng thái Hoàn thành tương ứng 100%.</t>
      </text>
    </comment>
    <comment authorId="0" ref="AK186">
      <text>
        <t xml:space="preserve">L5 phải nằm trong L4; L6 phải nằm trong L5. Đúng khung = hợp lệ. Ngoài khung = vượt ngày. Chưa có hoặc thiếu = chưa đủ dữ liệu.</t>
      </text>
    </comment>
    <comment authorId="0" ref="AL18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5">
      <text>
        <t xml:space="preserve">Tự động tính từ tiến độ L6. Nếu chưa có L6, trạng thái Hoàn thành tương ứng 100%.</t>
      </text>
    </comment>
    <comment authorId="0" ref="AK54">
      <text>
        <t xml:space="preserve">L5 phải nằm trong L4; L6 phải nằm trong L5. Đúng khung = hợp lệ. Ngoài khung = vượt ngày. Chưa có hoặc thiếu = chưa đủ dữ liệu.</t>
      </text>
    </comment>
    <comment authorId="0" ref="AL5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7">
      <text>
        <t xml:space="preserve">Ngày kết thúc lớp cha tự mở rộng nếu có công việc lớp 6 kết thúc muộn hơn khung gốc.</t>
      </text>
    </comment>
    <comment authorId="0" ref="V187">
      <text>
        <t xml:space="preserve">Ngày bắt đầu lớp cha tự mở rộng nếu có công việc lớp 6 bắt đầu sớm hơn khung gốc.</t>
      </text>
    </comment>
    <comment authorId="0" ref="U55">
      <text>
        <t xml:space="preserve">Ngày kết thúc lớp cha tự mở rộng nếu có công việc lớp 6 kết thúc muộn hơn khung gốc.</t>
      </text>
    </comment>
    <comment authorId="0" ref="V55">
      <text>
        <t xml:space="preserve">Ngày bắt đầu lớp cha tự mở rộng nếu có công việc lớp 6 bắt đầu sớm hơn khung gốc.</t>
      </text>
    </comment>
    <comment authorId="0" ref="AG187">
      <text>
        <t xml:space="preserve">Tự động tính từ tiến độ L6. Nếu chưa có L6, trạng thái Hoàn thành tương ứng 100%.</t>
      </text>
    </comment>
    <comment authorId="0" ref="D188">
      <text>
        <t xml:space="preserve">Tự động tính từ tiến độ L6. Nếu chưa có L6, trạng thái Hoàn thành tương ứng 100%.</t>
      </text>
    </comment>
    <comment authorId="0" ref="AG55">
      <text>
        <t xml:space="preserve">Tự động tính từ tiến độ L6. Nếu chưa có L6, trạng thái Hoàn thành tương ứng 100%.</t>
      </text>
    </comment>
    <comment authorId="0" ref="AK187">
      <text>
        <t xml:space="preserve">L5 phải nằm trong L4; L6 phải nằm trong L5. Đúng khung = hợp lệ. Ngoài khung = vượt ngày. Chưa có hoặc thiếu = chưa đủ dữ liệu.</t>
      </text>
    </comment>
    <comment authorId="0" ref="AL18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6">
      <text>
        <t xml:space="preserve">Tự động tính từ tiến độ L6. Nếu chưa có L6, trạng thái Hoàn thành tương ứng 100%.</t>
      </text>
    </comment>
    <comment authorId="0" ref="AK55">
      <text>
        <t xml:space="preserve">L5 phải nằm trong L4; L6 phải nằm trong L5. Đúng khung = hợp lệ. Ngoài khung = vượt ngày. Chưa có hoặc thiếu = chưa đủ dữ liệu.</t>
      </text>
    </comment>
    <comment authorId="0" ref="AL5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8">
      <text>
        <t xml:space="preserve">Ngày kết thúc lớp cha tự mở rộng nếu có công việc lớp 6 kết thúc muộn hơn khung gốc.</t>
      </text>
    </comment>
    <comment authorId="0" ref="V188">
      <text>
        <t xml:space="preserve">Ngày bắt đầu lớp cha tự mở rộng nếu có công việc lớp 6 bắt đầu sớm hơn khung gốc.</t>
      </text>
    </comment>
    <comment authorId="0" ref="U56">
      <text>
        <t xml:space="preserve">Ngày kết thúc lớp cha tự mở rộng nếu có công việc lớp 6 kết thúc muộn hơn khung gốc.</t>
      </text>
    </comment>
    <comment authorId="0" ref="V56">
      <text>
        <t xml:space="preserve">Ngày bắt đầu lớp cha tự mở rộng nếu có công việc lớp 6 bắt đầu sớm hơn khung gốc.</t>
      </text>
    </comment>
    <comment authorId="0" ref="AG188">
      <text>
        <t xml:space="preserve">Tự động tính từ tiến độ L6. Nếu chưa có L6, trạng thái Hoàn thành tương ứng 100%.</t>
      </text>
    </comment>
    <comment authorId="0" ref="D189">
      <text>
        <t xml:space="preserve">Tự động tính từ tiến độ L6. Nếu chưa có L6, trạng thái Hoàn thành tương ứng 100%.</t>
      </text>
    </comment>
    <comment authorId="0" ref="AG56">
      <text>
        <t xml:space="preserve">Tự động tính từ tiến độ L6. Nếu chưa có L6, trạng thái Hoàn thành tương ứng 100%.</t>
      </text>
    </comment>
    <comment authorId="0" ref="AK188">
      <text>
        <t xml:space="preserve">L5 phải nằm trong L4; L6 phải nằm trong L5. Đúng khung = hợp lệ. Ngoài khung = vượt ngày. Chưa có hoặc thiếu = chưa đủ dữ liệu.</t>
      </text>
    </comment>
    <comment authorId="0" ref="AL18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7">
      <text>
        <t xml:space="preserve">Tự động tính từ tiến độ L6. Nếu chưa có L6, trạng thái Hoàn thành tương ứng 100%.</t>
      </text>
    </comment>
    <comment authorId="0" ref="AK56">
      <text>
        <t xml:space="preserve">L5 phải nằm trong L4; L6 phải nằm trong L5. Đúng khung = hợp lệ. Ngoài khung = vượt ngày. Chưa có hoặc thiếu = chưa đủ dữ liệu.</t>
      </text>
    </comment>
    <comment authorId="0" ref="AL5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89">
      <text>
        <t xml:space="preserve">Ngày kết thúc lớp cha tự mở rộng nếu có công việc lớp 6 kết thúc muộn hơn khung gốc.</t>
      </text>
    </comment>
    <comment authorId="0" ref="V189">
      <text>
        <t xml:space="preserve">Ngày bắt đầu lớp cha tự mở rộng nếu có công việc lớp 6 bắt đầu sớm hơn khung gốc.</t>
      </text>
    </comment>
    <comment authorId="0" ref="U57">
      <text>
        <t xml:space="preserve">Ngày kết thúc lớp cha tự mở rộng nếu có công việc lớp 6 kết thúc muộn hơn khung gốc.</t>
      </text>
    </comment>
    <comment authorId="0" ref="V57">
      <text>
        <t xml:space="preserve">Ngày bắt đầu lớp cha tự mở rộng nếu có công việc lớp 6 bắt đầu sớm hơn khung gốc.</t>
      </text>
    </comment>
    <comment authorId="0" ref="AG189">
      <text>
        <t xml:space="preserve">Tự động tính từ tiến độ L6. Nếu chưa có L6, trạng thái Hoàn thành tương ứng 100%.</t>
      </text>
    </comment>
    <comment authorId="0" ref="D190">
      <text>
        <t xml:space="preserve">Tự động tính từ tiến độ L6. Nếu chưa có L6, trạng thái Hoàn thành tương ứng 100%.</t>
      </text>
    </comment>
    <comment authorId="0" ref="AG57">
      <text>
        <t xml:space="preserve">Tự động tính từ tiến độ L6. Nếu chưa có L6, trạng thái Hoàn thành tương ứng 100%.</t>
      </text>
    </comment>
    <comment authorId="0" ref="AK189">
      <text>
        <t xml:space="preserve">L5 phải nằm trong L4; L6 phải nằm trong L5. Đúng khung = hợp lệ. Ngoài khung = vượt ngày. Chưa có hoặc thiếu = chưa đủ dữ liệu.</t>
      </text>
    </comment>
    <comment authorId="0" ref="AL18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8">
      <text>
        <t xml:space="preserve">Tự động tính từ tiến độ L6. Nếu chưa có L6, trạng thái Hoàn thành tương ứng 100%.</t>
      </text>
    </comment>
    <comment authorId="0" ref="AK57">
      <text>
        <t xml:space="preserve">L5 phải nằm trong L4; L6 phải nằm trong L5. Đúng khung = hợp lệ. Ngoài khung = vượt ngày. Chưa có hoặc thiếu = chưa đủ dữ liệu.</t>
      </text>
    </comment>
    <comment authorId="0" ref="AL5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0">
      <text>
        <t xml:space="preserve">Ngày kết thúc lớp cha tự mở rộng nếu có công việc lớp 6 kết thúc muộn hơn khung gốc.</t>
      </text>
    </comment>
    <comment authorId="0" ref="V190">
      <text>
        <t xml:space="preserve">Ngày bắt đầu lớp cha tự mở rộng nếu có công việc lớp 6 bắt đầu sớm hơn khung gốc.</t>
      </text>
    </comment>
    <comment authorId="0" ref="U58">
      <text>
        <t xml:space="preserve">Ngày kết thúc lớp cha tự mở rộng nếu có công việc lớp 6 kết thúc muộn hơn khung gốc.</t>
      </text>
    </comment>
    <comment authorId="0" ref="V58">
      <text>
        <t xml:space="preserve">Ngày bắt đầu lớp cha tự mở rộng nếu có công việc lớp 6 bắt đầu sớm hơn khung gốc.</t>
      </text>
    </comment>
    <comment authorId="0" ref="AG190">
      <text>
        <t xml:space="preserve">Tự động tính từ tiến độ L6. Nếu chưa có L6, trạng thái Hoàn thành tương ứng 100%.</t>
      </text>
    </comment>
    <comment authorId="0" ref="D191">
      <text>
        <t xml:space="preserve">Tự động tính từ tiến độ L6. Nếu chưa có L6, trạng thái Hoàn thành tương ứng 100%.</t>
      </text>
    </comment>
    <comment authorId="0" ref="AG58">
      <text>
        <t xml:space="preserve">Tự động tính từ tiến độ L6. Nếu chưa có L6, trạng thái Hoàn thành tương ứng 100%.</t>
      </text>
    </comment>
    <comment authorId="0" ref="AK190">
      <text>
        <t xml:space="preserve">L5 phải nằm trong L4; L6 phải nằm trong L5. Đúng khung = hợp lệ. Ngoài khung = vượt ngày. Chưa có hoặc thiếu = chưa đủ dữ liệu.</t>
      </text>
    </comment>
    <comment authorId="0" ref="AL19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59">
      <text>
        <t xml:space="preserve">Tự động tính từ tiến độ L6. Nếu chưa có L6, trạng thái Hoàn thành tương ứng 100%.</t>
      </text>
    </comment>
    <comment authorId="0" ref="AK58">
      <text>
        <t xml:space="preserve">L5 phải nằm trong L4; L6 phải nằm trong L5. Đúng khung = hợp lệ. Ngoài khung = vượt ngày. Chưa có hoặc thiếu = chưa đủ dữ liệu.</t>
      </text>
    </comment>
    <comment authorId="0" ref="AL5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1">
      <text>
        <t xml:space="preserve">Ngày kết thúc lớp cha tự mở rộng nếu có công việc lớp 6 kết thúc muộn hơn khung gốc.</t>
      </text>
    </comment>
    <comment authorId="0" ref="V191">
      <text>
        <t xml:space="preserve">Ngày bắt đầu lớp cha tự mở rộng nếu có công việc lớp 6 bắt đầu sớm hơn khung gốc.</t>
      </text>
    </comment>
    <comment authorId="0" ref="U59">
      <text>
        <t xml:space="preserve">Ngày kết thúc lớp cha tự mở rộng nếu có công việc lớp 6 kết thúc muộn hơn khung gốc.</t>
      </text>
    </comment>
    <comment authorId="0" ref="V59">
      <text>
        <t xml:space="preserve">Ngày bắt đầu lớp cha tự mở rộng nếu có công việc lớp 6 bắt đầu sớm hơn khung gốc.</t>
      </text>
    </comment>
    <comment authorId="0" ref="AG191">
      <text>
        <t xml:space="preserve">Tự động tính từ tiến độ L6. Nếu chưa có L6, trạng thái Hoàn thành tương ứng 100%.</t>
      </text>
    </comment>
    <comment authorId="0" ref="D192">
      <text>
        <t xml:space="preserve">Tự động tính từ tiến độ L6. Nếu chưa có L6, trạng thái Hoàn thành tương ứng 100%.</t>
      </text>
    </comment>
    <comment authorId="0" ref="AG59">
      <text>
        <t xml:space="preserve">Tự động tính từ tiến độ L6. Nếu chưa có L6, trạng thái Hoàn thành tương ứng 100%.</t>
      </text>
    </comment>
    <comment authorId="0" ref="AK191">
      <text>
        <t xml:space="preserve">L5 phải nằm trong L4; L6 phải nằm trong L5. Đúng khung = hợp lệ. Ngoài khung = vượt ngày. Chưa có hoặc thiếu = chưa đủ dữ liệu.</t>
      </text>
    </comment>
    <comment authorId="0" ref="AL19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0">
      <text>
        <t xml:space="preserve">Tự động tính từ tiến độ L6. Nếu chưa có L6, trạng thái Hoàn thành tương ứng 100%.</t>
      </text>
    </comment>
    <comment authorId="0" ref="AK59">
      <text>
        <t xml:space="preserve">L5 phải nằm trong L4; L6 phải nằm trong L5. Đúng khung = hợp lệ. Ngoài khung = vượt ngày. Chưa có hoặc thiếu = chưa đủ dữ liệu.</t>
      </text>
    </comment>
    <comment authorId="0" ref="AL5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2">
      <text>
        <t xml:space="preserve">Ngày kết thúc lớp cha tự mở rộng nếu có công việc lớp 6 kết thúc muộn hơn khung gốc.</t>
      </text>
    </comment>
    <comment authorId="0" ref="V192">
      <text>
        <t xml:space="preserve">Ngày bắt đầu lớp cha tự mở rộng nếu có công việc lớp 6 bắt đầu sớm hơn khung gốc.</t>
      </text>
    </comment>
    <comment authorId="0" ref="U60">
      <text>
        <t xml:space="preserve">Ngày kết thúc lớp cha tự mở rộng nếu có công việc lớp 6 kết thúc muộn hơn khung gốc.</t>
      </text>
    </comment>
    <comment authorId="0" ref="V60">
      <text>
        <t xml:space="preserve">Ngày bắt đầu lớp cha tự mở rộng nếu có công việc lớp 6 bắt đầu sớm hơn khung gốc.</t>
      </text>
    </comment>
    <comment authorId="0" ref="AG192">
      <text>
        <t xml:space="preserve">Tự động tính từ tiến độ L6. Nếu chưa có L6, trạng thái Hoàn thành tương ứng 100%.</t>
      </text>
    </comment>
    <comment authorId="0" ref="D193">
      <text>
        <t xml:space="preserve">Tự động tính từ tiến độ L6. Nếu chưa có L6, trạng thái Hoàn thành tương ứng 100%.</t>
      </text>
    </comment>
    <comment authorId="0" ref="AG60">
      <text>
        <t xml:space="preserve">Tự động tính từ tiến độ L6. Nếu chưa có L6, trạng thái Hoàn thành tương ứng 100%.</t>
      </text>
    </comment>
    <comment authorId="0" ref="AK192">
      <text>
        <t xml:space="preserve">L5 phải nằm trong L4; L6 phải nằm trong L5. Đúng khung = hợp lệ. Ngoài khung = vượt ngày. Chưa có hoặc thiếu = chưa đủ dữ liệu.</t>
      </text>
    </comment>
    <comment authorId="0" ref="AL19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1">
      <text>
        <t xml:space="preserve">Tự động tính từ tiến độ L6. Nếu chưa có L6, trạng thái Hoàn thành tương ứng 100%.</t>
      </text>
    </comment>
    <comment authorId="0" ref="AK60">
      <text>
        <t xml:space="preserve">L5 phải nằm trong L4; L6 phải nằm trong L5. Đúng khung = hợp lệ. Ngoài khung = vượt ngày. Chưa có hoặc thiếu = chưa đủ dữ liệu.</t>
      </text>
    </comment>
    <comment authorId="0" ref="AL6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3">
      <text>
        <t xml:space="preserve">Ngày kết thúc lớp cha tự mở rộng nếu có công việc lớp 6 kết thúc muộn hơn khung gốc.</t>
      </text>
    </comment>
    <comment authorId="0" ref="V193">
      <text>
        <t xml:space="preserve">Ngày bắt đầu lớp cha tự mở rộng nếu có công việc lớp 6 bắt đầu sớm hơn khung gốc.</t>
      </text>
    </comment>
    <comment authorId="0" ref="U61">
      <text>
        <t xml:space="preserve">Ngày kết thúc lớp cha tự mở rộng nếu có công việc lớp 6 kết thúc muộn hơn khung gốc.</t>
      </text>
    </comment>
    <comment authorId="0" ref="V61">
      <text>
        <t xml:space="preserve">Ngày bắt đầu lớp cha tự mở rộng nếu có công việc lớp 6 bắt đầu sớm hơn khung gốc.</t>
      </text>
    </comment>
    <comment authorId="0" ref="AG193">
      <text>
        <t xml:space="preserve">Tự động tính từ tiến độ L6. Nếu chưa có L6, trạng thái Hoàn thành tương ứng 100%.</t>
      </text>
    </comment>
    <comment authorId="0" ref="D194">
      <text>
        <t xml:space="preserve">Tự động tính từ tiến độ L6. Nếu chưa có L6, trạng thái Hoàn thành tương ứng 100%.</t>
      </text>
    </comment>
    <comment authorId="0" ref="AG61">
      <text>
        <t xml:space="preserve">Tự động tính từ tiến độ L6. Nếu chưa có L6, trạng thái Hoàn thành tương ứng 100%.</t>
      </text>
    </comment>
    <comment authorId="0" ref="AK193">
      <text>
        <t xml:space="preserve">L5 phải nằm trong L4; L6 phải nằm trong L5. Đúng khung = hợp lệ. Ngoài khung = vượt ngày. Chưa có hoặc thiếu = chưa đủ dữ liệu.</t>
      </text>
    </comment>
    <comment authorId="0" ref="AL19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2">
      <text>
        <t xml:space="preserve">Tự động tính từ tiến độ L6. Nếu chưa có L6, trạng thái Hoàn thành tương ứng 100%.</t>
      </text>
    </comment>
    <comment authorId="0" ref="AK61">
      <text>
        <t xml:space="preserve">L5 phải nằm trong L4; L6 phải nằm trong L5. Đúng khung = hợp lệ. Ngoài khung = vượt ngày. Chưa có hoặc thiếu = chưa đủ dữ liệu.</t>
      </text>
    </comment>
    <comment authorId="0" ref="AL6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4">
      <text>
        <t xml:space="preserve">Ngày kết thúc lớp cha tự mở rộng nếu có công việc lớp 6 kết thúc muộn hơn khung gốc.</t>
      </text>
    </comment>
    <comment authorId="0" ref="V194">
      <text>
        <t xml:space="preserve">Ngày bắt đầu lớp cha tự mở rộng nếu có công việc lớp 6 bắt đầu sớm hơn khung gốc.</t>
      </text>
    </comment>
    <comment authorId="0" ref="U62">
      <text>
        <t xml:space="preserve">Ngày kết thúc lớp cha tự mở rộng nếu có công việc lớp 6 kết thúc muộn hơn khung gốc.</t>
      </text>
    </comment>
    <comment authorId="0" ref="V62">
      <text>
        <t xml:space="preserve">Ngày bắt đầu lớp cha tự mở rộng nếu có công việc lớp 6 bắt đầu sớm hơn khung gốc.</t>
      </text>
    </comment>
    <comment authorId="0" ref="AG194">
      <text>
        <t xml:space="preserve">Tự động tính từ tiến độ L6. Nếu chưa có L6, trạng thái Hoàn thành tương ứng 100%.</t>
      </text>
    </comment>
    <comment authorId="0" ref="D195">
      <text>
        <t xml:space="preserve">Tự động tính từ tiến độ L6. Nếu chưa có L6, trạng thái Hoàn thành tương ứng 100%.</t>
      </text>
    </comment>
    <comment authorId="0" ref="AG62">
      <text>
        <t xml:space="preserve">Tự động tính từ tiến độ L6. Nếu chưa có L6, trạng thái Hoàn thành tương ứng 100%.</t>
      </text>
    </comment>
    <comment authorId="0" ref="AK194">
      <text>
        <t xml:space="preserve">L5 phải nằm trong L4; L6 phải nằm trong L5. Đúng khung = hợp lệ. Ngoài khung = vượt ngày. Chưa có hoặc thiếu = chưa đủ dữ liệu.</t>
      </text>
    </comment>
    <comment authorId="0" ref="AL19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3">
      <text>
        <t xml:space="preserve">Tự động tính từ tiến độ L6. Nếu chưa có L6, trạng thái Hoàn thành tương ứng 100%.</t>
      </text>
    </comment>
    <comment authorId="0" ref="AK62">
      <text>
        <t xml:space="preserve">L5 phải nằm trong L4; L6 phải nằm trong L5. Đúng khung = hợp lệ. Ngoài khung = vượt ngày. Chưa có hoặc thiếu = chưa đủ dữ liệu.</t>
      </text>
    </comment>
    <comment authorId="0" ref="AL6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5">
      <text>
        <t xml:space="preserve">Ngày kết thúc lớp cha tự mở rộng nếu có công việc lớp 6 kết thúc muộn hơn khung gốc.</t>
      </text>
    </comment>
    <comment authorId="0" ref="V195">
      <text>
        <t xml:space="preserve">Ngày bắt đầu lớp cha tự mở rộng nếu có công việc lớp 6 bắt đầu sớm hơn khung gốc.</t>
      </text>
    </comment>
    <comment authorId="0" ref="U63">
      <text>
        <t xml:space="preserve">Ngày kết thúc lớp cha tự mở rộng nếu có công việc lớp 6 kết thúc muộn hơn khung gốc.</t>
      </text>
    </comment>
    <comment authorId="0" ref="V63">
      <text>
        <t xml:space="preserve">Ngày bắt đầu lớp cha tự mở rộng nếu có công việc lớp 6 bắt đầu sớm hơn khung gốc.</t>
      </text>
    </comment>
    <comment authorId="0" ref="AG195">
      <text>
        <t xml:space="preserve">Tự động tính từ tiến độ L6. Nếu chưa có L6, trạng thái Hoàn thành tương ứng 100%.</t>
      </text>
    </comment>
    <comment authorId="0" ref="D196">
      <text>
        <t xml:space="preserve">Tự động tính từ tiến độ L6. Nếu chưa có L6, trạng thái Hoàn thành tương ứng 100%.</t>
      </text>
    </comment>
    <comment authorId="0" ref="AG63">
      <text>
        <t xml:space="preserve">Tự động tính từ tiến độ L6. Nếu chưa có L6, trạng thái Hoàn thành tương ứng 100%.</t>
      </text>
    </comment>
    <comment authorId="0" ref="AK195">
      <text>
        <t xml:space="preserve">L5 phải nằm trong L4; L6 phải nằm trong L5. Đúng khung = hợp lệ. Ngoài khung = vượt ngày. Chưa có hoặc thiếu = chưa đủ dữ liệu.</t>
      </text>
    </comment>
    <comment authorId="0" ref="AL19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4">
      <text>
        <t xml:space="preserve">Tự động tính từ tiến độ L6. Nếu chưa có L6, trạng thái Hoàn thành tương ứng 100%.</t>
      </text>
    </comment>
    <comment authorId="0" ref="AK63">
      <text>
        <t xml:space="preserve">L5 phải nằm trong L4; L6 phải nằm trong L5. Đúng khung = hợp lệ. Ngoài khung = vượt ngày. Chưa có hoặc thiếu = chưa đủ dữ liệu.</t>
      </text>
    </comment>
    <comment authorId="0" ref="AL6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6">
      <text>
        <t xml:space="preserve">Ngày kết thúc lớp cha tự mở rộng nếu có công việc lớp 6 kết thúc muộn hơn khung gốc.</t>
      </text>
    </comment>
    <comment authorId="0" ref="V196">
      <text>
        <t xml:space="preserve">Ngày bắt đầu lớp cha tự mở rộng nếu có công việc lớp 6 bắt đầu sớm hơn khung gốc.</t>
      </text>
    </comment>
    <comment authorId="0" ref="U64">
      <text>
        <t xml:space="preserve">Ngày kết thúc lớp cha tự mở rộng nếu có công việc lớp 6 kết thúc muộn hơn khung gốc.</t>
      </text>
    </comment>
    <comment authorId="0" ref="V64">
      <text>
        <t xml:space="preserve">Ngày bắt đầu lớp cha tự mở rộng nếu có công việc lớp 6 bắt đầu sớm hơn khung gốc.</t>
      </text>
    </comment>
    <comment authorId="0" ref="AG196">
      <text>
        <t xml:space="preserve">Tự động tính từ tiến độ L6. Nếu chưa có L6, trạng thái Hoàn thành tương ứng 100%.</t>
      </text>
    </comment>
    <comment authorId="0" ref="D197">
      <text>
        <t xml:space="preserve">Tự động tính từ tiến độ L6. Nếu chưa có L6, trạng thái Hoàn thành tương ứng 100%.</t>
      </text>
    </comment>
    <comment authorId="0" ref="AG64">
      <text>
        <t xml:space="preserve">Tự động tính từ tiến độ L6. Nếu chưa có L6, trạng thái Hoàn thành tương ứng 100%.</t>
      </text>
    </comment>
    <comment authorId="0" ref="AK196">
      <text>
        <t xml:space="preserve">L5 phải nằm trong L4; L6 phải nằm trong L5. Đúng khung = hợp lệ. Ngoài khung = vượt ngày. Chưa có hoặc thiếu = chưa đủ dữ liệu.</t>
      </text>
    </comment>
    <comment authorId="0" ref="AL19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5">
      <text>
        <t xml:space="preserve">Tự động tính từ tiến độ L6. Nếu chưa có L6, trạng thái Hoàn thành tương ứng 100%.</t>
      </text>
    </comment>
    <comment authorId="0" ref="AK64">
      <text>
        <t xml:space="preserve">L5 phải nằm trong L4; L6 phải nằm trong L5. Đúng khung = hợp lệ. Ngoài khung = vượt ngày. Chưa có hoặc thiếu = chưa đủ dữ liệu.</t>
      </text>
    </comment>
    <comment authorId="0" ref="AL6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7">
      <text>
        <t xml:space="preserve">Ngày kết thúc lớp cha tự mở rộng nếu có công việc lớp 6 kết thúc muộn hơn khung gốc.</t>
      </text>
    </comment>
    <comment authorId="0" ref="V197">
      <text>
        <t xml:space="preserve">Ngày bắt đầu lớp cha tự mở rộng nếu có công việc lớp 6 bắt đầu sớm hơn khung gốc.</t>
      </text>
    </comment>
    <comment authorId="0" ref="U65">
      <text>
        <t xml:space="preserve">Ngày kết thúc lớp cha tự mở rộng nếu có công việc lớp 6 kết thúc muộn hơn khung gốc.</t>
      </text>
    </comment>
    <comment authorId="0" ref="V65">
      <text>
        <t xml:space="preserve">Ngày bắt đầu lớp cha tự mở rộng nếu có công việc lớp 6 bắt đầu sớm hơn khung gốc.</t>
      </text>
    </comment>
    <comment authorId="0" ref="AG197">
      <text>
        <t xml:space="preserve">Tự động tính từ tiến độ L6. Nếu chưa có L6, trạng thái Hoàn thành tương ứng 100%.</t>
      </text>
    </comment>
    <comment authorId="0" ref="D198">
      <text>
        <t xml:space="preserve">Tự động tính từ tiến độ L6. Nếu chưa có L6, trạng thái Hoàn thành tương ứng 100%.</t>
      </text>
    </comment>
    <comment authorId="0" ref="AG65">
      <text>
        <t xml:space="preserve">Tự động tính từ tiến độ L6. Nếu chưa có L6, trạng thái Hoàn thành tương ứng 100%.</t>
      </text>
    </comment>
    <comment authorId="0" ref="AK197">
      <text>
        <t xml:space="preserve">L5 phải nằm trong L4; L6 phải nằm trong L5. Đúng khung = hợp lệ. Ngoài khung = vượt ngày. Chưa có hoặc thiếu = chưa đủ dữ liệu.</t>
      </text>
    </comment>
    <comment authorId="0" ref="AL19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6">
      <text>
        <t xml:space="preserve">Tự động tính từ tiến độ L6. Nếu chưa có L6, trạng thái Hoàn thành tương ứng 100%.</t>
      </text>
    </comment>
    <comment authorId="0" ref="AK65">
      <text>
        <t xml:space="preserve">L5 phải nằm trong L4; L6 phải nằm trong L5. Đúng khung = hợp lệ. Ngoài khung = vượt ngày. Chưa có hoặc thiếu = chưa đủ dữ liệu.</t>
      </text>
    </comment>
    <comment authorId="0" ref="AL6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8">
      <text>
        <t xml:space="preserve">Ngày kết thúc lớp cha tự mở rộng nếu có công việc lớp 6 kết thúc muộn hơn khung gốc.</t>
      </text>
    </comment>
    <comment authorId="0" ref="V198">
      <text>
        <t xml:space="preserve">Ngày bắt đầu lớp cha tự mở rộng nếu có công việc lớp 6 bắt đầu sớm hơn khung gốc.</t>
      </text>
    </comment>
    <comment authorId="0" ref="U66">
      <text>
        <t xml:space="preserve">Ngày kết thúc lớp cha tự mở rộng nếu có công việc lớp 6 kết thúc muộn hơn khung gốc.</t>
      </text>
    </comment>
    <comment authorId="0" ref="V66">
      <text>
        <t xml:space="preserve">Ngày bắt đầu lớp cha tự mở rộng nếu có công việc lớp 6 bắt đầu sớm hơn khung gốc.</t>
      </text>
    </comment>
    <comment authorId="0" ref="AG198">
      <text>
        <t xml:space="preserve">Tự động tính từ tiến độ L6. Nếu chưa có L6, trạng thái Hoàn thành tương ứng 100%.</t>
      </text>
    </comment>
    <comment authorId="0" ref="D199">
      <text>
        <t xml:space="preserve">Tự động tính từ tiến độ L6. Nếu chưa có L6, trạng thái Hoàn thành tương ứng 100%.</t>
      </text>
    </comment>
    <comment authorId="0" ref="AG66">
      <text>
        <t xml:space="preserve">Tự động tính từ tiến độ L6. Nếu chưa có L6, trạng thái Hoàn thành tương ứng 100%.</t>
      </text>
    </comment>
    <comment authorId="0" ref="AK198">
      <text>
        <t xml:space="preserve">L5 phải nằm trong L4; L6 phải nằm trong L5. Đúng khung = hợp lệ. Ngoài khung = vượt ngày. Chưa có hoặc thiếu = chưa đủ dữ liệu.</t>
      </text>
    </comment>
    <comment authorId="0" ref="AL19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7">
      <text>
        <t xml:space="preserve">Tự động tính từ tiến độ L6. Nếu chưa có L6, trạng thái Hoàn thành tương ứng 100%.</t>
      </text>
    </comment>
    <comment authorId="0" ref="AK66">
      <text>
        <t xml:space="preserve">L5 phải nằm trong L4; L6 phải nằm trong L5. Đúng khung = hợp lệ. Ngoài khung = vượt ngày. Chưa có hoặc thiếu = chưa đủ dữ liệu.</t>
      </text>
    </comment>
    <comment authorId="0" ref="AL6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199">
      <text>
        <t xml:space="preserve">Ngày kết thúc lớp cha tự mở rộng nếu có công việc lớp 6 kết thúc muộn hơn khung gốc.</t>
      </text>
    </comment>
    <comment authorId="0" ref="V199">
      <text>
        <t xml:space="preserve">Ngày bắt đầu lớp cha tự mở rộng nếu có công việc lớp 6 bắt đầu sớm hơn khung gốc.</t>
      </text>
    </comment>
    <comment authorId="0" ref="U67">
      <text>
        <t xml:space="preserve">Ngày kết thúc lớp cha tự mở rộng nếu có công việc lớp 6 kết thúc muộn hơn khung gốc.</t>
      </text>
    </comment>
    <comment authorId="0" ref="V67">
      <text>
        <t xml:space="preserve">Ngày bắt đầu lớp cha tự mở rộng nếu có công việc lớp 6 bắt đầu sớm hơn khung gốc.</t>
      </text>
    </comment>
    <comment authorId="0" ref="AG199">
      <text>
        <t xml:space="preserve">Tự động tính từ tiến độ L6. Nếu chưa có L6, trạng thái Hoàn thành tương ứng 100%.</t>
      </text>
    </comment>
    <comment authorId="0" ref="D200">
      <text>
        <t xml:space="preserve">Tự động tính từ tiến độ L6. Nếu chưa có L6, trạng thái Hoàn thành tương ứng 100%.</t>
      </text>
    </comment>
    <comment authorId="0" ref="AG67">
      <text>
        <t xml:space="preserve">Tự động tính từ tiến độ L6. Nếu chưa có L6, trạng thái Hoàn thành tương ứng 100%.</t>
      </text>
    </comment>
    <comment authorId="0" ref="AK199">
      <text>
        <t xml:space="preserve">L5 phải nằm trong L4; L6 phải nằm trong L5. Đúng khung = hợp lệ. Ngoài khung = vượt ngày. Chưa có hoặc thiếu = chưa đủ dữ liệu.</t>
      </text>
    </comment>
    <comment authorId="0" ref="AL19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8">
      <text>
        <t xml:space="preserve">Tự động tính từ tiến độ L6. Nếu chưa có L6, trạng thái Hoàn thành tương ứng 100%.</t>
      </text>
    </comment>
    <comment authorId="0" ref="AK67">
      <text>
        <t xml:space="preserve">L5 phải nằm trong L4; L6 phải nằm trong L5. Đúng khung = hợp lệ. Ngoài khung = vượt ngày. Chưa có hoặc thiếu = chưa đủ dữ liệu.</t>
      </text>
    </comment>
    <comment authorId="0" ref="AL6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0">
      <text>
        <t xml:space="preserve">Ngày kết thúc lớp cha tự mở rộng nếu có công việc lớp 6 kết thúc muộn hơn khung gốc.</t>
      </text>
    </comment>
    <comment authorId="0" ref="V200">
      <text>
        <t xml:space="preserve">Ngày bắt đầu lớp cha tự mở rộng nếu có công việc lớp 6 bắt đầu sớm hơn khung gốc.</t>
      </text>
    </comment>
    <comment authorId="0" ref="U68">
      <text>
        <t xml:space="preserve">Ngày kết thúc lớp cha tự mở rộng nếu có công việc lớp 6 kết thúc muộn hơn khung gốc.</t>
      </text>
    </comment>
    <comment authorId="0" ref="V68">
      <text>
        <t xml:space="preserve">Ngày bắt đầu lớp cha tự mở rộng nếu có công việc lớp 6 bắt đầu sớm hơn khung gốc.</t>
      </text>
    </comment>
    <comment authorId="0" ref="AG200">
      <text>
        <t xml:space="preserve">Tự động tính từ tiến độ L6. Nếu chưa có L6, trạng thái Hoàn thành tương ứng 100%.</t>
      </text>
    </comment>
    <comment authorId="0" ref="D201">
      <text>
        <t xml:space="preserve">Tự động tính từ tiến độ L6. Nếu chưa có L6, trạng thái Hoàn thành tương ứng 100%.</t>
      </text>
    </comment>
    <comment authorId="0" ref="AG68">
      <text>
        <t xml:space="preserve">Tự động tính từ tiến độ L6. Nếu chưa có L6, trạng thái Hoàn thành tương ứng 100%.</t>
      </text>
    </comment>
    <comment authorId="0" ref="AK200">
      <text>
        <t xml:space="preserve">L5 phải nằm trong L4; L6 phải nằm trong L5. Đúng khung = hợp lệ. Ngoài khung = vượt ngày. Chưa có hoặc thiếu = chưa đủ dữ liệu.</t>
      </text>
    </comment>
    <comment authorId="0" ref="AL20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69">
      <text>
        <t xml:space="preserve">Tự động tính từ tiến độ L6. Nếu chưa có L6, trạng thái Hoàn thành tương ứng 100%.</t>
      </text>
    </comment>
    <comment authorId="0" ref="AK68">
      <text>
        <t xml:space="preserve">L5 phải nằm trong L4; L6 phải nằm trong L5. Đúng khung = hợp lệ. Ngoài khung = vượt ngày. Chưa có hoặc thiếu = chưa đủ dữ liệu.</t>
      </text>
    </comment>
    <comment authorId="0" ref="AL6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1">
      <text>
        <t xml:space="preserve">Ngày kết thúc lớp cha tự mở rộng nếu có công việc lớp 6 kết thúc muộn hơn khung gốc.</t>
      </text>
    </comment>
    <comment authorId="0" ref="V201">
      <text>
        <t xml:space="preserve">Ngày bắt đầu lớp cha tự mở rộng nếu có công việc lớp 6 bắt đầu sớm hơn khung gốc.</t>
      </text>
    </comment>
    <comment authorId="0" ref="U69">
      <text>
        <t xml:space="preserve">Ngày kết thúc lớp cha tự mở rộng nếu có công việc lớp 6 kết thúc muộn hơn khung gốc.</t>
      </text>
    </comment>
    <comment authorId="0" ref="V69">
      <text>
        <t xml:space="preserve">Ngày bắt đầu lớp cha tự mở rộng nếu có công việc lớp 6 bắt đầu sớm hơn khung gốc.</t>
      </text>
    </comment>
    <comment authorId="0" ref="AG201">
      <text>
        <t xml:space="preserve">Tự động tính từ tiến độ L6. Nếu chưa có L6, trạng thái Hoàn thành tương ứng 100%.</t>
      </text>
    </comment>
    <comment authorId="0" ref="D202">
      <text>
        <t xml:space="preserve">Tự động tính từ tiến độ L6. Nếu chưa có L6, trạng thái Hoàn thành tương ứng 100%.</t>
      </text>
    </comment>
    <comment authorId="0" ref="AG69">
      <text>
        <t xml:space="preserve">Tự động tính từ tiến độ L6. Nếu chưa có L6, trạng thái Hoàn thành tương ứng 100%.</t>
      </text>
    </comment>
    <comment authorId="0" ref="AK201">
      <text>
        <t xml:space="preserve">L5 phải nằm trong L4; L6 phải nằm trong L5. Đúng khung = hợp lệ. Ngoài khung = vượt ngày. Chưa có hoặc thiếu = chưa đủ dữ liệu.</t>
      </text>
    </comment>
    <comment authorId="0" ref="AL20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0">
      <text>
        <t xml:space="preserve">Tự động tính từ tiến độ L6. Nếu chưa có L6, trạng thái Hoàn thành tương ứng 100%.</t>
      </text>
    </comment>
    <comment authorId="0" ref="AK69">
      <text>
        <t xml:space="preserve">L5 phải nằm trong L4; L6 phải nằm trong L5. Đúng khung = hợp lệ. Ngoài khung = vượt ngày. Chưa có hoặc thiếu = chưa đủ dữ liệu.</t>
      </text>
    </comment>
    <comment authorId="0" ref="AL6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2">
      <text>
        <t xml:space="preserve">Ngày kết thúc lớp cha tự mở rộng nếu có công việc lớp 6 kết thúc muộn hơn khung gốc.</t>
      </text>
    </comment>
    <comment authorId="0" ref="V202">
      <text>
        <t xml:space="preserve">Ngày bắt đầu lớp cha tự mở rộng nếu có công việc lớp 6 bắt đầu sớm hơn khung gốc.</t>
      </text>
    </comment>
    <comment authorId="0" ref="U70">
      <text>
        <t xml:space="preserve">Ngày kết thúc lớp cha tự mở rộng nếu có công việc lớp 6 kết thúc muộn hơn khung gốc.</t>
      </text>
    </comment>
    <comment authorId="0" ref="V70">
      <text>
        <t xml:space="preserve">Ngày bắt đầu lớp cha tự mở rộng nếu có công việc lớp 6 bắt đầu sớm hơn khung gốc.</t>
      </text>
    </comment>
    <comment authorId="0" ref="AG202">
      <text>
        <t xml:space="preserve">Tự động tính từ tiến độ L6. Nếu chưa có L6, trạng thái Hoàn thành tương ứng 100%.</t>
      </text>
    </comment>
    <comment authorId="0" ref="D203">
      <text>
        <t xml:space="preserve">Tự động tính từ tiến độ L6. Nếu chưa có L6, trạng thái Hoàn thành tương ứng 100%.</t>
      </text>
    </comment>
    <comment authorId="0" ref="AG70">
      <text>
        <t xml:space="preserve">Tự động tính từ tiến độ L6. Nếu chưa có L6, trạng thái Hoàn thành tương ứng 100%.</t>
      </text>
    </comment>
    <comment authorId="0" ref="AK202">
      <text>
        <t xml:space="preserve">L5 phải nằm trong L4; L6 phải nằm trong L5. Đúng khung = hợp lệ. Ngoài khung = vượt ngày. Chưa có hoặc thiếu = chưa đủ dữ liệu.</t>
      </text>
    </comment>
    <comment authorId="0" ref="AL20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1">
      <text>
        <t xml:space="preserve">Tự động tính từ tiến độ L6. Nếu chưa có L6, trạng thái Hoàn thành tương ứng 100%.</t>
      </text>
    </comment>
    <comment authorId="0" ref="AK70">
      <text>
        <t xml:space="preserve">L5 phải nằm trong L4; L6 phải nằm trong L5. Đúng khung = hợp lệ. Ngoài khung = vượt ngày. Chưa có hoặc thiếu = chưa đủ dữ liệu.</t>
      </text>
    </comment>
    <comment authorId="0" ref="AL7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3">
      <text>
        <t xml:space="preserve">Ngày kết thúc lớp cha tự mở rộng nếu có công việc lớp 6 kết thúc muộn hơn khung gốc.</t>
      </text>
    </comment>
    <comment authorId="0" ref="V203">
      <text>
        <t xml:space="preserve">Ngày bắt đầu lớp cha tự mở rộng nếu có công việc lớp 6 bắt đầu sớm hơn khung gốc.</t>
      </text>
    </comment>
    <comment authorId="0" ref="U71">
      <text>
        <t xml:space="preserve">Ngày kết thúc lớp cha tự mở rộng nếu có công việc lớp 6 kết thúc muộn hơn khung gốc.</t>
      </text>
    </comment>
    <comment authorId="0" ref="V71">
      <text>
        <t xml:space="preserve">Ngày bắt đầu lớp cha tự mở rộng nếu có công việc lớp 6 bắt đầu sớm hơn khung gốc.</t>
      </text>
    </comment>
    <comment authorId="0" ref="AG203">
      <text>
        <t xml:space="preserve">Tự động tính từ tiến độ L6. Nếu chưa có L6, trạng thái Hoàn thành tương ứng 100%.</t>
      </text>
    </comment>
    <comment authorId="0" ref="D204">
      <text>
        <t xml:space="preserve">Tự động tính từ tiến độ L6. Nếu chưa có L6, trạng thái Hoàn thành tương ứng 100%.</t>
      </text>
    </comment>
    <comment authorId="0" ref="AG71">
      <text>
        <t xml:space="preserve">Tự động tính từ tiến độ L6. Nếu chưa có L6, trạng thái Hoàn thành tương ứng 100%.</t>
      </text>
    </comment>
    <comment authorId="0" ref="AK203">
      <text>
        <t xml:space="preserve">L5 phải nằm trong L4; L6 phải nằm trong L5. Đúng khung = hợp lệ. Ngoài khung = vượt ngày. Chưa có hoặc thiếu = chưa đủ dữ liệu.</t>
      </text>
    </comment>
    <comment authorId="0" ref="AL20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2">
      <text>
        <t xml:space="preserve">Tự động tính từ tiến độ L6. Nếu chưa có L6, trạng thái Hoàn thành tương ứng 100%.</t>
      </text>
    </comment>
    <comment authorId="0" ref="AK71">
      <text>
        <t xml:space="preserve">L5 phải nằm trong L4; L6 phải nằm trong L5. Đúng khung = hợp lệ. Ngoài khung = vượt ngày. Chưa có hoặc thiếu = chưa đủ dữ liệu.</t>
      </text>
    </comment>
    <comment authorId="0" ref="AL7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4">
      <text>
        <t xml:space="preserve">Ngày kết thúc lớp cha tự mở rộng nếu có công việc lớp 6 kết thúc muộn hơn khung gốc.</t>
      </text>
    </comment>
    <comment authorId="0" ref="V204">
      <text>
        <t xml:space="preserve">Ngày bắt đầu lớp cha tự mở rộng nếu có công việc lớp 6 bắt đầu sớm hơn khung gốc.</t>
      </text>
    </comment>
    <comment authorId="0" ref="U72">
      <text>
        <t xml:space="preserve">Ngày kết thúc lớp cha tự mở rộng nếu có công việc lớp 6 kết thúc muộn hơn khung gốc.</t>
      </text>
    </comment>
    <comment authorId="0" ref="V72">
      <text>
        <t xml:space="preserve">Ngày bắt đầu lớp cha tự mở rộng nếu có công việc lớp 6 bắt đầu sớm hơn khung gốc.</t>
      </text>
    </comment>
    <comment authorId="0" ref="AG204">
      <text>
        <t xml:space="preserve">Tự động tính từ tiến độ L6. Nếu chưa có L6, trạng thái Hoàn thành tương ứng 100%.</t>
      </text>
    </comment>
    <comment authorId="0" ref="D205">
      <text>
        <t xml:space="preserve">Tự động tính từ tiến độ L6. Nếu chưa có L6, trạng thái Hoàn thành tương ứng 100%.</t>
      </text>
    </comment>
    <comment authorId="0" ref="AG72">
      <text>
        <t xml:space="preserve">Tự động tính từ tiến độ L6. Nếu chưa có L6, trạng thái Hoàn thành tương ứng 100%.</t>
      </text>
    </comment>
    <comment authorId="0" ref="AK204">
      <text>
        <t xml:space="preserve">L5 phải nằm trong L4; L6 phải nằm trong L5. Đúng khung = hợp lệ. Ngoài khung = vượt ngày. Chưa có hoặc thiếu = chưa đủ dữ liệu.</t>
      </text>
    </comment>
    <comment authorId="0" ref="AL20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3">
      <text>
        <t xml:space="preserve">Tự động tính từ tiến độ L6. Nếu chưa có L6, trạng thái Hoàn thành tương ứng 100%.</t>
      </text>
    </comment>
    <comment authorId="0" ref="AK72">
      <text>
        <t xml:space="preserve">L5 phải nằm trong L4; L6 phải nằm trong L5. Đúng khung = hợp lệ. Ngoài khung = vượt ngày. Chưa có hoặc thiếu = chưa đủ dữ liệu.</t>
      </text>
    </comment>
    <comment authorId="0" ref="AL7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5">
      <text>
        <t xml:space="preserve">Ngày kết thúc lớp cha tự mở rộng nếu có công việc lớp 6 kết thúc muộn hơn khung gốc.</t>
      </text>
    </comment>
    <comment authorId="0" ref="V205">
      <text>
        <t xml:space="preserve">Ngày bắt đầu lớp cha tự mở rộng nếu có công việc lớp 6 bắt đầu sớm hơn khung gốc.</t>
      </text>
    </comment>
    <comment authorId="0" ref="U73">
      <text>
        <t xml:space="preserve">Ngày kết thúc lớp cha tự mở rộng nếu có công việc lớp 6 kết thúc muộn hơn khung gốc.</t>
      </text>
    </comment>
    <comment authorId="0" ref="V73">
      <text>
        <t xml:space="preserve">Ngày bắt đầu lớp cha tự mở rộng nếu có công việc lớp 6 bắt đầu sớm hơn khung gốc.</t>
      </text>
    </comment>
    <comment authorId="0" ref="AG205">
      <text>
        <t xml:space="preserve">Tự động tính từ tiến độ L6. Nếu chưa có L6, trạng thái Hoàn thành tương ứng 100%.</t>
      </text>
    </comment>
    <comment authorId="0" ref="D206">
      <text>
        <t xml:space="preserve">Tự động tính từ tiến độ L6. Nếu chưa có L6, trạng thái Hoàn thành tương ứng 100%.</t>
      </text>
    </comment>
    <comment authorId="0" ref="AG73">
      <text>
        <t xml:space="preserve">Tự động tính từ tiến độ L6. Nếu chưa có L6, trạng thái Hoàn thành tương ứng 100%.</t>
      </text>
    </comment>
    <comment authorId="0" ref="AK205">
      <text>
        <t xml:space="preserve">L5 phải nằm trong L4; L6 phải nằm trong L5. Đúng khung = hợp lệ. Ngoài khung = vượt ngày. Chưa có hoặc thiếu = chưa đủ dữ liệu.</t>
      </text>
    </comment>
    <comment authorId="0" ref="AL20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4">
      <text>
        <t xml:space="preserve">Tự động tính từ tiến độ L6. Nếu chưa có L6, trạng thái Hoàn thành tương ứng 100%.</t>
      </text>
    </comment>
    <comment authorId="0" ref="AK73">
      <text>
        <t xml:space="preserve">L5 phải nằm trong L4; L6 phải nằm trong L5. Đúng khung = hợp lệ. Ngoài khung = vượt ngày. Chưa có hoặc thiếu = chưa đủ dữ liệu.</t>
      </text>
    </comment>
    <comment authorId="0" ref="AL7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6">
      <text>
        <t xml:space="preserve">Ngày kết thúc lớp cha tự mở rộng nếu có công việc lớp 6 kết thúc muộn hơn khung gốc.</t>
      </text>
    </comment>
    <comment authorId="0" ref="V206">
      <text>
        <t xml:space="preserve">Ngày bắt đầu lớp cha tự mở rộng nếu có công việc lớp 6 bắt đầu sớm hơn khung gốc.</t>
      </text>
    </comment>
    <comment authorId="0" ref="U74">
      <text>
        <t xml:space="preserve">Ngày kết thúc lớp cha tự mở rộng nếu có công việc lớp 6 kết thúc muộn hơn khung gốc.</t>
      </text>
    </comment>
    <comment authorId="0" ref="V74">
      <text>
        <t xml:space="preserve">Ngày bắt đầu lớp cha tự mở rộng nếu có công việc lớp 6 bắt đầu sớm hơn khung gốc.</t>
      </text>
    </comment>
    <comment authorId="0" ref="AG206">
      <text>
        <t xml:space="preserve">Tự động tính từ tiến độ L6. Nếu chưa có L6, trạng thái Hoàn thành tương ứng 100%.</t>
      </text>
    </comment>
    <comment authorId="0" ref="D207">
      <text>
        <t xml:space="preserve">Tự động tính từ tiến độ L6. Nếu chưa có L6, trạng thái Hoàn thành tương ứng 100%.</t>
      </text>
    </comment>
    <comment authorId="0" ref="AG74">
      <text>
        <t xml:space="preserve">Tự động tính từ tiến độ L6. Nếu chưa có L6, trạng thái Hoàn thành tương ứng 100%.</t>
      </text>
    </comment>
    <comment authorId="0" ref="AK206">
      <text>
        <t xml:space="preserve">L5 phải nằm trong L4; L6 phải nằm trong L5. Đúng khung = hợp lệ. Ngoài khung = vượt ngày. Chưa có hoặc thiếu = chưa đủ dữ liệu.</t>
      </text>
    </comment>
    <comment authorId="0" ref="AL20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5">
      <text>
        <t xml:space="preserve">Tự động tính từ tiến độ L6. Nếu chưa có L6, trạng thái Hoàn thành tương ứng 100%.</t>
      </text>
    </comment>
    <comment authorId="0" ref="AK74">
      <text>
        <t xml:space="preserve">L5 phải nằm trong L4; L6 phải nằm trong L5. Đúng khung = hợp lệ. Ngoài khung = vượt ngày. Chưa có hoặc thiếu = chưa đủ dữ liệu.</t>
      </text>
    </comment>
    <comment authorId="0" ref="AL7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7">
      <text>
        <t xml:space="preserve">Ngày kết thúc lớp cha tự mở rộng nếu có công việc lớp 6 kết thúc muộn hơn khung gốc.</t>
      </text>
    </comment>
    <comment authorId="0" ref="V207">
      <text>
        <t xml:space="preserve">Ngày bắt đầu lớp cha tự mở rộng nếu có công việc lớp 6 bắt đầu sớm hơn khung gốc.</t>
      </text>
    </comment>
    <comment authorId="0" ref="U75">
      <text>
        <t xml:space="preserve">Ngày kết thúc lớp cha tự mở rộng nếu có công việc lớp 6 kết thúc muộn hơn khung gốc.</t>
      </text>
    </comment>
    <comment authorId="0" ref="V75">
      <text>
        <t xml:space="preserve">Ngày bắt đầu lớp cha tự mở rộng nếu có công việc lớp 6 bắt đầu sớm hơn khung gốc.</t>
      </text>
    </comment>
    <comment authorId="0" ref="AG207">
      <text>
        <t xml:space="preserve">Tự động tính từ tiến độ L6. Nếu chưa có L6, trạng thái Hoàn thành tương ứng 100%.</t>
      </text>
    </comment>
    <comment authorId="0" ref="D208">
      <text>
        <t xml:space="preserve">Tự động tính từ tiến độ L6. Nếu chưa có L6, trạng thái Hoàn thành tương ứng 100%.</t>
      </text>
    </comment>
    <comment authorId="0" ref="AG75">
      <text>
        <t xml:space="preserve">Tự động tính từ tiến độ L6. Nếu chưa có L6, trạng thái Hoàn thành tương ứng 100%.</t>
      </text>
    </comment>
    <comment authorId="0" ref="AK207">
      <text>
        <t xml:space="preserve">L5 phải nằm trong L4; L6 phải nằm trong L5. Đúng khung = hợp lệ. Ngoài khung = vượt ngày. Chưa có hoặc thiếu = chưa đủ dữ liệu.</t>
      </text>
    </comment>
    <comment authorId="0" ref="AL20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6">
      <text>
        <t xml:space="preserve">Tự động tính từ tiến độ L6. Nếu chưa có L6, trạng thái Hoàn thành tương ứng 100%.</t>
      </text>
    </comment>
    <comment authorId="0" ref="AK75">
      <text>
        <t xml:space="preserve">L5 phải nằm trong L4; L6 phải nằm trong L5. Đúng khung = hợp lệ. Ngoài khung = vượt ngày. Chưa có hoặc thiếu = chưa đủ dữ liệu.</t>
      </text>
    </comment>
    <comment authorId="0" ref="AL7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8">
      <text>
        <t xml:space="preserve">Ngày kết thúc lớp cha tự mở rộng nếu có công việc lớp 6 kết thúc muộn hơn khung gốc.</t>
      </text>
    </comment>
    <comment authorId="0" ref="V208">
      <text>
        <t xml:space="preserve">Ngày bắt đầu lớp cha tự mở rộng nếu có công việc lớp 6 bắt đầu sớm hơn khung gốc.</t>
      </text>
    </comment>
    <comment authorId="0" ref="U76">
      <text>
        <t xml:space="preserve">Ngày kết thúc lớp cha tự mở rộng nếu có công việc lớp 6 kết thúc muộn hơn khung gốc.</t>
      </text>
    </comment>
    <comment authorId="0" ref="V76">
      <text>
        <t xml:space="preserve">Ngày bắt đầu lớp cha tự mở rộng nếu có công việc lớp 6 bắt đầu sớm hơn khung gốc.</t>
      </text>
    </comment>
    <comment authorId="0" ref="AG208">
      <text>
        <t xml:space="preserve">Tự động tính từ tiến độ L6. Nếu chưa có L6, trạng thái Hoàn thành tương ứng 100%.</t>
      </text>
    </comment>
    <comment authorId="0" ref="D209">
      <text>
        <t xml:space="preserve">Tự động tính từ tiến độ L6. Nếu chưa có L6, trạng thái Hoàn thành tương ứng 100%.</t>
      </text>
    </comment>
    <comment authorId="0" ref="AG76">
      <text>
        <t xml:space="preserve">Tự động tính từ tiến độ L6. Nếu chưa có L6, trạng thái Hoàn thành tương ứng 100%.</t>
      </text>
    </comment>
    <comment authorId="0" ref="AK208">
      <text>
        <t xml:space="preserve">L5 phải nằm trong L4; L6 phải nằm trong L5. Đúng khung = hợp lệ. Ngoài khung = vượt ngày. Chưa có hoặc thiếu = chưa đủ dữ liệu.</t>
      </text>
    </comment>
    <comment authorId="0" ref="AL20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7">
      <text>
        <t xml:space="preserve">Tự động tính từ tiến độ L6. Nếu chưa có L6, trạng thái Hoàn thành tương ứng 100%.</t>
      </text>
    </comment>
    <comment authorId="0" ref="AK76">
      <text>
        <t xml:space="preserve">L5 phải nằm trong L4; L6 phải nằm trong L5. Đúng khung = hợp lệ. Ngoài khung = vượt ngày. Chưa có hoặc thiếu = chưa đủ dữ liệu.</t>
      </text>
    </comment>
    <comment authorId="0" ref="AL7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9">
      <text>
        <t xml:space="preserve">Ngày kết thúc lớp cha tự mở rộng nếu có công việc lớp 6 kết thúc muộn hơn khung gốc.</t>
      </text>
    </comment>
    <comment authorId="0" ref="V209">
      <text>
        <t xml:space="preserve">Ngày bắt đầu lớp cha tự mở rộng nếu có công việc lớp 6 bắt đầu sớm hơn khung gốc.</t>
      </text>
    </comment>
    <comment authorId="0" ref="U77">
      <text>
        <t xml:space="preserve">Ngày kết thúc lớp cha tự mở rộng nếu có công việc lớp 6 kết thúc muộn hơn khung gốc.</t>
      </text>
    </comment>
    <comment authorId="0" ref="V77">
      <text>
        <t xml:space="preserve">Ngày bắt đầu lớp cha tự mở rộng nếu có công việc lớp 6 bắt đầu sớm hơn khung gốc.</t>
      </text>
    </comment>
    <comment authorId="0" ref="AG209">
      <text>
        <t xml:space="preserve">Tự động tính từ tiến độ L6. Nếu chưa có L6, trạng thái Hoàn thành tương ứng 100%.</t>
      </text>
    </comment>
    <comment authorId="0" ref="D210">
      <text>
        <t xml:space="preserve">Tự động tính từ tiến độ L6. Nếu chưa có L6, trạng thái Hoàn thành tương ứng 100%.</t>
      </text>
    </comment>
    <comment authorId="0" ref="AG77">
      <text>
        <t xml:space="preserve">Tự động tính từ tiến độ L6. Nếu chưa có L6, trạng thái Hoàn thành tương ứng 100%.</t>
      </text>
    </comment>
    <comment authorId="0" ref="AK209">
      <text>
        <t xml:space="preserve">L5 phải nằm trong L4; L6 phải nằm trong L5. Đúng khung = hợp lệ. Ngoài khung = vượt ngày. Chưa có hoặc thiếu = chưa đủ dữ liệu.</t>
      </text>
    </comment>
    <comment authorId="0" ref="AL20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8">
      <text>
        <t xml:space="preserve">Tự động tính từ tiến độ L6. Nếu chưa có L6, trạng thái Hoàn thành tương ứng 100%.</t>
      </text>
    </comment>
    <comment authorId="0" ref="AK77">
      <text>
        <t xml:space="preserve">L5 phải nằm trong L4; L6 phải nằm trong L5. Đúng khung = hợp lệ. Ngoài khung = vượt ngày. Chưa có hoặc thiếu = chưa đủ dữ liệu.</t>
      </text>
    </comment>
    <comment authorId="0" ref="AL7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0">
      <text>
        <t xml:space="preserve">Ngày kết thúc lớp cha tự mở rộng nếu có công việc lớp 6 kết thúc muộn hơn khung gốc.</t>
      </text>
    </comment>
    <comment authorId="0" ref="V210">
      <text>
        <t xml:space="preserve">Ngày bắt đầu lớp cha tự mở rộng nếu có công việc lớp 6 bắt đầu sớm hơn khung gốc.</t>
      </text>
    </comment>
    <comment authorId="0" ref="U78">
      <text>
        <t xml:space="preserve">Ngày kết thúc lớp cha tự mở rộng nếu có công việc lớp 6 kết thúc muộn hơn khung gốc.</t>
      </text>
    </comment>
    <comment authorId="0" ref="V78">
      <text>
        <t xml:space="preserve">Ngày bắt đầu lớp cha tự mở rộng nếu có công việc lớp 6 bắt đầu sớm hơn khung gốc.</t>
      </text>
    </comment>
    <comment authorId="0" ref="AG210">
      <text>
        <t xml:space="preserve">Tự động tính từ tiến độ L6. Nếu chưa có L6, trạng thái Hoàn thành tương ứng 100%.</t>
      </text>
    </comment>
    <comment authorId="0" ref="D211">
      <text>
        <t xml:space="preserve">Tự động tính từ tiến độ L6. Nếu chưa có L6, trạng thái Hoàn thành tương ứng 100%.</t>
      </text>
    </comment>
    <comment authorId="0" ref="AG78">
      <text>
        <t xml:space="preserve">Tự động tính từ tiến độ L6. Nếu chưa có L6, trạng thái Hoàn thành tương ứng 100%.</t>
      </text>
    </comment>
    <comment authorId="0" ref="AK210">
      <text>
        <t xml:space="preserve">L5 phải nằm trong L4; L6 phải nằm trong L5. Đúng khung = hợp lệ. Ngoài khung = vượt ngày. Chưa có hoặc thiếu = chưa đủ dữ liệu.</t>
      </text>
    </comment>
    <comment authorId="0" ref="AL21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79">
      <text>
        <t xml:space="preserve">Tự động tính từ tiến độ L6. Nếu chưa có L6, trạng thái Hoàn thành tương ứng 100%.</t>
      </text>
    </comment>
    <comment authorId="0" ref="AK78">
      <text>
        <t xml:space="preserve">L5 phải nằm trong L4; L6 phải nằm trong L5. Đúng khung = hợp lệ. Ngoài khung = vượt ngày. Chưa có hoặc thiếu = chưa đủ dữ liệu.</t>
      </text>
    </comment>
    <comment authorId="0" ref="AL7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1">
      <text>
        <t xml:space="preserve">Ngày kết thúc lớp cha tự mở rộng nếu có công việc lớp 6 kết thúc muộn hơn khung gốc.</t>
      </text>
    </comment>
    <comment authorId="0" ref="V211">
      <text>
        <t xml:space="preserve">Ngày bắt đầu lớp cha tự mở rộng nếu có công việc lớp 6 bắt đầu sớm hơn khung gốc.</t>
      </text>
    </comment>
    <comment authorId="0" ref="U79">
      <text>
        <t xml:space="preserve">Ngày kết thúc lớp cha tự mở rộng nếu có công việc lớp 6 kết thúc muộn hơn khung gốc.</t>
      </text>
    </comment>
    <comment authorId="0" ref="V79">
      <text>
        <t xml:space="preserve">Ngày bắt đầu lớp cha tự mở rộng nếu có công việc lớp 6 bắt đầu sớm hơn khung gốc.</t>
      </text>
    </comment>
    <comment authorId="0" ref="AG211">
      <text>
        <t xml:space="preserve">Tự động tính từ tiến độ L6. Nếu chưa có L6, trạng thái Hoàn thành tương ứng 100%.</t>
      </text>
    </comment>
    <comment authorId="0" ref="D212">
      <text>
        <t xml:space="preserve">Tự động tính từ tiến độ L6. Nếu chưa có L6, trạng thái Hoàn thành tương ứng 100%.</t>
      </text>
    </comment>
    <comment authorId="0" ref="AG79">
      <text>
        <t xml:space="preserve">Tự động tính từ tiến độ L6. Nếu chưa có L6, trạng thái Hoàn thành tương ứng 100%.</t>
      </text>
    </comment>
    <comment authorId="0" ref="AK211">
      <text>
        <t xml:space="preserve">L5 phải nằm trong L4; L6 phải nằm trong L5. Đúng khung = hợp lệ. Ngoài khung = vượt ngày. Chưa có hoặc thiếu = chưa đủ dữ liệu.</t>
      </text>
    </comment>
    <comment authorId="0" ref="AL21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0">
      <text>
        <t xml:space="preserve">Tự động tính từ tiến độ L6. Nếu chưa có L6, trạng thái Hoàn thành tương ứng 100%.</t>
      </text>
    </comment>
    <comment authorId="0" ref="AK79">
      <text>
        <t xml:space="preserve">L5 phải nằm trong L4; L6 phải nằm trong L5. Đúng khung = hợp lệ. Ngoài khung = vượt ngày. Chưa có hoặc thiếu = chưa đủ dữ liệu.</t>
      </text>
    </comment>
    <comment authorId="0" ref="AL7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2">
      <text>
        <t xml:space="preserve">Ngày kết thúc lớp cha tự mở rộng nếu có công việc lớp 6 kết thúc muộn hơn khung gốc.</t>
      </text>
    </comment>
    <comment authorId="0" ref="V212">
      <text>
        <t xml:space="preserve">Ngày bắt đầu lớp cha tự mở rộng nếu có công việc lớp 6 bắt đầu sớm hơn khung gốc.</t>
      </text>
    </comment>
    <comment authorId="0" ref="U80">
      <text>
        <t xml:space="preserve">Ngày kết thúc lớp cha tự mở rộng nếu có công việc lớp 6 kết thúc muộn hơn khung gốc.</t>
      </text>
    </comment>
    <comment authorId="0" ref="V80">
      <text>
        <t xml:space="preserve">Ngày bắt đầu lớp cha tự mở rộng nếu có công việc lớp 6 bắt đầu sớm hơn khung gốc.</t>
      </text>
    </comment>
    <comment authorId="0" ref="AG212">
      <text>
        <t xml:space="preserve">Tự động tính từ tiến độ L6. Nếu chưa có L6, trạng thái Hoàn thành tương ứng 100%.</t>
      </text>
    </comment>
    <comment authorId="0" ref="D213">
      <text>
        <t xml:space="preserve">Tự động tính từ tiến độ L6. Nếu chưa có L6, trạng thái Hoàn thành tương ứng 100%.</t>
      </text>
    </comment>
    <comment authorId="0" ref="AG80">
      <text>
        <t xml:space="preserve">Tự động tính từ tiến độ L6. Nếu chưa có L6, trạng thái Hoàn thành tương ứng 100%.</t>
      </text>
    </comment>
    <comment authorId="0" ref="AK212">
      <text>
        <t xml:space="preserve">L5 phải nằm trong L4; L6 phải nằm trong L5. Đúng khung = hợp lệ. Ngoài khung = vượt ngày. Chưa có hoặc thiếu = chưa đủ dữ liệu.</t>
      </text>
    </comment>
    <comment authorId="0" ref="AL21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1">
      <text>
        <t xml:space="preserve">Tự động tính từ tiến độ L6. Nếu chưa có L6, trạng thái Hoàn thành tương ứng 100%.</t>
      </text>
    </comment>
    <comment authorId="0" ref="AK80">
      <text>
        <t xml:space="preserve">L5 phải nằm trong L4; L6 phải nằm trong L5. Đúng khung = hợp lệ. Ngoài khung = vượt ngày. Chưa có hoặc thiếu = chưa đủ dữ liệu.</t>
      </text>
    </comment>
    <comment authorId="0" ref="AL8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3">
      <text>
        <t xml:space="preserve">Ngày kết thúc lớp cha tự mở rộng nếu có công việc lớp 6 kết thúc muộn hơn khung gốc.</t>
      </text>
    </comment>
    <comment authorId="0" ref="V213">
      <text>
        <t xml:space="preserve">Ngày bắt đầu lớp cha tự mở rộng nếu có công việc lớp 6 bắt đầu sớm hơn khung gốc.</t>
      </text>
    </comment>
    <comment authorId="0" ref="U81">
      <text>
        <t xml:space="preserve">Ngày kết thúc lớp cha tự mở rộng nếu có công việc lớp 6 kết thúc muộn hơn khung gốc.</t>
      </text>
    </comment>
    <comment authorId="0" ref="V81">
      <text>
        <t xml:space="preserve">Ngày bắt đầu lớp cha tự mở rộng nếu có công việc lớp 6 bắt đầu sớm hơn khung gốc.</t>
      </text>
    </comment>
    <comment authorId="0" ref="AG213">
      <text>
        <t xml:space="preserve">Tự động tính từ tiến độ L6. Nếu chưa có L6, trạng thái Hoàn thành tương ứng 100%.</t>
      </text>
    </comment>
    <comment authorId="0" ref="D214">
      <text>
        <t xml:space="preserve">Tự động tính từ tiến độ L6. Nếu chưa có L6, trạng thái Hoàn thành tương ứng 100%.</t>
      </text>
    </comment>
    <comment authorId="0" ref="AG81">
      <text>
        <t xml:space="preserve">Tự động tính từ tiến độ L6. Nếu chưa có L6, trạng thái Hoàn thành tương ứng 100%.</t>
      </text>
    </comment>
    <comment authorId="0" ref="AK213">
      <text>
        <t xml:space="preserve">L5 phải nằm trong L4; L6 phải nằm trong L5. Đúng khung = hợp lệ. Ngoài khung = vượt ngày. Chưa có hoặc thiếu = chưa đủ dữ liệu.</t>
      </text>
    </comment>
    <comment authorId="0" ref="AL21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2">
      <text>
        <t xml:space="preserve">Tự động tính từ tiến độ L6. Nếu chưa có L6, trạng thái Hoàn thành tương ứng 100%.</t>
      </text>
    </comment>
    <comment authorId="0" ref="AK81">
      <text>
        <t xml:space="preserve">L5 phải nằm trong L4; L6 phải nằm trong L5. Đúng khung = hợp lệ. Ngoài khung = vượt ngày. Chưa có hoặc thiếu = chưa đủ dữ liệu.</t>
      </text>
    </comment>
    <comment authorId="0" ref="AL8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4">
      <text>
        <t xml:space="preserve">Ngày kết thúc lớp cha tự mở rộng nếu có công việc lớp 6 kết thúc muộn hơn khung gốc.</t>
      </text>
    </comment>
    <comment authorId="0" ref="V214">
      <text>
        <t xml:space="preserve">Ngày bắt đầu lớp cha tự mở rộng nếu có công việc lớp 6 bắt đầu sớm hơn khung gốc.</t>
      </text>
    </comment>
    <comment authorId="0" ref="U82">
      <text>
        <t xml:space="preserve">Ngày kết thúc lớp cha tự mở rộng nếu có công việc lớp 6 kết thúc muộn hơn khung gốc.</t>
      </text>
    </comment>
    <comment authorId="0" ref="V82">
      <text>
        <t xml:space="preserve">Ngày bắt đầu lớp cha tự mở rộng nếu có công việc lớp 6 bắt đầu sớm hơn khung gốc.</t>
      </text>
    </comment>
    <comment authorId="0" ref="AG214">
      <text>
        <t xml:space="preserve">Tự động tính từ tiến độ L6. Nếu chưa có L6, trạng thái Hoàn thành tương ứng 100%.</t>
      </text>
    </comment>
    <comment authorId="0" ref="D215">
      <text>
        <t xml:space="preserve">Tự động tính từ tiến độ L6. Nếu chưa có L6, trạng thái Hoàn thành tương ứng 100%.</t>
      </text>
    </comment>
    <comment authorId="0" ref="AG82">
      <text>
        <t xml:space="preserve">Tự động tính từ tiến độ L6. Nếu chưa có L6, trạng thái Hoàn thành tương ứng 100%.</t>
      </text>
    </comment>
    <comment authorId="0" ref="AK214">
      <text>
        <t xml:space="preserve">L5 phải nằm trong L4; L6 phải nằm trong L5. Đúng khung = hợp lệ. Ngoài khung = vượt ngày. Chưa có hoặc thiếu = chưa đủ dữ liệu.</t>
      </text>
    </comment>
    <comment authorId="0" ref="AL2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3">
      <text>
        <t xml:space="preserve">Tự động tính từ tiến độ L6. Nếu chưa có L6, trạng thái Hoàn thành tương ứng 100%.</t>
      </text>
    </comment>
    <comment authorId="0" ref="AK82">
      <text>
        <t xml:space="preserve">L5 phải nằm trong L4; L6 phải nằm trong L5. Đúng khung = hợp lệ. Ngoài khung = vượt ngày. Chưa có hoặc thiếu = chưa đủ dữ liệu.</t>
      </text>
    </comment>
    <comment authorId="0" ref="AL8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5">
      <text>
        <t xml:space="preserve">Ngày kết thúc lớp cha tự mở rộng nếu có công việc lớp 6 kết thúc muộn hơn khung gốc.</t>
      </text>
    </comment>
    <comment authorId="0" ref="V215">
      <text>
        <t xml:space="preserve">Ngày bắt đầu lớp cha tự mở rộng nếu có công việc lớp 6 bắt đầu sớm hơn khung gốc.</t>
      </text>
    </comment>
    <comment authorId="0" ref="U83">
      <text>
        <t xml:space="preserve">Ngày kết thúc lớp cha tự mở rộng nếu có công việc lớp 6 kết thúc muộn hơn khung gốc.</t>
      </text>
    </comment>
    <comment authorId="0" ref="V83">
      <text>
        <t xml:space="preserve">Ngày bắt đầu lớp cha tự mở rộng nếu có công việc lớp 6 bắt đầu sớm hơn khung gốc.</t>
      </text>
    </comment>
    <comment authorId="0" ref="AG215">
      <text>
        <t xml:space="preserve">Tự động tính từ tiến độ L6. Nếu chưa có L6, trạng thái Hoàn thành tương ứng 100%.</t>
      </text>
    </comment>
    <comment authorId="0" ref="D216">
      <text>
        <t xml:space="preserve">Tự động tính từ tiến độ L6. Nếu chưa có L6, trạng thái Hoàn thành tương ứng 100%.</t>
      </text>
    </comment>
    <comment authorId="0" ref="AG83">
      <text>
        <t xml:space="preserve">Tự động tính từ tiến độ L6. Nếu chưa có L6, trạng thái Hoàn thành tương ứng 100%.</t>
      </text>
    </comment>
    <comment authorId="0" ref="AK215">
      <text>
        <t xml:space="preserve">L5 phải nằm trong L4; L6 phải nằm trong L5. Đúng khung = hợp lệ. Ngoài khung = vượt ngày. Chưa có hoặc thiếu = chưa đủ dữ liệu.</t>
      </text>
    </comment>
    <comment authorId="0" ref="AL2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4">
      <text>
        <t xml:space="preserve">Tự động tính từ tiến độ L6. Nếu chưa có L6, trạng thái Hoàn thành tương ứng 100%.</t>
      </text>
    </comment>
    <comment authorId="0" ref="AK83">
      <text>
        <t xml:space="preserve">L5 phải nằm trong L4; L6 phải nằm trong L5. Đúng khung = hợp lệ. Ngoài khung = vượt ngày. Chưa có hoặc thiếu = chưa đủ dữ liệu.</t>
      </text>
    </comment>
    <comment authorId="0" ref="AL8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6">
      <text>
        <t xml:space="preserve">Ngày kết thúc lớp cha tự mở rộng nếu có công việc lớp 6 kết thúc muộn hơn khung gốc.</t>
      </text>
    </comment>
    <comment authorId="0" ref="V216">
      <text>
        <t xml:space="preserve">Ngày bắt đầu lớp cha tự mở rộng nếu có công việc lớp 6 bắt đầu sớm hơn khung gốc.</t>
      </text>
    </comment>
    <comment authorId="0" ref="U84">
      <text>
        <t xml:space="preserve">Ngày kết thúc lớp cha tự mở rộng nếu có công việc lớp 6 kết thúc muộn hơn khung gốc.</t>
      </text>
    </comment>
    <comment authorId="0" ref="V84">
      <text>
        <t xml:space="preserve">Ngày bắt đầu lớp cha tự mở rộng nếu có công việc lớp 6 bắt đầu sớm hơn khung gốc.</t>
      </text>
    </comment>
    <comment authorId="0" ref="AG216">
      <text>
        <t xml:space="preserve">Tự động tính từ tiến độ L6. Nếu chưa có L6, trạng thái Hoàn thành tương ứng 100%.</t>
      </text>
    </comment>
    <comment authorId="0" ref="D217">
      <text>
        <t xml:space="preserve">Tự động tính từ tiến độ L6. Nếu chưa có L6, trạng thái Hoàn thành tương ứng 100%.</t>
      </text>
    </comment>
    <comment authorId="0" ref="AG84">
      <text>
        <t xml:space="preserve">Tự động tính từ tiến độ L6. Nếu chưa có L6, trạng thái Hoàn thành tương ứng 100%.</t>
      </text>
    </comment>
    <comment authorId="0" ref="AK216">
      <text>
        <t xml:space="preserve">L5 phải nằm trong L4; L6 phải nằm trong L5. Đúng khung = hợp lệ. Ngoài khung = vượt ngày. Chưa có hoặc thiếu = chưa đủ dữ liệu.</t>
      </text>
    </comment>
    <comment authorId="0" ref="AL2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5">
      <text>
        <t xml:space="preserve">Tự động tính từ tiến độ L6. Nếu chưa có L6, trạng thái Hoàn thành tương ứng 100%.</t>
      </text>
    </comment>
    <comment authorId="0" ref="AK84">
      <text>
        <t xml:space="preserve">L5 phải nằm trong L4; L6 phải nằm trong L5. Đúng khung = hợp lệ. Ngoài khung = vượt ngày. Chưa có hoặc thiếu = chưa đủ dữ liệu.</t>
      </text>
    </comment>
    <comment authorId="0" ref="AL8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7">
      <text>
        <t xml:space="preserve">Ngày kết thúc lớp cha tự mở rộng nếu có công việc lớp 6 kết thúc muộn hơn khung gốc.</t>
      </text>
    </comment>
    <comment authorId="0" ref="V217">
      <text>
        <t xml:space="preserve">Ngày bắt đầu lớp cha tự mở rộng nếu có công việc lớp 6 bắt đầu sớm hơn khung gốc.</t>
      </text>
    </comment>
    <comment authorId="0" ref="U85">
      <text>
        <t xml:space="preserve">Ngày kết thúc lớp cha tự mở rộng nếu có công việc lớp 6 kết thúc muộn hơn khung gốc.</t>
      </text>
    </comment>
    <comment authorId="0" ref="V85">
      <text>
        <t xml:space="preserve">Ngày bắt đầu lớp cha tự mở rộng nếu có công việc lớp 6 bắt đầu sớm hơn khung gốc.</t>
      </text>
    </comment>
    <comment authorId="0" ref="AG217">
      <text>
        <t xml:space="preserve">Tự động tính từ tiến độ L6. Nếu chưa có L6, trạng thái Hoàn thành tương ứng 100%.</t>
      </text>
    </comment>
    <comment authorId="0" ref="D218">
      <text>
        <t xml:space="preserve">Tự động tính từ tiến độ L6. Nếu chưa có L6, trạng thái Hoàn thành tương ứng 100%.</t>
      </text>
    </comment>
    <comment authorId="0" ref="AG85">
      <text>
        <t xml:space="preserve">Tự động tính từ tiến độ L6. Nếu chưa có L6, trạng thái Hoàn thành tương ứng 100%.</t>
      </text>
    </comment>
    <comment authorId="0" ref="AK217">
      <text>
        <t xml:space="preserve">L5 phải nằm trong L4; L6 phải nằm trong L5. Đúng khung = hợp lệ. Ngoài khung = vượt ngày. Chưa có hoặc thiếu = chưa đủ dữ liệu.</t>
      </text>
    </comment>
    <comment authorId="0" ref="AL2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6">
      <text>
        <t xml:space="preserve">Tự động tính từ tiến độ L6. Nếu chưa có L6, trạng thái Hoàn thành tương ứng 100%.</t>
      </text>
    </comment>
    <comment authorId="0" ref="AK85">
      <text>
        <t xml:space="preserve">L5 phải nằm trong L4; L6 phải nằm trong L5. Đúng khung = hợp lệ. Ngoài khung = vượt ngày. Chưa có hoặc thiếu = chưa đủ dữ liệu.</t>
      </text>
    </comment>
    <comment authorId="0" ref="AL8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8">
      <text>
        <t xml:space="preserve">Ngày kết thúc lớp cha tự mở rộng nếu có công việc lớp 6 kết thúc muộn hơn khung gốc.</t>
      </text>
    </comment>
    <comment authorId="0" ref="V218">
      <text>
        <t xml:space="preserve">Ngày bắt đầu lớp cha tự mở rộng nếu có công việc lớp 6 bắt đầu sớm hơn khung gốc.</t>
      </text>
    </comment>
    <comment authorId="0" ref="U86">
      <text>
        <t xml:space="preserve">Ngày kết thúc lớp cha tự mở rộng nếu có công việc lớp 6 kết thúc muộn hơn khung gốc.</t>
      </text>
    </comment>
    <comment authorId="0" ref="V86">
      <text>
        <t xml:space="preserve">Ngày bắt đầu lớp cha tự mở rộng nếu có công việc lớp 6 bắt đầu sớm hơn khung gốc.</t>
      </text>
    </comment>
    <comment authorId="0" ref="AG218">
      <text>
        <t xml:space="preserve">Tự động tính từ tiến độ L6. Nếu chưa có L6, trạng thái Hoàn thành tương ứng 100%.</t>
      </text>
    </comment>
    <comment authorId="0" ref="D219">
      <text>
        <t xml:space="preserve">Tự động tính từ tiến độ L6. Nếu chưa có L6, trạng thái Hoàn thành tương ứng 100%.</t>
      </text>
    </comment>
    <comment authorId="0" ref="AG86">
      <text>
        <t xml:space="preserve">Tự động tính từ tiến độ L6. Nếu chưa có L6, trạng thái Hoàn thành tương ứng 100%.</t>
      </text>
    </comment>
    <comment authorId="0" ref="AK218">
      <text>
        <t xml:space="preserve">L5 phải nằm trong L4; L6 phải nằm trong L5. Đúng khung = hợp lệ. Ngoài khung = vượt ngày. Chưa có hoặc thiếu = chưa đủ dữ liệu.</t>
      </text>
    </comment>
    <comment authorId="0" ref="AL2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7">
      <text>
        <t xml:space="preserve">Tự động tính từ tiến độ L6. Nếu chưa có L6, trạng thái Hoàn thành tương ứng 100%.</t>
      </text>
    </comment>
    <comment authorId="0" ref="AK86">
      <text>
        <t xml:space="preserve">L5 phải nằm trong L4; L6 phải nằm trong L5. Đúng khung = hợp lệ. Ngoài khung = vượt ngày. Chưa có hoặc thiếu = chưa đủ dữ liệu.</t>
      </text>
    </comment>
    <comment authorId="0" ref="AL8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9">
      <text>
        <t xml:space="preserve">Ngày kết thúc lớp cha tự mở rộng nếu có công việc lớp 6 kết thúc muộn hơn khung gốc.</t>
      </text>
    </comment>
    <comment authorId="0" ref="V219">
      <text>
        <t xml:space="preserve">Ngày bắt đầu lớp cha tự mở rộng nếu có công việc lớp 6 bắt đầu sớm hơn khung gốc.</t>
      </text>
    </comment>
    <comment authorId="0" ref="U87">
      <text>
        <t xml:space="preserve">Ngày kết thúc lớp cha tự mở rộng nếu có công việc lớp 6 kết thúc muộn hơn khung gốc.</t>
      </text>
    </comment>
    <comment authorId="0" ref="V87">
      <text>
        <t xml:space="preserve">Ngày bắt đầu lớp cha tự mở rộng nếu có công việc lớp 6 bắt đầu sớm hơn khung gốc.</t>
      </text>
    </comment>
    <comment authorId="0" ref="AG219">
      <text>
        <t xml:space="preserve">Tự động tính từ tiến độ L6. Nếu chưa có L6, trạng thái Hoàn thành tương ứng 100%.</t>
      </text>
    </comment>
    <comment authorId="0" ref="D220">
      <text>
        <t xml:space="preserve">Tự động tính từ tiến độ L6. Nếu chưa có L6, trạng thái Hoàn thành tương ứng 100%.</t>
      </text>
    </comment>
    <comment authorId="0" ref="AG87">
      <text>
        <t xml:space="preserve">Tự động tính từ tiến độ L6. Nếu chưa có L6, trạng thái Hoàn thành tương ứng 100%.</t>
      </text>
    </comment>
    <comment authorId="0" ref="AK219">
      <text>
        <t xml:space="preserve">L5 phải nằm trong L4; L6 phải nằm trong L5. Đúng khung = hợp lệ. Ngoài khung = vượt ngày. Chưa có hoặc thiếu = chưa đủ dữ liệu.</t>
      </text>
    </comment>
    <comment authorId="0" ref="AL2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8">
      <text>
        <t xml:space="preserve">Tự động tính từ tiến độ L6. Nếu chưa có L6, trạng thái Hoàn thành tương ứng 100%.</t>
      </text>
    </comment>
    <comment authorId="0" ref="AK87">
      <text>
        <t xml:space="preserve">L5 phải nằm trong L4; L6 phải nằm trong L5. Đúng khung = hợp lệ. Ngoài khung = vượt ngày. Chưa có hoặc thiếu = chưa đủ dữ liệu.</t>
      </text>
    </comment>
    <comment authorId="0" ref="AL8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0">
      <text>
        <t xml:space="preserve">Ngày kết thúc lớp cha tự mở rộng nếu có công việc lớp 6 kết thúc muộn hơn khung gốc.</t>
      </text>
    </comment>
    <comment authorId="0" ref="V220">
      <text>
        <t xml:space="preserve">Ngày bắt đầu lớp cha tự mở rộng nếu có công việc lớp 6 bắt đầu sớm hơn khung gốc.</t>
      </text>
    </comment>
    <comment authorId="0" ref="U88">
      <text>
        <t xml:space="preserve">Ngày kết thúc lớp cha tự mở rộng nếu có công việc lớp 6 kết thúc muộn hơn khung gốc.</t>
      </text>
    </comment>
    <comment authorId="0" ref="V88">
      <text>
        <t xml:space="preserve">Ngày bắt đầu lớp cha tự mở rộng nếu có công việc lớp 6 bắt đầu sớm hơn khung gốc.</t>
      </text>
    </comment>
    <comment authorId="0" ref="AG220">
      <text>
        <t xml:space="preserve">Tự động tính từ tiến độ L6. Nếu chưa có L6, trạng thái Hoàn thành tương ứng 100%.</t>
      </text>
    </comment>
    <comment authorId="0" ref="D221">
      <text>
        <t xml:space="preserve">Tự động tính từ tiến độ L6. Nếu chưa có L6, trạng thái Hoàn thành tương ứng 100%.</t>
      </text>
    </comment>
    <comment authorId="0" ref="AG88">
      <text>
        <t xml:space="preserve">Tự động tính từ tiến độ L6. Nếu chưa có L6, trạng thái Hoàn thành tương ứng 100%.</t>
      </text>
    </comment>
    <comment authorId="0" ref="AK220">
      <text>
        <t xml:space="preserve">L5 phải nằm trong L4; L6 phải nằm trong L5. Đúng khung = hợp lệ. Ngoài khung = vượt ngày. Chưa có hoặc thiếu = chưa đủ dữ liệu.</t>
      </text>
    </comment>
    <comment authorId="0" ref="AL2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89">
      <text>
        <t xml:space="preserve">Tự động tính từ tiến độ L6. Nếu chưa có L6, trạng thái Hoàn thành tương ứng 100%.</t>
      </text>
    </comment>
    <comment authorId="0" ref="AK88">
      <text>
        <t xml:space="preserve">L5 phải nằm trong L4; L6 phải nằm trong L5. Đúng khung = hợp lệ. Ngoài khung = vượt ngày. Chưa có hoặc thiếu = chưa đủ dữ liệu.</t>
      </text>
    </comment>
    <comment authorId="0" ref="AL8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1">
      <text>
        <t xml:space="preserve">Ngày kết thúc lớp cha tự mở rộng nếu có công việc lớp 6 kết thúc muộn hơn khung gốc.</t>
      </text>
    </comment>
    <comment authorId="0" ref="V221">
      <text>
        <t xml:space="preserve">Ngày bắt đầu lớp cha tự mở rộng nếu có công việc lớp 6 bắt đầu sớm hơn khung gốc.</t>
      </text>
    </comment>
    <comment authorId="0" ref="U89">
      <text>
        <t xml:space="preserve">Ngày kết thúc lớp cha tự mở rộng nếu có công việc lớp 6 kết thúc muộn hơn khung gốc.</t>
      </text>
    </comment>
    <comment authorId="0" ref="V89">
      <text>
        <t xml:space="preserve">Ngày bắt đầu lớp cha tự mở rộng nếu có công việc lớp 6 bắt đầu sớm hơn khung gốc.</t>
      </text>
    </comment>
    <comment authorId="0" ref="AG221">
      <text>
        <t xml:space="preserve">Tự động tính từ tiến độ L6. Nếu chưa có L6, trạng thái Hoàn thành tương ứng 100%.</t>
      </text>
    </comment>
    <comment authorId="0" ref="D222">
      <text>
        <t xml:space="preserve">Tự động tính từ tiến độ L6. Nếu chưa có L6, trạng thái Hoàn thành tương ứng 100%.</t>
      </text>
    </comment>
    <comment authorId="0" ref="AG89">
      <text>
        <t xml:space="preserve">Tự động tính từ tiến độ L6. Nếu chưa có L6, trạng thái Hoàn thành tương ứng 100%.</t>
      </text>
    </comment>
    <comment authorId="0" ref="AK221">
      <text>
        <t xml:space="preserve">L5 phải nằm trong L4; L6 phải nằm trong L5. Đúng khung = hợp lệ. Ngoài khung = vượt ngày. Chưa có hoặc thiếu = chưa đủ dữ liệu.</t>
      </text>
    </comment>
    <comment authorId="0" ref="AL2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0">
      <text>
        <t xml:space="preserve">Tự động tính từ tiến độ L6. Nếu chưa có L6, trạng thái Hoàn thành tương ứng 100%.</t>
      </text>
    </comment>
    <comment authorId="0" ref="AK89">
      <text>
        <t xml:space="preserve">L5 phải nằm trong L4; L6 phải nằm trong L5. Đúng khung = hợp lệ. Ngoài khung = vượt ngày. Chưa có hoặc thiếu = chưa đủ dữ liệu.</t>
      </text>
    </comment>
    <comment authorId="0" ref="AL8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2">
      <text>
        <t xml:space="preserve">Ngày kết thúc lớp cha tự mở rộng nếu có công việc lớp 6 kết thúc muộn hơn khung gốc.</t>
      </text>
    </comment>
    <comment authorId="0" ref="V222">
      <text>
        <t xml:space="preserve">Ngày bắt đầu lớp cha tự mở rộng nếu có công việc lớp 6 bắt đầu sớm hơn khung gốc.</t>
      </text>
    </comment>
    <comment authorId="0" ref="U90">
      <text>
        <t xml:space="preserve">Ngày kết thúc lớp cha tự mở rộng nếu có công việc lớp 6 kết thúc muộn hơn khung gốc.</t>
      </text>
    </comment>
    <comment authorId="0" ref="V90">
      <text>
        <t xml:space="preserve">Ngày bắt đầu lớp cha tự mở rộng nếu có công việc lớp 6 bắt đầu sớm hơn khung gốc.</t>
      </text>
    </comment>
    <comment authorId="0" ref="AG222">
      <text>
        <t xml:space="preserve">Tự động tính từ tiến độ L6. Nếu chưa có L6, trạng thái Hoàn thành tương ứng 100%.</t>
      </text>
    </comment>
    <comment authorId="0" ref="D223">
      <text>
        <t xml:space="preserve">Tự động tính từ tiến độ L6. Nếu chưa có L6, trạng thái Hoàn thành tương ứng 100%.</t>
      </text>
    </comment>
    <comment authorId="0" ref="AG90">
      <text>
        <t xml:space="preserve">Tự động tính từ tiến độ L6. Nếu chưa có L6, trạng thái Hoàn thành tương ứng 100%.</t>
      </text>
    </comment>
    <comment authorId="0" ref="AK222">
      <text>
        <t xml:space="preserve">L5 phải nằm trong L4; L6 phải nằm trong L5. Đúng khung = hợp lệ. Ngoài khung = vượt ngày. Chưa có hoặc thiếu = chưa đủ dữ liệu.</t>
      </text>
    </comment>
    <comment authorId="0" ref="AL2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1">
      <text>
        <t xml:space="preserve">Tự động tính từ tiến độ L6. Nếu chưa có L6, trạng thái Hoàn thành tương ứng 100%.</t>
      </text>
    </comment>
    <comment authorId="0" ref="AK90">
      <text>
        <t xml:space="preserve">L5 phải nằm trong L4; L6 phải nằm trong L5. Đúng khung = hợp lệ. Ngoài khung = vượt ngày. Chưa có hoặc thiếu = chưa đủ dữ liệu.</t>
      </text>
    </comment>
    <comment authorId="0" ref="AL9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3">
      <text>
        <t xml:space="preserve">Ngày kết thúc lớp cha tự mở rộng nếu có công việc lớp 6 kết thúc muộn hơn khung gốc.</t>
      </text>
    </comment>
    <comment authorId="0" ref="V223">
      <text>
        <t xml:space="preserve">Ngày bắt đầu lớp cha tự mở rộng nếu có công việc lớp 6 bắt đầu sớm hơn khung gốc.</t>
      </text>
    </comment>
    <comment authorId="0" ref="U91">
      <text>
        <t xml:space="preserve">Ngày kết thúc lớp cha tự mở rộng nếu có công việc lớp 6 kết thúc muộn hơn khung gốc.</t>
      </text>
    </comment>
    <comment authorId="0" ref="V91">
      <text>
        <t xml:space="preserve">Ngày bắt đầu lớp cha tự mở rộng nếu có công việc lớp 6 bắt đầu sớm hơn khung gốc.</t>
      </text>
    </comment>
    <comment authorId="0" ref="AG223">
      <text>
        <t xml:space="preserve">Tự động tính từ tiến độ L6. Nếu chưa có L6, trạng thái Hoàn thành tương ứng 100%.</t>
      </text>
    </comment>
    <comment authorId="0" ref="D224">
      <text>
        <t xml:space="preserve">Tự động tính từ tiến độ L6. Nếu chưa có L6, trạng thái Hoàn thành tương ứng 100%.</t>
      </text>
    </comment>
    <comment authorId="0" ref="AG91">
      <text>
        <t xml:space="preserve">Tự động tính từ tiến độ L6. Nếu chưa có L6, trạng thái Hoàn thành tương ứng 100%.</t>
      </text>
    </comment>
    <comment authorId="0" ref="AK223">
      <text>
        <t xml:space="preserve">L5 phải nằm trong L4; L6 phải nằm trong L5. Đúng khung = hợp lệ. Ngoài khung = vượt ngày. Chưa có hoặc thiếu = chưa đủ dữ liệu.</t>
      </text>
    </comment>
    <comment authorId="0" ref="AL2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2">
      <text>
        <t xml:space="preserve">Tự động tính từ tiến độ L6. Nếu chưa có L6, trạng thái Hoàn thành tương ứng 100%.</t>
      </text>
    </comment>
    <comment authorId="0" ref="AK91">
      <text>
        <t xml:space="preserve">L5 phải nằm trong L4; L6 phải nằm trong L5. Đúng khung = hợp lệ. Ngoài khung = vượt ngày. Chưa có hoặc thiếu = chưa đủ dữ liệu.</t>
      </text>
    </comment>
    <comment authorId="0" ref="AL9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4">
      <text>
        <t xml:space="preserve">Ngày kết thúc lớp cha tự mở rộng nếu có công việc lớp 6 kết thúc muộn hơn khung gốc.</t>
      </text>
    </comment>
    <comment authorId="0" ref="V224">
      <text>
        <t xml:space="preserve">Ngày bắt đầu lớp cha tự mở rộng nếu có công việc lớp 6 bắt đầu sớm hơn khung gốc.</t>
      </text>
    </comment>
    <comment authorId="0" ref="U92">
      <text>
        <t xml:space="preserve">Ngày kết thúc lớp cha tự mở rộng nếu có công việc lớp 6 kết thúc muộn hơn khung gốc.</t>
      </text>
    </comment>
    <comment authorId="0" ref="V92">
      <text>
        <t xml:space="preserve">Ngày bắt đầu lớp cha tự mở rộng nếu có công việc lớp 6 bắt đầu sớm hơn khung gốc.</t>
      </text>
    </comment>
    <comment authorId="0" ref="AG224">
      <text>
        <t xml:space="preserve">Tự động tính từ tiến độ L6. Nếu chưa có L6, trạng thái Hoàn thành tương ứng 100%.</t>
      </text>
    </comment>
    <comment authorId="0" ref="D225">
      <text>
        <t xml:space="preserve">Tự động tính từ tiến độ L6. Nếu chưa có L6, trạng thái Hoàn thành tương ứng 100%.</t>
      </text>
    </comment>
    <comment authorId="0" ref="AG92">
      <text>
        <t xml:space="preserve">Tự động tính từ tiến độ L6. Nếu chưa có L6, trạng thái Hoàn thành tương ứng 100%.</t>
      </text>
    </comment>
    <comment authorId="0" ref="AK224">
      <text>
        <t xml:space="preserve">L5 phải nằm trong L4; L6 phải nằm trong L5. Đúng khung = hợp lệ. Ngoài khung = vượt ngày. Chưa có hoặc thiếu = chưa đủ dữ liệu.</t>
      </text>
    </comment>
    <comment authorId="0" ref="AL2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3">
      <text>
        <t xml:space="preserve">Tự động tính từ tiến độ L6. Nếu chưa có L6, trạng thái Hoàn thành tương ứng 100%.</t>
      </text>
    </comment>
    <comment authorId="0" ref="AK92">
      <text>
        <t xml:space="preserve">L5 phải nằm trong L4; L6 phải nằm trong L5. Đúng khung = hợp lệ. Ngoài khung = vượt ngày. Chưa có hoặc thiếu = chưa đủ dữ liệu.</t>
      </text>
    </comment>
    <comment authorId="0" ref="AL9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5">
      <text>
        <t xml:space="preserve">Ngày kết thúc lớp cha tự mở rộng nếu có công việc lớp 6 kết thúc muộn hơn khung gốc.</t>
      </text>
    </comment>
    <comment authorId="0" ref="V225">
      <text>
        <t xml:space="preserve">Ngày bắt đầu lớp cha tự mở rộng nếu có công việc lớp 6 bắt đầu sớm hơn khung gốc.</t>
      </text>
    </comment>
    <comment authorId="0" ref="U93">
      <text>
        <t xml:space="preserve">Ngày kết thúc lớp cha tự mở rộng nếu có công việc lớp 6 kết thúc muộn hơn khung gốc.</t>
      </text>
    </comment>
    <comment authorId="0" ref="V93">
      <text>
        <t xml:space="preserve">Ngày bắt đầu lớp cha tự mở rộng nếu có công việc lớp 6 bắt đầu sớm hơn khung gốc.</t>
      </text>
    </comment>
    <comment authorId="0" ref="AG225">
      <text>
        <t xml:space="preserve">Tự động tính từ tiến độ L6. Nếu chưa có L6, trạng thái Hoàn thành tương ứng 100%.</t>
      </text>
    </comment>
    <comment authorId="0" ref="D226">
      <text>
        <t xml:space="preserve">Tự động tính từ tiến độ L6. Nếu chưa có L6, trạng thái Hoàn thành tương ứng 100%.</t>
      </text>
    </comment>
    <comment authorId="0" ref="AG93">
      <text>
        <t xml:space="preserve">Tự động tính từ tiến độ L6. Nếu chưa có L6, trạng thái Hoàn thành tương ứng 100%.</t>
      </text>
    </comment>
    <comment authorId="0" ref="AK225">
      <text>
        <t xml:space="preserve">L5 phải nằm trong L4; L6 phải nằm trong L5. Đúng khung = hợp lệ. Ngoài khung = vượt ngày. Chưa có hoặc thiếu = chưa đủ dữ liệu.</t>
      </text>
    </comment>
    <comment authorId="0" ref="AL2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4">
      <text>
        <t xml:space="preserve">Tự động tính từ tiến độ L6. Nếu chưa có L6, trạng thái Hoàn thành tương ứng 100%.</t>
      </text>
    </comment>
    <comment authorId="0" ref="AK93">
      <text>
        <t xml:space="preserve">L5 phải nằm trong L4; L6 phải nằm trong L5. Đúng khung = hợp lệ. Ngoài khung = vượt ngày. Chưa có hoặc thiếu = chưa đủ dữ liệu.</t>
      </text>
    </comment>
    <comment authorId="0" ref="AL9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6">
      <text>
        <t xml:space="preserve">Ngày kết thúc lớp cha tự mở rộng nếu có công việc lớp 6 kết thúc muộn hơn khung gốc.</t>
      </text>
    </comment>
    <comment authorId="0" ref="V226">
      <text>
        <t xml:space="preserve">Ngày bắt đầu lớp cha tự mở rộng nếu có công việc lớp 6 bắt đầu sớm hơn khung gốc.</t>
      </text>
    </comment>
    <comment authorId="0" ref="U94">
      <text>
        <t xml:space="preserve">Ngày kết thúc lớp cha tự mở rộng nếu có công việc lớp 6 kết thúc muộn hơn khung gốc.</t>
      </text>
    </comment>
    <comment authorId="0" ref="V94">
      <text>
        <t xml:space="preserve">Ngày bắt đầu lớp cha tự mở rộng nếu có công việc lớp 6 bắt đầu sớm hơn khung gốc.</t>
      </text>
    </comment>
    <comment authorId="0" ref="AG226">
      <text>
        <t xml:space="preserve">Tự động tính từ tiến độ L6. Nếu chưa có L6, trạng thái Hoàn thành tương ứng 100%.</t>
      </text>
    </comment>
    <comment authorId="0" ref="D227">
      <text>
        <t xml:space="preserve">Tự động tính từ tiến độ L6. Nếu chưa có L6, trạng thái Hoàn thành tương ứng 100%.</t>
      </text>
    </comment>
    <comment authorId="0" ref="AG94">
      <text>
        <t xml:space="preserve">Tự động tính từ tiến độ L6. Nếu chưa có L6, trạng thái Hoàn thành tương ứng 100%.</t>
      </text>
    </comment>
    <comment authorId="0" ref="AK226">
      <text>
        <t xml:space="preserve">L5 phải nằm trong L4; L6 phải nằm trong L5. Đúng khung = hợp lệ. Ngoài khung = vượt ngày. Chưa có hoặc thiếu = chưa đủ dữ liệu.</t>
      </text>
    </comment>
    <comment authorId="0" ref="AL2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5">
      <text>
        <t xml:space="preserve">Tự động tính từ tiến độ L6. Nếu chưa có L6, trạng thái Hoàn thành tương ứng 100%.</t>
      </text>
    </comment>
    <comment authorId="0" ref="AK94">
      <text>
        <t xml:space="preserve">L5 phải nằm trong L4; L6 phải nằm trong L5. Đúng khung = hợp lệ. Ngoài khung = vượt ngày. Chưa có hoặc thiếu = chưa đủ dữ liệu.</t>
      </text>
    </comment>
    <comment authorId="0" ref="AL9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7">
      <text>
        <t xml:space="preserve">Ngày kết thúc lớp cha tự mở rộng nếu có công việc lớp 6 kết thúc muộn hơn khung gốc.</t>
      </text>
    </comment>
    <comment authorId="0" ref="V227">
      <text>
        <t xml:space="preserve">Ngày bắt đầu lớp cha tự mở rộng nếu có công việc lớp 6 bắt đầu sớm hơn khung gốc.</t>
      </text>
    </comment>
    <comment authorId="0" ref="U95">
      <text>
        <t xml:space="preserve">Ngày kết thúc lớp cha tự mở rộng nếu có công việc lớp 6 kết thúc muộn hơn khung gốc.</t>
      </text>
    </comment>
    <comment authorId="0" ref="V95">
      <text>
        <t xml:space="preserve">Ngày bắt đầu lớp cha tự mở rộng nếu có công việc lớp 6 bắt đầu sớm hơn khung gốc.</t>
      </text>
    </comment>
    <comment authorId="0" ref="AG227">
      <text>
        <t xml:space="preserve">Tự động tính từ tiến độ L6. Nếu chưa có L6, trạng thái Hoàn thành tương ứng 100%.</t>
      </text>
    </comment>
    <comment authorId="0" ref="D228">
      <text>
        <t xml:space="preserve">Tự động tính từ tiến độ L6. Nếu chưa có L6, trạng thái Hoàn thành tương ứng 100%.</t>
      </text>
    </comment>
    <comment authorId="0" ref="AG95">
      <text>
        <t xml:space="preserve">Tự động tính từ tiến độ L6. Nếu chưa có L6, trạng thái Hoàn thành tương ứng 100%.</t>
      </text>
    </comment>
    <comment authorId="0" ref="AK227">
      <text>
        <t xml:space="preserve">L5 phải nằm trong L4; L6 phải nằm trong L5. Đúng khung = hợp lệ. Ngoài khung = vượt ngày. Chưa có hoặc thiếu = chưa đủ dữ liệu.</t>
      </text>
    </comment>
    <comment authorId="0" ref="AL2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6">
      <text>
        <t xml:space="preserve">Tự động tính từ tiến độ L6. Nếu chưa có L6, trạng thái Hoàn thành tương ứng 100%.</t>
      </text>
    </comment>
    <comment authorId="0" ref="AK95">
      <text>
        <t xml:space="preserve">L5 phải nằm trong L4; L6 phải nằm trong L5. Đúng khung = hợp lệ. Ngoài khung = vượt ngày. Chưa có hoặc thiếu = chưa đủ dữ liệu.</t>
      </text>
    </comment>
    <comment authorId="0" ref="AL9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8">
      <text>
        <t xml:space="preserve">Ngày kết thúc lớp cha tự mở rộng nếu có công việc lớp 6 kết thúc muộn hơn khung gốc.</t>
      </text>
    </comment>
    <comment authorId="0" ref="V228">
      <text>
        <t xml:space="preserve">Ngày bắt đầu lớp cha tự mở rộng nếu có công việc lớp 6 bắt đầu sớm hơn khung gốc.</t>
      </text>
    </comment>
    <comment authorId="0" ref="U96">
      <text>
        <t xml:space="preserve">Ngày kết thúc lớp cha tự mở rộng nếu có công việc lớp 6 kết thúc muộn hơn khung gốc.</t>
      </text>
    </comment>
    <comment authorId="0" ref="V96">
      <text>
        <t xml:space="preserve">Ngày bắt đầu lớp cha tự mở rộng nếu có công việc lớp 6 bắt đầu sớm hơn khung gốc.</t>
      </text>
    </comment>
    <comment authorId="0" ref="AG228">
      <text>
        <t xml:space="preserve">Tự động tính từ tiến độ L6. Nếu chưa có L6, trạng thái Hoàn thành tương ứng 100%.</t>
      </text>
    </comment>
    <comment authorId="0" ref="D229">
      <text>
        <t xml:space="preserve">Tự động tính từ tiến độ L6. Nếu chưa có L6, trạng thái Hoàn thành tương ứng 100%.</t>
      </text>
    </comment>
    <comment authorId="0" ref="AG96">
      <text>
        <t xml:space="preserve">Tự động tính từ tiến độ L6. Nếu chưa có L6, trạng thái Hoàn thành tương ứng 100%.</t>
      </text>
    </comment>
    <comment authorId="0" ref="AK228">
      <text>
        <t xml:space="preserve">L5 phải nằm trong L4; L6 phải nằm trong L5. Đúng khung = hợp lệ. Ngoài khung = vượt ngày. Chưa có hoặc thiếu = chưa đủ dữ liệu.</t>
      </text>
    </comment>
    <comment authorId="0" ref="AL2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7">
      <text>
        <t xml:space="preserve">Tự động tính từ tiến độ L6. Nếu chưa có L6, trạng thái Hoàn thành tương ứng 100%.</t>
      </text>
    </comment>
    <comment authorId="0" ref="AK96">
      <text>
        <t xml:space="preserve">L5 phải nằm trong L4; L6 phải nằm trong L5. Đúng khung = hợp lệ. Ngoài khung = vượt ngày. Chưa có hoặc thiếu = chưa đủ dữ liệu.</t>
      </text>
    </comment>
    <comment authorId="0" ref="AL9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9">
      <text>
        <t xml:space="preserve">Ngày kết thúc lớp cha tự mở rộng nếu có công việc lớp 6 kết thúc muộn hơn khung gốc.</t>
      </text>
    </comment>
    <comment authorId="0" ref="V229">
      <text>
        <t xml:space="preserve">Ngày bắt đầu lớp cha tự mở rộng nếu có công việc lớp 6 bắt đầu sớm hơn khung gốc.</t>
      </text>
    </comment>
    <comment authorId="0" ref="U97">
      <text>
        <t xml:space="preserve">Ngày kết thúc lớp cha tự mở rộng nếu có công việc lớp 6 kết thúc muộn hơn khung gốc.</t>
      </text>
    </comment>
    <comment authorId="0" ref="V97">
      <text>
        <t xml:space="preserve">Ngày bắt đầu lớp cha tự mở rộng nếu có công việc lớp 6 bắt đầu sớm hơn khung gốc.</t>
      </text>
    </comment>
    <comment authorId="0" ref="AG229">
      <text>
        <t xml:space="preserve">Tự động tính từ tiến độ L6. Nếu chưa có L6, trạng thái Hoàn thành tương ứng 100%.</t>
      </text>
    </comment>
    <comment authorId="0" ref="D230">
      <text>
        <t xml:space="preserve">Tự động tính từ tiến độ L6. Nếu chưa có L6, trạng thái Hoàn thành tương ứng 100%.</t>
      </text>
    </comment>
    <comment authorId="0" ref="AG97">
      <text>
        <t xml:space="preserve">Tự động tính từ tiến độ L6. Nếu chưa có L6, trạng thái Hoàn thành tương ứng 100%.</t>
      </text>
    </comment>
    <comment authorId="0" ref="AK229">
      <text>
        <t xml:space="preserve">L5 phải nằm trong L4; L6 phải nằm trong L5. Đúng khung = hợp lệ. Ngoài khung = vượt ngày. Chưa có hoặc thiếu = chưa đủ dữ liệu.</t>
      </text>
    </comment>
    <comment authorId="0" ref="AL2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8">
      <text>
        <t xml:space="preserve">Tự động tính từ tiến độ L6. Nếu chưa có L6, trạng thái Hoàn thành tương ứng 100%.</t>
      </text>
    </comment>
    <comment authorId="0" ref="AK97">
      <text>
        <t xml:space="preserve">L5 phải nằm trong L4; L6 phải nằm trong L5. Đúng khung = hợp lệ. Ngoài khung = vượt ngày. Chưa có hoặc thiếu = chưa đủ dữ liệu.</t>
      </text>
    </comment>
    <comment authorId="0" ref="AL9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0">
      <text>
        <t xml:space="preserve">Ngày kết thúc lớp cha tự mở rộng nếu có công việc lớp 6 kết thúc muộn hơn khung gốc.</t>
      </text>
    </comment>
    <comment authorId="0" ref="V230">
      <text>
        <t xml:space="preserve">Ngày bắt đầu lớp cha tự mở rộng nếu có công việc lớp 6 bắt đầu sớm hơn khung gốc.</t>
      </text>
    </comment>
    <comment authorId="0" ref="U98">
      <text>
        <t xml:space="preserve">Ngày kết thúc lớp cha tự mở rộng nếu có công việc lớp 6 kết thúc muộn hơn khung gốc.</t>
      </text>
    </comment>
    <comment authorId="0" ref="V98">
      <text>
        <t xml:space="preserve">Ngày bắt đầu lớp cha tự mở rộng nếu có công việc lớp 6 bắt đầu sớm hơn khung gốc.</t>
      </text>
    </comment>
    <comment authorId="0" ref="AG230">
      <text>
        <t xml:space="preserve">Tự động tính từ tiến độ L6. Nếu chưa có L6, trạng thái Hoàn thành tương ứng 100%.</t>
      </text>
    </comment>
    <comment authorId="0" ref="D231">
      <text>
        <t xml:space="preserve">Tự động tính từ tiến độ L6. Nếu chưa có L6, trạng thái Hoàn thành tương ứng 100%.</t>
      </text>
    </comment>
    <comment authorId="0" ref="AG98">
      <text>
        <t xml:space="preserve">Tự động tính từ tiến độ L6. Nếu chưa có L6, trạng thái Hoàn thành tương ứng 100%.</t>
      </text>
    </comment>
    <comment authorId="0" ref="AK230">
      <text>
        <t xml:space="preserve">L5 phải nằm trong L4; L6 phải nằm trong L5. Đúng khung = hợp lệ. Ngoài khung = vượt ngày. Chưa có hoặc thiếu = chưa đủ dữ liệu.</t>
      </text>
    </comment>
    <comment authorId="0" ref="AL2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99">
      <text>
        <t xml:space="preserve">Tự động tính từ tiến độ L6. Nếu chưa có L6, trạng thái Hoàn thành tương ứng 100%.</t>
      </text>
    </comment>
    <comment authorId="0" ref="AK98">
      <text>
        <t xml:space="preserve">L5 phải nằm trong L4; L6 phải nằm trong L5. Đúng khung = hợp lệ. Ngoài khung = vượt ngày. Chưa có hoặc thiếu = chưa đủ dữ liệu.</t>
      </text>
    </comment>
    <comment authorId="0" ref="AL9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1">
      <text>
        <t xml:space="preserve">Ngày kết thúc lớp cha tự mở rộng nếu có công việc lớp 6 kết thúc muộn hơn khung gốc.</t>
      </text>
    </comment>
    <comment authorId="0" ref="V231">
      <text>
        <t xml:space="preserve">Ngày bắt đầu lớp cha tự mở rộng nếu có công việc lớp 6 bắt đầu sớm hơn khung gốc.</t>
      </text>
    </comment>
    <comment authorId="0" ref="U99">
      <text>
        <t xml:space="preserve">Ngày kết thúc lớp cha tự mở rộng nếu có công việc lớp 6 kết thúc muộn hơn khung gốc.</t>
      </text>
    </comment>
    <comment authorId="0" ref="V99">
      <text>
        <t xml:space="preserve">Ngày bắt đầu lớp cha tự mở rộng nếu có công việc lớp 6 bắt đầu sớm hơn khung gốc.</t>
      </text>
    </comment>
    <comment authorId="0" ref="AG231">
      <text>
        <t xml:space="preserve">Tự động tính từ tiến độ L6. Nếu chưa có L6, trạng thái Hoàn thành tương ứng 100%.</t>
      </text>
    </comment>
    <comment authorId="0" ref="D232">
      <text>
        <t xml:space="preserve">Tự động tính từ tiến độ L6. Nếu chưa có L6, trạng thái Hoàn thành tương ứng 100%.</t>
      </text>
    </comment>
    <comment authorId="0" ref="AG99">
      <text>
        <t xml:space="preserve">Tự động tính từ tiến độ L6. Nếu chưa có L6, trạng thái Hoàn thành tương ứng 100%.</t>
      </text>
    </comment>
    <comment authorId="0" ref="AK231">
      <text>
        <t xml:space="preserve">L5 phải nằm trong L4; L6 phải nằm trong L5. Đúng khung = hợp lệ. Ngoài khung = vượt ngày. Chưa có hoặc thiếu = chưa đủ dữ liệu.</t>
      </text>
    </comment>
    <comment authorId="0" ref="AL2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0">
      <text>
        <t xml:space="preserve">Tự động tính từ tiến độ L6. Nếu chưa có L6, trạng thái Hoàn thành tương ứng 100%.</t>
      </text>
    </comment>
    <comment authorId="0" ref="AK99">
      <text>
        <t xml:space="preserve">L5 phải nằm trong L4; L6 phải nằm trong L5. Đúng khung = hợp lệ. Ngoài khung = vượt ngày. Chưa có hoặc thiếu = chưa đủ dữ liệu.</t>
      </text>
    </comment>
    <comment authorId="0" ref="AL9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2">
      <text>
        <t xml:space="preserve">Ngày kết thúc lớp cha tự mở rộng nếu có công việc lớp 6 kết thúc muộn hơn khung gốc.</t>
      </text>
    </comment>
    <comment authorId="0" ref="V232">
      <text>
        <t xml:space="preserve">Ngày bắt đầu lớp cha tự mở rộng nếu có công việc lớp 6 bắt đầu sớm hơn khung gốc.</t>
      </text>
    </comment>
    <comment authorId="0" ref="U100">
      <text>
        <t xml:space="preserve">Ngày kết thúc lớp cha tự mở rộng nếu có công việc lớp 6 kết thúc muộn hơn khung gốc.</t>
      </text>
    </comment>
    <comment authorId="0" ref="V100">
      <text>
        <t xml:space="preserve">Ngày bắt đầu lớp cha tự mở rộng nếu có công việc lớp 6 bắt đầu sớm hơn khung gốc.</t>
      </text>
    </comment>
    <comment authorId="0" ref="AG232">
      <text>
        <t xml:space="preserve">Tự động tính từ tiến độ L6. Nếu chưa có L6, trạng thái Hoàn thành tương ứng 100%.</t>
      </text>
    </comment>
    <comment authorId="0" ref="D233">
      <text>
        <t xml:space="preserve">Tự động tính từ tiến độ L6. Nếu chưa có L6, trạng thái Hoàn thành tương ứng 100%.</t>
      </text>
    </comment>
    <comment authorId="0" ref="AG100">
      <text>
        <t xml:space="preserve">Tự động tính từ tiến độ L6. Nếu chưa có L6, trạng thái Hoàn thành tương ứng 100%.</t>
      </text>
    </comment>
    <comment authorId="0" ref="AK232">
      <text>
        <t xml:space="preserve">L5 phải nằm trong L4; L6 phải nằm trong L5. Đúng khung = hợp lệ. Ngoài khung = vượt ngày. Chưa có hoặc thiếu = chưa đủ dữ liệu.</t>
      </text>
    </comment>
    <comment authorId="0" ref="AL2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1">
      <text>
        <t xml:space="preserve">Tự động tính từ tiến độ L6. Nếu chưa có L6, trạng thái Hoàn thành tương ứng 100%.</t>
      </text>
    </comment>
    <comment authorId="0" ref="AK100">
      <text>
        <t xml:space="preserve">L5 phải nằm trong L4; L6 phải nằm trong L5. Đúng khung = hợp lệ. Ngoài khung = vượt ngày. Chưa có hoặc thiếu = chưa đủ dữ liệu.</t>
      </text>
    </comment>
    <comment authorId="0" ref="AL10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3">
      <text>
        <t xml:space="preserve">Ngày kết thúc lớp cha tự mở rộng nếu có công việc lớp 6 kết thúc muộn hơn khung gốc.</t>
      </text>
    </comment>
    <comment authorId="0" ref="V233">
      <text>
        <t xml:space="preserve">Ngày bắt đầu lớp cha tự mở rộng nếu có công việc lớp 6 bắt đầu sớm hơn khung gốc.</t>
      </text>
    </comment>
    <comment authorId="0" ref="U101">
      <text>
        <t xml:space="preserve">Ngày kết thúc lớp cha tự mở rộng nếu có công việc lớp 6 kết thúc muộn hơn khung gốc.</t>
      </text>
    </comment>
    <comment authorId="0" ref="V101">
      <text>
        <t xml:space="preserve">Ngày bắt đầu lớp cha tự mở rộng nếu có công việc lớp 6 bắt đầu sớm hơn khung gốc.</t>
      </text>
    </comment>
    <comment authorId="0" ref="AG233">
      <text>
        <t xml:space="preserve">Tự động tính từ tiến độ L6. Nếu chưa có L6, trạng thái Hoàn thành tương ứng 100%.</t>
      </text>
    </comment>
    <comment authorId="0" ref="D234">
      <text>
        <t xml:space="preserve">Tự động tính từ tiến độ L6. Nếu chưa có L6, trạng thái Hoàn thành tương ứng 100%.</t>
      </text>
    </comment>
    <comment authorId="0" ref="AG101">
      <text>
        <t xml:space="preserve">Tự động tính từ tiến độ L6. Nếu chưa có L6, trạng thái Hoàn thành tương ứng 100%.</t>
      </text>
    </comment>
    <comment authorId="0" ref="AK233">
      <text>
        <t xml:space="preserve">L5 phải nằm trong L4; L6 phải nằm trong L5. Đúng khung = hợp lệ. Ngoài khung = vượt ngày. Chưa có hoặc thiếu = chưa đủ dữ liệu.</t>
      </text>
    </comment>
    <comment authorId="0" ref="AL2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2">
      <text>
        <t xml:space="preserve">Tự động tính từ tiến độ L6. Nếu chưa có L6, trạng thái Hoàn thành tương ứng 100%.</t>
      </text>
    </comment>
    <comment authorId="0" ref="AK101">
      <text>
        <t xml:space="preserve">L5 phải nằm trong L4; L6 phải nằm trong L5. Đúng khung = hợp lệ. Ngoài khung = vượt ngày. Chưa có hoặc thiếu = chưa đủ dữ liệu.</t>
      </text>
    </comment>
    <comment authorId="0" ref="AL10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4">
      <text>
        <t xml:space="preserve">Ngày kết thúc lớp cha tự mở rộng nếu có công việc lớp 6 kết thúc muộn hơn khung gốc.</t>
      </text>
    </comment>
    <comment authorId="0" ref="V234">
      <text>
        <t xml:space="preserve">Ngày bắt đầu lớp cha tự mở rộng nếu có công việc lớp 6 bắt đầu sớm hơn khung gốc.</t>
      </text>
    </comment>
    <comment authorId="0" ref="U102">
      <text>
        <t xml:space="preserve">Ngày kết thúc lớp cha tự mở rộng nếu có công việc lớp 6 kết thúc muộn hơn khung gốc.</t>
      </text>
    </comment>
    <comment authorId="0" ref="V102">
      <text>
        <t xml:space="preserve">Ngày bắt đầu lớp cha tự mở rộng nếu có công việc lớp 6 bắt đầu sớm hơn khung gốc.</t>
      </text>
    </comment>
    <comment authorId="0" ref="AG234">
      <text>
        <t xml:space="preserve">Tự động tính từ tiến độ L6. Nếu chưa có L6, trạng thái Hoàn thành tương ứng 100%.</t>
      </text>
    </comment>
    <comment authorId="0" ref="D235">
      <text>
        <t xml:space="preserve">Tự động tính từ tiến độ L6. Nếu chưa có L6, trạng thái Hoàn thành tương ứng 100%.</t>
      </text>
    </comment>
    <comment authorId="0" ref="AG102">
      <text>
        <t xml:space="preserve">Tự động tính từ tiến độ L6. Nếu chưa có L6, trạng thái Hoàn thành tương ứng 100%.</t>
      </text>
    </comment>
    <comment authorId="0" ref="AK234">
      <text>
        <t xml:space="preserve">L5 phải nằm trong L4; L6 phải nằm trong L5. Đúng khung = hợp lệ. Ngoài khung = vượt ngày. Chưa có hoặc thiếu = chưa đủ dữ liệu.</t>
      </text>
    </comment>
    <comment authorId="0" ref="AL2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3">
      <text>
        <t xml:space="preserve">Tự động tính từ tiến độ L6. Nếu chưa có L6, trạng thái Hoàn thành tương ứng 100%.</t>
      </text>
    </comment>
    <comment authorId="0" ref="AK102">
      <text>
        <t xml:space="preserve">L5 phải nằm trong L4; L6 phải nằm trong L5. Đúng khung = hợp lệ. Ngoài khung = vượt ngày. Chưa có hoặc thiếu = chưa đủ dữ liệu.</t>
      </text>
    </comment>
    <comment authorId="0" ref="AL10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5">
      <text>
        <t xml:space="preserve">Ngày kết thúc lớp cha tự mở rộng nếu có công việc lớp 6 kết thúc muộn hơn khung gốc.</t>
      </text>
    </comment>
    <comment authorId="0" ref="V235">
      <text>
        <t xml:space="preserve">Ngày bắt đầu lớp cha tự mở rộng nếu có công việc lớp 6 bắt đầu sớm hơn khung gốc.</t>
      </text>
    </comment>
    <comment authorId="0" ref="U103">
      <text>
        <t xml:space="preserve">Ngày kết thúc lớp cha tự mở rộng nếu có công việc lớp 6 kết thúc muộn hơn khung gốc.</t>
      </text>
    </comment>
    <comment authorId="0" ref="V103">
      <text>
        <t xml:space="preserve">Ngày bắt đầu lớp cha tự mở rộng nếu có công việc lớp 6 bắt đầu sớm hơn khung gốc.</t>
      </text>
    </comment>
    <comment authorId="0" ref="AG235">
      <text>
        <t xml:space="preserve">Tự động tính từ tiến độ L6. Nếu chưa có L6, trạng thái Hoàn thành tương ứng 100%.</t>
      </text>
    </comment>
    <comment authorId="0" ref="D236">
      <text>
        <t xml:space="preserve">Tự động tính từ tiến độ L6. Nếu chưa có L6, trạng thái Hoàn thành tương ứng 100%.</t>
      </text>
    </comment>
    <comment authorId="0" ref="AG103">
      <text>
        <t xml:space="preserve">Tự động tính từ tiến độ L6. Nếu chưa có L6, trạng thái Hoàn thành tương ứng 100%.</t>
      </text>
    </comment>
    <comment authorId="0" ref="AK235">
      <text>
        <t xml:space="preserve">L5 phải nằm trong L4; L6 phải nằm trong L5. Đúng khung = hợp lệ. Ngoài khung = vượt ngày. Chưa có hoặc thiếu = chưa đủ dữ liệu.</t>
      </text>
    </comment>
    <comment authorId="0" ref="AL2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4">
      <text>
        <t xml:space="preserve">Tự động tính từ tiến độ L6. Nếu chưa có L6, trạng thái Hoàn thành tương ứng 100%.</t>
      </text>
    </comment>
    <comment authorId="0" ref="AK103">
      <text>
        <t xml:space="preserve">L5 phải nằm trong L4; L6 phải nằm trong L5. Đúng khung = hợp lệ. Ngoài khung = vượt ngày. Chưa có hoặc thiếu = chưa đủ dữ liệu.</t>
      </text>
    </comment>
    <comment authorId="0" ref="AL10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6">
      <text>
        <t xml:space="preserve">Ngày kết thúc lớp cha tự mở rộng nếu có công việc lớp 6 kết thúc muộn hơn khung gốc.</t>
      </text>
    </comment>
    <comment authorId="0" ref="V236">
      <text>
        <t xml:space="preserve">Ngày bắt đầu lớp cha tự mở rộng nếu có công việc lớp 6 bắt đầu sớm hơn khung gốc.</t>
      </text>
    </comment>
    <comment authorId="0" ref="U104">
      <text>
        <t xml:space="preserve">Ngày kết thúc lớp cha tự mở rộng nếu có công việc lớp 6 kết thúc muộn hơn khung gốc.</t>
      </text>
    </comment>
    <comment authorId="0" ref="V104">
      <text>
        <t xml:space="preserve">Ngày bắt đầu lớp cha tự mở rộng nếu có công việc lớp 6 bắt đầu sớm hơn khung gốc.</t>
      </text>
    </comment>
    <comment authorId="0" ref="AG236">
      <text>
        <t xml:space="preserve">Tự động tính từ tiến độ L6. Nếu chưa có L6, trạng thái Hoàn thành tương ứng 100%.</t>
      </text>
    </comment>
    <comment authorId="0" ref="D237">
      <text>
        <t xml:space="preserve">Tự động tính từ tiến độ L6. Nếu chưa có L6, trạng thái Hoàn thành tương ứng 100%.</t>
      </text>
    </comment>
    <comment authorId="0" ref="AG104">
      <text>
        <t xml:space="preserve">Tự động tính từ tiến độ L6. Nếu chưa có L6, trạng thái Hoàn thành tương ứng 100%.</t>
      </text>
    </comment>
    <comment authorId="0" ref="AK236">
      <text>
        <t xml:space="preserve">L5 phải nằm trong L4; L6 phải nằm trong L5. Đúng khung = hợp lệ. Ngoài khung = vượt ngày. Chưa có hoặc thiếu = chưa đủ dữ liệu.</t>
      </text>
    </comment>
    <comment authorId="0" ref="AL2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5">
      <text>
        <t xml:space="preserve">Tự động tính từ tiến độ L6. Nếu chưa có L6, trạng thái Hoàn thành tương ứng 100%.</t>
      </text>
    </comment>
    <comment authorId="0" ref="AK104">
      <text>
        <t xml:space="preserve">L5 phải nằm trong L4; L6 phải nằm trong L5. Đúng khung = hợp lệ. Ngoài khung = vượt ngày. Chưa có hoặc thiếu = chưa đủ dữ liệu.</t>
      </text>
    </comment>
    <comment authorId="0" ref="AL10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7">
      <text>
        <t xml:space="preserve">Ngày kết thúc lớp cha tự mở rộng nếu có công việc lớp 6 kết thúc muộn hơn khung gốc.</t>
      </text>
    </comment>
    <comment authorId="0" ref="V237">
      <text>
        <t xml:space="preserve">Ngày bắt đầu lớp cha tự mở rộng nếu có công việc lớp 6 bắt đầu sớm hơn khung gốc.</t>
      </text>
    </comment>
    <comment authorId="0" ref="U105">
      <text>
        <t xml:space="preserve">Ngày kết thúc lớp cha tự mở rộng nếu có công việc lớp 6 kết thúc muộn hơn khung gốc.</t>
      </text>
    </comment>
    <comment authorId="0" ref="V105">
      <text>
        <t xml:space="preserve">Ngày bắt đầu lớp cha tự mở rộng nếu có công việc lớp 6 bắt đầu sớm hơn khung gốc.</t>
      </text>
    </comment>
    <comment authorId="0" ref="AG237">
      <text>
        <t xml:space="preserve">Tự động tính từ tiến độ L6. Nếu chưa có L6, trạng thái Hoàn thành tương ứng 100%.</t>
      </text>
    </comment>
    <comment authorId="0" ref="D238">
      <text>
        <t xml:space="preserve">Tự động tính từ tiến độ L6. Nếu chưa có L6, trạng thái Hoàn thành tương ứng 100%.</t>
      </text>
    </comment>
    <comment authorId="0" ref="AG105">
      <text>
        <t xml:space="preserve">Tự động tính từ tiến độ L6. Nếu chưa có L6, trạng thái Hoàn thành tương ứng 100%.</t>
      </text>
    </comment>
    <comment authorId="0" ref="AK237">
      <text>
        <t xml:space="preserve">L5 phải nằm trong L4; L6 phải nằm trong L5. Đúng khung = hợp lệ. Ngoài khung = vượt ngày. Chưa có hoặc thiếu = chưa đủ dữ liệu.</t>
      </text>
    </comment>
    <comment authorId="0" ref="AL2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6">
      <text>
        <t xml:space="preserve">Tự động tính từ tiến độ L6. Nếu chưa có L6, trạng thái Hoàn thành tương ứng 100%.</t>
      </text>
    </comment>
    <comment authorId="0" ref="AK105">
      <text>
        <t xml:space="preserve">L5 phải nằm trong L4; L6 phải nằm trong L5. Đúng khung = hợp lệ. Ngoài khung = vượt ngày. Chưa có hoặc thiếu = chưa đủ dữ liệu.</t>
      </text>
    </comment>
    <comment authorId="0" ref="AL10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8">
      <text>
        <t xml:space="preserve">Ngày kết thúc lớp cha tự mở rộng nếu có công việc lớp 6 kết thúc muộn hơn khung gốc.</t>
      </text>
    </comment>
    <comment authorId="0" ref="V238">
      <text>
        <t xml:space="preserve">Ngày bắt đầu lớp cha tự mở rộng nếu có công việc lớp 6 bắt đầu sớm hơn khung gốc.</t>
      </text>
    </comment>
    <comment authorId="0" ref="U106">
      <text>
        <t xml:space="preserve">Ngày kết thúc lớp cha tự mở rộng nếu có công việc lớp 6 kết thúc muộn hơn khung gốc.</t>
      </text>
    </comment>
    <comment authorId="0" ref="V106">
      <text>
        <t xml:space="preserve">Ngày bắt đầu lớp cha tự mở rộng nếu có công việc lớp 6 bắt đầu sớm hơn khung gốc.</t>
      </text>
    </comment>
    <comment authorId="0" ref="AG238">
      <text>
        <t xml:space="preserve">Tự động tính từ tiến độ L6. Nếu chưa có L6, trạng thái Hoàn thành tương ứng 100%.</t>
      </text>
    </comment>
    <comment authorId="0" ref="D239">
      <text>
        <t xml:space="preserve">Tự động tính từ tiến độ L6. Nếu chưa có L6, trạng thái Hoàn thành tương ứng 100%.</t>
      </text>
    </comment>
    <comment authorId="0" ref="AG106">
      <text>
        <t xml:space="preserve">Tự động tính từ tiến độ L6. Nếu chưa có L6, trạng thái Hoàn thành tương ứng 100%.</t>
      </text>
    </comment>
    <comment authorId="0" ref="AK238">
      <text>
        <t xml:space="preserve">L5 phải nằm trong L4; L6 phải nằm trong L5. Đúng khung = hợp lệ. Ngoài khung = vượt ngày. Chưa có hoặc thiếu = chưa đủ dữ liệu.</t>
      </text>
    </comment>
    <comment authorId="0" ref="AL23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7">
      <text>
        <t xml:space="preserve">Tự động tính từ tiến độ L6. Nếu chưa có L6, trạng thái Hoàn thành tương ứng 100%.</t>
      </text>
    </comment>
    <comment authorId="0" ref="AK106">
      <text>
        <t xml:space="preserve">L5 phải nằm trong L4; L6 phải nằm trong L5. Đúng khung = hợp lệ. Ngoài khung = vượt ngày. Chưa có hoặc thiếu = chưa đủ dữ liệu.</t>
      </text>
    </comment>
    <comment authorId="0" ref="AL10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9">
      <text>
        <t xml:space="preserve">Ngày kết thúc lớp cha tự mở rộng nếu có công việc lớp 6 kết thúc muộn hơn khung gốc.</t>
      </text>
    </comment>
    <comment authorId="0" ref="V239">
      <text>
        <t xml:space="preserve">Ngày bắt đầu lớp cha tự mở rộng nếu có công việc lớp 6 bắt đầu sớm hơn khung gốc.</t>
      </text>
    </comment>
    <comment authorId="0" ref="U107">
      <text>
        <t xml:space="preserve">Ngày kết thúc lớp cha tự mở rộng nếu có công việc lớp 6 kết thúc muộn hơn khung gốc.</t>
      </text>
    </comment>
    <comment authorId="0" ref="V107">
      <text>
        <t xml:space="preserve">Ngày bắt đầu lớp cha tự mở rộng nếu có công việc lớp 6 bắt đầu sớm hơn khung gốc.</t>
      </text>
    </comment>
    <comment authorId="0" ref="AG239">
      <text>
        <t xml:space="preserve">Tự động tính từ tiến độ L6. Nếu chưa có L6, trạng thái Hoàn thành tương ứng 100%.</t>
      </text>
    </comment>
    <comment authorId="0" ref="D240">
      <text>
        <t xml:space="preserve">Tự động tính từ tiến độ L6. Nếu chưa có L6, trạng thái Hoàn thành tương ứng 100%.</t>
      </text>
    </comment>
    <comment authorId="0" ref="AG107">
      <text>
        <t xml:space="preserve">Tự động tính từ tiến độ L6. Nếu chưa có L6, trạng thái Hoàn thành tương ứng 100%.</t>
      </text>
    </comment>
    <comment authorId="0" ref="AK239">
      <text>
        <t xml:space="preserve">L5 phải nằm trong L4; L6 phải nằm trong L5. Đúng khung = hợp lệ. Ngoài khung = vượt ngày. Chưa có hoặc thiếu = chưa đủ dữ liệu.</t>
      </text>
    </comment>
    <comment authorId="0" ref="AL23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8">
      <text>
        <t xml:space="preserve">Tự động tính từ tiến độ L6. Nếu chưa có L6, trạng thái Hoàn thành tương ứng 100%.</t>
      </text>
    </comment>
    <comment authorId="0" ref="AK107">
      <text>
        <t xml:space="preserve">L5 phải nằm trong L4; L6 phải nằm trong L5. Đúng khung = hợp lệ. Ngoài khung = vượt ngày. Chưa có hoặc thiếu = chưa đủ dữ liệu.</t>
      </text>
    </comment>
    <comment authorId="0" ref="AL10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0">
      <text>
        <t xml:space="preserve">Ngày kết thúc lớp cha tự mở rộng nếu có công việc lớp 6 kết thúc muộn hơn khung gốc.</t>
      </text>
    </comment>
    <comment authorId="0" ref="V240">
      <text>
        <t xml:space="preserve">Ngày bắt đầu lớp cha tự mở rộng nếu có công việc lớp 6 bắt đầu sớm hơn khung gốc.</t>
      </text>
    </comment>
    <comment authorId="0" ref="U108">
      <text>
        <t xml:space="preserve">Ngày kết thúc lớp cha tự mở rộng nếu có công việc lớp 6 kết thúc muộn hơn khung gốc.</t>
      </text>
    </comment>
    <comment authorId="0" ref="V108">
      <text>
        <t xml:space="preserve">Ngày bắt đầu lớp cha tự mở rộng nếu có công việc lớp 6 bắt đầu sớm hơn khung gốc.</t>
      </text>
    </comment>
    <comment authorId="0" ref="AG240">
      <text>
        <t xml:space="preserve">Tự động tính từ tiến độ L6. Nếu chưa có L6, trạng thái Hoàn thành tương ứng 100%.</t>
      </text>
    </comment>
    <comment authorId="0" ref="D241">
      <text>
        <t xml:space="preserve">Tự động tính từ tiến độ L6. Nếu chưa có L6, trạng thái Hoàn thành tương ứng 100%.</t>
      </text>
    </comment>
    <comment authorId="0" ref="AG108">
      <text>
        <t xml:space="preserve">Tự động tính từ tiến độ L6. Nếu chưa có L6, trạng thái Hoàn thành tương ứng 100%.</t>
      </text>
    </comment>
    <comment authorId="0" ref="AK240">
      <text>
        <t xml:space="preserve">L5 phải nằm trong L4; L6 phải nằm trong L5. Đúng khung = hợp lệ. Ngoài khung = vượt ngày. Chưa có hoặc thiếu = chưa đủ dữ liệu.</t>
      </text>
    </comment>
    <comment authorId="0" ref="AL24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09">
      <text>
        <t xml:space="preserve">Tự động tính từ tiến độ L6. Nếu chưa có L6, trạng thái Hoàn thành tương ứng 100%.</t>
      </text>
    </comment>
    <comment authorId="0" ref="AK108">
      <text>
        <t xml:space="preserve">L5 phải nằm trong L4; L6 phải nằm trong L5. Đúng khung = hợp lệ. Ngoài khung = vượt ngày. Chưa có hoặc thiếu = chưa đủ dữ liệu.</t>
      </text>
    </comment>
    <comment authorId="0" ref="AL10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1">
      <text>
        <t xml:space="preserve">Ngày kết thúc lớp cha tự mở rộng nếu có công việc lớp 6 kết thúc muộn hơn khung gốc.</t>
      </text>
    </comment>
    <comment authorId="0" ref="V241">
      <text>
        <t xml:space="preserve">Ngày bắt đầu lớp cha tự mở rộng nếu có công việc lớp 6 bắt đầu sớm hơn khung gốc.</t>
      </text>
    </comment>
    <comment authorId="0" ref="U109">
      <text>
        <t xml:space="preserve">Ngày kết thúc lớp cha tự mở rộng nếu có công việc lớp 6 kết thúc muộn hơn khung gốc.</t>
      </text>
    </comment>
    <comment authorId="0" ref="V109">
      <text>
        <t xml:space="preserve">Ngày bắt đầu lớp cha tự mở rộng nếu có công việc lớp 6 bắt đầu sớm hơn khung gốc.</t>
      </text>
    </comment>
    <comment authorId="0" ref="AG241">
      <text>
        <t xml:space="preserve">Tự động tính từ tiến độ L6. Nếu chưa có L6, trạng thái Hoàn thành tương ứng 100%.</t>
      </text>
    </comment>
    <comment authorId="0" ref="D242">
      <text>
        <t xml:space="preserve">Tự động tính từ tiến độ L6. Nếu chưa có L6, trạng thái Hoàn thành tương ứng 100%.</t>
      </text>
    </comment>
    <comment authorId="0" ref="AG109">
      <text>
        <t xml:space="preserve">Tự động tính từ tiến độ L6. Nếu chưa có L6, trạng thái Hoàn thành tương ứng 100%.</t>
      </text>
    </comment>
    <comment authorId="0" ref="AK241">
      <text>
        <t xml:space="preserve">L5 phải nằm trong L4; L6 phải nằm trong L5. Đúng khung = hợp lệ. Ngoài khung = vượt ngày. Chưa có hoặc thiếu = chưa đủ dữ liệu.</t>
      </text>
    </comment>
    <comment authorId="0" ref="AL24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0">
      <text>
        <t xml:space="preserve">Tự động tính từ tiến độ L6. Nếu chưa có L6, trạng thái Hoàn thành tương ứng 100%.</t>
      </text>
    </comment>
    <comment authorId="0" ref="AK109">
      <text>
        <t xml:space="preserve">L5 phải nằm trong L4; L6 phải nằm trong L5. Đúng khung = hợp lệ. Ngoài khung = vượt ngày. Chưa có hoặc thiếu = chưa đủ dữ liệu.</t>
      </text>
    </comment>
    <comment authorId="0" ref="AL10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2">
      <text>
        <t xml:space="preserve">Ngày kết thúc lớp cha tự mở rộng nếu có công việc lớp 6 kết thúc muộn hơn khung gốc.</t>
      </text>
    </comment>
    <comment authorId="0" ref="V242">
      <text>
        <t xml:space="preserve">Ngày bắt đầu lớp cha tự mở rộng nếu có công việc lớp 6 bắt đầu sớm hơn khung gốc.</t>
      </text>
    </comment>
    <comment authorId="0" ref="U110">
      <text>
        <t xml:space="preserve">Ngày kết thúc lớp cha tự mở rộng nếu có công việc lớp 6 kết thúc muộn hơn khung gốc.</t>
      </text>
    </comment>
    <comment authorId="0" ref="V110">
      <text>
        <t xml:space="preserve">Ngày bắt đầu lớp cha tự mở rộng nếu có công việc lớp 6 bắt đầu sớm hơn khung gốc.</t>
      </text>
    </comment>
    <comment authorId="0" ref="AG242">
      <text>
        <t xml:space="preserve">Tự động tính từ tiến độ L6. Nếu chưa có L6, trạng thái Hoàn thành tương ứng 100%.</t>
      </text>
    </comment>
    <comment authorId="0" ref="D243">
      <text>
        <t xml:space="preserve">Tự động tính từ tiến độ L6. Nếu chưa có L6, trạng thái Hoàn thành tương ứng 100%.</t>
      </text>
    </comment>
    <comment authorId="0" ref="AG110">
      <text>
        <t xml:space="preserve">Tự động tính từ tiến độ L6. Nếu chưa có L6, trạng thái Hoàn thành tương ứng 100%.</t>
      </text>
    </comment>
    <comment authorId="0" ref="AK242">
      <text>
        <t xml:space="preserve">L5 phải nằm trong L4; L6 phải nằm trong L5. Đúng khung = hợp lệ. Ngoài khung = vượt ngày. Chưa có hoặc thiếu = chưa đủ dữ liệu.</t>
      </text>
    </comment>
    <comment authorId="0" ref="AL24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1">
      <text>
        <t xml:space="preserve">Tự động tính từ tiến độ L6. Nếu chưa có L6, trạng thái Hoàn thành tương ứng 100%.</t>
      </text>
    </comment>
    <comment authorId="0" ref="AK110">
      <text>
        <t xml:space="preserve">L5 phải nằm trong L4; L6 phải nằm trong L5. Đúng khung = hợp lệ. Ngoài khung = vượt ngày. Chưa có hoặc thiếu = chưa đủ dữ liệu.</t>
      </text>
    </comment>
    <comment authorId="0" ref="AL11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3">
      <text>
        <t xml:space="preserve">Ngày kết thúc lớp cha tự mở rộng nếu có công việc lớp 6 kết thúc muộn hơn khung gốc.</t>
      </text>
    </comment>
    <comment authorId="0" ref="V243">
      <text>
        <t xml:space="preserve">Ngày bắt đầu lớp cha tự mở rộng nếu có công việc lớp 6 bắt đầu sớm hơn khung gốc.</t>
      </text>
    </comment>
    <comment authorId="0" ref="U111">
      <text>
        <t xml:space="preserve">Ngày kết thúc lớp cha tự mở rộng nếu có công việc lớp 6 kết thúc muộn hơn khung gốc.</t>
      </text>
    </comment>
    <comment authorId="0" ref="V111">
      <text>
        <t xml:space="preserve">Ngày bắt đầu lớp cha tự mở rộng nếu có công việc lớp 6 bắt đầu sớm hơn khung gốc.</t>
      </text>
    </comment>
    <comment authorId="0" ref="AG243">
      <text>
        <t xml:space="preserve">Tự động tính từ tiến độ L6. Nếu chưa có L6, trạng thái Hoàn thành tương ứng 100%.</t>
      </text>
    </comment>
    <comment authorId="0" ref="D244">
      <text>
        <t xml:space="preserve">Tự động tính từ tiến độ L6. Nếu chưa có L6, trạng thái Hoàn thành tương ứng 100%.</t>
      </text>
    </comment>
    <comment authorId="0" ref="AG111">
      <text>
        <t xml:space="preserve">Tự động tính từ tiến độ L6. Nếu chưa có L6, trạng thái Hoàn thành tương ứng 100%.</t>
      </text>
    </comment>
    <comment authorId="0" ref="AK243">
      <text>
        <t xml:space="preserve">L5 phải nằm trong L4; L6 phải nằm trong L5. Đúng khung = hợp lệ. Ngoài khung = vượt ngày. Chưa có hoặc thiếu = chưa đủ dữ liệu.</t>
      </text>
    </comment>
    <comment authorId="0" ref="AL24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2">
      <text>
        <t xml:space="preserve">Tự động tính từ tiến độ L6. Nếu chưa có L6, trạng thái Hoàn thành tương ứng 100%.</t>
      </text>
    </comment>
    <comment authorId="0" ref="AK111">
      <text>
        <t xml:space="preserve">L5 phải nằm trong L4; L6 phải nằm trong L5. Đúng khung = hợp lệ. Ngoài khung = vượt ngày. Chưa có hoặc thiếu = chưa đủ dữ liệu.</t>
      </text>
    </comment>
    <comment authorId="0" ref="AL11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4">
      <text>
        <t xml:space="preserve">Ngày kết thúc lớp cha tự mở rộng nếu có công việc lớp 6 kết thúc muộn hơn khung gốc.</t>
      </text>
    </comment>
    <comment authorId="0" ref="V244">
      <text>
        <t xml:space="preserve">Ngày bắt đầu lớp cha tự mở rộng nếu có công việc lớp 6 bắt đầu sớm hơn khung gốc.</t>
      </text>
    </comment>
    <comment authorId="0" ref="U112">
      <text>
        <t xml:space="preserve">Ngày kết thúc lớp cha tự mở rộng nếu có công việc lớp 6 kết thúc muộn hơn khung gốc.</t>
      </text>
    </comment>
    <comment authorId="0" ref="V112">
      <text>
        <t xml:space="preserve">Ngày bắt đầu lớp cha tự mở rộng nếu có công việc lớp 6 bắt đầu sớm hơn khung gốc.</t>
      </text>
    </comment>
    <comment authorId="0" ref="AG244">
      <text>
        <t xml:space="preserve">Tự động tính từ tiến độ L6. Nếu chưa có L6, trạng thái Hoàn thành tương ứng 100%.</t>
      </text>
    </comment>
    <comment authorId="0" ref="D245">
      <text>
        <t xml:space="preserve">Tự động tính từ tiến độ L6. Nếu chưa có L6, trạng thái Hoàn thành tương ứng 100%.</t>
      </text>
    </comment>
    <comment authorId="0" ref="AG112">
      <text>
        <t xml:space="preserve">Tự động tính từ tiến độ L6. Nếu chưa có L6, trạng thái Hoàn thành tương ứng 100%.</t>
      </text>
    </comment>
    <comment authorId="0" ref="AK244">
      <text>
        <t xml:space="preserve">L5 phải nằm trong L4; L6 phải nằm trong L5. Đúng khung = hợp lệ. Ngoài khung = vượt ngày. Chưa có hoặc thiếu = chưa đủ dữ liệu.</t>
      </text>
    </comment>
    <comment authorId="0" ref="AL24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3">
      <text>
        <t xml:space="preserve">Tự động tính từ tiến độ L6. Nếu chưa có L6, trạng thái Hoàn thành tương ứng 100%.</t>
      </text>
    </comment>
    <comment authorId="0" ref="AK112">
      <text>
        <t xml:space="preserve">L5 phải nằm trong L4; L6 phải nằm trong L5. Đúng khung = hợp lệ. Ngoài khung = vượt ngày. Chưa có hoặc thiếu = chưa đủ dữ liệu.</t>
      </text>
    </comment>
    <comment authorId="0" ref="AL11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5">
      <text>
        <t xml:space="preserve">Ngày kết thúc lớp cha tự mở rộng nếu có công việc lớp 6 kết thúc muộn hơn khung gốc.</t>
      </text>
    </comment>
    <comment authorId="0" ref="V245">
      <text>
        <t xml:space="preserve">Ngày bắt đầu lớp cha tự mở rộng nếu có công việc lớp 6 bắt đầu sớm hơn khung gốc.</t>
      </text>
    </comment>
    <comment authorId="0" ref="U113">
      <text>
        <t xml:space="preserve">Ngày kết thúc lớp cha tự mở rộng nếu có công việc lớp 6 kết thúc muộn hơn khung gốc.</t>
      </text>
    </comment>
    <comment authorId="0" ref="V113">
      <text>
        <t xml:space="preserve">Ngày bắt đầu lớp cha tự mở rộng nếu có công việc lớp 6 bắt đầu sớm hơn khung gốc.</t>
      </text>
    </comment>
    <comment authorId="0" ref="AG245">
      <text>
        <t xml:space="preserve">Tự động tính từ tiến độ L6. Nếu chưa có L6, trạng thái Hoàn thành tương ứng 100%.</t>
      </text>
    </comment>
    <comment authorId="0" ref="D246">
      <text>
        <t xml:space="preserve">Tự động tính từ tiến độ L6. Nếu chưa có L6, trạng thái Hoàn thành tương ứng 100%.</t>
      </text>
    </comment>
    <comment authorId="0" ref="AG113">
      <text>
        <t xml:space="preserve">Tự động tính từ tiến độ L6. Nếu chưa có L6, trạng thái Hoàn thành tương ứng 100%.</t>
      </text>
    </comment>
    <comment authorId="0" ref="AK245">
      <text>
        <t xml:space="preserve">L5 phải nằm trong L4; L6 phải nằm trong L5. Đúng khung = hợp lệ. Ngoài khung = vượt ngày. Chưa có hoặc thiếu = chưa đủ dữ liệu.</t>
      </text>
    </comment>
    <comment authorId="0" ref="AL24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4">
      <text>
        <t xml:space="preserve">Tự động tính từ tiến độ L6. Nếu chưa có L6, trạng thái Hoàn thành tương ứng 100%.</t>
      </text>
    </comment>
    <comment authorId="0" ref="AK113">
      <text>
        <t xml:space="preserve">L5 phải nằm trong L4; L6 phải nằm trong L5. Đúng khung = hợp lệ. Ngoài khung = vượt ngày. Chưa có hoặc thiếu = chưa đủ dữ liệu.</t>
      </text>
    </comment>
    <comment authorId="0" ref="AL11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6">
      <text>
        <t xml:space="preserve">Ngày kết thúc lớp cha tự mở rộng nếu có công việc lớp 6 kết thúc muộn hơn khung gốc.</t>
      </text>
    </comment>
    <comment authorId="0" ref="V246">
      <text>
        <t xml:space="preserve">Ngày bắt đầu lớp cha tự mở rộng nếu có công việc lớp 6 bắt đầu sớm hơn khung gốc.</t>
      </text>
    </comment>
    <comment authorId="0" ref="U114">
      <text>
        <t xml:space="preserve">Ngày kết thúc lớp cha tự mở rộng nếu có công việc lớp 6 kết thúc muộn hơn khung gốc.</t>
      </text>
    </comment>
    <comment authorId="0" ref="V114">
      <text>
        <t xml:space="preserve">Ngày bắt đầu lớp cha tự mở rộng nếu có công việc lớp 6 bắt đầu sớm hơn khung gốc.</t>
      </text>
    </comment>
    <comment authorId="0" ref="AG246">
      <text>
        <t xml:space="preserve">Tự động tính từ tiến độ L6. Nếu chưa có L6, trạng thái Hoàn thành tương ứng 100%.</t>
      </text>
    </comment>
    <comment authorId="0" ref="D247">
      <text>
        <t xml:space="preserve">Tự động tính từ tiến độ L6. Nếu chưa có L6, trạng thái Hoàn thành tương ứng 100%.</t>
      </text>
    </comment>
    <comment authorId="0" ref="AG114">
      <text>
        <t xml:space="preserve">Tự động tính từ tiến độ L6. Nếu chưa có L6, trạng thái Hoàn thành tương ứng 100%.</t>
      </text>
    </comment>
    <comment authorId="0" ref="AK246">
      <text>
        <t xml:space="preserve">L5 phải nằm trong L4; L6 phải nằm trong L5. Đúng khung = hợp lệ. Ngoài khung = vượt ngày. Chưa có hoặc thiếu = chưa đủ dữ liệu.</t>
      </text>
    </comment>
    <comment authorId="0" ref="AL24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5">
      <text>
        <t xml:space="preserve">Tự động tính từ tiến độ L6. Nếu chưa có L6, trạng thái Hoàn thành tương ứng 100%.</t>
      </text>
    </comment>
    <comment authorId="0" ref="AK114">
      <text>
        <t xml:space="preserve">L5 phải nằm trong L4; L6 phải nằm trong L5. Đúng khung = hợp lệ. Ngoài khung = vượt ngày. Chưa có hoặc thiếu = chưa đủ dữ liệu.</t>
      </text>
    </comment>
    <comment authorId="0" ref="AL1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7">
      <text>
        <t xml:space="preserve">Ngày kết thúc lớp cha tự mở rộng nếu có công việc lớp 6 kết thúc muộn hơn khung gốc.</t>
      </text>
    </comment>
    <comment authorId="0" ref="V247">
      <text>
        <t xml:space="preserve">Ngày bắt đầu lớp cha tự mở rộng nếu có công việc lớp 6 bắt đầu sớm hơn khung gốc.</t>
      </text>
    </comment>
    <comment authorId="0" ref="U115">
      <text>
        <t xml:space="preserve">Ngày kết thúc lớp cha tự mở rộng nếu có công việc lớp 6 kết thúc muộn hơn khung gốc.</t>
      </text>
    </comment>
    <comment authorId="0" ref="V115">
      <text>
        <t xml:space="preserve">Ngày bắt đầu lớp cha tự mở rộng nếu có công việc lớp 6 bắt đầu sớm hơn khung gốc.</t>
      </text>
    </comment>
    <comment authorId="0" ref="AG247">
      <text>
        <t xml:space="preserve">Tự động tính từ tiến độ L6. Nếu chưa có L6, trạng thái Hoàn thành tương ứng 100%.</t>
      </text>
    </comment>
    <comment authorId="0" ref="D248">
      <text>
        <t xml:space="preserve">Tự động tính từ tiến độ L6. Nếu chưa có L6, trạng thái Hoàn thành tương ứng 100%.</t>
      </text>
    </comment>
    <comment authorId="0" ref="AG115">
      <text>
        <t xml:space="preserve">Tự động tính từ tiến độ L6. Nếu chưa có L6, trạng thái Hoàn thành tương ứng 100%.</t>
      </text>
    </comment>
    <comment authorId="0" ref="AK247">
      <text>
        <t xml:space="preserve">L5 phải nằm trong L4; L6 phải nằm trong L5. Đúng khung = hợp lệ. Ngoài khung = vượt ngày. Chưa có hoặc thiếu = chưa đủ dữ liệu.</t>
      </text>
    </comment>
    <comment authorId="0" ref="AL24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6">
      <text>
        <t xml:space="preserve">Tự động tính từ tiến độ L6. Nếu chưa có L6, trạng thái Hoàn thành tương ứng 100%.</t>
      </text>
    </comment>
    <comment authorId="0" ref="AK115">
      <text>
        <t xml:space="preserve">L5 phải nằm trong L4; L6 phải nằm trong L5. Đúng khung = hợp lệ. Ngoài khung = vượt ngày. Chưa có hoặc thiếu = chưa đủ dữ liệu.</t>
      </text>
    </comment>
    <comment authorId="0" ref="AL1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8">
      <text>
        <t xml:space="preserve">Ngày kết thúc lớp cha tự mở rộng nếu có công việc lớp 6 kết thúc muộn hơn khung gốc.</t>
      </text>
    </comment>
    <comment authorId="0" ref="V248">
      <text>
        <t xml:space="preserve">Ngày bắt đầu lớp cha tự mở rộng nếu có công việc lớp 6 bắt đầu sớm hơn khung gốc.</t>
      </text>
    </comment>
    <comment authorId="0" ref="U116">
      <text>
        <t xml:space="preserve">Ngày kết thúc lớp cha tự mở rộng nếu có công việc lớp 6 kết thúc muộn hơn khung gốc.</t>
      </text>
    </comment>
    <comment authorId="0" ref="V116">
      <text>
        <t xml:space="preserve">Ngày bắt đầu lớp cha tự mở rộng nếu có công việc lớp 6 bắt đầu sớm hơn khung gốc.</t>
      </text>
    </comment>
    <comment authorId="0" ref="AG248">
      <text>
        <t xml:space="preserve">Tự động tính từ tiến độ L6. Nếu chưa có L6, trạng thái Hoàn thành tương ứng 100%.</t>
      </text>
    </comment>
    <comment authorId="0" ref="D249">
      <text>
        <t xml:space="preserve">Tự động tính từ tiến độ L6. Nếu chưa có L6, trạng thái Hoàn thành tương ứng 100%.</t>
      </text>
    </comment>
    <comment authorId="0" ref="AG116">
      <text>
        <t xml:space="preserve">Tự động tính từ tiến độ L6. Nếu chưa có L6, trạng thái Hoàn thành tương ứng 100%.</t>
      </text>
    </comment>
    <comment authorId="0" ref="AK248">
      <text>
        <t xml:space="preserve">L5 phải nằm trong L4; L6 phải nằm trong L5. Đúng khung = hợp lệ. Ngoài khung = vượt ngày. Chưa có hoặc thiếu = chưa đủ dữ liệu.</t>
      </text>
    </comment>
    <comment authorId="0" ref="AL24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7">
      <text>
        <t xml:space="preserve">Tự động tính từ tiến độ L6. Nếu chưa có L6, trạng thái Hoàn thành tương ứng 100%.</t>
      </text>
    </comment>
    <comment authorId="0" ref="AK116">
      <text>
        <t xml:space="preserve">L5 phải nằm trong L4; L6 phải nằm trong L5. Đúng khung = hợp lệ. Ngoài khung = vượt ngày. Chưa có hoặc thiếu = chưa đủ dữ liệu.</t>
      </text>
    </comment>
    <comment authorId="0" ref="AL1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9">
      <text>
        <t xml:space="preserve">Ngày kết thúc lớp cha tự mở rộng nếu có công việc lớp 6 kết thúc muộn hơn khung gốc.</t>
      </text>
    </comment>
    <comment authorId="0" ref="V249">
      <text>
        <t xml:space="preserve">Ngày bắt đầu lớp cha tự mở rộng nếu có công việc lớp 6 bắt đầu sớm hơn khung gốc.</t>
      </text>
    </comment>
    <comment authorId="0" ref="U117">
      <text>
        <t xml:space="preserve">Ngày kết thúc lớp cha tự mở rộng nếu có công việc lớp 6 kết thúc muộn hơn khung gốc.</t>
      </text>
    </comment>
    <comment authorId="0" ref="V117">
      <text>
        <t xml:space="preserve">Ngày bắt đầu lớp cha tự mở rộng nếu có công việc lớp 6 bắt đầu sớm hơn khung gốc.</t>
      </text>
    </comment>
    <comment authorId="0" ref="AG249">
      <text>
        <t xml:space="preserve">Tự động tính từ tiến độ L6. Nếu chưa có L6, trạng thái Hoàn thành tương ứng 100%.</t>
      </text>
    </comment>
    <comment authorId="0" ref="D250">
      <text>
        <t xml:space="preserve">Tự động tính từ tiến độ L6. Nếu chưa có L6, trạng thái Hoàn thành tương ứng 100%.</t>
      </text>
    </comment>
    <comment authorId="0" ref="AG117">
      <text>
        <t xml:space="preserve">Tự động tính từ tiến độ L6. Nếu chưa có L6, trạng thái Hoàn thành tương ứng 100%.</t>
      </text>
    </comment>
    <comment authorId="0" ref="AK249">
      <text>
        <t xml:space="preserve">L5 phải nằm trong L4; L6 phải nằm trong L5. Đúng khung = hợp lệ. Ngoài khung = vượt ngày. Chưa có hoặc thiếu = chưa đủ dữ liệu.</t>
      </text>
    </comment>
    <comment authorId="0" ref="AL24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8">
      <text>
        <t xml:space="preserve">Tự động tính từ tiến độ L6. Nếu chưa có L6, trạng thái Hoàn thành tương ứng 100%.</t>
      </text>
    </comment>
    <comment authorId="0" ref="AK117">
      <text>
        <t xml:space="preserve">L5 phải nằm trong L4; L6 phải nằm trong L5. Đúng khung = hợp lệ. Ngoài khung = vượt ngày. Chưa có hoặc thiếu = chưa đủ dữ liệu.</t>
      </text>
    </comment>
    <comment authorId="0" ref="AL1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0">
      <text>
        <t xml:space="preserve">Ngày kết thúc lớp cha tự mở rộng nếu có công việc lớp 6 kết thúc muộn hơn khung gốc.</t>
      </text>
    </comment>
    <comment authorId="0" ref="V250">
      <text>
        <t xml:space="preserve">Ngày bắt đầu lớp cha tự mở rộng nếu có công việc lớp 6 bắt đầu sớm hơn khung gốc.</t>
      </text>
    </comment>
    <comment authorId="0" ref="U118">
      <text>
        <t xml:space="preserve">Ngày kết thúc lớp cha tự mở rộng nếu có công việc lớp 6 kết thúc muộn hơn khung gốc.</t>
      </text>
    </comment>
    <comment authorId="0" ref="V118">
      <text>
        <t xml:space="preserve">Ngày bắt đầu lớp cha tự mở rộng nếu có công việc lớp 6 bắt đầu sớm hơn khung gốc.</t>
      </text>
    </comment>
    <comment authorId="0" ref="AG250">
      <text>
        <t xml:space="preserve">Tự động tính từ tiến độ L6. Nếu chưa có L6, trạng thái Hoàn thành tương ứng 100%.</t>
      </text>
    </comment>
    <comment authorId="0" ref="D251">
      <text>
        <t xml:space="preserve">Tự động tính từ tiến độ L6. Nếu chưa có L6, trạng thái Hoàn thành tương ứng 100%.</t>
      </text>
    </comment>
    <comment authorId="0" ref="AG118">
      <text>
        <t xml:space="preserve">Tự động tính từ tiến độ L6. Nếu chưa có L6, trạng thái Hoàn thành tương ứng 100%.</t>
      </text>
    </comment>
    <comment authorId="0" ref="AK250">
      <text>
        <t xml:space="preserve">L5 phải nằm trong L4; L6 phải nằm trong L5. Đúng khung = hợp lệ. Ngoài khung = vượt ngày. Chưa có hoặc thiếu = chưa đủ dữ liệu.</t>
      </text>
    </comment>
    <comment authorId="0" ref="AL25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19">
      <text>
        <t xml:space="preserve">Tự động tính từ tiến độ L6. Nếu chưa có L6, trạng thái Hoàn thành tương ứng 100%.</t>
      </text>
    </comment>
    <comment authorId="0" ref="AK118">
      <text>
        <t xml:space="preserve">L5 phải nằm trong L4; L6 phải nằm trong L5. Đúng khung = hợp lệ. Ngoài khung = vượt ngày. Chưa có hoặc thiếu = chưa đủ dữ liệu.</t>
      </text>
    </comment>
    <comment authorId="0" ref="AL1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1">
      <text>
        <t xml:space="preserve">Ngày kết thúc lớp cha tự mở rộng nếu có công việc lớp 6 kết thúc muộn hơn khung gốc.</t>
      </text>
    </comment>
    <comment authorId="0" ref="V251">
      <text>
        <t xml:space="preserve">Ngày bắt đầu lớp cha tự mở rộng nếu có công việc lớp 6 bắt đầu sớm hơn khung gốc.</t>
      </text>
    </comment>
    <comment authorId="0" ref="U119">
      <text>
        <t xml:space="preserve">Ngày kết thúc lớp cha tự mở rộng nếu có công việc lớp 6 kết thúc muộn hơn khung gốc.</t>
      </text>
    </comment>
    <comment authorId="0" ref="V119">
      <text>
        <t xml:space="preserve">Ngày bắt đầu lớp cha tự mở rộng nếu có công việc lớp 6 bắt đầu sớm hơn khung gốc.</t>
      </text>
    </comment>
    <comment authorId="0" ref="AG251">
      <text>
        <t xml:space="preserve">Tự động tính từ tiến độ L6. Nếu chưa có L6, trạng thái Hoàn thành tương ứng 100%.</t>
      </text>
    </comment>
    <comment authorId="0" ref="D252">
      <text>
        <t xml:space="preserve">Tự động tính từ tiến độ L6. Nếu chưa có L6, trạng thái Hoàn thành tương ứng 100%.</t>
      </text>
    </comment>
    <comment authorId="0" ref="AG119">
      <text>
        <t xml:space="preserve">Tự động tính từ tiến độ L6. Nếu chưa có L6, trạng thái Hoàn thành tương ứng 100%.</t>
      </text>
    </comment>
    <comment authorId="0" ref="AK251">
      <text>
        <t xml:space="preserve">L5 phải nằm trong L4; L6 phải nằm trong L5. Đúng khung = hợp lệ. Ngoài khung = vượt ngày. Chưa có hoặc thiếu = chưa đủ dữ liệu.</t>
      </text>
    </comment>
    <comment authorId="0" ref="AL25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0">
      <text>
        <t xml:space="preserve">Tự động tính từ tiến độ L6. Nếu chưa có L6, trạng thái Hoàn thành tương ứng 100%.</t>
      </text>
    </comment>
    <comment authorId="0" ref="AK119">
      <text>
        <t xml:space="preserve">L5 phải nằm trong L4; L6 phải nằm trong L5. Đúng khung = hợp lệ. Ngoài khung = vượt ngày. Chưa có hoặc thiếu = chưa đủ dữ liệu.</t>
      </text>
    </comment>
    <comment authorId="0" ref="AL1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2">
      <text>
        <t xml:space="preserve">Ngày kết thúc lớp cha tự mở rộng nếu có công việc lớp 6 kết thúc muộn hơn khung gốc.</t>
      </text>
    </comment>
    <comment authorId="0" ref="V252">
      <text>
        <t xml:space="preserve">Ngày bắt đầu lớp cha tự mở rộng nếu có công việc lớp 6 bắt đầu sớm hơn khung gốc.</t>
      </text>
    </comment>
    <comment authorId="0" ref="U120">
      <text>
        <t xml:space="preserve">Ngày kết thúc lớp cha tự mở rộng nếu có công việc lớp 6 kết thúc muộn hơn khung gốc.</t>
      </text>
    </comment>
    <comment authorId="0" ref="V120">
      <text>
        <t xml:space="preserve">Ngày bắt đầu lớp cha tự mở rộng nếu có công việc lớp 6 bắt đầu sớm hơn khung gốc.</t>
      </text>
    </comment>
    <comment authorId="0" ref="AG252">
      <text>
        <t xml:space="preserve">Tự động tính từ tiến độ L6. Nếu chưa có L6, trạng thái Hoàn thành tương ứng 100%.</t>
      </text>
    </comment>
    <comment authorId="0" ref="D253">
      <text>
        <t xml:space="preserve">Tự động tính từ tiến độ L6. Nếu chưa có L6, trạng thái Hoàn thành tương ứng 100%.</t>
      </text>
    </comment>
    <comment authorId="0" ref="AG120">
      <text>
        <t xml:space="preserve">Tự động tính từ tiến độ L6. Nếu chưa có L6, trạng thái Hoàn thành tương ứng 100%.</t>
      </text>
    </comment>
    <comment authorId="0" ref="AK252">
      <text>
        <t xml:space="preserve">L5 phải nằm trong L4; L6 phải nằm trong L5. Đúng khung = hợp lệ. Ngoài khung = vượt ngày. Chưa có hoặc thiếu = chưa đủ dữ liệu.</t>
      </text>
    </comment>
    <comment authorId="0" ref="AL25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1">
      <text>
        <t xml:space="preserve">Tự động tính từ tiến độ L6. Nếu chưa có L6, trạng thái Hoàn thành tương ứng 100%.</t>
      </text>
    </comment>
    <comment authorId="0" ref="AK120">
      <text>
        <t xml:space="preserve">L5 phải nằm trong L4; L6 phải nằm trong L5. Đúng khung = hợp lệ. Ngoài khung = vượt ngày. Chưa có hoặc thiếu = chưa đủ dữ liệu.</t>
      </text>
    </comment>
    <comment authorId="0" ref="AL1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3">
      <text>
        <t xml:space="preserve">Ngày kết thúc lớp cha tự mở rộng nếu có công việc lớp 6 kết thúc muộn hơn khung gốc.</t>
      </text>
    </comment>
    <comment authorId="0" ref="V253">
      <text>
        <t xml:space="preserve">Ngày bắt đầu lớp cha tự mở rộng nếu có công việc lớp 6 bắt đầu sớm hơn khung gốc.</t>
      </text>
    </comment>
    <comment authorId="0" ref="U121">
      <text>
        <t xml:space="preserve">Ngày kết thúc lớp cha tự mở rộng nếu có công việc lớp 6 kết thúc muộn hơn khung gốc.</t>
      </text>
    </comment>
    <comment authorId="0" ref="V121">
      <text>
        <t xml:space="preserve">Ngày bắt đầu lớp cha tự mở rộng nếu có công việc lớp 6 bắt đầu sớm hơn khung gốc.</t>
      </text>
    </comment>
    <comment authorId="0" ref="AG253">
      <text>
        <t xml:space="preserve">Tự động tính từ tiến độ L6. Nếu chưa có L6, trạng thái Hoàn thành tương ứng 100%.</t>
      </text>
    </comment>
    <comment authorId="0" ref="D254">
      <text>
        <t xml:space="preserve">Tự động tính từ tiến độ L6. Nếu chưa có L6, trạng thái Hoàn thành tương ứng 100%.</t>
      </text>
    </comment>
    <comment authorId="0" ref="AG121">
      <text>
        <t xml:space="preserve">Tự động tính từ tiến độ L6. Nếu chưa có L6, trạng thái Hoàn thành tương ứng 100%.</t>
      </text>
    </comment>
    <comment authorId="0" ref="AK253">
      <text>
        <t xml:space="preserve">L5 phải nằm trong L4; L6 phải nằm trong L5. Đúng khung = hợp lệ. Ngoài khung = vượt ngày. Chưa có hoặc thiếu = chưa đủ dữ liệu.</t>
      </text>
    </comment>
    <comment authorId="0" ref="AL25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2">
      <text>
        <t xml:space="preserve">Tự động tính từ tiến độ L6. Nếu chưa có L6, trạng thái Hoàn thành tương ứng 100%.</t>
      </text>
    </comment>
    <comment authorId="0" ref="AK121">
      <text>
        <t xml:space="preserve">L5 phải nằm trong L4; L6 phải nằm trong L5. Đúng khung = hợp lệ. Ngoài khung = vượt ngày. Chưa có hoặc thiếu = chưa đủ dữ liệu.</t>
      </text>
    </comment>
    <comment authorId="0" ref="AL1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4">
      <text>
        <t xml:space="preserve">Ngày kết thúc lớp cha tự mở rộng nếu có công việc lớp 6 kết thúc muộn hơn khung gốc.</t>
      </text>
    </comment>
    <comment authorId="0" ref="V254">
      <text>
        <t xml:space="preserve">Ngày bắt đầu lớp cha tự mở rộng nếu có công việc lớp 6 bắt đầu sớm hơn khung gốc.</t>
      </text>
    </comment>
    <comment authorId="0" ref="U122">
      <text>
        <t xml:space="preserve">Ngày kết thúc lớp cha tự mở rộng nếu có công việc lớp 6 kết thúc muộn hơn khung gốc.</t>
      </text>
    </comment>
    <comment authorId="0" ref="V122">
      <text>
        <t xml:space="preserve">Ngày bắt đầu lớp cha tự mở rộng nếu có công việc lớp 6 bắt đầu sớm hơn khung gốc.</t>
      </text>
    </comment>
    <comment authorId="0" ref="AG254">
      <text>
        <t xml:space="preserve">Tự động tính từ tiến độ L6. Nếu chưa có L6, trạng thái Hoàn thành tương ứng 100%.</t>
      </text>
    </comment>
    <comment authorId="0" ref="D255">
      <text>
        <t xml:space="preserve">Tự động tính từ tiến độ L6. Nếu chưa có L6, trạng thái Hoàn thành tương ứng 100%.</t>
      </text>
    </comment>
    <comment authorId="0" ref="AG122">
      <text>
        <t xml:space="preserve">Tự động tính từ tiến độ L6. Nếu chưa có L6, trạng thái Hoàn thành tương ứng 100%.</t>
      </text>
    </comment>
    <comment authorId="0" ref="AK254">
      <text>
        <t xml:space="preserve">L5 phải nằm trong L4; L6 phải nằm trong L5. Đúng khung = hợp lệ. Ngoài khung = vượt ngày. Chưa có hoặc thiếu = chưa đủ dữ liệu.</t>
      </text>
    </comment>
    <comment authorId="0" ref="AL25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3">
      <text>
        <t xml:space="preserve">Tự động tính từ tiến độ L6. Nếu chưa có L6, trạng thái Hoàn thành tương ứng 100%.</t>
      </text>
    </comment>
    <comment authorId="0" ref="AK122">
      <text>
        <t xml:space="preserve">L5 phải nằm trong L4; L6 phải nằm trong L5. Đúng khung = hợp lệ. Ngoài khung = vượt ngày. Chưa có hoặc thiếu = chưa đủ dữ liệu.</t>
      </text>
    </comment>
    <comment authorId="0" ref="AL1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5">
      <text>
        <t xml:space="preserve">Ngày kết thúc lớp cha tự mở rộng nếu có công việc lớp 6 kết thúc muộn hơn khung gốc.</t>
      </text>
    </comment>
    <comment authorId="0" ref="V255">
      <text>
        <t xml:space="preserve">Ngày bắt đầu lớp cha tự mở rộng nếu có công việc lớp 6 bắt đầu sớm hơn khung gốc.</t>
      </text>
    </comment>
    <comment authorId="0" ref="U123">
      <text>
        <t xml:space="preserve">Ngày kết thúc lớp cha tự mở rộng nếu có công việc lớp 6 kết thúc muộn hơn khung gốc.</t>
      </text>
    </comment>
    <comment authorId="0" ref="V123">
      <text>
        <t xml:space="preserve">Ngày bắt đầu lớp cha tự mở rộng nếu có công việc lớp 6 bắt đầu sớm hơn khung gốc.</t>
      </text>
    </comment>
    <comment authorId="0" ref="AG255">
      <text>
        <t xml:space="preserve">Tự động tính từ tiến độ L6. Nếu chưa có L6, trạng thái Hoàn thành tương ứng 100%.</t>
      </text>
    </comment>
    <comment authorId="0" ref="D256">
      <text>
        <t xml:space="preserve">Tự động tính từ tiến độ L6. Nếu chưa có L6, trạng thái Hoàn thành tương ứng 100%.</t>
      </text>
    </comment>
    <comment authorId="0" ref="AG123">
      <text>
        <t xml:space="preserve">Tự động tính từ tiến độ L6. Nếu chưa có L6, trạng thái Hoàn thành tương ứng 100%.</t>
      </text>
    </comment>
    <comment authorId="0" ref="AK255">
      <text>
        <t xml:space="preserve">L5 phải nằm trong L4; L6 phải nằm trong L5. Đúng khung = hợp lệ. Ngoài khung = vượt ngày. Chưa có hoặc thiếu = chưa đủ dữ liệu.</t>
      </text>
    </comment>
    <comment authorId="0" ref="AL25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4">
      <text>
        <t xml:space="preserve">Tự động tính từ tiến độ L6. Nếu chưa có L6, trạng thái Hoàn thành tương ứng 100%.</t>
      </text>
    </comment>
    <comment authorId="0" ref="AK123">
      <text>
        <t xml:space="preserve">L5 phải nằm trong L4; L6 phải nằm trong L5. Đúng khung = hợp lệ. Ngoài khung = vượt ngày. Chưa có hoặc thiếu = chưa đủ dữ liệu.</t>
      </text>
    </comment>
    <comment authorId="0" ref="AL1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6">
      <text>
        <t xml:space="preserve">Ngày kết thúc lớp cha tự mở rộng nếu có công việc lớp 6 kết thúc muộn hơn khung gốc.</t>
      </text>
    </comment>
    <comment authorId="0" ref="V256">
      <text>
        <t xml:space="preserve">Ngày bắt đầu lớp cha tự mở rộng nếu có công việc lớp 6 bắt đầu sớm hơn khung gốc.</t>
      </text>
    </comment>
    <comment authorId="0" ref="U124">
      <text>
        <t xml:space="preserve">Ngày kết thúc lớp cha tự mở rộng nếu có công việc lớp 6 kết thúc muộn hơn khung gốc.</t>
      </text>
    </comment>
    <comment authorId="0" ref="V124">
      <text>
        <t xml:space="preserve">Ngày bắt đầu lớp cha tự mở rộng nếu có công việc lớp 6 bắt đầu sớm hơn khung gốc.</t>
      </text>
    </comment>
    <comment authorId="0" ref="AG256">
      <text>
        <t xml:space="preserve">Tự động tính từ tiến độ L6. Nếu chưa có L6, trạng thái Hoàn thành tương ứng 100%.</t>
      </text>
    </comment>
    <comment authorId="0" ref="D257">
      <text>
        <t xml:space="preserve">Tự động tính từ tiến độ L6. Nếu chưa có L6, trạng thái Hoàn thành tương ứng 100%.</t>
      </text>
    </comment>
    <comment authorId="0" ref="AG124">
      <text>
        <t xml:space="preserve">Tự động tính từ tiến độ L6. Nếu chưa có L6, trạng thái Hoàn thành tương ứng 100%.</t>
      </text>
    </comment>
    <comment authorId="0" ref="AK256">
      <text>
        <t xml:space="preserve">L5 phải nằm trong L4; L6 phải nằm trong L5. Đúng khung = hợp lệ. Ngoài khung = vượt ngày. Chưa có hoặc thiếu = chưa đủ dữ liệu.</t>
      </text>
    </comment>
    <comment authorId="0" ref="AL25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5">
      <text>
        <t xml:space="preserve">Tự động tính từ tiến độ L6. Nếu chưa có L6, trạng thái Hoàn thành tương ứng 100%.</t>
      </text>
    </comment>
    <comment authorId="0" ref="AK124">
      <text>
        <t xml:space="preserve">L5 phải nằm trong L4; L6 phải nằm trong L5. Đúng khung = hợp lệ. Ngoài khung = vượt ngày. Chưa có hoặc thiếu = chưa đủ dữ liệu.</t>
      </text>
    </comment>
    <comment authorId="0" ref="AL1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7">
      <text>
        <t xml:space="preserve">Ngày kết thúc lớp cha tự mở rộng nếu có công việc lớp 6 kết thúc muộn hơn khung gốc.</t>
      </text>
    </comment>
    <comment authorId="0" ref="V257">
      <text>
        <t xml:space="preserve">Ngày bắt đầu lớp cha tự mở rộng nếu có công việc lớp 6 bắt đầu sớm hơn khung gốc.</t>
      </text>
    </comment>
    <comment authorId="0" ref="U125">
      <text>
        <t xml:space="preserve">Ngày kết thúc lớp cha tự mở rộng nếu có công việc lớp 6 kết thúc muộn hơn khung gốc.</t>
      </text>
    </comment>
    <comment authorId="0" ref="V125">
      <text>
        <t xml:space="preserve">Ngày bắt đầu lớp cha tự mở rộng nếu có công việc lớp 6 bắt đầu sớm hơn khung gốc.</t>
      </text>
    </comment>
    <comment authorId="0" ref="AG257">
      <text>
        <t xml:space="preserve">Tự động tính từ tiến độ L6. Nếu chưa có L6, trạng thái Hoàn thành tương ứng 100%.</t>
      </text>
    </comment>
    <comment authorId="0" ref="D258">
      <text>
        <t xml:space="preserve">Tự động tính từ tiến độ L6. Nếu chưa có L6, trạng thái Hoàn thành tương ứng 100%.</t>
      </text>
    </comment>
    <comment authorId="0" ref="AG125">
      <text>
        <t xml:space="preserve">Tự động tính từ tiến độ L6. Nếu chưa có L6, trạng thái Hoàn thành tương ứng 100%.</t>
      </text>
    </comment>
    <comment authorId="0" ref="AK257">
      <text>
        <t xml:space="preserve">L5 phải nằm trong L4; L6 phải nằm trong L5. Đúng khung = hợp lệ. Ngoài khung = vượt ngày. Chưa có hoặc thiếu = chưa đủ dữ liệu.</t>
      </text>
    </comment>
    <comment authorId="0" ref="AL25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6">
      <text>
        <t xml:space="preserve">Tự động tính từ tiến độ L6. Nếu chưa có L6, trạng thái Hoàn thành tương ứng 100%.</t>
      </text>
    </comment>
    <comment authorId="0" ref="AK125">
      <text>
        <t xml:space="preserve">L5 phải nằm trong L4; L6 phải nằm trong L5. Đúng khung = hợp lệ. Ngoài khung = vượt ngày. Chưa có hoặc thiếu = chưa đủ dữ liệu.</t>
      </text>
    </comment>
    <comment authorId="0" ref="AL1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8">
      <text>
        <t xml:space="preserve">Ngày kết thúc lớp cha tự mở rộng nếu có công việc lớp 6 kết thúc muộn hơn khung gốc.</t>
      </text>
    </comment>
    <comment authorId="0" ref="V258">
      <text>
        <t xml:space="preserve">Ngày bắt đầu lớp cha tự mở rộng nếu có công việc lớp 6 bắt đầu sớm hơn khung gốc.</t>
      </text>
    </comment>
    <comment authorId="0" ref="U126">
      <text>
        <t xml:space="preserve">Ngày kết thúc lớp cha tự mở rộng nếu có công việc lớp 6 kết thúc muộn hơn khung gốc.</t>
      </text>
    </comment>
    <comment authorId="0" ref="V126">
      <text>
        <t xml:space="preserve">Ngày bắt đầu lớp cha tự mở rộng nếu có công việc lớp 6 bắt đầu sớm hơn khung gốc.</t>
      </text>
    </comment>
    <comment authorId="0" ref="AG258">
      <text>
        <t xml:space="preserve">Tự động tính từ tiến độ L6. Nếu chưa có L6, trạng thái Hoàn thành tương ứng 100%.</t>
      </text>
    </comment>
    <comment authorId="0" ref="D259">
      <text>
        <t xml:space="preserve">Tự động tính từ tiến độ L6. Nếu chưa có L6, trạng thái Hoàn thành tương ứng 100%.</t>
      </text>
    </comment>
    <comment authorId="0" ref="AG126">
      <text>
        <t xml:space="preserve">Tự động tính từ tiến độ L6. Nếu chưa có L6, trạng thái Hoàn thành tương ứng 100%.</t>
      </text>
    </comment>
    <comment authorId="0" ref="AK258">
      <text>
        <t xml:space="preserve">L5 phải nằm trong L4; L6 phải nằm trong L5. Đúng khung = hợp lệ. Ngoài khung = vượt ngày. Chưa có hoặc thiếu = chưa đủ dữ liệu.</t>
      </text>
    </comment>
    <comment authorId="0" ref="AL25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7">
      <text>
        <t xml:space="preserve">Tự động tính từ tiến độ L6. Nếu chưa có L6, trạng thái Hoàn thành tương ứng 100%.</t>
      </text>
    </comment>
    <comment authorId="0" ref="AK126">
      <text>
        <t xml:space="preserve">L5 phải nằm trong L4; L6 phải nằm trong L5. Đúng khung = hợp lệ. Ngoài khung = vượt ngày. Chưa có hoặc thiếu = chưa đủ dữ liệu.</t>
      </text>
    </comment>
    <comment authorId="0" ref="AL1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9">
      <text>
        <t xml:space="preserve">Ngày kết thúc lớp cha tự mở rộng nếu có công việc lớp 6 kết thúc muộn hơn khung gốc.</t>
      </text>
    </comment>
    <comment authorId="0" ref="V259">
      <text>
        <t xml:space="preserve">Ngày bắt đầu lớp cha tự mở rộng nếu có công việc lớp 6 bắt đầu sớm hơn khung gốc.</t>
      </text>
    </comment>
    <comment authorId="0" ref="U127">
      <text>
        <t xml:space="preserve">Ngày kết thúc lớp cha tự mở rộng nếu có công việc lớp 6 kết thúc muộn hơn khung gốc.</t>
      </text>
    </comment>
    <comment authorId="0" ref="V127">
      <text>
        <t xml:space="preserve">Ngày bắt đầu lớp cha tự mở rộng nếu có công việc lớp 6 bắt đầu sớm hơn khung gốc.</t>
      </text>
    </comment>
    <comment authorId="0" ref="AG259">
      <text>
        <t xml:space="preserve">Tự động tính từ tiến độ L6. Nếu chưa có L6, trạng thái Hoàn thành tương ứng 100%.</t>
      </text>
    </comment>
    <comment authorId="0" ref="D260">
      <text>
        <t xml:space="preserve">Tự động tính từ tiến độ L6. Nếu chưa có L6, trạng thái Hoàn thành tương ứng 100%.</t>
      </text>
    </comment>
    <comment authorId="0" ref="AG127">
      <text>
        <t xml:space="preserve">Tự động tính từ tiến độ L6. Nếu chưa có L6, trạng thái Hoàn thành tương ứng 100%.</t>
      </text>
    </comment>
    <comment authorId="0" ref="AK259">
      <text>
        <t xml:space="preserve">L5 phải nằm trong L4; L6 phải nằm trong L5. Đúng khung = hợp lệ. Ngoài khung = vượt ngày. Chưa có hoặc thiếu = chưa đủ dữ liệu.</t>
      </text>
    </comment>
    <comment authorId="0" ref="AL25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8">
      <text>
        <t xml:space="preserve">Tự động tính từ tiến độ L6. Nếu chưa có L6, trạng thái Hoàn thành tương ứng 100%.</t>
      </text>
    </comment>
    <comment authorId="0" ref="AK127">
      <text>
        <t xml:space="preserve">L5 phải nằm trong L4; L6 phải nằm trong L5. Đúng khung = hợp lệ. Ngoài khung = vượt ngày. Chưa có hoặc thiếu = chưa đủ dữ liệu.</t>
      </text>
    </comment>
    <comment authorId="0" ref="AL1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0">
      <text>
        <t xml:space="preserve">Ngày kết thúc lớp cha tự mở rộng nếu có công việc lớp 6 kết thúc muộn hơn khung gốc.</t>
      </text>
    </comment>
    <comment authorId="0" ref="V260">
      <text>
        <t xml:space="preserve">Ngày bắt đầu lớp cha tự mở rộng nếu có công việc lớp 6 bắt đầu sớm hơn khung gốc.</t>
      </text>
    </comment>
    <comment authorId="0" ref="U128">
      <text>
        <t xml:space="preserve">Ngày kết thúc lớp cha tự mở rộng nếu có công việc lớp 6 kết thúc muộn hơn khung gốc.</t>
      </text>
    </comment>
    <comment authorId="0" ref="V128">
      <text>
        <t xml:space="preserve">Ngày bắt đầu lớp cha tự mở rộng nếu có công việc lớp 6 bắt đầu sớm hơn khung gốc.</t>
      </text>
    </comment>
    <comment authorId="0" ref="AG260">
      <text>
        <t xml:space="preserve">Tự động tính từ tiến độ L6. Nếu chưa có L6, trạng thái Hoàn thành tương ứng 100%.</t>
      </text>
    </comment>
    <comment authorId="0" ref="D261">
      <text>
        <t xml:space="preserve">Tự động tính từ tiến độ L6. Nếu chưa có L6, trạng thái Hoàn thành tương ứng 100%.</t>
      </text>
    </comment>
    <comment authorId="0" ref="AG128">
      <text>
        <t xml:space="preserve">Tự động tính từ tiến độ L6. Nếu chưa có L6, trạng thái Hoàn thành tương ứng 100%.</t>
      </text>
    </comment>
    <comment authorId="0" ref="AK260">
      <text>
        <t xml:space="preserve">L5 phải nằm trong L4; L6 phải nằm trong L5. Đúng khung = hợp lệ. Ngoài khung = vượt ngày. Chưa có hoặc thiếu = chưa đủ dữ liệu.</t>
      </text>
    </comment>
    <comment authorId="0" ref="AL26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29">
      <text>
        <t xml:space="preserve">Tự động tính từ tiến độ L6. Nếu chưa có L6, trạng thái Hoàn thành tương ứng 100%.</t>
      </text>
    </comment>
    <comment authorId="0" ref="AK128">
      <text>
        <t xml:space="preserve">L5 phải nằm trong L4; L6 phải nằm trong L5. Đúng khung = hợp lệ. Ngoài khung = vượt ngày. Chưa có hoặc thiếu = chưa đủ dữ liệu.</t>
      </text>
    </comment>
    <comment authorId="0" ref="AL1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1">
      <text>
        <t xml:space="preserve">Ngày kết thúc lớp cha tự mở rộng nếu có công việc lớp 6 kết thúc muộn hơn khung gốc.</t>
      </text>
    </comment>
    <comment authorId="0" ref="V261">
      <text>
        <t xml:space="preserve">Ngày bắt đầu lớp cha tự mở rộng nếu có công việc lớp 6 bắt đầu sớm hơn khung gốc.</t>
      </text>
    </comment>
    <comment authorId="0" ref="U129">
      <text>
        <t xml:space="preserve">Ngày kết thúc lớp cha tự mở rộng nếu có công việc lớp 6 kết thúc muộn hơn khung gốc.</t>
      </text>
    </comment>
    <comment authorId="0" ref="V129">
      <text>
        <t xml:space="preserve">Ngày bắt đầu lớp cha tự mở rộng nếu có công việc lớp 6 bắt đầu sớm hơn khung gốc.</t>
      </text>
    </comment>
    <comment authorId="0" ref="AG261">
      <text>
        <t xml:space="preserve">Tự động tính từ tiến độ L6. Nếu chưa có L6, trạng thái Hoàn thành tương ứng 100%.</t>
      </text>
    </comment>
    <comment authorId="0" ref="D262">
      <text>
        <t xml:space="preserve">Tự động tính từ tiến độ L6. Nếu chưa có L6, trạng thái Hoàn thành tương ứng 100%.</t>
      </text>
    </comment>
    <comment authorId="0" ref="AG129">
      <text>
        <t xml:space="preserve">Tự động tính từ tiến độ L6. Nếu chưa có L6, trạng thái Hoàn thành tương ứng 100%.</t>
      </text>
    </comment>
    <comment authorId="0" ref="AK261">
      <text>
        <t xml:space="preserve">L5 phải nằm trong L4; L6 phải nằm trong L5. Đúng khung = hợp lệ. Ngoài khung = vượt ngày. Chưa có hoặc thiếu = chưa đủ dữ liệu.</t>
      </text>
    </comment>
    <comment authorId="0" ref="AL26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30">
      <text>
        <t xml:space="preserve">Tự động tính từ tiến độ L6. Nếu chưa có L6, trạng thái Hoàn thành tương ứng 100%.</t>
      </text>
    </comment>
    <comment authorId="0" ref="AK129">
      <text>
        <t xml:space="preserve">L5 phải nằm trong L4; L6 phải nằm trong L5. Đúng khung = hợp lệ. Ngoài khung = vượt ngày. Chưa có hoặc thiếu = chưa đủ dữ liệu.</t>
      </text>
    </comment>
    <comment authorId="0" ref="AL1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2">
      <text>
        <t xml:space="preserve">Ngày kết thúc lớp cha tự mở rộng nếu có công việc lớp 6 kết thúc muộn hơn khung gốc.</t>
      </text>
    </comment>
    <comment authorId="0" ref="V262">
      <text>
        <t xml:space="preserve">Ngày bắt đầu lớp cha tự mở rộng nếu có công việc lớp 6 bắt đầu sớm hơn khung gốc.</t>
      </text>
    </comment>
    <comment authorId="0" ref="U130">
      <text>
        <t xml:space="preserve">Ngày kết thúc lớp cha tự mở rộng nếu có công việc lớp 6 kết thúc muộn hơn khung gốc.</t>
      </text>
    </comment>
    <comment authorId="0" ref="V130">
      <text>
        <t xml:space="preserve">Ngày bắt đầu lớp cha tự mở rộng nếu có công việc lớp 6 bắt đầu sớm hơn khung gốc.</t>
      </text>
    </comment>
    <comment authorId="0" ref="AG262">
      <text>
        <t xml:space="preserve">Tự động tính từ tiến độ L6. Nếu chưa có L6, trạng thái Hoàn thành tương ứng 100%.</t>
      </text>
    </comment>
    <comment authorId="0" ref="D263">
      <text>
        <t xml:space="preserve">Tự động tính từ tiến độ L6. Nếu chưa có L6, trạng thái Hoàn thành tương ứng 100%.</t>
      </text>
    </comment>
    <comment authorId="0" ref="AG130">
      <text>
        <t xml:space="preserve">Tự động tính từ tiến độ L6. Nếu chưa có L6, trạng thái Hoàn thành tương ứng 100%.</t>
      </text>
    </comment>
    <comment authorId="0" ref="AK262">
      <text>
        <t xml:space="preserve">L5 phải nằm trong L4; L6 phải nằm trong L5. Đúng khung = hợp lệ. Ngoài khung = vượt ngày. Chưa có hoặc thiếu = chưa đủ dữ liệu.</t>
      </text>
    </comment>
    <comment authorId="0" ref="AL26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31">
      <text>
        <t xml:space="preserve">Tự động tính từ tiến độ L6. Nếu chưa có L6, trạng thái Hoàn thành tương ứng 100%.</t>
      </text>
    </comment>
    <comment authorId="0" ref="AK130">
      <text>
        <t xml:space="preserve">L5 phải nằm trong L4; L6 phải nằm trong L5. Đúng khung = hợp lệ. Ngoài khung = vượt ngày. Chưa có hoặc thiếu = chưa đủ dữ liệu.</t>
      </text>
    </comment>
    <comment authorId="0" ref="AL1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3">
      <text>
        <t xml:space="preserve">Ngày kết thúc lớp cha tự mở rộng nếu có công việc lớp 6 kết thúc muộn hơn khung gốc.</t>
      </text>
    </comment>
    <comment authorId="0" ref="V263">
      <text>
        <t xml:space="preserve">Ngày bắt đầu lớp cha tự mở rộng nếu có công việc lớp 6 bắt đầu sớm hơn khung gốc.</t>
      </text>
    </comment>
    <comment authorId="0" ref="U131">
      <text>
        <t xml:space="preserve">Ngày kết thúc lớp cha tự mở rộng nếu có công việc lớp 6 kết thúc muộn hơn khung gốc.</t>
      </text>
    </comment>
    <comment authorId="0" ref="V131">
      <text>
        <t xml:space="preserve">Ngày bắt đầu lớp cha tự mở rộng nếu có công việc lớp 6 bắt đầu sớm hơn khung gốc.</t>
      </text>
    </comment>
    <comment authorId="0" ref="AG263">
      <text>
        <t xml:space="preserve">Tự động tính từ tiến độ L6. Nếu chưa có L6, trạng thái Hoàn thành tương ứng 100%.</t>
      </text>
    </comment>
    <comment authorId="0" ref="D264">
      <text>
        <t xml:space="preserve">Tự động tính từ tiến độ L6. Nếu chưa có L6, trạng thái Hoàn thành tương ứng 100%.</t>
      </text>
    </comment>
    <comment authorId="0" ref="AG131">
      <text>
        <t xml:space="preserve">Tự động tính từ tiến độ L6. Nếu chưa có L6, trạng thái Hoàn thành tương ứng 100%.</t>
      </text>
    </comment>
    <comment authorId="0" ref="AK263">
      <text>
        <t xml:space="preserve">L5 phải nằm trong L4; L6 phải nằm trong L5. Đúng khung = hợp lệ. Ngoài khung = vượt ngày. Chưa có hoặc thiếu = chưa đủ dữ liệu.</t>
      </text>
    </comment>
    <comment authorId="0" ref="AL26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32">
      <text>
        <t xml:space="preserve">Tự động tính từ tiến độ L6. Nếu chưa có L6, trạng thái Hoàn thành tương ứng 100%.</t>
      </text>
    </comment>
    <comment authorId="0" ref="AK131">
      <text>
        <t xml:space="preserve">L5 phải nằm trong L4; L6 phải nằm trong L5. Đúng khung = hợp lệ. Ngoài khung = vượt ngày. Chưa có hoặc thiếu = chưa đủ dữ liệu.</t>
      </text>
    </comment>
    <comment authorId="0" ref="AL1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4">
      <text>
        <t xml:space="preserve">Ngày kết thúc lớp cha tự mở rộng nếu có công việc lớp 6 kết thúc muộn hơn khung gốc.</t>
      </text>
    </comment>
    <comment authorId="0" ref="V264">
      <text>
        <t xml:space="preserve">Ngày bắt đầu lớp cha tự mở rộng nếu có công việc lớp 6 bắt đầu sớm hơn khung gốc.</t>
      </text>
    </comment>
    <comment authorId="0" ref="U132">
      <text>
        <t xml:space="preserve">Ngày kết thúc lớp cha tự mở rộng nếu có công việc lớp 6 kết thúc muộn hơn khung gốc.</t>
      </text>
    </comment>
    <comment authorId="0" ref="V132">
      <text>
        <t xml:space="preserve">Ngày bắt đầu lớp cha tự mở rộng nếu có công việc lớp 6 bắt đầu sớm hơn khung gốc.</t>
      </text>
    </comment>
    <comment authorId="0" ref="AG264">
      <text>
        <t xml:space="preserve">Tự động tính từ tiến độ L6. Nếu chưa có L6, trạng thái Hoàn thành tương ứng 100%.</t>
      </text>
    </comment>
    <comment authorId="0" ref="D265">
      <text>
        <t xml:space="preserve">Tự động tính từ tiến độ L6. Nếu chưa có L6, trạng thái Hoàn thành tương ứng 100%.</t>
      </text>
    </comment>
    <comment authorId="0" ref="AG132">
      <text>
        <t xml:space="preserve">Tự động tính từ tiến độ L6. Nếu chưa có L6, trạng thái Hoàn thành tương ứng 100%.</t>
      </text>
    </comment>
    <comment authorId="0" ref="AK264">
      <text>
        <t xml:space="preserve">L5 phải nằm trong L4; L6 phải nằm trong L5. Đúng khung = hợp lệ. Ngoài khung = vượt ngày. Chưa có hoặc thiếu = chưa đủ dữ liệu.</t>
      </text>
    </comment>
    <comment authorId="0" ref="AL26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D133">
      <text>
        <t xml:space="preserve">Tự động tính từ tiến độ L6. Nếu chưa có L6, trạng thái Hoàn thành tương ứng 100%.</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32">
      <text>
        <t xml:space="preserve">Nhập tiến độ từ 0%–100% (ví dụ 50%). Chỉ nhập 100% khi công việc đã hoàn thành.</t>
      </text>
    </comment>
    <comment authorId="0" ref="AN264">
      <text>
        <t xml:space="preserve">L6 nằm trong ngày L5 = đúng khung. L6 vượt ngày L5 = ngoài khung. Thiếu mã L5 hoặc thiếu ngày = chưa đủ dữ liệu.</t>
      </text>
    </comment>
    <comment authorId="0" ref="D67">
      <text>
        <t xml:space="preserve">Ô nhập trực tiếp phần trăm hoàn thành tại L6.</t>
      </text>
    </comment>
    <comment authorId="0" ref="AO26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6">
      <text>
        <t xml:space="preserve">Nhập tiến độ từ 0%–100% (ví dụ 50%). Chỉ nhập 100% khi công việc đã hoàn thành.</t>
      </text>
    </comment>
    <comment authorId="0" ref="AN198">
      <text>
        <t xml:space="preserve">L6 nằm trong ngày L5 = đúng khung. L6 vượt ngày L5 = ngoài khung. Thiếu mã L5 hoặc thiếu ngày = chưa đủ dữ liệu.</t>
      </text>
    </comment>
    <comment authorId="0" ref="AO19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2">
      <text>
        <t xml:space="preserve">L6 nằm trong ngày L5 = đúng khung. L6 vượt ngày L5 = ngoài khung. Thiếu mã L5 hoặc thiếu ngày = chưa đủ dữ liệu.</t>
      </text>
    </comment>
    <comment authorId="0" ref="AO1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6">
      <text>
        <t xml:space="preserve">L6 nằm trong ngày L5 = đúng khung. L6 vượt ngày L5 = ngoài khung. Thiếu mã L5 hoặc thiếu ngày = chưa đủ dữ liệu.</t>
      </text>
    </comment>
    <comment authorId="0" ref="AO6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5">
      <text>
        <t xml:space="preserve">Nhập tiến độ từ 0%–100% (ví dụ 50%). Chỉ nhập 100% khi công việc đã hoàn thành.</t>
      </text>
    </comment>
    <comment authorId="0" ref="U199">
      <text>
        <t xml:space="preserve">Nhập tiến độ từ 0%–100% (ví dụ 50%). Chỉ nhập 100% khi công việc đã hoàn thành.</t>
      </text>
    </comment>
    <comment authorId="0" ref="U133">
      <text>
        <t xml:space="preserve">Nhập tiến độ từ 0%–100% (ví dụ 50%). Chỉ nhập 100% khi công việc đã hoàn thành.</t>
      </text>
    </comment>
    <comment authorId="0" ref="U67">
      <text>
        <t xml:space="preserve">Nhập tiến độ từ 0%–100% (ví dụ 50%). Chỉ nhập 100% khi công việc đã hoàn thành.</t>
      </text>
    </comment>
    <comment authorId="0" ref="D266">
      <text>
        <t xml:space="preserve">Ô nhập trực tiếp phần trăm hoàn thành tại L6.</t>
      </text>
    </comment>
    <comment authorId="0" ref="AJ265">
      <text>
        <t xml:space="preserve">Nhập tiến độ từ 0%–100% (ví dụ 50%). Chỉ nhập 100% khi công việc đã hoàn thành.</t>
      </text>
    </comment>
    <comment authorId="0" ref="D200">
      <text>
        <t xml:space="preserve">Ô nhập trực tiếp phần trăm hoàn thành tại L6.</t>
      </text>
    </comment>
    <comment authorId="0" ref="AJ199">
      <text>
        <t xml:space="preserve">Nhập tiến độ từ 0%–100% (ví dụ 50%). Chỉ nhập 100% khi công việc đã hoàn thành.</t>
      </text>
    </comment>
    <comment authorId="0" ref="D134">
      <text>
        <t xml:space="preserve">Ô nhập trực tiếp phần trăm hoàn thành tại L6.</t>
      </text>
    </comment>
    <comment authorId="0" ref="AJ133">
      <text>
        <t xml:space="preserve">Nhập tiến độ từ 0%–100% (ví dụ 50%). Chỉ nhập 100% khi công việc đã hoàn thành.</t>
      </text>
    </comment>
    <comment authorId="0" ref="AN265">
      <text>
        <t xml:space="preserve">L6 nằm trong ngày L5 = đúng khung. L6 vượt ngày L5 = ngoài khung. Thiếu mã L5 hoặc thiếu ngày = chưa đủ dữ liệu.</t>
      </text>
    </comment>
    <comment authorId="0" ref="D68">
      <text>
        <t xml:space="preserve">Ô nhập trực tiếp phần trăm hoàn thành tại L6.</t>
      </text>
    </comment>
    <comment authorId="0" ref="AO26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7">
      <text>
        <t xml:space="preserve">Nhập tiến độ từ 0%–100% (ví dụ 50%). Chỉ nhập 100% khi công việc đã hoàn thành.</t>
      </text>
    </comment>
    <comment authorId="0" ref="AN199">
      <text>
        <t xml:space="preserve">L6 nằm trong ngày L5 = đúng khung. L6 vượt ngày L5 = ngoài khung. Thiếu mã L5 hoặc thiếu ngày = chưa đủ dữ liệu.</t>
      </text>
    </comment>
    <comment authorId="0" ref="AO19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3">
      <text>
        <t xml:space="preserve">L6 nằm trong ngày L5 = đúng khung. L6 vượt ngày L5 = ngoài khung. Thiếu mã L5 hoặc thiếu ngày = chưa đủ dữ liệu.</t>
      </text>
    </comment>
    <comment authorId="0" ref="AO1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7">
      <text>
        <t xml:space="preserve">L6 nằm trong ngày L5 = đúng khung. L6 vượt ngày L5 = ngoài khung. Thiếu mã L5 hoặc thiếu ngày = chưa đủ dữ liệu.</t>
      </text>
    </comment>
    <comment authorId="0" ref="AO6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6">
      <text>
        <t xml:space="preserve">Nhập tiến độ từ 0%–100% (ví dụ 50%). Chỉ nhập 100% khi công việc đã hoàn thành.</t>
      </text>
    </comment>
    <comment authorId="0" ref="U200">
      <text>
        <t xml:space="preserve">Nhập tiến độ từ 0%–100% (ví dụ 50%). Chỉ nhập 100% khi công việc đã hoàn thành.</t>
      </text>
    </comment>
    <comment authorId="0" ref="U134">
      <text>
        <t xml:space="preserve">Nhập tiến độ từ 0%–100% (ví dụ 50%). Chỉ nhập 100% khi công việc đã hoàn thành.</t>
      </text>
    </comment>
    <comment authorId="0" ref="U68">
      <text>
        <t xml:space="preserve">Nhập tiến độ từ 0%–100% (ví dụ 50%). Chỉ nhập 100% khi công việc đã hoàn thành.</t>
      </text>
    </comment>
    <comment authorId="0" ref="D267">
      <text>
        <t xml:space="preserve">Ô nhập trực tiếp phần trăm hoàn thành tại L6.</t>
      </text>
    </comment>
    <comment authorId="0" ref="AJ266">
      <text>
        <t xml:space="preserve">Nhập tiến độ từ 0%–100% (ví dụ 50%). Chỉ nhập 100% khi công việc đã hoàn thành.</t>
      </text>
    </comment>
    <comment authorId="0" ref="D201">
      <text>
        <t xml:space="preserve">Ô nhập trực tiếp phần trăm hoàn thành tại L6.</t>
      </text>
    </comment>
    <comment authorId="0" ref="AJ200">
      <text>
        <t xml:space="preserve">Nhập tiến độ từ 0%–100% (ví dụ 50%). Chỉ nhập 100% khi công việc đã hoàn thành.</t>
      </text>
    </comment>
    <comment authorId="0" ref="D135">
      <text>
        <t xml:space="preserve">Ô nhập trực tiếp phần trăm hoàn thành tại L6.</t>
      </text>
    </comment>
    <comment authorId="0" ref="AJ134">
      <text>
        <t xml:space="preserve">Nhập tiến độ từ 0%–100% (ví dụ 50%). Chỉ nhập 100% khi công việc đã hoàn thành.</t>
      </text>
    </comment>
    <comment authorId="0" ref="AN266">
      <text>
        <t xml:space="preserve">L6 nằm trong ngày L5 = đúng khung. L6 vượt ngày L5 = ngoài khung. Thiếu mã L5 hoặc thiếu ngày = chưa đủ dữ liệu.</t>
      </text>
    </comment>
    <comment authorId="0" ref="D69">
      <text>
        <t xml:space="preserve">Ô nhập trực tiếp phần trăm hoàn thành tại L6.</t>
      </text>
    </comment>
    <comment authorId="0" ref="AO26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8">
      <text>
        <t xml:space="preserve">Nhập tiến độ từ 0%–100% (ví dụ 50%). Chỉ nhập 100% khi công việc đã hoàn thành.</t>
      </text>
    </comment>
    <comment authorId="0" ref="AN200">
      <text>
        <t xml:space="preserve">L6 nằm trong ngày L5 = đúng khung. L6 vượt ngày L5 = ngoài khung. Thiếu mã L5 hoặc thiếu ngày = chưa đủ dữ liệu.</t>
      </text>
    </comment>
    <comment authorId="0" ref="AO20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4">
      <text>
        <t xml:space="preserve">L6 nằm trong ngày L5 = đúng khung. L6 vượt ngày L5 = ngoài khung. Thiếu mã L5 hoặc thiếu ngày = chưa đủ dữ liệu.</t>
      </text>
    </comment>
    <comment authorId="0" ref="AO1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8">
      <text>
        <t xml:space="preserve">L6 nằm trong ngày L5 = đúng khung. L6 vượt ngày L5 = ngoài khung. Thiếu mã L5 hoặc thiếu ngày = chưa đủ dữ liệu.</t>
      </text>
    </comment>
    <comment authorId="0" ref="AO6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7">
      <text>
        <t xml:space="preserve">Nhập tiến độ từ 0%–100% (ví dụ 50%). Chỉ nhập 100% khi công việc đã hoàn thành.</t>
      </text>
    </comment>
    <comment authorId="0" ref="U201">
      <text>
        <t xml:space="preserve">Nhập tiến độ từ 0%–100% (ví dụ 50%). Chỉ nhập 100% khi công việc đã hoàn thành.</t>
      </text>
    </comment>
    <comment authorId="0" ref="U135">
      <text>
        <t xml:space="preserve">Nhập tiến độ từ 0%–100% (ví dụ 50%). Chỉ nhập 100% khi công việc đã hoàn thành.</t>
      </text>
    </comment>
    <comment authorId="0" ref="U69">
      <text>
        <t xml:space="preserve">Nhập tiến độ từ 0%–100% (ví dụ 50%). Chỉ nhập 100% khi công việc đã hoàn thành.</t>
      </text>
    </comment>
    <comment authorId="0" ref="AJ267">
      <text>
        <t xml:space="preserve">Nhập tiến độ từ 0%–100% (ví dụ 50%). Chỉ nhập 100% khi công việc đã hoàn thành.</t>
      </text>
    </comment>
    <comment authorId="0" ref="D202">
      <text>
        <t xml:space="preserve">Ô nhập trực tiếp phần trăm hoàn thành tại L6.</t>
      </text>
    </comment>
    <comment authorId="0" ref="AJ201">
      <text>
        <t xml:space="preserve">Nhập tiến độ từ 0%–100% (ví dụ 50%). Chỉ nhập 100% khi công việc đã hoàn thành.</t>
      </text>
    </comment>
    <comment authorId="0" ref="D136">
      <text>
        <t xml:space="preserve">Ô nhập trực tiếp phần trăm hoàn thành tại L6.</t>
      </text>
    </comment>
    <comment authorId="0" ref="AJ135">
      <text>
        <t xml:space="preserve">Nhập tiến độ từ 0%–100% (ví dụ 50%). Chỉ nhập 100% khi công việc đã hoàn thành.</t>
      </text>
    </comment>
    <comment authorId="0" ref="AN267">
      <text>
        <t xml:space="preserve">L6 nằm trong ngày L5 = đúng khung. L6 vượt ngày L5 = ngoài khung. Thiếu mã L5 hoặc thiếu ngày = chưa đủ dữ liệu.</t>
      </text>
    </comment>
    <comment authorId="0" ref="D70">
      <text>
        <t xml:space="preserve">Ô nhập trực tiếp phần trăm hoàn thành tại L6.</t>
      </text>
    </comment>
    <comment authorId="0" ref="AO26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9">
      <text>
        <t xml:space="preserve">Nhập tiến độ từ 0%–100% (ví dụ 50%). Chỉ nhập 100% khi công việc đã hoàn thành.</t>
      </text>
    </comment>
    <comment authorId="0" ref="AN201">
      <text>
        <t xml:space="preserve">L6 nằm trong ngày L5 = đúng khung. L6 vượt ngày L5 = ngoài khung. Thiếu mã L5 hoặc thiếu ngày = chưa đủ dữ liệu.</t>
      </text>
    </comment>
    <comment authorId="0" ref="AO20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5">
      <text>
        <t xml:space="preserve">L6 nằm trong ngày L5 = đúng khung. L6 vượt ngày L5 = ngoài khung. Thiếu mã L5 hoặc thiếu ngày = chưa đủ dữ liệu.</t>
      </text>
    </comment>
    <comment authorId="0" ref="AO1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9">
      <text>
        <t xml:space="preserve">L6 nằm trong ngày L5 = đúng khung. L6 vượt ngày L5 = ngoài khung. Thiếu mã L5 hoặc thiếu ngày = chưa đủ dữ liệu.</t>
      </text>
    </comment>
    <comment authorId="0" ref="AO6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2">
      <text>
        <t xml:space="preserve">Nhập tiến độ từ 0%–100% (ví dụ 50%). Chỉ nhập 100% khi công việc đã hoàn thành.</t>
      </text>
    </comment>
    <comment authorId="0" ref="U136">
      <text>
        <t xml:space="preserve">Nhập tiến độ từ 0%–100% (ví dụ 50%). Chỉ nhập 100% khi công việc đã hoàn thành.</t>
      </text>
    </comment>
    <comment authorId="0" ref="U70">
      <text>
        <t xml:space="preserve">Nhập tiến độ từ 0%–100% (ví dụ 50%). Chỉ nhập 100% khi công việc đã hoàn thành.</t>
      </text>
    </comment>
    <comment authorId="0" ref="D203">
      <text>
        <t xml:space="preserve">Ô nhập trực tiếp phần trăm hoàn thành tại L6.</t>
      </text>
    </comment>
    <comment authorId="0" ref="AJ202">
      <text>
        <t xml:space="preserve">Nhập tiến độ từ 0%–100% (ví dụ 50%). Chỉ nhập 100% khi công việc đã hoàn thành.</t>
      </text>
    </comment>
    <comment authorId="0" ref="D137">
      <text>
        <t xml:space="preserve">Ô nhập trực tiếp phần trăm hoàn thành tại L6.</t>
      </text>
    </comment>
    <comment authorId="0" ref="AJ136">
      <text>
        <t xml:space="preserve">Nhập tiến độ từ 0%–100% (ví dụ 50%). Chỉ nhập 100% khi công việc đã hoàn thành.</t>
      </text>
    </comment>
    <comment authorId="0" ref="D71">
      <text>
        <t xml:space="preserve">Ô nhập trực tiếp phần trăm hoàn thành tại L6.</t>
      </text>
    </comment>
    <comment authorId="0" ref="AJ70">
      <text>
        <t xml:space="preserve">Nhập tiến độ từ 0%–100% (ví dụ 50%). Chỉ nhập 100% khi công việc đã hoàn thành.</t>
      </text>
    </comment>
    <comment authorId="0" ref="AN202">
      <text>
        <t xml:space="preserve">L6 nằm trong ngày L5 = đúng khung. L6 vượt ngày L5 = ngoài khung. Thiếu mã L5 hoặc thiếu ngày = chưa đủ dữ liệu.</t>
      </text>
    </comment>
    <comment authorId="0" ref="AO20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6">
      <text>
        <t xml:space="preserve">L6 nằm trong ngày L5 = đúng khung. L6 vượt ngày L5 = ngoài khung. Thiếu mã L5 hoặc thiếu ngày = chưa đủ dữ liệu.</t>
      </text>
    </comment>
    <comment authorId="0" ref="AO1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0">
      <text>
        <t xml:space="preserve">L6 nằm trong ngày L5 = đúng khung. L6 vượt ngày L5 = ngoài khung. Thiếu mã L5 hoặc thiếu ngày = chưa đủ dữ liệu.</t>
      </text>
    </comment>
    <comment authorId="0" ref="AO7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3">
      <text>
        <t xml:space="preserve">Nhập tiến độ từ 0%–100% (ví dụ 50%). Chỉ nhập 100% khi công việc đã hoàn thành.</t>
      </text>
    </comment>
    <comment authorId="0" ref="U137">
      <text>
        <t xml:space="preserve">Nhập tiến độ từ 0%–100% (ví dụ 50%). Chỉ nhập 100% khi công việc đã hoàn thành.</t>
      </text>
    </comment>
    <comment authorId="0" ref="U71">
      <text>
        <t xml:space="preserve">Nhập tiến độ từ 0%–100% (ví dụ 50%). Chỉ nhập 100% khi công việc đã hoàn thành.</t>
      </text>
    </comment>
    <comment authorId="0" ref="D204">
      <text>
        <t xml:space="preserve">Ô nhập trực tiếp phần trăm hoàn thành tại L6.</t>
      </text>
    </comment>
    <comment authorId="0" ref="AJ203">
      <text>
        <t xml:space="preserve">Nhập tiến độ từ 0%–100% (ví dụ 50%). Chỉ nhập 100% khi công việc đã hoàn thành.</t>
      </text>
    </comment>
    <comment authorId="0" ref="D138">
      <text>
        <t xml:space="preserve">Ô nhập trực tiếp phần trăm hoàn thành tại L6.</t>
      </text>
    </comment>
    <comment authorId="0" ref="AJ137">
      <text>
        <t xml:space="preserve">Nhập tiến độ từ 0%–100% (ví dụ 50%). Chỉ nhập 100% khi công việc đã hoàn thành.</t>
      </text>
    </comment>
    <comment authorId="0" ref="D72">
      <text>
        <t xml:space="preserve">Ô nhập trực tiếp phần trăm hoàn thành tại L6.</t>
      </text>
    </comment>
    <comment authorId="0" ref="AJ71">
      <text>
        <t xml:space="preserve">Nhập tiến độ từ 0%–100% (ví dụ 50%). Chỉ nhập 100% khi công việc đã hoàn thành.</t>
      </text>
    </comment>
    <comment authorId="0" ref="AN203">
      <text>
        <t xml:space="preserve">L6 nằm trong ngày L5 = đúng khung. L6 vượt ngày L5 = ngoài khung. Thiếu mã L5 hoặc thiếu ngày = chưa đủ dữ liệu.</t>
      </text>
    </comment>
    <comment authorId="0" ref="AO20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7">
      <text>
        <t xml:space="preserve">L6 nằm trong ngày L5 = đúng khung. L6 vượt ngày L5 = ngoài khung. Thiếu mã L5 hoặc thiếu ngày = chưa đủ dữ liệu.</t>
      </text>
    </comment>
    <comment authorId="0" ref="AO1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1">
      <text>
        <t xml:space="preserve">L6 nằm trong ngày L5 = đúng khung. L6 vượt ngày L5 = ngoài khung. Thiếu mã L5 hoặc thiếu ngày = chưa đủ dữ liệu.</t>
      </text>
    </comment>
    <comment authorId="0" ref="AO7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4">
      <text>
        <t xml:space="preserve">Nhập tiến độ từ 0%–100% (ví dụ 50%). Chỉ nhập 100% khi công việc đã hoàn thành.</t>
      </text>
    </comment>
    <comment authorId="0" ref="U138">
      <text>
        <t xml:space="preserve">Nhập tiến độ từ 0%–100% (ví dụ 50%). Chỉ nhập 100% khi công việc đã hoàn thành.</t>
      </text>
    </comment>
    <comment authorId="0" ref="U72">
      <text>
        <t xml:space="preserve">Nhập tiến độ từ 0%–100% (ví dụ 50%). Chỉ nhập 100% khi công việc đã hoàn thành.</t>
      </text>
    </comment>
    <comment authorId="0" ref="D205">
      <text>
        <t xml:space="preserve">Ô nhập trực tiếp phần trăm hoàn thành tại L6.</t>
      </text>
    </comment>
    <comment authorId="0" ref="AJ204">
      <text>
        <t xml:space="preserve">Nhập tiến độ từ 0%–100% (ví dụ 50%). Chỉ nhập 100% khi công việc đã hoàn thành.</t>
      </text>
    </comment>
    <comment authorId="0" ref="D139">
      <text>
        <t xml:space="preserve">Ô nhập trực tiếp phần trăm hoàn thành tại L6.</t>
      </text>
    </comment>
    <comment authorId="0" ref="AJ138">
      <text>
        <t xml:space="preserve">Nhập tiến độ từ 0%–100% (ví dụ 50%). Chỉ nhập 100% khi công việc đã hoàn thành.</t>
      </text>
    </comment>
    <comment authorId="0" ref="D73">
      <text>
        <t xml:space="preserve">Ô nhập trực tiếp phần trăm hoàn thành tại L6.</t>
      </text>
    </comment>
    <comment authorId="0" ref="AJ72">
      <text>
        <t xml:space="preserve">Nhập tiến độ từ 0%–100% (ví dụ 50%). Chỉ nhập 100% khi công việc đã hoàn thành.</t>
      </text>
    </comment>
    <comment authorId="0" ref="AN204">
      <text>
        <t xml:space="preserve">L6 nằm trong ngày L5 = đúng khung. L6 vượt ngày L5 = ngoài khung. Thiếu mã L5 hoặc thiếu ngày = chưa đủ dữ liệu.</t>
      </text>
    </comment>
    <comment authorId="0" ref="AO20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8">
      <text>
        <t xml:space="preserve">L6 nằm trong ngày L5 = đúng khung. L6 vượt ngày L5 = ngoài khung. Thiếu mã L5 hoặc thiếu ngày = chưa đủ dữ liệu.</t>
      </text>
    </comment>
    <comment authorId="0" ref="AO13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2">
      <text>
        <t xml:space="preserve">L6 nằm trong ngày L5 = đúng khung. L6 vượt ngày L5 = ngoài khung. Thiếu mã L5 hoặc thiếu ngày = chưa đủ dữ liệu.</t>
      </text>
    </comment>
    <comment authorId="0" ref="AO7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5">
      <text>
        <t xml:space="preserve">Nhập tiến độ từ 0%–100% (ví dụ 50%). Chỉ nhập 100% khi công việc đã hoàn thành.</t>
      </text>
    </comment>
    <comment authorId="0" ref="U139">
      <text>
        <t xml:space="preserve">Nhập tiến độ từ 0%–100% (ví dụ 50%). Chỉ nhập 100% khi công việc đã hoàn thành.</t>
      </text>
    </comment>
    <comment authorId="0" ref="U73">
      <text>
        <t xml:space="preserve">Nhập tiến độ từ 0%–100% (ví dụ 50%). Chỉ nhập 100% khi công việc đã hoàn thành.</t>
      </text>
    </comment>
    <comment authorId="0" ref="D206">
      <text>
        <t xml:space="preserve">Ô nhập trực tiếp phần trăm hoàn thành tại L6.</t>
      </text>
    </comment>
    <comment authorId="0" ref="AJ205">
      <text>
        <t xml:space="preserve">Nhập tiến độ từ 0%–100% (ví dụ 50%). Chỉ nhập 100% khi công việc đã hoàn thành.</t>
      </text>
    </comment>
    <comment authorId="0" ref="D140">
      <text>
        <t xml:space="preserve">Ô nhập trực tiếp phần trăm hoàn thành tại L6.</t>
      </text>
    </comment>
    <comment authorId="0" ref="AJ139">
      <text>
        <t xml:space="preserve">Nhập tiến độ từ 0%–100% (ví dụ 50%). Chỉ nhập 100% khi công việc đã hoàn thành.</t>
      </text>
    </comment>
    <comment authorId="0" ref="D74">
      <text>
        <t xml:space="preserve">Ô nhập trực tiếp phần trăm hoàn thành tại L6.</t>
      </text>
    </comment>
    <comment authorId="0" ref="AJ73">
      <text>
        <t xml:space="preserve">Nhập tiến độ từ 0%–100% (ví dụ 50%). Chỉ nhập 100% khi công việc đã hoàn thành.</t>
      </text>
    </comment>
    <comment authorId="0" ref="AN205">
      <text>
        <t xml:space="preserve">L6 nằm trong ngày L5 = đúng khung. L6 vượt ngày L5 = ngoài khung. Thiếu mã L5 hoặc thiếu ngày = chưa đủ dữ liệu.</t>
      </text>
    </comment>
    <comment authorId="0" ref="AO20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9">
      <text>
        <t xml:space="preserve">L6 nằm trong ngày L5 = đúng khung. L6 vượt ngày L5 = ngoài khung. Thiếu mã L5 hoặc thiếu ngày = chưa đủ dữ liệu.</t>
      </text>
    </comment>
    <comment authorId="0" ref="AO13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3">
      <text>
        <t xml:space="preserve">L6 nằm trong ngày L5 = đúng khung. L6 vượt ngày L5 = ngoài khung. Thiếu mã L5 hoặc thiếu ngày = chưa đủ dữ liệu.</t>
      </text>
    </comment>
    <comment authorId="0" ref="AO7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6">
      <text>
        <t xml:space="preserve">Nhập tiến độ từ 0%–100% (ví dụ 50%). Chỉ nhập 100% khi công việc đã hoàn thành.</t>
      </text>
    </comment>
    <comment authorId="0" ref="U140">
      <text>
        <t xml:space="preserve">Nhập tiến độ từ 0%–100% (ví dụ 50%). Chỉ nhập 100% khi công việc đã hoàn thành.</t>
      </text>
    </comment>
    <comment authorId="0" ref="U74">
      <text>
        <t xml:space="preserve">Nhập tiến độ từ 0%–100% (ví dụ 50%). Chỉ nhập 100% khi công việc đã hoàn thành.</t>
      </text>
    </comment>
    <comment authorId="0" ref="D207">
      <text>
        <t xml:space="preserve">Ô nhập trực tiếp phần trăm hoàn thành tại L6.</t>
      </text>
    </comment>
    <comment authorId="0" ref="AJ206">
      <text>
        <t xml:space="preserve">Nhập tiến độ từ 0%–100% (ví dụ 50%). Chỉ nhập 100% khi công việc đã hoàn thành.</t>
      </text>
    </comment>
    <comment authorId="0" ref="D141">
      <text>
        <t xml:space="preserve">Ô nhập trực tiếp phần trăm hoàn thành tại L6.</t>
      </text>
    </comment>
    <comment authorId="0" ref="AJ140">
      <text>
        <t xml:space="preserve">Nhập tiến độ từ 0%–100% (ví dụ 50%). Chỉ nhập 100% khi công việc đã hoàn thành.</t>
      </text>
    </comment>
    <comment authorId="0" ref="D75">
      <text>
        <t xml:space="preserve">Ô nhập trực tiếp phần trăm hoàn thành tại L6.</t>
      </text>
    </comment>
    <comment authorId="0" ref="AJ74">
      <text>
        <t xml:space="preserve">Nhập tiến độ từ 0%–100% (ví dụ 50%). Chỉ nhập 100% khi công việc đã hoàn thành.</t>
      </text>
    </comment>
    <comment authorId="0" ref="AN206">
      <text>
        <t xml:space="preserve">L6 nằm trong ngày L5 = đúng khung. L6 vượt ngày L5 = ngoài khung. Thiếu mã L5 hoặc thiếu ngày = chưa đủ dữ liệu.</t>
      </text>
    </comment>
    <comment authorId="0" ref="AO20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40">
      <text>
        <t xml:space="preserve">L6 nằm trong ngày L5 = đúng khung. L6 vượt ngày L5 = ngoài khung. Thiếu mã L5 hoặc thiếu ngày = chưa đủ dữ liệu.</t>
      </text>
    </comment>
    <comment authorId="0" ref="AO14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4">
      <text>
        <t xml:space="preserve">L6 nằm trong ngày L5 = đúng khung. L6 vượt ngày L5 = ngoài khung. Thiếu mã L5 hoặc thiếu ngày = chưa đủ dữ liệu.</t>
      </text>
    </comment>
    <comment authorId="0" ref="AO7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7">
      <text>
        <t xml:space="preserve">Nhập tiến độ từ 0%–100% (ví dụ 50%). Chỉ nhập 100% khi công việc đã hoàn thành.</t>
      </text>
    </comment>
    <comment authorId="0" ref="U141">
      <text>
        <t xml:space="preserve">Nhập tiến độ từ 0%–100% (ví dụ 50%). Chỉ nhập 100% khi công việc đã hoàn thành.</t>
      </text>
    </comment>
    <comment authorId="0" ref="U75">
      <text>
        <t xml:space="preserve">Nhập tiến độ từ 0%–100% (ví dụ 50%). Chỉ nhập 100% khi công việc đã hoàn thành.</t>
      </text>
    </comment>
    <comment authorId="0" ref="D208">
      <text>
        <t xml:space="preserve">Ô nhập trực tiếp phần trăm hoàn thành tại L6.</t>
      </text>
    </comment>
    <comment authorId="0" ref="AJ207">
      <text>
        <t xml:space="preserve">Nhập tiến độ từ 0%–100% (ví dụ 50%). Chỉ nhập 100% khi công việc đã hoàn thành.</t>
      </text>
    </comment>
    <comment authorId="0" ref="D142">
      <text>
        <t xml:space="preserve">Ô nhập trực tiếp phần trăm hoàn thành tại L6.</t>
      </text>
    </comment>
    <comment authorId="0" ref="AJ141">
      <text>
        <t xml:space="preserve">Nhập tiến độ từ 0%–100% (ví dụ 50%). Chỉ nhập 100% khi công việc đã hoàn thành.</t>
      </text>
    </comment>
    <comment authorId="0" ref="D76">
      <text>
        <t xml:space="preserve">Ô nhập trực tiếp phần trăm hoàn thành tại L6.</t>
      </text>
    </comment>
    <comment authorId="0" ref="AJ75">
      <text>
        <t xml:space="preserve">Nhập tiến độ từ 0%–100% (ví dụ 50%). Chỉ nhập 100% khi công việc đã hoàn thành.</t>
      </text>
    </comment>
    <comment authorId="0" ref="AN207">
      <text>
        <t xml:space="preserve">L6 nằm trong ngày L5 = đúng khung. L6 vượt ngày L5 = ngoài khung. Thiếu mã L5 hoặc thiếu ngày = chưa đủ dữ liệu.</t>
      </text>
    </comment>
    <comment authorId="0" ref="AO20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41">
      <text>
        <t xml:space="preserve">L6 nằm trong ngày L5 = đúng khung. L6 vượt ngày L5 = ngoài khung. Thiếu mã L5 hoặc thiếu ngày = chưa đủ dữ liệu.</t>
      </text>
    </comment>
    <comment authorId="0" ref="AO14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5">
      <text>
        <t xml:space="preserve">L6 nằm trong ngày L5 = đúng khung. L6 vượt ngày L5 = ngoài khung. Thiếu mã L5 hoặc thiếu ngày = chưa đủ dữ liệu.</t>
      </text>
    </comment>
    <comment authorId="0" ref="AO7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8">
      <text>
        <t xml:space="preserve">Nhập tiến độ từ 0%–100% (ví dụ 50%). Chỉ nhập 100% khi công việc đã hoàn thành.</t>
      </text>
    </comment>
    <comment authorId="0" ref="U142">
      <text>
        <t xml:space="preserve">Nhập tiến độ từ 0%–100% (ví dụ 50%). Chỉ nhập 100% khi công việc đã hoàn thành.</t>
      </text>
    </comment>
    <comment authorId="0" ref="U76">
      <text>
        <t xml:space="preserve">Nhập tiến độ từ 0%–100% (ví dụ 50%). Chỉ nhập 100% khi công việc đã hoàn thành.</t>
      </text>
    </comment>
    <comment authorId="0" ref="D209">
      <text>
        <t xml:space="preserve">Ô nhập trực tiếp phần trăm hoàn thành tại L6.</t>
      </text>
    </comment>
    <comment authorId="0" ref="AJ208">
      <text>
        <t xml:space="preserve">Nhập tiến độ từ 0%–100% (ví dụ 50%). Chỉ nhập 100% khi công việc đã hoàn thành.</t>
      </text>
    </comment>
    <comment authorId="0" ref="D143">
      <text>
        <t xml:space="preserve">Ô nhập trực tiếp phần trăm hoàn thành tại L6.</t>
      </text>
    </comment>
    <comment authorId="0" ref="AJ142">
      <text>
        <t xml:space="preserve">Nhập tiến độ từ 0%–100% (ví dụ 50%). Chỉ nhập 100% khi công việc đã hoàn thành.</t>
      </text>
    </comment>
    <comment authorId="0" ref="D77">
      <text>
        <t xml:space="preserve">Ô nhập trực tiếp phần trăm hoàn thành tại L6.</t>
      </text>
    </comment>
    <comment authorId="0" ref="AJ76">
      <text>
        <t xml:space="preserve">Nhập tiến độ từ 0%–100% (ví dụ 50%). Chỉ nhập 100% khi công việc đã hoàn thành.</t>
      </text>
    </comment>
    <comment authorId="0" ref="AN208">
      <text>
        <t xml:space="preserve">L6 nằm trong ngày L5 = đúng khung. L6 vượt ngày L5 = ngoài khung. Thiếu mã L5 hoặc thiếu ngày = chưa đủ dữ liệu.</t>
      </text>
    </comment>
    <comment authorId="0" ref="AO20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42">
      <text>
        <t xml:space="preserve">L6 nằm trong ngày L5 = đúng khung. L6 vượt ngày L5 = ngoài khung. Thiếu mã L5 hoặc thiếu ngày = chưa đủ dữ liệu.</t>
      </text>
    </comment>
    <comment authorId="0" ref="AO14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6">
      <text>
        <t xml:space="preserve">L6 nằm trong ngày L5 = đúng khung. L6 vượt ngày L5 = ngoài khung. Thiếu mã L5 hoặc thiếu ngày = chưa đủ dữ liệu.</t>
      </text>
    </comment>
    <comment authorId="0" ref="AO7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09">
      <text>
        <t xml:space="preserve">Nhập tiến độ từ 0%–100% (ví dụ 50%). Chỉ nhập 100% khi công việc đã hoàn thành.</t>
      </text>
    </comment>
    <comment authorId="0" ref="U143">
      <text>
        <t xml:space="preserve">Nhập tiến độ từ 0%–100% (ví dụ 50%). Chỉ nhập 100% khi công việc đã hoàn thành.</t>
      </text>
    </comment>
    <comment authorId="0" ref="U77">
      <text>
        <t xml:space="preserve">Nhập tiến độ từ 0%–100% (ví dụ 50%). Chỉ nhập 100% khi công việc đã hoàn thành.</t>
      </text>
    </comment>
    <comment authorId="0" ref="D210">
      <text>
        <t xml:space="preserve">Ô nhập trực tiếp phần trăm hoàn thành tại L6.</t>
      </text>
    </comment>
    <comment authorId="0" ref="AJ209">
      <text>
        <t xml:space="preserve">Nhập tiến độ từ 0%–100% (ví dụ 50%). Chỉ nhập 100% khi công việc đã hoàn thành.</t>
      </text>
    </comment>
    <comment authorId="0" ref="D144">
      <text>
        <t xml:space="preserve">Ô nhập trực tiếp phần trăm hoàn thành tại L6.</t>
      </text>
    </comment>
    <comment authorId="0" ref="A12">
      <text>
        <t xml:space="preserve">Sheet này là báo cáo/tổng hợp. Không nhập hoặc chỉnh sửa trực tiếp tại các dòng dữ liệu.</t>
      </text>
    </comment>
    <comment authorId="0" ref="AJ143">
      <text>
        <t xml:space="preserve">Nhập tiến độ từ 0%–100% (ví dụ 50%). Chỉ nhập 100% khi công việc đã hoàn thành.</t>
      </text>
    </comment>
    <comment authorId="0" ref="D78">
      <text>
        <t xml:space="preserve">Ô nhập trực tiếp phần trăm hoàn thành tại L6.</t>
      </text>
    </comment>
    <comment authorId="0" ref="AJ77">
      <text>
        <t xml:space="preserve">Nhập tiến độ từ 0%–100% (ví dụ 50%). Chỉ nhập 100% khi công việc đã hoàn thành.</t>
      </text>
    </comment>
    <comment authorId="0" ref="AN209">
      <text>
        <t xml:space="preserve">L6 nằm trong ngày L5 = đúng khung. L6 vượt ngày L5 = ngoài khung. Thiếu mã L5 hoặc thiếu ngày = chưa đủ dữ liệu.</t>
      </text>
    </comment>
    <comment authorId="0" ref="AO20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43">
      <text>
        <t xml:space="preserve">L6 nằm trong ngày L5 = đúng khung. L6 vượt ngày L5 = ngoài khung. Thiếu mã L5 hoặc thiếu ngày = chưa đủ dữ liệu.</t>
      </text>
    </comment>
    <comment authorId="0" ref="AO14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7">
      <text>
        <t xml:space="preserve">L6 nằm trong ngày L5 = đúng khung. L6 vượt ngày L5 = ngoài khung. Thiếu mã L5 hoặc thiếu ngày = chưa đủ dữ liệu.</t>
      </text>
    </comment>
    <comment authorId="0" ref="AO7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I12">
      <text>
        <t xml:space="preserve">Các cột kế thừa từ Lớp 5 và các cột tính toán phụ trợ đã được ẩn để dễ sử dụng; không xóa vì vẫn phục vụ công thức.</t>
      </text>
    </comment>
    <comment authorId="0" ref="U210">
      <text>
        <t xml:space="preserve">Nhập tiến độ từ 0%–100% (ví dụ 50%). Chỉ nhập 100% khi công việc đã hoàn thành.</t>
      </text>
    </comment>
    <comment authorId="0" ref="U144">
      <text>
        <t xml:space="preserve">Nhập tiến độ từ 0%–100% (ví dụ 50%). Chỉ nhập 100% khi công việc đã hoàn thành.</t>
      </text>
    </comment>
    <comment authorId="0" ref="U78">
      <text>
        <t xml:space="preserve">Nhập tiến độ từ 0%–100% (ví dụ 50%). Chỉ nhập 100% khi công việc đã hoàn thành.</t>
      </text>
    </comment>
    <comment authorId="0" ref="D211">
      <text>
        <t xml:space="preserve">Ô nhập trực tiếp phần trăm hoàn thành tại L6.</t>
      </text>
    </comment>
    <comment authorId="0" ref="AJ210">
      <text>
        <t xml:space="preserve">Nhập tiến độ từ 0%–100% (ví dụ 50%). Chỉ nhập 100% khi công việc đã hoàn thành.</t>
      </text>
    </comment>
    <comment authorId="0" ref="D145">
      <text>
        <t xml:space="preserve">Ô nhập trực tiếp phần trăm hoàn thành tại L6.</t>
      </text>
    </comment>
    <comment authorId="0" ref="A13">
      <text>
        <t xml:space="preserve">Số thứ tự tự động theo các dòng có tên công việc.</t>
      </text>
    </comment>
    <comment authorId="0" ref="AJ144">
      <text>
        <t xml:space="preserve">Nhập tiến độ từ 0%–100% (ví dụ 50%). Chỉ nhập 100% khi công việc đã hoàn thành.</t>
      </text>
    </comment>
    <comment authorId="0" ref="D79">
      <text>
        <t xml:space="preserve">Ô nhập trực tiếp phần trăm hoàn thành tại L6.</t>
      </text>
    </comment>
    <comment authorId="0" ref="B13">
      <text>
        <t xml:space="preserve">Tên hành động chi tiết đủ nhỏ để có thể giao cho một người/nhóm và theo dõi hoàn thành.</t>
      </text>
    </comment>
    <comment authorId="0" ref="C13">
      <text>
        <t xml:space="preserve">P1 cao nhất, P4 thấp nhất. Ưu tiên không thay thế deadline; cần đọc đồng thời cả hai.</t>
      </text>
    </comment>
    <comment authorId="0" ref="AJ78">
      <text>
        <t xml:space="preserve">Nhập tiến độ từ 0%–100% (ví dụ 50%). Chỉ nhập 100% khi công việc đã hoàn thành.</t>
      </text>
    </comment>
    <comment authorId="0" ref="AN210">
      <text>
        <t xml:space="preserve">L6 nằm trong ngày L5 = đúng khung. L6 vượt ngày L5 = ngoài khung. Thiếu mã L5 hoặc thiếu ngày = chưa đủ dữ liệu.</t>
      </text>
    </comment>
    <comment authorId="0" ref="AO21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44">
      <text>
        <t xml:space="preserve">L6 nằm trong ngày L5 = đúng khung. L6 vượt ngày L5 = ngoài khung. Thiếu mã L5 hoặc thiếu ngày = chưa đủ dữ liệu.</t>
      </text>
    </comment>
    <comment authorId="0" ref="F13">
      <text>
        <t xml:space="preserve">Ngày kết thúc công việc chi tiết lớp 6. Đây là trường nhập trực tiếp và là căn cứ tự mở rộng ngày của các lớp cha.</t>
      </text>
    </comment>
    <comment authorId="0" ref="AO14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8">
      <text>
        <t xml:space="preserve">L6 nằm trong ngày L5 = đúng khung. L6 vượt ngày L5 = ngoài khung. Thiếu mã L5 hoặc thiếu ngày = chưa đủ dữ liệu.</t>
      </text>
    </comment>
    <comment authorId="0" ref="G13">
      <text>
        <t xml:space="preserve">Ngày bắt đầu công việc chi tiết lớp 6. Đây là trường nhập trực tiếp và là căn cứ tự mở rộng ngày của các lớp cha.</t>
      </text>
    </comment>
    <comment authorId="0" ref="H13">
      <text>
        <t xml:space="preserve">Lớp 6 là cấp chi tiết cuối nên trường này thường là Không.</t>
      </text>
    </comment>
    <comment authorId="0" ref="AO7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I13">
      <text>
        <t xml:space="preserve">Mã L6 được tạo tự động từ Mã L5; không nhập hoặc sửa tay.</t>
      </text>
    </comment>
    <comment authorId="0" ref="J13">
      <text>
        <t xml:space="preserve">Trường quan trọng nhất để tạo quan hệ cha–con. Chọn đúng Mã L5 trước khi nhập việc chi tiết.</t>
      </text>
    </comment>
    <comment authorId="0" ref="U211">
      <text>
        <t xml:space="preserve">Nhập tiến độ từ 0%–100% (ví dụ 50%). Chỉ nhập 100% khi công việc đã hoàn thành.</t>
      </text>
    </comment>
    <comment authorId="0" ref="P13">
      <text>
        <t xml:space="preserve">Trường nhập nội dung công việc chi tiết của Lớp 5; đổi nhãn để người dùng dễ nhận biết, không thay đổi dữ liệu hoặc công thức.</t>
      </text>
    </comment>
    <comment authorId="0" ref="U145">
      <text>
        <t xml:space="preserve">Nhập tiến độ từ 0%–100% (ví dụ 50%). Chỉ nhập 100% khi công việc đã hoàn thành.</t>
      </text>
    </comment>
    <comment authorId="0" ref="S13">
      <text>
        <t xml:space="preserve">Tên hành động chi tiết đủ nhỏ để có thể giao cho một người/nhóm và theo dõi hoàn thành.</t>
      </text>
    </comment>
    <comment authorId="0" ref="U79">
      <text>
        <t xml:space="preserve">Nhập tiến độ từ 0%–100% (ví dụ 50%). Chỉ nhập 100% khi công việc đã hoàn thành.</t>
      </text>
    </comment>
    <comment authorId="0" ref="T13">
      <text>
        <t xml:space="preserve">P1 cao nhất, P4 thấp nhất. Ưu tiên không thay thế deadline; cần đọc đồng thời cả hai.</t>
      </text>
    </comment>
    <comment authorId="0" ref="W13">
      <text>
        <t xml:space="preserve">Tự tính ngày làm việc, loại Chủ nhật và ngày nghỉ lễ; thứ Bảy vẫn được tính.</t>
      </text>
    </comment>
    <comment authorId="0" ref="X13">
      <text>
        <t xml:space="preserve">Tỷ lệ tiến độ thực tế từ 0% đến 100%, do người thực hiện cập nhật.</t>
      </text>
    </comment>
    <comment authorId="0" ref="Y13">
      <text>
        <t xml:space="preserve">Số dương là ngày còn lại; số âm là số ngày quá hạn.</t>
      </text>
    </comment>
    <comment authorId="0" ref="Z13">
      <text>
        <t xml:space="preserve">Sản phẩm hoặc bằng chứng cụ thể phải tạo ra khi công việc hoàn thành.</t>
      </text>
    </comment>
    <comment authorId="0" ref="AA13">
      <text>
        <t xml:space="preserve">Mô tả lợi ích hoặc thay đổi cụ thể mà công việc tạo ra.</t>
      </text>
    </comment>
    <comment authorId="0" ref="AC13">
      <text>
        <t xml:space="preserve">Người hoặc nhóm chịu trách nhiệm chính. Chọn từ dropdown để thống kê tải chính xác.</t>
      </text>
    </comment>
    <comment authorId="0" ref="D212">
      <text>
        <t xml:space="preserve">Ô nhập trực tiếp phần trăm hoàn thành tại L6.</t>
      </text>
    </comment>
    <comment authorId="0" ref="AD13">
      <text>
        <t xml:space="preserve">Đơn vị hỗ trợ thực hiện. Có thể có nhiều đơn vị, ngăn cách bằng dấu chấm phẩy.</t>
      </text>
    </comment>
    <comment authorId="0" ref="AJ211">
      <text>
        <t xml:space="preserve">Nhập tiến độ từ 0%–100% (ví dụ 50%). Chỉ nhập 100% khi công việc đã hoàn thành.</t>
      </text>
    </comment>
    <comment authorId="0" ref="AE13">
      <text>
        <t xml:space="preserve">Trạng thái hiện tại của công việc. Khi chọn Hoàn thành, cần nhập Ngày hoàn thành thực tế và đường link kết quả.</t>
      </text>
    </comment>
    <comment authorId="0" ref="D146">
      <text>
        <t xml:space="preserve">Ô nhập trực tiếp phần trăm hoàn thành tại L6.</t>
      </text>
    </comment>
    <comment authorId="0" ref="AF13">
      <text>
        <t xml:space="preserve">P1 cao nhất, P4 thấp nhất. Ưu tiên không thay thế deadline; cần đọc đồng thời cả hai.</t>
      </text>
    </comment>
    <comment authorId="0" ref="AJ145">
      <text>
        <t xml:space="preserve">Nhập tiến độ từ 0%–100% (ví dụ 50%). Chỉ nhập 100% khi công việc đã hoàn thành.</t>
      </text>
    </comment>
    <comment authorId="0" ref="D80">
      <text>
        <t xml:space="preserve">Ô nhập trực tiếp phần trăm hoàn thành tại L6.</t>
      </text>
    </comment>
    <comment authorId="0" ref="AJ79">
      <text>
        <t xml:space="preserve">Nhập tiến độ từ 0%–100% (ví dụ 50%). Chỉ nhập 100% khi công việc đã hoàn thành.</t>
      </text>
    </comment>
    <comment authorId="0" ref="AN211">
      <text>
        <t xml:space="preserve">L6 nằm trong ngày L5 = đúng khung. L6 vượt ngày L5 = ngoài khung. Thiếu mã L5 hoặc thiếu ngày = chưa đủ dữ liệu.</t>
      </text>
    </comment>
    <comment authorId="0" ref="D14">
      <text>
        <t xml:space="preserve">Ô nhập trực tiếp phần trăm hoàn thành tại L6.</t>
      </text>
    </comment>
    <comment authorId="0" ref="AI13">
      <text>
        <t xml:space="preserve">Tự tính ngày làm việc, loại Chủ nhật và ngày nghỉ lễ; thứ Bảy vẫn được tính.</t>
      </text>
    </comment>
    <comment authorId="0" ref="AO21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3">
      <text>
        <t xml:space="preserve">Tỷ lệ tiến độ thực tế từ 0% đến 100%, do người thực hiện cập nhật.</t>
      </text>
    </comment>
    <comment authorId="0" ref="AN145">
      <text>
        <t xml:space="preserve">L6 nằm trong ngày L5 = đúng khung. L6 vượt ngày L5 = ngoài khung. Thiếu mã L5 hoặc thiếu ngày = chưa đủ dữ liệu.</t>
      </text>
    </comment>
    <comment authorId="0" ref="AK13">
      <text>
        <t xml:space="preserve">Số dương là ngày còn lại; số âm là số ngày quá hạn.</t>
      </text>
    </comment>
    <comment authorId="0" ref="AO14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79">
      <text>
        <t xml:space="preserve">L6 nằm trong ngày L5 = đúng khung. L6 vượt ngày L5 = ngoài khung. Thiếu mã L5 hoặc thiếu ngày = chưa đủ dữ liệu.</t>
      </text>
    </comment>
    <comment authorId="0" ref="AL13">
      <text>
        <t xml:space="preserve">Tổng số giờ ước tính để hoàn thành toàn bộ công việc L6.</t>
      </text>
    </comment>
    <comment authorId="0" ref="AM13">
      <text>
        <t xml:space="preserve">Số giờ công việc yêu cầu trung bình trong một ngày làm việc.</t>
      </text>
    </comment>
    <comment authorId="0" ref="AO7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
      <text>
        <t xml:space="preserve">Đối chiếu ngày Lớp 6 có nằm trong khung thời gian của Lớp 5 hay không.</t>
      </text>
    </comment>
    <comment authorId="0" ref="AO13">
      <text>
        <t xml:space="preserve">Cảnh báo tải của người thực hiện: bình thường, cận tải hoặc quá tải.</t>
      </text>
    </comment>
    <comment authorId="0" ref="AP13">
      <text>
        <t xml:space="preserve">Chọn cách công việc được xếp lịch: có thời hạn, định kỳ, khi phát sinh hoặc chưa xếp lịch.</t>
      </text>
    </comment>
    <comment authorId="0" ref="AQ13">
      <text>
        <t xml:space="preserve">Tần suất lặp lại, chỉ dùng khi Loại lịch là Định kỳ.</t>
      </text>
    </comment>
    <comment authorId="0" ref="AR13">
      <text>
        <t xml:space="preserve">Ngày dự kiến kiểm tra hoặc cập nhật lại công việc.</t>
      </text>
    </comment>
    <comment authorId="0" ref="AS13">
      <text>
        <t xml:space="preserve">Ngày công việc thực sự hoàn tất; chỉ nhập khi trạng thái là Hoàn thành.</t>
      </text>
    </comment>
    <comment authorId="0" ref="AT13">
      <text>
        <t xml:space="preserve">Tháng hoàn thành thực tế, hệ thống tự xác định từ ngày hoàn thành.</t>
      </text>
    </comment>
    <comment authorId="0" ref="U212">
      <text>
        <t xml:space="preserve">Nhập tiến độ từ 0%–100% (ví dụ 50%). Chỉ nhập 100% khi công việc đã hoàn thành.</t>
      </text>
    </comment>
    <comment authorId="0" ref="AU13">
      <text>
        <t xml:space="preserve">Link tới file, biên bản, báo cáo hoặc bằng chứng kết quả; nên bắt đầu bằng https://.</t>
      </text>
    </comment>
    <comment authorId="0" ref="AV13">
      <text>
        <t xml:space="preserve">Đơn vị tính cho mức phân bổ: ngày hoặc tuần.</t>
      </text>
    </comment>
    <comment authorId="0" ref="U146">
      <text>
        <t xml:space="preserve">Nhập tiến độ từ 0%–100% (ví dụ 50%). Chỉ nhập 100% khi công việc đã hoàn thành.</t>
      </text>
    </comment>
    <comment authorId="0" ref="AW13">
      <text>
        <t xml:space="preserve">Số giờ dự kiến dành cho công việc trong mỗi ngày hoặc tuần.</t>
      </text>
    </comment>
    <comment authorId="0" ref="AX13">
      <text>
        <t xml:space="preserve">Số giờ tối thiểu cần dành mỗi kỳ để hoàn thành đúng hạn.</t>
      </text>
    </comment>
    <comment authorId="0" ref="U80">
      <text>
        <t xml:space="preserve">Nhập tiến độ từ 0%–100% (ví dụ 50%). Chỉ nhập 100% khi công việc đã hoàn thành.</t>
      </text>
    </comment>
    <comment authorId="0" ref="AY13">
      <text>
        <t xml:space="preserve">So sánh giờ đã phân bổ với số giờ cần thiết để kịp hạn.</t>
      </text>
    </comment>
    <comment authorId="0" ref="AZ13">
      <text>
        <t xml:space="preserve">CỘT TỰ ĐỘNG — KHÔNG NHẬP DỮ LIỆU.
Cột này đối chiếu sự phù hợp giữa: Trạng thái, Ngày bắt đầu, Ngày kết thúc, % hoàn thành, Ngày hoàn thành thực tế và Đường link kết quả.
• OK: Dữ liệu hiện tại hợp lý, chưa phát hiện mâu thuẫn.
• Nếu hiện nội dung khác OK: Đó là cảnh báo cần kiểm tra và sửa theo đúng nội dung hiển thị.
Ví dụ:
- “Thiếu ngày bắt đầu/kết thúc”: cần nhập đủ ngày.
- “Ngày kết thúc trước ngày bắt đầu”: cần sửa lại thứ tự ngày.
- “Tiến độ 100% – chuyển Hoàn thành”: cần đổi trạng thái thành Hoàn thành.
- “Thiếu đường link kết quả”: công việc Hoàn thành nhưng chưa có link kết quả.
- “Quá hạn nhưng chưa bắt đầu”: ngày kết thúc đã qua nhưng trạng thái vẫn Chưa bắt đầu.</t>
      </text>
    </comment>
    <comment authorId="0" ref="U14">
      <text>
        <t xml:space="preserve">Nhập tiến độ từ 0%–100% (ví dụ 50%). Chỉ nhập 100% khi công việc đã hoàn thành.</t>
      </text>
    </comment>
    <comment authorId="0" ref="BA13">
      <text>
        <t xml:space="preserve">Dán liên kết tới báo cáo, tệp hoặc kết quả đã hoàn thành.</t>
      </text>
    </comment>
    <comment authorId="0" ref="D213">
      <text>
        <t xml:space="preserve">Ô nhập trực tiếp phần trăm hoàn thành tại L6.</t>
      </text>
    </comment>
    <comment authorId="0" ref="AJ212">
      <text>
        <t xml:space="preserve">Nhập tiến độ từ 0%–100% (ví dụ 50%). Chỉ nhập 100% khi công việc đã hoàn thành.</t>
      </text>
    </comment>
    <comment authorId="0" ref="D147">
      <text>
        <t xml:space="preserve">Ô nhập trực tiếp phần trăm hoàn thành tại L6.</t>
      </text>
    </comment>
    <comment authorId="0" ref="AJ146">
      <text>
        <t xml:space="preserve">Nhập tiến độ từ 0%–100% (ví dụ 50%). Chỉ nhập 100% khi công việc đã hoàn thành.</t>
      </text>
    </comment>
    <comment authorId="0" ref="D81">
      <text>
        <t xml:space="preserve">Ô nhập trực tiếp phần trăm hoàn thành tại L6.</t>
      </text>
    </comment>
    <comment authorId="0" ref="AJ80">
      <text>
        <t xml:space="preserve">Nhập tiến độ từ 0%–100% (ví dụ 50%). Chỉ nhập 100% khi công việc đã hoàn thành.</t>
      </text>
    </comment>
    <comment authorId="0" ref="AN212">
      <text>
        <t xml:space="preserve">L6 nằm trong ngày L5 = đúng khung. L6 vượt ngày L5 = ngoài khung. Thiếu mã L5 hoặc thiếu ngày = chưa đủ dữ liệu.</t>
      </text>
    </comment>
    <comment authorId="0" ref="D15">
      <text>
        <t xml:space="preserve">Ô nhập trực tiếp phần trăm hoàn thành tại L6.</t>
      </text>
    </comment>
    <comment authorId="0" ref="AO21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4">
      <text>
        <t xml:space="preserve">Nhập tiến độ từ 0%–100% (ví dụ 50%). Chỉ nhập 100% khi công việc đã hoàn thành.</t>
      </text>
    </comment>
    <comment authorId="0" ref="AN146">
      <text>
        <t xml:space="preserve">L6 nằm trong ngày L5 = đúng khung. L6 vượt ngày L5 = ngoài khung. Thiếu mã L5 hoặc thiếu ngày = chưa đủ dữ liệu.</t>
      </text>
    </comment>
    <comment authorId="0" ref="AO14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0">
      <text>
        <t xml:space="preserve">L6 nằm trong ngày L5 = đúng khung. L6 vượt ngày L5 = ngoài khung. Thiếu mã L5 hoặc thiếu ngày = chưa đủ dữ liệu.</t>
      </text>
    </comment>
    <comment authorId="0" ref="AO8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4">
      <text>
        <t xml:space="preserve">L6 nằm trong ngày L5 = đúng khung. L6 vượt ngày L5 = ngoài khung. Thiếu mã L5 hoặc thiếu ngày = chưa đủ dữ liệu.</t>
      </text>
    </comment>
    <comment authorId="0" ref="AO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3">
      <text>
        <t xml:space="preserve">Nhập tiến độ từ 0%–100% (ví dụ 50%). Chỉ nhập 100% khi công việc đã hoàn thành.</t>
      </text>
    </comment>
    <comment authorId="0" ref="U147">
      <text>
        <t xml:space="preserve">Nhập tiến độ từ 0%–100% (ví dụ 50%). Chỉ nhập 100% khi công việc đã hoàn thành.</t>
      </text>
    </comment>
    <comment authorId="0" ref="U81">
      <text>
        <t xml:space="preserve">Nhập tiến độ từ 0%–100% (ví dụ 50%). Chỉ nhập 100% khi công việc đã hoàn thành.</t>
      </text>
    </comment>
    <comment authorId="0" ref="U15">
      <text>
        <t xml:space="preserve">Nhập tiến độ từ 0%–100% (ví dụ 50%). Chỉ nhập 100% khi công việc đã hoàn thành.</t>
      </text>
    </comment>
    <comment authorId="0" ref="D214">
      <text>
        <t xml:space="preserve">Ô nhập trực tiếp phần trăm hoàn thành tại L6.</t>
      </text>
    </comment>
    <comment authorId="0" ref="AJ213">
      <text>
        <t xml:space="preserve">Nhập tiến độ từ 0%–100% (ví dụ 50%). Chỉ nhập 100% khi công việc đã hoàn thành.</t>
      </text>
    </comment>
    <comment authorId="0" ref="D148">
      <text>
        <t xml:space="preserve">Ô nhập trực tiếp phần trăm hoàn thành tại L6.</t>
      </text>
    </comment>
    <comment authorId="0" ref="AJ147">
      <text>
        <t xml:space="preserve">Nhập tiến độ từ 0%–100% (ví dụ 50%). Chỉ nhập 100% khi công việc đã hoàn thành.</t>
      </text>
    </comment>
    <comment authorId="0" ref="D82">
      <text>
        <t xml:space="preserve">Ô nhập trực tiếp phần trăm hoàn thành tại L6.</t>
      </text>
    </comment>
    <comment authorId="0" ref="AJ81">
      <text>
        <t xml:space="preserve">Nhập tiến độ từ 0%–100% (ví dụ 50%). Chỉ nhập 100% khi công việc đã hoàn thành.</t>
      </text>
    </comment>
    <comment authorId="0" ref="AN213">
      <text>
        <t xml:space="preserve">L6 nằm trong ngày L5 = đúng khung. L6 vượt ngày L5 = ngoài khung. Thiếu mã L5 hoặc thiếu ngày = chưa đủ dữ liệu.</t>
      </text>
    </comment>
    <comment authorId="0" ref="D16">
      <text>
        <t xml:space="preserve">Ô nhập trực tiếp phần trăm hoàn thành tại L6.</t>
      </text>
    </comment>
    <comment authorId="0" ref="AO21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5">
      <text>
        <t xml:space="preserve">Nhập tiến độ từ 0%–100% (ví dụ 50%). Chỉ nhập 100% khi công việc đã hoàn thành.</t>
      </text>
    </comment>
    <comment authorId="0" ref="AN147">
      <text>
        <t xml:space="preserve">L6 nằm trong ngày L5 = đúng khung. L6 vượt ngày L5 = ngoài khung. Thiếu mã L5 hoặc thiếu ngày = chưa đủ dữ liệu.</t>
      </text>
    </comment>
    <comment authorId="0" ref="AO14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1">
      <text>
        <t xml:space="preserve">L6 nằm trong ngày L5 = đúng khung. L6 vượt ngày L5 = ngoài khung. Thiếu mã L5 hoặc thiếu ngày = chưa đủ dữ liệu.</t>
      </text>
    </comment>
    <comment authorId="0" ref="AO8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5">
      <text>
        <t xml:space="preserve">L6 nằm trong ngày L5 = đúng khung. L6 vượt ngày L5 = ngoài khung. Thiếu mã L5 hoặc thiếu ngày = chưa đủ dữ liệu.</t>
      </text>
    </comment>
    <comment authorId="0" ref="AO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4">
      <text>
        <t xml:space="preserve">Nhập tiến độ từ 0%–100% (ví dụ 50%). Chỉ nhập 100% khi công việc đã hoàn thành.</t>
      </text>
    </comment>
    <comment authorId="0" ref="U148">
      <text>
        <t xml:space="preserve">Nhập tiến độ từ 0%–100% (ví dụ 50%). Chỉ nhập 100% khi công việc đã hoàn thành.</t>
      </text>
    </comment>
    <comment authorId="0" ref="U82">
      <text>
        <t xml:space="preserve">Nhập tiến độ từ 0%–100% (ví dụ 50%). Chỉ nhập 100% khi công việc đã hoàn thành.</t>
      </text>
    </comment>
    <comment authorId="0" ref="U16">
      <text>
        <t xml:space="preserve">Nhập tiến độ từ 0%–100% (ví dụ 50%). Chỉ nhập 100% khi công việc đã hoàn thành.</t>
      </text>
    </comment>
    <comment authorId="0" ref="D215">
      <text>
        <t xml:space="preserve">Ô nhập trực tiếp phần trăm hoàn thành tại L6.</t>
      </text>
    </comment>
    <comment authorId="0" ref="AJ214">
      <text>
        <t xml:space="preserve">Nhập tiến độ từ 0%–100% (ví dụ 50%). Chỉ nhập 100% khi công việc đã hoàn thành.</t>
      </text>
    </comment>
    <comment authorId="0" ref="D149">
      <text>
        <t xml:space="preserve">Ô nhập trực tiếp phần trăm hoàn thành tại L6.</t>
      </text>
    </comment>
    <comment authorId="0" ref="AJ148">
      <text>
        <t xml:space="preserve">Nhập tiến độ từ 0%–100% (ví dụ 50%). Chỉ nhập 100% khi công việc đã hoàn thành.</t>
      </text>
    </comment>
    <comment authorId="0" ref="D83">
      <text>
        <t xml:space="preserve">Ô nhập trực tiếp phần trăm hoàn thành tại L6.</t>
      </text>
    </comment>
    <comment authorId="0" ref="AJ82">
      <text>
        <t xml:space="preserve">Nhập tiến độ từ 0%–100% (ví dụ 50%). Chỉ nhập 100% khi công việc đã hoàn thành.</t>
      </text>
    </comment>
    <comment authorId="0" ref="AN214">
      <text>
        <t xml:space="preserve">L6 nằm trong ngày L5 = đúng khung. L6 vượt ngày L5 = ngoài khung. Thiếu mã L5 hoặc thiếu ngày = chưa đủ dữ liệu.</t>
      </text>
    </comment>
    <comment authorId="0" ref="D17">
      <text>
        <t xml:space="preserve">Ô nhập trực tiếp phần trăm hoàn thành tại L6.</t>
      </text>
    </comment>
    <comment authorId="0" ref="AO2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6">
      <text>
        <t xml:space="preserve">Nhập tiến độ từ 0%–100% (ví dụ 50%). Chỉ nhập 100% khi công việc đã hoàn thành.</t>
      </text>
    </comment>
    <comment authorId="0" ref="AN148">
      <text>
        <t xml:space="preserve">L6 nằm trong ngày L5 = đúng khung. L6 vượt ngày L5 = ngoài khung. Thiếu mã L5 hoặc thiếu ngày = chưa đủ dữ liệu.</t>
      </text>
    </comment>
    <comment authorId="0" ref="AO14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2">
      <text>
        <t xml:space="preserve">L6 nằm trong ngày L5 = đúng khung. L6 vượt ngày L5 = ngoài khung. Thiếu mã L5 hoặc thiếu ngày = chưa đủ dữ liệu.</t>
      </text>
    </comment>
    <comment authorId="0" ref="AO8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6">
      <text>
        <t xml:space="preserve">L6 nằm trong ngày L5 = đúng khung. L6 vượt ngày L5 = ngoài khung. Thiếu mã L5 hoặc thiếu ngày = chưa đủ dữ liệu.</t>
      </text>
    </comment>
    <comment authorId="0" ref="AO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5">
      <text>
        <t xml:space="preserve">Nhập tiến độ từ 0%–100% (ví dụ 50%). Chỉ nhập 100% khi công việc đã hoàn thành.</t>
      </text>
    </comment>
    <comment authorId="0" ref="U149">
      <text>
        <t xml:space="preserve">Nhập tiến độ từ 0%–100% (ví dụ 50%). Chỉ nhập 100% khi công việc đã hoàn thành.</t>
      </text>
    </comment>
    <comment authorId="0" ref="U83">
      <text>
        <t xml:space="preserve">Nhập tiến độ từ 0%–100% (ví dụ 50%). Chỉ nhập 100% khi công việc đã hoàn thành.</t>
      </text>
    </comment>
    <comment authorId="0" ref="U17">
      <text>
        <t xml:space="preserve">Nhập tiến độ từ 0%–100% (ví dụ 50%). Chỉ nhập 100% khi công việc đã hoàn thành.</t>
      </text>
    </comment>
    <comment authorId="0" ref="D216">
      <text>
        <t xml:space="preserve">Ô nhập trực tiếp phần trăm hoàn thành tại L6.</t>
      </text>
    </comment>
    <comment authorId="0" ref="AJ215">
      <text>
        <t xml:space="preserve">Nhập tiến độ từ 0%–100% (ví dụ 50%). Chỉ nhập 100% khi công việc đã hoàn thành.</t>
      </text>
    </comment>
    <comment authorId="0" ref="D150">
      <text>
        <t xml:space="preserve">Ô nhập trực tiếp phần trăm hoàn thành tại L6.</t>
      </text>
    </comment>
    <comment authorId="0" ref="AJ149">
      <text>
        <t xml:space="preserve">Nhập tiến độ từ 0%–100% (ví dụ 50%). Chỉ nhập 100% khi công việc đã hoàn thành.</t>
      </text>
    </comment>
    <comment authorId="0" ref="D84">
      <text>
        <t xml:space="preserve">Ô nhập trực tiếp phần trăm hoàn thành tại L6.</t>
      </text>
    </comment>
    <comment authorId="0" ref="AJ83">
      <text>
        <t xml:space="preserve">Nhập tiến độ từ 0%–100% (ví dụ 50%). Chỉ nhập 100% khi công việc đã hoàn thành.</t>
      </text>
    </comment>
    <comment authorId="0" ref="AN215">
      <text>
        <t xml:space="preserve">L6 nằm trong ngày L5 = đúng khung. L6 vượt ngày L5 = ngoài khung. Thiếu mã L5 hoặc thiếu ngày = chưa đủ dữ liệu.</t>
      </text>
    </comment>
    <comment authorId="0" ref="D18">
      <text>
        <t xml:space="preserve">Ô nhập trực tiếp phần trăm hoàn thành tại L6.</t>
      </text>
    </comment>
    <comment authorId="0" ref="AO2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7">
      <text>
        <t xml:space="preserve">Nhập tiến độ từ 0%–100% (ví dụ 50%). Chỉ nhập 100% khi công việc đã hoàn thành.</t>
      </text>
    </comment>
    <comment authorId="0" ref="AN149">
      <text>
        <t xml:space="preserve">L6 nằm trong ngày L5 = đúng khung. L6 vượt ngày L5 = ngoài khung. Thiếu mã L5 hoặc thiếu ngày = chưa đủ dữ liệu.</t>
      </text>
    </comment>
    <comment authorId="0" ref="AO14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3">
      <text>
        <t xml:space="preserve">L6 nằm trong ngày L5 = đúng khung. L6 vượt ngày L5 = ngoài khung. Thiếu mã L5 hoặc thiếu ngày = chưa đủ dữ liệu.</t>
      </text>
    </comment>
    <comment authorId="0" ref="AO8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7">
      <text>
        <t xml:space="preserve">L6 nằm trong ngày L5 = đúng khung. L6 vượt ngày L5 = ngoài khung. Thiếu mã L5 hoặc thiếu ngày = chưa đủ dữ liệu.</t>
      </text>
    </comment>
    <comment authorId="0" ref="AO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6">
      <text>
        <t xml:space="preserve">Nhập tiến độ từ 0%–100% (ví dụ 50%). Chỉ nhập 100% khi công việc đã hoàn thành.</t>
      </text>
    </comment>
    <comment authorId="0" ref="U150">
      <text>
        <t xml:space="preserve">Nhập tiến độ từ 0%–100% (ví dụ 50%). Chỉ nhập 100% khi công việc đã hoàn thành.</t>
      </text>
    </comment>
    <comment authorId="0" ref="U84">
      <text>
        <t xml:space="preserve">Nhập tiến độ từ 0%–100% (ví dụ 50%). Chỉ nhập 100% khi công việc đã hoàn thành.</t>
      </text>
    </comment>
    <comment authorId="0" ref="U18">
      <text>
        <t xml:space="preserve">Nhập tiến độ từ 0%–100% (ví dụ 50%). Chỉ nhập 100% khi công việc đã hoàn thành.</t>
      </text>
    </comment>
    <comment authorId="0" ref="D217">
      <text>
        <t xml:space="preserve">Ô nhập trực tiếp phần trăm hoàn thành tại L6.</t>
      </text>
    </comment>
    <comment authorId="0" ref="AJ216">
      <text>
        <t xml:space="preserve">Nhập tiến độ từ 0%–100% (ví dụ 50%). Chỉ nhập 100% khi công việc đã hoàn thành.</t>
      </text>
    </comment>
    <comment authorId="0" ref="D151">
      <text>
        <t xml:space="preserve">Ô nhập trực tiếp phần trăm hoàn thành tại L6.</t>
      </text>
    </comment>
    <comment authorId="0" ref="AJ150">
      <text>
        <t xml:space="preserve">Nhập tiến độ từ 0%–100% (ví dụ 50%). Chỉ nhập 100% khi công việc đã hoàn thành.</t>
      </text>
    </comment>
    <comment authorId="0" ref="D85">
      <text>
        <t xml:space="preserve">Ô nhập trực tiếp phần trăm hoàn thành tại L6.</t>
      </text>
    </comment>
    <comment authorId="0" ref="AJ84">
      <text>
        <t xml:space="preserve">Nhập tiến độ từ 0%–100% (ví dụ 50%). Chỉ nhập 100% khi công việc đã hoàn thành.</t>
      </text>
    </comment>
    <comment authorId="0" ref="AN216">
      <text>
        <t xml:space="preserve">L6 nằm trong ngày L5 = đúng khung. L6 vượt ngày L5 = ngoài khung. Thiếu mã L5 hoặc thiếu ngày = chưa đủ dữ liệu.</t>
      </text>
    </comment>
    <comment authorId="0" ref="D19">
      <text>
        <t xml:space="preserve">Ô nhập trực tiếp phần trăm hoàn thành tại L6.</t>
      </text>
    </comment>
    <comment authorId="0" ref="AO2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8">
      <text>
        <t xml:space="preserve">Nhập tiến độ từ 0%–100% (ví dụ 50%). Chỉ nhập 100% khi công việc đã hoàn thành.</t>
      </text>
    </comment>
    <comment authorId="0" ref="AN150">
      <text>
        <t xml:space="preserve">L6 nằm trong ngày L5 = đúng khung. L6 vượt ngày L5 = ngoài khung. Thiếu mã L5 hoặc thiếu ngày = chưa đủ dữ liệu.</t>
      </text>
    </comment>
    <comment authorId="0" ref="AO15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4">
      <text>
        <t xml:space="preserve">L6 nằm trong ngày L5 = đúng khung. L6 vượt ngày L5 = ngoài khung. Thiếu mã L5 hoặc thiếu ngày = chưa đủ dữ liệu.</t>
      </text>
    </comment>
    <comment authorId="0" ref="AO8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8">
      <text>
        <t xml:space="preserve">L6 nằm trong ngày L5 = đúng khung. L6 vượt ngày L5 = ngoài khung. Thiếu mã L5 hoặc thiếu ngày = chưa đủ dữ liệu.</t>
      </text>
    </comment>
    <comment authorId="0" ref="AO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7">
      <text>
        <t xml:space="preserve">Nhập tiến độ từ 0%–100% (ví dụ 50%). Chỉ nhập 100% khi công việc đã hoàn thành.</t>
      </text>
    </comment>
    <comment authorId="0" ref="U151">
      <text>
        <t xml:space="preserve">Nhập tiến độ từ 0%–100% (ví dụ 50%). Chỉ nhập 100% khi công việc đã hoàn thành.</t>
      </text>
    </comment>
    <comment authorId="0" ref="U85">
      <text>
        <t xml:space="preserve">Nhập tiến độ từ 0%–100% (ví dụ 50%). Chỉ nhập 100% khi công việc đã hoàn thành.</t>
      </text>
    </comment>
    <comment authorId="0" ref="U19">
      <text>
        <t xml:space="preserve">Nhập tiến độ từ 0%–100% (ví dụ 50%). Chỉ nhập 100% khi công việc đã hoàn thành.</t>
      </text>
    </comment>
    <comment authorId="0" ref="D218">
      <text>
        <t xml:space="preserve">Ô nhập trực tiếp phần trăm hoàn thành tại L6.</t>
      </text>
    </comment>
    <comment authorId="0" ref="AJ217">
      <text>
        <t xml:space="preserve">Nhập tiến độ từ 0%–100% (ví dụ 50%). Chỉ nhập 100% khi công việc đã hoàn thành.</t>
      </text>
    </comment>
    <comment authorId="0" ref="D152">
      <text>
        <t xml:space="preserve">Ô nhập trực tiếp phần trăm hoàn thành tại L6.</t>
      </text>
    </comment>
    <comment authorId="0" ref="AJ151">
      <text>
        <t xml:space="preserve">Nhập tiến độ từ 0%–100% (ví dụ 50%). Chỉ nhập 100% khi công việc đã hoàn thành.</t>
      </text>
    </comment>
    <comment authorId="0" ref="D86">
      <text>
        <t xml:space="preserve">Ô nhập trực tiếp phần trăm hoàn thành tại L6.</t>
      </text>
    </comment>
    <comment authorId="0" ref="AJ85">
      <text>
        <t xml:space="preserve">Nhập tiến độ từ 0%–100% (ví dụ 50%). Chỉ nhập 100% khi công việc đã hoàn thành.</t>
      </text>
    </comment>
    <comment authorId="0" ref="AN217">
      <text>
        <t xml:space="preserve">L6 nằm trong ngày L5 = đúng khung. L6 vượt ngày L5 = ngoài khung. Thiếu mã L5 hoặc thiếu ngày = chưa đủ dữ liệu.</t>
      </text>
    </comment>
    <comment authorId="0" ref="D20">
      <text>
        <t xml:space="preserve">Ô nhập trực tiếp phần trăm hoàn thành tại L6.</t>
      </text>
    </comment>
    <comment authorId="0" ref="AO2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19">
      <text>
        <t xml:space="preserve">Nhập tiến độ từ 0%–100% (ví dụ 50%). Chỉ nhập 100% khi công việc đã hoàn thành.</t>
      </text>
    </comment>
    <comment authorId="0" ref="AN151">
      <text>
        <t xml:space="preserve">L6 nằm trong ngày L5 = đúng khung. L6 vượt ngày L5 = ngoài khung. Thiếu mã L5 hoặc thiếu ngày = chưa đủ dữ liệu.</t>
      </text>
    </comment>
    <comment authorId="0" ref="AO15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5">
      <text>
        <t xml:space="preserve">L6 nằm trong ngày L5 = đúng khung. L6 vượt ngày L5 = ngoài khung. Thiếu mã L5 hoặc thiếu ngày = chưa đủ dữ liệu.</t>
      </text>
    </comment>
    <comment authorId="0" ref="AO8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9">
      <text>
        <t xml:space="preserve">L6 nằm trong ngày L5 = đúng khung. L6 vượt ngày L5 = ngoài khung. Thiếu mã L5 hoặc thiếu ngày = chưa đủ dữ liệu.</t>
      </text>
    </comment>
    <comment authorId="0" ref="AO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8">
      <text>
        <t xml:space="preserve">Nhập tiến độ từ 0%–100% (ví dụ 50%). Chỉ nhập 100% khi công việc đã hoàn thành.</t>
      </text>
    </comment>
    <comment authorId="0" ref="U152">
      <text>
        <t xml:space="preserve">Nhập tiến độ từ 0%–100% (ví dụ 50%). Chỉ nhập 100% khi công việc đã hoàn thành.</t>
      </text>
    </comment>
    <comment authorId="0" ref="U86">
      <text>
        <t xml:space="preserve">Nhập tiến độ từ 0%–100% (ví dụ 50%). Chỉ nhập 100% khi công việc đã hoàn thành.</t>
      </text>
    </comment>
    <comment authorId="0" ref="U20">
      <text>
        <t xml:space="preserve">Nhập tiến độ từ 0%–100% (ví dụ 50%). Chỉ nhập 100% khi công việc đã hoàn thành.</t>
      </text>
    </comment>
    <comment authorId="0" ref="D219">
      <text>
        <t xml:space="preserve">Ô nhập trực tiếp phần trăm hoàn thành tại L6.</t>
      </text>
    </comment>
    <comment authorId="0" ref="AJ218">
      <text>
        <t xml:space="preserve">Nhập tiến độ từ 0%–100% (ví dụ 50%). Chỉ nhập 100% khi công việc đã hoàn thành.</t>
      </text>
    </comment>
    <comment authorId="0" ref="D153">
      <text>
        <t xml:space="preserve">Ô nhập trực tiếp phần trăm hoàn thành tại L6.</t>
      </text>
    </comment>
    <comment authorId="0" ref="AJ152">
      <text>
        <t xml:space="preserve">Nhập tiến độ từ 0%–100% (ví dụ 50%). Chỉ nhập 100% khi công việc đã hoàn thành.</t>
      </text>
    </comment>
    <comment authorId="0" ref="D87">
      <text>
        <t xml:space="preserve">Ô nhập trực tiếp phần trăm hoàn thành tại L6.</t>
      </text>
    </comment>
    <comment authorId="0" ref="AJ86">
      <text>
        <t xml:space="preserve">Nhập tiến độ từ 0%–100% (ví dụ 50%). Chỉ nhập 100% khi công việc đã hoàn thành.</t>
      </text>
    </comment>
    <comment authorId="0" ref="AN218">
      <text>
        <t xml:space="preserve">L6 nằm trong ngày L5 = đúng khung. L6 vượt ngày L5 = ngoài khung. Thiếu mã L5 hoặc thiếu ngày = chưa đủ dữ liệu.</t>
      </text>
    </comment>
    <comment authorId="0" ref="D21">
      <text>
        <t xml:space="preserve">Ô nhập trực tiếp phần trăm hoàn thành tại L6.</t>
      </text>
    </comment>
    <comment authorId="0" ref="AO2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0">
      <text>
        <t xml:space="preserve">Nhập tiến độ từ 0%–100% (ví dụ 50%). Chỉ nhập 100% khi công việc đã hoàn thành.</t>
      </text>
    </comment>
    <comment authorId="0" ref="AN152">
      <text>
        <t xml:space="preserve">L6 nằm trong ngày L5 = đúng khung. L6 vượt ngày L5 = ngoài khung. Thiếu mã L5 hoặc thiếu ngày = chưa đủ dữ liệu.</t>
      </text>
    </comment>
    <comment authorId="0" ref="AO15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6">
      <text>
        <t xml:space="preserve">L6 nằm trong ngày L5 = đúng khung. L6 vượt ngày L5 = ngoài khung. Thiếu mã L5 hoặc thiếu ngày = chưa đủ dữ liệu.</t>
      </text>
    </comment>
    <comment authorId="0" ref="AO8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0">
      <text>
        <t xml:space="preserve">L6 nằm trong ngày L5 = đúng khung. L6 vượt ngày L5 = ngoài khung. Thiếu mã L5 hoặc thiếu ngày = chưa đủ dữ liệu.</t>
      </text>
    </comment>
    <comment authorId="0" ref="AO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19">
      <text>
        <t xml:space="preserve">Nhập tiến độ từ 0%–100% (ví dụ 50%). Chỉ nhập 100% khi công việc đã hoàn thành.</t>
      </text>
    </comment>
    <comment authorId="0" ref="U153">
      <text>
        <t xml:space="preserve">Nhập tiến độ từ 0%–100% (ví dụ 50%). Chỉ nhập 100% khi công việc đã hoàn thành.</t>
      </text>
    </comment>
    <comment authorId="0" ref="U87">
      <text>
        <t xml:space="preserve">Nhập tiến độ từ 0%–100% (ví dụ 50%). Chỉ nhập 100% khi công việc đã hoàn thành.</t>
      </text>
    </comment>
    <comment authorId="0" ref="U21">
      <text>
        <t xml:space="preserve">Nhập tiến độ từ 0%–100% (ví dụ 50%). Chỉ nhập 100% khi công việc đã hoàn thành.</t>
      </text>
    </comment>
    <comment authorId="0" ref="D220">
      <text>
        <t xml:space="preserve">Ô nhập trực tiếp phần trăm hoàn thành tại L6.</t>
      </text>
    </comment>
    <comment authorId="0" ref="AJ219">
      <text>
        <t xml:space="preserve">Nhập tiến độ từ 0%–100% (ví dụ 50%). Chỉ nhập 100% khi công việc đã hoàn thành.</t>
      </text>
    </comment>
    <comment authorId="0" ref="D154">
      <text>
        <t xml:space="preserve">Ô nhập trực tiếp phần trăm hoàn thành tại L6.</t>
      </text>
    </comment>
    <comment authorId="0" ref="AJ153">
      <text>
        <t xml:space="preserve">Nhập tiến độ từ 0%–100% (ví dụ 50%). Chỉ nhập 100% khi công việc đã hoàn thành.</t>
      </text>
    </comment>
    <comment authorId="0" ref="D88">
      <text>
        <t xml:space="preserve">Ô nhập trực tiếp phần trăm hoàn thành tại L6.</t>
      </text>
    </comment>
    <comment authorId="0" ref="AJ87">
      <text>
        <t xml:space="preserve">Nhập tiến độ từ 0%–100% (ví dụ 50%). Chỉ nhập 100% khi công việc đã hoàn thành.</t>
      </text>
    </comment>
    <comment authorId="0" ref="AN219">
      <text>
        <t xml:space="preserve">L6 nằm trong ngày L5 = đúng khung. L6 vượt ngày L5 = ngoài khung. Thiếu mã L5 hoặc thiếu ngày = chưa đủ dữ liệu.</t>
      </text>
    </comment>
    <comment authorId="0" ref="D22">
      <text>
        <t xml:space="preserve">Ô nhập trực tiếp phần trăm hoàn thành tại L6.</t>
      </text>
    </comment>
    <comment authorId="0" ref="AO2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1">
      <text>
        <t xml:space="preserve">Nhập tiến độ từ 0%–100% (ví dụ 50%). Chỉ nhập 100% khi công việc đã hoàn thành.</t>
      </text>
    </comment>
    <comment authorId="0" ref="AN153">
      <text>
        <t xml:space="preserve">L6 nằm trong ngày L5 = đúng khung. L6 vượt ngày L5 = ngoài khung. Thiếu mã L5 hoặc thiếu ngày = chưa đủ dữ liệu.</t>
      </text>
    </comment>
    <comment authorId="0" ref="AO15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7">
      <text>
        <t xml:space="preserve">L6 nằm trong ngày L5 = đúng khung. L6 vượt ngày L5 = ngoài khung. Thiếu mã L5 hoặc thiếu ngày = chưa đủ dữ liệu.</t>
      </text>
    </comment>
    <comment authorId="0" ref="AO8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1">
      <text>
        <t xml:space="preserve">L6 nằm trong ngày L5 = đúng khung. L6 vượt ngày L5 = ngoài khung. Thiếu mã L5 hoặc thiếu ngày = chưa đủ dữ liệu.</t>
      </text>
    </comment>
    <comment authorId="0" ref="AO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0">
      <text>
        <t xml:space="preserve">Nhập tiến độ từ 0%–100% (ví dụ 50%). Chỉ nhập 100% khi công việc đã hoàn thành.</t>
      </text>
    </comment>
    <comment authorId="0" ref="U154">
      <text>
        <t xml:space="preserve">Nhập tiến độ từ 0%–100% (ví dụ 50%). Chỉ nhập 100% khi công việc đã hoàn thành.</t>
      </text>
    </comment>
    <comment authorId="0" ref="U88">
      <text>
        <t xml:space="preserve">Nhập tiến độ từ 0%–100% (ví dụ 50%). Chỉ nhập 100% khi công việc đã hoàn thành.</t>
      </text>
    </comment>
    <comment authorId="0" ref="U22">
      <text>
        <t xml:space="preserve">Nhập tiến độ từ 0%–100% (ví dụ 50%). Chỉ nhập 100% khi công việc đã hoàn thành.</t>
      </text>
    </comment>
    <comment authorId="0" ref="D221">
      <text>
        <t xml:space="preserve">Ô nhập trực tiếp phần trăm hoàn thành tại L6.</t>
      </text>
    </comment>
    <comment authorId="0" ref="AJ220">
      <text>
        <t xml:space="preserve">Nhập tiến độ từ 0%–100% (ví dụ 50%). Chỉ nhập 100% khi công việc đã hoàn thành.</t>
      </text>
    </comment>
    <comment authorId="0" ref="D155">
      <text>
        <t xml:space="preserve">Ô nhập trực tiếp phần trăm hoàn thành tại L6.</t>
      </text>
    </comment>
    <comment authorId="0" ref="AJ154">
      <text>
        <t xml:space="preserve">Nhập tiến độ từ 0%–100% (ví dụ 50%). Chỉ nhập 100% khi công việc đã hoàn thành.</t>
      </text>
    </comment>
    <comment authorId="0" ref="D89">
      <text>
        <t xml:space="preserve">Ô nhập trực tiếp phần trăm hoàn thành tại L6.</t>
      </text>
    </comment>
    <comment authorId="0" ref="AJ88">
      <text>
        <t xml:space="preserve">Nhập tiến độ từ 0%–100% (ví dụ 50%). Chỉ nhập 100% khi công việc đã hoàn thành.</t>
      </text>
    </comment>
    <comment authorId="0" ref="AN220">
      <text>
        <t xml:space="preserve">L6 nằm trong ngày L5 = đúng khung. L6 vượt ngày L5 = ngoài khung. Thiếu mã L5 hoặc thiếu ngày = chưa đủ dữ liệu.</t>
      </text>
    </comment>
    <comment authorId="0" ref="D23">
      <text>
        <t xml:space="preserve">Ô nhập trực tiếp phần trăm hoàn thành tại L6.</t>
      </text>
    </comment>
    <comment authorId="0" ref="AO2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2">
      <text>
        <t xml:space="preserve">Nhập tiến độ từ 0%–100% (ví dụ 50%). Chỉ nhập 100% khi công việc đã hoàn thành.</t>
      </text>
    </comment>
    <comment authorId="0" ref="AN154">
      <text>
        <t xml:space="preserve">L6 nằm trong ngày L5 = đúng khung. L6 vượt ngày L5 = ngoài khung. Thiếu mã L5 hoặc thiếu ngày = chưa đủ dữ liệu.</t>
      </text>
    </comment>
    <comment authorId="0" ref="AO15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8">
      <text>
        <t xml:space="preserve">L6 nằm trong ngày L5 = đúng khung. L6 vượt ngày L5 = ngoài khung. Thiếu mã L5 hoặc thiếu ngày = chưa đủ dữ liệu.</t>
      </text>
    </comment>
    <comment authorId="0" ref="AO8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2">
      <text>
        <t xml:space="preserve">L6 nằm trong ngày L5 = đúng khung. L6 vượt ngày L5 = ngoài khung. Thiếu mã L5 hoặc thiếu ngày = chưa đủ dữ liệu.</t>
      </text>
    </comment>
    <comment authorId="0" ref="AO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1">
      <text>
        <t xml:space="preserve">Nhập tiến độ từ 0%–100% (ví dụ 50%). Chỉ nhập 100% khi công việc đã hoàn thành.</t>
      </text>
    </comment>
    <comment authorId="0" ref="U155">
      <text>
        <t xml:space="preserve">Nhập tiến độ từ 0%–100% (ví dụ 50%). Chỉ nhập 100% khi công việc đã hoàn thành.</t>
      </text>
    </comment>
    <comment authorId="0" ref="U89">
      <text>
        <t xml:space="preserve">Nhập tiến độ từ 0%–100% (ví dụ 50%). Chỉ nhập 100% khi công việc đã hoàn thành.</t>
      </text>
    </comment>
    <comment authorId="0" ref="U23">
      <text>
        <t xml:space="preserve">Nhập tiến độ từ 0%–100% (ví dụ 50%). Chỉ nhập 100% khi công việc đã hoàn thành.</t>
      </text>
    </comment>
    <comment authorId="0" ref="D222">
      <text>
        <t xml:space="preserve">Ô nhập trực tiếp phần trăm hoàn thành tại L6.</t>
      </text>
    </comment>
    <comment authorId="0" ref="AJ221">
      <text>
        <t xml:space="preserve">Nhập tiến độ từ 0%–100% (ví dụ 50%). Chỉ nhập 100% khi công việc đã hoàn thành.</t>
      </text>
    </comment>
    <comment authorId="0" ref="D156">
      <text>
        <t xml:space="preserve">Ô nhập trực tiếp phần trăm hoàn thành tại L6.</t>
      </text>
    </comment>
    <comment authorId="0" ref="AJ155">
      <text>
        <t xml:space="preserve">Nhập tiến độ từ 0%–100% (ví dụ 50%). Chỉ nhập 100% khi công việc đã hoàn thành.</t>
      </text>
    </comment>
    <comment authorId="0" ref="D90">
      <text>
        <t xml:space="preserve">Ô nhập trực tiếp phần trăm hoàn thành tại L6.</t>
      </text>
    </comment>
    <comment authorId="0" ref="AJ89">
      <text>
        <t xml:space="preserve">Nhập tiến độ từ 0%–100% (ví dụ 50%). Chỉ nhập 100% khi công việc đã hoàn thành.</t>
      </text>
    </comment>
    <comment authorId="0" ref="AN221">
      <text>
        <t xml:space="preserve">L6 nằm trong ngày L5 = đúng khung. L6 vượt ngày L5 = ngoài khung. Thiếu mã L5 hoặc thiếu ngày = chưa đủ dữ liệu.</t>
      </text>
    </comment>
    <comment authorId="0" ref="D24">
      <text>
        <t xml:space="preserve">Ô nhập trực tiếp phần trăm hoàn thành tại L6.</t>
      </text>
    </comment>
    <comment authorId="0" ref="AO2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3">
      <text>
        <t xml:space="preserve">Nhập tiến độ từ 0%–100% (ví dụ 50%). Chỉ nhập 100% khi công việc đã hoàn thành.</t>
      </text>
    </comment>
    <comment authorId="0" ref="AN155">
      <text>
        <t xml:space="preserve">L6 nằm trong ngày L5 = đúng khung. L6 vượt ngày L5 = ngoài khung. Thiếu mã L5 hoặc thiếu ngày = chưa đủ dữ liệu.</t>
      </text>
    </comment>
    <comment authorId="0" ref="AO15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89">
      <text>
        <t xml:space="preserve">L6 nằm trong ngày L5 = đúng khung. L6 vượt ngày L5 = ngoài khung. Thiếu mã L5 hoặc thiếu ngày = chưa đủ dữ liệu.</t>
      </text>
    </comment>
    <comment authorId="0" ref="AO8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3">
      <text>
        <t xml:space="preserve">L6 nằm trong ngày L5 = đúng khung. L6 vượt ngày L5 = ngoài khung. Thiếu mã L5 hoặc thiếu ngày = chưa đủ dữ liệu.</t>
      </text>
    </comment>
    <comment authorId="0" ref="AO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2">
      <text>
        <t xml:space="preserve">Nhập tiến độ từ 0%–100% (ví dụ 50%). Chỉ nhập 100% khi công việc đã hoàn thành.</t>
      </text>
    </comment>
    <comment authorId="0" ref="U156">
      <text>
        <t xml:space="preserve">Nhập tiến độ từ 0%–100% (ví dụ 50%). Chỉ nhập 100% khi công việc đã hoàn thành.</t>
      </text>
    </comment>
    <comment authorId="0" ref="U90">
      <text>
        <t xml:space="preserve">Nhập tiến độ từ 0%–100% (ví dụ 50%). Chỉ nhập 100% khi công việc đã hoàn thành.</t>
      </text>
    </comment>
    <comment authorId="0" ref="U24">
      <text>
        <t xml:space="preserve">Nhập tiến độ từ 0%–100% (ví dụ 50%). Chỉ nhập 100% khi công việc đã hoàn thành.</t>
      </text>
    </comment>
    <comment authorId="0" ref="D223">
      <text>
        <t xml:space="preserve">Ô nhập trực tiếp phần trăm hoàn thành tại L6.</t>
      </text>
    </comment>
    <comment authorId="0" ref="AJ222">
      <text>
        <t xml:space="preserve">Nhập tiến độ từ 0%–100% (ví dụ 50%). Chỉ nhập 100% khi công việc đã hoàn thành.</t>
      </text>
    </comment>
    <comment authorId="0" ref="D157">
      <text>
        <t xml:space="preserve">Ô nhập trực tiếp phần trăm hoàn thành tại L6.</t>
      </text>
    </comment>
    <comment authorId="0" ref="AJ156">
      <text>
        <t xml:space="preserve">Nhập tiến độ từ 0%–100% (ví dụ 50%). Chỉ nhập 100% khi công việc đã hoàn thành.</t>
      </text>
    </comment>
    <comment authorId="0" ref="D91">
      <text>
        <t xml:space="preserve">Ô nhập trực tiếp phần trăm hoàn thành tại L6.</t>
      </text>
    </comment>
    <comment authorId="0" ref="AJ90">
      <text>
        <t xml:space="preserve">Nhập tiến độ từ 0%–100% (ví dụ 50%). Chỉ nhập 100% khi công việc đã hoàn thành.</t>
      </text>
    </comment>
    <comment authorId="0" ref="AN222">
      <text>
        <t xml:space="preserve">L6 nằm trong ngày L5 = đúng khung. L6 vượt ngày L5 = ngoài khung. Thiếu mã L5 hoặc thiếu ngày = chưa đủ dữ liệu.</t>
      </text>
    </comment>
    <comment authorId="0" ref="D25">
      <text>
        <t xml:space="preserve">Ô nhập trực tiếp phần trăm hoàn thành tại L6.</t>
      </text>
    </comment>
    <comment authorId="0" ref="AO2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4">
      <text>
        <t xml:space="preserve">Nhập tiến độ từ 0%–100% (ví dụ 50%). Chỉ nhập 100% khi công việc đã hoàn thành.</t>
      </text>
    </comment>
    <comment authorId="0" ref="AN156">
      <text>
        <t xml:space="preserve">L6 nằm trong ngày L5 = đúng khung. L6 vượt ngày L5 = ngoài khung. Thiếu mã L5 hoặc thiếu ngày = chưa đủ dữ liệu.</t>
      </text>
    </comment>
    <comment authorId="0" ref="AO15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0">
      <text>
        <t xml:space="preserve">L6 nằm trong ngày L5 = đúng khung. L6 vượt ngày L5 = ngoài khung. Thiếu mã L5 hoặc thiếu ngày = chưa đủ dữ liệu.</t>
      </text>
    </comment>
    <comment authorId="0" ref="AO9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4">
      <text>
        <t xml:space="preserve">L6 nằm trong ngày L5 = đúng khung. L6 vượt ngày L5 = ngoài khung. Thiếu mã L5 hoặc thiếu ngày = chưa đủ dữ liệu.</t>
      </text>
    </comment>
    <comment authorId="0" ref="AO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3">
      <text>
        <t xml:space="preserve">Nhập tiến độ từ 0%–100% (ví dụ 50%). Chỉ nhập 100% khi công việc đã hoàn thành.</t>
      </text>
    </comment>
    <comment authorId="0" ref="U157">
      <text>
        <t xml:space="preserve">Nhập tiến độ từ 0%–100% (ví dụ 50%). Chỉ nhập 100% khi công việc đã hoàn thành.</t>
      </text>
    </comment>
    <comment authorId="0" ref="U91">
      <text>
        <t xml:space="preserve">Nhập tiến độ từ 0%–100% (ví dụ 50%). Chỉ nhập 100% khi công việc đã hoàn thành.</t>
      </text>
    </comment>
    <comment authorId="0" ref="U25">
      <text>
        <t xml:space="preserve">Nhập tiến độ từ 0%–100% (ví dụ 50%). Chỉ nhập 100% khi công việc đã hoàn thành.</t>
      </text>
    </comment>
    <comment authorId="0" ref="D224">
      <text>
        <t xml:space="preserve">Ô nhập trực tiếp phần trăm hoàn thành tại L6.</t>
      </text>
    </comment>
    <comment authorId="0" ref="AJ223">
      <text>
        <t xml:space="preserve">Nhập tiến độ từ 0%–100% (ví dụ 50%). Chỉ nhập 100% khi công việc đã hoàn thành.</t>
      </text>
    </comment>
    <comment authorId="0" ref="D158">
      <text>
        <t xml:space="preserve">Ô nhập trực tiếp phần trăm hoàn thành tại L6.</t>
      </text>
    </comment>
    <comment authorId="0" ref="AJ157">
      <text>
        <t xml:space="preserve">Nhập tiến độ từ 0%–100% (ví dụ 50%). Chỉ nhập 100% khi công việc đã hoàn thành.</t>
      </text>
    </comment>
    <comment authorId="0" ref="D92">
      <text>
        <t xml:space="preserve">Ô nhập trực tiếp phần trăm hoàn thành tại L6.</t>
      </text>
    </comment>
    <comment authorId="0" ref="AJ91">
      <text>
        <t xml:space="preserve">Nhập tiến độ từ 0%–100% (ví dụ 50%). Chỉ nhập 100% khi công việc đã hoàn thành.</t>
      </text>
    </comment>
    <comment authorId="0" ref="AN223">
      <text>
        <t xml:space="preserve">L6 nằm trong ngày L5 = đúng khung. L6 vượt ngày L5 = ngoài khung. Thiếu mã L5 hoặc thiếu ngày = chưa đủ dữ liệu.</t>
      </text>
    </comment>
    <comment authorId="0" ref="D26">
      <text>
        <t xml:space="preserve">Ô nhập trực tiếp phần trăm hoàn thành tại L6.</t>
      </text>
    </comment>
    <comment authorId="0" ref="AO2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5">
      <text>
        <t xml:space="preserve">Nhập tiến độ từ 0%–100% (ví dụ 50%). Chỉ nhập 100% khi công việc đã hoàn thành.</t>
      </text>
    </comment>
    <comment authorId="0" ref="AN157">
      <text>
        <t xml:space="preserve">L6 nằm trong ngày L5 = đúng khung. L6 vượt ngày L5 = ngoài khung. Thiếu mã L5 hoặc thiếu ngày = chưa đủ dữ liệu.</t>
      </text>
    </comment>
    <comment authorId="0" ref="AO15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1">
      <text>
        <t xml:space="preserve">L6 nằm trong ngày L5 = đúng khung. L6 vượt ngày L5 = ngoài khung. Thiếu mã L5 hoặc thiếu ngày = chưa đủ dữ liệu.</t>
      </text>
    </comment>
    <comment authorId="0" ref="AO9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5">
      <text>
        <t xml:space="preserve">L6 nằm trong ngày L5 = đúng khung. L6 vượt ngày L5 = ngoài khung. Thiếu mã L5 hoặc thiếu ngày = chưa đủ dữ liệu.</t>
      </text>
    </comment>
    <comment authorId="0" ref="AO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4">
      <text>
        <t xml:space="preserve">Nhập tiến độ từ 0%–100% (ví dụ 50%). Chỉ nhập 100% khi công việc đã hoàn thành.</t>
      </text>
    </comment>
    <comment authorId="0" ref="U158">
      <text>
        <t xml:space="preserve">Nhập tiến độ từ 0%–100% (ví dụ 50%). Chỉ nhập 100% khi công việc đã hoàn thành.</t>
      </text>
    </comment>
    <comment authorId="0" ref="U92">
      <text>
        <t xml:space="preserve">Nhập tiến độ từ 0%–100% (ví dụ 50%). Chỉ nhập 100% khi công việc đã hoàn thành.</t>
      </text>
    </comment>
    <comment authorId="0" ref="U26">
      <text>
        <t xml:space="preserve">Nhập tiến độ từ 0%–100% (ví dụ 50%). Chỉ nhập 100% khi công việc đã hoàn thành.</t>
      </text>
    </comment>
    <comment authorId="0" ref="D225">
      <text>
        <t xml:space="preserve">Ô nhập trực tiếp phần trăm hoàn thành tại L6.</t>
      </text>
    </comment>
    <comment authorId="0" ref="AJ224">
      <text>
        <t xml:space="preserve">Nhập tiến độ từ 0%–100% (ví dụ 50%). Chỉ nhập 100% khi công việc đã hoàn thành.</t>
      </text>
    </comment>
    <comment authorId="0" ref="D159">
      <text>
        <t xml:space="preserve">Ô nhập trực tiếp phần trăm hoàn thành tại L6.</t>
      </text>
    </comment>
    <comment authorId="0" ref="AJ158">
      <text>
        <t xml:space="preserve">Nhập tiến độ từ 0%–100% (ví dụ 50%). Chỉ nhập 100% khi công việc đã hoàn thành.</t>
      </text>
    </comment>
    <comment authorId="0" ref="D93">
      <text>
        <t xml:space="preserve">Ô nhập trực tiếp phần trăm hoàn thành tại L6.</t>
      </text>
    </comment>
    <comment authorId="0" ref="AJ92">
      <text>
        <t xml:space="preserve">Nhập tiến độ từ 0%–100% (ví dụ 50%). Chỉ nhập 100% khi công việc đã hoàn thành.</t>
      </text>
    </comment>
    <comment authorId="0" ref="AN224">
      <text>
        <t xml:space="preserve">L6 nằm trong ngày L5 = đúng khung. L6 vượt ngày L5 = ngoài khung. Thiếu mã L5 hoặc thiếu ngày = chưa đủ dữ liệu.</t>
      </text>
    </comment>
    <comment authorId="0" ref="D27">
      <text>
        <t xml:space="preserve">Ô nhập trực tiếp phần trăm hoàn thành tại L6.</t>
      </text>
    </comment>
    <comment authorId="0" ref="AO2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6">
      <text>
        <t xml:space="preserve">Nhập tiến độ từ 0%–100% (ví dụ 50%). Chỉ nhập 100% khi công việc đã hoàn thành.</t>
      </text>
    </comment>
    <comment authorId="0" ref="AN158">
      <text>
        <t xml:space="preserve">L6 nằm trong ngày L5 = đúng khung. L6 vượt ngày L5 = ngoài khung. Thiếu mã L5 hoặc thiếu ngày = chưa đủ dữ liệu.</t>
      </text>
    </comment>
    <comment authorId="0" ref="AO15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2">
      <text>
        <t xml:space="preserve">L6 nằm trong ngày L5 = đúng khung. L6 vượt ngày L5 = ngoài khung. Thiếu mã L5 hoặc thiếu ngày = chưa đủ dữ liệu.</t>
      </text>
    </comment>
    <comment authorId="0" ref="AO9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6">
      <text>
        <t xml:space="preserve">L6 nằm trong ngày L5 = đúng khung. L6 vượt ngày L5 = ngoài khung. Thiếu mã L5 hoặc thiếu ngày = chưa đủ dữ liệu.</t>
      </text>
    </comment>
    <comment authorId="0" ref="AO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5">
      <text>
        <t xml:space="preserve">Nhập tiến độ từ 0%–100% (ví dụ 50%). Chỉ nhập 100% khi công việc đã hoàn thành.</t>
      </text>
    </comment>
    <comment authorId="0" ref="U159">
      <text>
        <t xml:space="preserve">Nhập tiến độ từ 0%–100% (ví dụ 50%). Chỉ nhập 100% khi công việc đã hoàn thành.</t>
      </text>
    </comment>
    <comment authorId="0" ref="U93">
      <text>
        <t xml:space="preserve">Nhập tiến độ từ 0%–100% (ví dụ 50%). Chỉ nhập 100% khi công việc đã hoàn thành.</t>
      </text>
    </comment>
    <comment authorId="0" ref="U27">
      <text>
        <t xml:space="preserve">Nhập tiến độ từ 0%–100% (ví dụ 50%). Chỉ nhập 100% khi công việc đã hoàn thành.</t>
      </text>
    </comment>
    <comment authorId="0" ref="D226">
      <text>
        <t xml:space="preserve">Ô nhập trực tiếp phần trăm hoàn thành tại L6.</t>
      </text>
    </comment>
    <comment authorId="0" ref="AJ225">
      <text>
        <t xml:space="preserve">Nhập tiến độ từ 0%–100% (ví dụ 50%). Chỉ nhập 100% khi công việc đã hoàn thành.</t>
      </text>
    </comment>
    <comment authorId="0" ref="D160">
      <text>
        <t xml:space="preserve">Ô nhập trực tiếp phần trăm hoàn thành tại L6.</t>
      </text>
    </comment>
    <comment authorId="0" ref="AJ159">
      <text>
        <t xml:space="preserve">Nhập tiến độ từ 0%–100% (ví dụ 50%). Chỉ nhập 100% khi công việc đã hoàn thành.</t>
      </text>
    </comment>
    <comment authorId="0" ref="D94">
      <text>
        <t xml:space="preserve">Ô nhập trực tiếp phần trăm hoàn thành tại L6.</t>
      </text>
    </comment>
    <comment authorId="0" ref="AJ93">
      <text>
        <t xml:space="preserve">Nhập tiến độ từ 0%–100% (ví dụ 50%). Chỉ nhập 100% khi công việc đã hoàn thành.</t>
      </text>
    </comment>
    <comment authorId="0" ref="AN225">
      <text>
        <t xml:space="preserve">L6 nằm trong ngày L5 = đúng khung. L6 vượt ngày L5 = ngoài khung. Thiếu mã L5 hoặc thiếu ngày = chưa đủ dữ liệu.</t>
      </text>
    </comment>
    <comment authorId="0" ref="D28">
      <text>
        <t xml:space="preserve">Ô nhập trực tiếp phần trăm hoàn thành tại L6.</t>
      </text>
    </comment>
    <comment authorId="0" ref="AO2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7">
      <text>
        <t xml:space="preserve">Nhập tiến độ từ 0%–100% (ví dụ 50%). Chỉ nhập 100% khi công việc đã hoàn thành.</t>
      </text>
    </comment>
    <comment authorId="0" ref="AN159">
      <text>
        <t xml:space="preserve">L6 nằm trong ngày L5 = đúng khung. L6 vượt ngày L5 = ngoài khung. Thiếu mã L5 hoặc thiếu ngày = chưa đủ dữ liệu.</t>
      </text>
    </comment>
    <comment authorId="0" ref="AO15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3">
      <text>
        <t xml:space="preserve">L6 nằm trong ngày L5 = đúng khung. L6 vượt ngày L5 = ngoài khung. Thiếu mã L5 hoặc thiếu ngày = chưa đủ dữ liệu.</t>
      </text>
    </comment>
    <comment authorId="0" ref="AO9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7">
      <text>
        <t xml:space="preserve">L6 nằm trong ngày L5 = đúng khung. L6 vượt ngày L5 = ngoài khung. Thiếu mã L5 hoặc thiếu ngày = chưa đủ dữ liệu.</t>
      </text>
    </comment>
    <comment authorId="0" ref="AO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6">
      <text>
        <t xml:space="preserve">Nhập tiến độ từ 0%–100% (ví dụ 50%). Chỉ nhập 100% khi công việc đã hoàn thành.</t>
      </text>
    </comment>
    <comment authorId="0" ref="U160">
      <text>
        <t xml:space="preserve">Nhập tiến độ từ 0%–100% (ví dụ 50%). Chỉ nhập 100% khi công việc đã hoàn thành.</t>
      </text>
    </comment>
    <comment authorId="0" ref="U94">
      <text>
        <t xml:space="preserve">Nhập tiến độ từ 0%–100% (ví dụ 50%). Chỉ nhập 100% khi công việc đã hoàn thành.</t>
      </text>
    </comment>
    <comment authorId="0" ref="U28">
      <text>
        <t xml:space="preserve">Nhập tiến độ từ 0%–100% (ví dụ 50%). Chỉ nhập 100% khi công việc đã hoàn thành.</t>
      </text>
    </comment>
    <comment authorId="0" ref="D227">
      <text>
        <t xml:space="preserve">Ô nhập trực tiếp phần trăm hoàn thành tại L6.</t>
      </text>
    </comment>
    <comment authorId="0" ref="AJ226">
      <text>
        <t xml:space="preserve">Nhập tiến độ từ 0%–100% (ví dụ 50%). Chỉ nhập 100% khi công việc đã hoàn thành.</t>
      </text>
    </comment>
    <comment authorId="0" ref="D161">
      <text>
        <t xml:space="preserve">Ô nhập trực tiếp phần trăm hoàn thành tại L6.</t>
      </text>
    </comment>
    <comment authorId="0" ref="AJ160">
      <text>
        <t xml:space="preserve">Nhập tiến độ từ 0%–100% (ví dụ 50%). Chỉ nhập 100% khi công việc đã hoàn thành.</t>
      </text>
    </comment>
    <comment authorId="0" ref="D95">
      <text>
        <t xml:space="preserve">Ô nhập trực tiếp phần trăm hoàn thành tại L6.</t>
      </text>
    </comment>
    <comment authorId="0" ref="AJ94">
      <text>
        <t xml:space="preserve">Nhập tiến độ từ 0%–100% (ví dụ 50%). Chỉ nhập 100% khi công việc đã hoàn thành.</t>
      </text>
    </comment>
    <comment authorId="0" ref="AN226">
      <text>
        <t xml:space="preserve">L6 nằm trong ngày L5 = đúng khung. L6 vượt ngày L5 = ngoài khung. Thiếu mã L5 hoặc thiếu ngày = chưa đủ dữ liệu.</t>
      </text>
    </comment>
    <comment authorId="0" ref="D29">
      <text>
        <t xml:space="preserve">Ô nhập trực tiếp phần trăm hoàn thành tại L6.</t>
      </text>
    </comment>
    <comment authorId="0" ref="AO2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8">
      <text>
        <t xml:space="preserve">Nhập tiến độ từ 0%–100% (ví dụ 50%). Chỉ nhập 100% khi công việc đã hoàn thành.</t>
      </text>
    </comment>
    <comment authorId="0" ref="AN160">
      <text>
        <t xml:space="preserve">L6 nằm trong ngày L5 = đúng khung. L6 vượt ngày L5 = ngoài khung. Thiếu mã L5 hoặc thiếu ngày = chưa đủ dữ liệu.</t>
      </text>
    </comment>
    <comment authorId="0" ref="AO16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4">
      <text>
        <t xml:space="preserve">L6 nằm trong ngày L5 = đúng khung. L6 vượt ngày L5 = ngoài khung. Thiếu mã L5 hoặc thiếu ngày = chưa đủ dữ liệu.</t>
      </text>
    </comment>
    <comment authorId="0" ref="AO9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8">
      <text>
        <t xml:space="preserve">L6 nằm trong ngày L5 = đúng khung. L6 vượt ngày L5 = ngoài khung. Thiếu mã L5 hoặc thiếu ngày = chưa đủ dữ liệu.</t>
      </text>
    </comment>
    <comment authorId="0" ref="AO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7">
      <text>
        <t xml:space="preserve">Nhập tiến độ từ 0%–100% (ví dụ 50%). Chỉ nhập 100% khi công việc đã hoàn thành.</t>
      </text>
    </comment>
    <comment authorId="0" ref="U161">
      <text>
        <t xml:space="preserve">Nhập tiến độ từ 0%–100% (ví dụ 50%). Chỉ nhập 100% khi công việc đã hoàn thành.</t>
      </text>
    </comment>
    <comment authorId="0" ref="U95">
      <text>
        <t xml:space="preserve">Nhập tiến độ từ 0%–100% (ví dụ 50%). Chỉ nhập 100% khi công việc đã hoàn thành.</t>
      </text>
    </comment>
    <comment authorId="0" ref="U29">
      <text>
        <t xml:space="preserve">Nhập tiến độ từ 0%–100% (ví dụ 50%). Chỉ nhập 100% khi công việc đã hoàn thành.</t>
      </text>
    </comment>
    <comment authorId="0" ref="D228">
      <text>
        <t xml:space="preserve">Ô nhập trực tiếp phần trăm hoàn thành tại L6.</t>
      </text>
    </comment>
    <comment authorId="0" ref="AJ227">
      <text>
        <t xml:space="preserve">Nhập tiến độ từ 0%–100% (ví dụ 50%). Chỉ nhập 100% khi công việc đã hoàn thành.</t>
      </text>
    </comment>
    <comment authorId="0" ref="D162">
      <text>
        <t xml:space="preserve">Ô nhập trực tiếp phần trăm hoàn thành tại L6.</t>
      </text>
    </comment>
    <comment authorId="0" ref="AJ161">
      <text>
        <t xml:space="preserve">Nhập tiến độ từ 0%–100% (ví dụ 50%). Chỉ nhập 100% khi công việc đã hoàn thành.</t>
      </text>
    </comment>
    <comment authorId="0" ref="D96">
      <text>
        <t xml:space="preserve">Ô nhập trực tiếp phần trăm hoàn thành tại L6.</t>
      </text>
    </comment>
    <comment authorId="0" ref="AJ95">
      <text>
        <t xml:space="preserve">Nhập tiến độ từ 0%–100% (ví dụ 50%). Chỉ nhập 100% khi công việc đã hoàn thành.</t>
      </text>
    </comment>
    <comment authorId="0" ref="AN227">
      <text>
        <t xml:space="preserve">L6 nằm trong ngày L5 = đúng khung. L6 vượt ngày L5 = ngoài khung. Thiếu mã L5 hoặc thiếu ngày = chưa đủ dữ liệu.</t>
      </text>
    </comment>
    <comment authorId="0" ref="D30">
      <text>
        <t xml:space="preserve">Ô nhập trực tiếp phần trăm hoàn thành tại L6.</t>
      </text>
    </comment>
    <comment authorId="0" ref="AO2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29">
      <text>
        <t xml:space="preserve">Nhập tiến độ từ 0%–100% (ví dụ 50%). Chỉ nhập 100% khi công việc đã hoàn thành.</t>
      </text>
    </comment>
    <comment authorId="0" ref="AN161">
      <text>
        <t xml:space="preserve">L6 nằm trong ngày L5 = đúng khung. L6 vượt ngày L5 = ngoài khung. Thiếu mã L5 hoặc thiếu ngày = chưa đủ dữ liệu.</t>
      </text>
    </comment>
    <comment authorId="0" ref="AO16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5">
      <text>
        <t xml:space="preserve">L6 nằm trong ngày L5 = đúng khung. L6 vượt ngày L5 = ngoài khung. Thiếu mã L5 hoặc thiếu ngày = chưa đủ dữ liệu.</t>
      </text>
    </comment>
    <comment authorId="0" ref="AO9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29">
      <text>
        <t xml:space="preserve">L6 nằm trong ngày L5 = đúng khung. L6 vượt ngày L5 = ngoài khung. Thiếu mã L5 hoặc thiếu ngày = chưa đủ dữ liệu.</t>
      </text>
    </comment>
    <comment authorId="0" ref="AO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8">
      <text>
        <t xml:space="preserve">Nhập tiến độ từ 0%–100% (ví dụ 50%). Chỉ nhập 100% khi công việc đã hoàn thành.</t>
      </text>
    </comment>
    <comment authorId="0" ref="U162">
      <text>
        <t xml:space="preserve">Nhập tiến độ từ 0%–100% (ví dụ 50%). Chỉ nhập 100% khi công việc đã hoàn thành.</t>
      </text>
    </comment>
    <comment authorId="0" ref="U96">
      <text>
        <t xml:space="preserve">Nhập tiến độ từ 0%–100% (ví dụ 50%). Chỉ nhập 100% khi công việc đã hoàn thành.</t>
      </text>
    </comment>
    <comment authorId="0" ref="U30">
      <text>
        <t xml:space="preserve">Nhập tiến độ từ 0%–100% (ví dụ 50%). Chỉ nhập 100% khi công việc đã hoàn thành.</t>
      </text>
    </comment>
    <comment authorId="0" ref="D229">
      <text>
        <t xml:space="preserve">Ô nhập trực tiếp phần trăm hoàn thành tại L6.</t>
      </text>
    </comment>
    <comment authorId="0" ref="AJ228">
      <text>
        <t xml:space="preserve">Nhập tiến độ từ 0%–100% (ví dụ 50%). Chỉ nhập 100% khi công việc đã hoàn thành.</t>
      </text>
    </comment>
    <comment authorId="0" ref="D163">
      <text>
        <t xml:space="preserve">Ô nhập trực tiếp phần trăm hoàn thành tại L6.</t>
      </text>
    </comment>
    <comment authorId="0" ref="AJ162">
      <text>
        <t xml:space="preserve">Nhập tiến độ từ 0%–100% (ví dụ 50%). Chỉ nhập 100% khi công việc đã hoàn thành.</t>
      </text>
    </comment>
    <comment authorId="0" ref="D97">
      <text>
        <t xml:space="preserve">Ô nhập trực tiếp phần trăm hoàn thành tại L6.</t>
      </text>
    </comment>
    <comment authorId="0" ref="AJ96">
      <text>
        <t xml:space="preserve">Nhập tiến độ từ 0%–100% (ví dụ 50%). Chỉ nhập 100% khi công việc đã hoàn thành.</t>
      </text>
    </comment>
    <comment authorId="0" ref="AN228">
      <text>
        <t xml:space="preserve">L6 nằm trong ngày L5 = đúng khung. L6 vượt ngày L5 = ngoài khung. Thiếu mã L5 hoặc thiếu ngày = chưa đủ dữ liệu.</t>
      </text>
    </comment>
    <comment authorId="0" ref="D31">
      <text>
        <t xml:space="preserve">Ô nhập trực tiếp phần trăm hoàn thành tại L6.</t>
      </text>
    </comment>
    <comment authorId="0" ref="AO2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0">
      <text>
        <t xml:space="preserve">Nhập tiến độ từ 0%–100% (ví dụ 50%). Chỉ nhập 100% khi công việc đã hoàn thành.</t>
      </text>
    </comment>
    <comment authorId="0" ref="AN162">
      <text>
        <t xml:space="preserve">L6 nằm trong ngày L5 = đúng khung. L6 vượt ngày L5 = ngoài khung. Thiếu mã L5 hoặc thiếu ngày = chưa đủ dữ liệu.</t>
      </text>
    </comment>
    <comment authorId="0" ref="AO16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6">
      <text>
        <t xml:space="preserve">L6 nằm trong ngày L5 = đúng khung. L6 vượt ngày L5 = ngoài khung. Thiếu mã L5 hoặc thiếu ngày = chưa đủ dữ liệu.</t>
      </text>
    </comment>
    <comment authorId="0" ref="AO9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0">
      <text>
        <t xml:space="preserve">L6 nằm trong ngày L5 = đúng khung. L6 vượt ngày L5 = ngoài khung. Thiếu mã L5 hoặc thiếu ngày = chưa đủ dữ liệu.</t>
      </text>
    </comment>
    <comment authorId="0" ref="AO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29">
      <text>
        <t xml:space="preserve">Nhập tiến độ từ 0%–100% (ví dụ 50%). Chỉ nhập 100% khi công việc đã hoàn thành.</t>
      </text>
    </comment>
    <comment authorId="0" ref="U163">
      <text>
        <t xml:space="preserve">Nhập tiến độ từ 0%–100% (ví dụ 50%). Chỉ nhập 100% khi công việc đã hoàn thành.</t>
      </text>
    </comment>
    <comment authorId="0" ref="U97">
      <text>
        <t xml:space="preserve">Nhập tiến độ từ 0%–100% (ví dụ 50%). Chỉ nhập 100% khi công việc đã hoàn thành.</t>
      </text>
    </comment>
    <comment authorId="0" ref="U31">
      <text>
        <t xml:space="preserve">Nhập tiến độ từ 0%–100% (ví dụ 50%). Chỉ nhập 100% khi công việc đã hoàn thành.</t>
      </text>
    </comment>
    <comment authorId="0" ref="D230">
      <text>
        <t xml:space="preserve">Ô nhập trực tiếp phần trăm hoàn thành tại L6.</t>
      </text>
    </comment>
    <comment authorId="0" ref="AJ229">
      <text>
        <t xml:space="preserve">Nhập tiến độ từ 0%–100% (ví dụ 50%). Chỉ nhập 100% khi công việc đã hoàn thành.</t>
      </text>
    </comment>
    <comment authorId="0" ref="D164">
      <text>
        <t xml:space="preserve">Ô nhập trực tiếp phần trăm hoàn thành tại L6.</t>
      </text>
    </comment>
    <comment authorId="0" ref="AJ163">
      <text>
        <t xml:space="preserve">Nhập tiến độ từ 0%–100% (ví dụ 50%). Chỉ nhập 100% khi công việc đã hoàn thành.</t>
      </text>
    </comment>
    <comment authorId="0" ref="D98">
      <text>
        <t xml:space="preserve">Ô nhập trực tiếp phần trăm hoàn thành tại L6.</t>
      </text>
    </comment>
    <comment authorId="0" ref="AJ97">
      <text>
        <t xml:space="preserve">Nhập tiến độ từ 0%–100% (ví dụ 50%). Chỉ nhập 100% khi công việc đã hoàn thành.</t>
      </text>
    </comment>
    <comment authorId="0" ref="AN229">
      <text>
        <t xml:space="preserve">L6 nằm trong ngày L5 = đúng khung. L6 vượt ngày L5 = ngoài khung. Thiếu mã L5 hoặc thiếu ngày = chưa đủ dữ liệu.</t>
      </text>
    </comment>
    <comment authorId="0" ref="D32">
      <text>
        <t xml:space="preserve">Ô nhập trực tiếp phần trăm hoàn thành tại L6.</t>
      </text>
    </comment>
    <comment authorId="0" ref="AO2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1">
      <text>
        <t xml:space="preserve">Nhập tiến độ từ 0%–100% (ví dụ 50%). Chỉ nhập 100% khi công việc đã hoàn thành.</t>
      </text>
    </comment>
    <comment authorId="0" ref="AN163">
      <text>
        <t xml:space="preserve">L6 nằm trong ngày L5 = đúng khung. L6 vượt ngày L5 = ngoài khung. Thiếu mã L5 hoặc thiếu ngày = chưa đủ dữ liệu.</t>
      </text>
    </comment>
    <comment authorId="0" ref="AO16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7">
      <text>
        <t xml:space="preserve">L6 nằm trong ngày L5 = đúng khung. L6 vượt ngày L5 = ngoài khung. Thiếu mã L5 hoặc thiếu ngày = chưa đủ dữ liệu.</t>
      </text>
    </comment>
    <comment authorId="0" ref="AO9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1">
      <text>
        <t xml:space="preserve">L6 nằm trong ngày L5 = đúng khung. L6 vượt ngày L5 = ngoài khung. Thiếu mã L5 hoặc thiếu ngày = chưa đủ dữ liệu.</t>
      </text>
    </comment>
    <comment authorId="0" ref="AO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0">
      <text>
        <t xml:space="preserve">Nhập tiến độ từ 0%–100% (ví dụ 50%). Chỉ nhập 100% khi công việc đã hoàn thành.</t>
      </text>
    </comment>
    <comment authorId="0" ref="U164">
      <text>
        <t xml:space="preserve">Nhập tiến độ từ 0%–100% (ví dụ 50%). Chỉ nhập 100% khi công việc đã hoàn thành.</t>
      </text>
    </comment>
    <comment authorId="0" ref="U98">
      <text>
        <t xml:space="preserve">Nhập tiến độ từ 0%–100% (ví dụ 50%). Chỉ nhập 100% khi công việc đã hoàn thành.</t>
      </text>
    </comment>
    <comment authorId="0" ref="U32">
      <text>
        <t xml:space="preserve">Nhập tiến độ từ 0%–100% (ví dụ 50%). Chỉ nhập 100% khi công việc đã hoàn thành.</t>
      </text>
    </comment>
    <comment authorId="0" ref="D231">
      <text>
        <t xml:space="preserve">Ô nhập trực tiếp phần trăm hoàn thành tại L6.</t>
      </text>
    </comment>
    <comment authorId="0" ref="AJ230">
      <text>
        <t xml:space="preserve">Nhập tiến độ từ 0%–100% (ví dụ 50%). Chỉ nhập 100% khi công việc đã hoàn thành.</t>
      </text>
    </comment>
    <comment authorId="0" ref="D165">
      <text>
        <t xml:space="preserve">Ô nhập trực tiếp phần trăm hoàn thành tại L6.</t>
      </text>
    </comment>
    <comment authorId="0" ref="AJ164">
      <text>
        <t xml:space="preserve">Nhập tiến độ từ 0%–100% (ví dụ 50%). Chỉ nhập 100% khi công việc đã hoàn thành.</t>
      </text>
    </comment>
    <comment authorId="0" ref="D99">
      <text>
        <t xml:space="preserve">Ô nhập trực tiếp phần trăm hoàn thành tại L6.</t>
      </text>
    </comment>
    <comment authorId="0" ref="AJ98">
      <text>
        <t xml:space="preserve">Nhập tiến độ từ 0%–100% (ví dụ 50%). Chỉ nhập 100% khi công việc đã hoàn thành.</t>
      </text>
    </comment>
    <comment authorId="0" ref="AN230">
      <text>
        <t xml:space="preserve">L6 nằm trong ngày L5 = đúng khung. L6 vượt ngày L5 = ngoài khung. Thiếu mã L5 hoặc thiếu ngày = chưa đủ dữ liệu.</t>
      </text>
    </comment>
    <comment authorId="0" ref="D33">
      <text>
        <t xml:space="preserve">Ô nhập trực tiếp phần trăm hoàn thành tại L6.</t>
      </text>
    </comment>
    <comment authorId="0" ref="AO2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2">
      <text>
        <t xml:space="preserve">Nhập tiến độ từ 0%–100% (ví dụ 50%). Chỉ nhập 100% khi công việc đã hoàn thành.</t>
      </text>
    </comment>
    <comment authorId="0" ref="AN164">
      <text>
        <t xml:space="preserve">L6 nằm trong ngày L5 = đúng khung. L6 vượt ngày L5 = ngoài khung. Thiếu mã L5 hoặc thiếu ngày = chưa đủ dữ liệu.</t>
      </text>
    </comment>
    <comment authorId="0" ref="AO16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8">
      <text>
        <t xml:space="preserve">L6 nằm trong ngày L5 = đúng khung. L6 vượt ngày L5 = ngoài khung. Thiếu mã L5 hoặc thiếu ngày = chưa đủ dữ liệu.</t>
      </text>
    </comment>
    <comment authorId="0" ref="AO9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2">
      <text>
        <t xml:space="preserve">L6 nằm trong ngày L5 = đúng khung. L6 vượt ngày L5 = ngoài khung. Thiếu mã L5 hoặc thiếu ngày = chưa đủ dữ liệu.</t>
      </text>
    </comment>
    <comment authorId="0" ref="AO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1">
      <text>
        <t xml:space="preserve">Nhập tiến độ từ 0%–100% (ví dụ 50%). Chỉ nhập 100% khi công việc đã hoàn thành.</t>
      </text>
    </comment>
    <comment authorId="0" ref="U165">
      <text>
        <t xml:space="preserve">Nhập tiến độ từ 0%–100% (ví dụ 50%). Chỉ nhập 100% khi công việc đã hoàn thành.</t>
      </text>
    </comment>
    <comment authorId="0" ref="U99">
      <text>
        <t xml:space="preserve">Nhập tiến độ từ 0%–100% (ví dụ 50%). Chỉ nhập 100% khi công việc đã hoàn thành.</t>
      </text>
    </comment>
    <comment authorId="0" ref="U33">
      <text>
        <t xml:space="preserve">Nhập tiến độ từ 0%–100% (ví dụ 50%). Chỉ nhập 100% khi công việc đã hoàn thành.</t>
      </text>
    </comment>
    <comment authorId="0" ref="D232">
      <text>
        <t xml:space="preserve">Ô nhập trực tiếp phần trăm hoàn thành tại L6.</t>
      </text>
    </comment>
    <comment authorId="0" ref="AJ231">
      <text>
        <t xml:space="preserve">Nhập tiến độ từ 0%–100% (ví dụ 50%). Chỉ nhập 100% khi công việc đã hoàn thành.</t>
      </text>
    </comment>
    <comment authorId="0" ref="D166">
      <text>
        <t xml:space="preserve">Ô nhập trực tiếp phần trăm hoàn thành tại L6.</t>
      </text>
    </comment>
    <comment authorId="0" ref="AJ165">
      <text>
        <t xml:space="preserve">Nhập tiến độ từ 0%–100% (ví dụ 50%). Chỉ nhập 100% khi công việc đã hoàn thành.</t>
      </text>
    </comment>
    <comment authorId="0" ref="D100">
      <text>
        <t xml:space="preserve">Ô nhập trực tiếp phần trăm hoàn thành tại L6.</t>
      </text>
    </comment>
    <comment authorId="0" ref="AJ99">
      <text>
        <t xml:space="preserve">Nhập tiến độ từ 0%–100% (ví dụ 50%). Chỉ nhập 100% khi công việc đã hoàn thành.</t>
      </text>
    </comment>
    <comment authorId="0" ref="AN231">
      <text>
        <t xml:space="preserve">L6 nằm trong ngày L5 = đúng khung. L6 vượt ngày L5 = ngoài khung. Thiếu mã L5 hoặc thiếu ngày = chưa đủ dữ liệu.</t>
      </text>
    </comment>
    <comment authorId="0" ref="D34">
      <text>
        <t xml:space="preserve">Ô nhập trực tiếp phần trăm hoàn thành tại L6.</t>
      </text>
    </comment>
    <comment authorId="0" ref="AO2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3">
      <text>
        <t xml:space="preserve">Nhập tiến độ từ 0%–100% (ví dụ 50%). Chỉ nhập 100% khi công việc đã hoàn thành.</t>
      </text>
    </comment>
    <comment authorId="0" ref="AN165">
      <text>
        <t xml:space="preserve">L6 nằm trong ngày L5 = đúng khung. L6 vượt ngày L5 = ngoài khung. Thiếu mã L5 hoặc thiếu ngày = chưa đủ dữ liệu.</t>
      </text>
    </comment>
    <comment authorId="0" ref="AO16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99">
      <text>
        <t xml:space="preserve">L6 nằm trong ngày L5 = đúng khung. L6 vượt ngày L5 = ngoài khung. Thiếu mã L5 hoặc thiếu ngày = chưa đủ dữ liệu.</t>
      </text>
    </comment>
    <comment authorId="0" ref="AO9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3">
      <text>
        <t xml:space="preserve">L6 nằm trong ngày L5 = đúng khung. L6 vượt ngày L5 = ngoài khung. Thiếu mã L5 hoặc thiếu ngày = chưa đủ dữ liệu.</t>
      </text>
    </comment>
    <comment authorId="0" ref="AO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2">
      <text>
        <t xml:space="preserve">Nhập tiến độ từ 0%–100% (ví dụ 50%). Chỉ nhập 100% khi công việc đã hoàn thành.</t>
      </text>
    </comment>
    <comment authorId="0" ref="U166">
      <text>
        <t xml:space="preserve">Nhập tiến độ từ 0%–100% (ví dụ 50%). Chỉ nhập 100% khi công việc đã hoàn thành.</t>
      </text>
    </comment>
    <comment authorId="0" ref="U100">
      <text>
        <t xml:space="preserve">Nhập tiến độ từ 0%–100% (ví dụ 50%). Chỉ nhập 100% khi công việc đã hoàn thành.</t>
      </text>
    </comment>
    <comment authorId="0" ref="U34">
      <text>
        <t xml:space="preserve">Nhập tiến độ từ 0%–100% (ví dụ 50%). Chỉ nhập 100% khi công việc đã hoàn thành.</t>
      </text>
    </comment>
    <comment authorId="0" ref="D233">
      <text>
        <t xml:space="preserve">Ô nhập trực tiếp phần trăm hoàn thành tại L6.</t>
      </text>
    </comment>
    <comment authorId="0" ref="AJ232">
      <text>
        <t xml:space="preserve">Nhập tiến độ từ 0%–100% (ví dụ 50%). Chỉ nhập 100% khi công việc đã hoàn thành.</t>
      </text>
    </comment>
    <comment authorId="0" ref="D167">
      <text>
        <t xml:space="preserve">Ô nhập trực tiếp phần trăm hoàn thành tại L6.</t>
      </text>
    </comment>
    <comment authorId="0" ref="AJ166">
      <text>
        <t xml:space="preserve">Nhập tiến độ từ 0%–100% (ví dụ 50%). Chỉ nhập 100% khi công việc đã hoàn thành.</t>
      </text>
    </comment>
    <comment authorId="0" ref="D101">
      <text>
        <t xml:space="preserve">Ô nhập trực tiếp phần trăm hoàn thành tại L6.</t>
      </text>
    </comment>
    <comment authorId="0" ref="AJ100">
      <text>
        <t xml:space="preserve">Nhập tiến độ từ 0%–100% (ví dụ 50%). Chỉ nhập 100% khi công việc đã hoàn thành.</t>
      </text>
    </comment>
    <comment authorId="0" ref="AN232">
      <text>
        <t xml:space="preserve">L6 nằm trong ngày L5 = đúng khung. L6 vượt ngày L5 = ngoài khung. Thiếu mã L5 hoặc thiếu ngày = chưa đủ dữ liệu.</t>
      </text>
    </comment>
    <comment authorId="0" ref="D35">
      <text>
        <t xml:space="preserve">Ô nhập trực tiếp phần trăm hoàn thành tại L6.</t>
      </text>
    </comment>
    <comment authorId="0" ref="AO23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4">
      <text>
        <t xml:space="preserve">Nhập tiến độ từ 0%–100% (ví dụ 50%). Chỉ nhập 100% khi công việc đã hoàn thành.</t>
      </text>
    </comment>
    <comment authorId="0" ref="AN166">
      <text>
        <t xml:space="preserve">L6 nằm trong ngày L5 = đúng khung. L6 vượt ngày L5 = ngoài khung. Thiếu mã L5 hoặc thiếu ngày = chưa đủ dữ liệu.</t>
      </text>
    </comment>
    <comment authorId="0" ref="AO16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0">
      <text>
        <t xml:space="preserve">L6 nằm trong ngày L5 = đúng khung. L6 vượt ngày L5 = ngoài khung. Thiếu mã L5 hoặc thiếu ngày = chưa đủ dữ liệu.</t>
      </text>
    </comment>
    <comment authorId="0" ref="AO10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4">
      <text>
        <t xml:space="preserve">L6 nằm trong ngày L5 = đúng khung. L6 vượt ngày L5 = ngoài khung. Thiếu mã L5 hoặc thiếu ngày = chưa đủ dữ liệu.</t>
      </text>
    </comment>
    <comment authorId="0" ref="AO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3">
      <text>
        <t xml:space="preserve">Nhập tiến độ từ 0%–100% (ví dụ 50%). Chỉ nhập 100% khi công việc đã hoàn thành.</t>
      </text>
    </comment>
    <comment authorId="0" ref="U167">
      <text>
        <t xml:space="preserve">Nhập tiến độ từ 0%–100% (ví dụ 50%). Chỉ nhập 100% khi công việc đã hoàn thành.</t>
      </text>
    </comment>
    <comment authorId="0" ref="U101">
      <text>
        <t xml:space="preserve">Nhập tiến độ từ 0%–100% (ví dụ 50%). Chỉ nhập 100% khi công việc đã hoàn thành.</t>
      </text>
    </comment>
    <comment authorId="0" ref="U35">
      <text>
        <t xml:space="preserve">Nhập tiến độ từ 0%–100% (ví dụ 50%). Chỉ nhập 100% khi công việc đã hoàn thành.</t>
      </text>
    </comment>
    <comment authorId="0" ref="D234">
      <text>
        <t xml:space="preserve">Ô nhập trực tiếp phần trăm hoàn thành tại L6.</t>
      </text>
    </comment>
    <comment authorId="0" ref="AJ233">
      <text>
        <t xml:space="preserve">Nhập tiến độ từ 0%–100% (ví dụ 50%). Chỉ nhập 100% khi công việc đã hoàn thành.</t>
      </text>
    </comment>
    <comment authorId="0" ref="D168">
      <text>
        <t xml:space="preserve">Ô nhập trực tiếp phần trăm hoàn thành tại L6.</t>
      </text>
    </comment>
    <comment authorId="0" ref="AJ167">
      <text>
        <t xml:space="preserve">Nhập tiến độ từ 0%–100% (ví dụ 50%). Chỉ nhập 100% khi công việc đã hoàn thành.</t>
      </text>
    </comment>
    <comment authorId="0" ref="D102">
      <text>
        <t xml:space="preserve">Ô nhập trực tiếp phần trăm hoàn thành tại L6.</t>
      </text>
    </comment>
    <comment authorId="0" ref="AJ101">
      <text>
        <t xml:space="preserve">Nhập tiến độ từ 0%–100% (ví dụ 50%). Chỉ nhập 100% khi công việc đã hoàn thành.</t>
      </text>
    </comment>
    <comment authorId="0" ref="AN233">
      <text>
        <t xml:space="preserve">L6 nằm trong ngày L5 = đúng khung. L6 vượt ngày L5 = ngoài khung. Thiếu mã L5 hoặc thiếu ngày = chưa đủ dữ liệu.</t>
      </text>
    </comment>
    <comment authorId="0" ref="D36">
      <text>
        <t xml:space="preserve">Ô nhập trực tiếp phần trăm hoàn thành tại L6.</t>
      </text>
    </comment>
    <comment authorId="0" ref="AO23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5">
      <text>
        <t xml:space="preserve">Nhập tiến độ từ 0%–100% (ví dụ 50%). Chỉ nhập 100% khi công việc đã hoàn thành.</t>
      </text>
    </comment>
    <comment authorId="0" ref="AN167">
      <text>
        <t xml:space="preserve">L6 nằm trong ngày L5 = đúng khung. L6 vượt ngày L5 = ngoài khung. Thiếu mã L5 hoặc thiếu ngày = chưa đủ dữ liệu.</t>
      </text>
    </comment>
    <comment authorId="0" ref="AO16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1">
      <text>
        <t xml:space="preserve">L6 nằm trong ngày L5 = đúng khung. L6 vượt ngày L5 = ngoài khung. Thiếu mã L5 hoặc thiếu ngày = chưa đủ dữ liệu.</t>
      </text>
    </comment>
    <comment authorId="0" ref="AO10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5">
      <text>
        <t xml:space="preserve">L6 nằm trong ngày L5 = đúng khung. L6 vượt ngày L5 = ngoài khung. Thiếu mã L5 hoặc thiếu ngày = chưa đủ dữ liệu.</t>
      </text>
    </comment>
    <comment authorId="0" ref="AO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4">
      <text>
        <t xml:space="preserve">Nhập tiến độ từ 0%–100% (ví dụ 50%). Chỉ nhập 100% khi công việc đã hoàn thành.</t>
      </text>
    </comment>
    <comment authorId="0" ref="U168">
      <text>
        <t xml:space="preserve">Nhập tiến độ từ 0%–100% (ví dụ 50%). Chỉ nhập 100% khi công việc đã hoàn thành.</t>
      </text>
    </comment>
    <comment authorId="0" ref="U102">
      <text>
        <t xml:space="preserve">Nhập tiến độ từ 0%–100% (ví dụ 50%). Chỉ nhập 100% khi công việc đã hoàn thành.</t>
      </text>
    </comment>
    <comment authorId="0" ref="U36">
      <text>
        <t xml:space="preserve">Nhập tiến độ từ 0%–100% (ví dụ 50%). Chỉ nhập 100% khi công việc đã hoàn thành.</t>
      </text>
    </comment>
    <comment authorId="0" ref="D235">
      <text>
        <t xml:space="preserve">Ô nhập trực tiếp phần trăm hoàn thành tại L6.</t>
      </text>
    </comment>
    <comment authorId="0" ref="AJ234">
      <text>
        <t xml:space="preserve">Nhập tiến độ từ 0%–100% (ví dụ 50%). Chỉ nhập 100% khi công việc đã hoàn thành.</t>
      </text>
    </comment>
    <comment authorId="0" ref="D169">
      <text>
        <t xml:space="preserve">Ô nhập trực tiếp phần trăm hoàn thành tại L6.</t>
      </text>
    </comment>
    <comment authorId="0" ref="AJ168">
      <text>
        <t xml:space="preserve">Nhập tiến độ từ 0%–100% (ví dụ 50%). Chỉ nhập 100% khi công việc đã hoàn thành.</t>
      </text>
    </comment>
    <comment authorId="0" ref="D103">
      <text>
        <t xml:space="preserve">Ô nhập trực tiếp phần trăm hoàn thành tại L6.</t>
      </text>
    </comment>
    <comment authorId="0" ref="AJ102">
      <text>
        <t xml:space="preserve">Nhập tiến độ từ 0%–100% (ví dụ 50%). Chỉ nhập 100% khi công việc đã hoàn thành.</t>
      </text>
    </comment>
    <comment authorId="0" ref="AN234">
      <text>
        <t xml:space="preserve">L6 nằm trong ngày L5 = đúng khung. L6 vượt ngày L5 = ngoài khung. Thiếu mã L5 hoặc thiếu ngày = chưa đủ dữ liệu.</t>
      </text>
    </comment>
    <comment authorId="0" ref="D37">
      <text>
        <t xml:space="preserve">Ô nhập trực tiếp phần trăm hoàn thành tại L6.</t>
      </text>
    </comment>
    <comment authorId="0" ref="AO23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6">
      <text>
        <t xml:space="preserve">Nhập tiến độ từ 0%–100% (ví dụ 50%). Chỉ nhập 100% khi công việc đã hoàn thành.</t>
      </text>
    </comment>
    <comment authorId="0" ref="AN168">
      <text>
        <t xml:space="preserve">L6 nằm trong ngày L5 = đúng khung. L6 vượt ngày L5 = ngoài khung. Thiếu mã L5 hoặc thiếu ngày = chưa đủ dữ liệu.</t>
      </text>
    </comment>
    <comment authorId="0" ref="AO16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2">
      <text>
        <t xml:space="preserve">L6 nằm trong ngày L5 = đúng khung. L6 vượt ngày L5 = ngoài khung. Thiếu mã L5 hoặc thiếu ngày = chưa đủ dữ liệu.</t>
      </text>
    </comment>
    <comment authorId="0" ref="AO10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6">
      <text>
        <t xml:space="preserve">L6 nằm trong ngày L5 = đúng khung. L6 vượt ngày L5 = ngoài khung. Thiếu mã L5 hoặc thiếu ngày = chưa đủ dữ liệu.</t>
      </text>
    </comment>
    <comment authorId="0" ref="AO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5">
      <text>
        <t xml:space="preserve">Nhập tiến độ từ 0%–100% (ví dụ 50%). Chỉ nhập 100% khi công việc đã hoàn thành.</t>
      </text>
    </comment>
    <comment authorId="0" ref="U169">
      <text>
        <t xml:space="preserve">Nhập tiến độ từ 0%–100% (ví dụ 50%). Chỉ nhập 100% khi công việc đã hoàn thành.</t>
      </text>
    </comment>
    <comment authorId="0" ref="U103">
      <text>
        <t xml:space="preserve">Nhập tiến độ từ 0%–100% (ví dụ 50%). Chỉ nhập 100% khi công việc đã hoàn thành.</t>
      </text>
    </comment>
    <comment authorId="0" ref="U37">
      <text>
        <t xml:space="preserve">Nhập tiến độ từ 0%–100% (ví dụ 50%). Chỉ nhập 100% khi công việc đã hoàn thành.</t>
      </text>
    </comment>
    <comment authorId="0" ref="D236">
      <text>
        <t xml:space="preserve">Ô nhập trực tiếp phần trăm hoàn thành tại L6.</t>
      </text>
    </comment>
    <comment authorId="0" ref="AJ235">
      <text>
        <t xml:space="preserve">Nhập tiến độ từ 0%–100% (ví dụ 50%). Chỉ nhập 100% khi công việc đã hoàn thành.</t>
      </text>
    </comment>
    <comment authorId="0" ref="D170">
      <text>
        <t xml:space="preserve">Ô nhập trực tiếp phần trăm hoàn thành tại L6.</t>
      </text>
    </comment>
    <comment authorId="0" ref="AJ169">
      <text>
        <t xml:space="preserve">Nhập tiến độ từ 0%–100% (ví dụ 50%). Chỉ nhập 100% khi công việc đã hoàn thành.</t>
      </text>
    </comment>
    <comment authorId="0" ref="D104">
      <text>
        <t xml:space="preserve">Ô nhập trực tiếp phần trăm hoàn thành tại L6.</t>
      </text>
    </comment>
    <comment authorId="0" ref="AJ103">
      <text>
        <t xml:space="preserve">Nhập tiến độ từ 0%–100% (ví dụ 50%). Chỉ nhập 100% khi công việc đã hoàn thành.</t>
      </text>
    </comment>
    <comment authorId="0" ref="AN235">
      <text>
        <t xml:space="preserve">L6 nằm trong ngày L5 = đúng khung. L6 vượt ngày L5 = ngoài khung. Thiếu mã L5 hoặc thiếu ngày = chưa đủ dữ liệu.</t>
      </text>
    </comment>
    <comment authorId="0" ref="D38">
      <text>
        <t xml:space="preserve">Ô nhập trực tiếp phần trăm hoàn thành tại L6.</t>
      </text>
    </comment>
    <comment authorId="0" ref="AO23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7">
      <text>
        <t xml:space="preserve">Nhập tiến độ từ 0%–100% (ví dụ 50%). Chỉ nhập 100% khi công việc đã hoàn thành.</t>
      </text>
    </comment>
    <comment authorId="0" ref="AN169">
      <text>
        <t xml:space="preserve">L6 nằm trong ngày L5 = đúng khung. L6 vượt ngày L5 = ngoài khung. Thiếu mã L5 hoặc thiếu ngày = chưa đủ dữ liệu.</t>
      </text>
    </comment>
    <comment authorId="0" ref="AO16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3">
      <text>
        <t xml:space="preserve">L6 nằm trong ngày L5 = đúng khung. L6 vượt ngày L5 = ngoài khung. Thiếu mã L5 hoặc thiếu ngày = chưa đủ dữ liệu.</t>
      </text>
    </comment>
    <comment authorId="0" ref="AO10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7">
      <text>
        <t xml:space="preserve">L6 nằm trong ngày L5 = đúng khung. L6 vượt ngày L5 = ngoài khung. Thiếu mã L5 hoặc thiếu ngày = chưa đủ dữ liệu.</t>
      </text>
    </comment>
    <comment authorId="0" ref="AO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6">
      <text>
        <t xml:space="preserve">Nhập tiến độ từ 0%–100% (ví dụ 50%). Chỉ nhập 100% khi công việc đã hoàn thành.</t>
      </text>
    </comment>
    <comment authorId="0" ref="U170">
      <text>
        <t xml:space="preserve">Nhập tiến độ từ 0%–100% (ví dụ 50%). Chỉ nhập 100% khi công việc đã hoàn thành.</t>
      </text>
    </comment>
    <comment authorId="0" ref="U104">
      <text>
        <t xml:space="preserve">Nhập tiến độ từ 0%–100% (ví dụ 50%). Chỉ nhập 100% khi công việc đã hoàn thành.</t>
      </text>
    </comment>
    <comment authorId="0" ref="U38">
      <text>
        <t xml:space="preserve">Nhập tiến độ từ 0%–100% (ví dụ 50%). Chỉ nhập 100% khi công việc đã hoàn thành.</t>
      </text>
    </comment>
    <comment authorId="0" ref="D237">
      <text>
        <t xml:space="preserve">Ô nhập trực tiếp phần trăm hoàn thành tại L6.</t>
      </text>
    </comment>
    <comment authorId="0" ref="AJ236">
      <text>
        <t xml:space="preserve">Nhập tiến độ từ 0%–100% (ví dụ 50%). Chỉ nhập 100% khi công việc đã hoàn thành.</t>
      </text>
    </comment>
    <comment authorId="0" ref="D171">
      <text>
        <t xml:space="preserve">Ô nhập trực tiếp phần trăm hoàn thành tại L6.</t>
      </text>
    </comment>
    <comment authorId="0" ref="AJ170">
      <text>
        <t xml:space="preserve">Nhập tiến độ từ 0%–100% (ví dụ 50%). Chỉ nhập 100% khi công việc đã hoàn thành.</t>
      </text>
    </comment>
    <comment authorId="0" ref="D105">
      <text>
        <t xml:space="preserve">Ô nhập trực tiếp phần trăm hoàn thành tại L6.</t>
      </text>
    </comment>
    <comment authorId="0" ref="AJ104">
      <text>
        <t xml:space="preserve">Nhập tiến độ từ 0%–100% (ví dụ 50%). Chỉ nhập 100% khi công việc đã hoàn thành.</t>
      </text>
    </comment>
    <comment authorId="0" ref="AN236">
      <text>
        <t xml:space="preserve">L6 nằm trong ngày L5 = đúng khung. L6 vượt ngày L5 = ngoài khung. Thiếu mã L5 hoặc thiếu ngày = chưa đủ dữ liệu.</t>
      </text>
    </comment>
    <comment authorId="0" ref="D39">
      <text>
        <t xml:space="preserve">Ô nhập trực tiếp phần trăm hoàn thành tại L6.</t>
      </text>
    </comment>
    <comment authorId="0" ref="AO23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8">
      <text>
        <t xml:space="preserve">Nhập tiến độ từ 0%–100% (ví dụ 50%). Chỉ nhập 100% khi công việc đã hoàn thành.</t>
      </text>
    </comment>
    <comment authorId="0" ref="AN170">
      <text>
        <t xml:space="preserve">L6 nằm trong ngày L5 = đúng khung. L6 vượt ngày L5 = ngoài khung. Thiếu mã L5 hoặc thiếu ngày = chưa đủ dữ liệu.</t>
      </text>
    </comment>
    <comment authorId="0" ref="AO17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4">
      <text>
        <t xml:space="preserve">L6 nằm trong ngày L5 = đúng khung. L6 vượt ngày L5 = ngoài khung. Thiếu mã L5 hoặc thiếu ngày = chưa đủ dữ liệu.</t>
      </text>
    </comment>
    <comment authorId="0" ref="AO10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8">
      <text>
        <t xml:space="preserve">L6 nằm trong ngày L5 = đúng khung. L6 vượt ngày L5 = ngoài khung. Thiếu mã L5 hoặc thiếu ngày = chưa đủ dữ liệu.</t>
      </text>
    </comment>
    <comment authorId="0" ref="AO3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7">
      <text>
        <t xml:space="preserve">Nhập tiến độ từ 0%–100% (ví dụ 50%). Chỉ nhập 100% khi công việc đã hoàn thành.</t>
      </text>
    </comment>
    <comment authorId="0" ref="U171">
      <text>
        <t xml:space="preserve">Nhập tiến độ từ 0%–100% (ví dụ 50%). Chỉ nhập 100% khi công việc đã hoàn thành.</t>
      </text>
    </comment>
    <comment authorId="0" ref="U105">
      <text>
        <t xml:space="preserve">Nhập tiến độ từ 0%–100% (ví dụ 50%). Chỉ nhập 100% khi công việc đã hoàn thành.</t>
      </text>
    </comment>
    <comment authorId="0" ref="U39">
      <text>
        <t xml:space="preserve">Nhập tiến độ từ 0%–100% (ví dụ 50%). Chỉ nhập 100% khi công việc đã hoàn thành.</t>
      </text>
    </comment>
    <comment authorId="0" ref="D238">
      <text>
        <t xml:space="preserve">Ô nhập trực tiếp phần trăm hoàn thành tại L6.</t>
      </text>
    </comment>
    <comment authorId="0" ref="AJ237">
      <text>
        <t xml:space="preserve">Nhập tiến độ từ 0%–100% (ví dụ 50%). Chỉ nhập 100% khi công việc đã hoàn thành.</t>
      </text>
    </comment>
    <comment authorId="0" ref="D172">
      <text>
        <t xml:space="preserve">Ô nhập trực tiếp phần trăm hoàn thành tại L6.</t>
      </text>
    </comment>
    <comment authorId="0" ref="AJ171">
      <text>
        <t xml:space="preserve">Nhập tiến độ từ 0%–100% (ví dụ 50%). Chỉ nhập 100% khi công việc đã hoàn thành.</t>
      </text>
    </comment>
    <comment authorId="0" ref="D106">
      <text>
        <t xml:space="preserve">Ô nhập trực tiếp phần trăm hoàn thành tại L6.</t>
      </text>
    </comment>
    <comment authorId="0" ref="AJ105">
      <text>
        <t xml:space="preserve">Nhập tiến độ từ 0%–100% (ví dụ 50%). Chỉ nhập 100% khi công việc đã hoàn thành.</t>
      </text>
    </comment>
    <comment authorId="0" ref="AN237">
      <text>
        <t xml:space="preserve">L6 nằm trong ngày L5 = đúng khung. L6 vượt ngày L5 = ngoài khung. Thiếu mã L5 hoặc thiếu ngày = chưa đủ dữ liệu.</t>
      </text>
    </comment>
    <comment authorId="0" ref="D40">
      <text>
        <t xml:space="preserve">Ô nhập trực tiếp phần trăm hoàn thành tại L6.</t>
      </text>
    </comment>
    <comment authorId="0" ref="AO23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39">
      <text>
        <t xml:space="preserve">Nhập tiến độ từ 0%–100% (ví dụ 50%). Chỉ nhập 100% khi công việc đã hoàn thành.</t>
      </text>
    </comment>
    <comment authorId="0" ref="AN171">
      <text>
        <t xml:space="preserve">L6 nằm trong ngày L5 = đúng khung. L6 vượt ngày L5 = ngoài khung. Thiếu mã L5 hoặc thiếu ngày = chưa đủ dữ liệu.</t>
      </text>
    </comment>
    <comment authorId="0" ref="AO17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5">
      <text>
        <t xml:space="preserve">L6 nằm trong ngày L5 = đúng khung. L6 vượt ngày L5 = ngoài khung. Thiếu mã L5 hoặc thiếu ngày = chưa đủ dữ liệu.</t>
      </text>
    </comment>
    <comment authorId="0" ref="AO10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39">
      <text>
        <t xml:space="preserve">L6 nằm trong ngày L5 = đúng khung. L6 vượt ngày L5 = ngoài khung. Thiếu mã L5 hoặc thiếu ngày = chưa đủ dữ liệu.</t>
      </text>
    </comment>
    <comment authorId="0" ref="AO3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8">
      <text>
        <t xml:space="preserve">Nhập tiến độ từ 0%–100% (ví dụ 50%). Chỉ nhập 100% khi công việc đã hoàn thành.</t>
      </text>
    </comment>
    <comment authorId="0" ref="U172">
      <text>
        <t xml:space="preserve">Nhập tiến độ từ 0%–100% (ví dụ 50%). Chỉ nhập 100% khi công việc đã hoàn thành.</t>
      </text>
    </comment>
    <comment authorId="0" ref="U106">
      <text>
        <t xml:space="preserve">Nhập tiến độ từ 0%–100% (ví dụ 50%). Chỉ nhập 100% khi công việc đã hoàn thành.</t>
      </text>
    </comment>
    <comment authorId="0" ref="U40">
      <text>
        <t xml:space="preserve">Nhập tiến độ từ 0%–100% (ví dụ 50%). Chỉ nhập 100% khi công việc đã hoàn thành.</t>
      </text>
    </comment>
    <comment authorId="0" ref="D239">
      <text>
        <t xml:space="preserve">Ô nhập trực tiếp phần trăm hoàn thành tại L6.</t>
      </text>
    </comment>
    <comment authorId="0" ref="AJ238">
      <text>
        <t xml:space="preserve">Nhập tiến độ từ 0%–100% (ví dụ 50%). Chỉ nhập 100% khi công việc đã hoàn thành.</t>
      </text>
    </comment>
    <comment authorId="0" ref="D173">
      <text>
        <t xml:space="preserve">Ô nhập trực tiếp phần trăm hoàn thành tại L6.</t>
      </text>
    </comment>
    <comment authorId="0" ref="AJ172">
      <text>
        <t xml:space="preserve">Nhập tiến độ từ 0%–100% (ví dụ 50%). Chỉ nhập 100% khi công việc đã hoàn thành.</t>
      </text>
    </comment>
    <comment authorId="0" ref="D107">
      <text>
        <t xml:space="preserve">Ô nhập trực tiếp phần trăm hoàn thành tại L6.</t>
      </text>
    </comment>
    <comment authorId="0" ref="AJ106">
      <text>
        <t xml:space="preserve">Nhập tiến độ từ 0%–100% (ví dụ 50%). Chỉ nhập 100% khi công việc đã hoàn thành.</t>
      </text>
    </comment>
    <comment authorId="0" ref="AN238">
      <text>
        <t xml:space="preserve">L6 nằm trong ngày L5 = đúng khung. L6 vượt ngày L5 = ngoài khung. Thiếu mã L5 hoặc thiếu ngày = chưa đủ dữ liệu.</t>
      </text>
    </comment>
    <comment authorId="0" ref="D41">
      <text>
        <t xml:space="preserve">Ô nhập trực tiếp phần trăm hoàn thành tại L6.</t>
      </text>
    </comment>
    <comment authorId="0" ref="AO23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0">
      <text>
        <t xml:space="preserve">Nhập tiến độ từ 0%–100% (ví dụ 50%). Chỉ nhập 100% khi công việc đã hoàn thành.</t>
      </text>
    </comment>
    <comment authorId="0" ref="AN172">
      <text>
        <t xml:space="preserve">L6 nằm trong ngày L5 = đúng khung. L6 vượt ngày L5 = ngoài khung. Thiếu mã L5 hoặc thiếu ngày = chưa đủ dữ liệu.</t>
      </text>
    </comment>
    <comment authorId="0" ref="AO17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6">
      <text>
        <t xml:space="preserve">L6 nằm trong ngày L5 = đúng khung. L6 vượt ngày L5 = ngoài khung. Thiếu mã L5 hoặc thiếu ngày = chưa đủ dữ liệu.</t>
      </text>
    </comment>
    <comment authorId="0" ref="AO10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0">
      <text>
        <t xml:space="preserve">L6 nằm trong ngày L5 = đúng khung. L6 vượt ngày L5 = ngoài khung. Thiếu mã L5 hoặc thiếu ngày = chưa đủ dữ liệu.</t>
      </text>
    </comment>
    <comment authorId="0" ref="AO4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39">
      <text>
        <t xml:space="preserve">Nhập tiến độ từ 0%–100% (ví dụ 50%). Chỉ nhập 100% khi công việc đã hoàn thành.</t>
      </text>
    </comment>
    <comment authorId="0" ref="U173">
      <text>
        <t xml:space="preserve">Nhập tiến độ từ 0%–100% (ví dụ 50%). Chỉ nhập 100% khi công việc đã hoàn thành.</t>
      </text>
    </comment>
    <comment authorId="0" ref="U107">
      <text>
        <t xml:space="preserve">Nhập tiến độ từ 0%–100% (ví dụ 50%). Chỉ nhập 100% khi công việc đã hoàn thành.</t>
      </text>
    </comment>
    <comment authorId="0" ref="U41">
      <text>
        <t xml:space="preserve">Nhập tiến độ từ 0%–100% (ví dụ 50%). Chỉ nhập 100% khi công việc đã hoàn thành.</t>
      </text>
    </comment>
    <comment authorId="0" ref="D240">
      <text>
        <t xml:space="preserve">Ô nhập trực tiếp phần trăm hoàn thành tại L6.</t>
      </text>
    </comment>
    <comment authorId="0" ref="AJ239">
      <text>
        <t xml:space="preserve">Nhập tiến độ từ 0%–100% (ví dụ 50%). Chỉ nhập 100% khi công việc đã hoàn thành.</t>
      </text>
    </comment>
    <comment authorId="0" ref="D174">
      <text>
        <t xml:space="preserve">Ô nhập trực tiếp phần trăm hoàn thành tại L6.</t>
      </text>
    </comment>
    <comment authorId="0" ref="AJ173">
      <text>
        <t xml:space="preserve">Nhập tiến độ từ 0%–100% (ví dụ 50%). Chỉ nhập 100% khi công việc đã hoàn thành.</t>
      </text>
    </comment>
    <comment authorId="0" ref="D108">
      <text>
        <t xml:space="preserve">Ô nhập trực tiếp phần trăm hoàn thành tại L6.</t>
      </text>
    </comment>
    <comment authorId="0" ref="AJ107">
      <text>
        <t xml:space="preserve">Nhập tiến độ từ 0%–100% (ví dụ 50%). Chỉ nhập 100% khi công việc đã hoàn thành.</t>
      </text>
    </comment>
    <comment authorId="0" ref="AN239">
      <text>
        <t xml:space="preserve">L6 nằm trong ngày L5 = đúng khung. L6 vượt ngày L5 = ngoài khung. Thiếu mã L5 hoặc thiếu ngày = chưa đủ dữ liệu.</t>
      </text>
    </comment>
    <comment authorId="0" ref="D42">
      <text>
        <t xml:space="preserve">Ô nhập trực tiếp phần trăm hoàn thành tại L6.</t>
      </text>
    </comment>
    <comment authorId="0" ref="AO23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1">
      <text>
        <t xml:space="preserve">Nhập tiến độ từ 0%–100% (ví dụ 50%). Chỉ nhập 100% khi công việc đã hoàn thành.</t>
      </text>
    </comment>
    <comment authorId="0" ref="AN173">
      <text>
        <t xml:space="preserve">L6 nằm trong ngày L5 = đúng khung. L6 vượt ngày L5 = ngoài khung. Thiếu mã L5 hoặc thiếu ngày = chưa đủ dữ liệu.</t>
      </text>
    </comment>
    <comment authorId="0" ref="AO17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7">
      <text>
        <t xml:space="preserve">L6 nằm trong ngày L5 = đúng khung. L6 vượt ngày L5 = ngoài khung. Thiếu mã L5 hoặc thiếu ngày = chưa đủ dữ liệu.</t>
      </text>
    </comment>
    <comment authorId="0" ref="AO10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1">
      <text>
        <t xml:space="preserve">L6 nằm trong ngày L5 = đúng khung. L6 vượt ngày L5 = ngoài khung. Thiếu mã L5 hoặc thiếu ngày = chưa đủ dữ liệu.</t>
      </text>
    </comment>
    <comment authorId="0" ref="AO4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0">
      <text>
        <t xml:space="preserve">Nhập tiến độ từ 0%–100% (ví dụ 50%). Chỉ nhập 100% khi công việc đã hoàn thành.</t>
      </text>
    </comment>
    <comment authorId="0" ref="U174">
      <text>
        <t xml:space="preserve">Nhập tiến độ từ 0%–100% (ví dụ 50%). Chỉ nhập 100% khi công việc đã hoàn thành.</t>
      </text>
    </comment>
    <comment authorId="0" ref="U108">
      <text>
        <t xml:space="preserve">Nhập tiến độ từ 0%–100% (ví dụ 50%). Chỉ nhập 100% khi công việc đã hoàn thành.</t>
      </text>
    </comment>
    <comment authorId="0" ref="U42">
      <text>
        <t xml:space="preserve">Nhập tiến độ từ 0%–100% (ví dụ 50%). Chỉ nhập 100% khi công việc đã hoàn thành.</t>
      </text>
    </comment>
    <comment authorId="0" ref="D241">
      <text>
        <t xml:space="preserve">Ô nhập trực tiếp phần trăm hoàn thành tại L6.</t>
      </text>
    </comment>
    <comment authorId="0" ref="AJ240">
      <text>
        <t xml:space="preserve">Nhập tiến độ từ 0%–100% (ví dụ 50%). Chỉ nhập 100% khi công việc đã hoàn thành.</t>
      </text>
    </comment>
    <comment authorId="0" ref="D175">
      <text>
        <t xml:space="preserve">Ô nhập trực tiếp phần trăm hoàn thành tại L6.</t>
      </text>
    </comment>
    <comment authorId="0" ref="AJ174">
      <text>
        <t xml:space="preserve">Nhập tiến độ từ 0%–100% (ví dụ 50%). Chỉ nhập 100% khi công việc đã hoàn thành.</t>
      </text>
    </comment>
    <comment authorId="0" ref="D109">
      <text>
        <t xml:space="preserve">Ô nhập trực tiếp phần trăm hoàn thành tại L6.</t>
      </text>
    </comment>
    <comment authorId="0" ref="AJ108">
      <text>
        <t xml:space="preserve">Nhập tiến độ từ 0%–100% (ví dụ 50%). Chỉ nhập 100% khi công việc đã hoàn thành.</t>
      </text>
    </comment>
    <comment authorId="0" ref="AN240">
      <text>
        <t xml:space="preserve">L6 nằm trong ngày L5 = đúng khung. L6 vượt ngày L5 = ngoài khung. Thiếu mã L5 hoặc thiếu ngày = chưa đủ dữ liệu.</t>
      </text>
    </comment>
    <comment authorId="0" ref="D43">
      <text>
        <t xml:space="preserve">Ô nhập trực tiếp phần trăm hoàn thành tại L6.</t>
      </text>
    </comment>
    <comment authorId="0" ref="AO24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2">
      <text>
        <t xml:space="preserve">Nhập tiến độ từ 0%–100% (ví dụ 50%). Chỉ nhập 100% khi công việc đã hoàn thành.</t>
      </text>
    </comment>
    <comment authorId="0" ref="AN174">
      <text>
        <t xml:space="preserve">L6 nằm trong ngày L5 = đúng khung. L6 vượt ngày L5 = ngoài khung. Thiếu mã L5 hoặc thiếu ngày = chưa đủ dữ liệu.</t>
      </text>
    </comment>
    <comment authorId="0" ref="AO17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8">
      <text>
        <t xml:space="preserve">L6 nằm trong ngày L5 = đúng khung. L6 vượt ngày L5 = ngoài khung. Thiếu mã L5 hoặc thiếu ngày = chưa đủ dữ liệu.</t>
      </text>
    </comment>
    <comment authorId="0" ref="AO10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2">
      <text>
        <t xml:space="preserve">L6 nằm trong ngày L5 = đúng khung. L6 vượt ngày L5 = ngoài khung. Thiếu mã L5 hoặc thiếu ngày = chưa đủ dữ liệu.</t>
      </text>
    </comment>
    <comment authorId="0" ref="AO4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1">
      <text>
        <t xml:space="preserve">Nhập tiến độ từ 0%–100% (ví dụ 50%). Chỉ nhập 100% khi công việc đã hoàn thành.</t>
      </text>
    </comment>
    <comment authorId="0" ref="U175">
      <text>
        <t xml:space="preserve">Nhập tiến độ từ 0%–100% (ví dụ 50%). Chỉ nhập 100% khi công việc đã hoàn thành.</t>
      </text>
    </comment>
    <comment authorId="0" ref="U109">
      <text>
        <t xml:space="preserve">Nhập tiến độ từ 0%–100% (ví dụ 50%). Chỉ nhập 100% khi công việc đã hoàn thành.</t>
      </text>
    </comment>
    <comment authorId="0" ref="U43">
      <text>
        <t xml:space="preserve">Nhập tiến độ từ 0%–100% (ví dụ 50%). Chỉ nhập 100% khi công việc đã hoàn thành.</t>
      </text>
    </comment>
    <comment authorId="0" ref="D242">
      <text>
        <t xml:space="preserve">Ô nhập trực tiếp phần trăm hoàn thành tại L6.</t>
      </text>
    </comment>
    <comment authorId="0" ref="AJ241">
      <text>
        <t xml:space="preserve">Nhập tiến độ từ 0%–100% (ví dụ 50%). Chỉ nhập 100% khi công việc đã hoàn thành.</t>
      </text>
    </comment>
    <comment authorId="0" ref="D176">
      <text>
        <t xml:space="preserve">Ô nhập trực tiếp phần trăm hoàn thành tại L6.</t>
      </text>
    </comment>
    <comment authorId="0" ref="AJ175">
      <text>
        <t xml:space="preserve">Nhập tiến độ từ 0%–100% (ví dụ 50%). Chỉ nhập 100% khi công việc đã hoàn thành.</t>
      </text>
    </comment>
    <comment authorId="0" ref="D110">
      <text>
        <t xml:space="preserve">Ô nhập trực tiếp phần trăm hoàn thành tại L6.</t>
      </text>
    </comment>
    <comment authorId="0" ref="AJ109">
      <text>
        <t xml:space="preserve">Nhập tiến độ từ 0%–100% (ví dụ 50%). Chỉ nhập 100% khi công việc đã hoàn thành.</t>
      </text>
    </comment>
    <comment authorId="0" ref="AN241">
      <text>
        <t xml:space="preserve">L6 nằm trong ngày L5 = đúng khung. L6 vượt ngày L5 = ngoài khung. Thiếu mã L5 hoặc thiếu ngày = chưa đủ dữ liệu.</t>
      </text>
    </comment>
    <comment authorId="0" ref="D44">
      <text>
        <t xml:space="preserve">Ô nhập trực tiếp phần trăm hoàn thành tại L6.</t>
      </text>
    </comment>
    <comment authorId="0" ref="AO24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3">
      <text>
        <t xml:space="preserve">Nhập tiến độ từ 0%–100% (ví dụ 50%). Chỉ nhập 100% khi công việc đã hoàn thành.</t>
      </text>
    </comment>
    <comment authorId="0" ref="AN175">
      <text>
        <t xml:space="preserve">L6 nằm trong ngày L5 = đúng khung. L6 vượt ngày L5 = ngoài khung. Thiếu mã L5 hoặc thiếu ngày = chưa đủ dữ liệu.</t>
      </text>
    </comment>
    <comment authorId="0" ref="AO17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09">
      <text>
        <t xml:space="preserve">L6 nằm trong ngày L5 = đúng khung. L6 vượt ngày L5 = ngoài khung. Thiếu mã L5 hoặc thiếu ngày = chưa đủ dữ liệu.</t>
      </text>
    </comment>
    <comment authorId="0" ref="AO10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3">
      <text>
        <t xml:space="preserve">L6 nằm trong ngày L5 = đúng khung. L6 vượt ngày L5 = ngoài khung. Thiếu mã L5 hoặc thiếu ngày = chưa đủ dữ liệu.</t>
      </text>
    </comment>
    <comment authorId="0" ref="AO4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2">
      <text>
        <t xml:space="preserve">Nhập tiến độ từ 0%–100% (ví dụ 50%). Chỉ nhập 100% khi công việc đã hoàn thành.</t>
      </text>
    </comment>
    <comment authorId="0" ref="U176">
      <text>
        <t xml:space="preserve">Nhập tiến độ từ 0%–100% (ví dụ 50%). Chỉ nhập 100% khi công việc đã hoàn thành.</t>
      </text>
    </comment>
    <comment authorId="0" ref="U110">
      <text>
        <t xml:space="preserve">Nhập tiến độ từ 0%–100% (ví dụ 50%). Chỉ nhập 100% khi công việc đã hoàn thành.</t>
      </text>
    </comment>
    <comment authorId="0" ref="U44">
      <text>
        <t xml:space="preserve">Nhập tiến độ từ 0%–100% (ví dụ 50%). Chỉ nhập 100% khi công việc đã hoàn thành.</t>
      </text>
    </comment>
    <comment authorId="0" ref="D243">
      <text>
        <t xml:space="preserve">Ô nhập trực tiếp phần trăm hoàn thành tại L6.</t>
      </text>
    </comment>
    <comment authorId="0" ref="AJ242">
      <text>
        <t xml:space="preserve">Nhập tiến độ từ 0%–100% (ví dụ 50%). Chỉ nhập 100% khi công việc đã hoàn thành.</t>
      </text>
    </comment>
    <comment authorId="0" ref="D177">
      <text>
        <t xml:space="preserve">Ô nhập trực tiếp phần trăm hoàn thành tại L6.</t>
      </text>
    </comment>
    <comment authorId="0" ref="AJ176">
      <text>
        <t xml:space="preserve">Nhập tiến độ từ 0%–100% (ví dụ 50%). Chỉ nhập 100% khi công việc đã hoàn thành.</t>
      </text>
    </comment>
    <comment authorId="0" ref="D111">
      <text>
        <t xml:space="preserve">Ô nhập trực tiếp phần trăm hoàn thành tại L6.</t>
      </text>
    </comment>
    <comment authorId="0" ref="AJ110">
      <text>
        <t xml:space="preserve">Nhập tiến độ từ 0%–100% (ví dụ 50%). Chỉ nhập 100% khi công việc đã hoàn thành.</t>
      </text>
    </comment>
    <comment authorId="0" ref="AN242">
      <text>
        <t xml:space="preserve">L6 nằm trong ngày L5 = đúng khung. L6 vượt ngày L5 = ngoài khung. Thiếu mã L5 hoặc thiếu ngày = chưa đủ dữ liệu.</t>
      </text>
    </comment>
    <comment authorId="0" ref="D45">
      <text>
        <t xml:space="preserve">Ô nhập trực tiếp phần trăm hoàn thành tại L6.</t>
      </text>
    </comment>
    <comment authorId="0" ref="AO24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4">
      <text>
        <t xml:space="preserve">Nhập tiến độ từ 0%–100% (ví dụ 50%). Chỉ nhập 100% khi công việc đã hoàn thành.</t>
      </text>
    </comment>
    <comment authorId="0" ref="AN176">
      <text>
        <t xml:space="preserve">L6 nằm trong ngày L5 = đúng khung. L6 vượt ngày L5 = ngoài khung. Thiếu mã L5 hoặc thiếu ngày = chưa đủ dữ liệu.</t>
      </text>
    </comment>
    <comment authorId="0" ref="AO17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0">
      <text>
        <t xml:space="preserve">L6 nằm trong ngày L5 = đúng khung. L6 vượt ngày L5 = ngoài khung. Thiếu mã L5 hoặc thiếu ngày = chưa đủ dữ liệu.</t>
      </text>
    </comment>
    <comment authorId="0" ref="AO11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4">
      <text>
        <t xml:space="preserve">L6 nằm trong ngày L5 = đúng khung. L6 vượt ngày L5 = ngoài khung. Thiếu mã L5 hoặc thiếu ngày = chưa đủ dữ liệu.</t>
      </text>
    </comment>
    <comment authorId="0" ref="AO4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3">
      <text>
        <t xml:space="preserve">Nhập tiến độ từ 0%–100% (ví dụ 50%). Chỉ nhập 100% khi công việc đã hoàn thành.</t>
      </text>
    </comment>
    <comment authorId="0" ref="U177">
      <text>
        <t xml:space="preserve">Nhập tiến độ từ 0%–100% (ví dụ 50%). Chỉ nhập 100% khi công việc đã hoàn thành.</t>
      </text>
    </comment>
    <comment authorId="0" ref="U111">
      <text>
        <t xml:space="preserve">Nhập tiến độ từ 0%–100% (ví dụ 50%). Chỉ nhập 100% khi công việc đã hoàn thành.</t>
      </text>
    </comment>
    <comment authorId="0" ref="U45">
      <text>
        <t xml:space="preserve">Nhập tiến độ từ 0%–100% (ví dụ 50%). Chỉ nhập 100% khi công việc đã hoàn thành.</t>
      </text>
    </comment>
    <comment authorId="0" ref="D244">
      <text>
        <t xml:space="preserve">Ô nhập trực tiếp phần trăm hoàn thành tại L6.</t>
      </text>
    </comment>
    <comment authorId="0" ref="AJ243">
      <text>
        <t xml:space="preserve">Nhập tiến độ từ 0%–100% (ví dụ 50%). Chỉ nhập 100% khi công việc đã hoàn thành.</t>
      </text>
    </comment>
    <comment authorId="0" ref="D178">
      <text>
        <t xml:space="preserve">Ô nhập trực tiếp phần trăm hoàn thành tại L6.</t>
      </text>
    </comment>
    <comment authorId="0" ref="AJ177">
      <text>
        <t xml:space="preserve">Nhập tiến độ từ 0%–100% (ví dụ 50%). Chỉ nhập 100% khi công việc đã hoàn thành.</t>
      </text>
    </comment>
    <comment authorId="0" ref="D112">
      <text>
        <t xml:space="preserve">Ô nhập trực tiếp phần trăm hoàn thành tại L6.</t>
      </text>
    </comment>
    <comment authorId="0" ref="AJ111">
      <text>
        <t xml:space="preserve">Nhập tiến độ từ 0%–100% (ví dụ 50%). Chỉ nhập 100% khi công việc đã hoàn thành.</t>
      </text>
    </comment>
    <comment authorId="0" ref="AN243">
      <text>
        <t xml:space="preserve">L6 nằm trong ngày L5 = đúng khung. L6 vượt ngày L5 = ngoài khung. Thiếu mã L5 hoặc thiếu ngày = chưa đủ dữ liệu.</t>
      </text>
    </comment>
    <comment authorId="0" ref="D46">
      <text>
        <t xml:space="preserve">Ô nhập trực tiếp phần trăm hoàn thành tại L6.</t>
      </text>
    </comment>
    <comment authorId="0" ref="AO24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5">
      <text>
        <t xml:space="preserve">Nhập tiến độ từ 0%–100% (ví dụ 50%). Chỉ nhập 100% khi công việc đã hoàn thành.</t>
      </text>
    </comment>
    <comment authorId="0" ref="AN177">
      <text>
        <t xml:space="preserve">L6 nằm trong ngày L5 = đúng khung. L6 vượt ngày L5 = ngoài khung. Thiếu mã L5 hoặc thiếu ngày = chưa đủ dữ liệu.</t>
      </text>
    </comment>
    <comment authorId="0" ref="AO17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1">
      <text>
        <t xml:space="preserve">L6 nằm trong ngày L5 = đúng khung. L6 vượt ngày L5 = ngoài khung. Thiếu mã L5 hoặc thiếu ngày = chưa đủ dữ liệu.</t>
      </text>
    </comment>
    <comment authorId="0" ref="AO11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5">
      <text>
        <t xml:space="preserve">L6 nằm trong ngày L5 = đúng khung. L6 vượt ngày L5 = ngoài khung. Thiếu mã L5 hoặc thiếu ngày = chưa đủ dữ liệu.</t>
      </text>
    </comment>
    <comment authorId="0" ref="AO4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4">
      <text>
        <t xml:space="preserve">Nhập tiến độ từ 0%–100% (ví dụ 50%). Chỉ nhập 100% khi công việc đã hoàn thành.</t>
      </text>
    </comment>
    <comment authorId="0" ref="U178">
      <text>
        <t xml:space="preserve">Nhập tiến độ từ 0%–100% (ví dụ 50%). Chỉ nhập 100% khi công việc đã hoàn thành.</t>
      </text>
    </comment>
    <comment authorId="0" ref="U112">
      <text>
        <t xml:space="preserve">Nhập tiến độ từ 0%–100% (ví dụ 50%). Chỉ nhập 100% khi công việc đã hoàn thành.</t>
      </text>
    </comment>
    <comment authorId="0" ref="U46">
      <text>
        <t xml:space="preserve">Nhập tiến độ từ 0%–100% (ví dụ 50%). Chỉ nhập 100% khi công việc đã hoàn thành.</t>
      </text>
    </comment>
    <comment authorId="0" ref="D245">
      <text>
        <t xml:space="preserve">Ô nhập trực tiếp phần trăm hoàn thành tại L6.</t>
      </text>
    </comment>
    <comment authorId="0" ref="AJ244">
      <text>
        <t xml:space="preserve">Nhập tiến độ từ 0%–100% (ví dụ 50%). Chỉ nhập 100% khi công việc đã hoàn thành.</t>
      </text>
    </comment>
    <comment authorId="0" ref="D179">
      <text>
        <t xml:space="preserve">Ô nhập trực tiếp phần trăm hoàn thành tại L6.</t>
      </text>
    </comment>
    <comment authorId="0" ref="AJ178">
      <text>
        <t xml:space="preserve">Nhập tiến độ từ 0%–100% (ví dụ 50%). Chỉ nhập 100% khi công việc đã hoàn thành.</t>
      </text>
    </comment>
    <comment authorId="0" ref="D113">
      <text>
        <t xml:space="preserve">Ô nhập trực tiếp phần trăm hoàn thành tại L6.</t>
      </text>
    </comment>
    <comment authorId="0" ref="AJ112">
      <text>
        <t xml:space="preserve">Nhập tiến độ từ 0%–100% (ví dụ 50%). Chỉ nhập 100% khi công việc đã hoàn thành.</t>
      </text>
    </comment>
    <comment authorId="0" ref="AN244">
      <text>
        <t xml:space="preserve">L6 nằm trong ngày L5 = đúng khung. L6 vượt ngày L5 = ngoài khung. Thiếu mã L5 hoặc thiếu ngày = chưa đủ dữ liệu.</t>
      </text>
    </comment>
    <comment authorId="0" ref="D47">
      <text>
        <t xml:space="preserve">Ô nhập trực tiếp phần trăm hoàn thành tại L6.</t>
      </text>
    </comment>
    <comment authorId="0" ref="AO24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6">
      <text>
        <t xml:space="preserve">Nhập tiến độ từ 0%–100% (ví dụ 50%). Chỉ nhập 100% khi công việc đã hoàn thành.</t>
      </text>
    </comment>
    <comment authorId="0" ref="AN178">
      <text>
        <t xml:space="preserve">L6 nằm trong ngày L5 = đúng khung. L6 vượt ngày L5 = ngoài khung. Thiếu mã L5 hoặc thiếu ngày = chưa đủ dữ liệu.</t>
      </text>
    </comment>
    <comment authorId="0" ref="AO17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2">
      <text>
        <t xml:space="preserve">L6 nằm trong ngày L5 = đúng khung. L6 vượt ngày L5 = ngoài khung. Thiếu mã L5 hoặc thiếu ngày = chưa đủ dữ liệu.</t>
      </text>
    </comment>
    <comment authorId="0" ref="AO11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6">
      <text>
        <t xml:space="preserve">L6 nằm trong ngày L5 = đúng khung. L6 vượt ngày L5 = ngoài khung. Thiếu mã L5 hoặc thiếu ngày = chưa đủ dữ liệu.</t>
      </text>
    </comment>
    <comment authorId="0" ref="AO4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5">
      <text>
        <t xml:space="preserve">Nhập tiến độ từ 0%–100% (ví dụ 50%). Chỉ nhập 100% khi công việc đã hoàn thành.</t>
      </text>
    </comment>
    <comment authorId="0" ref="U179">
      <text>
        <t xml:space="preserve">Nhập tiến độ từ 0%–100% (ví dụ 50%). Chỉ nhập 100% khi công việc đã hoàn thành.</t>
      </text>
    </comment>
    <comment authorId="0" ref="U113">
      <text>
        <t xml:space="preserve">Nhập tiến độ từ 0%–100% (ví dụ 50%). Chỉ nhập 100% khi công việc đã hoàn thành.</t>
      </text>
    </comment>
    <comment authorId="0" ref="U47">
      <text>
        <t xml:space="preserve">Nhập tiến độ từ 0%–100% (ví dụ 50%). Chỉ nhập 100% khi công việc đã hoàn thành.</t>
      </text>
    </comment>
    <comment authorId="0" ref="D246">
      <text>
        <t xml:space="preserve">Ô nhập trực tiếp phần trăm hoàn thành tại L6.</t>
      </text>
    </comment>
    <comment authorId="0" ref="AJ245">
      <text>
        <t xml:space="preserve">Nhập tiến độ từ 0%–100% (ví dụ 50%). Chỉ nhập 100% khi công việc đã hoàn thành.</t>
      </text>
    </comment>
    <comment authorId="0" ref="D180">
      <text>
        <t xml:space="preserve">Ô nhập trực tiếp phần trăm hoàn thành tại L6.</t>
      </text>
    </comment>
    <comment authorId="0" ref="AJ179">
      <text>
        <t xml:space="preserve">Nhập tiến độ từ 0%–100% (ví dụ 50%). Chỉ nhập 100% khi công việc đã hoàn thành.</t>
      </text>
    </comment>
    <comment authorId="0" ref="D114">
      <text>
        <t xml:space="preserve">Ô nhập trực tiếp phần trăm hoàn thành tại L6.</t>
      </text>
    </comment>
    <comment authorId="0" ref="AJ113">
      <text>
        <t xml:space="preserve">Nhập tiến độ từ 0%–100% (ví dụ 50%). Chỉ nhập 100% khi công việc đã hoàn thành.</t>
      </text>
    </comment>
    <comment authorId="0" ref="AN245">
      <text>
        <t xml:space="preserve">L6 nằm trong ngày L5 = đúng khung. L6 vượt ngày L5 = ngoài khung. Thiếu mã L5 hoặc thiếu ngày = chưa đủ dữ liệu.</t>
      </text>
    </comment>
    <comment authorId="0" ref="D48">
      <text>
        <t xml:space="preserve">Ô nhập trực tiếp phần trăm hoàn thành tại L6.</t>
      </text>
    </comment>
    <comment authorId="0" ref="AO24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7">
      <text>
        <t xml:space="preserve">Nhập tiến độ từ 0%–100% (ví dụ 50%). Chỉ nhập 100% khi công việc đã hoàn thành.</t>
      </text>
    </comment>
    <comment authorId="0" ref="AN179">
      <text>
        <t xml:space="preserve">L6 nằm trong ngày L5 = đúng khung. L6 vượt ngày L5 = ngoài khung. Thiếu mã L5 hoặc thiếu ngày = chưa đủ dữ liệu.</t>
      </text>
    </comment>
    <comment authorId="0" ref="AO17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3">
      <text>
        <t xml:space="preserve">L6 nằm trong ngày L5 = đúng khung. L6 vượt ngày L5 = ngoài khung. Thiếu mã L5 hoặc thiếu ngày = chưa đủ dữ liệu.</t>
      </text>
    </comment>
    <comment authorId="0" ref="AO11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7">
      <text>
        <t xml:space="preserve">L6 nằm trong ngày L5 = đúng khung. L6 vượt ngày L5 = ngoài khung. Thiếu mã L5 hoặc thiếu ngày = chưa đủ dữ liệu.</t>
      </text>
    </comment>
    <comment authorId="0" ref="AO4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6">
      <text>
        <t xml:space="preserve">Nhập tiến độ từ 0%–100% (ví dụ 50%). Chỉ nhập 100% khi công việc đã hoàn thành.</t>
      </text>
    </comment>
    <comment authorId="0" ref="U180">
      <text>
        <t xml:space="preserve">Nhập tiến độ từ 0%–100% (ví dụ 50%). Chỉ nhập 100% khi công việc đã hoàn thành.</t>
      </text>
    </comment>
    <comment authorId="0" ref="U114">
      <text>
        <t xml:space="preserve">Nhập tiến độ từ 0%–100% (ví dụ 50%). Chỉ nhập 100% khi công việc đã hoàn thành.</t>
      </text>
    </comment>
    <comment authorId="0" ref="U48">
      <text>
        <t xml:space="preserve">Nhập tiến độ từ 0%–100% (ví dụ 50%). Chỉ nhập 100% khi công việc đã hoàn thành.</t>
      </text>
    </comment>
    <comment authorId="0" ref="D247">
      <text>
        <t xml:space="preserve">Ô nhập trực tiếp phần trăm hoàn thành tại L6.</t>
      </text>
    </comment>
    <comment authorId="0" ref="AJ246">
      <text>
        <t xml:space="preserve">Nhập tiến độ từ 0%–100% (ví dụ 50%). Chỉ nhập 100% khi công việc đã hoàn thành.</t>
      </text>
    </comment>
    <comment authorId="0" ref="D181">
      <text>
        <t xml:space="preserve">Ô nhập trực tiếp phần trăm hoàn thành tại L6.</t>
      </text>
    </comment>
    <comment authorId="0" ref="AJ180">
      <text>
        <t xml:space="preserve">Nhập tiến độ từ 0%–100% (ví dụ 50%). Chỉ nhập 100% khi công việc đã hoàn thành.</t>
      </text>
    </comment>
    <comment authorId="0" ref="D115">
      <text>
        <t xml:space="preserve">Ô nhập trực tiếp phần trăm hoàn thành tại L6.</t>
      </text>
    </comment>
    <comment authorId="0" ref="AJ114">
      <text>
        <t xml:space="preserve">Nhập tiến độ từ 0%–100% (ví dụ 50%). Chỉ nhập 100% khi công việc đã hoàn thành.</t>
      </text>
    </comment>
    <comment authorId="0" ref="AN246">
      <text>
        <t xml:space="preserve">L6 nằm trong ngày L5 = đúng khung. L6 vượt ngày L5 = ngoài khung. Thiếu mã L5 hoặc thiếu ngày = chưa đủ dữ liệu.</t>
      </text>
    </comment>
    <comment authorId="0" ref="D49">
      <text>
        <t xml:space="preserve">Ô nhập trực tiếp phần trăm hoàn thành tại L6.</t>
      </text>
    </comment>
    <comment authorId="0" ref="AO24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8">
      <text>
        <t xml:space="preserve">Nhập tiến độ từ 0%–100% (ví dụ 50%). Chỉ nhập 100% khi công việc đã hoàn thành.</t>
      </text>
    </comment>
    <comment authorId="0" ref="AN180">
      <text>
        <t xml:space="preserve">L6 nằm trong ngày L5 = đúng khung. L6 vượt ngày L5 = ngoài khung. Thiếu mã L5 hoặc thiếu ngày = chưa đủ dữ liệu.</t>
      </text>
    </comment>
    <comment authorId="0" ref="AO18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4">
      <text>
        <t xml:space="preserve">L6 nằm trong ngày L5 = đúng khung. L6 vượt ngày L5 = ngoài khung. Thiếu mã L5 hoặc thiếu ngày = chưa đủ dữ liệu.</t>
      </text>
    </comment>
    <comment authorId="0" ref="AO11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8">
      <text>
        <t xml:space="preserve">L6 nằm trong ngày L5 = đúng khung. L6 vượt ngày L5 = ngoài khung. Thiếu mã L5 hoặc thiếu ngày = chưa đủ dữ liệu.</t>
      </text>
    </comment>
    <comment authorId="0" ref="AO4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7">
      <text>
        <t xml:space="preserve">Nhập tiến độ từ 0%–100% (ví dụ 50%). Chỉ nhập 100% khi công việc đã hoàn thành.</t>
      </text>
    </comment>
    <comment authorId="0" ref="U181">
      <text>
        <t xml:space="preserve">Nhập tiến độ từ 0%–100% (ví dụ 50%). Chỉ nhập 100% khi công việc đã hoàn thành.</t>
      </text>
    </comment>
    <comment authorId="0" ref="U115">
      <text>
        <t xml:space="preserve">Nhập tiến độ từ 0%–100% (ví dụ 50%). Chỉ nhập 100% khi công việc đã hoàn thành.</t>
      </text>
    </comment>
    <comment authorId="0" ref="U49">
      <text>
        <t xml:space="preserve">Nhập tiến độ từ 0%–100% (ví dụ 50%). Chỉ nhập 100% khi công việc đã hoàn thành.</t>
      </text>
    </comment>
    <comment authorId="0" ref="D248">
      <text>
        <t xml:space="preserve">Ô nhập trực tiếp phần trăm hoàn thành tại L6.</t>
      </text>
    </comment>
    <comment authorId="0" ref="AJ247">
      <text>
        <t xml:space="preserve">Nhập tiến độ từ 0%–100% (ví dụ 50%). Chỉ nhập 100% khi công việc đã hoàn thành.</t>
      </text>
    </comment>
    <comment authorId="0" ref="D182">
      <text>
        <t xml:space="preserve">Ô nhập trực tiếp phần trăm hoàn thành tại L6.</t>
      </text>
    </comment>
    <comment authorId="0" ref="AJ181">
      <text>
        <t xml:space="preserve">Nhập tiến độ từ 0%–100% (ví dụ 50%). Chỉ nhập 100% khi công việc đã hoàn thành.</t>
      </text>
    </comment>
    <comment authorId="0" ref="D116">
      <text>
        <t xml:space="preserve">Ô nhập trực tiếp phần trăm hoàn thành tại L6.</t>
      </text>
    </comment>
    <comment authorId="0" ref="AJ115">
      <text>
        <t xml:space="preserve">Nhập tiến độ từ 0%–100% (ví dụ 50%). Chỉ nhập 100% khi công việc đã hoàn thành.</t>
      </text>
    </comment>
    <comment authorId="0" ref="AN247">
      <text>
        <t xml:space="preserve">L6 nằm trong ngày L5 = đúng khung. L6 vượt ngày L5 = ngoài khung. Thiếu mã L5 hoặc thiếu ngày = chưa đủ dữ liệu.</t>
      </text>
    </comment>
    <comment authorId="0" ref="D50">
      <text>
        <t xml:space="preserve">Ô nhập trực tiếp phần trăm hoàn thành tại L6.</t>
      </text>
    </comment>
    <comment authorId="0" ref="AO24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49">
      <text>
        <t xml:space="preserve">Nhập tiến độ từ 0%–100% (ví dụ 50%). Chỉ nhập 100% khi công việc đã hoàn thành.</t>
      </text>
    </comment>
    <comment authorId="0" ref="AN181">
      <text>
        <t xml:space="preserve">L6 nằm trong ngày L5 = đúng khung. L6 vượt ngày L5 = ngoài khung. Thiếu mã L5 hoặc thiếu ngày = chưa đủ dữ liệu.</t>
      </text>
    </comment>
    <comment authorId="0" ref="AO18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5">
      <text>
        <t xml:space="preserve">L6 nằm trong ngày L5 = đúng khung. L6 vượt ngày L5 = ngoài khung. Thiếu mã L5 hoặc thiếu ngày = chưa đủ dữ liệu.</t>
      </text>
    </comment>
    <comment authorId="0" ref="AO11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49">
      <text>
        <t xml:space="preserve">L6 nằm trong ngày L5 = đúng khung. L6 vượt ngày L5 = ngoài khung. Thiếu mã L5 hoặc thiếu ngày = chưa đủ dữ liệu.</t>
      </text>
    </comment>
    <comment authorId="0" ref="AO4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8">
      <text>
        <t xml:space="preserve">Nhập tiến độ từ 0%–100% (ví dụ 50%). Chỉ nhập 100% khi công việc đã hoàn thành.</t>
      </text>
    </comment>
    <comment authorId="0" ref="U182">
      <text>
        <t xml:space="preserve">Nhập tiến độ từ 0%–100% (ví dụ 50%). Chỉ nhập 100% khi công việc đã hoàn thành.</t>
      </text>
    </comment>
    <comment authorId="0" ref="U116">
      <text>
        <t xml:space="preserve">Nhập tiến độ từ 0%–100% (ví dụ 50%). Chỉ nhập 100% khi công việc đã hoàn thành.</t>
      </text>
    </comment>
    <comment authorId="0" ref="U50">
      <text>
        <t xml:space="preserve">Nhập tiến độ từ 0%–100% (ví dụ 50%). Chỉ nhập 100% khi công việc đã hoàn thành.</t>
      </text>
    </comment>
    <comment authorId="0" ref="D249">
      <text>
        <t xml:space="preserve">Ô nhập trực tiếp phần trăm hoàn thành tại L6.</t>
      </text>
    </comment>
    <comment authorId="0" ref="AJ248">
      <text>
        <t xml:space="preserve">Nhập tiến độ từ 0%–100% (ví dụ 50%). Chỉ nhập 100% khi công việc đã hoàn thành.</t>
      </text>
    </comment>
    <comment authorId="0" ref="D183">
      <text>
        <t xml:space="preserve">Ô nhập trực tiếp phần trăm hoàn thành tại L6.</t>
      </text>
    </comment>
    <comment authorId="0" ref="AJ182">
      <text>
        <t xml:space="preserve">Nhập tiến độ từ 0%–100% (ví dụ 50%). Chỉ nhập 100% khi công việc đã hoàn thành.</t>
      </text>
    </comment>
    <comment authorId="0" ref="D117">
      <text>
        <t xml:space="preserve">Ô nhập trực tiếp phần trăm hoàn thành tại L6.</t>
      </text>
    </comment>
    <comment authorId="0" ref="AJ116">
      <text>
        <t xml:space="preserve">Nhập tiến độ từ 0%–100% (ví dụ 50%). Chỉ nhập 100% khi công việc đã hoàn thành.</t>
      </text>
    </comment>
    <comment authorId="0" ref="AN248">
      <text>
        <t xml:space="preserve">L6 nằm trong ngày L5 = đúng khung. L6 vượt ngày L5 = ngoài khung. Thiếu mã L5 hoặc thiếu ngày = chưa đủ dữ liệu.</t>
      </text>
    </comment>
    <comment authorId="0" ref="D51">
      <text>
        <t xml:space="preserve">Ô nhập trực tiếp phần trăm hoàn thành tại L6.</t>
      </text>
    </comment>
    <comment authorId="0" ref="AO24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0">
      <text>
        <t xml:space="preserve">Nhập tiến độ từ 0%–100% (ví dụ 50%). Chỉ nhập 100% khi công việc đã hoàn thành.</t>
      </text>
    </comment>
    <comment authorId="0" ref="AN182">
      <text>
        <t xml:space="preserve">L6 nằm trong ngày L5 = đúng khung. L6 vượt ngày L5 = ngoài khung. Thiếu mã L5 hoặc thiếu ngày = chưa đủ dữ liệu.</t>
      </text>
    </comment>
    <comment authorId="0" ref="AO18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6">
      <text>
        <t xml:space="preserve">L6 nằm trong ngày L5 = đúng khung. L6 vượt ngày L5 = ngoài khung. Thiếu mã L5 hoặc thiếu ngày = chưa đủ dữ liệu.</t>
      </text>
    </comment>
    <comment authorId="0" ref="AO11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0">
      <text>
        <t xml:space="preserve">L6 nằm trong ngày L5 = đúng khung. L6 vượt ngày L5 = ngoài khung. Thiếu mã L5 hoặc thiếu ngày = chưa đủ dữ liệu.</t>
      </text>
    </comment>
    <comment authorId="0" ref="AO5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49">
      <text>
        <t xml:space="preserve">Nhập tiến độ từ 0%–100% (ví dụ 50%). Chỉ nhập 100% khi công việc đã hoàn thành.</t>
      </text>
    </comment>
    <comment authorId="0" ref="U183">
      <text>
        <t xml:space="preserve">Nhập tiến độ từ 0%–100% (ví dụ 50%). Chỉ nhập 100% khi công việc đã hoàn thành.</t>
      </text>
    </comment>
    <comment authorId="0" ref="U117">
      <text>
        <t xml:space="preserve">Nhập tiến độ từ 0%–100% (ví dụ 50%). Chỉ nhập 100% khi công việc đã hoàn thành.</t>
      </text>
    </comment>
    <comment authorId="0" ref="U51">
      <text>
        <t xml:space="preserve">Nhập tiến độ từ 0%–100% (ví dụ 50%). Chỉ nhập 100% khi công việc đã hoàn thành.</t>
      </text>
    </comment>
    <comment authorId="0" ref="D250">
      <text>
        <t xml:space="preserve">Ô nhập trực tiếp phần trăm hoàn thành tại L6.</t>
      </text>
    </comment>
    <comment authorId="0" ref="AJ249">
      <text>
        <t xml:space="preserve">Nhập tiến độ từ 0%–100% (ví dụ 50%). Chỉ nhập 100% khi công việc đã hoàn thành.</t>
      </text>
    </comment>
    <comment authorId="0" ref="D184">
      <text>
        <t xml:space="preserve">Ô nhập trực tiếp phần trăm hoàn thành tại L6.</t>
      </text>
    </comment>
    <comment authorId="0" ref="AJ183">
      <text>
        <t xml:space="preserve">Nhập tiến độ từ 0%–100% (ví dụ 50%). Chỉ nhập 100% khi công việc đã hoàn thành.</t>
      </text>
    </comment>
    <comment authorId="0" ref="D118">
      <text>
        <t xml:space="preserve">Ô nhập trực tiếp phần trăm hoàn thành tại L6.</t>
      </text>
    </comment>
    <comment authorId="0" ref="AJ117">
      <text>
        <t xml:space="preserve">Nhập tiến độ từ 0%–100% (ví dụ 50%). Chỉ nhập 100% khi công việc đã hoàn thành.</t>
      </text>
    </comment>
    <comment authorId="0" ref="AN249">
      <text>
        <t xml:space="preserve">L6 nằm trong ngày L5 = đúng khung. L6 vượt ngày L5 = ngoài khung. Thiếu mã L5 hoặc thiếu ngày = chưa đủ dữ liệu.</t>
      </text>
    </comment>
    <comment authorId="0" ref="D52">
      <text>
        <t xml:space="preserve">Ô nhập trực tiếp phần trăm hoàn thành tại L6.</t>
      </text>
    </comment>
    <comment authorId="0" ref="AO24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1">
      <text>
        <t xml:space="preserve">Nhập tiến độ từ 0%–100% (ví dụ 50%). Chỉ nhập 100% khi công việc đã hoàn thành.</t>
      </text>
    </comment>
    <comment authorId="0" ref="AN183">
      <text>
        <t xml:space="preserve">L6 nằm trong ngày L5 = đúng khung. L6 vượt ngày L5 = ngoài khung. Thiếu mã L5 hoặc thiếu ngày = chưa đủ dữ liệu.</t>
      </text>
    </comment>
    <comment authorId="0" ref="AO18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7">
      <text>
        <t xml:space="preserve">L6 nằm trong ngày L5 = đúng khung. L6 vượt ngày L5 = ngoài khung. Thiếu mã L5 hoặc thiếu ngày = chưa đủ dữ liệu.</t>
      </text>
    </comment>
    <comment authorId="0" ref="AO11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1">
      <text>
        <t xml:space="preserve">L6 nằm trong ngày L5 = đúng khung. L6 vượt ngày L5 = ngoài khung. Thiếu mã L5 hoặc thiếu ngày = chưa đủ dữ liệu.</t>
      </text>
    </comment>
    <comment authorId="0" ref="AO5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0">
      <text>
        <t xml:space="preserve">Nhập tiến độ từ 0%–100% (ví dụ 50%). Chỉ nhập 100% khi công việc đã hoàn thành.</t>
      </text>
    </comment>
    <comment authorId="0" ref="U184">
      <text>
        <t xml:space="preserve">Nhập tiến độ từ 0%–100% (ví dụ 50%). Chỉ nhập 100% khi công việc đã hoàn thành.</t>
      </text>
    </comment>
    <comment authorId="0" ref="U118">
      <text>
        <t xml:space="preserve">Nhập tiến độ từ 0%–100% (ví dụ 50%). Chỉ nhập 100% khi công việc đã hoàn thành.</t>
      </text>
    </comment>
    <comment authorId="0" ref="U52">
      <text>
        <t xml:space="preserve">Nhập tiến độ từ 0%–100% (ví dụ 50%). Chỉ nhập 100% khi công việc đã hoàn thành.</t>
      </text>
    </comment>
    <comment authorId="0" ref="D251">
      <text>
        <t xml:space="preserve">Ô nhập trực tiếp phần trăm hoàn thành tại L6.</t>
      </text>
    </comment>
    <comment authorId="0" ref="AJ250">
      <text>
        <t xml:space="preserve">Nhập tiến độ từ 0%–100% (ví dụ 50%). Chỉ nhập 100% khi công việc đã hoàn thành.</t>
      </text>
    </comment>
    <comment authorId="0" ref="D185">
      <text>
        <t xml:space="preserve">Ô nhập trực tiếp phần trăm hoàn thành tại L6.</t>
      </text>
    </comment>
    <comment authorId="0" ref="AJ184">
      <text>
        <t xml:space="preserve">Nhập tiến độ từ 0%–100% (ví dụ 50%). Chỉ nhập 100% khi công việc đã hoàn thành.</t>
      </text>
    </comment>
    <comment authorId="0" ref="D119">
      <text>
        <t xml:space="preserve">Ô nhập trực tiếp phần trăm hoàn thành tại L6.</t>
      </text>
    </comment>
    <comment authorId="0" ref="AJ118">
      <text>
        <t xml:space="preserve">Nhập tiến độ từ 0%–100% (ví dụ 50%). Chỉ nhập 100% khi công việc đã hoàn thành.</t>
      </text>
    </comment>
    <comment authorId="0" ref="AN250">
      <text>
        <t xml:space="preserve">L6 nằm trong ngày L5 = đúng khung. L6 vượt ngày L5 = ngoài khung. Thiếu mã L5 hoặc thiếu ngày = chưa đủ dữ liệu.</t>
      </text>
    </comment>
    <comment authorId="0" ref="D53">
      <text>
        <t xml:space="preserve">Ô nhập trực tiếp phần trăm hoàn thành tại L6.</t>
      </text>
    </comment>
    <comment authorId="0" ref="AO25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2">
      <text>
        <t xml:space="preserve">Nhập tiến độ từ 0%–100% (ví dụ 50%). Chỉ nhập 100% khi công việc đã hoàn thành.</t>
      </text>
    </comment>
    <comment authorId="0" ref="AN184">
      <text>
        <t xml:space="preserve">L6 nằm trong ngày L5 = đúng khung. L6 vượt ngày L5 = ngoài khung. Thiếu mã L5 hoặc thiếu ngày = chưa đủ dữ liệu.</t>
      </text>
    </comment>
    <comment authorId="0" ref="AO18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8">
      <text>
        <t xml:space="preserve">L6 nằm trong ngày L5 = đúng khung. L6 vượt ngày L5 = ngoài khung. Thiếu mã L5 hoặc thiếu ngày = chưa đủ dữ liệu.</t>
      </text>
    </comment>
    <comment authorId="0" ref="AO11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2">
      <text>
        <t xml:space="preserve">L6 nằm trong ngày L5 = đúng khung. L6 vượt ngày L5 = ngoài khung. Thiếu mã L5 hoặc thiếu ngày = chưa đủ dữ liệu.</t>
      </text>
    </comment>
    <comment authorId="0" ref="AO5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1">
      <text>
        <t xml:space="preserve">Nhập tiến độ từ 0%–100% (ví dụ 50%). Chỉ nhập 100% khi công việc đã hoàn thành.</t>
      </text>
    </comment>
    <comment authorId="0" ref="U185">
      <text>
        <t xml:space="preserve">Nhập tiến độ từ 0%–100% (ví dụ 50%). Chỉ nhập 100% khi công việc đã hoàn thành.</t>
      </text>
    </comment>
    <comment authorId="0" ref="U119">
      <text>
        <t xml:space="preserve">Nhập tiến độ từ 0%–100% (ví dụ 50%). Chỉ nhập 100% khi công việc đã hoàn thành.</t>
      </text>
    </comment>
    <comment authorId="0" ref="U53">
      <text>
        <t xml:space="preserve">Nhập tiến độ từ 0%–100% (ví dụ 50%). Chỉ nhập 100% khi công việc đã hoàn thành.</t>
      </text>
    </comment>
    <comment authorId="0" ref="D252">
      <text>
        <t xml:space="preserve">Ô nhập trực tiếp phần trăm hoàn thành tại L6.</t>
      </text>
    </comment>
    <comment authorId="0" ref="AJ251">
      <text>
        <t xml:space="preserve">Nhập tiến độ từ 0%–100% (ví dụ 50%). Chỉ nhập 100% khi công việc đã hoàn thành.</t>
      </text>
    </comment>
    <comment authorId="0" ref="D186">
      <text>
        <t xml:space="preserve">Ô nhập trực tiếp phần trăm hoàn thành tại L6.</t>
      </text>
    </comment>
    <comment authorId="0" ref="AJ185">
      <text>
        <t xml:space="preserve">Nhập tiến độ từ 0%–100% (ví dụ 50%). Chỉ nhập 100% khi công việc đã hoàn thành.</t>
      </text>
    </comment>
    <comment authorId="0" ref="D120">
      <text>
        <t xml:space="preserve">Ô nhập trực tiếp phần trăm hoàn thành tại L6.</t>
      </text>
    </comment>
    <comment authorId="0" ref="AJ119">
      <text>
        <t xml:space="preserve">Nhập tiến độ từ 0%–100% (ví dụ 50%). Chỉ nhập 100% khi công việc đã hoàn thành.</t>
      </text>
    </comment>
    <comment authorId="0" ref="AN251">
      <text>
        <t xml:space="preserve">L6 nằm trong ngày L5 = đúng khung. L6 vượt ngày L5 = ngoài khung. Thiếu mã L5 hoặc thiếu ngày = chưa đủ dữ liệu.</t>
      </text>
    </comment>
    <comment authorId="0" ref="D54">
      <text>
        <t xml:space="preserve">Ô nhập trực tiếp phần trăm hoàn thành tại L6.</t>
      </text>
    </comment>
    <comment authorId="0" ref="AO25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3">
      <text>
        <t xml:space="preserve">Nhập tiến độ từ 0%–100% (ví dụ 50%). Chỉ nhập 100% khi công việc đã hoàn thành.</t>
      </text>
    </comment>
    <comment authorId="0" ref="AN185">
      <text>
        <t xml:space="preserve">L6 nằm trong ngày L5 = đúng khung. L6 vượt ngày L5 = ngoài khung. Thiếu mã L5 hoặc thiếu ngày = chưa đủ dữ liệu.</t>
      </text>
    </comment>
    <comment authorId="0" ref="AO18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19">
      <text>
        <t xml:space="preserve">L6 nằm trong ngày L5 = đúng khung. L6 vượt ngày L5 = ngoài khung. Thiếu mã L5 hoặc thiếu ngày = chưa đủ dữ liệu.</t>
      </text>
    </comment>
    <comment authorId="0" ref="AO11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3">
      <text>
        <t xml:space="preserve">L6 nằm trong ngày L5 = đúng khung. L6 vượt ngày L5 = ngoài khung. Thiếu mã L5 hoặc thiếu ngày = chưa đủ dữ liệu.</t>
      </text>
    </comment>
    <comment authorId="0" ref="AO5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2">
      <text>
        <t xml:space="preserve">Nhập tiến độ từ 0%–100% (ví dụ 50%). Chỉ nhập 100% khi công việc đã hoàn thành.</t>
      </text>
    </comment>
    <comment authorId="0" ref="U186">
      <text>
        <t xml:space="preserve">Nhập tiến độ từ 0%–100% (ví dụ 50%). Chỉ nhập 100% khi công việc đã hoàn thành.</t>
      </text>
    </comment>
    <comment authorId="0" ref="U120">
      <text>
        <t xml:space="preserve">Nhập tiến độ từ 0%–100% (ví dụ 50%). Chỉ nhập 100% khi công việc đã hoàn thành.</t>
      </text>
    </comment>
    <comment authorId="0" ref="U54">
      <text>
        <t xml:space="preserve">Nhập tiến độ từ 0%–100% (ví dụ 50%). Chỉ nhập 100% khi công việc đã hoàn thành.</t>
      </text>
    </comment>
    <comment authorId="0" ref="D253">
      <text>
        <t xml:space="preserve">Ô nhập trực tiếp phần trăm hoàn thành tại L6.</t>
      </text>
    </comment>
    <comment authorId="0" ref="AJ252">
      <text>
        <t xml:space="preserve">Nhập tiến độ từ 0%–100% (ví dụ 50%). Chỉ nhập 100% khi công việc đã hoàn thành.</t>
      </text>
    </comment>
    <comment authorId="0" ref="D187">
      <text>
        <t xml:space="preserve">Ô nhập trực tiếp phần trăm hoàn thành tại L6.</t>
      </text>
    </comment>
    <comment authorId="0" ref="AJ186">
      <text>
        <t xml:space="preserve">Nhập tiến độ từ 0%–100% (ví dụ 50%). Chỉ nhập 100% khi công việc đã hoàn thành.</t>
      </text>
    </comment>
    <comment authorId="0" ref="D121">
      <text>
        <t xml:space="preserve">Ô nhập trực tiếp phần trăm hoàn thành tại L6.</t>
      </text>
    </comment>
    <comment authorId="0" ref="AJ120">
      <text>
        <t xml:space="preserve">Nhập tiến độ từ 0%–100% (ví dụ 50%). Chỉ nhập 100% khi công việc đã hoàn thành.</t>
      </text>
    </comment>
    <comment authorId="0" ref="AN252">
      <text>
        <t xml:space="preserve">L6 nằm trong ngày L5 = đúng khung. L6 vượt ngày L5 = ngoài khung. Thiếu mã L5 hoặc thiếu ngày = chưa đủ dữ liệu.</t>
      </text>
    </comment>
    <comment authorId="0" ref="D55">
      <text>
        <t xml:space="preserve">Ô nhập trực tiếp phần trăm hoàn thành tại L6.</t>
      </text>
    </comment>
    <comment authorId="0" ref="AO25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4">
      <text>
        <t xml:space="preserve">Nhập tiến độ từ 0%–100% (ví dụ 50%). Chỉ nhập 100% khi công việc đã hoàn thành.</t>
      </text>
    </comment>
    <comment authorId="0" ref="AN186">
      <text>
        <t xml:space="preserve">L6 nằm trong ngày L5 = đúng khung. L6 vượt ngày L5 = ngoài khung. Thiếu mã L5 hoặc thiếu ngày = chưa đủ dữ liệu.</t>
      </text>
    </comment>
    <comment authorId="0" ref="AO18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0">
      <text>
        <t xml:space="preserve">L6 nằm trong ngày L5 = đúng khung. L6 vượt ngày L5 = ngoài khung. Thiếu mã L5 hoặc thiếu ngày = chưa đủ dữ liệu.</t>
      </text>
    </comment>
    <comment authorId="0" ref="AO12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4">
      <text>
        <t xml:space="preserve">L6 nằm trong ngày L5 = đúng khung. L6 vượt ngày L5 = ngoài khung. Thiếu mã L5 hoặc thiếu ngày = chưa đủ dữ liệu.</t>
      </text>
    </comment>
    <comment authorId="0" ref="AO5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3">
      <text>
        <t xml:space="preserve">Nhập tiến độ từ 0%–100% (ví dụ 50%). Chỉ nhập 100% khi công việc đã hoàn thành.</t>
      </text>
    </comment>
    <comment authorId="0" ref="U187">
      <text>
        <t xml:space="preserve">Nhập tiến độ từ 0%–100% (ví dụ 50%). Chỉ nhập 100% khi công việc đã hoàn thành.</t>
      </text>
    </comment>
    <comment authorId="0" ref="U121">
      <text>
        <t xml:space="preserve">Nhập tiến độ từ 0%–100% (ví dụ 50%). Chỉ nhập 100% khi công việc đã hoàn thành.</t>
      </text>
    </comment>
    <comment authorId="0" ref="U55">
      <text>
        <t xml:space="preserve">Nhập tiến độ từ 0%–100% (ví dụ 50%). Chỉ nhập 100% khi công việc đã hoàn thành.</t>
      </text>
    </comment>
    <comment authorId="0" ref="D254">
      <text>
        <t xml:space="preserve">Ô nhập trực tiếp phần trăm hoàn thành tại L6.</t>
      </text>
    </comment>
    <comment authorId="0" ref="AJ253">
      <text>
        <t xml:space="preserve">Nhập tiến độ từ 0%–100% (ví dụ 50%). Chỉ nhập 100% khi công việc đã hoàn thành.</t>
      </text>
    </comment>
    <comment authorId="0" ref="D188">
      <text>
        <t xml:space="preserve">Ô nhập trực tiếp phần trăm hoàn thành tại L6.</t>
      </text>
    </comment>
    <comment authorId="0" ref="AJ187">
      <text>
        <t xml:space="preserve">Nhập tiến độ từ 0%–100% (ví dụ 50%). Chỉ nhập 100% khi công việc đã hoàn thành.</t>
      </text>
    </comment>
    <comment authorId="0" ref="D122">
      <text>
        <t xml:space="preserve">Ô nhập trực tiếp phần trăm hoàn thành tại L6.</t>
      </text>
    </comment>
    <comment authorId="0" ref="AJ121">
      <text>
        <t xml:space="preserve">Nhập tiến độ từ 0%–100% (ví dụ 50%). Chỉ nhập 100% khi công việc đã hoàn thành.</t>
      </text>
    </comment>
    <comment authorId="0" ref="AN253">
      <text>
        <t xml:space="preserve">L6 nằm trong ngày L5 = đúng khung. L6 vượt ngày L5 = ngoài khung. Thiếu mã L5 hoặc thiếu ngày = chưa đủ dữ liệu.</t>
      </text>
    </comment>
    <comment authorId="0" ref="D56">
      <text>
        <t xml:space="preserve">Ô nhập trực tiếp phần trăm hoàn thành tại L6.</t>
      </text>
    </comment>
    <comment authorId="0" ref="AO25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5">
      <text>
        <t xml:space="preserve">Nhập tiến độ từ 0%–100% (ví dụ 50%). Chỉ nhập 100% khi công việc đã hoàn thành.</t>
      </text>
    </comment>
    <comment authorId="0" ref="AN187">
      <text>
        <t xml:space="preserve">L6 nằm trong ngày L5 = đúng khung. L6 vượt ngày L5 = ngoài khung. Thiếu mã L5 hoặc thiếu ngày = chưa đủ dữ liệu.</t>
      </text>
    </comment>
    <comment authorId="0" ref="AO18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1">
      <text>
        <t xml:space="preserve">L6 nằm trong ngày L5 = đúng khung. L6 vượt ngày L5 = ngoài khung. Thiếu mã L5 hoặc thiếu ngày = chưa đủ dữ liệu.</t>
      </text>
    </comment>
    <comment authorId="0" ref="AO12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5">
      <text>
        <t xml:space="preserve">L6 nằm trong ngày L5 = đúng khung. L6 vượt ngày L5 = ngoài khung. Thiếu mã L5 hoặc thiếu ngày = chưa đủ dữ liệu.</t>
      </text>
    </comment>
    <comment authorId="0" ref="AO5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4">
      <text>
        <t xml:space="preserve">Nhập tiến độ từ 0%–100% (ví dụ 50%). Chỉ nhập 100% khi công việc đã hoàn thành.</t>
      </text>
    </comment>
    <comment authorId="0" ref="U188">
      <text>
        <t xml:space="preserve">Nhập tiến độ từ 0%–100% (ví dụ 50%). Chỉ nhập 100% khi công việc đã hoàn thành.</t>
      </text>
    </comment>
    <comment authorId="0" ref="U122">
      <text>
        <t xml:space="preserve">Nhập tiến độ từ 0%–100% (ví dụ 50%). Chỉ nhập 100% khi công việc đã hoàn thành.</t>
      </text>
    </comment>
    <comment authorId="0" ref="U56">
      <text>
        <t xml:space="preserve">Nhập tiến độ từ 0%–100% (ví dụ 50%). Chỉ nhập 100% khi công việc đã hoàn thành.</t>
      </text>
    </comment>
    <comment authorId="0" ref="D255">
      <text>
        <t xml:space="preserve">Ô nhập trực tiếp phần trăm hoàn thành tại L6.</t>
      </text>
    </comment>
    <comment authorId="0" ref="AJ254">
      <text>
        <t xml:space="preserve">Nhập tiến độ từ 0%–100% (ví dụ 50%). Chỉ nhập 100% khi công việc đã hoàn thành.</t>
      </text>
    </comment>
    <comment authorId="0" ref="D189">
      <text>
        <t xml:space="preserve">Ô nhập trực tiếp phần trăm hoàn thành tại L6.</t>
      </text>
    </comment>
    <comment authorId="0" ref="AJ188">
      <text>
        <t xml:space="preserve">Nhập tiến độ từ 0%–100% (ví dụ 50%). Chỉ nhập 100% khi công việc đã hoàn thành.</t>
      </text>
    </comment>
    <comment authorId="0" ref="D123">
      <text>
        <t xml:space="preserve">Ô nhập trực tiếp phần trăm hoàn thành tại L6.</t>
      </text>
    </comment>
    <comment authorId="0" ref="AJ122">
      <text>
        <t xml:space="preserve">Nhập tiến độ từ 0%–100% (ví dụ 50%). Chỉ nhập 100% khi công việc đã hoàn thành.</t>
      </text>
    </comment>
    <comment authorId="0" ref="AN254">
      <text>
        <t xml:space="preserve">L6 nằm trong ngày L5 = đúng khung. L6 vượt ngày L5 = ngoài khung. Thiếu mã L5 hoặc thiếu ngày = chưa đủ dữ liệu.</t>
      </text>
    </comment>
    <comment authorId="0" ref="D57">
      <text>
        <t xml:space="preserve">Ô nhập trực tiếp phần trăm hoàn thành tại L6.</t>
      </text>
    </comment>
    <comment authorId="0" ref="AO25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6">
      <text>
        <t xml:space="preserve">Nhập tiến độ từ 0%–100% (ví dụ 50%). Chỉ nhập 100% khi công việc đã hoàn thành.</t>
      </text>
    </comment>
    <comment authorId="0" ref="AN188">
      <text>
        <t xml:space="preserve">L6 nằm trong ngày L5 = đúng khung. L6 vượt ngày L5 = ngoài khung. Thiếu mã L5 hoặc thiếu ngày = chưa đủ dữ liệu.</t>
      </text>
    </comment>
    <comment authorId="0" ref="AO18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2">
      <text>
        <t xml:space="preserve">L6 nằm trong ngày L5 = đúng khung. L6 vượt ngày L5 = ngoài khung. Thiếu mã L5 hoặc thiếu ngày = chưa đủ dữ liệu.</t>
      </text>
    </comment>
    <comment authorId="0" ref="AO12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6">
      <text>
        <t xml:space="preserve">L6 nằm trong ngày L5 = đúng khung. L6 vượt ngày L5 = ngoài khung. Thiếu mã L5 hoặc thiếu ngày = chưa đủ dữ liệu.</t>
      </text>
    </comment>
    <comment authorId="0" ref="AO5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5">
      <text>
        <t xml:space="preserve">Nhập tiến độ từ 0%–100% (ví dụ 50%). Chỉ nhập 100% khi công việc đã hoàn thành.</t>
      </text>
    </comment>
    <comment authorId="0" ref="U189">
      <text>
        <t xml:space="preserve">Nhập tiến độ từ 0%–100% (ví dụ 50%). Chỉ nhập 100% khi công việc đã hoàn thành.</t>
      </text>
    </comment>
    <comment authorId="0" ref="U123">
      <text>
        <t xml:space="preserve">Nhập tiến độ từ 0%–100% (ví dụ 50%). Chỉ nhập 100% khi công việc đã hoàn thành.</t>
      </text>
    </comment>
    <comment authorId="0" ref="U57">
      <text>
        <t xml:space="preserve">Nhập tiến độ từ 0%–100% (ví dụ 50%). Chỉ nhập 100% khi công việc đã hoàn thành.</t>
      </text>
    </comment>
    <comment authorId="0" ref="D256">
      <text>
        <t xml:space="preserve">Ô nhập trực tiếp phần trăm hoàn thành tại L6.</t>
      </text>
    </comment>
    <comment authorId="0" ref="AJ255">
      <text>
        <t xml:space="preserve">Nhập tiến độ từ 0%–100% (ví dụ 50%). Chỉ nhập 100% khi công việc đã hoàn thành.</t>
      </text>
    </comment>
    <comment authorId="0" ref="D190">
      <text>
        <t xml:space="preserve">Ô nhập trực tiếp phần trăm hoàn thành tại L6.</t>
      </text>
    </comment>
    <comment authorId="0" ref="AJ189">
      <text>
        <t xml:space="preserve">Nhập tiến độ từ 0%–100% (ví dụ 50%). Chỉ nhập 100% khi công việc đã hoàn thành.</t>
      </text>
    </comment>
    <comment authorId="0" ref="D124">
      <text>
        <t xml:space="preserve">Ô nhập trực tiếp phần trăm hoàn thành tại L6.</t>
      </text>
    </comment>
    <comment authorId="0" ref="AJ123">
      <text>
        <t xml:space="preserve">Nhập tiến độ từ 0%–100% (ví dụ 50%). Chỉ nhập 100% khi công việc đã hoàn thành.</t>
      </text>
    </comment>
    <comment authorId="0" ref="AN255">
      <text>
        <t xml:space="preserve">L6 nằm trong ngày L5 = đúng khung. L6 vượt ngày L5 = ngoài khung. Thiếu mã L5 hoặc thiếu ngày = chưa đủ dữ liệu.</t>
      </text>
    </comment>
    <comment authorId="0" ref="D58">
      <text>
        <t xml:space="preserve">Ô nhập trực tiếp phần trăm hoàn thành tại L6.</t>
      </text>
    </comment>
    <comment authorId="0" ref="AO25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7">
      <text>
        <t xml:space="preserve">Nhập tiến độ từ 0%–100% (ví dụ 50%). Chỉ nhập 100% khi công việc đã hoàn thành.</t>
      </text>
    </comment>
    <comment authorId="0" ref="AN189">
      <text>
        <t xml:space="preserve">L6 nằm trong ngày L5 = đúng khung. L6 vượt ngày L5 = ngoài khung. Thiếu mã L5 hoặc thiếu ngày = chưa đủ dữ liệu.</t>
      </text>
    </comment>
    <comment authorId="0" ref="AO18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3">
      <text>
        <t xml:space="preserve">L6 nằm trong ngày L5 = đúng khung. L6 vượt ngày L5 = ngoài khung. Thiếu mã L5 hoặc thiếu ngày = chưa đủ dữ liệu.</t>
      </text>
    </comment>
    <comment authorId="0" ref="AO12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7">
      <text>
        <t xml:space="preserve">L6 nằm trong ngày L5 = đúng khung. L6 vượt ngày L5 = ngoài khung. Thiếu mã L5 hoặc thiếu ngày = chưa đủ dữ liệu.</t>
      </text>
    </comment>
    <comment authorId="0" ref="AO5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6">
      <text>
        <t xml:space="preserve">Nhập tiến độ từ 0%–100% (ví dụ 50%). Chỉ nhập 100% khi công việc đã hoàn thành.</t>
      </text>
    </comment>
    <comment authorId="0" ref="U190">
      <text>
        <t xml:space="preserve">Nhập tiến độ từ 0%–100% (ví dụ 50%). Chỉ nhập 100% khi công việc đã hoàn thành.</t>
      </text>
    </comment>
    <comment authorId="0" ref="U124">
      <text>
        <t xml:space="preserve">Nhập tiến độ từ 0%–100% (ví dụ 50%). Chỉ nhập 100% khi công việc đã hoàn thành.</t>
      </text>
    </comment>
    <comment authorId="0" ref="U58">
      <text>
        <t xml:space="preserve">Nhập tiến độ từ 0%–100% (ví dụ 50%). Chỉ nhập 100% khi công việc đã hoàn thành.</t>
      </text>
    </comment>
    <comment authorId="0" ref="D257">
      <text>
        <t xml:space="preserve">Ô nhập trực tiếp phần trăm hoàn thành tại L6.</t>
      </text>
    </comment>
    <comment authorId="0" ref="AJ256">
      <text>
        <t xml:space="preserve">Nhập tiến độ từ 0%–100% (ví dụ 50%). Chỉ nhập 100% khi công việc đã hoàn thành.</t>
      </text>
    </comment>
    <comment authorId="0" ref="D191">
      <text>
        <t xml:space="preserve">Ô nhập trực tiếp phần trăm hoàn thành tại L6.</t>
      </text>
    </comment>
    <comment authorId="0" ref="AJ190">
      <text>
        <t xml:space="preserve">Nhập tiến độ từ 0%–100% (ví dụ 50%). Chỉ nhập 100% khi công việc đã hoàn thành.</t>
      </text>
    </comment>
    <comment authorId="0" ref="D125">
      <text>
        <t xml:space="preserve">Ô nhập trực tiếp phần trăm hoàn thành tại L6.</t>
      </text>
    </comment>
    <comment authorId="0" ref="AJ124">
      <text>
        <t xml:space="preserve">Nhập tiến độ từ 0%–100% (ví dụ 50%). Chỉ nhập 100% khi công việc đã hoàn thành.</t>
      </text>
    </comment>
    <comment authorId="0" ref="AN256">
      <text>
        <t xml:space="preserve">L6 nằm trong ngày L5 = đúng khung. L6 vượt ngày L5 = ngoài khung. Thiếu mã L5 hoặc thiếu ngày = chưa đủ dữ liệu.</t>
      </text>
    </comment>
    <comment authorId="0" ref="D59">
      <text>
        <t xml:space="preserve">Ô nhập trực tiếp phần trăm hoàn thành tại L6.</t>
      </text>
    </comment>
    <comment authorId="0" ref="AO25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8">
      <text>
        <t xml:space="preserve">Nhập tiến độ từ 0%–100% (ví dụ 50%). Chỉ nhập 100% khi công việc đã hoàn thành.</t>
      </text>
    </comment>
    <comment authorId="0" ref="AN190">
      <text>
        <t xml:space="preserve">L6 nằm trong ngày L5 = đúng khung. L6 vượt ngày L5 = ngoài khung. Thiếu mã L5 hoặc thiếu ngày = chưa đủ dữ liệu.</t>
      </text>
    </comment>
    <comment authorId="0" ref="AO19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4">
      <text>
        <t xml:space="preserve">L6 nằm trong ngày L5 = đúng khung. L6 vượt ngày L5 = ngoài khung. Thiếu mã L5 hoặc thiếu ngày = chưa đủ dữ liệu.</t>
      </text>
    </comment>
    <comment authorId="0" ref="AO12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8">
      <text>
        <t xml:space="preserve">L6 nằm trong ngày L5 = đúng khung. L6 vượt ngày L5 = ngoài khung. Thiếu mã L5 hoặc thiếu ngày = chưa đủ dữ liệu.</t>
      </text>
    </comment>
    <comment authorId="0" ref="AO5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7">
      <text>
        <t xml:space="preserve">Nhập tiến độ từ 0%–100% (ví dụ 50%). Chỉ nhập 100% khi công việc đã hoàn thành.</t>
      </text>
    </comment>
    <comment authorId="0" ref="U191">
      <text>
        <t xml:space="preserve">Nhập tiến độ từ 0%–100% (ví dụ 50%). Chỉ nhập 100% khi công việc đã hoàn thành.</t>
      </text>
    </comment>
    <comment authorId="0" ref="U125">
      <text>
        <t xml:space="preserve">Nhập tiến độ từ 0%–100% (ví dụ 50%). Chỉ nhập 100% khi công việc đã hoàn thành.</t>
      </text>
    </comment>
    <comment authorId="0" ref="U59">
      <text>
        <t xml:space="preserve">Nhập tiến độ từ 0%–100% (ví dụ 50%). Chỉ nhập 100% khi công việc đã hoàn thành.</t>
      </text>
    </comment>
    <comment authorId="0" ref="D258">
      <text>
        <t xml:space="preserve">Ô nhập trực tiếp phần trăm hoàn thành tại L6.</t>
      </text>
    </comment>
    <comment authorId="0" ref="AJ257">
      <text>
        <t xml:space="preserve">Nhập tiến độ từ 0%–100% (ví dụ 50%). Chỉ nhập 100% khi công việc đã hoàn thành.</t>
      </text>
    </comment>
    <comment authorId="0" ref="D192">
      <text>
        <t xml:space="preserve">Ô nhập trực tiếp phần trăm hoàn thành tại L6.</t>
      </text>
    </comment>
    <comment authorId="0" ref="AJ191">
      <text>
        <t xml:space="preserve">Nhập tiến độ từ 0%–100% (ví dụ 50%). Chỉ nhập 100% khi công việc đã hoàn thành.</t>
      </text>
    </comment>
    <comment authorId="0" ref="D126">
      <text>
        <t xml:space="preserve">Ô nhập trực tiếp phần trăm hoàn thành tại L6.</t>
      </text>
    </comment>
    <comment authorId="0" ref="AJ125">
      <text>
        <t xml:space="preserve">Nhập tiến độ từ 0%–100% (ví dụ 50%). Chỉ nhập 100% khi công việc đã hoàn thành.</t>
      </text>
    </comment>
    <comment authorId="0" ref="AN257">
      <text>
        <t xml:space="preserve">L6 nằm trong ngày L5 = đúng khung. L6 vượt ngày L5 = ngoài khung. Thiếu mã L5 hoặc thiếu ngày = chưa đủ dữ liệu.</t>
      </text>
    </comment>
    <comment authorId="0" ref="D60">
      <text>
        <t xml:space="preserve">Ô nhập trực tiếp phần trăm hoàn thành tại L6.</t>
      </text>
    </comment>
    <comment authorId="0" ref="AO25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59">
      <text>
        <t xml:space="preserve">Nhập tiến độ từ 0%–100% (ví dụ 50%). Chỉ nhập 100% khi công việc đã hoàn thành.</t>
      </text>
    </comment>
    <comment authorId="0" ref="AN191">
      <text>
        <t xml:space="preserve">L6 nằm trong ngày L5 = đúng khung. L6 vượt ngày L5 = ngoài khung. Thiếu mã L5 hoặc thiếu ngày = chưa đủ dữ liệu.</t>
      </text>
    </comment>
    <comment authorId="0" ref="AO19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5">
      <text>
        <t xml:space="preserve">L6 nằm trong ngày L5 = đúng khung. L6 vượt ngày L5 = ngoài khung. Thiếu mã L5 hoặc thiếu ngày = chưa đủ dữ liệu.</t>
      </text>
    </comment>
    <comment authorId="0" ref="AO12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59">
      <text>
        <t xml:space="preserve">L6 nằm trong ngày L5 = đúng khung. L6 vượt ngày L5 = ngoài khung. Thiếu mã L5 hoặc thiếu ngày = chưa đủ dữ liệu.</t>
      </text>
    </comment>
    <comment authorId="0" ref="AO5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8">
      <text>
        <t xml:space="preserve">Nhập tiến độ từ 0%–100% (ví dụ 50%). Chỉ nhập 100% khi công việc đã hoàn thành.</t>
      </text>
    </comment>
    <comment authorId="0" ref="U192">
      <text>
        <t xml:space="preserve">Nhập tiến độ từ 0%–100% (ví dụ 50%). Chỉ nhập 100% khi công việc đã hoàn thành.</t>
      </text>
    </comment>
    <comment authorId="0" ref="U126">
      <text>
        <t xml:space="preserve">Nhập tiến độ từ 0%–100% (ví dụ 50%). Chỉ nhập 100% khi công việc đã hoàn thành.</t>
      </text>
    </comment>
    <comment authorId="0" ref="U60">
      <text>
        <t xml:space="preserve">Nhập tiến độ từ 0%–100% (ví dụ 50%). Chỉ nhập 100% khi công việc đã hoàn thành.</t>
      </text>
    </comment>
    <comment authorId="0" ref="D259">
      <text>
        <t xml:space="preserve">Ô nhập trực tiếp phần trăm hoàn thành tại L6.</t>
      </text>
    </comment>
    <comment authorId="0" ref="AJ258">
      <text>
        <t xml:space="preserve">Nhập tiến độ từ 0%–100% (ví dụ 50%). Chỉ nhập 100% khi công việc đã hoàn thành.</t>
      </text>
    </comment>
    <comment authorId="0" ref="D193">
      <text>
        <t xml:space="preserve">Ô nhập trực tiếp phần trăm hoàn thành tại L6.</t>
      </text>
    </comment>
    <comment authorId="0" ref="AJ192">
      <text>
        <t xml:space="preserve">Nhập tiến độ từ 0%–100% (ví dụ 50%). Chỉ nhập 100% khi công việc đã hoàn thành.</t>
      </text>
    </comment>
    <comment authorId="0" ref="D127">
      <text>
        <t xml:space="preserve">Ô nhập trực tiếp phần trăm hoàn thành tại L6.</t>
      </text>
    </comment>
    <comment authorId="0" ref="AJ126">
      <text>
        <t xml:space="preserve">Nhập tiến độ từ 0%–100% (ví dụ 50%). Chỉ nhập 100% khi công việc đã hoàn thành.</t>
      </text>
    </comment>
    <comment authorId="0" ref="AN258">
      <text>
        <t xml:space="preserve">L6 nằm trong ngày L5 = đúng khung. L6 vượt ngày L5 = ngoài khung. Thiếu mã L5 hoặc thiếu ngày = chưa đủ dữ liệu.</t>
      </text>
    </comment>
    <comment authorId="0" ref="D61">
      <text>
        <t xml:space="preserve">Ô nhập trực tiếp phần trăm hoàn thành tại L6.</t>
      </text>
    </comment>
    <comment authorId="0" ref="AO25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0">
      <text>
        <t xml:space="preserve">Nhập tiến độ từ 0%–100% (ví dụ 50%). Chỉ nhập 100% khi công việc đã hoàn thành.</t>
      </text>
    </comment>
    <comment authorId="0" ref="AN192">
      <text>
        <t xml:space="preserve">L6 nằm trong ngày L5 = đúng khung. L6 vượt ngày L5 = ngoài khung. Thiếu mã L5 hoặc thiếu ngày = chưa đủ dữ liệu.</t>
      </text>
    </comment>
    <comment authorId="0" ref="AO19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6">
      <text>
        <t xml:space="preserve">L6 nằm trong ngày L5 = đúng khung. L6 vượt ngày L5 = ngoài khung. Thiếu mã L5 hoặc thiếu ngày = chưa đủ dữ liệu.</t>
      </text>
    </comment>
    <comment authorId="0" ref="AO12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0">
      <text>
        <t xml:space="preserve">L6 nằm trong ngày L5 = đúng khung. L6 vượt ngày L5 = ngoài khung. Thiếu mã L5 hoặc thiếu ngày = chưa đủ dữ liệu.</t>
      </text>
    </comment>
    <comment authorId="0" ref="AO6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59">
      <text>
        <t xml:space="preserve">Nhập tiến độ từ 0%–100% (ví dụ 50%). Chỉ nhập 100% khi công việc đã hoàn thành.</t>
      </text>
    </comment>
    <comment authorId="0" ref="U193">
      <text>
        <t xml:space="preserve">Nhập tiến độ từ 0%–100% (ví dụ 50%). Chỉ nhập 100% khi công việc đã hoàn thành.</t>
      </text>
    </comment>
    <comment authorId="0" ref="U127">
      <text>
        <t xml:space="preserve">Nhập tiến độ từ 0%–100% (ví dụ 50%). Chỉ nhập 100% khi công việc đã hoàn thành.</t>
      </text>
    </comment>
    <comment authorId="0" ref="U61">
      <text>
        <t xml:space="preserve">Nhập tiến độ từ 0%–100% (ví dụ 50%). Chỉ nhập 100% khi công việc đã hoàn thành.</t>
      </text>
    </comment>
    <comment authorId="0" ref="D260">
      <text>
        <t xml:space="preserve">Ô nhập trực tiếp phần trăm hoàn thành tại L6.</t>
      </text>
    </comment>
    <comment authorId="0" ref="AJ259">
      <text>
        <t xml:space="preserve">Nhập tiến độ từ 0%–100% (ví dụ 50%). Chỉ nhập 100% khi công việc đã hoàn thành.</t>
      </text>
    </comment>
    <comment authorId="0" ref="D194">
      <text>
        <t xml:space="preserve">Ô nhập trực tiếp phần trăm hoàn thành tại L6.</t>
      </text>
    </comment>
    <comment authorId="0" ref="AJ193">
      <text>
        <t xml:space="preserve">Nhập tiến độ từ 0%–100% (ví dụ 50%). Chỉ nhập 100% khi công việc đã hoàn thành.</t>
      </text>
    </comment>
    <comment authorId="0" ref="D128">
      <text>
        <t xml:space="preserve">Ô nhập trực tiếp phần trăm hoàn thành tại L6.</t>
      </text>
    </comment>
    <comment authorId="0" ref="AJ127">
      <text>
        <t xml:space="preserve">Nhập tiến độ từ 0%–100% (ví dụ 50%). Chỉ nhập 100% khi công việc đã hoàn thành.</t>
      </text>
    </comment>
    <comment authorId="0" ref="AN259">
      <text>
        <t xml:space="preserve">L6 nằm trong ngày L5 = đúng khung. L6 vượt ngày L5 = ngoài khung. Thiếu mã L5 hoặc thiếu ngày = chưa đủ dữ liệu.</t>
      </text>
    </comment>
    <comment authorId="0" ref="D62">
      <text>
        <t xml:space="preserve">Ô nhập trực tiếp phần trăm hoàn thành tại L6.</t>
      </text>
    </comment>
    <comment authorId="0" ref="AO25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1">
      <text>
        <t xml:space="preserve">Nhập tiến độ từ 0%–100% (ví dụ 50%). Chỉ nhập 100% khi công việc đã hoàn thành.</t>
      </text>
    </comment>
    <comment authorId="0" ref="AN193">
      <text>
        <t xml:space="preserve">L6 nằm trong ngày L5 = đúng khung. L6 vượt ngày L5 = ngoài khung. Thiếu mã L5 hoặc thiếu ngày = chưa đủ dữ liệu.</t>
      </text>
    </comment>
    <comment authorId="0" ref="AO19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7">
      <text>
        <t xml:space="preserve">L6 nằm trong ngày L5 = đúng khung. L6 vượt ngày L5 = ngoài khung. Thiếu mã L5 hoặc thiếu ngày = chưa đủ dữ liệu.</t>
      </text>
    </comment>
    <comment authorId="0" ref="AO12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1">
      <text>
        <t xml:space="preserve">L6 nằm trong ngày L5 = đúng khung. L6 vượt ngày L5 = ngoài khung. Thiếu mã L5 hoặc thiếu ngày = chưa đủ dữ liệu.</t>
      </text>
    </comment>
    <comment authorId="0" ref="AO6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0">
      <text>
        <t xml:space="preserve">Nhập tiến độ từ 0%–100% (ví dụ 50%). Chỉ nhập 100% khi công việc đã hoàn thành.</t>
      </text>
    </comment>
    <comment authorId="0" ref="U194">
      <text>
        <t xml:space="preserve">Nhập tiến độ từ 0%–100% (ví dụ 50%). Chỉ nhập 100% khi công việc đã hoàn thành.</t>
      </text>
    </comment>
    <comment authorId="0" ref="U128">
      <text>
        <t xml:space="preserve">Nhập tiến độ từ 0%–100% (ví dụ 50%). Chỉ nhập 100% khi công việc đã hoàn thành.</t>
      </text>
    </comment>
    <comment authorId="0" ref="U62">
      <text>
        <t xml:space="preserve">Nhập tiến độ từ 0%–100% (ví dụ 50%). Chỉ nhập 100% khi công việc đã hoàn thành.</t>
      </text>
    </comment>
    <comment authorId="0" ref="D261">
      <text>
        <t xml:space="preserve">Ô nhập trực tiếp phần trăm hoàn thành tại L6.</t>
      </text>
    </comment>
    <comment authorId="0" ref="AJ260">
      <text>
        <t xml:space="preserve">Nhập tiến độ từ 0%–100% (ví dụ 50%). Chỉ nhập 100% khi công việc đã hoàn thành.</t>
      </text>
    </comment>
    <comment authorId="0" ref="D195">
      <text>
        <t xml:space="preserve">Ô nhập trực tiếp phần trăm hoàn thành tại L6.</t>
      </text>
    </comment>
    <comment authorId="0" ref="AJ194">
      <text>
        <t xml:space="preserve">Nhập tiến độ từ 0%–100% (ví dụ 50%). Chỉ nhập 100% khi công việc đã hoàn thành.</t>
      </text>
    </comment>
    <comment authorId="0" ref="D129">
      <text>
        <t xml:space="preserve">Ô nhập trực tiếp phần trăm hoàn thành tại L6.</t>
      </text>
    </comment>
    <comment authorId="0" ref="AJ128">
      <text>
        <t xml:space="preserve">Nhập tiến độ từ 0%–100% (ví dụ 50%). Chỉ nhập 100% khi công việc đã hoàn thành.</t>
      </text>
    </comment>
    <comment authorId="0" ref="AN260">
      <text>
        <t xml:space="preserve">L6 nằm trong ngày L5 = đúng khung. L6 vượt ngày L5 = ngoài khung. Thiếu mã L5 hoặc thiếu ngày = chưa đủ dữ liệu.</t>
      </text>
    </comment>
    <comment authorId="0" ref="D63">
      <text>
        <t xml:space="preserve">Ô nhập trực tiếp phần trăm hoàn thành tại L6.</t>
      </text>
    </comment>
    <comment authorId="0" ref="AO26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2">
      <text>
        <t xml:space="preserve">Nhập tiến độ từ 0%–100% (ví dụ 50%). Chỉ nhập 100% khi công việc đã hoàn thành.</t>
      </text>
    </comment>
    <comment authorId="0" ref="AN194">
      <text>
        <t xml:space="preserve">L6 nằm trong ngày L5 = đúng khung. L6 vượt ngày L5 = ngoài khung. Thiếu mã L5 hoặc thiếu ngày = chưa đủ dữ liệu.</t>
      </text>
    </comment>
    <comment authorId="0" ref="AO19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8">
      <text>
        <t xml:space="preserve">L6 nằm trong ngày L5 = đúng khung. L6 vượt ngày L5 = ngoài khung. Thiếu mã L5 hoặc thiếu ngày = chưa đủ dữ liệu.</t>
      </text>
    </comment>
    <comment authorId="0" ref="AO128">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2">
      <text>
        <t xml:space="preserve">L6 nằm trong ngày L5 = đúng khung. L6 vượt ngày L5 = ngoài khung. Thiếu mã L5 hoặc thiếu ngày = chưa đủ dữ liệu.</t>
      </text>
    </comment>
    <comment authorId="0" ref="AO6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1">
      <text>
        <t xml:space="preserve">Nhập tiến độ từ 0%–100% (ví dụ 50%). Chỉ nhập 100% khi công việc đã hoàn thành.</t>
      </text>
    </comment>
    <comment authorId="0" ref="U195">
      <text>
        <t xml:space="preserve">Nhập tiến độ từ 0%–100% (ví dụ 50%). Chỉ nhập 100% khi công việc đã hoàn thành.</t>
      </text>
    </comment>
    <comment authorId="0" ref="U129">
      <text>
        <t xml:space="preserve">Nhập tiến độ từ 0%–100% (ví dụ 50%). Chỉ nhập 100% khi công việc đã hoàn thành.</t>
      </text>
    </comment>
    <comment authorId="0" ref="U63">
      <text>
        <t xml:space="preserve">Nhập tiến độ từ 0%–100% (ví dụ 50%). Chỉ nhập 100% khi công việc đã hoàn thành.</t>
      </text>
    </comment>
    <comment authorId="0" ref="D262">
      <text>
        <t xml:space="preserve">Ô nhập trực tiếp phần trăm hoàn thành tại L6.</t>
      </text>
    </comment>
    <comment authorId="0" ref="AJ261">
      <text>
        <t xml:space="preserve">Nhập tiến độ từ 0%–100% (ví dụ 50%). Chỉ nhập 100% khi công việc đã hoàn thành.</t>
      </text>
    </comment>
    <comment authorId="0" ref="D196">
      <text>
        <t xml:space="preserve">Ô nhập trực tiếp phần trăm hoàn thành tại L6.</t>
      </text>
    </comment>
    <comment authorId="0" ref="AJ195">
      <text>
        <t xml:space="preserve">Nhập tiến độ từ 0%–100% (ví dụ 50%). Chỉ nhập 100% khi công việc đã hoàn thành.</t>
      </text>
    </comment>
    <comment authorId="0" ref="D130">
      <text>
        <t xml:space="preserve">Ô nhập trực tiếp phần trăm hoàn thành tại L6.</t>
      </text>
    </comment>
    <comment authorId="0" ref="AJ129">
      <text>
        <t xml:space="preserve">Nhập tiến độ từ 0%–100% (ví dụ 50%). Chỉ nhập 100% khi công việc đã hoàn thành.</t>
      </text>
    </comment>
    <comment authorId="0" ref="AN261">
      <text>
        <t xml:space="preserve">L6 nằm trong ngày L5 = đúng khung. L6 vượt ngày L5 = ngoài khung. Thiếu mã L5 hoặc thiếu ngày = chưa đủ dữ liệu.</t>
      </text>
    </comment>
    <comment authorId="0" ref="D64">
      <text>
        <t xml:space="preserve">Ô nhập trực tiếp phần trăm hoàn thành tại L6.</t>
      </text>
    </comment>
    <comment authorId="0" ref="AO26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3">
      <text>
        <t xml:space="preserve">Nhập tiến độ từ 0%–100% (ví dụ 50%). Chỉ nhập 100% khi công việc đã hoàn thành.</t>
      </text>
    </comment>
    <comment authorId="0" ref="AN195">
      <text>
        <t xml:space="preserve">L6 nằm trong ngày L5 = đúng khung. L6 vượt ngày L5 = ngoài khung. Thiếu mã L5 hoặc thiếu ngày = chưa đủ dữ liệu.</t>
      </text>
    </comment>
    <comment authorId="0" ref="AO19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29">
      <text>
        <t xml:space="preserve">L6 nằm trong ngày L5 = đúng khung. L6 vượt ngày L5 = ngoài khung. Thiếu mã L5 hoặc thiếu ngày = chưa đủ dữ liệu.</t>
      </text>
    </comment>
    <comment authorId="0" ref="AO129">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3">
      <text>
        <t xml:space="preserve">L6 nằm trong ngày L5 = đúng khung. L6 vượt ngày L5 = ngoài khung. Thiếu mã L5 hoặc thiếu ngày = chưa đủ dữ liệu.</t>
      </text>
    </comment>
    <comment authorId="0" ref="AO6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2">
      <text>
        <t xml:space="preserve">Nhập tiến độ từ 0%–100% (ví dụ 50%). Chỉ nhập 100% khi công việc đã hoàn thành.</t>
      </text>
    </comment>
    <comment authorId="0" ref="U196">
      <text>
        <t xml:space="preserve">Nhập tiến độ từ 0%–100% (ví dụ 50%). Chỉ nhập 100% khi công việc đã hoàn thành.</t>
      </text>
    </comment>
    <comment authorId="0" ref="U130">
      <text>
        <t xml:space="preserve">Nhập tiến độ từ 0%–100% (ví dụ 50%). Chỉ nhập 100% khi công việc đã hoàn thành.</t>
      </text>
    </comment>
    <comment authorId="0" ref="U64">
      <text>
        <t xml:space="preserve">Nhập tiến độ từ 0%–100% (ví dụ 50%). Chỉ nhập 100% khi công việc đã hoàn thành.</t>
      </text>
    </comment>
    <comment authorId="0" ref="D263">
      <text>
        <t xml:space="preserve">Ô nhập trực tiếp phần trăm hoàn thành tại L6.</t>
      </text>
    </comment>
    <comment authorId="0" ref="AJ262">
      <text>
        <t xml:space="preserve">Nhập tiến độ từ 0%–100% (ví dụ 50%). Chỉ nhập 100% khi công việc đã hoàn thành.</t>
      </text>
    </comment>
    <comment authorId="0" ref="D197">
      <text>
        <t xml:space="preserve">Ô nhập trực tiếp phần trăm hoàn thành tại L6.</t>
      </text>
    </comment>
    <comment authorId="0" ref="AJ196">
      <text>
        <t xml:space="preserve">Nhập tiến độ từ 0%–100% (ví dụ 50%). Chỉ nhập 100% khi công việc đã hoàn thành.</t>
      </text>
    </comment>
    <comment authorId="0" ref="D131">
      <text>
        <t xml:space="preserve">Ô nhập trực tiếp phần trăm hoàn thành tại L6.</t>
      </text>
    </comment>
    <comment authorId="0" ref="AJ130">
      <text>
        <t xml:space="preserve">Nhập tiến độ từ 0%–100% (ví dụ 50%). Chỉ nhập 100% khi công việc đã hoàn thành.</t>
      </text>
    </comment>
    <comment authorId="0" ref="AN262">
      <text>
        <t xml:space="preserve">L6 nằm trong ngày L5 = đúng khung. L6 vượt ngày L5 = ngoài khung. Thiếu mã L5 hoặc thiếu ngày = chưa đủ dữ liệu.</t>
      </text>
    </comment>
    <comment authorId="0" ref="D65">
      <text>
        <t xml:space="preserve">Ô nhập trực tiếp phần trăm hoàn thành tại L6.</t>
      </text>
    </comment>
    <comment authorId="0" ref="AO262">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4">
      <text>
        <t xml:space="preserve">Nhập tiến độ từ 0%–100% (ví dụ 50%). Chỉ nhập 100% khi công việc đã hoàn thành.</t>
      </text>
    </comment>
    <comment authorId="0" ref="AN196">
      <text>
        <t xml:space="preserve">L6 nằm trong ngày L5 = đúng khung. L6 vượt ngày L5 = ngoài khung. Thiếu mã L5 hoặc thiếu ngày = chưa đủ dữ liệu.</t>
      </text>
    </comment>
    <comment authorId="0" ref="AO196">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0">
      <text>
        <t xml:space="preserve">L6 nằm trong ngày L5 = đúng khung. L6 vượt ngày L5 = ngoài khung. Thiếu mã L5 hoặc thiếu ngày = chưa đủ dữ liệu.</t>
      </text>
    </comment>
    <comment authorId="0" ref="AO130">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4">
      <text>
        <t xml:space="preserve">L6 nằm trong ngày L5 = đúng khung. L6 vượt ngày L5 = ngoài khung. Thiếu mã L5 hoặc thiếu ngày = chưa đủ dữ liệu.</t>
      </text>
    </comment>
    <comment authorId="0" ref="AO64">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3">
      <text>
        <t xml:space="preserve">Nhập tiến độ từ 0%–100% (ví dụ 50%). Chỉ nhập 100% khi công việc đã hoàn thành.</t>
      </text>
    </comment>
    <comment authorId="0" ref="U197">
      <text>
        <t xml:space="preserve">Nhập tiến độ từ 0%–100% (ví dụ 50%). Chỉ nhập 100% khi công việc đã hoàn thành.</t>
      </text>
    </comment>
    <comment authorId="0" ref="U131">
      <text>
        <t xml:space="preserve">Nhập tiến độ từ 0%–100% (ví dụ 50%). Chỉ nhập 100% khi công việc đã hoàn thành.</t>
      </text>
    </comment>
    <comment authorId="0" ref="U65">
      <text>
        <t xml:space="preserve">Nhập tiến độ từ 0%–100% (ví dụ 50%). Chỉ nhập 100% khi công việc đã hoàn thành.</t>
      </text>
    </comment>
    <comment authorId="0" ref="D264">
      <text>
        <t xml:space="preserve">Ô nhập trực tiếp phần trăm hoàn thành tại L6.</t>
      </text>
    </comment>
    <comment authorId="0" ref="AJ263">
      <text>
        <t xml:space="preserve">Nhập tiến độ từ 0%–100% (ví dụ 50%). Chỉ nhập 100% khi công việc đã hoàn thành.</t>
      </text>
    </comment>
    <comment authorId="0" ref="D198">
      <text>
        <t xml:space="preserve">Ô nhập trực tiếp phần trăm hoàn thành tại L6.</t>
      </text>
    </comment>
    <comment authorId="0" ref="AJ197">
      <text>
        <t xml:space="preserve">Nhập tiến độ từ 0%–100% (ví dụ 50%). Chỉ nhập 100% khi công việc đã hoàn thành.</t>
      </text>
    </comment>
    <comment authorId="0" ref="D132">
      <text>
        <t xml:space="preserve">Ô nhập trực tiếp phần trăm hoàn thành tại L6.</t>
      </text>
    </comment>
    <comment authorId="0" ref="AJ131">
      <text>
        <t xml:space="preserve">Nhập tiến độ từ 0%–100% (ví dụ 50%). Chỉ nhập 100% khi công việc đã hoàn thành.</t>
      </text>
    </comment>
    <comment authorId="0" ref="AN263">
      <text>
        <t xml:space="preserve">L6 nằm trong ngày L5 = đúng khung. L6 vượt ngày L5 = ngoài khung. Thiếu mã L5 hoặc thiếu ngày = chưa đủ dữ liệu.</t>
      </text>
    </comment>
    <comment authorId="0" ref="D66">
      <text>
        <t xml:space="preserve">Ô nhập trực tiếp phần trăm hoàn thành tại L6.</t>
      </text>
    </comment>
    <comment authorId="0" ref="AO263">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J65">
      <text>
        <t xml:space="preserve">Nhập tiến độ từ 0%–100% (ví dụ 50%). Chỉ nhập 100% khi công việc đã hoàn thành.</t>
      </text>
    </comment>
    <comment authorId="0" ref="AN197">
      <text>
        <t xml:space="preserve">L6 nằm trong ngày L5 = đúng khung. L6 vượt ngày L5 = ngoài khung. Thiếu mã L5 hoặc thiếu ngày = chưa đủ dữ liệu.</t>
      </text>
    </comment>
    <comment authorId="0" ref="AO197">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131">
      <text>
        <t xml:space="preserve">L6 nằm trong ngày L5 = đúng khung. L6 vượt ngày L5 = ngoài khung. Thiếu mã L5 hoặc thiếu ngày = chưa đủ dữ liệu.</t>
      </text>
    </comment>
    <comment authorId="0" ref="AO131">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AN65">
      <text>
        <t xml:space="preserve">L6 nằm trong ngày L5 = đúng khung. L6 vượt ngày L5 = ngoài khung. Thiếu mã L5 hoặc thiếu ngày = chưa đủ dữ liệu.</t>
      </text>
    </comment>
    <comment authorId="0" ref="AO65">
      <text>
        <t xml:space="preserve">Giải nghĩa nhanh:
- Bình thường: dưới 6,4 giờ/ngày.
- Cận tải: 6,4–8 giờ/ngày.
- Quá tải: trên 8 giờ/ngày.
- Quá hạn: hết hạn, vẫn còn việc.
- Xem lớp dưới: tránh tính trùng.
- Thiếu dữ liệu: cần bổ sung.</t>
      </text>
    </comment>
    <comment authorId="0" ref="U264">
      <text>
        <t xml:space="preserve">Nhập tiến độ từ 0%–100% (ví dụ 50%). Chỉ nhập 100% khi công việc đã hoàn thành.</t>
      </text>
    </comment>
    <comment authorId="0" ref="U198">
      <text>
        <t xml:space="preserve">Nhập tiến độ từ 0%–100% (ví dụ 50%). Chỉ nhập 100% khi công việc đã hoàn thành.</t>
      </text>
    </comment>
    <comment authorId="0" ref="U132">
      <text>
        <t xml:space="preserve">Nhập tiến độ từ 0%–100% (ví dụ 50%). Chỉ nhập 100% khi công việc đã hoàn thành.</t>
      </text>
    </comment>
    <comment authorId="0" ref="U66">
      <text>
        <t xml:space="preserve">Nhập tiến độ từ 0%–100% (ví dụ 50%). Chỉ nhập 100% khi công việc đã hoàn thành.</t>
      </text>
    </comment>
    <comment authorId="0" ref="D265">
      <text>
        <t xml:space="preserve">Ô nhập trực tiếp phần trăm hoàn thành tại L6.</t>
      </text>
    </comment>
    <comment authorId="0" ref="AJ264">
      <text>
        <t xml:space="preserve">Nhập tiến độ từ 0%–100% (ví dụ 50%). Chỉ nhập 100% khi công việc đã hoàn thành.</t>
      </text>
    </comment>
    <comment authorId="0" ref="D199">
      <text>
        <t xml:space="preserve">Ô nhập trực tiếp phần trăm hoàn thành tại L6.</t>
      </text>
    </comment>
    <comment authorId="0" ref="AJ198">
      <text>
        <t xml:space="preserve">Nhập tiến độ từ 0%–100% (ví dụ 50%). Chỉ nhập 100% khi công việc đã hoàn thành.</t>
      </text>
    </comment>
    <comment authorId="0" ref="D133">
      <text>
        <t xml:space="preserve">Ô nhập trực tiếp phần trăm hoàn thành tại L6.</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Có thể nhập mã đầy đủ như HHL3CT03 hoặc một phần tên như KHKD 2027.</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Nguồn Mã L6 dùng cho dropdown Mã công việc của nhật ký định kỳ.</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31">
      <text>
        <t xml:space="preserve">Công thức động tổng hợp các điểm cuối từ L3, L4 và L5; không nhập tay.</t>
      </text>
    </comment>
    <comment authorId="0" ref="A398">
      <text>
        <t xml:space="preserve">Công thức động tổng hợp các điểm cuối từ L3, L4 và L5; không nhập tay.</t>
      </text>
    </comment>
    <comment authorId="0" ref="A365">
      <text>
        <t xml:space="preserve">Công thức động tổng hợp các điểm cuối từ L3, L4 và L5; không nhập tay.</t>
      </text>
    </comment>
    <comment authorId="0" ref="A332">
      <text>
        <t xml:space="preserve">Công thức động tổng hợp các điểm cuối từ L3, L4 và L5; không nhập tay.</t>
      </text>
    </comment>
    <comment authorId="0" ref="A299">
      <text>
        <t xml:space="preserve">Công thức động tổng hợp các điểm cuối từ L3, L4 và L5; không nhập tay.</t>
      </text>
    </comment>
    <comment authorId="0" ref="A266">
      <text>
        <t xml:space="preserve">Công thức động tổng hợp các điểm cuối từ L3, L4 và L5; không nhập tay.</t>
      </text>
    </comment>
    <comment authorId="0" ref="A233">
      <text>
        <t xml:space="preserve">Công thức động tổng hợp các điểm cuối từ L3, L4 và L5; không nhập tay.</t>
      </text>
    </comment>
    <comment authorId="0" ref="A200">
      <text>
        <t xml:space="preserve">Công thức động tổng hợp các điểm cuối từ L3, L4 và L5; không nhập tay.</t>
      </text>
    </comment>
    <comment authorId="0" ref="A167">
      <text>
        <t xml:space="preserve">Công thức động tổng hợp các điểm cuối từ L3, L4 và L5; không nhập tay.</t>
      </text>
    </comment>
    <comment authorId="0" ref="A134">
      <text>
        <t xml:space="preserve">Công thức động tổng hợp các điểm cuối từ L3, L4 và L5; không nhập tay.</t>
      </text>
    </comment>
    <comment authorId="0" ref="A101">
      <text>
        <t xml:space="preserve">Công thức động tổng hợp các điểm cuối từ L3, L4 và L5; không nhập tay.</t>
      </text>
    </comment>
    <comment authorId="0" ref="A68">
      <text>
        <t xml:space="preserve">Công thức động tổng hợp các điểm cuối từ L3, L4 và L5; không nhập tay.</t>
      </text>
    </comment>
    <comment authorId="0" ref="A35">
      <text>
        <t xml:space="preserve">Công thức động tổng hợp các điểm cuối từ L3, L4 và L5; không nhập tay.</t>
      </text>
    </comment>
    <comment authorId="0" ref="O2">
      <text>
        <t xml:space="preserve">Thông báo kỹ thuật: chế độ cập nhật hai chiều chỉ hoạt động khi có VBA và file được lưu dạng .xlsm. Không liên quan đến các công thức tổng hợp một chiều đang hiển thị.</t>
      </text>
    </comment>
    <comment authorId="0" ref="A432">
      <text>
        <t xml:space="preserve">Công thức động tổng hợp các điểm cuối từ L3, L4 và L5; không nhập tay.</t>
      </text>
    </comment>
    <comment authorId="0" ref="A399">
      <text>
        <t xml:space="preserve">Công thức động tổng hợp các điểm cuối từ L3, L4 và L5; không nhập tay.</t>
      </text>
    </comment>
    <comment authorId="0" ref="A366">
      <text>
        <t xml:space="preserve">Công thức động tổng hợp các điểm cuối từ L3, L4 và L5; không nhập tay.</t>
      </text>
    </comment>
    <comment authorId="0" ref="A333">
      <text>
        <t xml:space="preserve">Công thức động tổng hợp các điểm cuối từ L3, L4 và L5; không nhập tay.</t>
      </text>
    </comment>
    <comment authorId="0" ref="A300">
      <text>
        <t xml:space="preserve">Công thức động tổng hợp các điểm cuối từ L3, L4 và L5; không nhập tay.</t>
      </text>
    </comment>
    <comment authorId="0" ref="A267">
      <text>
        <t xml:space="preserve">Công thức động tổng hợp các điểm cuối từ L3, L4 và L5; không nhập tay.</t>
      </text>
    </comment>
    <comment authorId="0" ref="A234">
      <text>
        <t xml:space="preserve">Công thức động tổng hợp các điểm cuối từ L3, L4 và L5; không nhập tay.</t>
      </text>
    </comment>
    <comment authorId="0" ref="A201">
      <text>
        <t xml:space="preserve">Công thức động tổng hợp các điểm cuối từ L3, L4 và L5; không nhập tay.</t>
      </text>
    </comment>
    <comment authorId="0" ref="A168">
      <text>
        <t xml:space="preserve">Công thức động tổng hợp các điểm cuối từ L3, L4 và L5; không nhập tay.</t>
      </text>
    </comment>
    <comment authorId="0" ref="A135">
      <text>
        <t xml:space="preserve">Công thức động tổng hợp các điểm cuối từ L3, L4 và L5; không nhập tay.</t>
      </text>
    </comment>
    <comment authorId="0" ref="A102">
      <text>
        <t xml:space="preserve">Công thức động tổng hợp các điểm cuối từ L3, L4 và L5; không nhập tay.</t>
      </text>
    </comment>
    <comment authorId="0" ref="A69">
      <text>
        <t xml:space="preserve">Công thức động tổng hợp các điểm cuối từ L3, L4 và L5; không nhập tay.</t>
      </text>
    </comment>
    <comment authorId="0" ref="A36">
      <text>
        <t xml:space="preserve">Công thức động tổng hợp các điểm cuối từ L3, L4 và L5; không nhập tay.</t>
      </text>
    </comment>
    <comment authorId="0" ref="A3">
      <text>
        <t xml:space="preserve">Điểm cuối là công việc thấp nhất trong nhánh: L5 nếu có L5; nếu không có L5 thì L4; nếu không có L4 thì L3. Tránh đếm trùng cha và con.</t>
      </text>
    </comment>
    <comment authorId="0" ref="A433">
      <text>
        <t xml:space="preserve">Công thức động tổng hợp các điểm cuối từ L3, L4 và L5; không nhập tay.</t>
      </text>
    </comment>
    <comment authorId="0" ref="A400">
      <text>
        <t xml:space="preserve">Công thức động tổng hợp các điểm cuối từ L3, L4 và L5; không nhập tay.</t>
      </text>
    </comment>
    <comment authorId="0" ref="U3">
      <text>
        <t xml:space="preserve">Danh sách người thực hiện được tổng hợp tự động từ các lớp công việc.</t>
      </text>
    </comment>
    <comment authorId="0" ref="A367">
      <text>
        <t xml:space="preserve">Công thức động tổng hợp các điểm cuối từ L3, L4 và L5; không nhập tay.</t>
      </text>
    </comment>
    <comment authorId="0" ref="V3">
      <text>
        <t xml:space="preserve">Tổng số giờ/ngày yêu cầu của các công việc đang nằm trong thời gian thực hiện tại ngày hiện tại.</t>
      </text>
    </comment>
    <comment authorId="0" ref="A334">
      <text>
        <t xml:space="preserve">Công thức động tổng hợp các điểm cuối từ L3, L4 và L5; không nhập tay.</t>
      </text>
    </comment>
    <comment authorId="0" ref="W3">
      <text>
        <t xml:space="preserve">Tỷ lệ công suất = Tổng giờ/ngày chia Công suất chuẩn tại Danh mục chọn. Có thể vượt 100% khi một người bị phân công quá tải.</t>
      </text>
    </comment>
    <comment authorId="0" ref="A301">
      <text>
        <t xml:space="preserve">Công thức động tổng hợp các điểm cuối từ L3, L4 và L5; không nhập tay.</t>
      </text>
    </comment>
    <comment authorId="0" ref="X3">
      <text>
        <t xml:space="preserve">Bình thường, Cận tải hoặc Quá tải theo công suất chuẩn và ngưỡng cảnh báo tại Danh mục chọn.</t>
      </text>
    </comment>
    <comment authorId="0" ref="A268">
      <text>
        <t xml:space="preserve">Công thức động tổng hợp các điểm cuối từ L3, L4 và L5; không nhập tay.</t>
      </text>
    </comment>
    <comment authorId="0" ref="Y3">
      <text>
        <t xml:space="preserve">Tổng khối lượng giờ còn lại của các công việc đã quá hạn và chưa Hoàn thành/Hủy.</t>
      </text>
    </comment>
    <comment authorId="0" ref="A235">
      <text>
        <t xml:space="preserve">Công thức động tổng hợp các điểm cuối từ L3, L4 và L5; không nhập tay.</t>
      </text>
    </comment>
    <comment authorId="0" ref="A202">
      <text>
        <t xml:space="preserve">Công thức động tổng hợp các điểm cuối từ L3, L4 và L5; không nhập tay.</t>
      </text>
    </comment>
    <comment authorId="0" ref="A169">
      <text>
        <t xml:space="preserve">Công thức động tổng hợp các điểm cuối từ L3, L4 và L5; không nhập tay.</t>
      </text>
    </comment>
    <comment authorId="0" ref="A136">
      <text>
        <t xml:space="preserve">Công thức động tổng hợp các điểm cuối từ L3, L4 và L5; không nhập tay.</t>
      </text>
    </comment>
    <comment authorId="0" ref="A103">
      <text>
        <t xml:space="preserve">Công thức động tổng hợp các điểm cuối từ L3, L4 và L5; không nhập tay.</t>
      </text>
    </comment>
    <comment authorId="0" ref="A70">
      <text>
        <t xml:space="preserve">Công thức động tổng hợp các điểm cuối từ L3, L4 và L5; không nhập tay.</t>
      </text>
    </comment>
    <comment authorId="0" ref="A37">
      <text>
        <t xml:space="preserve">Công thức động tổng hợp các điểm cuối từ L3, L4 và L5; không nhập tay.</t>
      </text>
    </comment>
    <comment authorId="0" ref="A434">
      <text>
        <t xml:space="preserve">Công thức động tổng hợp các điểm cuối từ L3, L4 và L5; không nhập tay.</t>
      </text>
    </comment>
    <comment authorId="0" ref="A401">
      <text>
        <t xml:space="preserve">Công thức động tổng hợp các điểm cuối từ L3, L4 và L5; không nhập tay.</t>
      </text>
    </comment>
    <comment authorId="0" ref="A368">
      <text>
        <t xml:space="preserve">Công thức động tổng hợp các điểm cuối từ L3, L4 và L5; không nhập tay.</t>
      </text>
    </comment>
    <comment authorId="0" ref="A335">
      <text>
        <t xml:space="preserve">Công thức động tổng hợp các điểm cuối từ L3, L4 và L5; không nhập tay.</t>
      </text>
    </comment>
    <comment authorId="0" ref="A302">
      <text>
        <t xml:space="preserve">Công thức động tổng hợp các điểm cuối từ L3, L4 và L5; không nhập tay.</t>
      </text>
    </comment>
    <comment authorId="0" ref="A269">
      <text>
        <t xml:space="preserve">Công thức động tổng hợp các điểm cuối từ L3, L4 và L5; không nhập tay.</t>
      </text>
    </comment>
    <comment authorId="0" ref="A236">
      <text>
        <t xml:space="preserve">Công thức động tổng hợp các điểm cuối từ L3, L4 và L5; không nhập tay.</t>
      </text>
    </comment>
    <comment authorId="0" ref="A203">
      <text>
        <t xml:space="preserve">Công thức động tổng hợp các điểm cuối từ L3, L4 và L5; không nhập tay.</t>
      </text>
    </comment>
    <comment authorId="0" ref="A170">
      <text>
        <t xml:space="preserve">Công thức động tổng hợp các điểm cuối từ L3, L4 và L5; không nhập tay.</t>
      </text>
    </comment>
    <comment authorId="0" ref="A137">
      <text>
        <t xml:space="preserve">Công thức động tổng hợp các điểm cuối từ L3, L4 và L5; không nhập tay.</t>
      </text>
    </comment>
    <comment authorId="0" ref="A104">
      <text>
        <t xml:space="preserve">Công thức động tổng hợp các điểm cuối từ L3, L4 và L5; không nhập tay.</t>
      </text>
    </comment>
    <comment authorId="0" ref="A71">
      <text>
        <t xml:space="preserve">Công thức động tổng hợp các điểm cuối từ L3, L4 và L5; không nhập tay.</t>
      </text>
    </comment>
    <comment authorId="0" ref="A38">
      <text>
        <t xml:space="preserve">Công thức động tổng hợp các điểm cuối từ L3, L4 và L5; không nhập tay.</t>
      </text>
    </comment>
    <comment authorId="0" ref="A435">
      <text>
        <t xml:space="preserve">Công thức động tổng hợp các điểm cuối từ L3, L4 và L5; không nhập tay.</t>
      </text>
    </comment>
    <comment authorId="0" ref="A402">
      <text>
        <t xml:space="preserve">Công thức động tổng hợp các điểm cuối từ L3, L4 và L5; không nhập tay.</t>
      </text>
    </comment>
    <comment authorId="0" ref="A369">
      <text>
        <t xml:space="preserve">Công thức động tổng hợp các điểm cuối từ L3, L4 và L5; không nhập tay.</t>
      </text>
    </comment>
    <comment authorId="0" ref="A336">
      <text>
        <t xml:space="preserve">Công thức động tổng hợp các điểm cuối từ L3, L4 và L5; không nhập tay.</t>
      </text>
    </comment>
    <comment authorId="0" ref="A303">
      <text>
        <t xml:space="preserve">Công thức động tổng hợp các điểm cuối từ L3, L4 và L5; không nhập tay.</t>
      </text>
    </comment>
    <comment authorId="0" ref="A270">
      <text>
        <t xml:space="preserve">Công thức động tổng hợp các điểm cuối từ L3, L4 và L5; không nhập tay.</t>
      </text>
    </comment>
    <comment authorId="0" ref="A237">
      <text>
        <t xml:space="preserve">Công thức động tổng hợp các điểm cuối từ L3, L4 và L5; không nhập tay.</t>
      </text>
    </comment>
    <comment authorId="0" ref="A204">
      <text>
        <t xml:space="preserve">Công thức động tổng hợp các điểm cuối từ L3, L4 và L5; không nhập tay.</t>
      </text>
    </comment>
    <comment authorId="0" ref="A171">
      <text>
        <t xml:space="preserve">Công thức động tổng hợp các điểm cuối từ L3, L4 và L5; không nhập tay.</t>
      </text>
    </comment>
    <comment authorId="0" ref="A138">
      <text>
        <t xml:space="preserve">Công thức động tổng hợp các điểm cuối từ L3, L4 và L5; không nhập tay.</t>
      </text>
    </comment>
    <comment authorId="0" ref="A105">
      <text>
        <t xml:space="preserve">Công thức động tổng hợp các điểm cuối từ L3, L4 và L5; không nhập tay.</t>
      </text>
    </comment>
    <comment authorId="0" ref="A72">
      <text>
        <t xml:space="preserve">Công thức động tổng hợp các điểm cuối từ L3, L4 và L5; không nhập tay.</t>
      </text>
    </comment>
    <comment authorId="0" ref="A39">
      <text>
        <t xml:space="preserve">Công thức động tổng hợp các điểm cuối từ L3, L4 và L5; không nhập tay.</t>
      </text>
    </comment>
    <comment authorId="0" ref="A436">
      <text>
        <t xml:space="preserve">Công thức động tổng hợp các điểm cuối từ L3, L4 và L5; không nhập tay.</t>
      </text>
    </comment>
    <comment authorId="0" ref="A403">
      <text>
        <t xml:space="preserve">Công thức động tổng hợp các điểm cuối từ L3, L4 và L5; không nhập tay.</t>
      </text>
    </comment>
    <comment authorId="0" ref="A370">
      <text>
        <t xml:space="preserve">Công thức động tổng hợp các điểm cuối từ L3, L4 và L5; không nhập tay.</t>
      </text>
    </comment>
    <comment authorId="0" ref="A337">
      <text>
        <t xml:space="preserve">Công thức động tổng hợp các điểm cuối từ L3, L4 và L5; không nhập tay.</t>
      </text>
    </comment>
    <comment authorId="0" ref="A304">
      <text>
        <t xml:space="preserve">Công thức động tổng hợp các điểm cuối từ L3, L4 và L5; không nhập tay.</t>
      </text>
    </comment>
    <comment authorId="0" ref="A271">
      <text>
        <t xml:space="preserve">Công thức động tổng hợp các điểm cuối từ L3, L4 và L5; không nhập tay.</t>
      </text>
    </comment>
    <comment authorId="0" ref="A238">
      <text>
        <t xml:space="preserve">Công thức động tổng hợp các điểm cuối từ L3, L4 và L5; không nhập tay.</t>
      </text>
    </comment>
    <comment authorId="0" ref="A205">
      <text>
        <t xml:space="preserve">Công thức động tổng hợp các điểm cuối từ L3, L4 và L5; không nhập tay.</t>
      </text>
    </comment>
    <comment authorId="0" ref="A172">
      <text>
        <t xml:space="preserve">Công thức động tổng hợp các điểm cuối từ L3, L4 và L5; không nhập tay.</t>
      </text>
    </comment>
    <comment authorId="0" ref="A139">
      <text>
        <t xml:space="preserve">Công thức động tổng hợp các điểm cuối từ L3, L4 và L5; không nhập tay.</t>
      </text>
    </comment>
    <comment authorId="0" ref="A106">
      <text>
        <t xml:space="preserve">Công thức động tổng hợp các điểm cuối từ L3, L4 và L5; không nhập tay.</t>
      </text>
    </comment>
    <comment authorId="0" ref="A73">
      <text>
        <t xml:space="preserve">Công thức động tổng hợp các điểm cuối từ L3, L4 và L5; không nhập tay.</t>
      </text>
    </comment>
    <comment authorId="0" ref="A40">
      <text>
        <t xml:space="preserve">Công thức động tổng hợp các điểm cuối từ L3, L4 và L5; không nhập tay.</t>
      </text>
    </comment>
    <comment authorId="0" ref="A437">
      <text>
        <t xml:space="preserve">Công thức động tổng hợp các điểm cuối từ L3, L4 và L5; không nhập tay.</t>
      </text>
    </comment>
    <comment authorId="0" ref="A404">
      <text>
        <t xml:space="preserve">Công thức động tổng hợp các điểm cuối từ L3, L4 và L5; không nhập tay.</t>
      </text>
    </comment>
    <comment authorId="0" ref="A371">
      <text>
        <t xml:space="preserve">Công thức động tổng hợp các điểm cuối từ L3, L4 và L5; không nhập tay.</t>
      </text>
    </comment>
    <comment authorId="0" ref="A338">
      <text>
        <t xml:space="preserve">Công thức động tổng hợp các điểm cuối từ L3, L4 và L5; không nhập tay.</t>
      </text>
    </comment>
    <comment authorId="0" ref="A305">
      <text>
        <t xml:space="preserve">Công thức động tổng hợp các điểm cuối từ L3, L4 và L5; không nhập tay.</t>
      </text>
    </comment>
    <comment authorId="0" ref="A272">
      <text>
        <t xml:space="preserve">Công thức động tổng hợp các điểm cuối từ L3, L4 và L5; không nhập tay.</t>
      </text>
    </comment>
    <comment authorId="0" ref="A239">
      <text>
        <t xml:space="preserve">Công thức động tổng hợp các điểm cuối từ L3, L4 và L5; không nhập tay.</t>
      </text>
    </comment>
    <comment authorId="0" ref="A206">
      <text>
        <t xml:space="preserve">Công thức động tổng hợp các điểm cuối từ L3, L4 và L5; không nhập tay.</t>
      </text>
    </comment>
    <comment authorId="0" ref="A173">
      <text>
        <t xml:space="preserve">Công thức động tổng hợp các điểm cuối từ L3, L4 và L5; không nhập tay.</t>
      </text>
    </comment>
    <comment authorId="0" ref="A140">
      <text>
        <t xml:space="preserve">Công thức động tổng hợp các điểm cuối từ L3, L4 và L5; không nhập tay.</t>
      </text>
    </comment>
    <comment authorId="0" ref="A107">
      <text>
        <t xml:space="preserve">Công thức động tổng hợp các điểm cuối từ L3, L4 và L5; không nhập tay.</t>
      </text>
    </comment>
    <comment authorId="0" ref="A74">
      <text>
        <t xml:space="preserve">Công thức động tổng hợp các điểm cuối từ L3, L4 và L5; không nhập tay.</t>
      </text>
    </comment>
    <comment authorId="0" ref="A41">
      <text>
        <t xml:space="preserve">Công thức động tổng hợp các điểm cuối từ L3, L4 và L5; không nhập tay.</t>
      </text>
    </comment>
    <comment authorId="0" ref="A438">
      <text>
        <t xml:space="preserve">Công thức động tổng hợp các điểm cuối từ L3, L4 và L5; không nhập tay.</t>
      </text>
    </comment>
    <comment authorId="0" ref="A405">
      <text>
        <t xml:space="preserve">Công thức động tổng hợp các điểm cuối từ L3, L4 và L5; không nhập tay.</t>
      </text>
    </comment>
    <comment authorId="0" ref="A372">
      <text>
        <t xml:space="preserve">Công thức động tổng hợp các điểm cuối từ L3, L4 và L5; không nhập tay.</t>
      </text>
    </comment>
    <comment authorId="0" ref="A339">
      <text>
        <t xml:space="preserve">Công thức động tổng hợp các điểm cuối từ L3, L4 và L5; không nhập tay.</t>
      </text>
    </comment>
    <comment authorId="0" ref="A306">
      <text>
        <t xml:space="preserve">Công thức động tổng hợp các điểm cuối từ L3, L4 và L5; không nhập tay.</t>
      </text>
    </comment>
    <comment authorId="0" ref="A273">
      <text>
        <t xml:space="preserve">Công thức động tổng hợp các điểm cuối từ L3, L4 và L5; không nhập tay.</t>
      </text>
    </comment>
    <comment authorId="0" ref="A240">
      <text>
        <t xml:space="preserve">Công thức động tổng hợp các điểm cuối từ L3, L4 và L5; không nhập tay.</t>
      </text>
    </comment>
    <comment authorId="0" ref="A207">
      <text>
        <t xml:space="preserve">Công thức động tổng hợp các điểm cuối từ L3, L4 và L5; không nhập tay.</t>
      </text>
    </comment>
    <comment authorId="0" ref="A174">
      <text>
        <t xml:space="preserve">Công thức động tổng hợp các điểm cuối từ L3, L4 và L5; không nhập tay.</t>
      </text>
    </comment>
    <comment authorId="0" ref="A141">
      <text>
        <t xml:space="preserve">Công thức động tổng hợp các điểm cuối từ L3, L4 và L5; không nhập tay.</t>
      </text>
    </comment>
    <comment authorId="0" ref="A108">
      <text>
        <t xml:space="preserve">Công thức động tổng hợp các điểm cuối từ L3, L4 và L5; không nhập tay.</t>
      </text>
    </comment>
    <comment authorId="0" ref="A75">
      <text>
        <t xml:space="preserve">Công thức động tổng hợp các điểm cuối từ L3, L4 và L5; không nhập tay.</t>
      </text>
    </comment>
    <comment authorId="0" ref="A42">
      <text>
        <t xml:space="preserve">Công thức động tổng hợp các điểm cuối từ L3, L4 và L5; không nhập tay.</t>
      </text>
    </comment>
    <comment authorId="0" ref="A439">
      <text>
        <t xml:space="preserve">Công thức động tổng hợp các điểm cuối từ L3, L4 và L5; không nhập tay.</t>
      </text>
    </comment>
    <comment authorId="0" ref="A406">
      <text>
        <t xml:space="preserve">Công thức động tổng hợp các điểm cuối từ L3, L4 và L5; không nhập tay.</t>
      </text>
    </comment>
    <comment authorId="0" ref="A373">
      <text>
        <t xml:space="preserve">Công thức động tổng hợp các điểm cuối từ L3, L4 và L5; không nhập tay.</t>
      </text>
    </comment>
    <comment authorId="0" ref="A340">
      <text>
        <t xml:space="preserve">Công thức động tổng hợp các điểm cuối từ L3, L4 và L5; không nhập tay.</t>
      </text>
    </comment>
    <comment authorId="0" ref="A307">
      <text>
        <t xml:space="preserve">Công thức động tổng hợp các điểm cuối từ L3, L4 và L5; không nhập tay.</t>
      </text>
    </comment>
    <comment authorId="0" ref="A274">
      <text>
        <t xml:space="preserve">Công thức động tổng hợp các điểm cuối từ L3, L4 và L5; không nhập tay.</t>
      </text>
    </comment>
    <comment authorId="0" ref="A241">
      <text>
        <t xml:space="preserve">Công thức động tổng hợp các điểm cuối từ L3, L4 và L5; không nhập tay.</t>
      </text>
    </comment>
    <comment authorId="0" ref="A208">
      <text>
        <t xml:space="preserve">Công thức động tổng hợp các điểm cuối từ L3, L4 và L5; không nhập tay.</t>
      </text>
    </comment>
    <comment authorId="0" ref="A175">
      <text>
        <t xml:space="preserve">Công thức động tổng hợp các điểm cuối từ L3, L4 và L5; không nhập tay.</t>
      </text>
    </comment>
    <comment authorId="0" ref="A142">
      <text>
        <t xml:space="preserve">Công thức động tổng hợp các điểm cuối từ L3, L4 và L5; không nhập tay.</t>
      </text>
    </comment>
    <comment authorId="0" ref="A109">
      <text>
        <t xml:space="preserve">Công thức động tổng hợp các điểm cuối từ L3, L4 và L5; không nhập tay.</t>
      </text>
    </comment>
    <comment authorId="0" ref="A76">
      <text>
        <t xml:space="preserve">Công thức động tổng hợp các điểm cuối từ L3, L4 và L5; không nhập tay.</t>
      </text>
    </comment>
    <comment authorId="0" ref="A43">
      <text>
        <t xml:space="preserve">Công thức động tổng hợp các điểm cuối từ L3, L4 và L5; không nhập tay.</t>
      </text>
    </comment>
    <comment authorId="0" ref="A440">
      <text>
        <t xml:space="preserve">Công thức động tổng hợp các điểm cuối từ L3, L4 và L5; không nhập tay.</t>
      </text>
    </comment>
    <comment authorId="0" ref="A407">
      <text>
        <t xml:space="preserve">Công thức động tổng hợp các điểm cuối từ L3, L4 và L5; không nhập tay.</t>
      </text>
    </comment>
    <comment authorId="0" ref="A374">
      <text>
        <t xml:space="preserve">Công thức động tổng hợp các điểm cuối từ L3, L4 và L5; không nhập tay.</t>
      </text>
    </comment>
    <comment authorId="0" ref="A341">
      <text>
        <t xml:space="preserve">Công thức động tổng hợp các điểm cuối từ L3, L4 và L5; không nhập tay.</t>
      </text>
    </comment>
    <comment authorId="0" ref="A308">
      <text>
        <t xml:space="preserve">Công thức động tổng hợp các điểm cuối từ L3, L4 và L5; không nhập tay.</t>
      </text>
    </comment>
    <comment authorId="0" ref="A275">
      <text>
        <t xml:space="preserve">Công thức động tổng hợp các điểm cuối từ L3, L4 và L5; không nhập tay.</t>
      </text>
    </comment>
    <comment authorId="0" ref="A242">
      <text>
        <t xml:space="preserve">Công thức động tổng hợp các điểm cuối từ L3, L4 và L5; không nhập tay.</t>
      </text>
    </comment>
    <comment authorId="0" ref="A209">
      <text>
        <t xml:space="preserve">Công thức động tổng hợp các điểm cuối từ L3, L4 và L5; không nhập tay.</t>
      </text>
    </comment>
    <comment authorId="0" ref="A176">
      <text>
        <t xml:space="preserve">Công thức động tổng hợp các điểm cuối từ L3, L4 và L5; không nhập tay.</t>
      </text>
    </comment>
    <comment authorId="0" ref="A143">
      <text>
        <t xml:space="preserve">Công thức động tổng hợp các điểm cuối từ L3, L4 và L5; không nhập tay.</t>
      </text>
    </comment>
    <comment authorId="0" ref="A110">
      <text>
        <t xml:space="preserve">Công thức động tổng hợp các điểm cuối từ L3, L4 và L5; không nhập tay.</t>
      </text>
    </comment>
    <comment authorId="0" ref="A77">
      <text>
        <t xml:space="preserve">Công thức động tổng hợp các điểm cuối từ L3, L4 và L5; không nhập tay.</t>
      </text>
    </comment>
    <comment authorId="0" ref="A44">
      <text>
        <t xml:space="preserve">Công thức động tổng hợp các điểm cuối từ L3, L4 và L5; không nhập tay.</t>
      </text>
    </comment>
    <comment authorId="0" ref="A441">
      <text>
        <t xml:space="preserve">Công thức động tổng hợp các điểm cuối từ L3, L4 và L5; không nhập tay.</t>
      </text>
    </comment>
    <comment authorId="0" ref="A408">
      <text>
        <t xml:space="preserve">Công thức động tổng hợp các điểm cuối từ L3, L4 và L5; không nhập tay.</t>
      </text>
    </comment>
    <comment authorId="0" ref="A375">
      <text>
        <t xml:space="preserve">Công thức động tổng hợp các điểm cuối từ L3, L4 và L5; không nhập tay.</t>
      </text>
    </comment>
    <comment authorId="0" ref="A342">
      <text>
        <t xml:space="preserve">Công thức động tổng hợp các điểm cuối từ L3, L4 và L5; không nhập tay.</t>
      </text>
    </comment>
    <comment authorId="0" ref="A309">
      <text>
        <t xml:space="preserve">Công thức động tổng hợp các điểm cuối từ L3, L4 và L5; không nhập tay.</t>
      </text>
    </comment>
    <comment authorId="0" ref="A276">
      <text>
        <t xml:space="preserve">Công thức động tổng hợp các điểm cuối từ L3, L4 và L5; không nhập tay.</t>
      </text>
    </comment>
    <comment authorId="0" ref="A243">
      <text>
        <t xml:space="preserve">Công thức động tổng hợp các điểm cuối từ L3, L4 và L5; không nhập tay.</t>
      </text>
    </comment>
    <comment authorId="0" ref="A210">
      <text>
        <t xml:space="preserve">Công thức động tổng hợp các điểm cuối từ L3, L4 và L5; không nhập tay.</t>
      </text>
    </comment>
    <comment authorId="0" ref="A177">
      <text>
        <t xml:space="preserve">Công thức động tổng hợp các điểm cuối từ L3, L4 và L5; không nhập tay.</t>
      </text>
    </comment>
    <comment authorId="0" ref="A144">
      <text>
        <t xml:space="preserve">Công thức động tổng hợp các điểm cuối từ L3, L4 và L5; không nhập tay.</t>
      </text>
    </comment>
    <comment authorId="0" ref="A111">
      <text>
        <t xml:space="preserve">Công thức động tổng hợp các điểm cuối từ L3, L4 và L5; không nhập tay.</t>
      </text>
    </comment>
    <comment authorId="0" ref="A78">
      <text>
        <t xml:space="preserve">Công thức động tổng hợp các điểm cuối từ L3, L4 và L5; không nhập tay.</t>
      </text>
    </comment>
    <comment authorId="0" ref="A45">
      <text>
        <t xml:space="preserve">Công thức động tổng hợp các điểm cuối từ L3, L4 và L5; không nhập tay.</t>
      </text>
    </comment>
    <comment authorId="0" ref="A442">
      <text>
        <t xml:space="preserve">Công thức động tổng hợp các điểm cuối từ L3, L4 và L5; không nhập tay.</t>
      </text>
    </comment>
    <comment authorId="0" ref="A409">
      <text>
        <t xml:space="preserve">Công thức động tổng hợp các điểm cuối từ L3, L4 và L5; không nhập tay.</t>
      </text>
    </comment>
    <comment authorId="0" ref="A376">
      <text>
        <t xml:space="preserve">Công thức động tổng hợp các điểm cuối từ L3, L4 và L5; không nhập tay.</t>
      </text>
    </comment>
    <comment authorId="0" ref="A343">
      <text>
        <t xml:space="preserve">Công thức động tổng hợp các điểm cuối từ L3, L4 và L5; không nhập tay.</t>
      </text>
    </comment>
    <comment authorId="0" ref="A310">
      <text>
        <t xml:space="preserve">Công thức động tổng hợp các điểm cuối từ L3, L4 và L5; không nhập tay.</t>
      </text>
    </comment>
    <comment authorId="0" ref="A277">
      <text>
        <t xml:space="preserve">Công thức động tổng hợp các điểm cuối từ L3, L4 và L5; không nhập tay.</t>
      </text>
    </comment>
    <comment authorId="0" ref="A244">
      <text>
        <t xml:space="preserve">Công thức động tổng hợp các điểm cuối từ L3, L4 và L5; không nhập tay.</t>
      </text>
    </comment>
    <comment authorId="0" ref="A211">
      <text>
        <t xml:space="preserve">Công thức động tổng hợp các điểm cuối từ L3, L4 và L5; không nhập tay.</t>
      </text>
    </comment>
    <comment authorId="0" ref="A178">
      <text>
        <t xml:space="preserve">Công thức động tổng hợp các điểm cuối từ L3, L4 và L5; không nhập tay.</t>
      </text>
    </comment>
    <comment authorId="0" ref="A145">
      <text>
        <t xml:space="preserve">Công thức động tổng hợp các điểm cuối từ L3, L4 và L5; không nhập tay.</t>
      </text>
    </comment>
    <comment authorId="0" ref="A112">
      <text>
        <t xml:space="preserve">Công thức động tổng hợp các điểm cuối từ L3, L4 và L5; không nhập tay.</t>
      </text>
    </comment>
    <comment authorId="0" ref="A79">
      <text>
        <t xml:space="preserve">Công thức động tổng hợp các điểm cuối từ L3, L4 và L5; không nhập tay.</t>
      </text>
    </comment>
    <comment authorId="0" ref="A46">
      <text>
        <t xml:space="preserve">Công thức động tổng hợp các điểm cuối từ L3, L4 và L5; không nhập tay.</t>
      </text>
    </comment>
    <comment authorId="0" ref="A13">
      <text>
        <t xml:space="preserve">Lớp cuối cho biết bản ghi tổng hợp lấy từ L3, L4 hay L5 theo nguyên tắc điểm cuối; không phải cấp quản trị Lớp 1.</t>
      </text>
    </comment>
    <comment authorId="0" ref="B13">
      <text>
        <t xml:space="preserve">Mã của công việc điểm cuối được sử dụng để tránh đếm trùng các lớp cha.</t>
      </text>
    </comment>
    <comment authorId="0" ref="C13">
      <text>
        <t xml:space="preserve">Không chỉnh: mã L3 là khóa liên kết.</t>
      </text>
    </comment>
    <comment authorId="0" ref="D13">
      <text>
        <t xml:space="preserve">Không chỉnh: mã L4 là khóa liên kết.</t>
      </text>
    </comment>
    <comment authorId="0" ref="E13">
      <text>
        <t xml:space="preserve">Không chỉnh tại đây: giá trị kế thừa theo cấu trúc lớp.</t>
      </text>
    </comment>
    <comment authorId="0" ref="F13">
      <text>
        <t xml:space="preserve">Không chỉnh tại đây: giá trị kế thừa theo cấu trúc lớp.</t>
      </text>
    </comment>
    <comment authorId="0" ref="G13">
      <text>
        <t xml:space="preserve">Không chỉnh tại đây: giá trị kế thừa theo cấu trúc lớp.</t>
      </text>
    </comment>
    <comment authorId="0" ref="H13">
      <text>
        <t xml:space="preserve">Màu các cột Tên công việc L3-L5 và Phần trăm hoàn thành được đồng bộ tự động theo Mức độ ưu tiên tại cột P cùng hàng.</t>
      </text>
    </comment>
    <comment authorId="0" ref="I13">
      <text>
        <t xml:space="preserve">Màu các cột Tên công việc L3-L5 và Phần trăm hoàn thành được đồng bộ tự động theo Mức độ ưu tiên tại cột P cùng hàng.</t>
      </text>
    </comment>
    <comment authorId="0" ref="J13">
      <text>
        <t xml:space="preserve">Màu các cột Tên công việc L3-L5 và Phần trăm hoàn thành được đồng bộ tự động theo Mức độ ưu tiên tại cột P cùng hàng.</t>
      </text>
    </comment>
    <comment authorId="0" ref="K13">
      <text>
        <t xml:space="preserve">Có thể chỉnh. Giá trị sẽ cập nhật về Người Lead/Người thực hiện tại lớp cuối.</t>
      </text>
    </comment>
    <comment authorId="0" ref="L13">
      <text>
        <t xml:space="preserve">Không chỉnh: đơn vị phụ trách đang liên kết công thức từ lớp cha.</t>
      </text>
    </comment>
    <comment authorId="0" ref="M13">
      <text>
        <t xml:space="preserve">Có thể chỉnh. Giá trị sẽ cập nhật về Ngày bắt đầu tại lớp cuối.</t>
      </text>
    </comment>
    <comment authorId="0" ref="N13">
      <text>
        <t xml:space="preserve">Có thể chỉnh. Giá trị sẽ cập nhật về Ngày kết thúc tại lớp cuối.</t>
      </text>
    </comment>
    <comment authorId="0" ref="O13">
      <text>
        <t xml:space="preserve">Có thể chỉnh. Giá trị sẽ cập nhật về Trạng thái tại lớp cuối.</t>
      </text>
    </comment>
    <comment authorId="0" ref="P13">
      <text>
        <t xml:space="preserve">Quy tắc màu ưu tiên thống nhất: P1 navy đậm (#1F3A5F), P2 teal đậm (#2F7C85), P3 teal sáng (#A8D7D4), P4 teal rất nhạt (#E7F3F2).</t>
      </text>
    </comment>
    <comment authorId="0" ref="Q13">
      <text>
        <t xml:space="preserve">Tiến độ được lấy từ lớp điểm cuối tương ứng; đây là tiến độ công việc, không phải tỷ lệ công suất.</t>
      </text>
    </comment>
    <comment authorId="0" ref="R13">
      <text>
        <t xml:space="preserve">Kết quả đầu ra lấy từ lớp điểm cuối để người quản lý biết tiêu chí nghiệm thu.</t>
      </text>
    </comment>
    <comment authorId="0" ref="A410">
      <text>
        <t xml:space="preserve">Công thức động tổng hợp các điểm cuối từ L3, L4 và L5; không nhập tay.</t>
      </text>
    </comment>
    <comment authorId="0" ref="A377">
      <text>
        <t xml:space="preserve">Công thức động tổng hợp các điểm cuối từ L3, L4 và L5; không nhập tay.</t>
      </text>
    </comment>
    <comment authorId="0" ref="A344">
      <text>
        <t xml:space="preserve">Công thức động tổng hợp các điểm cuối từ L3, L4 và L5; không nhập tay.</t>
      </text>
    </comment>
    <comment authorId="0" ref="A311">
      <text>
        <t xml:space="preserve">Công thức động tổng hợp các điểm cuối từ L3, L4 và L5; không nhập tay.</t>
      </text>
    </comment>
    <comment authorId="0" ref="A278">
      <text>
        <t xml:space="preserve">Công thức động tổng hợp các điểm cuối từ L3, L4 và L5; không nhập tay.</t>
      </text>
    </comment>
    <comment authorId="0" ref="A245">
      <text>
        <t xml:space="preserve">Công thức động tổng hợp các điểm cuối từ L3, L4 và L5; không nhập tay.</t>
      </text>
    </comment>
    <comment authorId="0" ref="Z13">
      <text>
        <t xml:space="preserve">Đơn vị nhập tại lớp công việc nguồn: Ngày hoặc Tuần.</t>
      </text>
    </comment>
    <comment authorId="0" ref="A212">
      <text>
        <t xml:space="preserve">Công thức động tổng hợp các điểm cuối từ L3, L4 và L5; không nhập tay.</t>
      </text>
    </comment>
    <comment authorId="0" ref="AA13">
      <text>
        <t xml:space="preserve">Số giờ nhập tay theo đơn vị ngày hoặc tuần.</t>
      </text>
    </comment>
    <comment authorId="0" ref="A179">
      <text>
        <t xml:space="preserve">Công thức động tổng hợp các điểm cuối từ L3, L4 và L5; không nhập tay.</t>
      </text>
    </comment>
    <comment authorId="0" ref="AB13">
      <text>
        <t xml:space="preserve">Tải đã quy đổi về giờ/ngày để tổng hợp nguồn lực.</t>
      </text>
    </comment>
    <comment authorId="0" ref="A146">
      <text>
        <t xml:space="preserve">Công thức động tổng hợp các điểm cuối từ L3, L4 và L5; không nhập tay.</t>
      </text>
    </comment>
    <comment authorId="0" ref="AC13">
      <text>
        <t xml:space="preserve">Đánh giá khả năng kịp hạn và tình trạng thiếu tham số.</t>
      </text>
    </comment>
    <comment authorId="0" ref="A113">
      <text>
        <t xml:space="preserve">Công thức động tổng hợp các điểm cuối từ L3, L4 và L5; không nhập tay.</t>
      </text>
    </comment>
    <comment authorId="0" ref="A80">
      <text>
        <t xml:space="preserve">Công thức động tổng hợp các điểm cuối từ L3, L4 và L5; không nhập tay.</t>
      </text>
    </comment>
    <comment authorId="0" ref="A47">
      <text>
        <t xml:space="preserve">Công thức động tổng hợp các điểm cuối từ L3, L4 và L5; không nhập tay.</t>
      </text>
    </comment>
    <comment authorId="0" ref="A14">
      <text>
        <t xml:space="preserve">Công thức động tổng hợp các điểm cuối từ L3, L4 và L5; không nhập tay.</t>
      </text>
    </comment>
    <comment authorId="0" ref="A411">
      <text>
        <t xml:space="preserve">Công thức động tổng hợp các điểm cuối từ L3, L4 và L5; không nhập tay.</t>
      </text>
    </comment>
    <comment authorId="0" ref="A378">
      <text>
        <t xml:space="preserve">Công thức động tổng hợp các điểm cuối từ L3, L4 và L5; không nhập tay.</t>
      </text>
    </comment>
    <comment authorId="0" ref="A345">
      <text>
        <t xml:space="preserve">Công thức động tổng hợp các điểm cuối từ L3, L4 và L5; không nhập tay.</t>
      </text>
    </comment>
    <comment authorId="0" ref="A312">
      <text>
        <t xml:space="preserve">Công thức động tổng hợp các điểm cuối từ L3, L4 và L5; không nhập tay.</t>
      </text>
    </comment>
    <comment authorId="0" ref="A279">
      <text>
        <t xml:space="preserve">Công thức động tổng hợp các điểm cuối từ L3, L4 và L5; không nhập tay.</t>
      </text>
    </comment>
    <comment authorId="0" ref="A246">
      <text>
        <t xml:space="preserve">Công thức động tổng hợp các điểm cuối từ L3, L4 và L5; không nhập tay.</t>
      </text>
    </comment>
    <comment authorId="0" ref="A213">
      <text>
        <t xml:space="preserve">Công thức động tổng hợp các điểm cuối từ L3, L4 và L5; không nhập tay.</t>
      </text>
    </comment>
    <comment authorId="0" ref="A180">
      <text>
        <t xml:space="preserve">Công thức động tổng hợp các điểm cuối từ L3, L4 và L5; không nhập tay.</t>
      </text>
    </comment>
    <comment authorId="0" ref="A147">
      <text>
        <t xml:space="preserve">Công thức động tổng hợp các điểm cuối từ L3, L4 và L5; không nhập tay.</t>
      </text>
    </comment>
    <comment authorId="0" ref="A114">
      <text>
        <t xml:space="preserve">Công thức động tổng hợp các điểm cuối từ L3, L4 và L5; không nhập tay.</t>
      </text>
    </comment>
    <comment authorId="0" ref="A81">
      <text>
        <t xml:space="preserve">Công thức động tổng hợp các điểm cuối từ L3, L4 và L5; không nhập tay.</t>
      </text>
    </comment>
    <comment authorId="0" ref="A48">
      <text>
        <t xml:space="preserve">Công thức động tổng hợp các điểm cuối từ L3, L4 và L5; không nhập tay.</t>
      </text>
    </comment>
    <comment authorId="0" ref="A15">
      <text>
        <t xml:space="preserve">Công thức động tổng hợp các điểm cuối từ L3, L4 và L5; không nhập tay.</t>
      </text>
    </comment>
    <comment authorId="0" ref="A412">
      <text>
        <t xml:space="preserve">Công thức động tổng hợp các điểm cuối từ L3, L4 và L5; không nhập tay.</t>
      </text>
    </comment>
    <comment authorId="0" ref="A379">
      <text>
        <t xml:space="preserve">Công thức động tổng hợp các điểm cuối từ L3, L4 và L5; không nhập tay.</t>
      </text>
    </comment>
    <comment authorId="0" ref="A346">
      <text>
        <t xml:space="preserve">Công thức động tổng hợp các điểm cuối từ L3, L4 và L5; không nhập tay.</t>
      </text>
    </comment>
    <comment authorId="0" ref="A313">
      <text>
        <t xml:space="preserve">Công thức động tổng hợp các điểm cuối từ L3, L4 và L5; không nhập tay.</t>
      </text>
    </comment>
    <comment authorId="0" ref="A280">
      <text>
        <t xml:space="preserve">Công thức động tổng hợp các điểm cuối từ L3, L4 và L5; không nhập tay.</t>
      </text>
    </comment>
    <comment authorId="0" ref="A247">
      <text>
        <t xml:space="preserve">Công thức động tổng hợp các điểm cuối từ L3, L4 và L5; không nhập tay.</t>
      </text>
    </comment>
    <comment authorId="0" ref="A214">
      <text>
        <t xml:space="preserve">Công thức động tổng hợp các điểm cuối từ L3, L4 và L5; không nhập tay.</t>
      </text>
    </comment>
    <comment authorId="0" ref="A181">
      <text>
        <t xml:space="preserve">Công thức động tổng hợp các điểm cuối từ L3, L4 và L5; không nhập tay.</t>
      </text>
    </comment>
    <comment authorId="0" ref="A148">
      <text>
        <t xml:space="preserve">Công thức động tổng hợp các điểm cuối từ L3, L4 và L5; không nhập tay.</t>
      </text>
    </comment>
    <comment authorId="0" ref="A115">
      <text>
        <t xml:space="preserve">Công thức động tổng hợp các điểm cuối từ L3, L4 và L5; không nhập tay.</t>
      </text>
    </comment>
    <comment authorId="0" ref="A82">
      <text>
        <t xml:space="preserve">Công thức động tổng hợp các điểm cuối từ L3, L4 và L5; không nhập tay.</t>
      </text>
    </comment>
    <comment authorId="0" ref="A49">
      <text>
        <t xml:space="preserve">Công thức động tổng hợp các điểm cuối từ L3, L4 và L5; không nhập tay.</t>
      </text>
    </comment>
    <comment authorId="0" ref="A16">
      <text>
        <t xml:space="preserve">Công thức động tổng hợp các điểm cuối từ L3, L4 và L5; không nhập tay.</t>
      </text>
    </comment>
    <comment authorId="0" ref="A413">
      <text>
        <t xml:space="preserve">Công thức động tổng hợp các điểm cuối từ L3, L4 và L5; không nhập tay.</t>
      </text>
    </comment>
    <comment authorId="0" ref="A380">
      <text>
        <t xml:space="preserve">Công thức động tổng hợp các điểm cuối từ L3, L4 và L5; không nhập tay.</t>
      </text>
    </comment>
    <comment authorId="0" ref="A347">
      <text>
        <t xml:space="preserve">Công thức động tổng hợp các điểm cuối từ L3, L4 và L5; không nhập tay.</t>
      </text>
    </comment>
    <comment authorId="0" ref="A314">
      <text>
        <t xml:space="preserve">Công thức động tổng hợp các điểm cuối từ L3, L4 và L5; không nhập tay.</t>
      </text>
    </comment>
    <comment authorId="0" ref="A281">
      <text>
        <t xml:space="preserve">Công thức động tổng hợp các điểm cuối từ L3, L4 và L5; không nhập tay.</t>
      </text>
    </comment>
    <comment authorId="0" ref="A248">
      <text>
        <t xml:space="preserve">Công thức động tổng hợp các điểm cuối từ L3, L4 và L5; không nhập tay.</t>
      </text>
    </comment>
    <comment authorId="0" ref="A215">
      <text>
        <t xml:space="preserve">Công thức động tổng hợp các điểm cuối từ L3, L4 và L5; không nhập tay.</t>
      </text>
    </comment>
    <comment authorId="0" ref="A182">
      <text>
        <t xml:space="preserve">Công thức động tổng hợp các điểm cuối từ L3, L4 và L5; không nhập tay.</t>
      </text>
    </comment>
    <comment authorId="0" ref="A149">
      <text>
        <t xml:space="preserve">Công thức động tổng hợp các điểm cuối từ L3, L4 và L5; không nhập tay.</t>
      </text>
    </comment>
    <comment authorId="0" ref="A116">
      <text>
        <t xml:space="preserve">Công thức động tổng hợp các điểm cuối từ L3, L4 và L5; không nhập tay.</t>
      </text>
    </comment>
    <comment authorId="0" ref="A83">
      <text>
        <t xml:space="preserve">Công thức động tổng hợp các điểm cuối từ L3, L4 và L5; không nhập tay.</t>
      </text>
    </comment>
    <comment authorId="0" ref="A50">
      <text>
        <t xml:space="preserve">Công thức động tổng hợp các điểm cuối từ L3, L4 và L5; không nhập tay.</t>
      </text>
    </comment>
    <comment authorId="0" ref="A17">
      <text>
        <t xml:space="preserve">Công thức động tổng hợp các điểm cuối từ L3, L4 và L5; không nhập tay.</t>
      </text>
    </comment>
    <comment authorId="0" ref="A414">
      <text>
        <t xml:space="preserve">Công thức động tổng hợp các điểm cuối từ L3, L4 và L5; không nhập tay.</t>
      </text>
    </comment>
    <comment authorId="0" ref="A381">
      <text>
        <t xml:space="preserve">Công thức động tổng hợp các điểm cuối từ L3, L4 và L5; không nhập tay.</t>
      </text>
    </comment>
    <comment authorId="0" ref="A348">
      <text>
        <t xml:space="preserve">Công thức động tổng hợp các điểm cuối từ L3, L4 và L5; không nhập tay.</t>
      </text>
    </comment>
    <comment authorId="0" ref="A315">
      <text>
        <t xml:space="preserve">Công thức động tổng hợp các điểm cuối từ L3, L4 và L5; không nhập tay.</t>
      </text>
    </comment>
    <comment authorId="0" ref="A282">
      <text>
        <t xml:space="preserve">Công thức động tổng hợp các điểm cuối từ L3, L4 và L5; không nhập tay.</t>
      </text>
    </comment>
    <comment authorId="0" ref="A249">
      <text>
        <t xml:space="preserve">Công thức động tổng hợp các điểm cuối từ L3, L4 và L5; không nhập tay.</t>
      </text>
    </comment>
    <comment authorId="0" ref="A216">
      <text>
        <t xml:space="preserve">Công thức động tổng hợp các điểm cuối từ L3, L4 và L5; không nhập tay.</t>
      </text>
    </comment>
    <comment authorId="0" ref="A183">
      <text>
        <t xml:space="preserve">Công thức động tổng hợp các điểm cuối từ L3, L4 và L5; không nhập tay.</t>
      </text>
    </comment>
    <comment authorId="0" ref="A150">
      <text>
        <t xml:space="preserve">Công thức động tổng hợp các điểm cuối từ L3, L4 và L5; không nhập tay.</t>
      </text>
    </comment>
    <comment authorId="0" ref="A117">
      <text>
        <t xml:space="preserve">Công thức động tổng hợp các điểm cuối từ L3, L4 và L5; không nhập tay.</t>
      </text>
    </comment>
    <comment authorId="0" ref="A84">
      <text>
        <t xml:space="preserve">Công thức động tổng hợp các điểm cuối từ L3, L4 và L5; không nhập tay.</t>
      </text>
    </comment>
    <comment authorId="0" ref="A51">
      <text>
        <t xml:space="preserve">Công thức động tổng hợp các điểm cuối từ L3, L4 và L5; không nhập tay.</t>
      </text>
    </comment>
    <comment authorId="0" ref="A18">
      <text>
        <t xml:space="preserve">Công thức động tổng hợp các điểm cuối từ L3, L4 và L5; không nhập tay.</t>
      </text>
    </comment>
    <comment authorId="0" ref="A415">
      <text>
        <t xml:space="preserve">Công thức động tổng hợp các điểm cuối từ L3, L4 và L5; không nhập tay.</t>
      </text>
    </comment>
    <comment authorId="0" ref="A382">
      <text>
        <t xml:space="preserve">Công thức động tổng hợp các điểm cuối từ L3, L4 và L5; không nhập tay.</t>
      </text>
    </comment>
    <comment authorId="0" ref="A349">
      <text>
        <t xml:space="preserve">Công thức động tổng hợp các điểm cuối từ L3, L4 và L5; không nhập tay.</t>
      </text>
    </comment>
    <comment authorId="0" ref="A316">
      <text>
        <t xml:space="preserve">Công thức động tổng hợp các điểm cuối từ L3, L4 và L5; không nhập tay.</t>
      </text>
    </comment>
    <comment authorId="0" ref="A283">
      <text>
        <t xml:space="preserve">Công thức động tổng hợp các điểm cuối từ L3, L4 và L5; không nhập tay.</t>
      </text>
    </comment>
    <comment authorId="0" ref="A250">
      <text>
        <t xml:space="preserve">Công thức động tổng hợp các điểm cuối từ L3, L4 và L5; không nhập tay.</t>
      </text>
    </comment>
    <comment authorId="0" ref="A217">
      <text>
        <t xml:space="preserve">Công thức động tổng hợp các điểm cuối từ L3, L4 và L5; không nhập tay.</t>
      </text>
    </comment>
    <comment authorId="0" ref="A184">
      <text>
        <t xml:space="preserve">Công thức động tổng hợp các điểm cuối từ L3, L4 và L5; không nhập tay.</t>
      </text>
    </comment>
    <comment authorId="0" ref="A151">
      <text>
        <t xml:space="preserve">Công thức động tổng hợp các điểm cuối từ L3, L4 và L5; không nhập tay.</t>
      </text>
    </comment>
    <comment authorId="0" ref="A118">
      <text>
        <t xml:space="preserve">Công thức động tổng hợp các điểm cuối từ L3, L4 và L5; không nhập tay.</t>
      </text>
    </comment>
    <comment authorId="0" ref="A85">
      <text>
        <t xml:space="preserve">Công thức động tổng hợp các điểm cuối từ L3, L4 và L5; không nhập tay.</t>
      </text>
    </comment>
    <comment authorId="0" ref="A52">
      <text>
        <t xml:space="preserve">Công thức động tổng hợp các điểm cuối từ L3, L4 và L5; không nhập tay.</t>
      </text>
    </comment>
    <comment authorId="0" ref="A19">
      <text>
        <t xml:space="preserve">Công thức động tổng hợp các điểm cuối từ L3, L4 và L5; không nhập tay.</t>
      </text>
    </comment>
    <comment authorId="0" ref="A416">
      <text>
        <t xml:space="preserve">Công thức động tổng hợp các điểm cuối từ L3, L4 và L5; không nhập tay.</t>
      </text>
    </comment>
    <comment authorId="0" ref="A383">
      <text>
        <t xml:space="preserve">Công thức động tổng hợp các điểm cuối từ L3, L4 và L5; không nhập tay.</t>
      </text>
    </comment>
    <comment authorId="0" ref="A350">
      <text>
        <t xml:space="preserve">Công thức động tổng hợp các điểm cuối từ L3, L4 và L5; không nhập tay.</t>
      </text>
    </comment>
    <comment authorId="0" ref="A317">
      <text>
        <t xml:space="preserve">Công thức động tổng hợp các điểm cuối từ L3, L4 và L5; không nhập tay.</t>
      </text>
    </comment>
    <comment authorId="0" ref="A284">
      <text>
        <t xml:space="preserve">Công thức động tổng hợp các điểm cuối từ L3, L4 và L5; không nhập tay.</t>
      </text>
    </comment>
    <comment authorId="0" ref="A251">
      <text>
        <t xml:space="preserve">Công thức động tổng hợp các điểm cuối từ L3, L4 và L5; không nhập tay.</t>
      </text>
    </comment>
    <comment authorId="0" ref="A218">
      <text>
        <t xml:space="preserve">Công thức động tổng hợp các điểm cuối từ L3, L4 và L5; không nhập tay.</t>
      </text>
    </comment>
    <comment authorId="0" ref="A185">
      <text>
        <t xml:space="preserve">Công thức động tổng hợp các điểm cuối từ L3, L4 và L5; không nhập tay.</t>
      </text>
    </comment>
    <comment authorId="0" ref="A152">
      <text>
        <t xml:space="preserve">Công thức động tổng hợp các điểm cuối từ L3, L4 và L5; không nhập tay.</t>
      </text>
    </comment>
    <comment authorId="0" ref="A119">
      <text>
        <t xml:space="preserve">Công thức động tổng hợp các điểm cuối từ L3, L4 và L5; không nhập tay.</t>
      </text>
    </comment>
    <comment authorId="0" ref="A86">
      <text>
        <t xml:space="preserve">Công thức động tổng hợp các điểm cuối từ L3, L4 và L5; không nhập tay.</t>
      </text>
    </comment>
    <comment authorId="0" ref="A53">
      <text>
        <t xml:space="preserve">Công thức động tổng hợp các điểm cuối từ L3, L4 và L5; không nhập tay.</t>
      </text>
    </comment>
    <comment authorId="0" ref="A20">
      <text>
        <t xml:space="preserve">Công thức động tổng hợp các điểm cuối từ L3, L4 và L5; không nhập tay.</t>
      </text>
    </comment>
    <comment authorId="0" ref="A417">
      <text>
        <t xml:space="preserve">Công thức động tổng hợp các điểm cuối từ L3, L4 và L5; không nhập tay.</t>
      </text>
    </comment>
    <comment authorId="0" ref="A384">
      <text>
        <t xml:space="preserve">Công thức động tổng hợp các điểm cuối từ L3, L4 và L5; không nhập tay.</t>
      </text>
    </comment>
    <comment authorId="0" ref="A351">
      <text>
        <t xml:space="preserve">Công thức động tổng hợp các điểm cuối từ L3, L4 và L5; không nhập tay.</t>
      </text>
    </comment>
    <comment authorId="0" ref="A318">
      <text>
        <t xml:space="preserve">Công thức động tổng hợp các điểm cuối từ L3, L4 và L5; không nhập tay.</t>
      </text>
    </comment>
    <comment authorId="0" ref="A285">
      <text>
        <t xml:space="preserve">Công thức động tổng hợp các điểm cuối từ L3, L4 và L5; không nhập tay.</t>
      </text>
    </comment>
    <comment authorId="0" ref="A252">
      <text>
        <t xml:space="preserve">Công thức động tổng hợp các điểm cuối từ L3, L4 và L5; không nhập tay.</t>
      </text>
    </comment>
    <comment authorId="0" ref="A219">
      <text>
        <t xml:space="preserve">Công thức động tổng hợp các điểm cuối từ L3, L4 và L5; không nhập tay.</t>
      </text>
    </comment>
    <comment authorId="0" ref="A186">
      <text>
        <t xml:space="preserve">Công thức động tổng hợp các điểm cuối từ L3, L4 và L5; không nhập tay.</t>
      </text>
    </comment>
    <comment authorId="0" ref="A153">
      <text>
        <t xml:space="preserve">Công thức động tổng hợp các điểm cuối từ L3, L4 và L5; không nhập tay.</t>
      </text>
    </comment>
    <comment authorId="0" ref="A120">
      <text>
        <t xml:space="preserve">Công thức động tổng hợp các điểm cuối từ L3, L4 và L5; không nhập tay.</t>
      </text>
    </comment>
    <comment authorId="0" ref="A87">
      <text>
        <t xml:space="preserve">Công thức động tổng hợp các điểm cuối từ L3, L4 và L5; không nhập tay.</t>
      </text>
    </comment>
    <comment authorId="0" ref="A54">
      <text>
        <t xml:space="preserve">Công thức động tổng hợp các điểm cuối từ L3, L4 và L5; không nhập tay.</t>
      </text>
    </comment>
    <comment authorId="0" ref="A21">
      <text>
        <t xml:space="preserve">Công thức động tổng hợp các điểm cuối từ L3, L4 và L5; không nhập tay.</t>
      </text>
    </comment>
    <comment authorId="0" ref="A418">
      <text>
        <t xml:space="preserve">Công thức động tổng hợp các điểm cuối từ L3, L4 và L5; không nhập tay.</t>
      </text>
    </comment>
    <comment authorId="0" ref="A385">
      <text>
        <t xml:space="preserve">Công thức động tổng hợp các điểm cuối từ L3, L4 và L5; không nhập tay.</t>
      </text>
    </comment>
    <comment authorId="0" ref="A352">
      <text>
        <t xml:space="preserve">Công thức động tổng hợp các điểm cuối từ L3, L4 và L5; không nhập tay.</t>
      </text>
    </comment>
    <comment authorId="0" ref="A319">
      <text>
        <t xml:space="preserve">Công thức động tổng hợp các điểm cuối từ L3, L4 và L5; không nhập tay.</t>
      </text>
    </comment>
    <comment authorId="0" ref="A286">
      <text>
        <t xml:space="preserve">Công thức động tổng hợp các điểm cuối từ L3, L4 và L5; không nhập tay.</t>
      </text>
    </comment>
    <comment authorId="0" ref="A253">
      <text>
        <t xml:space="preserve">Công thức động tổng hợp các điểm cuối từ L3, L4 và L5; không nhập tay.</t>
      </text>
    </comment>
    <comment authorId="0" ref="A220">
      <text>
        <t xml:space="preserve">Công thức động tổng hợp các điểm cuối từ L3, L4 và L5; không nhập tay.</t>
      </text>
    </comment>
    <comment authorId="0" ref="A187">
      <text>
        <t xml:space="preserve">Công thức động tổng hợp các điểm cuối từ L3, L4 và L5; không nhập tay.</t>
      </text>
    </comment>
    <comment authorId="0" ref="A154">
      <text>
        <t xml:space="preserve">Công thức động tổng hợp các điểm cuối từ L3, L4 và L5; không nhập tay.</t>
      </text>
    </comment>
    <comment authorId="0" ref="A121">
      <text>
        <t xml:space="preserve">Công thức động tổng hợp các điểm cuối từ L3, L4 và L5; không nhập tay.</t>
      </text>
    </comment>
    <comment authorId="0" ref="A88">
      <text>
        <t xml:space="preserve">Công thức động tổng hợp các điểm cuối từ L3, L4 và L5; không nhập tay.</t>
      </text>
    </comment>
    <comment authorId="0" ref="A55">
      <text>
        <t xml:space="preserve">Công thức động tổng hợp các điểm cuối từ L3, L4 và L5; không nhập tay.</t>
      </text>
    </comment>
    <comment authorId="0" ref="A22">
      <text>
        <t xml:space="preserve">Công thức động tổng hợp các điểm cuối từ L3, L4 và L5; không nhập tay.</t>
      </text>
    </comment>
    <comment authorId="0" ref="A419">
      <text>
        <t xml:space="preserve">Công thức động tổng hợp các điểm cuối từ L3, L4 và L5; không nhập tay.</t>
      </text>
    </comment>
    <comment authorId="0" ref="A386">
      <text>
        <t xml:space="preserve">Công thức động tổng hợp các điểm cuối từ L3, L4 và L5; không nhập tay.</t>
      </text>
    </comment>
    <comment authorId="0" ref="A353">
      <text>
        <t xml:space="preserve">Công thức động tổng hợp các điểm cuối từ L3, L4 và L5; không nhập tay.</t>
      </text>
    </comment>
    <comment authorId="0" ref="A320">
      <text>
        <t xml:space="preserve">Công thức động tổng hợp các điểm cuối từ L3, L4 và L5; không nhập tay.</t>
      </text>
    </comment>
    <comment authorId="0" ref="A287">
      <text>
        <t xml:space="preserve">Công thức động tổng hợp các điểm cuối từ L3, L4 và L5; không nhập tay.</t>
      </text>
    </comment>
    <comment authorId="0" ref="A254">
      <text>
        <t xml:space="preserve">Công thức động tổng hợp các điểm cuối từ L3, L4 và L5; không nhập tay.</t>
      </text>
    </comment>
    <comment authorId="0" ref="A221">
      <text>
        <t xml:space="preserve">Công thức động tổng hợp các điểm cuối từ L3, L4 và L5; không nhập tay.</t>
      </text>
    </comment>
    <comment authorId="0" ref="A188">
      <text>
        <t xml:space="preserve">Công thức động tổng hợp các điểm cuối từ L3, L4 và L5; không nhập tay.</t>
      </text>
    </comment>
    <comment authorId="0" ref="A155">
      <text>
        <t xml:space="preserve">Công thức động tổng hợp các điểm cuối từ L3, L4 và L5; không nhập tay.</t>
      </text>
    </comment>
    <comment authorId="0" ref="A122">
      <text>
        <t xml:space="preserve">Công thức động tổng hợp các điểm cuối từ L3, L4 và L5; không nhập tay.</t>
      </text>
    </comment>
    <comment authorId="0" ref="A89">
      <text>
        <t xml:space="preserve">Công thức động tổng hợp các điểm cuối từ L3, L4 và L5; không nhập tay.</t>
      </text>
    </comment>
    <comment authorId="0" ref="A56">
      <text>
        <t xml:space="preserve">Công thức động tổng hợp các điểm cuối từ L3, L4 và L5; không nhập tay.</t>
      </text>
    </comment>
    <comment authorId="0" ref="A23">
      <text>
        <t xml:space="preserve">Công thức động tổng hợp các điểm cuối từ L3, L4 và L5; không nhập tay.</t>
      </text>
    </comment>
    <comment authorId="0" ref="A420">
      <text>
        <t xml:space="preserve">Công thức động tổng hợp các điểm cuối từ L3, L4 và L5; không nhập tay.</t>
      </text>
    </comment>
    <comment authorId="0" ref="A387">
      <text>
        <t xml:space="preserve">Công thức động tổng hợp các điểm cuối từ L3, L4 và L5; không nhập tay.</t>
      </text>
    </comment>
    <comment authorId="0" ref="A354">
      <text>
        <t xml:space="preserve">Công thức động tổng hợp các điểm cuối từ L3, L4 và L5; không nhập tay.</t>
      </text>
    </comment>
    <comment authorId="0" ref="A321">
      <text>
        <t xml:space="preserve">Công thức động tổng hợp các điểm cuối từ L3, L4 và L5; không nhập tay.</t>
      </text>
    </comment>
    <comment authorId="0" ref="A288">
      <text>
        <t xml:space="preserve">Công thức động tổng hợp các điểm cuối từ L3, L4 và L5; không nhập tay.</t>
      </text>
    </comment>
    <comment authorId="0" ref="A255">
      <text>
        <t xml:space="preserve">Công thức động tổng hợp các điểm cuối từ L3, L4 và L5; không nhập tay.</t>
      </text>
    </comment>
    <comment authorId="0" ref="A222">
      <text>
        <t xml:space="preserve">Công thức động tổng hợp các điểm cuối từ L3, L4 và L5; không nhập tay.</t>
      </text>
    </comment>
    <comment authorId="0" ref="A189">
      <text>
        <t xml:space="preserve">Công thức động tổng hợp các điểm cuối từ L3, L4 và L5; không nhập tay.</t>
      </text>
    </comment>
    <comment authorId="0" ref="A156">
      <text>
        <t xml:space="preserve">Công thức động tổng hợp các điểm cuối từ L3, L4 và L5; không nhập tay.</t>
      </text>
    </comment>
    <comment authorId="0" ref="A123">
      <text>
        <t xml:space="preserve">Công thức động tổng hợp các điểm cuối từ L3, L4 và L5; không nhập tay.</t>
      </text>
    </comment>
    <comment authorId="0" ref="A90">
      <text>
        <t xml:space="preserve">Công thức động tổng hợp các điểm cuối từ L3, L4 và L5; không nhập tay.</t>
      </text>
    </comment>
    <comment authorId="0" ref="A57">
      <text>
        <t xml:space="preserve">Công thức động tổng hợp các điểm cuối từ L3, L4 và L5; không nhập tay.</t>
      </text>
    </comment>
    <comment authorId="0" ref="A24">
      <text>
        <t xml:space="preserve">Công thức động tổng hợp các điểm cuối từ L3, L4 và L5; không nhập tay.</t>
      </text>
    </comment>
    <comment authorId="0" ref="A421">
      <text>
        <t xml:space="preserve">Công thức động tổng hợp các điểm cuối từ L3, L4 và L5; không nhập tay.</t>
      </text>
    </comment>
    <comment authorId="0" ref="A388">
      <text>
        <t xml:space="preserve">Công thức động tổng hợp các điểm cuối từ L3, L4 và L5; không nhập tay.</t>
      </text>
    </comment>
    <comment authorId="0" ref="A355">
      <text>
        <t xml:space="preserve">Công thức động tổng hợp các điểm cuối từ L3, L4 và L5; không nhập tay.</t>
      </text>
    </comment>
    <comment authorId="0" ref="A322">
      <text>
        <t xml:space="preserve">Công thức động tổng hợp các điểm cuối từ L3, L4 và L5; không nhập tay.</t>
      </text>
    </comment>
    <comment authorId="0" ref="A289">
      <text>
        <t xml:space="preserve">Công thức động tổng hợp các điểm cuối từ L3, L4 và L5; không nhập tay.</t>
      </text>
    </comment>
    <comment authorId="0" ref="A256">
      <text>
        <t xml:space="preserve">Công thức động tổng hợp các điểm cuối từ L3, L4 và L5; không nhập tay.</t>
      </text>
    </comment>
    <comment authorId="0" ref="A223">
      <text>
        <t xml:space="preserve">Công thức động tổng hợp các điểm cuối từ L3, L4 và L5; không nhập tay.</t>
      </text>
    </comment>
    <comment authorId="0" ref="A190">
      <text>
        <t xml:space="preserve">Công thức động tổng hợp các điểm cuối từ L3, L4 và L5; không nhập tay.</t>
      </text>
    </comment>
    <comment authorId="0" ref="A157">
      <text>
        <t xml:space="preserve">Công thức động tổng hợp các điểm cuối từ L3, L4 và L5; không nhập tay.</t>
      </text>
    </comment>
    <comment authorId="0" ref="A124">
      <text>
        <t xml:space="preserve">Công thức động tổng hợp các điểm cuối từ L3, L4 và L5; không nhập tay.</t>
      </text>
    </comment>
    <comment authorId="0" ref="A91">
      <text>
        <t xml:space="preserve">Công thức động tổng hợp các điểm cuối từ L3, L4 và L5; không nhập tay.</t>
      </text>
    </comment>
    <comment authorId="0" ref="A58">
      <text>
        <t xml:space="preserve">Công thức động tổng hợp các điểm cuối từ L3, L4 và L5; không nhập tay.</t>
      </text>
    </comment>
    <comment authorId="0" ref="A25">
      <text>
        <t xml:space="preserve">Công thức động tổng hợp các điểm cuối từ L3, L4 và L5; không nhập tay.</t>
      </text>
    </comment>
    <comment authorId="0" ref="A422">
      <text>
        <t xml:space="preserve">Công thức động tổng hợp các điểm cuối từ L3, L4 và L5; không nhập tay.</t>
      </text>
    </comment>
    <comment authorId="0" ref="A389">
      <text>
        <t xml:space="preserve">Công thức động tổng hợp các điểm cuối từ L3, L4 và L5; không nhập tay.</t>
      </text>
    </comment>
    <comment authorId="0" ref="A356">
      <text>
        <t xml:space="preserve">Công thức động tổng hợp các điểm cuối từ L3, L4 và L5; không nhập tay.</t>
      </text>
    </comment>
    <comment authorId="0" ref="A323">
      <text>
        <t xml:space="preserve">Công thức động tổng hợp các điểm cuối từ L3, L4 và L5; không nhập tay.</t>
      </text>
    </comment>
    <comment authorId="0" ref="A290">
      <text>
        <t xml:space="preserve">Công thức động tổng hợp các điểm cuối từ L3, L4 và L5; không nhập tay.</t>
      </text>
    </comment>
    <comment authorId="0" ref="A257">
      <text>
        <t xml:space="preserve">Công thức động tổng hợp các điểm cuối từ L3, L4 và L5; không nhập tay.</t>
      </text>
    </comment>
    <comment authorId="0" ref="A224">
      <text>
        <t xml:space="preserve">Công thức động tổng hợp các điểm cuối từ L3, L4 và L5; không nhập tay.</t>
      </text>
    </comment>
    <comment authorId="0" ref="A191">
      <text>
        <t xml:space="preserve">Công thức động tổng hợp các điểm cuối từ L3, L4 và L5; không nhập tay.</t>
      </text>
    </comment>
    <comment authorId="0" ref="A158">
      <text>
        <t xml:space="preserve">Công thức động tổng hợp các điểm cuối từ L3, L4 và L5; không nhập tay.</t>
      </text>
    </comment>
    <comment authorId="0" ref="A125">
      <text>
        <t xml:space="preserve">Công thức động tổng hợp các điểm cuối từ L3, L4 và L5; không nhập tay.</t>
      </text>
    </comment>
    <comment authorId="0" ref="A92">
      <text>
        <t xml:space="preserve">Công thức động tổng hợp các điểm cuối từ L3, L4 và L5; không nhập tay.</t>
      </text>
    </comment>
    <comment authorId="0" ref="A59">
      <text>
        <t xml:space="preserve">Công thức động tổng hợp các điểm cuối từ L3, L4 và L5; không nhập tay.</t>
      </text>
    </comment>
    <comment authorId="0" ref="A26">
      <text>
        <t xml:space="preserve">Công thức động tổng hợp các điểm cuối từ L3, L4 và L5; không nhập tay.</t>
      </text>
    </comment>
    <comment authorId="0" ref="A423">
      <text>
        <t xml:space="preserve">Công thức động tổng hợp các điểm cuối từ L3, L4 và L5; không nhập tay.</t>
      </text>
    </comment>
    <comment authorId="0" ref="A390">
      <text>
        <t xml:space="preserve">Công thức động tổng hợp các điểm cuối từ L3, L4 và L5; không nhập tay.</t>
      </text>
    </comment>
    <comment authorId="0" ref="A357">
      <text>
        <t xml:space="preserve">Công thức động tổng hợp các điểm cuối từ L3, L4 và L5; không nhập tay.</t>
      </text>
    </comment>
    <comment authorId="0" ref="A324">
      <text>
        <t xml:space="preserve">Công thức động tổng hợp các điểm cuối từ L3, L4 và L5; không nhập tay.</t>
      </text>
    </comment>
    <comment authorId="0" ref="A291">
      <text>
        <t xml:space="preserve">Công thức động tổng hợp các điểm cuối từ L3, L4 và L5; không nhập tay.</t>
      </text>
    </comment>
    <comment authorId="0" ref="A258">
      <text>
        <t xml:space="preserve">Công thức động tổng hợp các điểm cuối từ L3, L4 và L5; không nhập tay.</t>
      </text>
    </comment>
    <comment authorId="0" ref="A225">
      <text>
        <t xml:space="preserve">Công thức động tổng hợp các điểm cuối từ L3, L4 và L5; không nhập tay.</t>
      </text>
    </comment>
    <comment authorId="0" ref="A192">
      <text>
        <t xml:space="preserve">Công thức động tổng hợp các điểm cuối từ L3, L4 và L5; không nhập tay.</t>
      </text>
    </comment>
    <comment authorId="0" ref="A159">
      <text>
        <t xml:space="preserve">Công thức động tổng hợp các điểm cuối từ L3, L4 và L5; không nhập tay.</t>
      </text>
    </comment>
    <comment authorId="0" ref="A126">
      <text>
        <t xml:space="preserve">Công thức động tổng hợp các điểm cuối từ L3, L4 và L5; không nhập tay.</t>
      </text>
    </comment>
    <comment authorId="0" ref="A93">
      <text>
        <t xml:space="preserve">Công thức động tổng hợp các điểm cuối từ L3, L4 và L5; không nhập tay.</t>
      </text>
    </comment>
    <comment authorId="0" ref="A60">
      <text>
        <t xml:space="preserve">Công thức động tổng hợp các điểm cuối từ L3, L4 và L5; không nhập tay.</t>
      </text>
    </comment>
    <comment authorId="0" ref="A27">
      <text>
        <t xml:space="preserve">Công thức động tổng hợp các điểm cuối từ L3, L4 và L5; không nhập tay.</t>
      </text>
    </comment>
    <comment authorId="0" ref="A424">
      <text>
        <t xml:space="preserve">Công thức động tổng hợp các điểm cuối từ L3, L4 và L5; không nhập tay.</t>
      </text>
    </comment>
    <comment authorId="0" ref="A391">
      <text>
        <t xml:space="preserve">Công thức động tổng hợp các điểm cuối từ L3, L4 và L5; không nhập tay.</t>
      </text>
    </comment>
    <comment authorId="0" ref="A358">
      <text>
        <t xml:space="preserve">Công thức động tổng hợp các điểm cuối từ L3, L4 và L5; không nhập tay.</t>
      </text>
    </comment>
    <comment authorId="0" ref="A325">
      <text>
        <t xml:space="preserve">Công thức động tổng hợp các điểm cuối từ L3, L4 và L5; không nhập tay.</t>
      </text>
    </comment>
    <comment authorId="0" ref="A292">
      <text>
        <t xml:space="preserve">Công thức động tổng hợp các điểm cuối từ L3, L4 và L5; không nhập tay.</t>
      </text>
    </comment>
    <comment authorId="0" ref="A259">
      <text>
        <t xml:space="preserve">Công thức động tổng hợp các điểm cuối từ L3, L4 và L5; không nhập tay.</t>
      </text>
    </comment>
    <comment authorId="0" ref="A226">
      <text>
        <t xml:space="preserve">Công thức động tổng hợp các điểm cuối từ L3, L4 và L5; không nhập tay.</t>
      </text>
    </comment>
    <comment authorId="0" ref="A193">
      <text>
        <t xml:space="preserve">Công thức động tổng hợp các điểm cuối từ L3, L4 và L5; không nhập tay.</t>
      </text>
    </comment>
    <comment authorId="0" ref="A160">
      <text>
        <t xml:space="preserve">Công thức động tổng hợp các điểm cuối từ L3, L4 và L5; không nhập tay.</t>
      </text>
    </comment>
    <comment authorId="0" ref="A127">
      <text>
        <t xml:space="preserve">Công thức động tổng hợp các điểm cuối từ L3, L4 và L5; không nhập tay.</t>
      </text>
    </comment>
    <comment authorId="0" ref="A94">
      <text>
        <t xml:space="preserve">Công thức động tổng hợp các điểm cuối từ L3, L4 và L5; không nhập tay.</t>
      </text>
    </comment>
    <comment authorId="0" ref="A61">
      <text>
        <t xml:space="preserve">Công thức động tổng hợp các điểm cuối từ L3, L4 và L5; không nhập tay.</t>
      </text>
    </comment>
    <comment authorId="0" ref="A28">
      <text>
        <t xml:space="preserve">Công thức động tổng hợp các điểm cuối từ L3, L4 và L5; không nhập tay.</t>
      </text>
    </comment>
    <comment authorId="0" ref="A425">
      <text>
        <t xml:space="preserve">Công thức động tổng hợp các điểm cuối từ L3, L4 và L5; không nhập tay.</t>
      </text>
    </comment>
    <comment authorId="0" ref="A392">
      <text>
        <t xml:space="preserve">Công thức động tổng hợp các điểm cuối từ L3, L4 và L5; không nhập tay.</t>
      </text>
    </comment>
    <comment authorId="0" ref="A359">
      <text>
        <t xml:space="preserve">Công thức động tổng hợp các điểm cuối từ L3, L4 và L5; không nhập tay.</t>
      </text>
    </comment>
    <comment authorId="0" ref="A326">
      <text>
        <t xml:space="preserve">Công thức động tổng hợp các điểm cuối từ L3, L4 và L5; không nhập tay.</t>
      </text>
    </comment>
    <comment authorId="0" ref="A293">
      <text>
        <t xml:space="preserve">Công thức động tổng hợp các điểm cuối từ L3, L4 và L5; không nhập tay.</t>
      </text>
    </comment>
    <comment authorId="0" ref="A260">
      <text>
        <t xml:space="preserve">Công thức động tổng hợp các điểm cuối từ L3, L4 và L5; không nhập tay.</t>
      </text>
    </comment>
    <comment authorId="0" ref="A227">
      <text>
        <t xml:space="preserve">Công thức động tổng hợp các điểm cuối từ L3, L4 và L5; không nhập tay.</t>
      </text>
    </comment>
    <comment authorId="0" ref="A194">
      <text>
        <t xml:space="preserve">Công thức động tổng hợp các điểm cuối từ L3, L4 và L5; không nhập tay.</t>
      </text>
    </comment>
    <comment authorId="0" ref="A161">
      <text>
        <t xml:space="preserve">Công thức động tổng hợp các điểm cuối từ L3, L4 và L5; không nhập tay.</t>
      </text>
    </comment>
    <comment authorId="0" ref="A128">
      <text>
        <t xml:space="preserve">Công thức động tổng hợp các điểm cuối từ L3, L4 và L5; không nhập tay.</t>
      </text>
    </comment>
    <comment authorId="0" ref="A95">
      <text>
        <t xml:space="preserve">Công thức động tổng hợp các điểm cuối từ L3, L4 và L5; không nhập tay.</t>
      </text>
    </comment>
    <comment authorId="0" ref="A62">
      <text>
        <t xml:space="preserve">Công thức động tổng hợp các điểm cuối từ L3, L4 và L5; không nhập tay.</t>
      </text>
    </comment>
    <comment authorId="0" ref="A29">
      <text>
        <t xml:space="preserve">Công thức động tổng hợp các điểm cuối từ L3, L4 và L5; không nhập tay.</t>
      </text>
    </comment>
    <comment authorId="0" ref="A426">
      <text>
        <t xml:space="preserve">Công thức động tổng hợp các điểm cuối từ L3, L4 và L5; không nhập tay.</t>
      </text>
    </comment>
    <comment authorId="0" ref="A393">
      <text>
        <t xml:space="preserve">Công thức động tổng hợp các điểm cuối từ L3, L4 và L5; không nhập tay.</t>
      </text>
    </comment>
    <comment authorId="0" ref="A360">
      <text>
        <t xml:space="preserve">Công thức động tổng hợp các điểm cuối từ L3, L4 và L5; không nhập tay.</t>
      </text>
    </comment>
    <comment authorId="0" ref="A327">
      <text>
        <t xml:space="preserve">Công thức động tổng hợp các điểm cuối từ L3, L4 và L5; không nhập tay.</t>
      </text>
    </comment>
    <comment authorId="0" ref="A294">
      <text>
        <t xml:space="preserve">Công thức động tổng hợp các điểm cuối từ L3, L4 và L5; không nhập tay.</t>
      </text>
    </comment>
    <comment authorId="0" ref="A261">
      <text>
        <t xml:space="preserve">Công thức động tổng hợp các điểm cuối từ L3, L4 và L5; không nhập tay.</t>
      </text>
    </comment>
    <comment authorId="0" ref="A228">
      <text>
        <t xml:space="preserve">Công thức động tổng hợp các điểm cuối từ L3, L4 và L5; không nhập tay.</t>
      </text>
    </comment>
    <comment authorId="0" ref="A195">
      <text>
        <t xml:space="preserve">Công thức động tổng hợp các điểm cuối từ L3, L4 và L5; không nhập tay.</t>
      </text>
    </comment>
    <comment authorId="0" ref="A162">
      <text>
        <t xml:space="preserve">Công thức động tổng hợp các điểm cuối từ L3, L4 và L5; không nhập tay.</t>
      </text>
    </comment>
    <comment authorId="0" ref="A129">
      <text>
        <t xml:space="preserve">Công thức động tổng hợp các điểm cuối từ L3, L4 và L5; không nhập tay.</t>
      </text>
    </comment>
    <comment authorId="0" ref="A96">
      <text>
        <t xml:space="preserve">Công thức động tổng hợp các điểm cuối từ L3, L4 và L5; không nhập tay.</t>
      </text>
    </comment>
    <comment authorId="0" ref="A63">
      <text>
        <t xml:space="preserve">Công thức động tổng hợp các điểm cuối từ L3, L4 và L5; không nhập tay.</t>
      </text>
    </comment>
    <comment authorId="0" ref="A30">
      <text>
        <t xml:space="preserve">Công thức động tổng hợp các điểm cuối từ L3, L4 và L5; không nhập tay.</t>
      </text>
    </comment>
    <comment authorId="0" ref="A427">
      <text>
        <t xml:space="preserve">Công thức động tổng hợp các điểm cuối từ L3, L4 và L5; không nhập tay.</t>
      </text>
    </comment>
    <comment authorId="0" ref="A394">
      <text>
        <t xml:space="preserve">Công thức động tổng hợp các điểm cuối từ L3, L4 và L5; không nhập tay.</t>
      </text>
    </comment>
    <comment authorId="0" ref="A361">
      <text>
        <t xml:space="preserve">Công thức động tổng hợp các điểm cuối từ L3, L4 và L5; không nhập tay.</t>
      </text>
    </comment>
    <comment authorId="0" ref="A328">
      <text>
        <t xml:space="preserve">Công thức động tổng hợp các điểm cuối từ L3, L4 và L5; không nhập tay.</t>
      </text>
    </comment>
    <comment authorId="0" ref="A295">
      <text>
        <t xml:space="preserve">Công thức động tổng hợp các điểm cuối từ L3, L4 và L5; không nhập tay.</t>
      </text>
    </comment>
    <comment authorId="0" ref="A262">
      <text>
        <t xml:space="preserve">Công thức động tổng hợp các điểm cuối từ L3, L4 và L5; không nhập tay.</t>
      </text>
    </comment>
    <comment authorId="0" ref="A229">
      <text>
        <t xml:space="preserve">Công thức động tổng hợp các điểm cuối từ L3, L4 và L5; không nhập tay.</t>
      </text>
    </comment>
    <comment authorId="0" ref="A196">
      <text>
        <t xml:space="preserve">Công thức động tổng hợp các điểm cuối từ L3, L4 và L5; không nhập tay.</t>
      </text>
    </comment>
    <comment authorId="0" ref="A163">
      <text>
        <t xml:space="preserve">Công thức động tổng hợp các điểm cuối từ L3, L4 và L5; không nhập tay.</t>
      </text>
    </comment>
    <comment authorId="0" ref="A130">
      <text>
        <t xml:space="preserve">Công thức động tổng hợp các điểm cuối từ L3, L4 và L5; không nhập tay.</t>
      </text>
    </comment>
    <comment authorId="0" ref="A97">
      <text>
        <t xml:space="preserve">Công thức động tổng hợp các điểm cuối từ L3, L4 và L5; không nhập tay.</t>
      </text>
    </comment>
    <comment authorId="0" ref="A64">
      <text>
        <t xml:space="preserve">Công thức động tổng hợp các điểm cuối từ L3, L4 và L5; không nhập tay.</t>
      </text>
    </comment>
    <comment authorId="0" ref="A31">
      <text>
        <t xml:space="preserve">Công thức động tổng hợp các điểm cuối từ L3, L4 và L5; không nhập tay.</t>
      </text>
    </comment>
    <comment authorId="0" ref="A428">
      <text>
        <t xml:space="preserve">Công thức động tổng hợp các điểm cuối từ L3, L4 và L5; không nhập tay.</t>
      </text>
    </comment>
    <comment authorId="0" ref="A395">
      <text>
        <t xml:space="preserve">Công thức động tổng hợp các điểm cuối từ L3, L4 và L5; không nhập tay.</t>
      </text>
    </comment>
    <comment authorId="0" ref="A362">
      <text>
        <t xml:space="preserve">Công thức động tổng hợp các điểm cuối từ L3, L4 và L5; không nhập tay.</t>
      </text>
    </comment>
    <comment authorId="0" ref="A329">
      <text>
        <t xml:space="preserve">Công thức động tổng hợp các điểm cuối từ L3, L4 và L5; không nhập tay.</t>
      </text>
    </comment>
    <comment authorId="0" ref="A296">
      <text>
        <t xml:space="preserve">Công thức động tổng hợp các điểm cuối từ L3, L4 và L5; không nhập tay.</t>
      </text>
    </comment>
    <comment authorId="0" ref="A263">
      <text>
        <t xml:space="preserve">Công thức động tổng hợp các điểm cuối từ L3, L4 và L5; không nhập tay.</t>
      </text>
    </comment>
    <comment authorId="0" ref="A230">
      <text>
        <t xml:space="preserve">Công thức động tổng hợp các điểm cuối từ L3, L4 và L5; không nhập tay.</t>
      </text>
    </comment>
    <comment authorId="0" ref="A197">
      <text>
        <t xml:space="preserve">Công thức động tổng hợp các điểm cuối từ L3, L4 và L5; không nhập tay.</t>
      </text>
    </comment>
    <comment authorId="0" ref="A164">
      <text>
        <t xml:space="preserve">Công thức động tổng hợp các điểm cuối từ L3, L4 và L5; không nhập tay.</t>
      </text>
    </comment>
    <comment authorId="0" ref="A131">
      <text>
        <t xml:space="preserve">Công thức động tổng hợp các điểm cuối từ L3, L4 và L5; không nhập tay.</t>
      </text>
    </comment>
    <comment authorId="0" ref="A98">
      <text>
        <t xml:space="preserve">Công thức động tổng hợp các điểm cuối từ L3, L4 và L5; không nhập tay.</t>
      </text>
    </comment>
    <comment authorId="0" ref="A65">
      <text>
        <t xml:space="preserve">Công thức động tổng hợp các điểm cuối từ L3, L4 và L5; không nhập tay.</t>
      </text>
    </comment>
    <comment authorId="0" ref="A32">
      <text>
        <t xml:space="preserve">Công thức động tổng hợp các điểm cuối từ L3, L4 và L5; không nhập tay.</t>
      </text>
    </comment>
    <comment authorId="0" ref="A429">
      <text>
        <t xml:space="preserve">Công thức động tổng hợp các điểm cuối từ L3, L4 và L5; không nhập tay.</t>
      </text>
    </comment>
    <comment authorId="0" ref="A396">
      <text>
        <t xml:space="preserve">Công thức động tổng hợp các điểm cuối từ L3, L4 và L5; không nhập tay.</t>
      </text>
    </comment>
    <comment authorId="0" ref="A363">
      <text>
        <t xml:space="preserve">Công thức động tổng hợp các điểm cuối từ L3, L4 và L5; không nhập tay.</t>
      </text>
    </comment>
    <comment authorId="0" ref="A330">
      <text>
        <t xml:space="preserve">Công thức động tổng hợp các điểm cuối từ L3, L4 và L5; không nhập tay.</t>
      </text>
    </comment>
    <comment authorId="0" ref="A297">
      <text>
        <t xml:space="preserve">Công thức động tổng hợp các điểm cuối từ L3, L4 và L5; không nhập tay.</t>
      </text>
    </comment>
    <comment authorId="0" ref="A264">
      <text>
        <t xml:space="preserve">Công thức động tổng hợp các điểm cuối từ L3, L4 và L5; không nhập tay.</t>
      </text>
    </comment>
    <comment authorId="0" ref="A231">
      <text>
        <t xml:space="preserve">Công thức động tổng hợp các điểm cuối từ L3, L4 và L5; không nhập tay.</t>
      </text>
    </comment>
    <comment authorId="0" ref="A198">
      <text>
        <t xml:space="preserve">Công thức động tổng hợp các điểm cuối từ L3, L4 và L5; không nhập tay.</t>
      </text>
    </comment>
    <comment authorId="0" ref="A165">
      <text>
        <t xml:space="preserve">Công thức động tổng hợp các điểm cuối từ L3, L4 và L5; không nhập tay.</t>
      </text>
    </comment>
    <comment authorId="0" ref="A132">
      <text>
        <t xml:space="preserve">Công thức động tổng hợp các điểm cuối từ L3, L4 và L5; không nhập tay.</t>
      </text>
    </comment>
    <comment authorId="0" ref="A99">
      <text>
        <t xml:space="preserve">Công thức động tổng hợp các điểm cuối từ L3, L4 và L5; không nhập tay.</t>
      </text>
    </comment>
    <comment authorId="0" ref="A66">
      <text>
        <t xml:space="preserve">Công thức động tổng hợp các điểm cuối từ L3, L4 và L5; không nhập tay.</t>
      </text>
    </comment>
    <comment authorId="0" ref="A33">
      <text>
        <t xml:space="preserve">Công thức động tổng hợp các điểm cuối từ L3, L4 và L5; không nhập tay.</t>
      </text>
    </comment>
    <comment authorId="0" ref="A430">
      <text>
        <t xml:space="preserve">Công thức động tổng hợp các điểm cuối từ L3, L4 và L5; không nhập tay.</t>
      </text>
    </comment>
    <comment authorId="0" ref="A397">
      <text>
        <t xml:space="preserve">Công thức động tổng hợp các điểm cuối từ L3, L4 và L5; không nhập tay.</t>
      </text>
    </comment>
    <comment authorId="0" ref="A364">
      <text>
        <t xml:space="preserve">Công thức động tổng hợp các điểm cuối từ L3, L4 và L5; không nhập tay.</t>
      </text>
    </comment>
    <comment authorId="0" ref="A331">
      <text>
        <t xml:space="preserve">Công thức động tổng hợp các điểm cuối từ L3, L4 và L5; không nhập tay.</t>
      </text>
    </comment>
    <comment authorId="0" ref="A298">
      <text>
        <t xml:space="preserve">Công thức động tổng hợp các điểm cuối từ L3, L4 và L5; không nhập tay.</t>
      </text>
    </comment>
    <comment authorId="0" ref="A265">
      <text>
        <t xml:space="preserve">Công thức động tổng hợp các điểm cuối từ L3, L4 và L5; không nhập tay.</t>
      </text>
    </comment>
    <comment authorId="0" ref="A232">
      <text>
        <t xml:space="preserve">Công thức động tổng hợp các điểm cuối từ L3, L4 và L5; không nhập tay.</t>
      </text>
    </comment>
    <comment authorId="0" ref="A199">
      <text>
        <t xml:space="preserve">Công thức động tổng hợp các điểm cuối từ L3, L4 và L5; không nhập tay.</t>
      </text>
    </comment>
    <comment authorId="0" ref="A166">
      <text>
        <t xml:space="preserve">Công thức động tổng hợp các điểm cuối từ L3, L4 và L5; không nhập tay.</t>
      </text>
    </comment>
    <comment authorId="0" ref="A133">
      <text>
        <t xml:space="preserve">Công thức động tổng hợp các điểm cuối từ L3, L4 và L5; không nhập tay.</t>
      </text>
    </comment>
    <comment authorId="0" ref="A100">
      <text>
        <t xml:space="preserve">Công thức động tổng hợp các điểm cuối từ L3, L4 và L5; không nhập tay.</t>
      </text>
    </comment>
    <comment authorId="0" ref="A67">
      <text>
        <t xml:space="preserve">Công thức động tổng hợp các điểm cuối từ L3, L4 và L5; không nhập tay.</t>
      </text>
    </comment>
    <comment authorId="0" ref="A34">
      <text>
        <t xml:space="preserve">Công thức động tổng hợp các điểm cuối từ L3, L4 và L5; không nhập tay.</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Danh sách giá trị chuẩn dùng cho trường Lớp 1 tại các sheet công việc. Chỉ sửa khi thay đổi cơ cấu quản trị.</t>
      </text>
    </comment>
    <comment authorId="0" ref="B1">
      <text>
        <t xml:space="preserve">Danh sách nhóm công việc BOC dùng thống nhất trong toàn bộ workbook.</t>
      </text>
    </comment>
    <comment authorId="0" ref="D1">
      <text>
        <t xml:space="preserve">Danh sách trạng thái chuẩn. Không nên tự gõ trạng thái khác vì công thức báo cáo dựa trên đúng các giá trị này.</t>
      </text>
    </comment>
    <comment authorId="0" ref="E1">
      <text>
        <t xml:space="preserve">P1 là ưu tiên cao nhất, sau đó P2, P3 và P4.</t>
      </text>
    </comment>
    <comment authorId="0" ref="G2">
      <text>
        <t xml:space="preserve">Nguồn danh sách mã L5 dùng cho cột B của sheet Lớp 6 - Chi tiết.</t>
      </text>
    </comment>
    <comment authorId="0" ref="G1">
      <text>
        <t xml:space="preserve">Danh sách mã L5 được tạo tự động để chọn tại Lớp 6. Không nhập đè lên vùng công thức tràn.</t>
      </text>
    </comment>
    <comment authorId="0" ref="J3">
      <text>
        <t xml:space="preserve">Ngưỡng Cận tải tính theo tỷ lệ công suất chuẩn. Ví dụ 80% nghĩa là từ 6,4/8 giờ/ngày sẽ cảnh báo Cận tải.</t>
      </text>
    </comment>
    <comment authorId="0" ref="I1">
      <text>
        <t xml:space="preserve">Khu vực cấu hình dùng cho phép tính tải công việc toàn workbook.</t>
      </text>
    </comment>
    <comment authorId="0" ref="J2">
      <text>
        <t xml:space="preserve">Số giờ làm việc chuẩn của một người trong một ngày. Thay đổi giá trị này sẽ ảnh hưởng toàn bộ cảnh báo tải.</t>
      </text>
    </comment>
    <comment authorId="0" ref="K1">
      <text>
        <t xml:space="preserve">Loại lịch quyết định cách quản lý thời gian và việc có tính tải trực tiếp hay theo Nhật ký thực hiện.</t>
      </text>
    </comment>
    <comment authorId="0" ref="L1">
      <text>
        <t xml:space="preserve">Chu kỳ chỉ áp dụng cho công việc có Loại lịch là Định kỳ.</t>
      </text>
    </comment>
    <comment authorId="0" ref="N3">
      <text>
        <t xml:space="preserve">Dùng khi nhập số giờ dành cho công việc trong một tuần; hệ thống quy đổi theo 5 ngày làm việc.</t>
      </text>
    </comment>
    <comment authorId="0" ref="M1">
      <text>
        <t xml:space="preserve">Trạng thái riêng của từng lần thực hiện trong Nhật ký; khác trạng thái tổng thể của công việc gốc.</t>
      </text>
    </comment>
    <comment authorId="0" ref="N2">
      <text>
        <t xml:space="preserve">Dùng khi nhập số giờ dành cho công việc trong một ngày làm việc.</t>
      </text>
    </comment>
    <comment authorId="0" ref="Q1">
      <text>
        <t xml:space="preserve">Danh sách động dùng cho dropdown Mã công việc khi Cấp công việc = Lớp 6.</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Ghi nguồn xác nhận lịch nghỉ. Các dòng “tham chiếu” cần được BOC/HR xác nhận trước khi dùng chính thức.</t>
      </text>
    </comment>
    <comment authorId="0" ref="F4">
      <text>
        <t xml:space="preserve">Khu vực kiểm thử công thức, không phải danh sách ngày nghỉ chính thức.</t>
      </text>
    </comment>
    <comment authorId="0" ref="I5">
      <text>
        <t xml:space="preserve">Số ngày làm việc giữa Từ ngày và Đến ngày. Mã cuối tuần 11 loại Chủ nhật nhưng vẫn tính thứ Bảy, đồng thời loại ngày trong cột A.</t>
      </text>
    </comment>
    <comment authorId="0" ref="A4">
      <text>
        <t xml:space="preserve">Nhập từng ngày nghỉ thực tế của công ty. Các công thức ngày làm việc sẽ loại các ngày trong cột này.</t>
      </text>
    </comment>
    <comment authorId="0" ref="B4">
      <text>
        <t xml:space="preserve">Tên kỳ nghỉ để người dùng dễ kiểm tra; công thức chỉ sử dụng ngày tại cột A.</t>
      </text>
    </comment>
    <comment authorId="0" ref="C4">
      <text>
        <t xml:space="preserve">Năm của ngày nghỉ, phục vụ rà soát; không phải dữ liệu chính của công thức.</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Bản in khuyến nghị: khổ A4 ngang, vùng A1:F38, lề hẹp và Fit Sheet on One Page.</t>
      </text>
    </comment>
    <comment authorId="0" ref="C34">
      <text>
        <t xml:space="preserve">Phản ánh khả năng kiểm soát công việc quá hạn. Tồn đọng càng cao thì điểm kiểm soát càng thấp.</t>
      </text>
    </comment>
    <comment authorId="0" ref="B26">
      <text>
        <t xml:space="preserve">Tỷ lệ đúng hạn chung gộp cả công việc một lần và công việc định kỳ/phát sinh đã hoàn thành trong kỳ.</t>
      </text>
    </comment>
    <comment authorId="0" ref="D26">
      <text>
        <t xml:space="preserve">Số công việc đã ghi Hoàn thành nhưng thiếu ngày hoàn thành thực tế trên toàn bộ dữ liệu nguồn; không giới hạn trong ngày đánh giá.</t>
      </text>
    </comment>
    <comment authorId="0" ref="F26">
      <text>
        <t xml:space="preserve">Số lượt định kỳ/phát sinh đang thực hiện trong ngày đánh giá; không bao gồm toàn bộ công việc một lần đang thực hiện.</t>
      </text>
    </comment>
    <comment authorId="0" ref="A18">
      <text>
        <t xml:space="preserve">Tỷ lệ đúng hạn của công việc định kỳ/phát sinh = số lượt đúng hạn chia số lượt hoàn thành trong kỳ.</t>
      </text>
    </comment>
    <comment authorId="0" ref="B14">
      <text>
        <t xml:space="preserve">Cột Tổng cộng các lượt ghi nhận trong Nhật ký thực hiện theo Lớp 3–Lớp 6; đây là số lượt thực hiện, không nhất thiết là số công việc duy nhất.</t>
      </text>
    </comment>
    <comment authorId="0" ref="A10">
      <text>
        <t xml:space="preserve">Tỷ lệ đúng hạn = số việc đúng hạn chia số việc hoàn thành trong kỳ. Nếu không có việc hoàn thành, báo cáo hiển thị 0%, không có nghĩa là hiệu suất bằng 0.</t>
      </text>
    </comment>
    <comment authorId="0" ref="B43">
      <text>
        <t xml:space="preserve">Không có hoặc không đủ việc được giao không đồng nghĩa với hiệu suất cao; trường hợp này cần được ghi nhận là chưa đủ dữ liệu đánh giá.</t>
      </text>
    </comment>
    <comment authorId="0" ref="A6">
      <text>
        <t xml:space="preserve">Chỉ đếm công việc có trạng thái Hoàn thành và ngày hoàn thành thực tế nằm trong ngày đánh giá.</t>
      </text>
    </comment>
    <comment authorId="0" ref="B39">
      <text>
        <t xml:space="preserve">Tóm tắt số việc hoàn thành và tỷ lệ đúng hạn trong đúng ngày được chọn tại ô B2.</t>
      </text>
    </comment>
    <comment authorId="0" ref="A35">
      <text>
        <t xml:space="preserve">Màu tải chỉ đáng tin khi đã nhập đủ Tổng giờ, Đơn vị phân bổ và giờ/kỳ.</t>
      </text>
    </comment>
    <comment authorId="0" ref="B2">
      <text>
        <t xml:space="preserve">Ngày dùng để lọc dữ liệu báo cáo. Công thức hiện lấy ngày hiện tại; có thể thay bằng một ngày khác nếu cần xem lại lịch sử.</t>
      </text>
    </comment>
    <comment authorId="0" ref="C35">
      <text>
        <t xml:space="preserve">Tỷ lệ tải = khối lượng được giao chia cho năng lực trong kỳ. Trên 100% nghĩa là khối lượng vượt năng lực chuẩn.</t>
      </text>
    </comment>
    <comment authorId="0" ref="A31">
      <text>
        <t xml:space="preserve">Đánh giá mức hoàn thành có xét đến khối lượng, không chỉ đếm số đầu việc.</t>
      </text>
    </comment>
    <comment authorId="0" ref="B31">
      <text>
        <t xml:space="preserve">Trọng số tham khảo của tiêu chí hoàn thành theo khối lượng trong mô hình đánh giá tổng hợp; không phải điểm hiệu suất đang được tính trực tiếp tại báo cáo này.</t>
      </text>
    </comment>
    <comment authorId="0" ref="C31">
      <text>
        <t xml:space="preserve">So sánh khối lượng thực tế đã hoàn thành với khối lượng đã cam kết. Nên ưu tiên giờ hoặc điểm khối lượng thay vì chỉ đếm số đầu việc.</t>
      </text>
    </comment>
    <comment authorId="0" ref="B27">
      <text>
        <t xml:space="preserve">Tổng giờ thực tế chỉ lấy từ Nhật ký thực hiện. Công việc một lần tại các sheet Lớp không được cộng vào chỉ số này.</t>
      </text>
    </comment>
    <comment authorId="0" ref="D27">
      <text>
        <t xml:space="preserve">Số lượt định kỳ/phát sinh có ngày trong kỳ nhưng trạng thái Chưa thực hiện.</t>
      </text>
    </comment>
    <comment authorId="0" ref="E27">
      <text>
        <t xml:space="preserve">Ô kiểm tra chất lượng dữ liệu đầu vào. Nếu còn báo thiếu ngày hoàn thành hoặc tham số tải thì chưa nên dùng báo cáo để kết luận hiệu suất.</t>
      </text>
    </comment>
    <comment authorId="0" ref="F27">
      <text>
        <t xml:space="preserve">Nếu hiển thị “Thiếu n ngày”, cần bổ sung ngày hoàn thành thực tế tại các sheet Lớp tương ứng. Khi không còn thiếu, ô sẽ hiển thị “Đủ dữ liệu”.</t>
      </text>
    </comment>
    <comment authorId="0" ref="A19">
      <text>
        <t xml:space="preserve">Tổng số giờ thực tế đã nhập tại Nhật ký thực hiện trong kỳ. Chỉ phản ánh dữ liệu đã được ghi nhận, không phải giờ ước tính.</t>
      </text>
    </comment>
    <comment authorId="0" ref="A15">
      <text>
        <t xml:space="preserve">Đếm số lượt trong Nhật ký thực hiện có trạng thái Hoàn thành và ngày thực hiện nằm trong ngày đánh giá.</t>
      </text>
    </comment>
    <comment authorId="0" ref="A7">
      <text>
        <t xml:space="preserve">Đếm toàn bộ công việc đã ghi trạng thái Hoàn thành nhưng chưa nhập ngày hoàn thành thực tế. Chỉ số này không giới hạn theo ngày báo cáo vì chưa có ngày để xác định kỳ.</t>
      </text>
    </comment>
    <comment authorId="0" ref="B40">
      <text>
        <t xml:space="preserve">Số dòng đang có trạng thái quá tải trong dữ liệu nguồn hiện tại. Chỉ số cảnh báo này không lọc theo ngày báo cáo, nên dùng để nhìn tình trạng tải đang ghi nhận trên toàn bộ danh mục.</t>
      </text>
    </comment>
    <comment authorId="0" ref="D40">
      <text>
        <t xml:space="preserve">Số dòng đang ở mức Cận tải trong toàn bộ danh mục hiện tại. Chỉ số không lọc theo ngày đánh giá.</t>
      </text>
    </comment>
    <comment authorId="0" ref="F40">
      <text>
        <t xml:space="preserve">Số dòng đang có cảnh báo Quá hạn trong toàn bộ danh mục hiện tại. Đây là tồn đọng hiện tại, không phải số việc hoàn thành trễ trong ngày.</t>
      </text>
    </comment>
    <comment authorId="0" ref="C36">
      <text>
        <t xml:space="preserve">Kết luận cuối cùng cần đọc đồng thời kết quả và tải. Hiệu suất cao đi kèm quá tải có thể không bền vững.</t>
      </text>
    </comment>
    <comment authorId="0" ref="A32">
      <text>
        <t xml:space="preserve">Đánh giá phần khối lượng hoàn thành đúng hạn so với khối lượng đã hoàn thành.</t>
      </text>
    </comment>
    <comment authorId="0" ref="C32">
      <text>
        <t xml:space="preserve">Đo phần khối lượng hoàn thành đúng hạn trên tổng khối lượng đã hoàn thành; tránh để công việc nhỏ và lớn có giá trị như nhau.</t>
      </text>
    </comment>
    <comment authorId="0" ref="A20">
      <text>
        <t xml:space="preserve">Đếm các lượt có ngày trong kỳ nhưng trạng thái vẫn là Đang thực hiện. Không bao gồm toàn bộ công việc một lần đang mở tại các sheet Lớp.</t>
      </text>
    </comment>
    <comment authorId="0" ref="A16">
      <text>
        <t xml:space="preserve">Đếm lượt hoàn thành được Nhật ký thực hiện phân loại là Đúng hạn.</t>
      </text>
    </comment>
    <comment authorId="0" ref="A45">
      <text>
        <t xml:space="preserve">Dòng này là gợi ý thiết lập khi in hoặc xuất PDF; không ảnh hưởng đến số liệu báo cáo.</t>
      </text>
    </comment>
    <comment authorId="0" ref="A8">
      <text>
        <t xml:space="preserve">Đúng hạn khi ngày hoàn thành thực tế không muộn hơn ngày kết thúc dự kiến và ngày hoàn thành nằm trong kỳ báo cáo.</t>
      </text>
    </comment>
    <comment authorId="0" ref="B41">
      <text>
        <t xml:space="preserve">Nếu dữ liệu chưa đủ, công thức sẽ yêu cầu hoàn thiện dữ liệu trước thay vì đưa ra kết luận.</t>
      </text>
    </comment>
    <comment authorId="0" ref="A4">
      <text>
        <t xml:space="preserve">Công việc một lần là các công việc được quản lý trực tiếp tại các sheet Lớp 3–Lớp 6. Báo cáo ghi nhận theo ngày hoàn thành thực tế, không theo ngày dự kiến.</t>
      </text>
    </comment>
    <comment authorId="0" ref="A33">
      <text>
        <t xml:space="preserve">Đánh giá mức tải mà cá nhân/nhóm đang đảm nhận dựa trên giờ phân bổ mỗi ngày.</t>
      </text>
    </comment>
    <comment authorId="0" ref="C33">
      <text>
        <t xml:space="preserve">Đánh giá lượng việc được giao so với năng lực. Không được giao đủ việc phải ghi “Chưa đủ dữ liệu”, không xem là hiệu suất cao.</t>
      </text>
    </comment>
    <comment authorId="0" ref="A29">
      <text>
        <t xml:space="preserve">Khung đánh giá cân bằng nhiều tiêu chí để tránh chỉ nhìn số lượng công việc hoặc phần trăm hoàn thành.</t>
      </text>
    </comment>
    <comment authorId="0" ref="A25">
      <text>
        <t xml:space="preserve">Tổng việc hoàn thành = công việc một lần hoàn thành + lượt công việc định kỳ/phát sinh hoàn thành trong kỳ.</t>
      </text>
    </comment>
    <comment authorId="0" ref="A21">
      <text>
        <t xml:space="preserve">Đếm các lượt có ngày trong kỳ và trạng thái Chưa thực hiện trong Nhật ký thực hiện.</t>
      </text>
    </comment>
    <comment authorId="0" ref="A17">
      <text>
        <t xml:space="preserve">Đếm lượt hoàn thành được Nhật ký thực hiện phân loại là Trễ hạn.</t>
      </text>
    </comment>
    <comment authorId="0" ref="A13">
      <text>
        <t xml:space="preserve">Công việc định kỳ/phát sinh được ghi từng lần thực hiện tại sheet Nhật ký thực hiện. Một công việc có thể xuất hiện nhiều dòng nếu phát sinh nhiều lần.</t>
      </text>
    </comment>
    <comment authorId="0" ref="A42">
      <text>
        <t xml:space="preserve">Luôn đọc đồng thời ba trục: kết quả, đúng hạn và tải. Không dùng riêng một chỉ số để đánh giá.</t>
      </text>
    </comment>
    <comment authorId="0" ref="A9">
      <text>
        <t xml:space="preserve">Trễ hạn khi ngày hoàn thành thực tế muộn hơn ngày kết thúc dự kiến. Công việc thiếu ngày dự kiến không được phân loại đúng hạn hoặc trễ hạn.</t>
      </text>
    </comment>
    <comment authorId="0" ref="B42">
      <text>
        <t xml:space="preserve">Nguyên tắc sử dụng báo cáo: xem đồng thời đầu ra, tiến độ, khối lượng giao, nguồn lực và các điều kiện phụ thuộc.</t>
      </text>
    </comment>
    <comment authorId="0" ref="A38">
      <text>
        <t xml:space="preserve">Kết luận quản trị được tạo tự động từ kết quả, đúng hạn, tải và chất lượng dữ liệu; không phải đánh giá nhân sự độc lập.</t>
      </text>
    </comment>
    <comment authorId="0" ref="B5">
      <text>
        <t xml:space="preserve">Cột Tổng là phép cộng số dòng của Lớp 3, 4, 5 và 6. Đây là tổng bản ghi hoàn thành theo từng lớp, không phải số kết quả kinh doanh duy nhất; một nhánh có thể được ghi nhận ở nhiều lớp nếu cả cha và con cùng hoàn thành.</t>
      </text>
    </comment>
    <comment authorId="0" ref="A34">
      <text>
        <t xml:space="preserve">Đánh giá khả năng kiểm soát phần việc quá hạn hoặc còn tồn đọng.</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Bản in khuyến nghị: khổ A4 ngang, vùng A1:F38, lề hẹp và Fit Sheet on One Page.</t>
      </text>
    </comment>
    <comment authorId="0" ref="C34">
      <text>
        <t xml:space="preserve">Phản ánh khả năng kiểm soát công việc quá hạn. Tồn đọng càng cao thì điểm kiểm soát càng thấp.</t>
      </text>
    </comment>
    <comment authorId="0" ref="B26">
      <text>
        <t xml:space="preserve">Tỷ lệ đúng hạn chung gộp cả công việc một lần và công việc định kỳ/phát sinh đã hoàn thành trong tuần.</t>
      </text>
    </comment>
    <comment authorId="0" ref="D26">
      <text>
        <t xml:space="preserve">Số công việc đã ghi Hoàn thành nhưng thiếu ngày hoàn thành thực tế trên toàn bộ dữ liệu nguồn; không giới hạn trong tuần báo cáo.</t>
      </text>
    </comment>
    <comment authorId="0" ref="F26">
      <text>
        <t xml:space="preserve">Số lượt định kỳ/phát sinh đang thực hiện trong tuần; không bao gồm toàn bộ công việc một lần đang thực hiện.</t>
      </text>
    </comment>
    <comment authorId="0" ref="A18">
      <text>
        <t xml:space="preserve">Tỷ lệ đúng hạn của công việc định kỳ/phát sinh = số lượt đúng hạn chia số lượt hoàn thành trong tuần.</t>
      </text>
    </comment>
    <comment authorId="0" ref="B14">
      <text>
        <t xml:space="preserve">Cột Tổng cộng các lượt ghi nhận trong Nhật ký thực hiện theo Lớp 3–Lớp 6; đây là số lượt thực hiện, không nhất thiết là số công việc duy nhất.</t>
      </text>
    </comment>
    <comment authorId="0" ref="A10">
      <text>
        <t xml:space="preserve">Tỷ lệ đúng hạn = số việc đúng hạn chia số việc hoàn thành trong tuần. Nếu không có việc hoàn thành, báo cáo hiển thị 0%, không có nghĩa là hiệu suất bằng 0.</t>
      </text>
    </comment>
    <comment authorId="0" ref="B43">
      <text>
        <t xml:space="preserve">Không có hoặc không đủ việc được giao không đồng nghĩa với hiệu suất cao; trường hợp này cần được ghi nhận là chưa đủ dữ liệu đánh giá.</t>
      </text>
    </comment>
    <comment authorId="0" ref="A6">
      <text>
        <t xml:space="preserve">Chỉ đếm công việc có trạng thái Hoàn thành và ngày hoàn thành thực tế nằm từ Thứ Hai đến hết Chủ Nhật của tuần báo cáo.</t>
      </text>
    </comment>
    <comment authorId="0" ref="B39">
      <text>
        <t xml:space="preserve">Tóm tắt số việc hoàn thành và tỷ lệ đúng hạn trong tuần bắt đầu tại ô B2.</t>
      </text>
    </comment>
    <comment authorId="0" ref="A35">
      <text>
        <t xml:space="preserve">Đỏ = cần can thiệp; cam/vàng = theo dõi; xanh = trong ngưỡng.</t>
      </text>
    </comment>
    <comment authorId="0" ref="B2">
      <text>
        <t xml:space="preserve">Ngày bắt đầu tuần dùng để lọc dữ liệu. Báo cáo tính từ Thứ Hai tại ô này đến hết Chủ Nhật cùng tuần.</t>
      </text>
    </comment>
    <comment authorId="0" ref="C35">
      <text>
        <t xml:space="preserve">Tỷ lệ tải = khối lượng được giao chia cho năng lực trong kỳ. Trên 100% nghĩa là khối lượng vượt năng lực chuẩn.</t>
      </text>
    </comment>
    <comment authorId="0" ref="A31">
      <text>
        <t xml:space="preserve">Mức hoàn thành được xem theo khối lượng cam kết trong tuần.</t>
      </text>
    </comment>
    <comment authorId="0" ref="B31">
      <text>
        <t xml:space="preserve">Trọng số tham khảo của tiêu chí hoàn thành theo khối lượng trong mô hình đánh giá tổng hợp; không phải điểm hiệu suất đang được tính trực tiếp tại báo cáo này.</t>
      </text>
    </comment>
    <comment authorId="0" ref="C31">
      <text>
        <t xml:space="preserve">So sánh khối lượng thực tế đã hoàn thành với khối lượng đã cam kết. Nên ưu tiên giờ hoặc điểm khối lượng thay vì chỉ đếm số đầu việc.</t>
      </text>
    </comment>
    <comment authorId="0" ref="B27">
      <text>
        <t xml:space="preserve">Tổng giờ thực tế chỉ lấy từ Nhật ký thực hiện. Công việc một lần tại các sheet Lớp không được cộng vào chỉ số này.</t>
      </text>
    </comment>
    <comment authorId="0" ref="D27">
      <text>
        <t xml:space="preserve">Số lượt định kỳ/phát sinh có ngày trong tuần nhưng trạng thái Chưa thực hiện.</t>
      </text>
    </comment>
    <comment authorId="0" ref="E27">
      <text>
        <t xml:space="preserve">Kiểm tra dữ liệu đầu vào trước khi họp tuần. Khi còn thiếu dữ liệu, các kết luận về tải và đúng hạn có thể chưa đầy đủ.</t>
      </text>
    </comment>
    <comment authorId="0" ref="F27">
      <text>
        <t xml:space="preserve">Nếu hiển thị “Thiếu n ngày”, cần bổ sung ngày hoàn thành thực tế tại các sheet Lớp tương ứng. Khi không còn thiếu, ô sẽ hiển thị “Đủ dữ liệu”.</t>
      </text>
    </comment>
    <comment authorId="0" ref="A19">
      <text>
        <t xml:space="preserve">Tổng số giờ thực tế đã nhập tại Nhật ký thực hiện trong tuần. Chỉ phản ánh dữ liệu đã được ghi nhận, không phải giờ ước tính.</t>
      </text>
    </comment>
    <comment authorId="0" ref="A15">
      <text>
        <t xml:space="preserve">Đếm số lượt trong Nhật ký thực hiện có trạng thái Hoàn thành và ngày thực hiện nằm trong tuần báo cáo.</t>
      </text>
    </comment>
    <comment authorId="0" ref="A7">
      <text>
        <t xml:space="preserve">Đếm toàn bộ công việc đã ghi trạng thái Hoàn thành nhưng chưa nhập ngày hoàn thành thực tế. Chỉ số này không giới hạn theo tuần báo cáo vì chưa có ngày để xác định kỳ.</t>
      </text>
    </comment>
    <comment authorId="0" ref="B40">
      <text>
        <t xml:space="preserve">Số dòng đang có trạng thái quá tải trong dữ liệu nguồn hiện tại. Chỉ số cảnh báo này không lọc theo tuần báo cáo, nên dùng để nhìn tình trạng tải đang ghi nhận trên toàn bộ danh mục.</t>
      </text>
    </comment>
    <comment authorId="0" ref="D40">
      <text>
        <t xml:space="preserve">Số dòng đang ở mức Cận tải trong toàn bộ danh mục hiện tại. Chỉ số không lọc theo tuần báo cáo.</t>
      </text>
    </comment>
    <comment authorId="0" ref="F40">
      <text>
        <t xml:space="preserve">Số dòng đang có cảnh báo Quá hạn trong toàn bộ danh mục hiện tại. Đây là tồn đọng hiện tại, không phải số việc hoàn thành trễ trong tuần.</t>
      </text>
    </comment>
    <comment authorId="0" ref="C36">
      <text>
        <t xml:space="preserve">Kết luận cuối cùng cần đọc đồng thời kết quả và tải. Hiệu suất cao đi kèm quá tải có thể không bền vững.</t>
      </text>
    </comment>
    <comment authorId="0" ref="A32">
      <text>
        <t xml:space="preserve">Tỷ lệ phần việc hoàn thành đúng hạn trong kỳ đánh giá.</t>
      </text>
    </comment>
    <comment authorId="0" ref="C32">
      <text>
        <t xml:space="preserve">Đo phần khối lượng hoàn thành đúng hạn trên tổng khối lượng đã hoàn thành; tránh để công việc nhỏ và lớn có giá trị như nhau.</t>
      </text>
    </comment>
    <comment authorId="0" ref="A20">
      <text>
        <t xml:space="preserve">Đếm các lượt có ngày trong tuần nhưng trạng thái vẫn là Đang thực hiện. Không bao gồm toàn bộ công việc một lần đang mở tại các sheet Lớp.</t>
      </text>
    </comment>
    <comment authorId="0" ref="A16">
      <text>
        <t xml:space="preserve">Đếm lượt hoàn thành được Nhật ký thực hiện phân loại là Đúng hạn.</t>
      </text>
    </comment>
    <comment authorId="0" ref="A45">
      <text>
        <t xml:space="preserve">Dòng này là gợi ý thiết lập khi in hoặc xuất PDF; không ảnh hưởng đến số liệu báo cáo.</t>
      </text>
    </comment>
    <comment authorId="0" ref="A8">
      <text>
        <t xml:space="preserve">Đúng hạn khi ngày hoàn thành thực tế không muộn hơn ngày kết thúc dự kiến và ngày hoàn thành nằm trong tuần báo cáo.</t>
      </text>
    </comment>
    <comment authorId="0" ref="B41">
      <text>
        <t xml:space="preserve">Kết luận chỉ xuất hiện khi kiểm tra dữ liệu đầu vào đạt yêu cầu.</t>
      </text>
    </comment>
    <comment authorId="0" ref="A4">
      <text>
        <t xml:space="preserve">Công việc một lần là các công việc được quản lý trực tiếp tại các sheet Lớp 3–Lớp 6. Báo cáo ghi nhận theo ngày hoàn thành thực tế, không theo ngày dự kiến.</t>
      </text>
    </comment>
    <comment authorId="0" ref="A33">
      <text>
        <t xml:space="preserve">Tải nguồn lực được quy đổi về giờ/ngày để có thể so sánh.</t>
      </text>
    </comment>
    <comment authorId="0" ref="C33">
      <text>
        <t xml:space="preserve">Đánh giá lượng việc được giao so với năng lực. Không được giao đủ việc phải ghi “Chưa đủ dữ liệu”, không xem là hiệu suất cao.</t>
      </text>
    </comment>
    <comment authorId="0" ref="A29">
      <text>
        <t xml:space="preserve">Khung đánh giá giúp cân bằng khối lượng, đúng hạn, tải và tồn đọng.</t>
      </text>
    </comment>
    <comment authorId="0" ref="A25">
      <text>
        <t xml:space="preserve">Tổng việc hoàn thành = công việc một lần hoàn thành + lượt công việc định kỳ/phát sinh hoàn thành trong tuần.</t>
      </text>
    </comment>
    <comment authorId="0" ref="A21">
      <text>
        <t xml:space="preserve">Đếm các lượt có ngày trong tuần và trạng thái Chưa thực hiện trong Nhật ký thực hiện.</t>
      </text>
    </comment>
    <comment authorId="0" ref="A17">
      <text>
        <t xml:space="preserve">Đếm lượt hoàn thành được Nhật ký thực hiện phân loại là Trễ hạn.</t>
      </text>
    </comment>
    <comment authorId="0" ref="A13">
      <text>
        <t xml:space="preserve">Công việc định kỳ/phát sinh được ghi từng lần thực hiện tại sheet Nhật ký thực hiện. Một công việc có thể xuất hiện nhiều dòng nếu phát sinh nhiều lần.</t>
      </text>
    </comment>
    <comment authorId="0" ref="A42">
      <text>
        <t xml:space="preserve">Ưu tiên xử lý thiếu dữ liệu, P1/quá hạn, quá tải rồi mới tối ưu các việc còn lại.</t>
      </text>
    </comment>
    <comment authorId="0" ref="A9">
      <text>
        <t xml:space="preserve">Trễ hạn khi ngày hoàn thành thực tế muộn hơn ngày kết thúc dự kiến. Công việc thiếu ngày dự kiến không được phân loại đúng hạn hoặc trễ hạn.</t>
      </text>
    </comment>
    <comment authorId="0" ref="B42">
      <text>
        <t xml:space="preserve">Nguyên tắc sử dụng báo cáo: xem đồng thời đầu ra, tiến độ, khối lượng giao, nguồn lực và các điều kiện phụ thuộc.</t>
      </text>
    </comment>
    <comment authorId="0" ref="A38">
      <text>
        <t xml:space="preserve">Kết luận tự động dùng để định hướng cuộc họp, cần truy về công việc chi tiết trước khi quyết định.</t>
      </text>
    </comment>
    <comment authorId="0" ref="B5">
      <text>
        <t xml:space="preserve">Cột Tổng là phép cộng số dòng của Lớp 3, 4, 5 và 6. Đây là tổng bản ghi hoàn thành theo từng lớp, không phải số kết quả kinh doanh duy nhất; một nhánh có thể được ghi nhận ở nhiều lớp nếu cả cha và con cùng hoàn thành.</t>
      </text>
    </comment>
    <comment authorId="0" ref="A34">
      <text>
        <t xml:space="preserve">Phản ánh phần công việc quá hạn/tồn đọng chưa được xử lý.</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Bản in khuyến nghị: khổ A4 ngang, vùng A1:F38, lề hẹp và Fit Sheet on One Page.</t>
      </text>
    </comment>
    <comment authorId="0" ref="C34">
      <text>
        <t xml:space="preserve">Phản ánh khả năng kiểm soát công việc quá hạn. Tồn đọng càng cao thì điểm kiểm soát càng thấp.</t>
      </text>
    </comment>
    <comment authorId="0" ref="B26">
      <text>
        <t xml:space="preserve">Tỷ lệ đúng hạn chung gộp cả công việc một lần và công việc định kỳ/phát sinh đã hoàn thành trong tháng.</t>
      </text>
    </comment>
    <comment authorId="0" ref="D26">
      <text>
        <t xml:space="preserve">Số công việc đã ghi Hoàn thành nhưng thiếu ngày hoàn thành thực tế trên toàn bộ dữ liệu nguồn; không giới hạn trong tháng báo cáo.</t>
      </text>
    </comment>
    <comment authorId="0" ref="F26">
      <text>
        <t xml:space="preserve">Số lượt định kỳ/phát sinh đang thực hiện trong tháng; không bao gồm toàn bộ công việc một lần đang thực hiện.</t>
      </text>
    </comment>
    <comment authorId="0" ref="A18">
      <text>
        <t xml:space="preserve">Tỷ lệ đúng hạn của công việc định kỳ/phát sinh = số lượt đúng hạn chia số lượt hoàn thành trong tháng.</t>
      </text>
    </comment>
    <comment authorId="0" ref="B14">
      <text>
        <t xml:space="preserve">Cột Tổng cộng các lượt ghi nhận trong Nhật ký thực hiện theo Lớp 3–Lớp 6; đây là số lượt thực hiện, không nhất thiết là số công việc duy nhất.</t>
      </text>
    </comment>
    <comment authorId="0" ref="A10">
      <text>
        <t xml:space="preserve">Tỷ lệ đúng hạn = số việc đúng hạn chia số việc hoàn thành trong tháng. Nếu không có việc hoàn thành, báo cáo hiển thị 0%, không có nghĩa là hiệu suất bằng 0.</t>
      </text>
    </comment>
    <comment authorId="0" ref="B43">
      <text>
        <t xml:space="preserve">Không có hoặc không đủ việc được giao không đồng nghĩa với hiệu suất cao; trường hợp này cần được ghi nhận là chưa đủ dữ liệu đánh giá.</t>
      </text>
    </comment>
    <comment authorId="0" ref="A6">
      <text>
        <t xml:space="preserve">Chỉ đếm công việc có trạng thái Hoàn thành và ngày hoàn thành thực tế nằm trong tháng đánh giá.</t>
      </text>
    </comment>
    <comment authorId="0" ref="B39">
      <text>
        <t xml:space="preserve">Tóm tắt số việc hoàn thành và tỷ lệ đúng hạn trong tháng được chọn tại ô B2.</t>
      </text>
    </comment>
    <comment authorId="0" ref="A35">
      <text>
        <t xml:space="preserve">Ngưỡng tải lấy theo công suất chuẩn trong Danh mục chọn.</t>
      </text>
    </comment>
    <comment authorId="0" ref="B2">
      <text>
        <t xml:space="preserve">Tháng dùng để lọc dữ liệu báo cáo. Giá trị được lưu dưới dạng ngày đầu tháng; có thể thay đổi tháng và năm để xem kỳ khác.</t>
      </text>
    </comment>
    <comment authorId="0" ref="C35">
      <text>
        <t xml:space="preserve">Tỷ lệ tải = khối lượng được giao chia cho năng lực trong kỳ. Trên 100% nghĩa là khối lượng vượt năng lực chuẩn.</t>
      </text>
    </comment>
    <comment authorId="0" ref="A31">
      <text>
        <t xml:space="preserve">Hoàn thành có xét khối lượng cam kết, không chỉ số lượng đầu việc.</t>
      </text>
    </comment>
    <comment authorId="0" ref="B31">
      <text>
        <t xml:space="preserve">Trọng số tham khảo của tiêu chí hoàn thành theo khối lượng trong mô hình đánh giá tổng hợp; không phải điểm hiệu suất đang được tính trực tiếp tại báo cáo này.</t>
      </text>
    </comment>
    <comment authorId="0" ref="C31">
      <text>
        <t xml:space="preserve">So sánh khối lượng thực tế đã hoàn thành với khối lượng đã cam kết. Nên ưu tiên giờ hoặc điểm khối lượng thay vì chỉ đếm số đầu việc.</t>
      </text>
    </comment>
    <comment authorId="0" ref="B27">
      <text>
        <t xml:space="preserve">Tổng giờ thực tế chỉ lấy từ Nhật ký thực hiện. Công việc một lần tại các sheet Lớp không được cộng vào chỉ số này.</t>
      </text>
    </comment>
    <comment authorId="0" ref="D27">
      <text>
        <t xml:space="preserve">Số lượt định kỳ/phát sinh có ngày trong tháng nhưng trạng thái Chưa thực hiện.</t>
      </text>
    </comment>
    <comment authorId="0" ref="E27">
      <text>
        <t xml:space="preserve">Chỉ kết luận tháng khi dữ liệu ngày hoàn thành và tham số tải đã được cập nhật đầy đủ.</t>
      </text>
    </comment>
    <comment authorId="0" ref="F27">
      <text>
        <t xml:space="preserve">Nếu hiển thị “Thiếu n ngày”, cần bổ sung ngày hoàn thành thực tế tại các sheet Lớp tương ứng. Khi không còn thiếu, ô sẽ hiển thị “Đủ dữ liệu”.</t>
      </text>
    </comment>
    <comment authorId="0" ref="A19">
      <text>
        <t xml:space="preserve">Tổng số giờ thực tế đã nhập tại Nhật ký thực hiện trong tháng. Chỉ phản ánh dữ liệu đã được ghi nhận, không phải giờ ước tính.</t>
      </text>
    </comment>
    <comment authorId="0" ref="A15">
      <text>
        <t xml:space="preserve">Đếm số lượt trong Nhật ký thực hiện có trạng thái Hoàn thành và ngày thực hiện nằm trong tháng báo cáo.</t>
      </text>
    </comment>
    <comment authorId="0" ref="A7">
      <text>
        <t xml:space="preserve">Đếm toàn bộ công việc đã ghi trạng thái Hoàn thành nhưng chưa nhập ngày hoàn thành thực tế. Chỉ số này không giới hạn theo tháng báo cáo vì chưa có ngày để xác định kỳ.</t>
      </text>
    </comment>
    <comment authorId="0" ref="B40">
      <text>
        <t xml:space="preserve">Số dòng đang có trạng thái quá tải trong dữ liệu nguồn hiện tại. Chỉ số cảnh báo này không lọc theo tháng báo cáo, nên dùng để nhìn tình trạng tải đang ghi nhận trên toàn bộ danh mục.</t>
      </text>
    </comment>
    <comment authorId="0" ref="D40">
      <text>
        <t xml:space="preserve">Số dòng đang ở mức Cận tải trong toàn bộ danh mục hiện tại. Chỉ số không lọc theo tháng báo cáo.</t>
      </text>
    </comment>
    <comment authorId="0" ref="F40">
      <text>
        <t xml:space="preserve">Số dòng đang có cảnh báo Quá hạn trong toàn bộ danh mục hiện tại. Đây là tồn đọng hiện tại, không phải số việc hoàn thành trễ trong tháng.</t>
      </text>
    </comment>
    <comment authorId="0" ref="C36">
      <text>
        <t xml:space="preserve">Kết luận cuối cùng cần đọc đồng thời kết quả và tải. Hiệu suất cao đi kèm quá tải có thể không bền vững.</t>
      </text>
    </comment>
    <comment authorId="0" ref="A32">
      <text>
        <t xml:space="preserve">Đúng hạn được xét trên phần khối lượng đã hoàn thành.</t>
      </text>
    </comment>
    <comment authorId="0" ref="C32">
      <text>
        <t xml:space="preserve">Đo phần khối lượng hoàn thành đúng hạn trên tổng khối lượng đã hoàn thành; tránh để công việc nhỏ và lớn có giá trị như nhau.</t>
      </text>
    </comment>
    <comment authorId="0" ref="A20">
      <text>
        <t xml:space="preserve">Đếm các lượt có ngày trong tháng nhưng trạng thái vẫn là Đang thực hiện. Không bao gồm toàn bộ công việc một lần đang mở tại các sheet Lớp.</t>
      </text>
    </comment>
    <comment authorId="0" ref="A16">
      <text>
        <t xml:space="preserve">Đếm lượt hoàn thành được Nhật ký thực hiện phân loại là Đúng hạn.</t>
      </text>
    </comment>
    <comment authorId="0" ref="A45">
      <text>
        <t xml:space="preserve">Dòng này là gợi ý thiết lập khi in hoặc xuất PDF; không ảnh hưởng đến số liệu báo cáo.</t>
      </text>
    </comment>
    <comment authorId="0" ref="A8">
      <text>
        <t xml:space="preserve">Đúng hạn khi ngày hoàn thành thực tế không muộn hơn ngày kết thúc dự kiến và ngày hoàn thành nằm trong tháng báo cáo.</t>
      </text>
    </comment>
    <comment authorId="0" ref="B41">
      <text>
        <t xml:space="preserve">Truy vết các cảnh báo tại Bản đồ công việc và lớp dữ liệu gốc trước khi chốt hành động.</t>
      </text>
    </comment>
    <comment authorId="0" ref="A4">
      <text>
        <t xml:space="preserve">Công việc một lần là các công việc được quản lý trực tiếp tại các sheet Lớp 3–Lớp 6. Báo cáo ghi nhận theo ngày hoàn thành thực tế, không theo ngày dự kiến.</t>
      </text>
    </comment>
    <comment authorId="0" ref="A33">
      <text>
        <t xml:space="preserve">Mức đóng góp tải cho biết quy mô trách nhiệm nguồn lực, không đồng nghĩa hiệu suất cao hay thấp.</t>
      </text>
    </comment>
    <comment authorId="0" ref="C33">
      <text>
        <t xml:space="preserve">Đánh giá lượng việc được giao so với năng lực. Không được giao đủ việc phải ghi “Chưa đủ dữ liệu”, không xem là hiệu suất cao.</t>
      </text>
    </comment>
    <comment authorId="0" ref="A29">
      <text>
        <t xml:space="preserve">Khung đánh giá công bằng tránh việc người có nhiều việc nhỏ được đánh giá cao hơn người xử lý việc lớn/phức tạp.</t>
      </text>
    </comment>
    <comment authorId="0" ref="A25">
      <text>
        <t xml:space="preserve">Tổng việc hoàn thành = công việc một lần hoàn thành + lượt công việc định kỳ/phát sinh hoàn thành trong tháng.</t>
      </text>
    </comment>
    <comment authorId="0" ref="A21">
      <text>
        <t xml:space="preserve">Đếm các lượt có ngày trong tháng và trạng thái Chưa thực hiện trong Nhật ký thực hiện.</t>
      </text>
    </comment>
    <comment authorId="0" ref="A17">
      <text>
        <t xml:space="preserve">Đếm lượt hoàn thành được Nhật ký thực hiện phân loại là Trễ hạn.</t>
      </text>
    </comment>
    <comment authorId="0" ref="A13">
      <text>
        <t xml:space="preserve">Công việc định kỳ/phát sinh được ghi từng lần thực hiện tại sheet Nhật ký thực hiện. Một công việc có thể xuất hiện nhiều dòng nếu phát sinh nhiều lần.</t>
      </text>
    </comment>
    <comment authorId="0" ref="A42">
      <text>
        <t xml:space="preserve">Đọc xu hướng nhiều kỳ; không kết luận từ biến động của một tháng đơn lẻ.</t>
      </text>
    </comment>
    <comment authorId="0" ref="A9">
      <text>
        <t xml:space="preserve">Trễ hạn khi ngày hoàn thành thực tế muộn hơn ngày kết thúc dự kiến. Công việc thiếu ngày dự kiến không được phân loại đúng hạn hoặc trễ hạn.</t>
      </text>
    </comment>
    <comment authorId="0" ref="B42">
      <text>
        <t xml:space="preserve">Nguyên tắc sử dụng báo cáo: xem đồng thời đầu ra, tiến độ, khối lượng giao, nguồn lực và các điều kiện phụ thuộc.</t>
      </text>
    </comment>
    <comment authorId="0" ref="A38">
      <text>
        <t xml:space="preserve">Kết luận tháng là tín hiệu quản trị tổng hợp, không thay thế đánh giá nguyên nhân chi tiết.</t>
      </text>
    </comment>
    <comment authorId="0" ref="B5">
      <text>
        <t xml:space="preserve">Cột Tổng là phép cộng số dòng của Lớp 3, 4, 5 và 6. Đây là tổng bản ghi hoàn thành theo từng lớp, không phải số kết quả kinh doanh duy nhất; một nhánh có thể được ghi nhận ở nhiều lớp nếu cả cha và con cùng hoàn thành.</t>
      </text>
    </comment>
    <comment authorId="0" ref="A34">
      <text>
        <t xml:space="preserve">Tồn đọng cao cần phân tích nguyên nhân: kế hoạch, nguồn lực, phụ thuộc hoặc thực hiện.</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Bản in khuyến nghị: khổ A4 ngang, vùng A1:F38, lề hẹp và Fit Sheet on One Page.</t>
      </text>
    </comment>
    <comment authorId="0" ref="C34">
      <text>
        <t xml:space="preserve">Phản ánh khả năng kiểm soát công việc quá hạn. Tồn đọng càng cao thì điểm kiểm soát càng thấp.</t>
      </text>
    </comment>
    <comment authorId="0" ref="B26">
      <text>
        <t xml:space="preserve">Tỷ lệ đúng hạn chung gộp cả công việc một lần và công việc định kỳ/phát sinh đã hoàn thành trong năm.</t>
      </text>
    </comment>
    <comment authorId="0" ref="D26">
      <text>
        <t xml:space="preserve">Số công việc đã ghi Hoàn thành nhưng thiếu ngày hoàn thành thực tế trên toàn bộ dữ liệu nguồn; không giới hạn trong năm báo cáo.</t>
      </text>
    </comment>
    <comment authorId="0" ref="F26">
      <text>
        <t xml:space="preserve">Số lượt định kỳ/phát sinh đang thực hiện trong năm; không bao gồm toàn bộ công việc một lần đang thực hiện.</t>
      </text>
    </comment>
    <comment authorId="0" ref="A18">
      <text>
        <t xml:space="preserve">Tỷ lệ đúng hạn của công việc định kỳ/phát sinh = số lượt đúng hạn chia số lượt hoàn thành trong năm.</t>
      </text>
    </comment>
    <comment authorId="0" ref="B14">
      <text>
        <t xml:space="preserve">Cột Tổng cộng các lượt ghi nhận trong Nhật ký thực hiện theo Lớp 3–Lớp 6; đây là số lượt thực hiện, không nhất thiết là số công việc duy nhất.</t>
      </text>
    </comment>
    <comment authorId="0" ref="A10">
      <text>
        <t xml:space="preserve">Tỷ lệ đúng hạn = số việc đúng hạn chia số việc hoàn thành trong năm. Nếu không có việc hoàn thành, báo cáo hiển thị 0%, không có nghĩa là hiệu suất bằng 0.</t>
      </text>
    </comment>
    <comment authorId="0" ref="B43">
      <text>
        <t xml:space="preserve">Không có hoặc không đủ việc được giao không đồng nghĩa với hiệu suất cao; trường hợp này cần được ghi nhận là chưa đủ dữ liệu đánh giá.</t>
      </text>
    </comment>
    <comment authorId="0" ref="A6">
      <text>
        <t xml:space="preserve">Chỉ đếm công việc có trạng thái Hoàn thành và ngày hoàn thành thực tế nằm trong năm đánh giá.</t>
      </text>
    </comment>
    <comment authorId="0" ref="B39">
      <text>
        <t xml:space="preserve">Tóm tắt số việc hoàn thành và tỷ lệ đúng hạn trong năm được chọn tại ô B2.</t>
      </text>
    </comment>
    <comment authorId="0" ref="A35">
      <text>
        <t xml:space="preserve">So sánh tải cần dùng cùng một công suất chuẩn và dữ liệu phân bổ đầy đủ.</t>
      </text>
    </comment>
    <comment authorId="0" ref="B2">
      <text>
        <t xml:space="preserve">Năm dùng để lọc dữ liệu báo cáo. Giá trị được lưu dưới dạng ngày 01/01 của năm; có thể thay đổi năm để xem kỳ khác.</t>
      </text>
    </comment>
    <comment authorId="0" ref="C35">
      <text>
        <t xml:space="preserve">Tỷ lệ tải = khối lượng được giao chia cho năng lực trong kỳ. Trên 100% nghĩa là khối lượng vượt năng lực chuẩn.</t>
      </text>
    </comment>
    <comment authorId="0" ref="A31">
      <text>
        <t xml:space="preserve">Hoàn thành theo khối lượng giúp phản ánh quy mô công việc đã xử lý.</t>
      </text>
    </comment>
    <comment authorId="0" ref="B31">
      <text>
        <t xml:space="preserve">Trọng số tham khảo của tiêu chí hoàn thành theo khối lượng trong mô hình đánh giá tổng hợp; không phải điểm hiệu suất đang được tính trực tiếp tại báo cáo này.</t>
      </text>
    </comment>
    <comment authorId="0" ref="C31">
      <text>
        <t xml:space="preserve">So sánh khối lượng thực tế đã hoàn thành với khối lượng đã cam kết. Nên ưu tiên giờ hoặc điểm khối lượng thay vì chỉ đếm số đầu việc.</t>
      </text>
    </comment>
    <comment authorId="0" ref="B27">
      <text>
        <t xml:space="preserve">Tổng giờ thực tế chỉ lấy từ Nhật ký thực hiện. Công việc một lần tại các sheet Lớp không được cộng vào chỉ số này.</t>
      </text>
    </comment>
    <comment authorId="0" ref="D27">
      <text>
        <t xml:space="preserve">Số lượt định kỳ/phát sinh có ngày trong năm nhưng trạng thái Chưa thực hiện.</t>
      </text>
    </comment>
    <comment authorId="0" ref="E27">
      <text>
        <t xml:space="preserve">Kiểm tra mức đầy đủ dữ liệu của cả năm trước khi so sánh hoặc xếp loại.</t>
      </text>
    </comment>
    <comment authorId="0" ref="F27">
      <text>
        <t xml:space="preserve">Nếu hiển thị “Thiếu n ngày”, cần bổ sung ngày hoàn thành thực tế tại các sheet Lớp tương ứng. Khi không còn thiếu, ô sẽ hiển thị “Đủ dữ liệu”.</t>
      </text>
    </comment>
    <comment authorId="0" ref="A19">
      <text>
        <t xml:space="preserve">Tổng số giờ thực tế đã nhập tại Nhật ký thực hiện trong năm. Chỉ phản ánh dữ liệu đã được ghi nhận, không phải giờ ước tính.</t>
      </text>
    </comment>
    <comment authorId="0" ref="A15">
      <text>
        <t xml:space="preserve">Đếm số lượt trong Nhật ký thực hiện có trạng thái Hoàn thành và ngày thực hiện nằm trong năm báo cáo.</t>
      </text>
    </comment>
    <comment authorId="0" ref="A7">
      <text>
        <t xml:space="preserve">Đếm toàn bộ công việc đã ghi trạng thái Hoàn thành nhưng chưa nhập ngày hoàn thành thực tế. Chỉ số này không giới hạn theo năm báo cáo vì chưa có ngày để xác định kỳ.</t>
      </text>
    </comment>
    <comment authorId="0" ref="B40">
      <text>
        <t xml:space="preserve">Số dòng đang có trạng thái quá tải trong dữ liệu nguồn hiện tại. Chỉ số cảnh báo này không lọc theo năm báo cáo, nên dùng để nhìn tình trạng tải đang ghi nhận trên toàn bộ danh mục.</t>
      </text>
    </comment>
    <comment authorId="0" ref="D40">
      <text>
        <t xml:space="preserve">Số dòng đang ở mức Cận tải trong toàn bộ danh mục hiện tại. Chỉ số không lọc theo năm báo cáo.</t>
      </text>
    </comment>
    <comment authorId="0" ref="F40">
      <text>
        <t xml:space="preserve">Số dòng đang có cảnh báo Quá hạn trong toàn bộ danh mục hiện tại. Đây là tồn đọng hiện tại, không phải số việc hoàn thành trễ trong năm.</t>
      </text>
    </comment>
    <comment authorId="0" ref="C36">
      <text>
        <t xml:space="preserve">Kết luận cuối cùng cần đọc đồng thời kết quả và tải. Hiệu suất cao đi kèm quá tải có thể không bền vững.</t>
      </text>
    </comment>
    <comment authorId="0" ref="A32">
      <text>
        <t xml:space="preserve">Đúng hạn theo khối lượng giúp tránh việc các đầu việc nhỏ làm sai lệch tỷ lệ.</t>
      </text>
    </comment>
    <comment authorId="0" ref="C32">
      <text>
        <t xml:space="preserve">Đo phần khối lượng hoàn thành đúng hạn trên tổng khối lượng đã hoàn thành; tránh để công việc nhỏ và lớn có giá trị như nhau.</t>
      </text>
    </comment>
    <comment authorId="0" ref="A20">
      <text>
        <t xml:space="preserve">Đếm các lượt có ngày trong năm nhưng trạng thái vẫn là Đang thực hiện. Không bao gồm toàn bộ công việc một lần đang mở tại các sheet Lớp.</t>
      </text>
    </comment>
    <comment authorId="0" ref="A16">
      <text>
        <t xml:space="preserve">Đếm lượt hoàn thành được Nhật ký thực hiện phân loại là Đúng hạn.</t>
      </text>
    </comment>
    <comment authorId="0" ref="A45">
      <text>
        <t xml:space="preserve">Dòng này là gợi ý thiết lập khi in hoặc xuất PDF; không ảnh hưởng đến số liệu báo cáo.</t>
      </text>
    </comment>
    <comment authorId="0" ref="A8">
      <text>
        <t xml:space="preserve">Đúng hạn khi ngày hoàn thành thực tế không muộn hơn ngày kết thúc dự kiến và ngày hoàn thành nằm trong năm báo cáo.</t>
      </text>
    </comment>
    <comment authorId="0" ref="B41">
      <text>
        <t xml:space="preserve">Khi có cảnh báo, truy về Bản đồ công việc và dữ liệu gốc để xác định nguyên nhân.</t>
      </text>
    </comment>
    <comment authorId="0" ref="A4">
      <text>
        <t xml:space="preserve">Công việc một lần là các công việc được quản lý trực tiếp tại các sheet Lớp 3–Lớp 6. Báo cáo ghi nhận theo ngày hoàn thành thực tế, không theo ngày dự kiến.</t>
      </text>
    </comment>
    <comment authorId="0" ref="A33">
      <text>
        <t xml:space="preserve">Mức tải phản ánh trách nhiệm đã phân bổ, không tự động phản ánh chất lượng hoặc năng suất.</t>
      </text>
    </comment>
    <comment authorId="0" ref="C33">
      <text>
        <t xml:space="preserve">Đánh giá lượng việc được giao so với năng lực. Không được giao đủ việc phải ghi “Chưa đủ dữ liệu”, không xem là hiệu suất cao.</t>
      </text>
    </comment>
    <comment authorId="0" ref="A29">
      <text>
        <t xml:space="preserve">Khung đánh giá dùng để nhìn cân bằng kết quả, đúng hạn, tải và tồn đọng trong dài hạn.</t>
      </text>
    </comment>
    <comment authorId="0" ref="A25">
      <text>
        <t xml:space="preserve">Tổng việc hoàn thành = công việc một lần hoàn thành + lượt công việc định kỳ/phát sinh hoàn thành trong năm.</t>
      </text>
    </comment>
    <comment authorId="0" ref="A21">
      <text>
        <t xml:space="preserve">Đếm các lượt có ngày trong năm và trạng thái Chưa thực hiện trong Nhật ký thực hiện.</t>
      </text>
    </comment>
    <comment authorId="0" ref="A17">
      <text>
        <t xml:space="preserve">Đếm lượt hoàn thành được Nhật ký thực hiện phân loại là Trễ hạn.</t>
      </text>
    </comment>
    <comment authorId="0" ref="A13">
      <text>
        <t xml:space="preserve">Công việc định kỳ/phát sinh được ghi từng lần thực hiện tại sheet Nhật ký thực hiện. Một công việc có thể xuất hiện nhiều dòng nếu phát sinh nhiều lần.</t>
      </text>
    </comment>
    <comment authorId="0" ref="A42">
      <text>
        <t xml:space="preserve">Đọc theo xu hướng cả năm và bối cảnh công việc, không dùng duy nhất tỷ lệ hoàn thành.</t>
      </text>
    </comment>
    <comment authorId="0" ref="A9">
      <text>
        <t xml:space="preserve">Trễ hạn khi ngày hoàn thành thực tế muộn hơn ngày kết thúc dự kiến. Công việc thiếu ngày dự kiến không được phân loại đúng hạn hoặc trễ hạn.</t>
      </text>
    </comment>
    <comment authorId="0" ref="B42">
      <text>
        <t xml:space="preserve">Nguyên tắc sử dụng báo cáo: xem đồng thời đầu ra, tiến độ, khối lượng giao, nguồn lực và các điều kiện phụ thuộc.</t>
      </text>
    </comment>
    <comment authorId="0" ref="A38">
      <text>
        <t xml:space="preserve">Kết luận năm là điểm khởi đầu cho rà soát chiến lược, năng lực và phân bổ nguồn lực năm sau.</t>
      </text>
    </comment>
    <comment authorId="0" ref="B5">
      <text>
        <t xml:space="preserve">Cột Tổng là phép cộng số dòng của Lớp 3, 4, 5 và 6. Đây là tổng bản ghi hoàn thành theo từng lớp, không phải số kết quả kinh doanh duy nhất; một nhánh có thể được ghi nhận ở nhiều lớp nếu cả cha và con cùng hoàn thành.</t>
      </text>
    </comment>
    <comment authorId="0" ref="A34">
      <text>
        <t xml:space="preserve">Kiểm soát tồn đọng phản ánh năng lực đóng việc và xử lý các cam kết quá hạn.</t>
      </text>
    </comment>
  </commentList>
</comments>
</file>

<file path=xl/sharedStrings.xml><?xml version="1.0" encoding="utf-8"?>
<sst xmlns="http://schemas.openxmlformats.org/spreadsheetml/2006/main" count="2438" uniqueCount="773">
  <si>
    <t>HƯỚNG DẪN NHẬP LIỆU NHANH</t>
  </si>
  <si>
    <t>TRUNG TÂM NHẬP LIỆU CÔNG VIỆC</t>
  </si>
  <si>
    <t>CONTROL TOWER CÔNG VIỆC</t>
  </si>
  <si>
    <t>LỚP 1–2 – TỔNG HỢP QUẢN TRỊ CÔNG VIỆC BOC</t>
  </si>
  <si>
    <t>Nguồn nhập duy nhất</t>
  </si>
  <si>
    <t>Trung tâm nhập liệu</t>
  </si>
  <si>
    <t>Một điểm nhìn duy nhất: việc cần can thiệp → tải nguồn lực → nhịp deadline → cây L3–L6. Sheet tự động cập nhật; truy vết từng việc tại cột VỊ TRÍ DỮ LIỆU GỐC.</t>
  </si>
  <si>
    <t>Tự động tổng hợp từ Lớp 3, Lớp 4 và Lớp 5; “Công việc khác”, “Chưa lên lịch” và “Đã lên lịch” không tính vào tiến độ trung bình.</t>
  </si>
  <si>
    <t>Cập nhật</t>
  </si>
  <si>
    <t>CÔNG VIỆC CHÍNH L3</t>
  </si>
  <si>
    <t>DANH MỤC CHI TIẾT L4</t>
  </si>
  <si>
    <t>NGÔN NGỮ BẢN ĐỒ</t>
  </si>
  <si>
    <t>5 QUY TẮC QUAN TRỌNG</t>
  </si>
  <si>
    <t>NHIỆM VỤ CỤ THỂ L5</t>
  </si>
  <si>
    <t>TIẾN ĐỘ TRUNG BÌNH L3</t>
  </si>
  <si>
    <t>Tìm đúng công việc cha trước khi thêm việc con.</t>
  </si>
  <si>
    <t>Điền đủ ô màu vàng; nhập đủ thì màu vàng tự mất.</t>
  </si>
  <si>
    <t>Chỉ nhập % tại công việc con thấp nhất.</t>
  </si>
  <si>
    <t>Việc định kỳ phải có Loại lịch, Chu kỳ và Nhật ký.</t>
  </si>
  <si>
    <t>Không sửa ô công thức; thêm dòng bằng cách sao chép dòng mẫu gần nhất.</t>
  </si>
  <si>
    <t>◆ L3 – Công việc chính</t>
  </si>
  <si>
    <t>TỔNG NÚT CÔNG VIỆC</t>
  </si>
  <si>
    <t>QUAN HỆ CÁC LỚP</t>
  </si>
  <si>
    <t>L3</t>
  </si>
  <si>
    <t>Công việc chính — không cần mã cha.</t>
  </si>
  <si>
    <t>L4</t>
  </si>
  <si>
    <t>Chọn mã cha L3.</t>
  </si>
  <si>
    <t>L5</t>
  </si>
  <si>
    <t>Chọn mã cha L4.</t>
  </si>
  <si>
    <t>L6</t>
  </si>
  <si>
    <t>Chọn mã cha L5; đây thường là lớp nhập tác nghiệp chi tiết.</t>
  </si>
  <si>
    <t>PHẦN TRĂM HOÀN THÀNH</t>
  </si>
  <si>
    <t>Việc con thấp nhất</t>
  </si>
  <si>
    <t>Nhập mức thực tế: 0% chưa làm, 1–99% đang làm, 100% hoàn thành.</t>
  </si>
  <si>
    <t>Công việc cha có con</t>
  </si>
  <si>
    <t>ƯU TIÊN P1</t>
  </si>
  <si>
    <t>Không nhập thủ công; hệ thống lấy trung bình % các công việc con hợp lệ.</t>
  </si>
  <si>
    <t>Lớp 1 – Cấp quản trị</t>
  </si>
  <si>
    <t>Khi hoàn thành</t>
  </si>
  <si>
    <t>Nhập 100%, trạng thái Hoàn thành, ngày thực tế và Link kết quả.</t>
  </si>
  <si>
    <t>Số công việc L3</t>
  </si>
  <si>
    <t>NGUYÊN TẮC NGÀY CHA – CON</t>
  </si>
  <si>
    <t>Số công việc L4</t>
  </si>
  <si>
    <t>Số công việc L5</t>
  </si>
  <si>
    <t>ĐÃ QUÁ HẠN</t>
  </si>
  <si>
    <t>Lớp 2 – Nhóm công việc BOC</t>
  </si>
  <si>
    <t>Việc thường</t>
  </si>
  <si>
    <t>Ngày hiển thị cha giữ kế hoạch gốc; chỉ mở rộng nếu con bắt đầu sớm hơn hoặc kết thúc muộn hơn.</t>
  </si>
  <si>
    <t>Việc phát sinh</t>
  </si>
  <si>
    <t>Nếu có con: ngày cha = ngày bắt đầu sớm nhất và ngày kết thúc muộn nhất từ con; nếu chưa có con: để trống.</t>
  </si>
  <si>
    <t>Không có con</t>
  </si>
  <si>
    <t>Việc thường dùng ngày nhập tại cha; việc phát sinh cấp thấp nhất thì nhập ngày trực tiếp tại chính việc đó.</t>
  </si>
  <si>
    <t>HẠN TRONG 7 NGÀY</t>
  </si>
  <si>
    <t>Cảnh báo</t>
  </si>
  <si>
    <t>Khi con vượt khung kế hoạch gốc, hệ thống cảnh báo nhưng không tự sửa ngày gốc ở Trung tâm nhập liệu.</t>
  </si>
  <si>
    <t>Phân biệt ngày</t>
  </si>
  <si>
    <t>Ngày kế hoạch gốc nằm tại Trung tâm nhập liệu; ngày hiển thị nằm trên các tab L3/L4/L5 và Bản đồ công việc.</t>
  </si>
  <si>
    <t>CÔNG VIỆC ĐỊNH KỲ</t>
  </si>
  <si>
    <t>Loại lịch</t>
  </si>
  <si>
    <t>Chọn Định kỳ.</t>
  </si>
  <si>
    <t>Tiến độ trung bình L3</t>
  </si>
  <si>
    <t>Chu kỳ</t>
  </si>
  <si>
    <t>Chọn nhịp thực hiện phù hợp.</t>
  </si>
  <si>
    <t>Mỗi lần thực hiện</t>
  </si>
  <si>
    <t>Ghi một dòng trong Nhật ký thực hiện tại Trung tâm nhập liệu.</t>
  </si>
  <si>
    <t>Đường link trả kết quả – L1</t>
  </si>
  <si>
    <t>Đường link trả kết quả – L2</t>
  </si>
  <si>
    <t>Cấp công ty</t>
  </si>
  <si>
    <t>NHẬN DIỆN MÀU</t>
  </si>
  <si>
    <t>Vàng</t>
  </si>
  <si>
    <t>Thiếu dữ liệu bắt buộc — cần nhập.</t>
  </si>
  <si>
    <t>Đỏ</t>
  </si>
  <si>
    <t>Tìm cha hoặc cảnh báo cần xử lý.</t>
  </si>
  <si>
    <t>GIỜ CÒN LẠI</t>
  </si>
  <si>
    <t>Xám</t>
  </si>
  <si>
    <t>Thông tin phụ hoặc trường kỹ thuật.</t>
  </si>
  <si>
    <t>├─ L4 – Danh mục</t>
  </si>
  <si>
    <t>├─ L5 – Nhiệm vụ</t>
  </si>
  <si>
    <t>Chiến lược/sống còn</t>
  </si>
  <si>
    <t>TOP 3 VIỆC CẦN CAN THIỆP</t>
  </si>
  <si>
    <t>└─ L6 – Chi tiết cuối</t>
  </si>
  <si>
    <t>Công việc</t>
  </si>
  <si>
    <t>Người thực hiện</t>
  </si>
  <si>
    <t>Ưu tiên</t>
  </si>
  <si>
    <t>Tiến độ</t>
  </si>
  <si>
    <t>Deadline</t>
  </si>
  <si>
    <t>Giờ còn lại</t>
  </si>
  <si>
    <t>Cấp phòng ban</t>
  </si>
  <si>
    <t>Hệ thống/Vận hành</t>
  </si>
  <si>
    <t>Vùng xám/Giao cắt</t>
  </si>
  <si>
    <t>🔴 Quá hạn</t>
  </si>
  <si>
    <t>🟠 Hạn trong 7 ngày</t>
  </si>
  <si>
    <t>Công việc khác</t>
  </si>
  <si>
    <t>TRÌNH TỰ NHẬP:  LỚP 3 → LỚP 4 → LỚP 5</t>
  </si>
  <si>
    <t>🟣 P1 trọng yếu</t>
  </si>
  <si>
    <t>🟢 Theo kế hoạch / Hoàn thành</t>
  </si>
  <si>
    <t>ĐIỂM NHÌN QUẢN TRỊ</t>
  </si>
  <si>
    <t>TẢI NGUỒN LỰC</t>
  </si>
  <si>
    <t>NHỊP DEADLINE</t>
  </si>
  <si>
    <t>HÀNH ĐỘNG QUẢN TRỊ</t>
  </si>
  <si>
    <t>🔴 KHẨN CẤP + P1</t>
  </si>
  <si>
    <t>🟠 KHẨN CẤP</t>
  </si>
  <si>
    <t>Người / Nhóm</t>
  </si>
  <si>
    <t>Số việc</t>
  </si>
  <si>
    <t>Tải phân bổ/ngày</t>
  </si>
  <si>
    <t>Khung thời gian</t>
  </si>
  <si>
    <t>Tỷ trọng</t>
  </si>
  <si>
    <t>Chỉ tiêu</t>
  </si>
  <si>
    <t>Giá trị</t>
  </si>
  <si>
    <t>Số công việc</t>
  </si>
  <si>
    <t>Thiếu người thực hiện</t>
  </si>
  <si>
    <t>🟠 0–7 ngày</t>
  </si>
  <si>
    <t>LỚP 3 – CÔNG VIỆC CHÍNH</t>
  </si>
  <si>
    <t>Thiếu tên công việc</t>
  </si>
  <si>
    <t>KHUNG QUẢN TRỊ CHƯƠNG TRÌNH</t>
  </si>
  <si>
    <t>🟡 8–30 ngày</t>
  </si>
  <si>
    <t>HỆ THỐNG KPI LỚP 3</t>
  </si>
  <si>
    <t>Tổng</t>
  </si>
  <si>
    <t>Công ty</t>
  </si>
  <si>
    <t>R&amp;D</t>
  </si>
  <si>
    <t>MKT</t>
  </si>
  <si>
    <t>KH &amp; Cung ứng</t>
  </si>
  <si>
    <t>Dữ liệu điều hành</t>
  </si>
  <si>
    <t>Kinh doanh quốc tế</t>
  </si>
  <si>
    <t>Cảnh báo quá tải</t>
  </si>
  <si>
    <t>🟣 TRỌNG YẾU CHƯA GẤP</t>
  </si>
  <si>
    <t>🟢 THEO KẾ HOẠCH / HOÀN THÀNH</t>
  </si>
  <si>
    <t>Tổng số công việc L3</t>
  </si>
  <si>
    <t>🔵 Trên 30 ngày</t>
  </si>
  <si>
    <t>Tiến độ đang ở 0%</t>
  </si>
  <si>
    <t>⚪ Chưa có hạn</t>
  </si>
  <si>
    <t>L6 thiếu mã / liên kết</t>
  </si>
  <si>
    <t>LỚP 4 – DANH MỤC CÔNG VIỆC CHI TIẾT</t>
  </si>
  <si>
    <t>✅ Hoàn thành</t>
  </si>
  <si>
    <t>Tỷ lệ công việc hoàn thành</t>
  </si>
  <si>
    <t>HỆ THỐNG KPI LỚP 4</t>
  </si>
  <si>
    <t>* Công việc chưa có deadline được tách riêng trong khối Sức khỏe dữ liệu để tránh hiểu sai mức độ cấp bách.</t>
  </si>
  <si>
    <t>Xếp hạng theo tổng tải phân bổ giờ/ngày; dùng để cân bằng nguồn lực.</t>
  </si>
  <si>
    <t>Mức cảnh báo chung</t>
  </si>
  <si>
    <t>CÂY PHÂN RÃ CÔNG VIỆC L3–L6  •  Mã phân cấp nằm trong tên để nhận biết quan hệ cha–con</t>
  </si>
  <si>
    <t>Tổng số công việc L4</t>
  </si>
  <si>
    <t>Công việc ưu tiên P1</t>
  </si>
  <si>
    <t>Công việc ưu tiên P2</t>
  </si>
  <si>
    <t>Tiến độ trung bình</t>
  </si>
  <si>
    <t>Công việc quá hạn</t>
  </si>
  <si>
    <t>Lệch trạng thái / thời gian</t>
  </si>
  <si>
    <t>CÂY PHÂN RÃ CÔNG VIỆC</t>
  </si>
  <si>
    <t>CHỦ TRÌ</t>
  </si>
  <si>
    <t>ĐƠN VỊ</t>
  </si>
  <si>
    <t>ƯU TIÊN</t>
  </si>
  <si>
    <t>TRẠNG THÁI</t>
  </si>
  <si>
    <t>TIẾN ĐỘ</t>
  </si>
  <si>
    <t>DEADLINE</t>
  </si>
  <si>
    <t>CÒN NGÀY</t>
  </si>
  <si>
    <t>GIỜ CÒN</t>
  </si>
  <si>
    <t>CẢNH BÁO</t>
  </si>
  <si>
    <t>HÀNH ĐỘNG / KIỂM SOÁT</t>
  </si>
  <si>
    <t>🔒 CHỈ XEM — MỌI DỮ LIỆU PHẢI NHẬP TẠI “TRUNG TÂM NHẬP LIỆU”</t>
  </si>
  <si>
    <t>VỊ TRÍ DỮ LIỆU GỐC</t>
  </si>
  <si>
    <t>TẢI QUY ĐỔI/NGÀY</t>
  </si>
  <si>
    <t>ĐÁNH GIÁ PHÂN BỔ</t>
  </si>
  <si>
    <t>CHỈ XEM — nhập/chỉnh sửa tại sheet Trung tâm nhập liệu.</t>
  </si>
  <si>
    <t>BẢNG MASTER — TRUNG TÂM NHẬP LIỆU</t>
  </si>
  <si>
    <t>STT</t>
  </si>
  <si>
    <t>Mã công việc</t>
  </si>
  <si>
    <t>Cấp</t>
  </si>
  <si>
    <t>Mã cha</t>
  </si>
  <si>
    <t>Năm</t>
  </si>
  <si>
    <t>Tên công việc</t>
  </si>
  <si>
    <t>Kết quả đầu ra</t>
  </si>
  <si>
    <t>Giá trị mang lại</t>
  </si>
  <si>
    <t>Đơn vị phụ trách</t>
  </si>
  <si>
    <t>Người Lead</t>
  </si>
  <si>
    <t>Trạng thái</t>
  </si>
  <si>
    <t>Tên công việc L3</t>
  </si>
  <si>
    <t>Mức độ ưu tiên</t>
  </si>
  <si>
    <t>TRA CỨU CÔNG VIỆC CHA L3</t>
  </si>
  <si>
    <t>Phần trăm hoàn thành</t>
  </si>
  <si>
    <t>Ngày làm việc còn lại</t>
  </si>
  <si>
    <t>Ngày kết thúc</t>
  </si>
  <si>
    <t>Ngày bắt đầu</t>
  </si>
  <si>
    <t>Ngày rà soát</t>
  </si>
  <si>
    <t>Khối lượng nhập (giờ, mã thấp nhất)</t>
  </si>
  <si>
    <t>Khối lượng quản trị (giờ)</t>
  </si>
  <si>
    <t>Đơn vị phân bổ</t>
  </si>
  <si>
    <t>Phân bổ (giờ/kỳ)</t>
  </si>
  <si>
    <t>Ngày HT thực tế</t>
  </si>
  <si>
    <t>Công việc có chứa lớp con hay không</t>
  </si>
  <si>
    <t>Link kết quả</t>
  </si>
  <si>
    <t>Có mã con?</t>
  </si>
  <si>
    <t>Mã L3</t>
  </si>
  <si>
    <t>Nhập tên công việc cha</t>
  </si>
  <si>
    <t>LỚP 3 — CÔNG VIỆC CHÍNH (L3)</t>
  </si>
  <si>
    <t>KHKD</t>
  </si>
  <si>
    <t>Tên công việc L3 2</t>
  </si>
  <si>
    <t>Mức độ ưu tiên 2</t>
  </si>
  <si>
    <t>Phần trăm hoàn thành 2</t>
  </si>
  <si>
    <t>Ngày làm việc còn lại 2</t>
  </si>
  <si>
    <t>Ngày kết thúc 2</t>
  </si>
  <si>
    <t>Ngày bắt đầu 2</t>
  </si>
  <si>
    <t>Công việc có chứa lớp con hay không 2</t>
  </si>
  <si>
    <t>Tên công việc tìm thấy</t>
  </si>
  <si>
    <t>Mức độ ưu tiên 3</t>
  </si>
  <si>
    <t>Ngày bắt đầu 3</t>
  </si>
  <si>
    <t>Ngày kết thúc 3</t>
  </si>
  <si>
    <t>Số ngày làm việc</t>
  </si>
  <si>
    <t>Phần trăm hoàn thành 3</t>
  </si>
  <si>
    <t>Ngày làm việc còn lại 3</t>
  </si>
  <si>
    <t>Cấp đầu tiên — nhập công việc tại các dòng bên dưới; không cần mã cha.</t>
  </si>
  <si>
    <t>Mã cha — nhập vào cột J</t>
  </si>
  <si>
    <t>Khối lượng ước tính (giờ)</t>
  </si>
  <si>
    <t>Tải quy đổi (giờ/ngày)</t>
  </si>
  <si>
    <t>Kiểm tra thời gian</t>
  </si>
  <si>
    <t>Trạng thái tải công việc</t>
  </si>
  <si>
    <t>Ngày hoàn thành thực tế</t>
  </si>
  <si>
    <t>Kỳ hoàn thành</t>
  </si>
  <si>
    <t>SortKey</t>
  </si>
  <si>
    <t>TreeNode</t>
  </si>
  <si>
    <t>Level</t>
  </si>
  <si>
    <t>Liên kết hệ thống</t>
  </si>
  <si>
    <t>ID</t>
  </si>
  <si>
    <t>ParentID</t>
  </si>
  <si>
    <t>Owner</t>
  </si>
  <si>
    <t>Unit</t>
  </si>
  <si>
    <t>Priority</t>
  </si>
  <si>
    <t>Status</t>
  </si>
  <si>
    <t>Progress</t>
  </si>
  <si>
    <t>DaysLeft</t>
  </si>
  <si>
    <t>Hours</t>
  </si>
  <si>
    <t>HoursRemain</t>
  </si>
  <si>
    <t>Warning</t>
  </si>
  <si>
    <t>Control</t>
  </si>
  <si>
    <t>OwnerList</t>
  </si>
  <si>
    <t>HHL3CT01</t>
  </si>
  <si>
    <t>TaskCount</t>
  </si>
  <si>
    <t>STT phân cấp</t>
  </si>
  <si>
    <t>Giờ/kỳ cần để kịp hạn</t>
  </si>
  <si>
    <t>Xây dựng bộ chiến lược công ty tầm nhìn 2030</t>
  </si>
  <si>
    <t>Được TGĐ phê duyệt</t>
  </si>
  <si>
    <t>DailyLoadEquivalent</t>
  </si>
  <si>
    <t>AllocationCheck</t>
  </si>
  <si>
    <t>Đánh giá phân bổ</t>
  </si>
  <si>
    <t>GĐ BOC</t>
  </si>
  <si>
    <t>Đã lên lịch</t>
  </si>
  <si>
    <t>P1</t>
  </si>
  <si>
    <t>Kiểm tra dữ liệu công việc (OK = hợp lệ)</t>
  </si>
  <si>
    <t>Đường link trả kết quả</t>
  </si>
  <si>
    <t>Tên công việc L4</t>
  </si>
  <si>
    <t>Có thời hạn</t>
  </si>
  <si>
    <t>Mã L4</t>
  </si>
  <si>
    <t>Tuần</t>
  </si>
  <si>
    <t>Tên công việc L4 2</t>
  </si>
  <si>
    <t>HHL3CT02</t>
  </si>
  <si>
    <t>Xây dựng bộ VHDN</t>
  </si>
  <si>
    <t>P2</t>
  </si>
  <si>
    <t>HHL3CT03</t>
  </si>
  <si>
    <t>KHKD 2027&amp; HT lập KH theo tham số KD (bán tự động)</t>
  </si>
  <si>
    <t>Được TĐ phê duyệt</t>
  </si>
  <si>
    <t>Em Đại</t>
  </si>
  <si>
    <t>Đang thực hiện</t>
  </si>
  <si>
    <t>HHL3RD01</t>
  </si>
  <si>
    <t>KH sản phẩm 2027-2030</t>
  </si>
  <si>
    <t>Ms Trang</t>
  </si>
  <si>
    <t>HHL3RD02</t>
  </si>
  <si>
    <t>Danh mục SP OEM đề xuất</t>
  </si>
  <si>
    <t>HHL3RD04</t>
  </si>
  <si>
    <t>Xây dựng master file &amp; xác định điểm A</t>
  </si>
  <si>
    <t>Nhìn được hiện trạng trên BI</t>
  </si>
  <si>
    <t>HHL3RD05</t>
  </si>
  <si>
    <t>Sự vụ quan trọng phát sinh (Vùng xám)</t>
  </si>
  <si>
    <t>BC theo CV phát sinh</t>
  </si>
  <si>
    <t>HHL3RD06</t>
  </si>
  <si>
    <t>XD quy chế đào tạo &amp; Chiến lược đào tạo SP</t>
  </si>
  <si>
    <t>Hoàn thiện quy chế và khung đào tạo sản phẩm áp dụng thống nhất trong R&amp;D</t>
  </si>
  <si>
    <t>HHL3RD07</t>
  </si>
  <si>
    <t>XD cấu trúc, khoảng trống NL và kiện toàn bộ máy NS R&amp;D</t>
  </si>
  <si>
    <t>Xác định mô hình tổ chức, khoảng trống năng lực và phương án kiện toàn nhân sự R&amp;D</t>
  </si>
  <si>
    <t>HHL3RD08</t>
  </si>
  <si>
    <t>Hoạt động nghiên cứu cơ bản &amp; CĐS ngành VPP</t>
  </si>
  <si>
    <t>Hình thành nền tảng nghiên cứu và lộ trình chuyển đổi số cho ngành VPP</t>
  </si>
  <si>
    <t>HHL3RD09</t>
  </si>
  <si>
    <t>XD phương án Market Research &amp; Cơ chế thu thập thông tin TT</t>
  </si>
  <si>
    <t>Thiết lập phương án nghiên cứu thị trường và cơ chế thu thập, cập nhật thông tin định kỳ</t>
  </si>
  <si>
    <t>HHL3RD10</t>
  </si>
  <si>
    <t>Việc phát sinh khác chưa có phân loại</t>
  </si>
  <si>
    <t>Dùng để kiểm soát các CV chi tiết hàng ngày</t>
  </si>
  <si>
    <t>P3</t>
  </si>
  <si>
    <t>HHL3RD11</t>
  </si>
  <si>
    <t>Xác định &amp; thông qua Xu hướng TK mới 2027</t>
  </si>
  <si>
    <t>Xác định và thống nhất định hướng xu hướng thiết kế mới cho năm 2027</t>
  </si>
  <si>
    <t>HHL3RD12</t>
  </si>
  <si>
    <t>Xây dựng quy trình và hệ thống quản trị sản phẩm theo phân loại</t>
  </si>
  <si>
    <t>Chuẩn hóa cơ chế quản trị vòng đời, danh mục, chất lượng và thông tin sản phẩm</t>
  </si>
  <si>
    <t>HHL3DL02</t>
  </si>
  <si>
    <t>Số hoá DL quản trị all BOC &amp; all PB</t>
  </si>
  <si>
    <t>Số hóa dữ liệu quản trị, bảo đảm dữ liệu tập trung và khai thác thống nhất toàn BOC, phòng ban</t>
  </si>
  <si>
    <t>Chưa bắt đầu</t>
  </si>
  <si>
    <t>Chưa xếp lịch</t>
  </si>
  <si>
    <t>HHL3DL03</t>
  </si>
  <si>
    <t xml:space="preserve">XDHT ngưỡng điều tiết &amp; cung ứng hàng hoá </t>
  </si>
  <si>
    <t>Thiết lập hệ thống ngưỡng cảnh báo và điều tiết cung ứng hàng hóa</t>
  </si>
  <si>
    <t>HHL3DL05</t>
  </si>
  <si>
    <t>Phát triển HT BC tự động định kỳ</t>
  </si>
  <si>
    <t>Xây dựng hệ thống báo cáo định kỳ tự động, giảm thao tác tổng hợp thủ công</t>
  </si>
  <si>
    <t>HHL3DL06</t>
  </si>
  <si>
    <t>XDHT quản lý NCC</t>
  </si>
  <si>
    <t>Thiết lập hệ thống quản lý thông tin, đánh giá và theo dõi nhà cung cấp</t>
  </si>
  <si>
    <t>HHL3DL07</t>
  </si>
  <si>
    <t xml:space="preserve">Truy xuất &amp; xử lý DL phát sinh theo yêu cầu </t>
  </si>
  <si>
    <t>Đáp ứng kịp thời các yêu cầu truy xuất, xử lý và đối soát dữ liệu phát sinh</t>
  </si>
  <si>
    <t>HHL3DL08</t>
  </si>
  <si>
    <t>XDHT xếp hàng lên container phục vụ XK</t>
  </si>
  <si>
    <t>Triển khai các công việc chuyển đổi số và vận hành hệ thống ngoài danh mục chính</t>
  </si>
  <si>
    <t>HHL3DL09</t>
  </si>
  <si>
    <t>Các CV hỗ trợ khác (cho LĐ &amp; PB khác)</t>
  </si>
  <si>
    <t>Hỗ trợ lãnh đạo và các phòng ban về dữ liệu, báo cáo và công cụ quản trị</t>
  </si>
  <si>
    <t>HHL3DL10</t>
  </si>
  <si>
    <t>Xây dựng hệ thống kiểm soát chiết khấu</t>
  </si>
  <si>
    <t>HHL3DL11</t>
  </si>
  <si>
    <t>Xây dựng hệ thống tính giá &amp; Báo giá xuất khẩu</t>
  </si>
  <si>
    <t>HHL3DL12</t>
  </si>
  <si>
    <t>CĐS &amp; AI các hoạt động của BOC</t>
  </si>
  <si>
    <t>Chưa lên lịch</t>
  </si>
  <si>
    <t>HHL3XK01</t>
  </si>
  <si>
    <t xml:space="preserve">XD &amp; vận hành HT CRM XK </t>
  </si>
  <si>
    <t>Không</t>
  </si>
  <si>
    <t>HHL3XK02</t>
  </si>
  <si>
    <t>XD khung tự quyết định giá cho phòng XK</t>
  </si>
  <si>
    <t>HHL3XK03</t>
  </si>
  <si>
    <t xml:space="preserve">XD khung tự quyết định giá và HT của hàng SX XK </t>
  </si>
  <si>
    <t>HHL3XK04</t>
  </si>
  <si>
    <t xml:space="preserve">XD phương án khai thác Lead </t>
  </si>
  <si>
    <t>HHL3XK05</t>
  </si>
  <si>
    <t>Sự vụ vùng xám phát sinh (XK)</t>
  </si>
  <si>
    <t>Có</t>
  </si>
  <si>
    <t>HHL3MKT01</t>
  </si>
  <si>
    <t>Lập KH MKT 2027 &amp; tầm nhìn 2030</t>
  </si>
  <si>
    <t>không</t>
  </si>
  <si>
    <t>HHL3MKT02</t>
  </si>
  <si>
    <t>XDHT quản trị hoạt động trade &amp; # (BI)</t>
  </si>
  <si>
    <t>HHL3MKT03</t>
  </si>
  <si>
    <t>XDHT quản trị ngân sách MKT (BI)</t>
  </si>
  <si>
    <t>HHL3MKT04</t>
  </si>
  <si>
    <t>Trình phương án hội nghị khách hàng, NPP toàn quốc 2026</t>
  </si>
  <si>
    <t>HHL3KH&amp;CƯ01</t>
  </si>
  <si>
    <t xml:space="preserve">XDHT tính giá </t>
  </si>
  <si>
    <t>P4</t>
  </si>
  <si>
    <t>HHL3KH&amp;CƯ02</t>
  </si>
  <si>
    <t>Số hóa hoạt động KH vật tư</t>
  </si>
  <si>
    <t>HHL3KH&amp;CƯ03</t>
  </si>
  <si>
    <t>XDHT quản trị NCC</t>
  </si>
  <si>
    <t>HHL3KH&amp;CƯ04</t>
  </si>
  <si>
    <t xml:space="preserve">XĐ ngưỡng TK &amp; cảnh báo mua hàng </t>
  </si>
  <si>
    <t>HHL3KH&amp;CƯ05</t>
  </si>
  <si>
    <t xml:space="preserve">XDHT điều tiết kho vận </t>
  </si>
  <si>
    <t>LỚP 4 — DANH MỤC (L4)</t>
  </si>
  <si>
    <t>🔎 TÌM CHA L3</t>
  </si>
  <si>
    <t>xây dựng</t>
  </si>
  <si>
    <t>HHL4DL01</t>
  </si>
  <si>
    <t>Xác nhận công thức &amp; tạo HT tham số cho KH GT</t>
  </si>
  <si>
    <t>Công thức và hệ thống tham số kế hoạch GT được xác nhận và phê duyệt</t>
  </si>
  <si>
    <t>HHL4DL02</t>
  </si>
  <si>
    <t>Xây dựng công thức &amp; tạo HT tham số cho KH MT</t>
  </si>
  <si>
    <t>Công thức và hệ thống tham số kế hoạch MT được phê duyệt, vận hành.</t>
  </si>
  <si>
    <t>HHL4DL03</t>
  </si>
  <si>
    <t>Xây dựng công thức &amp; tạo HT tham số cho KH B2B</t>
  </si>
  <si>
    <t>Công thức và hệ thống tham số kế hoạch B2B được phê duyệt, vận hành.</t>
  </si>
  <si>
    <t>HHL4DL04</t>
  </si>
  <si>
    <t>Xây dựng công thức &amp; tạo HT tham số cho KH Online</t>
  </si>
  <si>
    <t>Công thức và hệ thống tham số kế hoạch Online được phê duyệt, vận hành.</t>
  </si>
  <si>
    <t>HHL4DL05</t>
  </si>
  <si>
    <t>Xây dựng công thức &amp; tạo HT tham số cho KH XK</t>
  </si>
  <si>
    <t>Công thức và hệ thống tham số kế hoạch xuất khẩu được phê duyệt, vận hành.</t>
  </si>
  <si>
    <t>HHL4DL06</t>
  </si>
  <si>
    <t>Xây dựng công thức &amp; tạo HT tham số cho KH Showroom</t>
  </si>
  <si>
    <t>Công thức và hệ thống tham số kế hoạch Showroom được phê duyệt, vận hành.</t>
  </si>
  <si>
    <t>HHL4DL07</t>
  </si>
  <si>
    <t>Xây dựng phần mềm &amp; Chạy Topdown thử nghiệm</t>
  </si>
  <si>
    <t>Kết quả chạy topdown doanh thu kế hoạch toàn công ty</t>
  </si>
  <si>
    <t>HHL4RD08</t>
  </si>
  <si>
    <t>Chuẩn hóa Guideline thiết kế SP &amp; bao bì</t>
  </si>
  <si>
    <t>Bộ guideline thiết kế sản phẩm và bao bì được ban hành.</t>
  </si>
  <si>
    <t>HHL4RD09</t>
  </si>
  <si>
    <t>XD phương án Quản trị đặt hàng OEM</t>
  </si>
  <si>
    <t>Phương án quản trị đặt hàng OEM được phê duyệt và áp dụng.</t>
  </si>
  <si>
    <t>HHL4RD10</t>
  </si>
  <si>
    <t>Phương án quản trị chất lược sản phẩm</t>
  </si>
  <si>
    <t>Phương án quản trị chất lượng sản phẩm được phê duyệt.</t>
  </si>
  <si>
    <t>HHL4RD11</t>
  </si>
  <si>
    <t>Thành lập ban CLSP &amp; cơ chế vận hành</t>
  </si>
  <si>
    <t>Ban CLSP được thành lập, có quy chế và cơ chế vận hành.</t>
  </si>
  <si>
    <t>HHL4RD12</t>
  </si>
  <si>
    <t>Quy hoạch thông tin SP &amp; truy xuất thông tin</t>
  </si>
  <si>
    <t>Hệ thống thông tin sản phẩm và cơ chế truy xuất được chuẩn hóa.</t>
  </si>
  <si>
    <t>HHL4RD13</t>
  </si>
  <si>
    <t>XD Tool quét xu hướng &amp; thị trường</t>
  </si>
  <si>
    <t>Tool quét xu hướng và thị trường vận hành, có dữ liệu đầu ra kiểm chứng.</t>
  </si>
  <si>
    <t>HHL4RD14</t>
  </si>
  <si>
    <t>XĐ căn cứ &amp; QH nhân quả giữa NC với QT&amp;PTSP hàng năm</t>
  </si>
  <si>
    <t>Báo cáo xác định căn cứ và quan hệ nhân quả phục vụ quản trị, phát triển sản phẩm.</t>
  </si>
  <si>
    <t>HHL4RD15</t>
  </si>
  <si>
    <t>Phân tích bộ câu hỏi KS Insight 2024, 2025</t>
  </si>
  <si>
    <t>Báo cáo phân tích bộ câu hỏi Customer Insight 2024–2025 và khuyến nghị cải tiến.</t>
  </si>
  <si>
    <t>HHL4RD16</t>
  </si>
  <si>
    <t>Final BCCL xét từ hai yếu tố bên trong &amp; bên ngoài</t>
  </si>
  <si>
    <t>Báo cáo chiến lược sản phẩm tổng hợp yếu tố bên trong và bên ngoài được phê duyệt.</t>
  </si>
  <si>
    <t>HHL4RD17</t>
  </si>
  <si>
    <t>Tổng hợp TT SP OEM theo NCC (đầy đủ trường dữ liệu)</t>
  </si>
  <si>
    <t>Cơ sở dữ liệu sản phẩm OEM theo nhà cung cấp đầy đủ trường dữ liệu.</t>
  </si>
  <si>
    <t>HHL4RD18</t>
  </si>
  <si>
    <t>Chốt kế hoạch KSTT &amp; KH</t>
  </si>
  <si>
    <t>Kế hoạch khảo sát thị trường và kế hoạch triển khai được chốt.</t>
  </si>
  <si>
    <t>HHL4RD19</t>
  </si>
  <si>
    <t>TH &amp; BC đánh giá hiệu quả của SP OEM từ 2022 đến nay</t>
  </si>
  <si>
    <t>Báo cáo đánh giá hiệu quả sản phẩm OEM từ 2022 đến nay.</t>
  </si>
  <si>
    <t>HHL4RD20</t>
  </si>
  <si>
    <t>Đánh giá QHSP 2026, các vđ cần khắc phục</t>
  </si>
  <si>
    <t>Báo cáo đánh giá quy hoạch sản phẩm 2026 và danh mục vấn đề cần khắc phục.</t>
  </si>
  <si>
    <t>HHL4RD21</t>
  </si>
  <si>
    <t>Đào tạo nội bộ cútomer Insight phục vụ NC &amp; PTSP</t>
  </si>
  <si>
    <t>Hoàn thành đào tạo nội bộ Customer Insight, có tài liệu và đánh giá sau đào tạo.</t>
  </si>
  <si>
    <t>HHL4RD22</t>
  </si>
  <si>
    <t>Xây dựng Bộ quy tắc &amp; ngưỡng điều tiết cung ứng hàng hóa</t>
  </si>
  <si>
    <t>Bộ quy tắc và ngưỡng điều tiết cung ứng được phê duyệt, sẵn sàng áp dụng.</t>
  </si>
  <si>
    <t>HHL4RD23</t>
  </si>
  <si>
    <t>Số hoá BC theo dõi SP hàng bán theo kênh</t>
  </si>
  <si>
    <t>Báo cáo số hóa theo dõi sản phẩm hàng bán theo kênh vận hành ổn định.</t>
  </si>
  <si>
    <t>HHL4RD24</t>
  </si>
  <si>
    <t>Tổ chức hệ thống Soursing hàng OEM có CO trong nước</t>
  </si>
  <si>
    <t>Hệ thống sourcing hàng OEM có CO trong nước được thiết lập và vận hành.</t>
  </si>
  <si>
    <t>HHL4DL08</t>
  </si>
  <si>
    <t xml:space="preserve">XD phần mềm tính contenr hàng hoá xuất khẩu </t>
  </si>
  <si>
    <t>Phần mềm tính container hàng xuất khẩu chạy đúng, có kiểm thử và hướng dẫn.</t>
  </si>
  <si>
    <t>HHL4DL09</t>
  </si>
  <si>
    <t xml:space="preserve">Hỗ trợ phòng KT  ( ct, tính lương, ....) </t>
  </si>
  <si>
    <t>Yêu cầu hỗ trợ phòng Kế toán được xử lý, đối soát và xác nhận.</t>
  </si>
  <si>
    <t>HHL4DL10</t>
  </si>
  <si>
    <t xml:space="preserve">Đối chiếu truy xuất DL DMS với anh Mạnh </t>
  </si>
  <si>
    <t>Dữ liệu DMS được đối chiếu, truy xuất và xác nhận chênh lệch.</t>
  </si>
  <si>
    <t>HHL4DL11</t>
  </si>
  <si>
    <t xml:space="preserve">XDHT cảnh báo </t>
  </si>
  <si>
    <t>Hệ thống cảnh báo vận hành đúng ngưỡng, có kiểm thử và bàn giao.</t>
  </si>
  <si>
    <t>HHL4DL14</t>
  </si>
  <si>
    <t>Xây dựng hệ thống quản lý nhà cung cấp</t>
  </si>
  <si>
    <t>Hệ thống quản lý nhà cung cấp có dữ liệu, tiêu chí đánh giá và cảnh báo.</t>
  </si>
  <si>
    <t>HHL4DL15</t>
  </si>
  <si>
    <t xml:space="preserve">BC về NLSX &amp; cung ứng hàng hoá </t>
  </si>
  <si>
    <t>Báo cáo năng lực sản xuất và cung ứng hàng hóa được chuẩn hóa, cập nhật.</t>
  </si>
  <si>
    <t>HHL4DL16</t>
  </si>
  <si>
    <t>Dự án CĐS SP hiện hữu &amp; bao bì SP(QRvalueADDon)</t>
  </si>
  <si>
    <t>HHL4DL17</t>
  </si>
  <si>
    <t>HHL4RD25</t>
  </si>
  <si>
    <t xml:space="preserve">Khảo sát báo cáo về nhu cầu khách hàng </t>
  </si>
  <si>
    <t>HHL4RD26</t>
  </si>
  <si>
    <t>Cắt lớp nội tại hiện tại SP HHa</t>
  </si>
  <si>
    <t>HHL4RD27</t>
  </si>
  <si>
    <t>Báo cáo đánh giá NCC SP OEM</t>
  </si>
  <si>
    <t>HHL4RD28</t>
  </si>
  <si>
    <t xml:space="preserve">Khảo sát phân tích đối thủ </t>
  </si>
  <si>
    <t>HHL4RD29</t>
  </si>
  <si>
    <t xml:space="preserve">Phân tích xu hướng </t>
  </si>
  <si>
    <t>HHL4RD30</t>
  </si>
  <si>
    <t>Báo cáo phân tích yếu tố vĩ mô (PEST)</t>
  </si>
  <si>
    <t>LỚP 5 — PHÂN CÔNG (L5)</t>
  </si>
  <si>
    <t>🔎 TÌM CHA L4</t>
  </si>
  <si>
    <t>HHL5DL01-01</t>
  </si>
  <si>
    <t>Liệt kê &amp; giải quyết vấn đề còn tồn tại công thức 2025 (CK/TK/phân biệt NPP) GT</t>
  </si>
  <si>
    <t xml:space="preserve"> Công thức được TGĐ duyết </t>
  </si>
  <si>
    <t>HHL5DL01-02</t>
  </si>
  <si>
    <t>Chốt lại đề bài với GĐ BOC &amp; GT</t>
  </si>
  <si>
    <t xml:space="preserve">Biên bản đề bài Word </t>
  </si>
  <si>
    <t>HHL5DL01-03</t>
  </si>
  <si>
    <t>XD bảng Excel &amp; HT phần mềm (chạy demo) &amp;GT</t>
  </si>
  <si>
    <t xml:space="preserve">File Excel HT theo dãy tham số </t>
  </si>
  <si>
    <t>HHL5DL01-04</t>
  </si>
  <si>
    <t>Chạy tham số Topdown GT</t>
  </si>
  <si>
    <t>Kết qủa chạy top-down</t>
  </si>
  <si>
    <t>HHL5DL01-05</t>
  </si>
  <si>
    <t>Chạy tham số Bottom-up theo khu vực vùng miền GT</t>
  </si>
  <si>
    <t xml:space="preserve">Bộ kết quả Bottom-up vòng 1 </t>
  </si>
  <si>
    <t>HHL5DL02-01</t>
  </si>
  <si>
    <t>XD &amp; phản biện công thức (nội bộ) MT</t>
  </si>
  <si>
    <t xml:space="preserve">Bộ công thức kế hoạch MT </t>
  </si>
  <si>
    <t>HHL5DL02-02</t>
  </si>
  <si>
    <t>Phản biện với TGĐ &amp; liên PB MT</t>
  </si>
  <si>
    <t>Biên bản phản biện công thức MT và danh mục điều chỉnh được thống nhất.</t>
  </si>
  <si>
    <t>HHL5DL02-03</t>
  </si>
  <si>
    <t>XD bảng Excel &amp; HT phần mềm (chạy demo) MT</t>
  </si>
  <si>
    <t>File Excel và bản demo hệ thống kế hoạch MT vận hành đúng công thức.</t>
  </si>
  <si>
    <t>HHL5DL02-04</t>
  </si>
  <si>
    <t>Chạy tham số Topdown MT</t>
  </si>
  <si>
    <t>Bộ kết quả tham số Top-down kế hoạch MT được kiểm tra và xác nhận.</t>
  </si>
  <si>
    <t>HHL5DL02-05</t>
  </si>
  <si>
    <t>Chạy tham số Bottom-up MT</t>
  </si>
  <si>
    <t>Bộ kết quả Bottom-up kế hoạch MT theo khu vực và khách hàng được xác nhận.</t>
  </si>
  <si>
    <t>HHL5DL03-01</t>
  </si>
  <si>
    <t>XD &amp; phản biện công thức (nội bộ) B2B</t>
  </si>
  <si>
    <t>Bộ công thức kế hoạch B2B được xây dựng, phản biện nội bộ và chốt phiên bản.</t>
  </si>
  <si>
    <t>HHL5DL03-02</t>
  </si>
  <si>
    <t>Phản biện với TGĐ &amp; liên PB B2B</t>
  </si>
  <si>
    <t>Biên bản phản biện công thức B2B và danh mục điều chỉnh được thống nhất.</t>
  </si>
  <si>
    <t>HHL5DL03-03</t>
  </si>
  <si>
    <t>XD bảng Excel &amp; HT phần mềm (chạy demo) B2B</t>
  </si>
  <si>
    <t>File Excel và bản demo hệ thống kế hoạch B2B vận hành đúng công thức.</t>
  </si>
  <si>
    <t>HHL5DL03-04</t>
  </si>
  <si>
    <t>Chạy tham số Topdown B2B</t>
  </si>
  <si>
    <t>Bộ kết quả tham số Top-down kế hoạch B2B được kiểm tra và xác nhận.</t>
  </si>
  <si>
    <t>HHL5DL03-05</t>
  </si>
  <si>
    <t>Chạy tham số Bottom-up theo khu vực vùng miền B2B</t>
  </si>
  <si>
    <t>Bộ kết quả Bottom-up kế hoạch B2B theo khu vực và khách hàng được xác nhận.</t>
  </si>
  <si>
    <t>HHL5DL04-01</t>
  </si>
  <si>
    <t>XD &amp; phản biện công thức (nội bộ) Online</t>
  </si>
  <si>
    <t>Bộ công thức kế hoạch Online được xây dựng, phản biện nội bộ và chốt phiên bản.</t>
  </si>
  <si>
    <t>HHL5DL04-02</t>
  </si>
  <si>
    <t>Phản biện với TGĐ &amp; liên PB Online</t>
  </si>
  <si>
    <t>Biên bản phản biện công thức Online và danh mục điều chỉnh được thống nhất.</t>
  </si>
  <si>
    <t>HHL5DL04-03</t>
  </si>
  <si>
    <t>XD bảng Excel &amp; HT phần mềm (chạy demo) Online</t>
  </si>
  <si>
    <t>File Excel và bản demo hệ thống kế hoạch Online vận hành đúng công thức.</t>
  </si>
  <si>
    <t>HHL5DL04-04</t>
  </si>
  <si>
    <t>Chạy tham số Topdown Online</t>
  </si>
  <si>
    <t>Bộ kết quả tham số Top-down kế hoạch Online được kiểm tra và xác nhận.</t>
  </si>
  <si>
    <t>HHL5DL04-05</t>
  </si>
  <si>
    <t>Chạy tham số Bottom-up theo khu vực vùng miền  Online</t>
  </si>
  <si>
    <t>Bộ kết quả Bottom-up kế hoạch Online theo nền tảng và kênh được xác nhận.</t>
  </si>
  <si>
    <t>HHL5DL05-01</t>
  </si>
  <si>
    <t>XD &amp; phản biện công thức (nội bộ) XK</t>
  </si>
  <si>
    <t>Bộ công thức kế hoạch xuất khẩu được xây dựng, phản biện nội bộ và chốt phiên bản.</t>
  </si>
  <si>
    <t>HHL5DL05-02</t>
  </si>
  <si>
    <t>Phản biện với TGĐ &amp; liên PB XK</t>
  </si>
  <si>
    <t>Biên bản phản biện công thức xuất khẩu và danh mục điều chỉnh được thống nhất.</t>
  </si>
  <si>
    <t>HHL5DL05-03</t>
  </si>
  <si>
    <t>XD bảng Excel &amp; HT phần mềm (chạy demo) XK</t>
  </si>
  <si>
    <t>File Excel và bản demo hệ thống kế hoạch xuất khẩu vận hành đúng công thức.</t>
  </si>
  <si>
    <t>HHL5DL05-04</t>
  </si>
  <si>
    <t>Chạy tham số Topdown XK</t>
  </si>
  <si>
    <t>Bộ kết quả tham số Top-down kế hoạch xuất khẩu được kiểm tra và xác nhận.</t>
  </si>
  <si>
    <t>HHL5DL05-05</t>
  </si>
  <si>
    <t>Chạy tham số Bottom-up theo khu vực vùng miền XK</t>
  </si>
  <si>
    <t>Bộ kết quả Bottom-up kế hoạch xuất khẩu theo quốc gia và thị trường được xác nhận.</t>
  </si>
  <si>
    <t>HHL5DL06-01</t>
  </si>
  <si>
    <t>XD &amp; phản biện công thức (nội bộ) Showroom</t>
  </si>
  <si>
    <t>Bộ công thức kế hoạch Showroom được xây dựng, phản biện nội bộ và chốt phiên bản.</t>
  </si>
  <si>
    <t>HHL5DL06-02</t>
  </si>
  <si>
    <t>Phản biện với TGĐ &amp; liên PB Showroom</t>
  </si>
  <si>
    <t>Biên bản phản biện công thức Showroom và danh mục điều chỉnh được thống nhất.</t>
  </si>
  <si>
    <t>HHL5DL06-03</t>
  </si>
  <si>
    <t>XD bảng Excel &amp; HT phần mềm (chạy demo) Showroom</t>
  </si>
  <si>
    <t>File Excel và bản demo hệ thống kế hoạch Showroom vận hành đúng công thức.</t>
  </si>
  <si>
    <t>HHL5DL06-04</t>
  </si>
  <si>
    <t>Chạy tham số. Topdown Showroom</t>
  </si>
  <si>
    <t>Bộ kết quả tham số Top-down kế hoạch Showroom được kiểm tra và xác nhận.</t>
  </si>
  <si>
    <t>HHL5DL06-05</t>
  </si>
  <si>
    <t>Chạy tham số Bottom-up theo khu vực vùng miền Showroom</t>
  </si>
  <si>
    <t>Bộ kết quả Bottom-up kế hoạch Showroom theo cửa hàng và khu vực được xác nhận.</t>
  </si>
  <si>
    <t>HHL5DL07-01</t>
  </si>
  <si>
    <t>Chốt đề bài DL phần mềm</t>
  </si>
  <si>
    <t>Bộ công thức kế hoạch doanh thu khác được xây dựng, phản biện nội bộ và chốt.</t>
  </si>
  <si>
    <t>HHL5DL07-02</t>
  </si>
  <si>
    <t xml:space="preserve">Chạy thử nghiệm topdown Total bằng phần mềm </t>
  </si>
  <si>
    <t>Biên bản phản biện công thức doanh thu khác và danh mục điều chỉnh được thống nhất.</t>
  </si>
  <si>
    <t>HHL5DL07-03</t>
  </si>
  <si>
    <t>Đào tạo phần mềm</t>
  </si>
  <si>
    <t>File Excel và bản demo hệ thống kế hoạch doanh thu khác vận hành đúng công thức.</t>
  </si>
  <si>
    <t>HHL5DL07-04</t>
  </si>
  <si>
    <t>Chạy thử nghiệm bottom-up Total bằng phần mềm</t>
  </si>
  <si>
    <t>Bộ kết quả tham số Top-down kế hoạch doanh thu khác được kiểm tra và xác nhận.</t>
  </si>
  <si>
    <t>HHL5DL07-05</t>
  </si>
  <si>
    <t>Chốt số KH V1 2027 Total</t>
  </si>
  <si>
    <t>Bộ kết quả Bottom-up kế hoạch doanh thu khác theo từng nguồn được xác nhận.</t>
  </si>
  <si>
    <t>HHL5DL07-06</t>
  </si>
  <si>
    <t>XDHT quản trị công việc của BOC</t>
  </si>
  <si>
    <t>HHL5DL07-07</t>
  </si>
  <si>
    <t>XDHT master app</t>
  </si>
  <si>
    <t>HHL5RD01-01</t>
  </si>
  <si>
    <r>
      <rPr>
        <rFont val="Arial"/>
        <b/>
        <color rgb="FF000000"/>
        <sz val="11.0"/>
      </rPr>
      <t>Báo</t>
    </r>
    <r>
      <rPr>
        <rFont val="Arial"/>
        <b/>
        <color rgb="FFC00000"/>
        <sz val="11.0"/>
      </rPr>
      <t xml:space="preserve"> </t>
    </r>
    <r>
      <rPr>
        <rFont val="Arial"/>
        <b/>
        <color rgb="FF000000"/>
        <sz val="11.0"/>
      </rPr>
      <t xml:space="preserve">cáo phân tích nội tại hiện trạng hàng OEM </t>
    </r>
  </si>
  <si>
    <t>HHL5RD01-02</t>
  </si>
  <si>
    <t>Báo cáo phân tích nội tại hiện trạng hàng HHa SX</t>
  </si>
  <si>
    <t>HHL5RD01-03</t>
  </si>
  <si>
    <t>Báo cáo phân tích NLSX</t>
  </si>
  <si>
    <t>HHL5RD01-04</t>
  </si>
  <si>
    <t>Báo cáo phân tích biên gộp SP HHa &amp; OEM</t>
  </si>
  <si>
    <t>HHL5RD01-05</t>
  </si>
  <si>
    <t>Báo cáo phân tích vòng đời và vòng quay SP</t>
  </si>
  <si>
    <t>LỚP 6 — CHI TIẾT (L6)</t>
  </si>
  <si>
    <t>🔎 TÌM CHA L5</t>
  </si>
  <si>
    <t>HHL5RD05-01</t>
  </si>
  <si>
    <t>Khảo sát thị phần tương đối tại các Vùng thị trường</t>
  </si>
  <si>
    <t>Báo cáo thị phần tương đối của danh mục sản phẩm theo Vùng _ Miền _Cấp cty</t>
  </si>
  <si>
    <t>Team PTSP</t>
  </si>
  <si>
    <t>Phân tích tốc độ tăng trưởng 4 năm của danh mục sản phẩm</t>
  </si>
  <si>
    <t xml:space="preserve">Bảng excel dữ liệu thô + bản phân tích sơ bộ về tốc độ tăng trưởng của danh mục sản phẩm </t>
  </si>
  <si>
    <t>Kiểm tra khả năng đáp ứng của CADS về mở trường thông tin mới phân loại sản phẩm</t>
  </si>
  <si>
    <t>Xác nhận với GĐ B.O.C hệ thống đáp ứng</t>
  </si>
  <si>
    <t>Thu Trang</t>
  </si>
  <si>
    <t>Hoàn thành</t>
  </si>
  <si>
    <t>Báo cáo phân loại sản phẩm + hiển thị thông tin trên CADS</t>
  </si>
  <si>
    <t>Bản ppt báo cáo phân loại sản phẩm theo BCG</t>
  </si>
  <si>
    <t>🔎 TÌM VIỆC L6</t>
  </si>
  <si>
    <t>NHẬT KÝ THỰC HIỆN</t>
  </si>
  <si>
    <t>Dùng để ghi từng lần thực hiện. Chỉ giữ 3 dòng mẫu; khi cần, chèn thêm dòng và sao chép dòng gần nhất để giữ công thức/định dạng.</t>
  </si>
  <si>
    <t>Mã bản ghi</t>
  </si>
  <si>
    <t>Kỳ đánh giá</t>
  </si>
  <si>
    <t>Cấp công việc</t>
  </si>
  <si>
    <t>Người phụ trách</t>
  </si>
  <si>
    <t>Hạn kỳ này</t>
  </si>
  <si>
    <t>Trạng thái kỳ</t>
  </si>
  <si>
    <t>% hoàn thành kỳ</t>
  </si>
  <si>
    <t>Giờ thực tế</t>
  </si>
  <si>
    <t>Đánh giá hạn</t>
  </si>
  <si>
    <t>Ghi chú</t>
  </si>
  <si>
    <t>LỚP 5 – NHIỆM VỤ CỤ THỂ &amp; PHÂN CÔNG</t>
  </si>
  <si>
    <t>HỆ THỐNG KPI LỚP 5</t>
  </si>
  <si>
    <t>Tổng số công việc L5</t>
  </si>
  <si>
    <t>.</t>
  </si>
  <si>
    <t>TRA CỨU CÔNG VIỆC CHA L4</t>
  </si>
  <si>
    <t>Tên công việc L5</t>
  </si>
  <si>
    <t>Mã L5</t>
  </si>
  <si>
    <t>Tên công việc L5 2</t>
  </si>
  <si>
    <t>LỚP 6 – CÔNG VIỆC CHI TIẾT</t>
  </si>
  <si>
    <t>HỆ THỐNG KPI LỚP 6</t>
  </si>
  <si>
    <t>Tổng số công việc L6</t>
  </si>
  <si>
    <t>TRA CỨU CÔNG VIỆC CHA L5</t>
  </si>
  <si>
    <t>Tên công việc L6</t>
  </si>
  <si>
    <t>Mã L6</t>
  </si>
  <si>
    <t>Tên công việc L6 2</t>
  </si>
  <si>
    <t>Đơn vị phối hợp</t>
  </si>
  <si>
    <t>TRA CỨU QUAN HỆ CHA – CON</t>
  </si>
  <si>
    <t>Nhập mã công việc hoặc một phần tên để xem chính công việc, các cấp cha và toàn bộ cấp con liên quan.</t>
  </si>
  <si>
    <t>Mã / từ khóa tìm kiếm</t>
  </si>
  <si>
    <t>công thức</t>
  </si>
  <si>
    <t>Kết quả tự động hiển thị theo cấp: cha ở trên, công việc tìm được và các cấp con ở dưới.</t>
  </si>
  <si>
    <t>Tên / cây công việc</t>
  </si>
  <si>
    <t>Đơn vị</t>
  </si>
  <si>
    <t>Hạn hoàn thành</t>
  </si>
  <si>
    <t>Lớp 1</t>
  </si>
  <si>
    <t>Lớp 2</t>
  </si>
  <si>
    <t>Lớp 3</t>
  </si>
  <si>
    <t>Bỏ qua</t>
  </si>
  <si>
    <t>Ngày</t>
  </si>
  <si>
    <t>Lớp 4</t>
  </si>
  <si>
    <t>Quý</t>
  </si>
  <si>
    <t>Chưa thực hiện</t>
  </si>
  <si>
    <t>Lớp 5</t>
  </si>
  <si>
    <t>Định kỳ</t>
  </si>
  <si>
    <t>Tháng</t>
  </si>
  <si>
    <t>HHL3DL01</t>
  </si>
  <si>
    <t>Lớp 6</t>
  </si>
  <si>
    <t>Khi phát sinh</t>
  </si>
  <si>
    <t>Tạm dừng</t>
  </si>
  <si>
    <t>QC&amp;QA/Định mức VT</t>
  </si>
  <si>
    <t>HHL3DL04</t>
  </si>
  <si>
    <t>Hủy</t>
  </si>
  <si>
    <t>HHL4DL12</t>
  </si>
  <si>
    <t>HHL4DL13</t>
  </si>
  <si>
    <t>HHL3RD03</t>
  </si>
  <si>
    <t>HHL4RD01</t>
  </si>
  <si>
    <t>HHL4RD02</t>
  </si>
  <si>
    <t>HHL4RD03</t>
  </si>
  <si>
    <t>HHL4RD04</t>
  </si>
  <si>
    <t>HHL4RD05</t>
  </si>
  <si>
    <t>HHL4RD06</t>
  </si>
  <si>
    <t>HHL4RD07</t>
  </si>
  <si>
    <t>LỚP TỔNG HỢP – ĐIỂM CUỐI CÔNG VIỆC</t>
  </si>
  <si>
    <t>TỔNG HỢP TẢI HIỆN TẠI THEO NGƯỜI</t>
  </si>
  <si>
    <t>HỆ THỐNG ĐIỂM CUỐI CÔNG VIỆC</t>
  </si>
  <si>
    <t>CHẾ ĐỘ 2 CHIỀU – CẦN VBA VÀ LƯU FILE .XLSM</t>
  </si>
  <si>
    <t>Tổng số điểm cuối</t>
  </si>
  <si>
    <t>Tổng giờ/ngày</t>
  </si>
  <si>
    <t>% công suất</t>
  </si>
  <si>
    <t>Trạng thái tải</t>
  </si>
  <si>
    <t>Giờ tồn quá hạn</t>
  </si>
  <si>
    <t>Điểm cuối Lớp 5</t>
  </si>
  <si>
    <t>Điểm cuối Lớp 4</t>
  </si>
  <si>
    <t>Điểm cuối Lớp 3</t>
  </si>
  <si>
    <t>ĐỊNH DANH</t>
  </si>
  <si>
    <t>PHÂN TẦNG QUẢN TRỊ</t>
  </si>
  <si>
    <t>NỘI DUNG &amp; ĐẦU RA</t>
  </si>
  <si>
    <t>PHÂN CÔNG</t>
  </si>
  <si>
    <t>KẾ HOẠCH THỜI GIAN</t>
  </si>
  <si>
    <t>KIỂM SOÁT</t>
  </si>
  <si>
    <t>Lớp cuối</t>
  </si>
  <si>
    <t>Mã điểm cuối</t>
  </si>
  <si>
    <t>Mã L5 - nguồn Lớp 6</t>
  </si>
  <si>
    <t>Cấu hình tải công việc</t>
  </si>
  <si>
    <t>Người/nhóm thực hiện</t>
  </si>
  <si>
    <t>Mã L6 - nguồn nhật ký</t>
  </si>
  <si>
    <t>Công suất chuẩn (giờ/ngày)</t>
  </si>
  <si>
    <t>Ngưỡng cảnh báo cận tải</t>
  </si>
  <si>
    <t>DANH SÁCH NGÀY NGHỈ LỄ / NGHỈ BÙ</t>
  </si>
  <si>
    <t>Công thức chỉ loại Chủ nhật và các ngày có trong cột A. BOC/HR cập nhật lịch nghỉ thực tế của công ty.</t>
  </si>
  <si>
    <t>Ngày nghỉ</t>
  </si>
  <si>
    <t>Tên kỳ nghỉ</t>
  </si>
  <si>
    <t>Nguồn / Ghi chú</t>
  </si>
  <si>
    <t>KIỂM TRA CÔNG THỨC NGÀY LÀM VIỆC</t>
  </si>
  <si>
    <t>Tết Dương lịch</t>
  </si>
  <si>
    <t>Theo lịch nghỉ áp dụng tại công ty</t>
  </si>
  <si>
    <t>Tình huống</t>
  </si>
  <si>
    <t>Từ ngày</t>
  </si>
  <si>
    <t>Đến ngày</t>
  </si>
  <si>
    <t>Kết quả</t>
  </si>
  <si>
    <t>Tết Nguyên đán – tham chiếu</t>
  </si>
  <si>
    <t>BOC/HR xác nhận</t>
  </si>
  <si>
    <t>Có thứ Bảy + Chủ nhật</t>
  </si>
  <si>
    <t>Hai ngày đều là ngày nghỉ lễ</t>
  </si>
  <si>
    <t>Kết quả đúng mong đợi: tình huống 1 = 2 ngày (thứ Bảy và thứ Hai; Chủ nhật bị loại).</t>
  </si>
  <si>
    <t>Kết quả đúng mong đợi: tình huống 2 = 0 ngày vì 30/4 và 01/5 đều nằm trong danh sách nghỉ lễ.</t>
  </si>
  <si>
    <t>Giỗ Tổ Hùng Vương – nghỉ bù tham chiếu</t>
  </si>
  <si>
    <t>Ngày Giải phóng miền Nam</t>
  </si>
  <si>
    <t>Ngày Quốc tế Lao động</t>
  </si>
  <si>
    <t>Quốc khánh – ngày nghỉ tham chiếu</t>
  </si>
  <si>
    <t>Quốc khánh</t>
  </si>
  <si>
    <t>BÁO CÁO HOÀN THÀNH CÔNG VIỆC THEO NGÀY</t>
  </si>
  <si>
    <t>Ngày đánh giá</t>
  </si>
  <si>
    <t>Ngày lập</t>
  </si>
  <si>
    <t>Đánh giá kết quả, đúng hạn và tải phân bổ; chỉ kết luận tải khi đã nhập đủ Tổng giờ + Đơn vị (Ngày/Tuần) + giờ/kỳ.</t>
  </si>
  <si>
    <t>CÔNG VIỆC MỘT LẦN</t>
  </si>
  <si>
    <t>Chỉ số</t>
  </si>
  <si>
    <t>Hoàn thành trong ngày</t>
  </si>
  <si>
    <t>Hoàn thành thiếu ngày thực tế</t>
  </si>
  <si>
    <t>Đúng hạn</t>
  </si>
  <si>
    <t>Trễ hạn</t>
  </si>
  <si>
    <t>Tỷ lệ đúng hạn</t>
  </si>
  <si>
    <t>CÔNG VIỆC ĐỊNH KỲ / PHÁT SINH</t>
  </si>
  <si>
    <t>Tổng giờ thực tế</t>
  </si>
  <si>
    <t>TỔNG KẾT NGÀY</t>
  </si>
  <si>
    <t>Tổng việc hoàn thành</t>
  </si>
  <si>
    <t>Tỷ lệ đúng hạn chung</t>
  </si>
  <si>
    <t>Thiếu ngày hoàn thành</t>
  </si>
  <si>
    <t>Tổng giờ thực tế định kỳ</t>
  </si>
  <si>
    <t>Kiểm tra dữ liệu đầu vào</t>
  </si>
  <si>
    <t>KHUNG ĐÁNH GIÁ CÔNG BẰNG</t>
  </si>
  <si>
    <t>Trọng số</t>
  </si>
  <si>
    <t>Nguyên tắc</t>
  </si>
  <si>
    <t>Hoàn thành theo khối lượng</t>
  </si>
  <si>
    <t>Giờ/điểm hoàn thành ÷ khối lượng cam kết.</t>
  </si>
  <si>
    <t>Đúng hạn theo khối lượng</t>
  </si>
  <si>
    <t>Giờ/điểm đúng hạn ÷ khối lượng hoàn thành.</t>
  </si>
  <si>
    <t>Mức đóng góp tải</t>
  </si>
  <si>
    <t>Tải phân bổ/ngày = giờ/ngày hoặc giờ/tuần ÷ 5; so sánh với năng lực làm việc/ngày.</t>
  </si>
  <si>
    <t>Kiểm soát tồn đọng</t>
  </si>
  <si>
    <t>1 – khối lượng quá hạn ÷ khối lượng cam kết.</t>
  </si>
  <si>
    <t>Ngưỡng tải</t>
  </si>
  <si>
    <t>Theo năng lực</t>
  </si>
  <si>
    <t>Tải % = tổng tải phân bổ/ngày ÷ năng lực ngày: ≤85% Bình thường | 85–100% Cận tải | &gt;100% Quá tải.</t>
  </si>
  <si>
    <t>Kết luận</t>
  </si>
  <si>
    <t>Chỉ xếp loại khi đủ dữ liệu; đọc đồng thời Kết quả + Đúng hạn + Tải.</t>
  </si>
  <si>
    <t>KẾT LUẬN QUẢN TRỊ</t>
  </si>
  <si>
    <t>Kết quả ngày</t>
  </si>
  <si>
    <t>Cảnh báo tải</t>
  </si>
  <si>
    <t>Cận tải</t>
  </si>
  <si>
    <t>Quá hạn</t>
  </si>
  <si>
    <t>Kết luận tự động</t>
  </si>
  <si>
    <t>Nguyên tắc đọc</t>
  </si>
  <si>
    <t>Đọc theo ba trục: kết quả đạt được, đúng hạn và tải phân bổ; không dùng riêng % hoàn thành để đánh giá.</t>
  </si>
  <si>
    <t>Không có việc</t>
  </si>
  <si>
    <t>Thiếu Tổng giờ, Đơn vị phân bổ hoặc giờ/kỳ được coi là chưa đủ dữ liệu và không kết luận mức tải.</t>
  </si>
  <si>
    <t>Thiết lập in khuyến nghị: A4 ngang · Vùng in A1:F45 · Lề hẹp · Fit 1 trang.</t>
  </si>
  <si>
    <t>BÁO CÁO HOÀN THÀNH CÔNG VIỆC THEO TUẦN</t>
  </si>
  <si>
    <t>Tuần bắt đầu</t>
  </si>
  <si>
    <t>Hoàn thành trong tuần</t>
  </si>
  <si>
    <t>TỔNG KẾT TUẦN</t>
  </si>
  <si>
    <t>Kết quả tuần</t>
  </si>
  <si>
    <t>BÁO CÁO HOÀN THÀNH CÔNG VIỆC THEO THÁNG</t>
  </si>
  <si>
    <t>BÁO CÁO HOÀN THÀNH CÔNG VIỆC THEO NĂM</t>
  </si>
  <si>
    <t>Tháng đánh giá</t>
  </si>
  <si>
    <t>Năm đánh giá</t>
  </si>
  <si>
    <t>Hoàn thành trong tháng</t>
  </si>
  <si>
    <t>Hoàn thành trong năm</t>
  </si>
  <si>
    <t>TỔNG KẾT THÁNG</t>
  </si>
  <si>
    <t>TỔNG KẾT NĂM</t>
  </si>
  <si>
    <t>Kết quả tháng</t>
  </si>
  <si>
    <t>Kết quả năm</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</si>
</sst>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General"/>
    <numFmt numFmtId="165" formatCode="dd/mm/yyyy"/>
    <numFmt numFmtId="166" formatCode="#,##0.0"/>
    <numFmt numFmtId="167" formatCode="0.0"/>
    <numFmt numFmtId="168" formatCode="0.0%"/>
    <numFmt numFmtId="169" formatCode="d/m/yy"/>
    <numFmt numFmtId="170" formatCode="#,##0.0;[Red](#,##0.0);-"/>
    <numFmt numFmtId="171" formatCode="dd/MM/yyyy"/>
    <numFmt numFmtId="172" formatCode="mm/yyyy"/>
    <numFmt numFmtId="173" formatCode="[$-1010000]d/m/yy"/>
    <numFmt numFmtId="174" formatCode="yyyy"/>
  </numFmts>
  <fonts count="134">
    <font>
      <sz val="11.0"/>
      <color rgb="FF000000"/>
      <name val="Carlito"/>
      <scheme val="minor"/>
    </font>
    <font>
      <b/>
      <sz val="14.0"/>
      <color rgb="FFFFFFFF"/>
      <name val="Arial"/>
    </font>
    <font>
      <b/>
      <sz val="15.0"/>
      <color rgb="FFFFFFFF"/>
      <name val="Arial"/>
    </font>
    <font/>
    <font>
      <b/>
      <sz val="16.0"/>
      <color rgb="FFFFFFFF"/>
      <name val="Arial"/>
    </font>
    <font>
      <sz val="11.0"/>
      <color rgb="FF222222"/>
      <name val="Arial"/>
    </font>
    <font>
      <b/>
      <sz val="11.0"/>
      <color rgb="FFFFFFFF"/>
      <name val="Arial"/>
    </font>
    <font>
      <i/>
      <sz val="10.0"/>
      <color rgb="FF44546A"/>
      <name val="Arial"/>
    </font>
    <font>
      <i/>
      <sz val="9.0"/>
      <color rgb="FF536B7B"/>
      <name val="Arial"/>
    </font>
    <font>
      <sz val="11.0"/>
      <color rgb="FF334155"/>
      <name val="Arial"/>
    </font>
    <font>
      <b/>
      <sz val="10.0"/>
      <color rgb="FF1D2330"/>
      <name val="Arial"/>
    </font>
    <font>
      <b/>
      <sz val="10.0"/>
      <color rgb="FFFFFFFF"/>
      <name val="Arial"/>
    </font>
    <font>
      <sz val="10.0"/>
      <color rgb="FF595959"/>
      <name val="Arial"/>
    </font>
    <font>
      <sz val="9.0"/>
      <color rgb="FF44546A"/>
      <name val="Arial"/>
    </font>
    <font>
      <b/>
      <sz val="16.0"/>
      <color rgb="FF315F79"/>
      <name val="Arial"/>
    </font>
    <font>
      <b/>
      <sz val="16.0"/>
      <color rgb="FF2F6B48"/>
      <name val="Arial"/>
    </font>
    <font>
      <b/>
      <sz val="10.0"/>
      <color rgb="FF17365D"/>
      <name val="Arial"/>
    </font>
    <font>
      <b/>
      <sz val="16.0"/>
      <color rgb="FF175D86"/>
      <name val="Arial"/>
    </font>
    <font>
      <b/>
      <sz val="11.0"/>
      <color rgb="FFFFFFFF"/>
      <name val="Carlito"/>
    </font>
    <font>
      <color theme="1"/>
      <name val="Carlito"/>
      <scheme val="minor"/>
    </font>
    <font>
      <b/>
      <sz val="14.0"/>
      <color rgb="FF17365D"/>
      <name val="Arial"/>
    </font>
    <font>
      <b/>
      <sz val="14.0"/>
      <color rgb="FF7030A0"/>
      <name val="Arial"/>
    </font>
    <font>
      <b/>
      <sz val="10.0"/>
      <color rgb="FF0070C0"/>
      <name val="Arial"/>
    </font>
    <font>
      <b/>
      <sz val="14.0"/>
      <color rgb="FFC00000"/>
      <name val="Arial"/>
    </font>
    <font>
      <b/>
      <sz val="10.0"/>
      <color rgb="FF222222"/>
      <name val="Carlito"/>
    </font>
    <font>
      <sz val="9.0"/>
      <color rgb="FF536B7B"/>
      <name val="Arial"/>
    </font>
    <font>
      <sz val="10.0"/>
      <color rgb="FF1D2330"/>
      <name val="Arial"/>
    </font>
    <font>
      <b/>
      <sz val="14.0"/>
      <color rgb="FFBF7B00"/>
      <name val="Arial"/>
    </font>
    <font>
      <sz val="10.0"/>
      <color rgb="FF5B6573"/>
      <name val="Arial"/>
    </font>
    <font>
      <b/>
      <sz val="12.0"/>
      <color rgb="FFFFFFFF"/>
      <name val="Carlito"/>
      <scheme val="minor"/>
    </font>
    <font>
      <sz val="11.0"/>
      <color rgb="FFFFFFFF"/>
      <name val="Arial"/>
    </font>
    <font>
      <b/>
      <color theme="1"/>
      <name val="Carlito"/>
      <scheme val="minor"/>
    </font>
    <font>
      <b/>
      <sz val="10.0"/>
      <color rgb="FF1F1F1F"/>
      <name val="Arial"/>
    </font>
    <font>
      <b/>
      <sz val="9.0"/>
      <color rgb="FF17365D"/>
      <name val="Arial"/>
    </font>
    <font>
      <sz val="9.0"/>
      <color rgb="FF6B7280"/>
      <name val="Arial"/>
    </font>
    <font>
      <sz val="10.0"/>
      <color rgb="FF000000"/>
      <name val="Carlito"/>
    </font>
    <font>
      <sz val="9.0"/>
      <color rgb="FF222222"/>
      <name val="Arial"/>
    </font>
    <font>
      <b/>
      <sz val="12.0"/>
      <color rgb="FFFFFFFF"/>
      <name val="Arial"/>
    </font>
    <font>
      <sz val="9.0"/>
      <color rgb="FF666666"/>
      <name val="Arial"/>
    </font>
    <font>
      <b/>
      <sz val="10.0"/>
      <color rgb="FF35586F"/>
      <name val="Arial"/>
    </font>
    <font>
      <b/>
      <sz val="9.0"/>
      <color rgb="FFC00000"/>
      <name val="Arial"/>
    </font>
    <font>
      <b/>
      <sz val="9.0"/>
      <color rgb="FFBF7B00"/>
      <name val="Arial"/>
    </font>
    <font>
      <sz val="10.0"/>
      <color rgb="FF1F1F1F"/>
      <name val="Arial"/>
    </font>
    <font>
      <sz val="10.0"/>
      <color rgb="FF008000"/>
      <name val="Carlito"/>
    </font>
    <font>
      <b/>
      <sz val="10.0"/>
      <color rgb="FF0070C0"/>
      <name val="Carlito"/>
    </font>
    <font>
      <b/>
      <sz val="9.0"/>
      <color rgb="FF44546A"/>
      <name val="Arial"/>
    </font>
    <font>
      <b/>
      <sz val="10.0"/>
      <color rgb="FF294E62"/>
      <name val="Arial"/>
    </font>
    <font>
      <b/>
      <sz val="8.0"/>
      <color rgb="FF536671"/>
      <name val="Arial"/>
    </font>
    <font>
      <b/>
      <sz val="8.0"/>
      <color rgb="FFFFFFFF"/>
      <name val="Arial"/>
    </font>
    <font>
      <i/>
      <sz val="6.0"/>
      <color rgb="FF5B4B8A"/>
      <name val="Aptos"/>
    </font>
    <font>
      <b/>
      <sz val="9.0"/>
      <color rgb="FF7030A0"/>
      <name val="Arial"/>
    </font>
    <font>
      <b/>
      <sz val="8.0"/>
      <color rgb="FF566671"/>
      <name val="Arial"/>
    </font>
    <font>
      <b/>
      <sz val="9.0"/>
      <color rgb="FF548235"/>
      <name val="Arial"/>
    </font>
    <font>
      <b/>
      <sz val="10.0"/>
      <color rgb="FF355668"/>
      <name val="Arial"/>
    </font>
    <font>
      <sz val="8.0"/>
      <color rgb="FF4F5963"/>
      <name val="Arial"/>
    </font>
    <font>
      <i/>
      <sz val="9.0"/>
      <color rgb="FF666666"/>
      <name val="Arial"/>
    </font>
    <font>
      <i/>
      <sz val="9.0"/>
      <color rgb="FF666666"/>
      <name val="Carlito"/>
      <scheme val="minor"/>
    </font>
    <font>
      <i/>
      <sz val="8.0"/>
      <color rgb="FF666666"/>
      <name val="Arial"/>
    </font>
    <font>
      <sz val="8.0"/>
      <color rgb="FF536671"/>
      <name val="Arial"/>
    </font>
    <font>
      <b/>
      <sz val="9.0"/>
      <color rgb="FF222222"/>
      <name val="Arial"/>
    </font>
    <font>
      <b/>
      <sz val="12.0"/>
      <color rgb="FFFFFFFF"/>
      <name val="Calibri"/>
    </font>
    <font>
      <sz val="8.0"/>
      <color rgb="FF566671"/>
      <name val="Arial"/>
    </font>
    <font>
      <sz val="10.0"/>
      <color rgb="FF355668"/>
      <name val="Arial"/>
    </font>
    <font>
      <sz val="9.0"/>
      <color rgb="FF4F5963"/>
      <name val="Arial"/>
    </font>
    <font>
      <b/>
      <sz val="10.0"/>
      <color rgb="FF75504B"/>
      <name val="Arial"/>
    </font>
    <font>
      <sz val="10.0"/>
      <color rgb="FF0070C0"/>
      <name val="Carlito"/>
    </font>
    <font>
      <b/>
      <sz val="10.0"/>
      <color rgb="FF9C5700"/>
      <name val="Carlito"/>
    </font>
    <font>
      <i/>
      <sz val="9.0"/>
      <color rgb="FF666666"/>
      <name val="Carlito"/>
    </font>
    <font>
      <b/>
      <sz val="10.0"/>
      <color rgb="FF000000"/>
      <name val="Carlito"/>
    </font>
    <font>
      <b/>
      <sz val="9.0"/>
      <color rgb="FFFFFFFF"/>
      <name val="Calibri"/>
    </font>
    <font>
      <b/>
      <sz val="10.0"/>
      <color rgb="FFFFFFFF"/>
      <name val="Calibri"/>
    </font>
    <font>
      <b/>
      <sz val="9.0"/>
      <color rgb="FF667085"/>
      <name val="Arial"/>
    </font>
    <font>
      <sz val="9.0"/>
      <color rgb="FF222222"/>
      <name val="Consolas"/>
    </font>
    <font>
      <sz val="10.0"/>
      <color rgb="FF75504B"/>
      <name val="Arial"/>
    </font>
    <font>
      <sz val="9.0"/>
      <color rgb="FF333333"/>
      <name val="Calibri"/>
    </font>
    <font>
      <b/>
      <sz val="9.0"/>
      <color rgb="FFFFFFFF"/>
      <name val="Arial"/>
    </font>
    <font>
      <b/>
      <sz val="9.0"/>
      <color rgb="FF4F5963"/>
      <name val="Arial"/>
    </font>
    <font>
      <sz val="9.0"/>
      <color rgb="FF222222"/>
      <name val="Calibri"/>
    </font>
    <font>
      <sz val="9.0"/>
      <color rgb="FF0070C0"/>
      <name val="Arial"/>
    </font>
    <font>
      <color rgb="FFFFFFFF"/>
      <name val="Carlito"/>
      <scheme val="minor"/>
    </font>
    <font>
      <b/>
      <color rgb="FFFFFFFF"/>
      <name val="Carlito"/>
      <scheme val="minor"/>
    </font>
    <font>
      <i/>
      <sz val="10.0"/>
      <color rgb="FF1F1F1F"/>
      <name val="Arial"/>
    </font>
    <font>
      <i/>
      <sz val="9.0"/>
      <color rgb="FF008000"/>
      <name val="Calibri"/>
    </font>
    <font>
      <sz val="10.0"/>
      <color rgb="FF000000"/>
      <name val="Calibri"/>
    </font>
    <font>
      <b/>
      <sz val="9.0"/>
      <color rgb="FF008000"/>
      <name val="Arial"/>
    </font>
    <font>
      <b/>
      <sz val="10.0"/>
      <color rgb="FF6B7280"/>
      <name val="Arial"/>
    </font>
    <font>
      <sz val="9.0"/>
      <color rgb="FF9A9A9A"/>
      <name val="Arial"/>
    </font>
    <font>
      <b/>
      <sz val="11.0"/>
      <color rgb="FF1F2937"/>
      <name val="Arial"/>
    </font>
    <font>
      <sz val="10.0"/>
      <color rgb="FF000000"/>
      <name val="Arial"/>
    </font>
    <font>
      <sz val="10.0"/>
      <color rgb="FF0070C0"/>
      <name val="Arial"/>
    </font>
    <font>
      <sz val="9.0"/>
      <color rgb="FFB0B0B0"/>
      <name val="Arial"/>
    </font>
    <font>
      <sz val="10.0"/>
      <color rgb="FFFFFFFF"/>
      <name val="Arial"/>
    </font>
    <font>
      <sz val="10.0"/>
      <color rgb="FF6B7280"/>
      <name val="Arial"/>
    </font>
    <font>
      <b/>
      <sz val="10.0"/>
      <color rgb="FF000000"/>
      <name val="Arial"/>
    </font>
    <font>
      <sz val="9.0"/>
      <color rgb="FF0070C0"/>
      <name val="Google Sans Mono"/>
    </font>
    <font>
      <sz val="9.0"/>
      <color rgb="FF6B7280"/>
      <name val="Google Sans Mono"/>
    </font>
    <font>
      <u/>
      <sz val="10.0"/>
      <color rgb="FF0563C1"/>
      <name val="Arial"/>
    </font>
    <font>
      <b/>
      <sz val="10.0"/>
      <color rgb="FF9C0006"/>
      <name val="Arial"/>
    </font>
    <font>
      <sz val="10.0"/>
      <color rgb="FF7F1D1D"/>
      <name val="Arial"/>
    </font>
    <font>
      <b/>
      <sz val="11.0"/>
      <color rgb="FFC00000"/>
      <name val="Arial"/>
    </font>
    <font>
      <u/>
      <sz val="10.0"/>
      <color rgb="FF0563C1"/>
      <name val="Arial"/>
    </font>
    <font>
      <sz val="11.0"/>
      <color theme="1"/>
      <name val="Carlito"/>
    </font>
    <font>
      <b/>
      <sz val="16.0"/>
      <color rgb="FFFFFFFF"/>
      <name val="Carlito"/>
    </font>
    <font>
      <i/>
      <sz val="10.0"/>
      <color rgb="FF444444"/>
      <name val="Carlito"/>
    </font>
    <font>
      <b/>
      <sz val="11.0"/>
      <color theme="1"/>
      <name val="Carlito"/>
    </font>
    <font>
      <b/>
      <sz val="11.0"/>
      <color rgb="FF0070C0"/>
      <name val="Carlito"/>
    </font>
    <font>
      <i/>
      <sz val="10.0"/>
      <color rgb="FF666666"/>
      <name val="Carlito"/>
    </font>
    <font>
      <b/>
      <sz val="10.0"/>
      <color rgb="FFFFFFFF"/>
      <name val="Carlito"/>
    </font>
    <font>
      <sz val="10.0"/>
      <color theme="1"/>
      <name val="Carlito"/>
    </font>
    <font>
      <b/>
      <color theme="1"/>
      <name val="Arial"/>
    </font>
    <font>
      <sz val="8.0"/>
      <color rgb="FFFFFFFF"/>
      <name val="Arial"/>
    </font>
    <font>
      <sz val="8.0"/>
      <color rgb="FF4F5B66"/>
      <name val="Arial"/>
    </font>
    <font>
      <sz val="8.0"/>
      <color rgb="FF3F4B55"/>
      <name val="Arial"/>
    </font>
    <font>
      <sz val="8.0"/>
      <color rgb="FF46525C"/>
      <name val="Arial"/>
    </font>
    <font>
      <sz val="9.0"/>
      <color rgb="FFA0A7B0"/>
      <name val="Arial"/>
    </font>
    <font>
      <b/>
      <sz val="10.0"/>
      <color rgb="FFFFFFFF"/>
      <name val="Aptos"/>
    </font>
    <font>
      <b/>
      <color rgb="FFFFFFFF"/>
      <name val="Arial"/>
    </font>
    <font>
      <sz val="10.0"/>
      <color rgb="FF172033"/>
      <name val="Aptos"/>
    </font>
    <font>
      <color rgb="FF0070C0"/>
      <name val="Arial"/>
    </font>
    <font>
      <color rgb="FF008000"/>
      <name val="Carlito"/>
      <scheme val="minor"/>
    </font>
    <font>
      <b/>
      <sz val="10.0"/>
      <color rgb="FF174B50"/>
      <name val="Arial"/>
    </font>
    <font>
      <b/>
      <sz val="10.0"/>
      <color rgb="FF5B6573"/>
      <name val="Aptos"/>
    </font>
    <font>
      <b/>
      <sz val="10.0"/>
      <color rgb="FF416A6D"/>
      <name val="Arial"/>
    </font>
    <font>
      <b/>
      <sz val="16.0"/>
      <color rgb="FFFFFFFF"/>
      <name val="Aptos"/>
    </font>
    <font>
      <i/>
      <sz val="10.0"/>
      <color rgb="FF555555"/>
      <name val="Aptos"/>
    </font>
    <font>
      <b/>
      <sz val="10.0"/>
      <color rgb="FF1F1F1F"/>
      <name val="Aptos"/>
    </font>
    <font>
      <i/>
      <sz val="11.0"/>
      <color rgb="FF17365D"/>
      <name val="Carlito"/>
    </font>
    <font>
      <b/>
      <sz val="11.0"/>
      <color rgb="FF0070C0"/>
      <name val="Arial"/>
    </font>
    <font>
      <b/>
      <sz val="10.0"/>
      <color rgb="FFC00000"/>
      <name val="Arial"/>
    </font>
    <font>
      <b/>
      <sz val="10.0"/>
      <color rgb="FF9C6500"/>
      <name val="Arial"/>
    </font>
    <font>
      <b/>
      <sz val="9.0"/>
      <color rgb="FF000000"/>
      <name val="Arial"/>
    </font>
    <font>
      <sz val="9.0"/>
      <color rgb="FF444444"/>
      <name val="Arial"/>
    </font>
    <font>
      <sz val="9.0"/>
      <color rgb="FF000000"/>
      <name val="Arial"/>
    </font>
    <font>
      <i/>
      <sz val="9.0"/>
      <color rgb="FF444444"/>
      <name val="Arial"/>
    </font>
  </fonts>
  <fills count="60">
    <fill>
      <patternFill patternType="none"/>
    </fill>
    <fill>
      <patternFill patternType="lightGray"/>
    </fill>
    <fill>
      <patternFill patternType="solid">
        <fgColor rgb="FF1D2330"/>
        <bgColor rgb="FF1D2330"/>
      </patternFill>
    </fill>
    <fill>
      <patternFill patternType="solid">
        <fgColor rgb="FF1D4E78"/>
        <bgColor rgb="FF1D4E78"/>
      </patternFill>
    </fill>
    <fill>
      <patternFill patternType="solid">
        <fgColor rgb="FF17365D"/>
        <bgColor rgb="FF17365D"/>
      </patternFill>
    </fill>
    <fill>
      <patternFill patternType="solid">
        <fgColor rgb="FFFFFFFF"/>
        <bgColor rgb="FFFFFFFF"/>
      </patternFill>
    </fill>
    <fill>
      <patternFill patternType="solid">
        <fgColor rgb="FF1F4E78"/>
        <bgColor rgb="FF1F4E78"/>
      </patternFill>
    </fill>
    <fill>
      <patternFill patternType="solid">
        <fgColor rgb="FFD9EAF7"/>
        <bgColor rgb="FFD9EAF7"/>
      </patternFill>
    </fill>
    <fill>
      <patternFill patternType="solid">
        <fgColor rgb="FFEEF3F6"/>
        <bgColor rgb="FFEEF3F6"/>
      </patternFill>
    </fill>
    <fill>
      <patternFill patternType="solid">
        <fgColor rgb="FFDCE6F1"/>
        <bgColor rgb="FFDCE6F1"/>
      </patternFill>
    </fill>
    <fill>
      <patternFill patternType="solid">
        <fgColor rgb="FF4472C4"/>
        <bgColor rgb="FF4472C4"/>
      </patternFill>
    </fill>
    <fill>
      <patternFill patternType="solid">
        <fgColor rgb="FFF2F2F2"/>
        <bgColor rgb="FFF2F2F2"/>
      </patternFill>
    </fill>
    <fill>
      <patternFill patternType="solid">
        <fgColor rgb="FFEDF4F8"/>
        <bgColor rgb="FFEDF4F8"/>
      </patternFill>
    </fill>
    <fill>
      <patternFill patternType="solid">
        <fgColor rgb="FFEAF2F7"/>
        <bgColor rgb="FFEAF2F7"/>
      </patternFill>
    </fill>
    <fill>
      <patternFill patternType="solid">
        <fgColor rgb="FFECF6EF"/>
        <bgColor rgb="FFECF6EF"/>
      </patternFill>
    </fill>
    <fill>
      <patternFill patternType="solid">
        <fgColor rgb="FFEAF2F8"/>
        <bgColor rgb="FFEAF2F8"/>
      </patternFill>
    </fill>
    <fill>
      <patternFill patternType="solid">
        <fgColor rgb="FFE4F0F8"/>
        <bgColor rgb="FFE4F0F8"/>
      </patternFill>
    </fill>
    <fill>
      <patternFill patternType="solid">
        <fgColor rgb="FF222B45"/>
        <bgColor rgb="FF222B45"/>
      </patternFill>
    </fill>
    <fill>
      <patternFill patternType="solid">
        <fgColor rgb="FF2F5597"/>
        <bgColor rgb="FF2F5597"/>
      </patternFill>
    </fill>
    <fill>
      <patternFill patternType="solid">
        <fgColor rgb="FFFFF2CC"/>
        <bgColor rgb="FFFFF2CC"/>
      </patternFill>
    </fill>
    <fill>
      <patternFill patternType="solid">
        <fgColor rgb="FFE2F0D9"/>
        <bgColor rgb="FFE2F0D9"/>
      </patternFill>
    </fill>
    <fill>
      <patternFill patternType="solid">
        <fgColor rgb="FFF3F4F6"/>
        <bgColor rgb="FFF3F4F6"/>
      </patternFill>
    </fill>
    <fill>
      <patternFill patternType="solid">
        <fgColor rgb="FFE2E3E5"/>
        <bgColor rgb="FFE2E3E5"/>
      </patternFill>
    </fill>
    <fill>
      <patternFill patternType="solid">
        <fgColor rgb="FFF7F9FA"/>
        <bgColor rgb="FFF7F9FA"/>
      </patternFill>
    </fill>
    <fill>
      <patternFill patternType="solid">
        <fgColor rgb="FFF7F7F7"/>
        <bgColor rgb="FFF7F7F7"/>
      </patternFill>
    </fill>
    <fill>
      <patternFill patternType="solid">
        <fgColor rgb="FFF7FAFC"/>
        <bgColor rgb="FFF7FAFC"/>
      </patternFill>
    </fill>
    <fill>
      <patternFill patternType="solid">
        <fgColor rgb="FFDCE7ED"/>
        <bgColor rgb="FFDCE7ED"/>
      </patternFill>
    </fill>
    <fill>
      <patternFill patternType="solid">
        <fgColor rgb="FFE8EFF3"/>
        <bgColor rgb="FFE8EFF3"/>
      </patternFill>
    </fill>
    <fill>
      <patternFill patternType="solid">
        <fgColor rgb="FFEFEFEF"/>
        <bgColor rgb="FFEFEFEF"/>
      </patternFill>
    </fill>
    <fill>
      <patternFill patternType="solid">
        <fgColor rgb="FFEFF3F5"/>
        <bgColor rgb="FFEFF3F5"/>
      </patternFill>
    </fill>
    <fill>
      <patternFill patternType="solid">
        <fgColor rgb="FFE6EEF2"/>
        <bgColor rgb="FFE6EEF2"/>
      </patternFill>
    </fill>
    <fill>
      <patternFill patternType="solid">
        <fgColor rgb="FFF4F8FB"/>
        <bgColor rgb="FFF4F8FB"/>
      </patternFill>
    </fill>
    <fill>
      <patternFill patternType="solid">
        <fgColor rgb="FFF2F5F7"/>
        <bgColor rgb="FFF2F5F7"/>
      </patternFill>
    </fill>
    <fill>
      <patternFill patternType="solid">
        <fgColor rgb="FFDDEBF7"/>
        <bgColor rgb="FFDDEBF7"/>
      </patternFill>
    </fill>
    <fill>
      <patternFill patternType="solid">
        <fgColor rgb="FFF8F9FA"/>
        <bgColor rgb="FFF8F9FA"/>
      </patternFill>
    </fill>
    <fill>
      <patternFill patternType="solid">
        <fgColor rgb="FFC00000"/>
        <bgColor rgb="FFC00000"/>
      </patternFill>
    </fill>
    <fill>
      <patternFill patternType="solid">
        <fgColor rgb="FF7F8C8D"/>
        <bgColor rgb="FF7F8C8D"/>
      </patternFill>
    </fill>
    <fill>
      <patternFill patternType="solid">
        <fgColor rgb="FFE7EDF5"/>
        <bgColor rgb="FFE7EDF5"/>
      </patternFill>
    </fill>
    <fill>
      <patternFill patternType="solid">
        <fgColor rgb="FFD9E2F3"/>
        <bgColor rgb="FFD9E2F3"/>
      </patternFill>
    </fill>
    <fill>
      <patternFill patternType="solid">
        <fgColor rgb="FFF7F9FC"/>
        <bgColor rgb="FFF7F9FC"/>
      </patternFill>
    </fill>
    <fill>
      <patternFill patternType="solid">
        <fgColor rgb="FFFFF200"/>
        <bgColor rgb="FFFFF200"/>
      </patternFill>
    </fill>
    <fill>
      <patternFill patternType="solid">
        <fgColor rgb="FFFFFDF2"/>
        <bgColor rgb="FFFFFDF2"/>
      </patternFill>
    </fill>
    <fill>
      <patternFill patternType="solid">
        <fgColor rgb="FFF4B183"/>
        <bgColor rgb="FFF4B183"/>
      </patternFill>
    </fill>
    <fill>
      <patternFill patternType="solid">
        <fgColor rgb="FF2F7C85"/>
        <bgColor rgb="FF2F7C85"/>
      </patternFill>
    </fill>
    <fill>
      <patternFill patternType="solid">
        <fgColor rgb="FFF3F6F8"/>
        <bgColor rgb="FFF3F6F8"/>
      </patternFill>
    </fill>
    <fill>
      <patternFill patternType="solid">
        <fgColor rgb="FF2F75B5"/>
        <bgColor rgb="FF2F75B5"/>
      </patternFill>
    </fill>
    <fill>
      <patternFill patternType="solid">
        <fgColor rgb="FFFCE8E6"/>
        <bgColor rgb="FFFCE8E6"/>
      </patternFill>
    </fill>
    <fill>
      <patternFill patternType="solid">
        <fgColor rgb="FF548235"/>
        <bgColor rgb="FF548235"/>
      </patternFill>
    </fill>
    <fill>
      <patternFill patternType="solid">
        <fgColor rgb="FFFF6B6B"/>
        <bgColor rgb="FFFF6B6B"/>
      </patternFill>
    </fill>
    <fill>
      <patternFill patternType="solid">
        <fgColor rgb="FF8064A2"/>
        <bgColor rgb="FF8064A2"/>
      </patternFill>
    </fill>
    <fill>
      <patternFill patternType="solid">
        <fgColor rgb="FFEAF3F8"/>
        <bgColor rgb="FFEAF3F8"/>
      </patternFill>
    </fill>
    <fill>
      <patternFill patternType="solid">
        <fgColor rgb="FF70AD47"/>
        <bgColor rgb="FF70AD47"/>
      </patternFill>
    </fill>
    <fill>
      <patternFill patternType="solid">
        <fgColor rgb="FFE8EEF8"/>
        <bgColor rgb="FFE8EEF8"/>
      </patternFill>
    </fill>
    <fill>
      <patternFill patternType="solid">
        <fgColor rgb="FF1F3A5F"/>
        <bgColor rgb="FF1F3A5F"/>
      </patternFill>
    </fill>
    <fill>
      <patternFill patternType="solid">
        <fgColor rgb="FFE8F4EA"/>
        <bgColor rgb="FFE8F4EA"/>
      </patternFill>
    </fill>
    <fill>
      <patternFill patternType="solid">
        <fgColor rgb="FFA8D7D4"/>
        <bgColor rgb="FFA8D7D4"/>
      </patternFill>
    </fill>
    <fill>
      <patternFill patternType="solid">
        <fgColor rgb="FFEEF0F3"/>
        <bgColor rgb="FFEEF0F3"/>
      </patternFill>
    </fill>
    <fill>
      <patternFill patternType="solid">
        <fgColor rgb="FFE7F3F2"/>
        <bgColor rgb="FFE7F3F2"/>
      </patternFill>
    </fill>
    <fill>
      <patternFill patternType="solid">
        <fgColor rgb="FFE9F0F7"/>
        <bgColor rgb="FFE9F0F7"/>
      </patternFill>
    </fill>
    <fill>
      <patternFill patternType="solid">
        <fgColor rgb="FFFCE4D6"/>
        <bgColor rgb="FFFCE4D6"/>
      </patternFill>
    </fill>
  </fills>
  <borders count="268">
    <border/>
    <border>
      <bottom style="thin">
        <color rgb="FF1D2330"/>
      </bottom>
    </border>
    <border>
      <bottom style="thin">
        <color rgb="FF17365D"/>
      </bottom>
    </border>
    <border>
      <left/>
      <top/>
      <bottom style="thin">
        <color rgb="FF1D2330"/>
      </bottom>
    </border>
    <border>
      <top/>
      <bottom style="thin">
        <color rgb="FF1D2330"/>
      </bottom>
    </border>
    <border>
      <right/>
      <top/>
      <bottom style="thin">
        <color rgb="FF1D2330"/>
      </bottom>
    </border>
    <border>
      <bottom style="thin">
        <color rgb="FF9EADBA"/>
      </bottom>
    </border>
    <border>
      <left/>
      <bottom style="thin">
        <color rgb="FFC6D4DE"/>
      </bottom>
    </border>
    <border>
      <bottom style="thin">
        <color rgb="FFC6D4DE"/>
      </bottom>
    </border>
    <border>
      <right/>
      <bottom style="thin">
        <color rgb="FFC6D4DE"/>
      </bottom>
    </border>
    <border>
      <left style="thin">
        <color rgb="FFFFFFFF"/>
      </left>
      <top style="thin">
        <color rgb="FFB9CBD7"/>
      </top>
      <bottom style="thin">
        <color rgb="FFAAB7C4"/>
      </bottom>
    </border>
    <border>
      <right style="thin">
        <color rgb="FFFFFFFF"/>
      </right>
      <top style="thin">
        <color rgb="FFB9CBD7"/>
      </top>
      <bottom style="thin">
        <color rgb="FFAAB7C4"/>
      </bottom>
    </border>
    <border>
      <left style="thin">
        <color rgb="FFFFFFFF"/>
      </left>
      <top style="thin">
        <color rgb="FFB7CBD7"/>
      </top>
      <bottom style="thin">
        <color rgb="FFAAB7C4"/>
      </bottom>
    </border>
    <border>
      <right style="thin">
        <color rgb="FFFFFFFF"/>
      </right>
      <top style="thin">
        <color rgb="FFB7CBD7"/>
      </top>
      <bottom style="thin">
        <color rgb="FFAAB7C4"/>
      </bottom>
    </border>
    <border>
      <bottom style="thin">
        <color rgb="FF2F5597"/>
      </bottom>
    </border>
    <border>
      <left style="thin">
        <color rgb="FFFFFFFF"/>
      </left>
      <top style="thin">
        <color rgb="FFBBD7C4"/>
      </top>
      <bottom style="thin">
        <color rgb="FFAAB7C4"/>
      </bottom>
    </border>
    <border>
      <right style="thin">
        <color rgb="FFFFFFFF"/>
      </right>
      <top style="thin">
        <color rgb="FFBBD7C4"/>
      </top>
      <bottom style="thin">
        <color rgb="FFAAB7C4"/>
      </bottom>
    </border>
    <border>
      <bottom style="thin">
        <color rgb="FF808080"/>
      </bottom>
    </border>
    <border>
      <left style="thin">
        <color rgb="FFFFFFFF"/>
      </left>
      <top style="thin">
        <color rgb="FFABC8DA"/>
      </top>
      <bottom style="thin">
        <color rgb="FFAAB7C4"/>
      </bottom>
    </border>
    <border>
      <right style="thin">
        <color rgb="FFFFFFFF"/>
      </right>
      <top style="thin">
        <color rgb="FFABC8DA"/>
      </top>
      <bottom style="thin">
        <color rgb="FFAAB7C4"/>
      </bottom>
    </border>
    <border>
      <bottom style="thin">
        <color rgb="FFAAB7C4"/>
      </bottom>
    </border>
    <border>
      <left style="thin">
        <color rgb="FFFFFFFF"/>
      </left>
    </border>
    <border>
      <right style="thin">
        <color rgb="FFFFFFFF"/>
      </right>
    </border>
    <border>
      <bottom style="thin">
        <color rgb="FF222B45"/>
      </bottom>
    </border>
    <border>
      <left style="thin">
        <color rgb="FF9EADBA"/>
      </left>
      <top style="thin">
        <color rgb="FF9EADBA"/>
      </top>
      <bottom style="thin">
        <color rgb="FF9EADBA"/>
      </bottom>
    </border>
    <border>
      <left style="thin">
        <color rgb="FFFFFFFF"/>
      </left>
      <bottom style="thin">
        <color rgb="FFD7DEE8"/>
      </bottom>
    </border>
    <border>
      <right style="thin">
        <color rgb="FFFFFFFF"/>
      </right>
      <bottom style="thin">
        <color rgb="FFD7DEE8"/>
      </bottom>
    </border>
    <border>
      <left style="thin">
        <color rgb="FF9EADBA"/>
      </left>
      <right style="thin">
        <color rgb="FF9EADBA"/>
      </right>
      <top style="thin">
        <color rgb="FF9EADBA"/>
      </top>
      <bottom style="thin">
        <color rgb="FF9EADBA"/>
      </bottom>
    </border>
    <border>
      <top style="thin">
        <color rgb="FF9EADBA"/>
      </top>
      <bottom style="thin">
        <color rgb="FF9EADBA"/>
      </bottom>
    </border>
    <border>
      <left/>
      <right style="thin">
        <color rgb="FFFFFFFF"/>
      </right>
      <top/>
      <bottom style="thin">
        <color rgb="FF1D2330"/>
      </bottom>
    </border>
    <border>
      <left style="thin">
        <color rgb="FFFFFFFF"/>
      </left>
      <right style="thin">
        <color rgb="FFFFFFFF"/>
      </right>
      <top/>
      <bottom style="thin">
        <color rgb="FF1D2330"/>
      </bottom>
    </border>
    <border>
      <left style="thin">
        <color rgb="FFFFFFFF"/>
      </left>
      <right/>
      <top/>
      <bottom style="thin">
        <color rgb="FF1D2330"/>
      </bottom>
    </border>
    <border>
      <left style="thin">
        <color rgb="FFC9A227"/>
      </left>
      <right style="thin">
        <color rgb="FFC9A227"/>
      </right>
      <top style="thin">
        <color rgb="FFC9A227"/>
      </top>
      <bottom style="thin">
        <color rgb="FFC9A227"/>
      </bottom>
    </border>
    <border>
      <left style="thin">
        <color rgb="FF70AD47"/>
      </left>
    </border>
    <border>
      <left style="thin">
        <color rgb="FFFFFFFF"/>
      </left>
      <top/>
      <bottom style="thin">
        <color rgb="FF1D2330"/>
      </bottom>
    </border>
    <border>
      <left style="thin">
        <color rgb="FF1D2330"/>
      </left>
      <right style="thin">
        <color rgb="FF1D2330"/>
      </right>
      <top style="thin">
        <color rgb="FF1D2330"/>
      </top>
      <bottom style="thin">
        <color rgb="FF1D2330"/>
      </bottom>
    </border>
    <border>
      <bottom style="hair">
        <color rgb="FFD9E2F3"/>
      </bottom>
    </border>
    <border>
      <top style="thin">
        <color rgb="FFB4C6E7"/>
      </top>
      <bottom style="thin">
        <color rgb="FFB4C6E7"/>
      </bottom>
    </border>
    <border>
      <bottom style="thin">
        <color rgb="FFD7DEE8"/>
      </bottom>
    </border>
    <border>
      <left style="thin">
        <color rgb="FF70AD47"/>
      </left>
      <bottom style="hair">
        <color rgb="FFD9E2F3"/>
      </bottom>
    </border>
    <border>
      <bottom style="thin">
        <color rgb="FF9EADBE"/>
      </bottom>
    </border>
    <border>
      <top style="thin">
        <color rgb="FFD7DEE8"/>
      </top>
      <bottom style="thin">
        <color rgb="FFD5E2ED"/>
      </bottom>
    </border>
    <border>
      <top style="thin">
        <color rgb="FFD7DEE8"/>
      </top>
      <bottom style="thin">
        <color rgb="FFD7DEE8"/>
      </bottom>
    </border>
    <border>
      <bottom style="hair">
        <color rgb="FFD9D9D9"/>
      </bottom>
    </border>
    <border>
      <left style="thin">
        <color rgb="FFD9E2F3"/>
      </left>
      <top style="thin">
        <color rgb="FFD9E2F3"/>
      </top>
      <bottom style="thin">
        <color rgb="FFD9D9D9"/>
      </bottom>
    </border>
    <border>
      <top style="thin">
        <color rgb="FFD9E2F3"/>
      </top>
      <bottom style="thin">
        <color rgb="FFD9D9D9"/>
      </bottom>
    </border>
    <border>
      <top style="thin">
        <color rgb="FFD7DEE8"/>
      </top>
      <bottom style="thin">
        <color rgb="FFE6D58A"/>
      </bottom>
    </border>
    <border>
      <right style="thin">
        <color rgb="FFD9E2F3"/>
      </right>
      <top style="thin">
        <color rgb="FFD9E2F3"/>
      </top>
      <bottom style="thin">
        <color rgb="FFD9D9D9"/>
      </bottom>
    </border>
    <border>
      <bottom style="thin">
        <color rgb="FFE3E9ED"/>
      </bottom>
    </border>
    <border>
      <left/>
      <right/>
      <bottom style="thin">
        <color rgb="FFE3E9ED"/>
      </bottom>
    </border>
    <border>
      <left/>
      <top style="thin">
        <color rgb="FF9CB7C8"/>
      </top>
      <bottom style="thin">
        <color rgb="FFD6B656"/>
      </bottom>
    </border>
    <border>
      <top style="thin">
        <color rgb="FF9CB7C8"/>
      </top>
      <bottom style="thin">
        <color rgb="FFD6B656"/>
      </bottom>
    </border>
    <border>
      <right/>
      <top style="thin">
        <color rgb="FF9CB7C8"/>
      </top>
      <bottom style="thin">
        <color rgb="FFD6B656"/>
      </bottom>
    </border>
    <border>
      <bottom style="thin">
        <color rgb="FFD9D9D9"/>
      </bottom>
    </border>
    <border>
      <bottom style="thin">
        <color rgb="FFC9D8E6"/>
      </bottom>
    </border>
    <border>
      <left style="thin">
        <color rgb="FFD6B656"/>
      </left>
      <right style="thin">
        <color rgb="FFD6B656"/>
      </right>
      <bottom style="thin">
        <color rgb="FFC9D8E6"/>
      </bottom>
    </border>
    <border>
      <left style="thin">
        <color rgb="FFD6B656"/>
      </left>
      <right style="thin">
        <color rgb="FFD6B656"/>
      </right>
    </border>
    <border>
      <left style="thin">
        <color rgb="FFD6B656"/>
      </left>
      <right style="thin">
        <color rgb="FFD6B656"/>
      </right>
      <bottom style="thin">
        <color rgb="FF17365D"/>
      </bottom>
    </border>
    <border>
      <bottom style="hair">
        <color rgb="FFE6B8B7"/>
      </bottom>
    </border>
    <border>
      <bottom style="hair">
        <color rgb="FFF4B183"/>
      </bottom>
    </border>
    <border>
      <left style="thin">
        <color rgb="FF7294A9"/>
      </left>
      <top/>
      <bottom style="thin">
        <color rgb="FF1D2330"/>
      </bottom>
    </border>
    <border>
      <bottom style="hair">
        <color rgb="FFFFD966"/>
      </bottom>
    </border>
    <border>
      <left/>
      <bottom style="thin">
        <color rgb="FFAFC3CE"/>
      </bottom>
    </border>
    <border>
      <bottom style="thin">
        <color rgb="FFAFC3CE"/>
      </bottom>
    </border>
    <border>
      <bottom style="thin">
        <color rgb="FFC7D5DC"/>
      </bottom>
    </border>
    <border>
      <left/>
    </border>
    <border>
      <right style="thin">
        <color rgb="FFD5E0E6"/>
      </right>
    </border>
    <border>
      <bottom style="hair">
        <color rgb="FF9EADBA"/>
      </bottom>
    </border>
    <border>
      <left style="thin">
        <color rgb="FFD6B656"/>
      </left>
      <right style="thin">
        <color rgb="FFD6B656"/>
      </right>
      <bottom style="thin">
        <color rgb="FF9EADBE"/>
      </bottom>
    </border>
    <border>
      <bottom style="thin">
        <color rgb="FFBED4E2"/>
      </bottom>
    </border>
    <border>
      <left style="thin">
        <color rgb="FF9EADBA"/>
      </left>
      <right style="thin">
        <color rgb="FF9EADBA"/>
      </right>
      <top style="thin">
        <color rgb="FF9EADBA"/>
      </top>
    </border>
    <border>
      <left style="thin">
        <color rgb="FF9EADBA"/>
      </left>
      <right style="thin">
        <color rgb="FF9EADBA"/>
      </right>
    </border>
    <border>
      <bottom style="hair">
        <color rgb="FFB7B7B7"/>
      </bottom>
    </border>
    <border>
      <left style="thin">
        <color rgb="FF9EADBA"/>
      </left>
      <right style="thin">
        <color rgb="FF9EADBA"/>
      </right>
      <bottom style="hair">
        <color rgb="FFB7B7B7"/>
      </bottom>
    </border>
    <border>
      <left/>
      <bottom style="thin">
        <color rgb="FFE0E6E9"/>
      </bottom>
    </border>
    <border>
      <bottom style="thin">
        <color rgb="FFD7E2E8"/>
      </bottom>
    </border>
    <border>
      <left style="thin">
        <color rgb="FF9EADBA"/>
      </left>
      <top style="thin">
        <color rgb="FF9EADBA"/>
      </top>
      <bottom style="hair">
        <color rgb="FFD9D9D9"/>
      </bottom>
    </border>
    <border>
      <left style="thin">
        <color rgb="FF9EADBA"/>
      </left>
      <top style="thin">
        <color rgb="FF9EADBA"/>
      </top>
    </border>
    <border>
      <left style="thin">
        <color rgb="FF9EADBA"/>
      </left>
    </border>
    <border>
      <left style="thin">
        <color rgb="FF9EADBA"/>
      </left>
      <bottom style="hair">
        <color rgb="FFD9D9D9"/>
      </bottom>
    </border>
    <border>
      <left/>
      <right/>
      <bottom style="thin">
        <color rgb="FFC7D7DF"/>
      </bottom>
    </border>
    <border>
      <left style="thin">
        <color rgb="FF9EADBA"/>
      </left>
      <right style="thin">
        <color rgb="FF9EADBA"/>
      </right>
      <bottom style="thin">
        <color rgb="FF9EADBA"/>
      </bottom>
    </border>
    <border>
      <left/>
      <right/>
      <bottom style="thin">
        <color rgb="FFCFDCE3"/>
      </bottom>
    </border>
    <border>
      <bottom style="thin">
        <color rgb="FFC8DFCF"/>
      </bottom>
    </border>
    <border>
      <left/>
      <right/>
    </border>
    <border>
      <left style="thin">
        <color rgb="FF9EADBA"/>
      </left>
      <bottom style="thin">
        <color rgb="FFD9D9D9"/>
      </bottom>
    </border>
    <border>
      <left style="thin">
        <color rgb="FF9EADBA"/>
      </left>
      <right style="thin">
        <color rgb="FF9EADBA"/>
      </right>
      <bottom style="thin">
        <color rgb="FFD9D9D9"/>
      </bottom>
    </border>
    <border>
      <left/>
      <top style="thin">
        <color rgb="FFC8D5DC"/>
      </top>
      <bottom style="thin">
        <color rgb="FFE0E6E9"/>
      </bottom>
    </border>
    <border>
      <top style="thin">
        <color rgb="FFC8D5DC"/>
      </top>
      <bottom style="thin">
        <color rgb="FFE0E6E9"/>
      </bottom>
    </border>
    <border>
      <right style="thin">
        <color rgb="FFD5E0E6"/>
      </right>
      <top style="thin">
        <color rgb="FFC8D5DC"/>
      </top>
      <bottom style="thin">
        <color rgb="FFE0E6E9"/>
      </bottom>
    </border>
    <border>
      <bottom style="thin">
        <color rgb="FFBDD7E7"/>
      </bottom>
    </border>
    <border>
      <top style="double">
        <color rgb="FFD6B656"/>
      </top>
      <bottom style="double">
        <color rgb="FFD6B656"/>
      </bottom>
    </border>
    <border>
      <left/>
      <bottom style="thin">
        <color rgb="FFC7D4DB"/>
      </bottom>
    </border>
    <border>
      <bottom style="thin">
        <color rgb="FFC7D4DB"/>
      </bottom>
    </border>
    <border>
      <right style="thin">
        <color rgb="FFD5E0E6"/>
      </right>
      <bottom style="thin">
        <color rgb="FFC7D4DB"/>
      </bottom>
    </border>
    <border>
      <left style="thin">
        <color rgb="FFBFD0D8"/>
      </left>
    </border>
    <border>
      <right/>
    </border>
    <border>
      <left style="thin">
        <color rgb="FFA6A6A6"/>
      </left>
    </border>
    <border>
      <left style="thin">
        <color rgb="FFA6A6A6"/>
      </left>
      <top style="thin">
        <color rgb="FFA6A6A6"/>
      </top>
      <bottom style="thin">
        <color rgb="FFA6A6A6"/>
      </bottom>
    </border>
    <border>
      <top style="thin">
        <color rgb="FF8B0000"/>
      </top>
      <bottom style="thin">
        <color rgb="FF8B0000"/>
      </bottom>
    </border>
    <border>
      <left/>
      <right/>
      <bottom style="thin">
        <color rgb="FFD7E1E6"/>
      </bottom>
    </border>
    <border>
      <left style="thin">
        <color rgb="FFFFFFFF"/>
      </left>
      <top style="thin">
        <color rgb="FF8B0000"/>
      </top>
      <bottom style="thin">
        <color rgb="FF8B0000"/>
      </bottom>
    </border>
    <border>
      <right style="thin">
        <color rgb="FFA6A6A6"/>
      </right>
      <top style="thin">
        <color rgb="FFA6A6A6"/>
      </top>
      <bottom style="thin">
        <color rgb="FFA6A6A6"/>
      </bottom>
    </border>
    <border>
      <left/>
      <right/>
      <bottom style="thin">
        <color rgb="FFD2E0E6"/>
      </bottom>
    </border>
    <border>
      <left/>
      <right/>
      <bottom style="thin">
        <color rgb="FFE2E8EB"/>
      </bottom>
    </border>
    <border>
      <right style="thin">
        <color rgb="FFFFFFFF"/>
      </right>
      <top style="thin">
        <color rgb="FF8B0000"/>
      </top>
      <bottom style="thin">
        <color rgb="FF8B0000"/>
      </bottom>
    </border>
    <border>
      <left style="thin">
        <color rgb="FFA6A6A6"/>
      </left>
      <top style="thin">
        <color rgb="FFA6A6A6"/>
      </top>
      <bottom style="thin">
        <color rgb="FF9AA9BC"/>
      </bottom>
    </border>
    <border>
      <top style="thin">
        <color rgb="FFA6A6A6"/>
      </top>
      <bottom style="thin">
        <color rgb="FF9AA9BC"/>
      </bottom>
    </border>
    <border>
      <left style="thin">
        <color rgb="FFBFBFBF"/>
      </left>
      <right style="thin">
        <color rgb="FFBFBFBF"/>
      </right>
      <top style="thin">
        <color rgb="FFBFBFBF"/>
      </top>
      <bottom style="thin">
        <color rgb="FF9AA9BC"/>
      </bottom>
    </border>
    <border>
      <top style="thin">
        <color rgb="FFA6A6A6"/>
      </top>
      <bottom style="thin">
        <color rgb="FF17365D"/>
      </bottom>
    </border>
    <border>
      <left style="thin">
        <color rgb="FFBFBFBF"/>
      </left>
      <top style="thin">
        <color rgb="FFBFBFBF"/>
      </top>
      <bottom style="thin">
        <color rgb="FF9AA9BC"/>
      </bottom>
    </border>
    <border>
      <left/>
      <right/>
      <bottom style="thin">
        <color rgb="FFDDE5E9"/>
      </bottom>
    </border>
    <border>
      <top style="thin">
        <color rgb="FFBFBFBF"/>
      </top>
      <bottom style="thin">
        <color rgb="FF9AA9BC"/>
      </bottom>
    </border>
    <border>
      <left/>
      <bottom style="thin">
        <color rgb="FFDDE5E9"/>
      </bottom>
    </border>
    <border>
      <right style="thin">
        <color rgb="FFA6A6A6"/>
      </right>
      <bottom style="thin">
        <color rgb="FFA6A6A6"/>
      </bottom>
    </border>
    <border>
      <left style="thin">
        <color rgb="FFB7C7CF"/>
      </left>
      <right style="thin">
        <color rgb="FFB7C7CF"/>
      </right>
      <bottom style="thin">
        <color rgb="FFDDE5E9"/>
      </bottom>
    </border>
    <border>
      <right style="thin">
        <color rgb="FFBFBFBF"/>
      </right>
      <top style="thin">
        <color rgb="FFBFBFBF"/>
      </top>
      <bottom style="thin">
        <color rgb="FF9AA9BC"/>
      </bottom>
    </border>
    <border>
      <right style="thin">
        <color rgb="FFB4C6E7"/>
      </right>
      <bottom style="thin">
        <color rgb="FFB4C6E7"/>
      </bottom>
    </border>
    <border>
      <left style="thin">
        <color rgb="FF9C0006"/>
      </left>
      <right style="thin">
        <color rgb="FF9C0006"/>
      </right>
    </border>
    <border>
      <right style="thin">
        <color rgb="FFA6A6A6"/>
      </right>
      <top style="thin">
        <color rgb="FFA6A6A6"/>
      </top>
      <bottom style="thin">
        <color rgb="FF17365D"/>
      </bottom>
    </border>
    <border>
      <left style="thin">
        <color rgb="FFD9E2F3"/>
      </left>
      <right style="thin">
        <color rgb="FFD9E2F3"/>
      </right>
    </border>
    <border>
      <right style="thin">
        <color rgb="FFA6A6A6"/>
      </right>
      <top style="thin">
        <color rgb="FFA6A6A6"/>
      </top>
      <bottom style="thin">
        <color rgb="FF9AA9BC"/>
      </bottom>
    </border>
    <border>
      <left style="thin">
        <color rgb="FFA6A6A6"/>
      </left>
      <top style="thin">
        <color rgb="FFA6A6A6"/>
      </top>
      <bottom style="thin">
        <color rgb="FF17365D"/>
      </bottom>
    </border>
    <border>
      <left style="thin">
        <color rgb="FFD9E2F3"/>
      </left>
    </border>
    <border>
      <left style="thin">
        <color rgb="FFB7C7CF"/>
      </left>
      <right style="thin">
        <color rgb="FFB7C7CF"/>
      </right>
      <bottom style="thin">
        <color rgb="FFE2E8EB"/>
      </bottom>
    </border>
    <border>
      <left style="thin">
        <color rgb="FF9FBAD0"/>
      </left>
      <right style="thin">
        <color rgb="FFD9E2F3"/>
      </right>
    </border>
    <border>
      <top style="thin">
        <color rgb="FF5B9BD5"/>
      </top>
      <bottom style="thin">
        <color rgb="FF17365D"/>
      </bottom>
    </border>
    <border>
      <top style="thin">
        <color rgb="FF2F5597"/>
      </top>
      <bottom style="thin">
        <color rgb="FF17365D"/>
      </bottom>
    </border>
    <border>
      <right style="thin">
        <color rgb="FFD9E2F3"/>
      </right>
    </border>
    <border>
      <left style="thin">
        <color rgb="FFB7C7CF"/>
      </left>
      <right style="thin">
        <color rgb="FFB7C7CF"/>
      </right>
    </border>
    <border>
      <left style="thin">
        <color rgb="FF9FBAD0"/>
      </left>
    </border>
    <border>
      <left style="thin">
        <color rgb="FFA6A6A6"/>
      </left>
      <right style="thin">
        <color rgb="FFA6A6A6"/>
      </right>
      <bottom style="thin">
        <color rgb="FFA6A6A6"/>
      </bottom>
    </border>
    <border>
      <left/>
      <top style="thin">
        <color rgb="FF365F73"/>
      </top>
    </border>
    <border>
      <top style="thin">
        <color rgb="FF365F73"/>
      </top>
    </border>
    <border>
      <right/>
      <top style="thin">
        <color rgb="FF365F73"/>
      </top>
    </border>
    <border>
      <left style="thin">
        <color rgb="FF1D2330"/>
      </left>
      <bottom style="thin">
        <color rgb="FF1D2330"/>
      </bottom>
    </border>
    <border>
      <right/>
      <top style="thin">
        <color rgb="FF8B0000"/>
      </top>
      <bottom style="thin">
        <color rgb="FF8B0000"/>
      </bottom>
    </border>
    <border>
      <top style="double">
        <color rgb="FF1D4E78"/>
      </top>
    </border>
    <border>
      <left/>
      <top style="thin">
        <color rgb="FF8B0000"/>
      </top>
      <bottom style="thin">
        <color rgb="FF8B0000"/>
      </bottom>
    </border>
    <border>
      <left style="thin">
        <color rgb="FF9FBAD0"/>
      </left>
      <bottom style="thin">
        <color rgb="FFD7DEE8"/>
      </bottom>
    </border>
    <border>
      <left style="thin">
        <color rgb="FFD9D9D9"/>
      </left>
      <right style="thin">
        <color rgb="FFD9D9D9"/>
      </right>
      <top style="thin">
        <color rgb="FFD9D9D9"/>
      </top>
      <bottom style="thin">
        <color rgb="FFD9D9D9"/>
      </bottom>
    </border>
    <border>
      <right style="thin">
        <color rgb="FFD9E2F3"/>
      </right>
      <top style="thin">
        <color rgb="FFD9E2F3"/>
      </top>
      <bottom style="thin">
        <color rgb="FFD7DEE8"/>
      </bottom>
    </border>
    <border>
      <left style="thin">
        <color rgb="FFD9E2F3"/>
      </left>
      <right style="thin">
        <color rgb="FFD9E2F3"/>
      </right>
      <top style="thin">
        <color rgb="FFD9E2F3"/>
      </top>
      <bottom style="thin">
        <color rgb="FFD7DEE8"/>
      </bottom>
    </border>
    <border>
      <right/>
      <top style="thin">
        <color rgb="FF365F73"/>
      </top>
      <bottom style="thin">
        <color rgb="FFD7DEE8"/>
      </bottom>
    </border>
    <border>
      <left/>
      <right/>
      <top style="thin">
        <color rgb="FF365F73"/>
      </top>
      <bottom style="thin">
        <color rgb="FFD7DEE8"/>
      </bottom>
    </border>
    <border>
      <left/>
      <top style="thin">
        <color rgb="FF365F73"/>
      </top>
      <bottom style="thin">
        <color rgb="FFD7DEE8"/>
      </bottom>
    </border>
    <border>
      <left style="thin">
        <color rgb="FF9FBAD0"/>
      </left>
      <right/>
      <top style="thin">
        <color rgb="FF365F73"/>
      </top>
      <bottom style="thin">
        <color rgb="FFD7DEE8"/>
      </bottom>
    </border>
    <border>
      <left style="thin">
        <color rgb="FF24586E"/>
      </left>
      <right style="thin">
        <color rgb="FF24586E"/>
      </right>
      <top style="thin">
        <color rgb="FF24586E"/>
      </top>
    </border>
    <border>
      <left style="thin">
        <color rgb="FFD9D9D9"/>
      </left>
      <right style="thin">
        <color rgb="FFD9D9D9"/>
      </right>
      <top style="thin">
        <color rgb="FFD9D9D9"/>
      </top>
    </border>
    <border>
      <left style="thin">
        <color rgb="FFD9D9D9"/>
      </left>
      <right style="thin">
        <color rgb="FFD9D9D9"/>
      </right>
      <top style="thin">
        <color rgb="FFD9D9D9"/>
      </top>
      <bottom style="thin">
        <color rgb="FFD7DEE8"/>
      </bottom>
    </border>
    <border>
      <right style="thin">
        <color rgb="FFC7D7DF"/>
      </right>
      <top style="thin">
        <color rgb="FFD7DEE8"/>
      </top>
      <bottom style="thin">
        <color rgb="FFD7DEE8"/>
      </bottom>
    </border>
    <border>
      <left/>
      <right style="thin">
        <color rgb="FFC7D7DF"/>
      </right>
      <top style="thin">
        <color rgb="FFD7DEE8"/>
      </top>
      <bottom style="thin">
        <color rgb="FFD7DEE8"/>
      </bottom>
    </border>
    <border>
      <left style="thin">
        <color rgb="FF9FBAD0"/>
      </left>
      <top style="thin">
        <color rgb="FF365F73"/>
      </top>
      <bottom style="thin">
        <color rgb="FFD7DEE8"/>
      </bottom>
    </border>
    <border>
      <left style="thin">
        <color rgb="FFC7D7DF"/>
      </left>
      <right style="thin">
        <color rgb="FFC7D7DF"/>
      </right>
    </border>
    <border>
      <left style="thin">
        <color rgb="FF24586E"/>
      </left>
      <right style="thin">
        <color rgb="FF24586E"/>
      </right>
    </border>
    <border>
      <left style="thin">
        <color rgb="FFC6595C"/>
      </left>
      <right style="thin">
        <color rgb="FFC6595C"/>
      </right>
      <top style="thin">
        <color rgb="FF365F73"/>
      </top>
      <bottom style="thin">
        <color rgb="FFD7DEE8"/>
      </bottom>
    </border>
    <border>
      <right style="thin">
        <color rgb="FFC7D7DF"/>
      </right>
      <top style="thin">
        <color rgb="FF365F73"/>
      </top>
      <bottom style="thin">
        <color rgb="FFD7DEE8"/>
      </bottom>
    </border>
    <border>
      <right style="thin">
        <color rgb="FFD8E2E7"/>
      </right>
      <top style="thin">
        <color rgb="FF365F73"/>
      </top>
      <bottom style="thin">
        <color rgb="FFD7DEE8"/>
      </bottom>
    </border>
    <border>
      <right style="thin">
        <color rgb="FFE0B5B5"/>
      </right>
      <top style="thin">
        <color rgb="FF365F73"/>
      </top>
      <bottom style="thin">
        <color rgb="FFD7DEE8"/>
      </bottom>
    </border>
    <border>
      <top style="thin">
        <color rgb="FF365F73"/>
      </top>
      <bottom style="thin">
        <color rgb="FFD7DEE8"/>
      </bottom>
    </border>
    <border>
      <left style="thin">
        <color rgb="FFD9E2F3"/>
      </left>
      <right style="thin">
        <color rgb="FFD9E2F3"/>
      </right>
      <top style="thin">
        <color rgb="FFD7DEE8"/>
      </top>
      <bottom style="thin">
        <color rgb="FFD7DEE8"/>
      </bottom>
    </border>
    <border>
      <right style="thin">
        <color rgb="FFD8E2E7"/>
      </right>
      <top style="thin">
        <color rgb="FF365F73"/>
      </top>
    </border>
    <border>
      <left style="thin">
        <color rgb="FFD8E2E7"/>
      </left>
      <right style="thin">
        <color rgb="FFD8E2E7"/>
      </right>
      <top style="thin">
        <color rgb="FF365F73"/>
      </top>
    </border>
    <border>
      <top style="thin">
        <color rgb="FF5B9BD5"/>
      </top>
    </border>
    <border>
      <top style="thin">
        <color rgb="FF2F5597"/>
      </top>
    </border>
    <border>
      <right style="thin">
        <color rgb="FFD9E2F3"/>
      </right>
      <top style="thin">
        <color rgb="FF365F73"/>
      </top>
      <bottom style="thin">
        <color rgb="FFD7DEE8"/>
      </bottom>
    </border>
    <border>
      <left style="thin">
        <color rgb="FFC00000"/>
      </left>
      <top style="thin">
        <color rgb="FFC00000"/>
      </top>
      <bottom style="thin">
        <color rgb="FFC00000"/>
      </bottom>
    </border>
    <border>
      <top style="thin">
        <color rgb="FFC00000"/>
      </top>
      <bottom style="thin">
        <color rgb="FFC00000"/>
      </bottom>
    </border>
    <border>
      <left/>
      <top style="thin">
        <color rgb="FFD7DEE8"/>
      </top>
      <bottom style="thin">
        <color rgb="FFD7DEE8"/>
      </bottom>
    </border>
    <border>
      <right style="thin">
        <color rgb="FFC00000"/>
      </right>
      <top style="thin">
        <color rgb="FFC00000"/>
      </top>
      <bottom style="thin">
        <color rgb="FFC00000"/>
      </bottom>
    </border>
    <border>
      <left style="thin">
        <color rgb="FFD9D9D9"/>
      </left>
      <right style="thin">
        <color rgb="FFD9D9D9"/>
      </right>
      <top style="thin">
        <color rgb="FF365F73"/>
      </top>
      <bottom style="thin">
        <color rgb="FFD7DEE8"/>
      </bottom>
    </border>
    <border>
      <right style="thin">
        <color rgb="FFD9E2F3"/>
      </right>
      <top style="thin">
        <color rgb="FFD7DEE8"/>
      </top>
      <bottom style="thin">
        <color rgb="FFD7DEE8"/>
      </bottom>
    </border>
    <border>
      <left/>
      <top style="thin">
        <color rgb="FFD7DEE8"/>
      </top>
    </border>
    <border>
      <bottom style="thin">
        <color rgb="FFE0E0E0"/>
      </bottom>
    </border>
    <border>
      <left style="thin">
        <color rgb="FFD9D9D9"/>
      </left>
      <right style="thin">
        <color rgb="FFD9D9D9"/>
      </right>
      <top style="thin">
        <color rgb="FF365F73"/>
      </top>
      <bottom style="thin">
        <color rgb="FFD9D9D9"/>
      </bottom>
    </border>
    <border>
      <left style="thin">
        <color rgb="FFC00000"/>
      </left>
      <right style="thin">
        <color rgb="FFC00000"/>
      </right>
      <top style="thin">
        <color rgb="FFC00000"/>
      </top>
      <bottom style="thin">
        <color rgb="FFC00000"/>
      </bottom>
    </border>
    <border>
      <bottom style="thin">
        <color rgb="FFD9E2F3"/>
      </bottom>
    </border>
    <border>
      <bottom style="thin">
        <color rgb="FFE7E6E6"/>
      </bottom>
    </border>
    <border>
      <bottom style="thin">
        <color rgb="FF9AA9BC"/>
      </bottom>
    </border>
    <border>
      <left style="thin">
        <color rgb="FFC7D7DF"/>
      </left>
      <top style="thin">
        <color rgb="FF365F73"/>
      </top>
    </border>
    <border>
      <right style="thin">
        <color rgb="FFD9E2F3"/>
      </right>
      <top style="thin">
        <color rgb="FFD9E2F3"/>
      </top>
    </border>
    <border>
      <left style="thin">
        <color rgb="FFD9E2F3"/>
      </left>
      <right style="thin">
        <color rgb="FFD9E2F3"/>
      </right>
      <top style="thin">
        <color rgb="FFD9E2F3"/>
      </top>
    </border>
    <border>
      <right style="thin">
        <color rgb="FFC7D7DF"/>
      </right>
      <top style="thin">
        <color rgb="FF365F73"/>
      </top>
    </border>
    <border>
      <left style="thin">
        <color rgb="FFC7D7DF"/>
      </left>
      <right style="thin">
        <color rgb="FFC7D7DF"/>
      </right>
      <top style="thin">
        <color rgb="FF365F73"/>
      </top>
    </border>
    <border>
      <left style="thin">
        <color rgb="FFD8E2E7"/>
      </left>
      <top style="thin">
        <color rgb="FF365F73"/>
      </top>
    </border>
    <border>
      <right style="thin">
        <color rgb="FFD8E2E7"/>
      </right>
    </border>
    <border>
      <left style="thin">
        <color rgb="FFD9D9D9"/>
      </left>
      <right style="thin">
        <color rgb="FFD9D9D9"/>
      </right>
      <top style="thin">
        <color rgb="FF365F73"/>
      </top>
    </border>
    <border>
      <right style="thin">
        <color rgb="FFD9E2F3"/>
      </right>
      <top style="thin">
        <color rgb="FF365F73"/>
      </top>
    </border>
    <border>
      <left style="thin">
        <color rgb="FFC7D7DF"/>
      </left>
      <right style="thin">
        <color rgb="FFC7D7DF"/>
      </right>
      <top style="thin">
        <color rgb="FFC7D6DE"/>
      </top>
      <bottom style="thin">
        <color rgb="FFD7DEE8"/>
      </bottom>
    </border>
    <border>
      <left style="thin">
        <color rgb="FFC7D7DF"/>
      </left>
      <right style="thin">
        <color rgb="FFC7D7DF"/>
      </right>
      <top style="thin">
        <color rgb="FFC7D6DE"/>
      </top>
    </border>
    <border>
      <left style="thin">
        <color rgb="FFC7D7DF"/>
      </left>
      <right style="thin">
        <color rgb="FFC7D7DF"/>
      </right>
      <top style="thin">
        <color rgb="FFD7DEE8"/>
      </top>
      <bottom style="thin">
        <color rgb="FFD7DEE8"/>
      </bottom>
    </border>
    <border>
      <bottom style="thin">
        <color rgb="FFECEFF1"/>
      </bottom>
    </border>
    <border>
      <left/>
      <bottom style="thin">
        <color rgb="FFD7DEE8"/>
      </bottom>
    </border>
    <border>
      <right style="thin">
        <color rgb="FFC7D7DF"/>
      </right>
      <top style="thin">
        <color rgb="FFD7DEE8"/>
      </top>
    </border>
    <border>
      <left style="thin">
        <color rgb="FFD9E2F3"/>
      </left>
      <right style="thin">
        <color rgb="FFD9E2F3"/>
      </right>
      <bottom style="thin">
        <color rgb="FFD7DEE8"/>
      </bottom>
    </border>
    <border>
      <left style="thin">
        <color rgb="FFD9E2F3"/>
      </left>
      <right style="thin">
        <color rgb="FFD9E2F3"/>
      </right>
      <top style="thin">
        <color rgb="FF365F73"/>
      </top>
      <bottom style="thin">
        <color rgb="FFD7DEE8"/>
      </bottom>
    </border>
    <border>
      <left style="thin">
        <color rgb="FFD9E2F3"/>
      </left>
      <right style="thin">
        <color rgb="FFD9E2F3"/>
      </right>
      <top style="thin">
        <color rgb="FF365F73"/>
      </top>
    </border>
    <border>
      <left style="thin">
        <color rgb="FFD9E2F3"/>
      </left>
      <right style="thin">
        <color rgb="FFD9E2F3"/>
      </right>
      <top style="thin">
        <color rgb="FF365F73"/>
      </top>
      <bottom style="thin">
        <color rgb="FFD9E2F3"/>
      </bottom>
    </border>
    <border>
      <bottom style="thin">
        <color rgb="FFDCE7ED"/>
      </bottom>
    </border>
    <border>
      <left/>
      <top style="thin">
        <color rgb="FFD7DEE8"/>
      </top>
      <bottom style="thin">
        <color rgb="FFDCE7ED"/>
      </bottom>
    </border>
    <border>
      <left style="thin">
        <color rgb="FFFFFFFF"/>
      </left>
      <right/>
      <top style="thin">
        <color rgb="FF8B0000"/>
      </top>
      <bottom style="thin">
        <color rgb="FF8B0000"/>
      </bottom>
    </border>
    <border>
      <left style="thin">
        <color rgb="FF082536"/>
      </left>
      <right style="thin">
        <color rgb="FF082536"/>
      </right>
      <top style="thin">
        <color rgb="FF082536"/>
      </top>
    </border>
    <border>
      <left style="thin">
        <color rgb="FFD9E2F3"/>
      </left>
      <right style="thin">
        <color rgb="FFD9E2F3"/>
      </right>
      <top style="thin">
        <color rgb="FFD7DEE8"/>
      </top>
      <bottom style="thin">
        <color rgb="FFD9E2F3"/>
      </bottom>
    </border>
    <border>
      <right style="thin">
        <color rgb="FFC7D7DF"/>
      </right>
      <top style="thin">
        <color rgb="FFD7DEE8"/>
      </top>
      <bottom style="thin">
        <color rgb="FFC7D7DF"/>
      </bottom>
    </border>
    <border>
      <left style="thin">
        <color rgb="FFC7D7DF"/>
      </left>
      <right style="thin">
        <color rgb="FFC7D7DF"/>
      </right>
      <bottom style="thin">
        <color rgb="FFC7D7DF"/>
      </bottom>
    </border>
    <border>
      <left style="thin">
        <color rgb="FF4472C4"/>
      </left>
      <right style="thin">
        <color rgb="FF4472C4"/>
      </right>
      <top style="thin">
        <color rgb="FF4472C4"/>
      </top>
      <bottom style="thin">
        <color rgb="FF4472C4"/>
      </bottom>
    </border>
    <border>
      <left style="thin">
        <color rgb="FFD9E2F3"/>
      </left>
      <top style="thin">
        <color rgb="FFD9E2F3"/>
      </top>
      <bottom style="thin">
        <color rgb="FFD9E2F3"/>
      </bottom>
    </border>
    <border>
      <top style="thin">
        <color rgb="FFD9E2F3"/>
      </top>
      <bottom style="thin">
        <color rgb="FFD9E2F3"/>
      </bottom>
    </border>
    <border>
      <right style="thin">
        <color rgb="FFD9E2F3"/>
      </right>
      <top style="thin">
        <color rgb="FFD9E2F3"/>
      </top>
      <bottom style="thin">
        <color rgb="FFD9E2F3"/>
      </bottom>
    </border>
    <border>
      <bottom style="thin">
        <color rgb="FFB7CAD5"/>
      </bottom>
    </border>
    <border>
      <bottom style="thin">
        <color rgb="FFCAD9E1"/>
      </bottom>
    </border>
    <border>
      <bottom style="thin">
        <color rgb="FFD1DEE5"/>
      </bottom>
    </border>
    <border>
      <top style="thin">
        <color rgb="FF365F73"/>
      </top>
      <bottom style="thin">
        <color rgb="FFAAB7C4"/>
      </bottom>
    </border>
    <border>
      <left style="thin">
        <color rgb="FFFFFFFF"/>
      </left>
      <top style="thin">
        <color rgb="FFFFFFFF"/>
      </top>
      <bottom style="thin">
        <color rgb="FF1D2330"/>
      </bottom>
    </border>
    <border>
      <top style="thin">
        <color rgb="FFFFFFFF"/>
      </top>
      <bottom style="thin">
        <color rgb="FF1D2330"/>
      </bottom>
    </border>
    <border>
      <right style="thin">
        <color rgb="FFFFFFFF"/>
      </right>
      <top style="thin">
        <color rgb="FFFFFFFF"/>
      </top>
      <bottom style="thin">
        <color rgb="FF1D2330"/>
      </bottom>
    </border>
    <border>
      <left style="thin">
        <color rgb="FFA6A6A6"/>
      </left>
      <top style="thin">
        <color rgb="FFA6A6A6"/>
      </top>
      <bottom style="thin">
        <color rgb="FF1D2330"/>
      </bottom>
    </border>
    <border>
      <top style="thin">
        <color rgb="FFA6A6A6"/>
      </top>
      <bottom style="thin">
        <color rgb="FF1D2330"/>
      </bottom>
    </border>
    <border>
      <right style="thin">
        <color rgb="FFA6A6A6"/>
      </right>
      <top style="thin">
        <color rgb="FFA6A6A6"/>
      </top>
      <bottom style="thin">
        <color rgb="FF1D2330"/>
      </bottom>
    </border>
    <border>
      <right style="thin">
        <color rgb="FFB8D0DE"/>
      </right>
    </border>
    <border>
      <left style="thin">
        <color rgb="FFC7D7DF"/>
      </left>
      <right style="thin">
        <color rgb="FFC7D7DF"/>
      </right>
      <top style="thin">
        <color rgb="FFD7DEE8"/>
      </top>
      <bottom style="thin">
        <color rgb="FFC7D7DF"/>
      </bottom>
    </border>
    <border>
      <left style="thin">
        <color rgb="FFD9E2F3"/>
      </left>
      <right style="thin">
        <color rgb="FFFFFFFF"/>
      </right>
      <top style="thin">
        <color rgb="FFD9E2F3"/>
      </top>
      <bottom style="thin">
        <color rgb="FFD9E2F3"/>
      </bottom>
    </border>
    <border>
      <left style="thin">
        <color rgb="FFFFFFFF"/>
      </left>
      <right style="thin">
        <color rgb="FFFFFFFF"/>
      </right>
      <top style="thin">
        <color rgb="FFD9E2F3"/>
      </top>
      <bottom style="thin">
        <color rgb="FFD9E2F3"/>
      </bottom>
    </border>
    <border>
      <left style="thin">
        <color rgb="FFFFFFFF"/>
      </left>
      <right style="thin">
        <color rgb="FFFFFFFF"/>
      </right>
      <top style="thin">
        <color rgb="FFD9E2F3"/>
      </top>
    </border>
    <border>
      <left style="thin">
        <color rgb="FFFFFFFF"/>
      </left>
      <right style="thin">
        <color rgb="FFD9E2F3"/>
      </right>
      <top style="thin">
        <color rgb="FFD9E2F3"/>
      </top>
      <bottom style="thin">
        <color rgb="FFD9E2F3"/>
      </bottom>
    </border>
    <border>
      <left/>
      <right/>
      <bottom style="thin">
        <color rgb="FFD7DEE8"/>
      </bottom>
    </border>
    <border>
      <left/>
      <right/>
      <top style="thin">
        <color rgb="FFD7DEE8"/>
      </top>
      <bottom style="thin">
        <color rgb="FFD7DEE8"/>
      </bottom>
    </border>
    <border>
      <left style="thin">
        <color rgb="FF6FA9BD"/>
      </left>
      <right style="thin">
        <color rgb="FF6FA9BD"/>
      </right>
      <top style="thin">
        <color rgb="FF6FA9BD"/>
      </top>
    </border>
    <border>
      <left style="thin">
        <color rgb="FFBDD9E4"/>
      </left>
      <right style="thin">
        <color rgb="FFBDD9E4"/>
      </right>
      <top style="thin">
        <color rgb="FFBDD9E4"/>
      </top>
      <bottom style="thin">
        <color rgb="FFBDD9E4"/>
      </bottom>
    </border>
    <border>
      <top style="thin">
        <color rgb="FFD7DEE8"/>
      </top>
    </border>
    <border>
      <left/>
      <top/>
      <bottom style="thin">
        <color rgb="FF17365D"/>
      </bottom>
    </border>
    <border>
      <top/>
      <bottom style="thin">
        <color rgb="FF17365D"/>
      </bottom>
    </border>
    <border>
      <right/>
      <top/>
      <bottom style="thin">
        <color rgb="FF17365D"/>
      </bottom>
    </border>
    <border>
      <left/>
      <bottom style="thin">
        <color rgb="FF9FBAD0"/>
      </bottom>
    </border>
    <border>
      <bottom style="thin">
        <color rgb="FF9FBAD0"/>
      </bottom>
    </border>
    <border>
      <right/>
      <bottom style="thin">
        <color rgb="FF9FBAD0"/>
      </bottom>
    </border>
    <border>
      <left/>
      <top style="thin">
        <color rgb="FF17365D"/>
      </top>
      <bottom style="thin">
        <color rgb="FF17365D"/>
      </bottom>
    </border>
    <border>
      <top style="thin">
        <color rgb="FF17365D"/>
      </top>
      <bottom style="thin">
        <color rgb="FF17365D"/>
      </bottom>
    </border>
    <border>
      <right/>
      <top style="thin">
        <color rgb="FF17365D"/>
      </top>
      <bottom style="thin">
        <color rgb="FF17365D"/>
      </bottom>
    </border>
    <border>
      <left/>
      <right style="thin">
        <color rgb="FFFFFFFF"/>
      </right>
      <bottom style="thin">
        <color rgb="FF9FBAD0"/>
      </bottom>
    </border>
    <border>
      <left style="thin">
        <color rgb="FFFFFFFF"/>
      </left>
      <right style="thin">
        <color rgb="FFFFFFFF"/>
      </right>
      <bottom style="thin">
        <color rgb="FF9FBAD0"/>
      </bottom>
    </border>
    <border>
      <left style="thin">
        <color rgb="FFFFFFFF"/>
      </left>
      <right/>
      <bottom style="thin">
        <color rgb="FF9FBAD0"/>
      </bottom>
    </border>
    <border>
      <left/>
      <top/>
      <bottom/>
    </border>
    <border>
      <top/>
      <bottom/>
    </border>
    <border>
      <right/>
      <top/>
      <bottom/>
    </border>
    <border>
      <left/>
      <right/>
      <top style="thin">
        <color rgb="FFD7DEE8"/>
      </top>
      <bottom/>
    </border>
    <border>
      <left style="thin">
        <color rgb="FFC9B458"/>
      </left>
      <right style="thin">
        <color rgb="FFC9B458"/>
      </right>
      <top style="thin">
        <color rgb="FFC9B458"/>
      </top>
      <bottom style="thin">
        <color rgb="FFC9B458"/>
      </bottom>
    </border>
    <border>
      <bottom style="thin">
        <color rgb="FF7F7F7F"/>
      </bottom>
    </border>
    <border>
      <bottom style="double">
        <color rgb="FF000000"/>
      </bottom>
    </border>
    <border>
      <left style="thin">
        <color rgb="FF4472C4"/>
      </left>
      <top style="thin">
        <color rgb="FF4472C4"/>
      </top>
    </border>
    <border>
      <top style="thin">
        <color rgb="FF4472C4"/>
      </top>
    </border>
    <border>
      <left style="thin">
        <color rgb="FF70AD47"/>
      </left>
      <top style="thin">
        <color rgb="FF70AD47"/>
      </top>
    </border>
    <border>
      <top style="thin">
        <color rgb="FF70AD47"/>
      </top>
    </border>
    <border>
      <left style="thin">
        <color rgb="FFC00000"/>
      </left>
      <top style="thin">
        <color rgb="FFC00000"/>
      </top>
    </border>
    <border>
      <right style="thin">
        <color rgb="FFC00000"/>
      </right>
      <top style="thin">
        <color rgb="FFC00000"/>
      </top>
    </border>
    <border>
      <left style="thin">
        <color rgb="FFBF9000"/>
      </left>
      <top style="thin">
        <color rgb="FFBF9000"/>
      </top>
      <bottom style="thin">
        <color rgb="FFBF9000"/>
      </bottom>
    </border>
    <border>
      <top style="thin">
        <color rgb="FFBF9000"/>
      </top>
      <bottom style="thin">
        <color rgb="FFBF9000"/>
      </bottom>
    </border>
    <border>
      <right style="thin">
        <color rgb="FF4472C4"/>
      </right>
      <top style="thin">
        <color rgb="FF4472C4"/>
      </top>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top style="thin">
        <color rgb="FFBFBFBF"/>
      </top>
      <bottom style="thin">
        <color rgb="FF1D2330"/>
      </bottom>
    </border>
    <border>
      <left style="thin">
        <color rgb="FFBF9000"/>
      </left>
      <top style="thin">
        <color rgb="FFBF9000"/>
      </top>
    </border>
    <border>
      <top style="thin">
        <color rgb="FFBF9000"/>
      </top>
    </border>
    <border>
      <top style="thin">
        <color rgb="FF70AD47"/>
      </top>
      <bottom style="thin">
        <color rgb="FF70AD47"/>
      </bottom>
    </border>
    <border>
      <top style="thin">
        <color rgb="FFBFBFBF"/>
      </top>
    </border>
    <border>
      <bottom style="thin">
        <color rgb="FFB8D0DE"/>
      </bottom>
    </border>
    <border>
      <right style="thin">
        <color rgb="FFB8D0DE"/>
      </right>
      <bottom style="thin">
        <color rgb="FFB8D0DE"/>
      </bottom>
    </border>
  </borders>
  <cellStyleXfs count="1">
    <xf borderId="0" fillId="0" fontId="0" numFmtId="0" applyAlignment="1" applyFont="1"/>
  </cellStyleXfs>
  <cellXfs count="833">
    <xf borderId="0" fillId="0" fontId="0" numFmtId="0" xfId="0" applyAlignment="1" applyFont="1">
      <alignment readingOrder="0" shrinkToFit="0" vertical="bottom" wrapText="0"/>
    </xf>
    <xf borderId="1" fillId="2" fontId="1" numFmtId="164" xfId="0" applyAlignment="1" applyBorder="1" applyFill="1" applyFont="1" applyNumberFormat="1">
      <alignment horizontal="left" readingOrder="0"/>
    </xf>
    <xf borderId="2" fillId="3" fontId="2" numFmtId="164" xfId="0" applyAlignment="1" applyBorder="1" applyFill="1" applyFont="1" applyNumberFormat="1">
      <alignment horizontal="left" readingOrder="0"/>
    </xf>
    <xf borderId="1" fillId="2" fontId="1" numFmtId="164" xfId="0" applyAlignment="1" applyBorder="1" applyFont="1" applyNumberFormat="1">
      <alignment horizontal="left"/>
    </xf>
    <xf borderId="2" fillId="3" fontId="2" numFmtId="164" xfId="0" applyAlignment="1" applyBorder="1" applyFont="1" applyNumberFormat="1">
      <alignment horizontal="left"/>
    </xf>
    <xf borderId="3" fillId="2" fontId="1" numFmtId="164" xfId="0" applyAlignment="1" applyBorder="1" applyFont="1" applyNumberFormat="1">
      <alignment horizontal="left" readingOrder="0" vertical="center"/>
    </xf>
    <xf borderId="4" fillId="0" fontId="3" numFmtId="0" xfId="0" applyBorder="1" applyFont="1"/>
    <xf borderId="2" fillId="4" fontId="4" numFmtId="164" xfId="0" applyAlignment="1" applyBorder="1" applyFill="1" applyFont="1" applyNumberFormat="1">
      <alignment horizontal="left" readingOrder="0"/>
    </xf>
    <xf borderId="0" fillId="5" fontId="5" numFmtId="164" xfId="0" applyAlignment="1" applyFill="1" applyFont="1" applyNumberFormat="1">
      <alignment horizontal="left" readingOrder="0"/>
    </xf>
    <xf borderId="2" fillId="4" fontId="4" numFmtId="164" xfId="0" applyAlignment="1" applyBorder="1" applyFont="1" applyNumberFormat="1">
      <alignment horizontal="left"/>
    </xf>
    <xf borderId="0" fillId="6" fontId="6" numFmtId="164" xfId="0" applyAlignment="1" applyFill="1" applyFont="1" applyNumberFormat="1">
      <alignment horizontal="left" readingOrder="0"/>
    </xf>
    <xf borderId="5" fillId="0" fontId="3" numFmtId="0" xfId="0" applyBorder="1" applyFont="1"/>
    <xf borderId="2" fillId="6" fontId="6" numFmtId="164" xfId="0" applyAlignment="1" applyBorder="1" applyFont="1" applyNumberFormat="1">
      <alignment horizontal="left" readingOrder="0"/>
    </xf>
    <xf borderId="6" fillId="7" fontId="7" numFmtId="164" xfId="0" applyAlignment="1" applyBorder="1" applyFill="1" applyFont="1" applyNumberFormat="1">
      <alignment horizontal="left" readingOrder="0"/>
    </xf>
    <xf borderId="0" fillId="5" fontId="5" numFmtId="164" xfId="0" applyAlignment="1" applyFont="1" applyNumberFormat="1">
      <alignment horizontal="left"/>
    </xf>
    <xf borderId="7" fillId="8" fontId="8" numFmtId="164" xfId="0" applyAlignment="1" applyBorder="1" applyFill="1" applyFont="1" applyNumberFormat="1">
      <alignment horizontal="left" readingOrder="0" shrinkToFit="0" vertical="center" wrapText="1"/>
    </xf>
    <xf borderId="8" fillId="0" fontId="3" numFmtId="0" xfId="0" applyBorder="1" applyFont="1"/>
    <xf borderId="0" fillId="6" fontId="6" numFmtId="164" xfId="0" applyAlignment="1" applyFont="1" applyNumberFormat="1">
      <alignment horizontal="left"/>
    </xf>
    <xf borderId="9" fillId="0" fontId="3" numFmtId="0" xfId="0" applyBorder="1" applyFont="1"/>
    <xf borderId="0" fillId="5" fontId="9" numFmtId="0" xfId="0" applyAlignment="1" applyFont="1">
      <alignment horizontal="left"/>
    </xf>
    <xf borderId="6" fillId="7" fontId="7" numFmtId="164" xfId="0" applyAlignment="1" applyBorder="1" applyFont="1" applyNumberFormat="1">
      <alignment horizontal="left"/>
    </xf>
    <xf borderId="10" fillId="9" fontId="10" numFmtId="164" xfId="0" applyAlignment="1" applyBorder="1" applyFill="1" applyFont="1" applyNumberFormat="1">
      <alignment horizontal="center" readingOrder="0" vertical="center"/>
    </xf>
    <xf borderId="11" fillId="0" fontId="3" numFmtId="0" xfId="0" applyBorder="1" applyFont="1"/>
    <xf borderId="2" fillId="6" fontId="6" numFmtId="164" xfId="0" applyAlignment="1" applyBorder="1" applyFont="1" applyNumberFormat="1">
      <alignment horizontal="left"/>
    </xf>
    <xf borderId="0" fillId="5" fontId="5" numFmtId="165" xfId="0" applyAlignment="1" applyFont="1" applyNumberFormat="1">
      <alignment horizontal="right"/>
    </xf>
    <xf borderId="12" fillId="9" fontId="10" numFmtId="164" xfId="0" applyAlignment="1" applyBorder="1" applyFont="1" applyNumberFormat="1">
      <alignment horizontal="center" readingOrder="0" vertical="center"/>
    </xf>
    <xf borderId="13" fillId="0" fontId="3" numFmtId="0" xfId="0" applyBorder="1" applyFont="1"/>
    <xf borderId="14" fillId="10" fontId="6" numFmtId="164" xfId="0" applyAlignment="1" applyBorder="1" applyFill="1" applyFont="1" applyNumberFormat="1">
      <alignment horizontal="left" readingOrder="0"/>
    </xf>
    <xf borderId="14" fillId="10" fontId="6" numFmtId="164" xfId="0" applyAlignment="1" applyBorder="1" applyFont="1" applyNumberFormat="1">
      <alignment horizontal="left"/>
    </xf>
    <xf borderId="15" fillId="9" fontId="10" numFmtId="164" xfId="0" applyAlignment="1" applyBorder="1" applyFont="1" applyNumberFormat="1">
      <alignment horizontal="center" readingOrder="0" vertical="center"/>
    </xf>
    <xf borderId="16" fillId="0" fontId="3" numFmtId="0" xfId="0" applyBorder="1" applyFont="1"/>
    <xf borderId="2" fillId="4" fontId="11" numFmtId="164" xfId="0" applyAlignment="1" applyBorder="1" applyFont="1" applyNumberFormat="1">
      <alignment horizontal="center" readingOrder="0"/>
    </xf>
    <xf borderId="2" fillId="11" fontId="12" numFmtId="164" xfId="0" applyAlignment="1" applyBorder="1" applyFill="1" applyFont="1" applyNumberFormat="1">
      <alignment horizontal="left" readingOrder="0"/>
    </xf>
    <xf borderId="0" fillId="11" fontId="12" numFmtId="164" xfId="0" applyAlignment="1" applyFont="1" applyNumberFormat="1">
      <alignment horizontal="left"/>
    </xf>
    <xf borderId="17" fillId="5" fontId="5" numFmtId="164" xfId="0" applyAlignment="1" applyBorder="1" applyFont="1" applyNumberFormat="1">
      <alignment horizontal="left" readingOrder="0"/>
    </xf>
    <xf borderId="18" fillId="9" fontId="10" numFmtId="164" xfId="0" applyAlignment="1" applyBorder="1" applyFont="1" applyNumberFormat="1">
      <alignment horizontal="center" readingOrder="0" vertical="center"/>
    </xf>
    <xf borderId="17" fillId="5" fontId="5" numFmtId="164" xfId="0" applyAlignment="1" applyBorder="1" applyFont="1" applyNumberFormat="1">
      <alignment horizontal="left"/>
    </xf>
    <xf borderId="19" fillId="0" fontId="3" numFmtId="0" xfId="0" applyBorder="1" applyFont="1"/>
    <xf borderId="20" fillId="9" fontId="10" numFmtId="164" xfId="0" applyAlignment="1" applyBorder="1" applyFont="1" applyNumberFormat="1">
      <alignment horizontal="center"/>
    </xf>
    <xf borderId="2" fillId="4" fontId="11" numFmtId="164" xfId="0" applyAlignment="1" applyBorder="1" applyFont="1" applyNumberFormat="1">
      <alignment horizontal="center"/>
    </xf>
    <xf borderId="2" fillId="11" fontId="12" numFmtId="164" xfId="0" applyAlignment="1" applyBorder="1" applyFont="1" applyNumberFormat="1">
      <alignment horizontal="left"/>
    </xf>
    <xf borderId="0" fillId="5" fontId="13" numFmtId="164" xfId="0" applyAlignment="1" applyFont="1" applyNumberFormat="1">
      <alignment horizontal="left" readingOrder="0"/>
    </xf>
    <xf borderId="1" fillId="5" fontId="5" numFmtId="164" xfId="0" applyAlignment="1" applyBorder="1" applyFont="1" applyNumberFormat="1">
      <alignment horizontal="left" readingOrder="0"/>
    </xf>
    <xf borderId="21" fillId="12" fontId="14" numFmtId="1" xfId="0" applyAlignment="1" applyBorder="1" applyFill="1" applyFont="1" applyNumberFormat="1">
      <alignment horizontal="center" vertical="center"/>
    </xf>
    <xf borderId="22" fillId="0" fontId="3" numFmtId="0" xfId="0" applyBorder="1" applyFont="1"/>
    <xf borderId="0" fillId="5" fontId="13" numFmtId="164" xfId="0" applyAlignment="1" applyFont="1" applyNumberFormat="1">
      <alignment horizontal="left"/>
    </xf>
    <xf borderId="21" fillId="13" fontId="14" numFmtId="1" xfId="0" applyAlignment="1" applyBorder="1" applyFill="1" applyFont="1" applyNumberFormat="1">
      <alignment horizontal="center" vertical="center"/>
    </xf>
    <xf borderId="23" fillId="11" fontId="12" numFmtId="164" xfId="0" applyAlignment="1" applyBorder="1" applyFont="1" applyNumberFormat="1">
      <alignment horizontal="left"/>
    </xf>
    <xf borderId="21" fillId="14" fontId="15" numFmtId="1" xfId="0" applyAlignment="1" applyBorder="1" applyFill="1" applyFont="1" applyNumberFormat="1">
      <alignment horizontal="center" vertical="center"/>
    </xf>
    <xf borderId="1" fillId="5" fontId="5" numFmtId="164" xfId="0" applyAlignment="1" applyBorder="1" applyFont="1" applyNumberFormat="1">
      <alignment horizontal="left"/>
    </xf>
    <xf borderId="24" fillId="15" fontId="16" numFmtId="164" xfId="0" applyAlignment="1" applyBorder="1" applyFill="1" applyFont="1" applyNumberFormat="1">
      <alignment horizontal="center" readingOrder="0"/>
    </xf>
    <xf borderId="21" fillId="16" fontId="17" numFmtId="9" xfId="0" applyAlignment="1" applyBorder="1" applyFill="1" applyFont="1" applyNumberFormat="1">
      <alignment horizontal="center" vertical="center"/>
    </xf>
    <xf borderId="23" fillId="17" fontId="18" numFmtId="164" xfId="0" applyAlignment="1" applyBorder="1" applyFill="1" applyFont="1" applyNumberFormat="1">
      <alignment horizontal="left"/>
    </xf>
    <xf borderId="25" fillId="0" fontId="3" numFmtId="0" xfId="0" applyBorder="1" applyFont="1"/>
    <xf borderId="0" fillId="0" fontId="19" numFmtId="0" xfId="0" applyFont="1"/>
    <xf borderId="26" fillId="0" fontId="3" numFmtId="0" xfId="0" applyBorder="1" applyFont="1"/>
    <xf borderId="27" fillId="15" fontId="20" numFmtId="1" xfId="0" applyAlignment="1" applyBorder="1" applyFont="1" applyNumberFormat="1">
      <alignment horizontal="center"/>
    </xf>
    <xf borderId="0" fillId="0" fontId="19" numFmtId="164" xfId="0" applyAlignment="1" applyFont="1" applyNumberFormat="1">
      <alignment readingOrder="0"/>
    </xf>
    <xf borderId="28" fillId="15" fontId="16" numFmtId="164" xfId="0" applyAlignment="1" applyBorder="1" applyFont="1" applyNumberFormat="1">
      <alignment horizontal="center"/>
    </xf>
    <xf borderId="28" fillId="15" fontId="16" numFmtId="164" xfId="0" applyAlignment="1" applyBorder="1" applyFont="1" applyNumberFormat="1">
      <alignment horizontal="center" readingOrder="0"/>
    </xf>
    <xf borderId="29" fillId="18" fontId="11" numFmtId="164" xfId="0" applyAlignment="1" applyBorder="1" applyFill="1" applyFont="1" applyNumberFormat="1">
      <alignment horizontal="center" shrinkToFit="0" vertical="center" wrapText="1"/>
    </xf>
    <xf borderId="30" fillId="18" fontId="11" numFmtId="164" xfId="0" applyAlignment="1" applyBorder="1" applyFont="1" applyNumberFormat="1">
      <alignment horizontal="center" readingOrder="0" shrinkToFit="0" vertical="center" wrapText="1"/>
    </xf>
    <xf borderId="0" fillId="2" fontId="6" numFmtId="164" xfId="0" applyAlignment="1" applyFont="1" applyNumberFormat="1">
      <alignment horizontal="left" readingOrder="0"/>
    </xf>
    <xf borderId="31" fillId="18" fontId="11" numFmtId="164" xfId="0" applyAlignment="1" applyBorder="1" applyFont="1" applyNumberFormat="1">
      <alignment horizontal="center" readingOrder="0" shrinkToFit="0" vertical="center" wrapText="1"/>
    </xf>
    <xf borderId="0" fillId="10" fontId="6" numFmtId="164" xfId="0" applyAlignment="1" applyFont="1" applyNumberFormat="1">
      <alignment horizontal="left" readingOrder="0"/>
    </xf>
    <xf borderId="27" fillId="15" fontId="21" numFmtId="1" xfId="0" applyAlignment="1" applyBorder="1" applyFont="1" applyNumberFormat="1">
      <alignment horizontal="center"/>
    </xf>
    <xf borderId="32" fillId="19" fontId="22" numFmtId="164" xfId="0" applyAlignment="1" applyBorder="1" applyFill="1" applyFont="1" applyNumberFormat="1">
      <alignment horizontal="left" readingOrder="0"/>
    </xf>
    <xf borderId="0" fillId="0" fontId="19" numFmtId="164" xfId="0" applyFont="1" applyNumberFormat="1"/>
    <xf borderId="0" fillId="11" fontId="12" numFmtId="164" xfId="0" applyAlignment="1" applyFont="1" applyNumberFormat="1">
      <alignment horizontal="left" readingOrder="0"/>
    </xf>
    <xf borderId="32" fillId="11" fontId="12" numFmtId="164" xfId="0" applyAlignment="1" applyBorder="1" applyFont="1" applyNumberFormat="1">
      <alignment horizontal="left" readingOrder="0"/>
    </xf>
    <xf borderId="1" fillId="18" fontId="11" numFmtId="164" xfId="0" applyAlignment="1" applyBorder="1" applyFont="1" applyNumberFormat="1">
      <alignment horizontal="center"/>
    </xf>
    <xf borderId="0" fillId="10" fontId="6" numFmtId="164" xfId="0" applyAlignment="1" applyFont="1" applyNumberFormat="1">
      <alignment horizontal="left"/>
    </xf>
    <xf borderId="27" fillId="15" fontId="23" numFmtId="1" xfId="0" applyAlignment="1" applyBorder="1" applyFont="1" applyNumberFormat="1">
      <alignment horizontal="center"/>
    </xf>
    <xf borderId="29" fillId="18" fontId="11" numFmtId="164" xfId="0" applyAlignment="1" applyBorder="1" applyFont="1" applyNumberFormat="1">
      <alignment horizontal="center" readingOrder="0" shrinkToFit="0" vertical="center" wrapText="1"/>
    </xf>
    <xf borderId="33" fillId="20" fontId="24" numFmtId="164" xfId="0" applyAlignment="1" applyBorder="1" applyFill="1" applyFont="1" applyNumberFormat="1">
      <alignment horizontal="left"/>
    </xf>
    <xf borderId="34" fillId="18" fontId="11" numFmtId="164" xfId="0" applyAlignment="1" applyBorder="1" applyFont="1" applyNumberFormat="1">
      <alignment horizontal="center" readingOrder="0" shrinkToFit="0" vertical="center" wrapText="1"/>
    </xf>
    <xf borderId="35" fillId="8" fontId="25" numFmtId="164" xfId="0" applyAlignment="1" applyBorder="1" applyFont="1" applyNumberFormat="1">
      <alignment horizontal="center" readingOrder="0"/>
    </xf>
    <xf borderId="36" fillId="11" fontId="12" numFmtId="164" xfId="0" applyAlignment="1" applyBorder="1" applyFont="1" applyNumberFormat="1">
      <alignment horizontal="left" readingOrder="0"/>
    </xf>
    <xf borderId="37" fillId="5" fontId="5" numFmtId="164" xfId="0" applyAlignment="1" applyBorder="1" applyFont="1" applyNumberFormat="1">
      <alignment horizontal="left" readingOrder="0"/>
    </xf>
    <xf borderId="38" fillId="5" fontId="26" numFmtId="164" xfId="0" applyAlignment="1" applyBorder="1" applyFont="1" applyNumberFormat="1">
      <alignment horizontal="left" shrinkToFit="0" vertical="top" wrapText="1"/>
    </xf>
    <xf borderId="27" fillId="15" fontId="27" numFmtId="1" xfId="0" applyAlignment="1" applyBorder="1" applyFont="1" applyNumberFormat="1">
      <alignment horizontal="center"/>
    </xf>
    <xf borderId="39" fillId="11" fontId="12" numFmtId="164" xfId="0" applyAlignment="1" applyBorder="1" applyFont="1" applyNumberFormat="1">
      <alignment horizontal="left"/>
    </xf>
    <xf borderId="36" fillId="11" fontId="12" numFmtId="164" xfId="0" applyAlignment="1" applyBorder="1" applyFont="1" applyNumberFormat="1">
      <alignment horizontal="left"/>
    </xf>
    <xf borderId="38" fillId="21" fontId="28" numFmtId="1" xfId="0" applyAlignment="1" applyBorder="1" applyFill="1" applyFont="1" applyNumberFormat="1">
      <alignment horizontal="right" shrinkToFit="0" vertical="top" wrapText="1"/>
    </xf>
    <xf borderId="27" fillId="15" fontId="20" numFmtId="166" xfId="0" applyAlignment="1" applyBorder="1" applyFont="1" applyNumberFormat="1">
      <alignment horizontal="center"/>
    </xf>
    <xf borderId="1" fillId="2" fontId="29" numFmtId="164" xfId="0" applyAlignment="1" applyBorder="1" applyFont="1" applyNumberFormat="1">
      <alignment readingOrder="0"/>
    </xf>
    <xf borderId="33" fillId="20" fontId="24" numFmtId="164" xfId="0" applyAlignment="1" applyBorder="1" applyFont="1" applyNumberFormat="1">
      <alignment horizontal="left" readingOrder="0"/>
    </xf>
    <xf borderId="0" fillId="5" fontId="30" numFmtId="0" xfId="0" applyAlignment="1" applyFont="1">
      <alignment horizontal="center"/>
    </xf>
    <xf borderId="0" fillId="22" fontId="31" numFmtId="164" xfId="0" applyAlignment="1" applyFill="1" applyFont="1" applyNumberFormat="1">
      <alignment readingOrder="0"/>
    </xf>
    <xf borderId="38" fillId="5" fontId="26" numFmtId="164" xfId="0" applyAlignment="1" applyBorder="1" applyFont="1" applyNumberFormat="1">
      <alignment horizontal="left" readingOrder="0" shrinkToFit="0" vertical="top" wrapText="1"/>
    </xf>
    <xf borderId="0" fillId="10" fontId="11" numFmtId="164" xfId="0" applyAlignment="1" applyFont="1" applyNumberFormat="1">
      <alignment horizontal="left" readingOrder="0"/>
    </xf>
    <xf borderId="2" fillId="4" fontId="11" numFmtId="164" xfId="0" applyAlignment="1" applyBorder="1" applyFont="1" applyNumberFormat="1">
      <alignment horizontal="left" readingOrder="0"/>
    </xf>
    <xf borderId="14" fillId="10" fontId="11" numFmtId="164" xfId="0" applyAlignment="1" applyBorder="1" applyFont="1" applyNumberFormat="1">
      <alignment horizontal="left" readingOrder="0"/>
    </xf>
    <xf borderId="2" fillId="4" fontId="11" numFmtId="164" xfId="0" applyAlignment="1" applyBorder="1" applyFont="1" applyNumberFormat="1">
      <alignment horizontal="left"/>
    </xf>
    <xf borderId="14" fillId="10" fontId="11" numFmtId="164" xfId="0" applyAlignment="1" applyBorder="1" applyFont="1" applyNumberFormat="1">
      <alignment horizontal="left"/>
    </xf>
    <xf borderId="0" fillId="7" fontId="32" numFmtId="164" xfId="0" applyAlignment="1" applyFont="1" applyNumberFormat="1">
      <alignment horizontal="center" readingOrder="0"/>
    </xf>
    <xf borderId="6" fillId="7" fontId="33" numFmtId="164" xfId="0" applyAlignment="1" applyBorder="1" applyFont="1" applyNumberFormat="1">
      <alignment horizontal="center" readingOrder="0"/>
    </xf>
    <xf borderId="38" fillId="21" fontId="28" numFmtId="9" xfId="0" applyAlignment="1" applyBorder="1" applyFont="1" applyNumberFormat="1">
      <alignment horizontal="right" shrinkToFit="0" vertical="top" wrapText="1"/>
    </xf>
    <xf borderId="40" fillId="7" fontId="32" numFmtId="164" xfId="0" applyAlignment="1" applyBorder="1" applyFont="1" applyNumberFormat="1">
      <alignment horizontal="center" readingOrder="0"/>
    </xf>
    <xf borderId="0" fillId="23" fontId="34" numFmtId="164" xfId="0" applyAlignment="1" applyFill="1" applyFont="1" applyNumberFormat="1">
      <alignment horizontal="left"/>
    </xf>
    <xf borderId="37" fillId="7" fontId="35" numFmtId="164" xfId="0" applyAlignment="1" applyBorder="1" applyFont="1" applyNumberFormat="1">
      <alignment horizontal="left" readingOrder="0"/>
    </xf>
    <xf borderId="41" fillId="5" fontId="26" numFmtId="164" xfId="0" applyAlignment="1" applyBorder="1" applyFont="1" applyNumberFormat="1">
      <alignment horizontal="left" shrinkToFit="0" vertical="top" wrapText="1"/>
    </xf>
    <xf borderId="41" fillId="21" fontId="28" numFmtId="1" xfId="0" applyAlignment="1" applyBorder="1" applyFont="1" applyNumberFormat="1">
      <alignment horizontal="right" shrinkToFit="0" vertical="top" wrapText="1"/>
    </xf>
    <xf borderId="0" fillId="5" fontId="36" numFmtId="164" xfId="0" applyAlignment="1" applyFont="1" applyNumberFormat="1">
      <alignment horizontal="left"/>
    </xf>
    <xf borderId="0" fillId="0" fontId="19" numFmtId="167" xfId="0" applyFont="1" applyNumberFormat="1"/>
    <xf borderId="42" fillId="5" fontId="26" numFmtId="164" xfId="0" applyAlignment="1" applyBorder="1" applyFont="1" applyNumberFormat="1">
      <alignment horizontal="left" shrinkToFit="0" vertical="top" wrapText="1"/>
    </xf>
    <xf borderId="0" fillId="6" fontId="37" numFmtId="164" xfId="0" applyAlignment="1" applyFont="1" applyNumberFormat="1">
      <alignment horizontal="left" readingOrder="0"/>
    </xf>
    <xf borderId="2" fillId="6" fontId="37" numFmtId="164" xfId="0" applyAlignment="1" applyBorder="1" applyFont="1" applyNumberFormat="1">
      <alignment horizontal="left" readingOrder="0"/>
    </xf>
    <xf borderId="2" fillId="6" fontId="37" numFmtId="164" xfId="0" applyAlignment="1" applyBorder="1" applyFont="1" applyNumberFormat="1">
      <alignment horizontal="left"/>
    </xf>
    <xf borderId="42" fillId="21" fontId="28" numFmtId="1" xfId="0" applyAlignment="1" applyBorder="1" applyFont="1" applyNumberFormat="1">
      <alignment horizontal="right" shrinkToFit="0" vertical="top" wrapText="1"/>
    </xf>
    <xf borderId="0" fillId="24" fontId="38" numFmtId="164" xfId="0" applyAlignment="1" applyFill="1" applyFont="1" applyNumberFormat="1">
      <alignment horizontal="left" readingOrder="0"/>
    </xf>
    <xf borderId="0" fillId="24" fontId="38" numFmtId="164" xfId="0" applyAlignment="1" applyFont="1" applyNumberFormat="1">
      <alignment horizontal="left"/>
    </xf>
    <xf borderId="43" fillId="23" fontId="34" numFmtId="164" xfId="0" applyAlignment="1" applyBorder="1" applyFont="1" applyNumberFormat="1">
      <alignment horizontal="left"/>
    </xf>
    <xf borderId="0" fillId="5" fontId="36" numFmtId="9" xfId="0" applyAlignment="1" applyFont="1" applyNumberFormat="1">
      <alignment horizontal="center"/>
    </xf>
    <xf borderId="0" fillId="5" fontId="26" numFmtId="164" xfId="0" applyAlignment="1" applyFont="1" applyNumberFormat="1">
      <alignment horizontal="left"/>
    </xf>
    <xf borderId="0" fillId="21" fontId="28" numFmtId="1" xfId="0" applyAlignment="1" applyFont="1" applyNumberFormat="1">
      <alignment horizontal="right"/>
    </xf>
    <xf borderId="44" fillId="24" fontId="38" numFmtId="164" xfId="0" applyAlignment="1" applyBorder="1" applyFont="1" applyNumberFormat="1">
      <alignment horizontal="left" readingOrder="0"/>
    </xf>
    <xf borderId="0" fillId="5" fontId="36" numFmtId="165" xfId="0" applyAlignment="1" applyFont="1" applyNumberFormat="1">
      <alignment horizontal="center"/>
    </xf>
    <xf borderId="45" fillId="24" fontId="38" numFmtId="164" xfId="0" applyAlignment="1" applyBorder="1" applyFont="1" applyNumberFormat="1">
      <alignment horizontal="left" readingOrder="0"/>
    </xf>
    <xf borderId="46" fillId="5" fontId="26" numFmtId="164" xfId="0" applyAlignment="1" applyBorder="1" applyFont="1" applyNumberFormat="1">
      <alignment horizontal="left" shrinkToFit="0" vertical="top" wrapText="1"/>
    </xf>
    <xf borderId="47" fillId="24" fontId="38" numFmtId="164" xfId="0" applyAlignment="1" applyBorder="1" applyFont="1" applyNumberFormat="1">
      <alignment horizontal="left" readingOrder="0"/>
    </xf>
    <xf borderId="0" fillId="5" fontId="36" numFmtId="166" xfId="0" applyAlignment="1" applyFont="1" applyNumberFormat="1">
      <alignment horizontal="center"/>
    </xf>
    <xf borderId="46" fillId="21" fontId="28" numFmtId="1" xfId="0" applyAlignment="1" applyBorder="1" applyFont="1" applyNumberFormat="1">
      <alignment horizontal="right" shrinkToFit="0" vertical="top" wrapText="1"/>
    </xf>
    <xf borderId="48" fillId="5" fontId="26" numFmtId="164" xfId="0" applyAlignment="1" applyBorder="1" applyFont="1" applyNumberFormat="1">
      <alignment horizontal="left"/>
    </xf>
    <xf borderId="48" fillId="21" fontId="28" numFmtId="1" xfId="0" applyAlignment="1" applyBorder="1" applyFont="1" applyNumberFormat="1">
      <alignment horizontal="right"/>
    </xf>
    <xf borderId="49" fillId="5" fontId="26" numFmtId="164" xfId="0" applyAlignment="1" applyBorder="1" applyFont="1" applyNumberFormat="1">
      <alignment horizontal="left" shrinkToFit="0" vertical="top" wrapText="1"/>
    </xf>
    <xf borderId="43" fillId="5" fontId="36" numFmtId="164" xfId="0" applyAlignment="1" applyBorder="1" applyFont="1" applyNumberFormat="1">
      <alignment horizontal="left"/>
    </xf>
    <xf borderId="48" fillId="21" fontId="28" numFmtId="1" xfId="0" applyAlignment="1" applyBorder="1" applyFont="1" applyNumberFormat="1">
      <alignment horizontal="right" shrinkToFit="0" vertical="top" wrapText="1"/>
    </xf>
    <xf borderId="43" fillId="5" fontId="36" numFmtId="9" xfId="0" applyAlignment="1" applyBorder="1" applyFont="1" applyNumberFormat="1">
      <alignment horizontal="center"/>
    </xf>
    <xf borderId="43" fillId="5" fontId="36" numFmtId="165" xfId="0" applyAlignment="1" applyBorder="1" applyFont="1" applyNumberFormat="1">
      <alignment horizontal="center"/>
    </xf>
    <xf borderId="43" fillId="5" fontId="36" numFmtId="166" xfId="0" applyAlignment="1" applyBorder="1" applyFont="1" applyNumberFormat="1">
      <alignment horizontal="center"/>
    </xf>
    <xf borderId="50" fillId="15" fontId="39" numFmtId="164" xfId="0" applyAlignment="1" applyBorder="1" applyFont="1" applyNumberFormat="1">
      <alignment horizontal="left" vertical="center"/>
    </xf>
    <xf borderId="51" fillId="0" fontId="3" numFmtId="0" xfId="0" applyBorder="1" applyFont="1"/>
    <xf borderId="43" fillId="5" fontId="13" numFmtId="164" xfId="0" applyAlignment="1" applyBorder="1" applyFont="1" applyNumberFormat="1">
      <alignment horizontal="left" readingOrder="0"/>
    </xf>
    <xf borderId="43" fillId="5" fontId="13" numFmtId="164" xfId="0" applyAlignment="1" applyBorder="1" applyFont="1" applyNumberFormat="1">
      <alignment horizontal="left"/>
    </xf>
    <xf borderId="52" fillId="0" fontId="3" numFmtId="0" xfId="0" applyBorder="1" applyFont="1"/>
    <xf borderId="6" fillId="15" fontId="40" numFmtId="164" xfId="0" applyAlignment="1" applyBorder="1" applyFont="1" applyNumberFormat="1">
      <alignment horizontal="left" readingOrder="0"/>
    </xf>
    <xf borderId="6" fillId="15" fontId="41" numFmtId="164" xfId="0" applyAlignment="1" applyBorder="1" applyFont="1" applyNumberFormat="1">
      <alignment horizontal="left" readingOrder="0"/>
    </xf>
    <xf borderId="0" fillId="25" fontId="13" numFmtId="164" xfId="0" applyAlignment="1" applyFill="1" applyFont="1" applyNumberFormat="1">
      <alignment horizontal="left" readingOrder="0"/>
    </xf>
    <xf borderId="53" fillId="24" fontId="38" numFmtId="164" xfId="0" applyAlignment="1" applyBorder="1" applyFont="1" applyNumberFormat="1">
      <alignment horizontal="left" readingOrder="0"/>
    </xf>
    <xf borderId="53" fillId="24" fontId="38" numFmtId="164" xfId="0" applyAlignment="1" applyBorder="1" applyFont="1" applyNumberFormat="1">
      <alignment horizontal="left"/>
    </xf>
    <xf borderId="0" fillId="15" fontId="42" numFmtId="164" xfId="0" applyAlignment="1" applyFont="1" applyNumberFormat="1">
      <alignment horizontal="left" readingOrder="0"/>
    </xf>
    <xf borderId="54" fillId="15" fontId="42" numFmtId="164" xfId="0" applyAlignment="1" applyBorder="1" applyFont="1" applyNumberFormat="1">
      <alignment horizontal="left" readingOrder="0"/>
    </xf>
    <xf borderId="55" fillId="15" fontId="42" numFmtId="164" xfId="0" applyAlignment="1" applyBorder="1" applyFont="1" applyNumberFormat="1">
      <alignment horizontal="left" readingOrder="0"/>
    </xf>
    <xf borderId="54" fillId="15" fontId="42" numFmtId="164" xfId="0" applyAlignment="1" applyBorder="1" applyFont="1" applyNumberFormat="1">
      <alignment horizontal="left"/>
    </xf>
    <xf borderId="0" fillId="11" fontId="43" numFmtId="164" xfId="0" applyAlignment="1" applyFont="1" applyNumberFormat="1">
      <alignment horizontal="left"/>
    </xf>
    <xf borderId="56" fillId="19" fontId="44" numFmtId="164" xfId="0" applyAlignment="1" applyBorder="1" applyFont="1" applyNumberFormat="1">
      <alignment horizontal="left" readingOrder="0"/>
    </xf>
    <xf borderId="57" fillId="6" fontId="6" numFmtId="164" xfId="0" applyAlignment="1" applyBorder="1" applyFont="1" applyNumberFormat="1">
      <alignment horizontal="left"/>
    </xf>
    <xf borderId="58" fillId="25" fontId="13" numFmtId="164" xfId="0" applyAlignment="1" applyBorder="1" applyFont="1" applyNumberFormat="1">
      <alignment horizontal="left" readingOrder="0"/>
    </xf>
    <xf borderId="58" fillId="25" fontId="45" numFmtId="168" xfId="0" applyAlignment="1" applyBorder="1" applyFont="1" applyNumberFormat="1">
      <alignment horizontal="center" readingOrder="0"/>
    </xf>
    <xf borderId="0" fillId="25" fontId="13" numFmtId="164" xfId="0" applyAlignment="1" applyFont="1" applyNumberFormat="1">
      <alignment horizontal="left"/>
    </xf>
    <xf borderId="59" fillId="25" fontId="13" numFmtId="164" xfId="0" applyAlignment="1" applyBorder="1" applyFont="1" applyNumberFormat="1">
      <alignment horizontal="left" readingOrder="0"/>
    </xf>
    <xf borderId="0" fillId="2" fontId="1" numFmtId="164" xfId="0" applyAlignment="1" applyFont="1" applyNumberFormat="1">
      <alignment horizontal="left" readingOrder="0" vertical="center"/>
    </xf>
    <xf borderId="4" fillId="2" fontId="1" numFmtId="164" xfId="0" applyAlignment="1" applyBorder="1" applyFont="1" applyNumberFormat="1">
      <alignment horizontal="left" vertical="center"/>
    </xf>
    <xf borderId="60" fillId="2" fontId="1" numFmtId="164" xfId="0" applyAlignment="1" applyBorder="1" applyFont="1" applyNumberFormat="1">
      <alignment horizontal="left" readingOrder="0" vertical="center"/>
    </xf>
    <xf borderId="59" fillId="25" fontId="45" numFmtId="168" xfId="0" applyAlignment="1" applyBorder="1" applyFont="1" applyNumberFormat="1">
      <alignment horizontal="center" readingOrder="0"/>
    </xf>
    <xf borderId="4" fillId="2" fontId="1" numFmtId="164" xfId="0" applyAlignment="1" applyBorder="1" applyFont="1" applyNumberFormat="1">
      <alignment horizontal="left" readingOrder="0" vertical="center"/>
    </xf>
    <xf borderId="0" fillId="22" fontId="32" numFmtId="164" xfId="0" applyAlignment="1" applyFont="1" applyNumberFormat="1">
      <alignment horizontal="left" readingOrder="0"/>
    </xf>
    <xf borderId="5" fillId="2" fontId="1" numFmtId="164" xfId="0" applyAlignment="1" applyBorder="1" applyFont="1" applyNumberFormat="1">
      <alignment horizontal="left" vertical="center"/>
    </xf>
    <xf borderId="40" fillId="22" fontId="32" numFmtId="164" xfId="0" applyAlignment="1" applyBorder="1" applyFont="1" applyNumberFormat="1">
      <alignment horizontal="left" readingOrder="0"/>
    </xf>
    <xf borderId="0" fillId="2" fontId="1" numFmtId="164" xfId="0" applyAlignment="1" applyFont="1" applyNumberFormat="1">
      <alignment horizontal="left"/>
    </xf>
    <xf borderId="61" fillId="25" fontId="13" numFmtId="164" xfId="0" applyAlignment="1" applyBorder="1" applyFont="1" applyNumberFormat="1">
      <alignment horizontal="left" readingOrder="0"/>
    </xf>
    <xf borderId="0" fillId="26" fontId="46" numFmtId="164" xfId="0" applyAlignment="1" applyFill="1" applyFont="1" applyNumberFormat="1">
      <alignment horizontal="left" readingOrder="0" shrinkToFit="0" vertical="center" wrapText="1"/>
    </xf>
    <xf borderId="62" fillId="26" fontId="46" numFmtId="164" xfId="0" applyAlignment="1" applyBorder="1" applyFont="1" applyNumberFormat="1">
      <alignment horizontal="left" readingOrder="0" shrinkToFit="0" vertical="center" wrapText="1"/>
    </xf>
    <xf borderId="63" fillId="26" fontId="46" numFmtId="164" xfId="0" applyAlignment="1" applyBorder="1" applyFont="1" applyNumberFormat="1">
      <alignment horizontal="left" shrinkToFit="0" vertical="center" wrapText="1"/>
    </xf>
    <xf borderId="63" fillId="26" fontId="46" numFmtId="164" xfId="0" applyAlignment="1" applyBorder="1" applyFont="1" applyNumberFormat="1">
      <alignment horizontal="left" readingOrder="0" shrinkToFit="0" vertical="center" wrapText="1"/>
    </xf>
    <xf borderId="64" fillId="27" fontId="47" numFmtId="164" xfId="0" applyAlignment="1" applyBorder="1" applyFill="1" applyFont="1" applyNumberFormat="1">
      <alignment horizontal="center" readingOrder="0" shrinkToFit="0" vertical="center" wrapText="1"/>
    </xf>
    <xf borderId="64" fillId="27" fontId="47" numFmtId="164" xfId="0" applyAlignment="1" applyBorder="1" applyFont="1" applyNumberFormat="1">
      <alignment horizontal="center" shrinkToFit="0" vertical="center" wrapText="1"/>
    </xf>
    <xf borderId="64" fillId="6" fontId="48" numFmtId="164" xfId="0" applyAlignment="1" applyBorder="1" applyFont="1" applyNumberFormat="1">
      <alignment horizontal="center" readingOrder="0" shrinkToFit="0" vertical="center" wrapText="1"/>
    </xf>
    <xf borderId="61" fillId="25" fontId="45" numFmtId="168" xfId="0" applyAlignment="1" applyBorder="1" applyFont="1" applyNumberFormat="1">
      <alignment horizontal="center" readingOrder="0"/>
    </xf>
    <xf borderId="0" fillId="28" fontId="49" numFmtId="0" xfId="0" applyAlignment="1" applyFill="1" applyFont="1">
      <alignment shrinkToFit="0" vertical="center" wrapText="1"/>
    </xf>
    <xf borderId="6" fillId="15" fontId="50" numFmtId="164" xfId="0" applyAlignment="1" applyBorder="1" applyFont="1" applyNumberFormat="1">
      <alignment horizontal="left" readingOrder="0"/>
    </xf>
    <xf borderId="0" fillId="29" fontId="51" numFmtId="164" xfId="0" applyAlignment="1" applyFill="1" applyFont="1" applyNumberFormat="1">
      <alignment horizontal="left" readingOrder="0" shrinkToFit="0" vertical="center" wrapText="1"/>
    </xf>
    <xf borderId="6" fillId="15" fontId="52" numFmtId="164" xfId="0" applyAlignment="1" applyBorder="1" applyFont="1" applyNumberFormat="1">
      <alignment horizontal="left" readingOrder="0"/>
    </xf>
    <xf borderId="65" fillId="29" fontId="51" numFmtId="164" xfId="0" applyAlignment="1" applyBorder="1" applyFont="1" applyNumberFormat="1">
      <alignment horizontal="left" readingOrder="0" shrinkToFit="0" vertical="center" wrapText="1"/>
    </xf>
    <xf borderId="0" fillId="29" fontId="51" numFmtId="164" xfId="0" applyAlignment="1" applyFont="1" applyNumberFormat="1">
      <alignment horizontal="left" shrinkToFit="0" vertical="center" wrapText="1"/>
    </xf>
    <xf borderId="66" fillId="29" fontId="51" numFmtId="164" xfId="0" applyAlignment="1" applyBorder="1" applyFont="1" applyNumberFormat="1">
      <alignment horizontal="left" shrinkToFit="0" vertical="center" wrapText="1"/>
    </xf>
    <xf borderId="67" fillId="25" fontId="13" numFmtId="164" xfId="0" applyAlignment="1" applyBorder="1" applyFont="1" applyNumberFormat="1">
      <alignment horizontal="left" readingOrder="0"/>
    </xf>
    <xf borderId="68" fillId="22" fontId="32" numFmtId="164" xfId="0" applyAlignment="1" applyBorder="1" applyFont="1" applyNumberFormat="1">
      <alignment horizontal="left" readingOrder="0"/>
    </xf>
    <xf borderId="69" fillId="30" fontId="53" numFmtId="1" xfId="0" applyAlignment="1" applyBorder="1" applyFill="1" applyFont="1" applyNumberFormat="1">
      <alignment horizontal="center" readingOrder="0" shrinkToFit="0" vertical="center" wrapText="1"/>
    </xf>
    <xf borderId="69" fillId="23" fontId="54" numFmtId="1" xfId="0" applyAlignment="1" applyBorder="1" applyFont="1" applyNumberFormat="1">
      <alignment horizontal="center" shrinkToFit="0" vertical="center" wrapText="1"/>
    </xf>
    <xf borderId="0" fillId="5" fontId="55" numFmtId="164" xfId="0" applyAlignment="1" applyFont="1" applyNumberFormat="1">
      <alignment horizontal="left" readingOrder="0"/>
    </xf>
    <xf borderId="56" fillId="5" fontId="55" numFmtId="164" xfId="0" applyAlignment="1" applyBorder="1" applyFont="1" applyNumberFormat="1">
      <alignment horizontal="left" readingOrder="0"/>
    </xf>
    <xf borderId="69" fillId="7" fontId="54" numFmtId="1" xfId="0" applyAlignment="1" applyBorder="1" applyFont="1" applyNumberFormat="1">
      <alignment horizontal="center" shrinkToFit="0" vertical="center" wrapText="1"/>
    </xf>
    <xf borderId="0" fillId="0" fontId="56" numFmtId="0" xfId="0" applyFont="1"/>
    <xf borderId="67" fillId="25" fontId="45" numFmtId="168" xfId="0" applyAlignment="1" applyBorder="1" applyFont="1" applyNumberFormat="1">
      <alignment horizontal="center" readingOrder="0"/>
    </xf>
    <xf borderId="70" fillId="5" fontId="55" numFmtId="164" xfId="0" applyAlignment="1" applyBorder="1" applyFont="1" applyNumberFormat="1">
      <alignment horizontal="left" readingOrder="0"/>
    </xf>
    <xf borderId="0" fillId="0" fontId="19" numFmtId="1" xfId="0" applyFont="1" applyNumberFormat="1"/>
    <xf borderId="71" fillId="5" fontId="55" numFmtId="164" xfId="0" applyAlignment="1" applyBorder="1" applyFont="1" applyNumberFormat="1">
      <alignment horizontal="left" readingOrder="0"/>
    </xf>
    <xf borderId="69" fillId="23" fontId="54" numFmtId="1" xfId="0" applyAlignment="1" applyBorder="1" applyFont="1" applyNumberFormat="1">
      <alignment horizontal="center" readingOrder="0" shrinkToFit="0" vertical="center" wrapText="1"/>
    </xf>
    <xf borderId="72" fillId="5" fontId="55" numFmtId="164" xfId="0" applyAlignment="1" applyBorder="1" applyFont="1" applyNumberFormat="1">
      <alignment horizontal="left" readingOrder="0"/>
    </xf>
    <xf borderId="36" fillId="25" fontId="13" numFmtId="164" xfId="0" applyAlignment="1" applyBorder="1" applyFont="1" applyNumberFormat="1">
      <alignment horizontal="left" readingOrder="0"/>
    </xf>
    <xf borderId="72" fillId="25" fontId="13" numFmtId="164" xfId="0" applyAlignment="1" applyBorder="1" applyFont="1" applyNumberFormat="1">
      <alignment horizontal="left" readingOrder="0"/>
    </xf>
    <xf borderId="73" fillId="5" fontId="55" numFmtId="164" xfId="0" applyAlignment="1" applyBorder="1" applyFont="1" applyNumberFormat="1">
      <alignment horizontal="left" readingOrder="0"/>
    </xf>
    <xf borderId="74" fillId="29" fontId="51" numFmtId="164" xfId="0" applyAlignment="1" applyBorder="1" applyFont="1" applyNumberFormat="1">
      <alignment horizontal="left" readingOrder="0" shrinkToFit="0" vertical="center" wrapText="1"/>
    </xf>
    <xf borderId="72" fillId="25" fontId="45" numFmtId="168" xfId="0" applyAlignment="1" applyBorder="1" applyFont="1" applyNumberFormat="1">
      <alignment horizontal="center" readingOrder="0"/>
    </xf>
    <xf borderId="0" fillId="5" fontId="36" numFmtId="164" xfId="0" applyAlignment="1" applyFont="1" applyNumberFormat="1">
      <alignment horizontal="left" readingOrder="0"/>
    </xf>
    <xf borderId="75" fillId="30" fontId="53" numFmtId="1" xfId="0" applyAlignment="1" applyBorder="1" applyFont="1" applyNumberFormat="1">
      <alignment horizontal="center" readingOrder="0" shrinkToFit="0" vertical="center" wrapText="1"/>
    </xf>
    <xf borderId="71" fillId="5" fontId="36" numFmtId="164" xfId="0" applyAlignment="1" applyBorder="1" applyFont="1" applyNumberFormat="1">
      <alignment horizontal="left" readingOrder="0"/>
    </xf>
    <xf borderId="75" fillId="23" fontId="54" numFmtId="1" xfId="0" applyAlignment="1" applyBorder="1" applyFont="1" applyNumberFormat="1">
      <alignment horizontal="center" readingOrder="0" shrinkToFit="0" vertical="center" wrapText="1"/>
    </xf>
    <xf borderId="76" fillId="5" fontId="36" numFmtId="164" xfId="0" applyAlignment="1" applyBorder="1" applyFont="1" applyNumberFormat="1">
      <alignment horizontal="left" readingOrder="0"/>
    </xf>
    <xf borderId="36" fillId="25" fontId="45" numFmtId="168" xfId="0" applyAlignment="1" applyBorder="1" applyFont="1" applyNumberFormat="1">
      <alignment horizontal="center" readingOrder="0"/>
    </xf>
    <xf borderId="27" fillId="5" fontId="36" numFmtId="164" xfId="0" applyAlignment="1" applyBorder="1" applyFont="1" applyNumberFormat="1">
      <alignment horizontal="left" readingOrder="0"/>
    </xf>
    <xf borderId="5" fillId="2" fontId="1" numFmtId="164" xfId="0" applyAlignment="1" applyBorder="1" applyFont="1" applyNumberFormat="1">
      <alignment horizontal="left" readingOrder="0" vertical="center"/>
    </xf>
    <xf borderId="77" fillId="5" fontId="36" numFmtId="164" xfId="0" applyAlignment="1" applyBorder="1" applyFont="1" applyNumberFormat="1">
      <alignment horizontal="left" readingOrder="0"/>
    </xf>
    <xf borderId="70" fillId="5" fontId="36" numFmtId="164" xfId="0" applyAlignment="1" applyBorder="1" applyFont="1" applyNumberFormat="1">
      <alignment horizontal="left" readingOrder="0"/>
    </xf>
    <xf borderId="36" fillId="25" fontId="52" numFmtId="168" xfId="0" applyAlignment="1" applyBorder="1" applyFont="1" applyNumberFormat="1">
      <alignment horizontal="center"/>
    </xf>
    <xf borderId="78" fillId="5" fontId="36" numFmtId="164" xfId="0" applyAlignment="1" applyBorder="1" applyFont="1" applyNumberFormat="1">
      <alignment horizontal="left" readingOrder="0"/>
    </xf>
    <xf borderId="75" fillId="23" fontId="54" numFmtId="1" xfId="0" applyAlignment="1" applyBorder="1" applyFont="1" applyNumberFormat="1">
      <alignment horizontal="center" shrinkToFit="0" vertical="center" wrapText="1"/>
    </xf>
    <xf borderId="79" fillId="5" fontId="36" numFmtId="164" xfId="0" applyAlignment="1" applyBorder="1" applyFont="1" applyNumberFormat="1">
      <alignment horizontal="left" readingOrder="0"/>
    </xf>
    <xf borderId="80" fillId="26" fontId="46" numFmtId="164" xfId="0" applyAlignment="1" applyBorder="1" applyFont="1" applyNumberFormat="1">
      <alignment horizontal="left" readingOrder="0" shrinkToFit="0" vertical="center" wrapText="1"/>
    </xf>
    <xf borderId="0" fillId="5" fontId="57" numFmtId="164" xfId="0" applyAlignment="1" applyFont="1" applyNumberFormat="1">
      <alignment horizontal="left" readingOrder="0"/>
    </xf>
    <xf borderId="81" fillId="5" fontId="36" numFmtId="164" xfId="0" applyAlignment="1" applyBorder="1" applyFont="1" applyNumberFormat="1">
      <alignment horizontal="left" readingOrder="0"/>
    </xf>
    <xf borderId="0" fillId="6" fontId="11" numFmtId="164" xfId="0" applyAlignment="1" applyFont="1" applyNumberFormat="1">
      <alignment horizontal="center" readingOrder="0"/>
    </xf>
    <xf borderId="82" fillId="27" fontId="58" numFmtId="164" xfId="0" applyAlignment="1" applyBorder="1" applyFont="1" applyNumberFormat="1">
      <alignment horizontal="center" readingOrder="0" shrinkToFit="0" vertical="center" wrapText="1"/>
    </xf>
    <xf borderId="36" fillId="31" fontId="36" numFmtId="164" xfId="0" applyAlignment="1" applyBorder="1" applyFill="1" applyFont="1" applyNumberFormat="1">
      <alignment horizontal="left" readingOrder="0"/>
    </xf>
    <xf borderId="82" fillId="6" fontId="48" numFmtId="164" xfId="0" applyAlignment="1" applyBorder="1" applyFont="1" applyNumberFormat="1">
      <alignment horizontal="center" readingOrder="0" shrinkToFit="0" vertical="center" wrapText="1"/>
    </xf>
    <xf borderId="83" fillId="30" fontId="53" numFmtId="1" xfId="0" applyAlignment="1" applyBorder="1" applyFont="1" applyNumberFormat="1">
      <alignment horizontal="center" readingOrder="0" shrinkToFit="0" vertical="center" wrapText="1"/>
    </xf>
    <xf borderId="83" fillId="23" fontId="54" numFmtId="1" xfId="0" applyAlignment="1" applyBorder="1" applyFont="1" applyNumberFormat="1">
      <alignment horizontal="center" shrinkToFit="0" vertical="center" wrapText="1"/>
    </xf>
    <xf borderId="36" fillId="31" fontId="59" numFmtId="164" xfId="0" applyAlignment="1" applyBorder="1" applyFont="1" applyNumberFormat="1">
      <alignment horizontal="center"/>
    </xf>
    <xf borderId="83" fillId="23" fontId="54" numFmtId="1" xfId="0" applyAlignment="1" applyBorder="1" applyFont="1" applyNumberFormat="1">
      <alignment horizontal="center" readingOrder="0" shrinkToFit="0" vertical="center" wrapText="1"/>
    </xf>
    <xf borderId="1" fillId="2" fontId="60" numFmtId="164" xfId="0" applyAlignment="1" applyBorder="1" applyFont="1" applyNumberFormat="1">
      <alignment horizontal="left" readingOrder="0"/>
    </xf>
    <xf borderId="0" fillId="29" fontId="61" numFmtId="164" xfId="0" applyAlignment="1" applyFont="1" applyNumberFormat="1">
      <alignment horizontal="left" readingOrder="0" shrinkToFit="0" vertical="center" wrapText="1"/>
    </xf>
    <xf borderId="1" fillId="2" fontId="60" numFmtId="164" xfId="0" applyAlignment="1" applyBorder="1" applyFont="1" applyNumberFormat="1">
      <alignment horizontal="left"/>
    </xf>
    <xf borderId="84" fillId="29" fontId="61" numFmtId="164" xfId="0" applyAlignment="1" applyBorder="1" applyFont="1" applyNumberFormat="1">
      <alignment horizontal="left" readingOrder="0" shrinkToFit="0" vertical="center" wrapText="1"/>
    </xf>
    <xf borderId="0" fillId="30" fontId="53" numFmtId="1" xfId="0" applyAlignment="1" applyFont="1" applyNumberFormat="1">
      <alignment horizontal="center" readingOrder="0" shrinkToFit="0" vertical="center" wrapText="1"/>
    </xf>
    <xf borderId="0" fillId="23" fontId="54" numFmtId="1" xfId="0" applyAlignment="1" applyFont="1" applyNumberFormat="1">
      <alignment horizontal="center" shrinkToFit="0" vertical="center" wrapText="1"/>
    </xf>
    <xf borderId="53" fillId="5" fontId="36" numFmtId="164" xfId="0" applyAlignment="1" applyBorder="1" applyFont="1" applyNumberFormat="1">
      <alignment horizontal="left" readingOrder="0"/>
    </xf>
    <xf borderId="84" fillId="30" fontId="62" numFmtId="1" xfId="0" applyAlignment="1" applyBorder="1" applyFont="1" applyNumberFormat="1">
      <alignment horizontal="center" readingOrder="0" shrinkToFit="0" vertical="center" wrapText="1"/>
    </xf>
    <xf borderId="84" fillId="23" fontId="63" numFmtId="1" xfId="0" applyAlignment="1" applyBorder="1" applyFont="1" applyNumberFormat="1">
      <alignment horizontal="center" readingOrder="0" shrinkToFit="0" vertical="center" wrapText="1"/>
    </xf>
    <xf borderId="85" fillId="5" fontId="36" numFmtId="164" xfId="0" applyAlignment="1" applyBorder="1" applyFont="1" applyNumberFormat="1">
      <alignment horizontal="left" readingOrder="0"/>
    </xf>
    <xf borderId="0" fillId="23" fontId="54" numFmtId="1" xfId="0" applyAlignment="1" applyFont="1" applyNumberFormat="1">
      <alignment horizontal="center" readingOrder="0" shrinkToFit="0" vertical="center" wrapText="1"/>
    </xf>
    <xf borderId="86" fillId="5" fontId="36" numFmtId="164" xfId="0" applyAlignment="1" applyBorder="1" applyFont="1" applyNumberFormat="1">
      <alignment horizontal="left" readingOrder="0"/>
    </xf>
    <xf borderId="0" fillId="32" fontId="51" numFmtId="164" xfId="0" applyAlignment="1" applyFill="1" applyFont="1" applyNumberFormat="1">
      <alignment horizontal="left" readingOrder="0" shrinkToFit="0" vertical="center" wrapText="1"/>
    </xf>
    <xf borderId="84" fillId="7" fontId="63" numFmtId="1" xfId="0" applyAlignment="1" applyBorder="1" applyFont="1" applyNumberFormat="1">
      <alignment horizontal="center" readingOrder="0" shrinkToFit="0" vertical="center" wrapText="1"/>
    </xf>
    <xf borderId="87" fillId="32" fontId="51" numFmtId="164" xfId="0" applyAlignment="1" applyBorder="1" applyFont="1" applyNumberFormat="1">
      <alignment horizontal="left" readingOrder="0" shrinkToFit="0" vertical="center" wrapText="1"/>
    </xf>
    <xf borderId="88" fillId="32" fontId="51" numFmtId="164" xfId="0" applyAlignment="1" applyBorder="1" applyFont="1" applyNumberFormat="1">
      <alignment horizontal="left" shrinkToFit="0" vertical="center" wrapText="1"/>
    </xf>
    <xf borderId="88" fillId="32" fontId="51" numFmtId="164" xfId="0" applyAlignment="1" applyBorder="1" applyFont="1" applyNumberFormat="1">
      <alignment horizontal="left" readingOrder="0" shrinkToFit="0" vertical="center" wrapText="1"/>
    </xf>
    <xf borderId="89" fillId="32" fontId="51" numFmtId="164" xfId="0" applyAlignment="1" applyBorder="1" applyFont="1" applyNumberFormat="1">
      <alignment horizontal="left" shrinkToFit="0" vertical="center" wrapText="1"/>
    </xf>
    <xf borderId="53" fillId="5" fontId="36" numFmtId="164" xfId="0" applyAlignment="1" applyBorder="1" applyFont="1" applyNumberFormat="1">
      <alignment horizontal="left"/>
    </xf>
    <xf borderId="88" fillId="32" fontId="64" numFmtId="1" xfId="0" applyAlignment="1" applyBorder="1" applyFont="1" applyNumberFormat="1">
      <alignment horizontal="center" readingOrder="0" shrinkToFit="0" vertical="center" wrapText="1"/>
    </xf>
    <xf borderId="79" fillId="11" fontId="43" numFmtId="165" xfId="0" applyAlignment="1" applyBorder="1" applyFont="1" applyNumberFormat="1">
      <alignment horizontal="center"/>
    </xf>
    <xf borderId="81" fillId="33" fontId="65" numFmtId="165" xfId="0" applyAlignment="1" applyBorder="1" applyFill="1" applyFont="1" applyNumberFormat="1">
      <alignment horizontal="center"/>
    </xf>
    <xf borderId="90" fillId="23" fontId="64" numFmtId="1" xfId="0" applyAlignment="1" applyBorder="1" applyFont="1" applyNumberFormat="1">
      <alignment horizontal="center" readingOrder="0" shrinkToFit="0" vertical="center" wrapText="1"/>
    </xf>
    <xf borderId="90" fillId="23" fontId="54" numFmtId="1" xfId="0" applyAlignment="1" applyBorder="1" applyFont="1" applyNumberFormat="1">
      <alignment horizontal="center" shrinkToFit="0" vertical="center" wrapText="1"/>
    </xf>
    <xf borderId="90" fillId="23" fontId="54" numFmtId="1" xfId="0" applyAlignment="1" applyBorder="1" applyFont="1" applyNumberFormat="1">
      <alignment horizontal="center" readingOrder="0" shrinkToFit="0" vertical="center" wrapText="1"/>
    </xf>
    <xf borderId="43" fillId="11" fontId="43" numFmtId="164" xfId="0" applyAlignment="1" applyBorder="1" applyFont="1" applyNumberFormat="1">
      <alignment horizontal="left"/>
    </xf>
    <xf borderId="81" fillId="33" fontId="65" numFmtId="164" xfId="0" applyAlignment="1" applyBorder="1" applyFont="1" applyNumberFormat="1">
      <alignment horizontal="left"/>
    </xf>
    <xf borderId="0" fillId="19" fontId="66" numFmtId="164" xfId="0" applyAlignment="1" applyFont="1" applyNumberFormat="1">
      <alignment horizontal="left" readingOrder="0"/>
    </xf>
    <xf borderId="0" fillId="23" fontId="53" numFmtId="9" xfId="0" applyAlignment="1" applyFont="1" applyNumberFormat="1">
      <alignment horizontal="center" readingOrder="0" shrinkToFit="0" vertical="center" wrapText="1"/>
    </xf>
    <xf borderId="91" fillId="19" fontId="66" numFmtId="164" xfId="0" applyAlignment="1" applyBorder="1" applyFont="1" applyNumberFormat="1">
      <alignment horizontal="left" readingOrder="0"/>
    </xf>
    <xf borderId="91" fillId="19" fontId="66" numFmtId="164" xfId="0" applyAlignment="1" applyBorder="1" applyFont="1" applyNumberFormat="1">
      <alignment horizontal="left"/>
    </xf>
    <xf borderId="92" fillId="29" fontId="51" numFmtId="164" xfId="0" applyAlignment="1" applyBorder="1" applyFont="1" applyNumberFormat="1">
      <alignment horizontal="left" readingOrder="0" shrinkToFit="0" vertical="center" wrapText="1"/>
    </xf>
    <xf borderId="93" fillId="29" fontId="51" numFmtId="164" xfId="0" applyAlignment="1" applyBorder="1" applyFont="1" applyNumberFormat="1">
      <alignment horizontal="left" shrinkToFit="0" vertical="center" wrapText="1"/>
    </xf>
    <xf borderId="93" fillId="29" fontId="51" numFmtId="164" xfId="0" applyAlignment="1" applyBorder="1" applyFont="1" applyNumberFormat="1">
      <alignment horizontal="left" readingOrder="0" shrinkToFit="0" vertical="center" wrapText="1"/>
    </xf>
    <xf borderId="1" fillId="2" fontId="6" numFmtId="164" xfId="0" applyAlignment="1" applyBorder="1" applyFont="1" applyNumberFormat="1">
      <alignment horizontal="left" readingOrder="0"/>
    </xf>
    <xf borderId="1" fillId="2" fontId="6" numFmtId="164" xfId="0" applyAlignment="1" applyBorder="1" applyFont="1" applyNumberFormat="1">
      <alignment horizontal="left"/>
    </xf>
    <xf borderId="94" fillId="29" fontId="51" numFmtId="164" xfId="0" applyAlignment="1" applyBorder="1" applyFont="1" applyNumberFormat="1">
      <alignment horizontal="left" shrinkToFit="0" vertical="center" wrapText="1"/>
    </xf>
    <xf borderId="93" fillId="29" fontId="64" numFmtId="1" xfId="0" applyAlignment="1" applyBorder="1" applyFont="1" applyNumberFormat="1">
      <alignment horizontal="center" readingOrder="0" shrinkToFit="0" vertical="center" wrapText="1"/>
    </xf>
    <xf borderId="0" fillId="5" fontId="67" numFmtId="164" xfId="0" applyAlignment="1" applyFont="1" applyNumberFormat="1">
      <alignment horizontal="left" readingOrder="0"/>
    </xf>
    <xf borderId="0" fillId="5" fontId="67" numFmtId="164" xfId="0" applyAlignment="1" applyFont="1" applyNumberFormat="1">
      <alignment horizontal="left"/>
    </xf>
    <xf borderId="0" fillId="9" fontId="10" numFmtId="164" xfId="0" applyAlignment="1" applyFont="1" applyNumberFormat="1">
      <alignment horizontal="left" readingOrder="0" shrinkToFit="0" vertical="center" wrapText="1"/>
    </xf>
    <xf borderId="0" fillId="22" fontId="68" numFmtId="164" xfId="0" applyAlignment="1" applyFont="1" applyNumberFormat="1">
      <alignment horizontal="center" readingOrder="0"/>
    </xf>
    <xf borderId="65" fillId="9" fontId="10" numFmtId="164" xfId="0" applyAlignment="1" applyBorder="1" applyFont="1" applyNumberFormat="1">
      <alignment horizontal="left" readingOrder="0" shrinkToFit="0" vertical="center" wrapText="1"/>
    </xf>
    <xf borderId="17" fillId="22" fontId="68" numFmtId="164" xfId="0" applyAlignment="1" applyBorder="1" applyFont="1" applyNumberFormat="1">
      <alignment horizontal="center" readingOrder="0"/>
    </xf>
    <xf borderId="0" fillId="9" fontId="10" numFmtId="164" xfId="0" applyAlignment="1" applyFont="1" applyNumberFormat="1">
      <alignment horizontal="left" shrinkToFit="0" vertical="center" wrapText="1"/>
    </xf>
    <xf borderId="95" fillId="9" fontId="10" numFmtId="164" xfId="0" applyAlignment="1" applyBorder="1" applyFont="1" applyNumberFormat="1">
      <alignment horizontal="left" readingOrder="0" shrinkToFit="0" vertical="center" wrapText="1"/>
    </xf>
    <xf borderId="0" fillId="34" fontId="67" numFmtId="164" xfId="0" applyAlignment="1" applyFill="1" applyFont="1" applyNumberFormat="1">
      <alignment horizontal="left" readingOrder="0"/>
    </xf>
    <xf borderId="1" fillId="18" fontId="69" numFmtId="164" xfId="0" applyAlignment="1" applyBorder="1" applyFont="1" applyNumberFormat="1">
      <alignment horizontal="center" readingOrder="0"/>
    </xf>
    <xf borderId="96" fillId="9" fontId="10" numFmtId="164" xfId="0" applyAlignment="1" applyBorder="1" applyFont="1" applyNumberFormat="1">
      <alignment horizontal="left" shrinkToFit="0" vertical="center" wrapText="1"/>
    </xf>
    <xf borderId="97" fillId="34" fontId="67" numFmtId="164" xfId="0" applyAlignment="1" applyBorder="1" applyFont="1" applyNumberFormat="1">
      <alignment horizontal="left" readingOrder="0"/>
    </xf>
    <xf borderId="98" fillId="2" fontId="70" numFmtId="164" xfId="0" applyAlignment="1" applyBorder="1" applyFont="1" applyNumberFormat="1">
      <alignment horizontal="center" readingOrder="0"/>
    </xf>
    <xf borderId="99" fillId="35" fontId="11" numFmtId="164" xfId="0" applyAlignment="1" applyBorder="1" applyFill="1" applyFont="1" applyNumberFormat="1">
      <alignment horizontal="left" readingOrder="0"/>
    </xf>
    <xf borderId="0" fillId="34" fontId="67" numFmtId="164" xfId="0" applyAlignment="1" applyFont="1" applyNumberFormat="1">
      <alignment horizontal="left"/>
    </xf>
    <xf borderId="100" fillId="29" fontId="61" numFmtId="164" xfId="0" applyAlignment="1" applyBorder="1" applyFont="1" applyNumberFormat="1">
      <alignment horizontal="left" readingOrder="0" shrinkToFit="0" vertical="center" wrapText="1"/>
    </xf>
    <xf borderId="101" fillId="35" fontId="11" numFmtId="164" xfId="0" applyAlignment="1" applyBorder="1" applyFont="1" applyNumberFormat="1">
      <alignment horizontal="left" readingOrder="0"/>
    </xf>
    <xf borderId="102" fillId="2" fontId="70" numFmtId="164" xfId="0" applyAlignment="1" applyBorder="1" applyFont="1" applyNumberFormat="1">
      <alignment horizontal="center" readingOrder="0"/>
    </xf>
    <xf borderId="0" fillId="36" fontId="6" numFmtId="164" xfId="0" applyAlignment="1" applyFill="1" applyFont="1" applyNumberFormat="1">
      <alignment horizontal="left" readingOrder="0"/>
    </xf>
    <xf borderId="0" fillId="36" fontId="6" numFmtId="164" xfId="0" applyAlignment="1" applyFont="1" applyNumberFormat="1">
      <alignment horizontal="left"/>
    </xf>
    <xf borderId="103" fillId="30" fontId="62" numFmtId="1" xfId="0" applyAlignment="1" applyBorder="1" applyFont="1" applyNumberFormat="1">
      <alignment horizontal="center" readingOrder="0" shrinkToFit="0" vertical="center" wrapText="1"/>
    </xf>
    <xf borderId="99" fillId="35" fontId="11" numFmtId="164" xfId="0" applyAlignment="1" applyBorder="1" applyFont="1" applyNumberFormat="1">
      <alignment horizontal="left"/>
    </xf>
    <xf borderId="104" fillId="23" fontId="63" numFmtId="1" xfId="0" applyAlignment="1" applyBorder="1" applyFont="1" applyNumberFormat="1">
      <alignment horizontal="center" readingOrder="0" shrinkToFit="0" vertical="center" wrapText="1"/>
    </xf>
    <xf borderId="105" fillId="35" fontId="11" numFmtId="164" xfId="0" applyAlignment="1" applyBorder="1" applyFont="1" applyNumberFormat="1">
      <alignment horizontal="left"/>
    </xf>
    <xf borderId="14" fillId="10" fontId="11" numFmtId="164" xfId="0" applyAlignment="1" applyBorder="1" applyFont="1" applyNumberFormat="1">
      <alignment horizontal="center" readingOrder="0"/>
    </xf>
    <xf borderId="106" fillId="37" fontId="71" numFmtId="164" xfId="0" applyAlignment="1" applyBorder="1" applyFill="1" applyFont="1" applyNumberFormat="1">
      <alignment horizontal="center" readingOrder="0"/>
    </xf>
    <xf borderId="107" fillId="37" fontId="71" numFmtId="164" xfId="0" applyAlignment="1" applyBorder="1" applyFont="1" applyNumberFormat="1">
      <alignment horizontal="center" readingOrder="0"/>
    </xf>
    <xf borderId="108" fillId="37" fontId="71" numFmtId="164" xfId="0" applyAlignment="1" applyBorder="1" applyFont="1" applyNumberFormat="1">
      <alignment horizontal="center" readingOrder="0"/>
    </xf>
    <xf borderId="109" fillId="3" fontId="11" numFmtId="164" xfId="0" applyAlignment="1" applyBorder="1" applyFont="1" applyNumberFormat="1">
      <alignment horizontal="left" readingOrder="0"/>
    </xf>
    <xf borderId="0" fillId="32" fontId="61" numFmtId="164" xfId="0" applyAlignment="1" applyFont="1" applyNumberFormat="1">
      <alignment horizontal="left" readingOrder="0" shrinkToFit="0" vertical="center" wrapText="1"/>
    </xf>
    <xf borderId="110" fillId="37" fontId="71" numFmtId="164" xfId="0" applyAlignment="1" applyBorder="1" applyFont="1" applyNumberFormat="1">
      <alignment horizontal="center" readingOrder="0"/>
    </xf>
    <xf borderId="111" fillId="32" fontId="61" numFmtId="164" xfId="0" applyAlignment="1" applyBorder="1" applyFont="1" applyNumberFormat="1">
      <alignment horizontal="left" readingOrder="0" shrinkToFit="0" vertical="center" wrapText="1"/>
    </xf>
    <xf borderId="112" fillId="37" fontId="71" numFmtId="164" xfId="0" applyAlignment="1" applyBorder="1" applyFont="1" applyNumberFormat="1">
      <alignment horizontal="center" readingOrder="0"/>
    </xf>
    <xf borderId="113" fillId="32" fontId="61" numFmtId="164" xfId="0" applyAlignment="1" applyBorder="1" applyFont="1" applyNumberFormat="1">
      <alignment horizontal="left" readingOrder="0" shrinkToFit="0" vertical="center" wrapText="1"/>
    </xf>
    <xf borderId="114" fillId="3" fontId="11" numFmtId="164" xfId="0" applyAlignment="1" applyBorder="1" applyFont="1" applyNumberFormat="1">
      <alignment horizontal="center" readingOrder="0" shrinkToFit="0" vertical="center" wrapText="1"/>
    </xf>
    <xf borderId="0" fillId="5" fontId="72" numFmtId="164" xfId="0" applyAlignment="1" applyFont="1" applyNumberFormat="1">
      <alignment horizontal="left"/>
    </xf>
    <xf borderId="115" fillId="32" fontId="73" numFmtId="1" xfId="0" applyAlignment="1" applyBorder="1" applyFont="1" applyNumberFormat="1">
      <alignment horizontal="center" readingOrder="0" shrinkToFit="0" vertical="center" wrapText="1"/>
    </xf>
    <xf borderId="116" fillId="37" fontId="71" numFmtId="164" xfId="0" applyAlignment="1" applyBorder="1" applyFont="1" applyNumberFormat="1">
      <alignment horizontal="center" readingOrder="0"/>
    </xf>
    <xf borderId="117" fillId="6" fontId="11" numFmtId="164" xfId="0" applyAlignment="1" applyBorder="1" applyFont="1" applyNumberFormat="1">
      <alignment horizontal="center" readingOrder="0" shrinkToFit="0" vertical="center" wrapText="1"/>
    </xf>
    <xf borderId="96" fillId="23" fontId="63" numFmtId="1" xfId="0" applyAlignment="1" applyBorder="1" applyFont="1" applyNumberFormat="1">
      <alignment horizontal="center" readingOrder="0" shrinkToFit="0" vertical="center" wrapText="1"/>
    </xf>
    <xf borderId="109" fillId="3" fontId="11" numFmtId="164" xfId="0" applyAlignment="1" applyBorder="1" applyFont="1" applyNumberFormat="1">
      <alignment horizontal="center" readingOrder="0"/>
    </xf>
    <xf borderId="0" fillId="6" fontId="11" numFmtId="164" xfId="0" applyAlignment="1" applyFont="1" applyNumberFormat="1">
      <alignment horizontal="center" readingOrder="0" shrinkToFit="0" vertical="center" wrapText="1"/>
    </xf>
    <xf borderId="0" fillId="5" fontId="74" numFmtId="164" xfId="0" applyAlignment="1" applyFont="1" applyNumberFormat="1">
      <alignment horizontal="left"/>
    </xf>
    <xf borderId="84" fillId="3" fontId="75" numFmtId="1" xfId="0" applyAlignment="1" applyBorder="1" applyFont="1" applyNumberFormat="1">
      <alignment horizontal="left" readingOrder="0" shrinkToFit="0" vertical="center" wrapText="1"/>
    </xf>
    <xf borderId="118" fillId="6" fontId="11" numFmtId="164" xfId="0" applyAlignment="1" applyBorder="1" applyFont="1" applyNumberFormat="1">
      <alignment horizontal="center" readingOrder="0" shrinkToFit="0" vertical="center" wrapText="1"/>
    </xf>
    <xf borderId="119" fillId="3" fontId="11" numFmtId="164" xfId="0" applyAlignment="1" applyBorder="1" applyFont="1" applyNumberFormat="1">
      <alignment horizontal="center" readingOrder="0"/>
    </xf>
    <xf borderId="120" fillId="6" fontId="11" numFmtId="164" xfId="0" applyAlignment="1" applyBorder="1" applyFont="1" applyNumberFormat="1">
      <alignment horizontal="center" readingOrder="0" shrinkToFit="0" vertical="center" wrapText="1"/>
    </xf>
    <xf borderId="121" fillId="37" fontId="71" numFmtId="164" xfId="0" applyAlignment="1" applyBorder="1" applyFont="1" applyNumberFormat="1">
      <alignment horizontal="center" readingOrder="0"/>
    </xf>
    <xf borderId="122" fillId="3" fontId="11" numFmtId="164" xfId="0" applyAlignment="1" applyBorder="1" applyFont="1" applyNumberFormat="1">
      <alignment horizontal="center" readingOrder="0"/>
    </xf>
    <xf borderId="123" fillId="6" fontId="11" numFmtId="164" xfId="0" applyAlignment="1" applyBorder="1" applyFont="1" applyNumberFormat="1">
      <alignment horizontal="center" readingOrder="0" shrinkToFit="0" vertical="center" wrapText="1"/>
    </xf>
    <xf borderId="65" fillId="29" fontId="61" numFmtId="164" xfId="0" applyAlignment="1" applyBorder="1" applyFont="1" applyNumberFormat="1">
      <alignment horizontal="left" readingOrder="0" shrinkToFit="0" vertical="center" wrapText="1"/>
    </xf>
    <xf borderId="0" fillId="11" fontId="55" numFmtId="164" xfId="0" applyAlignment="1" applyFont="1" applyNumberFormat="1">
      <alignment horizontal="left" readingOrder="0"/>
    </xf>
    <xf borderId="0" fillId="11" fontId="55" numFmtId="164" xfId="0" applyAlignment="1" applyFont="1" applyNumberFormat="1">
      <alignment horizontal="left"/>
    </xf>
    <xf borderId="120" fillId="18" fontId="11" numFmtId="164" xfId="0" applyAlignment="1" applyBorder="1" applyFont="1" applyNumberFormat="1">
      <alignment horizontal="center" readingOrder="0" shrinkToFit="0" vertical="center" wrapText="1"/>
    </xf>
    <xf borderId="120" fillId="18" fontId="11" numFmtId="1" xfId="0" applyAlignment="1" applyBorder="1" applyFont="1" applyNumberFormat="1">
      <alignment horizontal="center" readingOrder="0" shrinkToFit="0" vertical="center" wrapText="1"/>
    </xf>
    <xf borderId="124" fillId="23" fontId="73" numFmtId="1" xfId="0" applyAlignment="1" applyBorder="1" applyFont="1" applyNumberFormat="1">
      <alignment horizontal="center" readingOrder="0" shrinkToFit="0" vertical="center" wrapText="1"/>
    </xf>
    <xf borderId="0" fillId="5" fontId="19" numFmtId="0" xfId="0" applyFont="1"/>
    <xf borderId="84" fillId="7" fontId="76" numFmtId="1" xfId="0" applyAlignment="1" applyBorder="1" applyFont="1" applyNumberFormat="1">
      <alignment horizontal="left" readingOrder="0" shrinkToFit="0" vertical="center" wrapText="1"/>
    </xf>
    <xf borderId="0" fillId="5" fontId="77" numFmtId="9" xfId="0" applyAlignment="1" applyFont="1" applyNumberFormat="1">
      <alignment horizontal="right"/>
    </xf>
    <xf borderId="123" fillId="18" fontId="11" numFmtId="164" xfId="0" applyAlignment="1" applyBorder="1" applyFont="1" applyNumberFormat="1">
      <alignment horizontal="center" readingOrder="0" shrinkToFit="0" vertical="center" wrapText="1"/>
    </xf>
    <xf borderId="2" fillId="3" fontId="37" numFmtId="164" xfId="0" applyAlignment="1" applyBorder="1" applyFont="1" applyNumberFormat="1">
      <alignment horizontal="left" readingOrder="0"/>
    </xf>
    <xf borderId="84" fillId="19" fontId="78" numFmtId="1" xfId="0" applyAlignment="1" applyBorder="1" applyFont="1" applyNumberFormat="1">
      <alignment horizontal="left" readingOrder="0" shrinkToFit="0" vertical="center" wrapText="1"/>
    </xf>
    <xf borderId="125" fillId="18" fontId="11" numFmtId="0" xfId="0" applyAlignment="1" applyBorder="1" applyFont="1">
      <alignment horizontal="center" readingOrder="0" shrinkToFit="0" vertical="center" wrapText="1"/>
    </xf>
    <xf borderId="126" fillId="3" fontId="37" numFmtId="164" xfId="0" applyAlignment="1" applyBorder="1" applyFont="1" applyNumberFormat="1">
      <alignment horizontal="left" readingOrder="0"/>
    </xf>
    <xf borderId="0" fillId="5" fontId="77" numFmtId="165" xfId="0" applyAlignment="1" applyFont="1" applyNumberFormat="1">
      <alignment horizontal="center"/>
    </xf>
    <xf borderId="127" fillId="3" fontId="37" numFmtId="164" xfId="0" applyAlignment="1" applyBorder="1" applyFont="1" applyNumberFormat="1">
      <alignment horizontal="left"/>
    </xf>
    <xf borderId="125" fillId="18" fontId="11" numFmtId="169" xfId="0" applyAlignment="1" applyBorder="1" applyFont="1" applyNumberFormat="1">
      <alignment horizontal="center" readingOrder="0" shrinkToFit="0" vertical="center" wrapText="1"/>
    </xf>
    <xf borderId="120" fillId="18" fontId="11" numFmtId="169" xfId="0" applyAlignment="1" applyBorder="1" applyFont="1" applyNumberFormat="1">
      <alignment horizontal="center" readingOrder="0" shrinkToFit="0" vertical="center" wrapText="1"/>
    </xf>
    <xf borderId="0" fillId="5" fontId="77" numFmtId="170" xfId="0" applyAlignment="1" applyFont="1" applyNumberFormat="1">
      <alignment horizontal="right"/>
    </xf>
    <xf borderId="123" fillId="18" fontId="11" numFmtId="1" xfId="0" applyAlignment="1" applyBorder="1" applyFont="1" applyNumberFormat="1">
      <alignment horizontal="center" readingOrder="0" shrinkToFit="0" vertical="center" wrapText="1"/>
    </xf>
    <xf borderId="127" fillId="3" fontId="37" numFmtId="164" xfId="0" applyAlignment="1" applyBorder="1" applyFont="1" applyNumberFormat="1">
      <alignment horizontal="left" readingOrder="0"/>
    </xf>
    <xf borderId="118" fillId="18" fontId="11" numFmtId="9" xfId="0" applyAlignment="1" applyBorder="1" applyFont="1" applyNumberFormat="1">
      <alignment horizontal="center" readingOrder="0" shrinkToFit="0" vertical="center" wrapText="1"/>
    </xf>
    <xf borderId="124" fillId="23" fontId="62" numFmtId="9" xfId="0" applyAlignment="1" applyBorder="1" applyFont="1" applyNumberFormat="1">
      <alignment horizontal="center" readingOrder="0" shrinkToFit="0" vertical="center" wrapText="1"/>
    </xf>
    <xf borderId="0" fillId="15" fontId="31" numFmtId="0" xfId="0" applyAlignment="1" applyFont="1">
      <alignment horizontal="left" readingOrder="0"/>
    </xf>
    <xf borderId="128" fillId="18" fontId="11" numFmtId="49" xfId="0" applyAlignment="1" applyBorder="1" applyFont="1" applyNumberFormat="1">
      <alignment horizontal="center" readingOrder="0" shrinkToFit="0" vertical="center" wrapText="1"/>
    </xf>
    <xf borderId="128" fillId="18" fontId="11" numFmtId="164" xfId="0" applyAlignment="1" applyBorder="1" applyFont="1" applyNumberFormat="1">
      <alignment horizontal="center" readingOrder="0" shrinkToFit="0" vertical="center" wrapText="1"/>
    </xf>
    <xf borderId="0" fillId="23" fontId="63" numFmtId="1" xfId="0" applyAlignment="1" applyFont="1" applyNumberFormat="1">
      <alignment horizontal="left" readingOrder="0" shrinkToFit="0" vertical="center" wrapText="1"/>
    </xf>
    <xf borderId="125" fillId="18" fontId="11" numFmtId="164" xfId="0" applyAlignment="1" applyBorder="1" applyFont="1" applyNumberFormat="1">
      <alignment horizontal="center" readingOrder="0" shrinkToFit="0" vertical="center" wrapText="1"/>
    </xf>
    <xf borderId="0" fillId="23" fontId="63" numFmtId="1" xfId="0" applyAlignment="1" applyFont="1" applyNumberFormat="1">
      <alignment horizontal="center" readingOrder="0" shrinkToFit="0" vertical="center" wrapText="1"/>
    </xf>
    <xf borderId="126" fillId="3" fontId="37" numFmtId="164" xfId="0" applyAlignment="1" applyBorder="1" applyFont="1" applyNumberFormat="1">
      <alignment horizontal="left"/>
    </xf>
    <xf borderId="0" fillId="3" fontId="79" numFmtId="0" xfId="0" applyAlignment="1" applyFont="1">
      <alignment horizontal="left" readingOrder="0"/>
    </xf>
    <xf borderId="0" fillId="3" fontId="80" numFmtId="0" xfId="0" applyAlignment="1" applyFont="1">
      <alignment horizontal="center" readingOrder="0"/>
    </xf>
    <xf borderId="0" fillId="3" fontId="80" numFmtId="0" xfId="0" applyAlignment="1" applyFont="1">
      <alignment horizontal="center" readingOrder="0"/>
    </xf>
    <xf borderId="0" fillId="7" fontId="81" numFmtId="164" xfId="0" applyAlignment="1" applyFont="1" applyNumberFormat="1">
      <alignment horizontal="left" readingOrder="0"/>
    </xf>
    <xf borderId="6" fillId="7" fontId="81" numFmtId="164" xfId="0" applyAlignment="1" applyBorder="1" applyFont="1" applyNumberFormat="1">
      <alignment horizontal="left" readingOrder="0"/>
    </xf>
    <xf borderId="0" fillId="5" fontId="82" numFmtId="164" xfId="0" applyAlignment="1" applyFont="1" applyNumberFormat="1">
      <alignment horizontal="left"/>
    </xf>
    <xf borderId="6" fillId="7" fontId="81" numFmtId="164" xfId="0" applyAlignment="1" applyBorder="1" applyFont="1" applyNumberFormat="1">
      <alignment horizontal="left"/>
    </xf>
    <xf borderId="129" fillId="29" fontId="73" numFmtId="1" xfId="0" applyAlignment="1" applyBorder="1" applyFont="1" applyNumberFormat="1">
      <alignment horizontal="center" readingOrder="0" shrinkToFit="0" vertical="center" wrapText="1"/>
    </xf>
    <xf borderId="84" fillId="15" fontId="76" numFmtId="1" xfId="0" applyAlignment="1" applyBorder="1" applyFont="1" applyNumberFormat="1">
      <alignment horizontal="left" readingOrder="0" shrinkToFit="0" vertical="center" wrapText="1"/>
    </xf>
    <xf borderId="0" fillId="5" fontId="19" numFmtId="164" xfId="0" applyFont="1" applyNumberFormat="1"/>
    <xf borderId="130" fillId="18" fontId="11" numFmtId="167" xfId="0" applyAlignment="1" applyBorder="1" applyFont="1" applyNumberFormat="1">
      <alignment horizontal="center" readingOrder="0" shrinkToFit="0" vertical="center" wrapText="1"/>
    </xf>
    <xf borderId="0" fillId="5" fontId="19" numFmtId="9" xfId="0" applyFont="1" applyNumberFormat="1"/>
    <xf borderId="0" fillId="5" fontId="83" numFmtId="167" xfId="0" applyAlignment="1" applyFont="1" applyNumberFormat="1">
      <alignment horizontal="right"/>
    </xf>
    <xf borderId="131" fillId="18" fontId="11" numFmtId="164" xfId="0" applyAlignment="1" applyBorder="1" applyFont="1" applyNumberFormat="1">
      <alignment horizontal="center" readingOrder="0" shrinkToFit="0" vertical="center" wrapText="1"/>
    </xf>
    <xf borderId="84" fillId="23" fontId="84" numFmtId="1" xfId="0" applyAlignment="1" applyBorder="1" applyFont="1" applyNumberFormat="1">
      <alignment horizontal="left" readingOrder="0" shrinkToFit="0" vertical="center" wrapText="1"/>
    </xf>
    <xf borderId="0" fillId="5" fontId="19" numFmtId="171" xfId="0" applyFont="1" applyNumberFormat="1"/>
    <xf borderId="128" fillId="38" fontId="32" numFmtId="164" xfId="0" applyAlignment="1" applyBorder="1" applyFill="1" applyFont="1" applyNumberFormat="1">
      <alignment horizontal="center" readingOrder="0" shrinkToFit="0" vertical="center" wrapText="1"/>
    </xf>
    <xf borderId="0" fillId="5" fontId="83" numFmtId="164" xfId="0" applyAlignment="1" applyFont="1" applyNumberFormat="1">
      <alignment horizontal="left"/>
    </xf>
    <xf borderId="1" fillId="38" fontId="32" numFmtId="0" xfId="0" applyAlignment="1" applyBorder="1" applyFont="1">
      <alignment horizontal="center" readingOrder="0" shrinkToFit="0" vertical="center" wrapText="1"/>
    </xf>
    <xf borderId="0" fillId="0" fontId="19" numFmtId="165" xfId="0" applyFont="1" applyNumberFormat="1"/>
    <xf borderId="132" fillId="9" fontId="10" numFmtId="164" xfId="0" applyAlignment="1" applyBorder="1" applyFont="1" applyNumberFormat="1">
      <alignment horizontal="left" readingOrder="0" shrinkToFit="0" vertical="center" wrapText="1"/>
    </xf>
    <xf borderId="0" fillId="0" fontId="19" numFmtId="170" xfId="0" applyFont="1" applyNumberFormat="1"/>
    <xf borderId="0" fillId="18" fontId="11" numFmtId="0" xfId="0" applyAlignment="1" applyFont="1">
      <alignment horizontal="center" readingOrder="0" shrinkToFit="0" vertical="center" wrapText="1"/>
    </xf>
    <xf borderId="0" fillId="5" fontId="19" numFmtId="167" xfId="0" applyFont="1" applyNumberFormat="1"/>
    <xf borderId="133" fillId="9" fontId="10" numFmtId="164" xfId="0" applyAlignment="1" applyBorder="1" applyFont="1" applyNumberFormat="1">
      <alignment horizontal="left" readingOrder="0" shrinkToFit="0" vertical="center" wrapText="1"/>
    </xf>
    <xf borderId="0" fillId="0" fontId="19" numFmtId="0" xfId="0" applyAlignment="1" applyFont="1">
      <alignment readingOrder="0"/>
    </xf>
    <xf borderId="134" fillId="9" fontId="10" numFmtId="164" xfId="0" applyAlignment="1" applyBorder="1" applyFont="1" applyNumberFormat="1">
      <alignment horizontal="left" readingOrder="0" shrinkToFit="0" vertical="center" wrapText="1"/>
    </xf>
    <xf borderId="0" fillId="9" fontId="10" numFmtId="164" xfId="0" applyAlignment="1" applyFont="1" applyNumberFormat="1">
      <alignment horizontal="left"/>
    </xf>
    <xf borderId="135" fillId="18" fontId="11" numFmtId="164" xfId="0" applyAlignment="1" applyBorder="1" applyFont="1" applyNumberFormat="1">
      <alignment horizontal="center" readingOrder="0" shrinkToFit="0" vertical="center" wrapText="1"/>
    </xf>
    <xf borderId="0" fillId="9" fontId="10" numFmtId="164" xfId="0" applyAlignment="1" applyFont="1" applyNumberFormat="1">
      <alignment horizontal="left" readingOrder="0"/>
    </xf>
    <xf borderId="0" fillId="39" fontId="85" numFmtId="1" xfId="0" applyAlignment="1" applyFill="1" applyFont="1" applyNumberFormat="1">
      <alignment horizontal="center" readingOrder="0"/>
    </xf>
    <xf borderId="0" fillId="5" fontId="86" numFmtId="164" xfId="0" applyAlignment="1" applyFont="1" applyNumberFormat="1">
      <alignment horizontal="left" readingOrder="0"/>
    </xf>
    <xf borderId="0" fillId="5" fontId="86" numFmtId="164" xfId="0" applyAlignment="1" applyFont="1" applyNumberFormat="1">
      <alignment horizontal="left"/>
    </xf>
    <xf borderId="0" fillId="5" fontId="86" numFmtId="1" xfId="0" applyAlignment="1" applyFont="1" applyNumberFormat="1">
      <alignment horizontal="center" readingOrder="0"/>
    </xf>
    <xf borderId="0" fillId="5" fontId="87" numFmtId="164" xfId="0" applyAlignment="1" applyFont="1" applyNumberFormat="1">
      <alignment horizontal="left" readingOrder="0"/>
    </xf>
    <xf borderId="136" fillId="0" fontId="3" numFmtId="0" xfId="0" applyBorder="1" applyFont="1"/>
    <xf borderId="137" fillId="5" fontId="86" numFmtId="164" xfId="0" applyAlignment="1" applyBorder="1" applyFont="1" applyNumberFormat="1">
      <alignment horizontal="left" readingOrder="0"/>
    </xf>
    <xf borderId="131" fillId="38" fontId="32" numFmtId="164" xfId="0" applyAlignment="1" applyBorder="1" applyFont="1" applyNumberFormat="1">
      <alignment horizontal="center" readingOrder="0" shrinkToFit="0" vertical="center" wrapText="1"/>
    </xf>
    <xf borderId="138" fillId="35" fontId="11" numFmtId="164" xfId="0" applyAlignment="1" applyBorder="1" applyFont="1" applyNumberFormat="1">
      <alignment horizontal="left"/>
    </xf>
    <xf borderId="137" fillId="5" fontId="87" numFmtId="164" xfId="0" applyAlignment="1" applyBorder="1" applyFont="1" applyNumberFormat="1">
      <alignment horizontal="center" readingOrder="0"/>
    </xf>
    <xf borderId="99" fillId="0" fontId="3" numFmtId="0" xfId="0" applyBorder="1" applyFont="1"/>
    <xf borderId="131" fillId="38" fontId="32" numFmtId="49" xfId="0" applyAlignment="1" applyBorder="1" applyFont="1" applyNumberFormat="1">
      <alignment horizontal="center" readingOrder="0" shrinkToFit="0" vertical="center" wrapText="1"/>
    </xf>
    <xf borderId="135" fillId="3" fontId="11" numFmtId="164" xfId="0" applyAlignment="1" applyBorder="1" applyFont="1" applyNumberFormat="1">
      <alignment horizontal="center" readingOrder="0" shrinkToFit="0" vertical="center" wrapText="1"/>
    </xf>
    <xf borderId="105" fillId="0" fontId="3" numFmtId="0" xfId="0" applyBorder="1" applyFont="1"/>
    <xf borderId="0" fillId="5" fontId="88" numFmtId="1" xfId="0" applyAlignment="1" applyFont="1" applyNumberFormat="1">
      <alignment horizontal="center" shrinkToFit="0" vertical="center" wrapText="1"/>
    </xf>
    <xf borderId="137" fillId="5" fontId="87" numFmtId="9" xfId="0" applyAlignment="1" applyBorder="1" applyFont="1" applyNumberFormat="1">
      <alignment horizontal="center"/>
    </xf>
    <xf borderId="128" fillId="6" fontId="11" numFmtId="164" xfId="0" applyAlignment="1" applyBorder="1" applyFont="1" applyNumberFormat="1">
      <alignment horizontal="center" readingOrder="0" shrinkToFit="0" vertical="center" wrapText="1"/>
    </xf>
    <xf borderId="137" fillId="40" fontId="86" numFmtId="164" xfId="0" applyAlignment="1" applyBorder="1" applyFill="1" applyFont="1" applyNumberFormat="1">
      <alignment horizontal="left" readingOrder="0"/>
    </xf>
    <xf borderId="139" fillId="15" fontId="89" numFmtId="164" xfId="0" applyAlignment="1" applyBorder="1" applyFont="1" applyNumberFormat="1">
      <alignment horizontal="left" shrinkToFit="0" vertical="center" wrapText="1"/>
    </xf>
    <xf borderId="137" fillId="5" fontId="87" numFmtId="171" xfId="0" applyAlignment="1" applyBorder="1" applyFont="1" applyNumberFormat="1">
      <alignment horizontal="center" readingOrder="0"/>
    </xf>
    <xf borderId="0" fillId="0" fontId="19" numFmtId="0" xfId="0" applyFont="1"/>
    <xf borderId="137" fillId="5" fontId="90" numFmtId="171" xfId="0" applyAlignment="1" applyBorder="1" applyFont="1" applyNumberFormat="1">
      <alignment horizontal="center" readingOrder="0"/>
    </xf>
    <xf borderId="137" fillId="40" fontId="90" numFmtId="171" xfId="0" applyAlignment="1" applyBorder="1" applyFont="1" applyNumberFormat="1">
      <alignment horizontal="center"/>
    </xf>
    <xf borderId="137" fillId="5" fontId="86" numFmtId="167" xfId="0" applyAlignment="1" applyBorder="1" applyFont="1" applyNumberFormat="1">
      <alignment horizontal="right" readingOrder="0"/>
    </xf>
    <xf borderId="137" fillId="5" fontId="86" numFmtId="167" xfId="0" applyAlignment="1" applyBorder="1" applyFont="1" applyNumberFormat="1">
      <alignment horizontal="right"/>
    </xf>
    <xf borderId="140" fillId="35" fontId="91" numFmtId="164" xfId="0" applyAlignment="1" applyBorder="1" applyFont="1" applyNumberFormat="1">
      <alignment horizontal="center" readingOrder="0" shrinkToFit="0" vertical="center" wrapText="0"/>
    </xf>
    <xf borderId="137" fillId="40" fontId="86" numFmtId="171" xfId="0" applyAlignment="1" applyBorder="1" applyFont="1" applyNumberFormat="1">
      <alignment horizontal="center"/>
    </xf>
    <xf borderId="137" fillId="5" fontId="86" numFmtId="164" xfId="0" applyAlignment="1" applyBorder="1" applyFont="1" applyNumberFormat="1">
      <alignment horizontal="left"/>
    </xf>
    <xf borderId="0" fillId="5" fontId="19" numFmtId="0" xfId="0" applyFont="1"/>
    <xf borderId="0" fillId="0" fontId="19" numFmtId="9" xfId="0" applyFont="1" applyNumberFormat="1"/>
    <xf borderId="140" fillId="35" fontId="11" numFmtId="9" xfId="0" applyAlignment="1" applyBorder="1" applyFont="1" applyNumberFormat="1">
      <alignment horizontal="center" shrinkToFit="0" vertical="center" wrapText="1"/>
    </xf>
    <xf borderId="141" fillId="5" fontId="88" numFmtId="1" xfId="0" applyAlignment="1" applyBorder="1" applyFont="1" applyNumberFormat="1">
      <alignment horizontal="center" shrinkToFit="0" vertical="center" wrapText="1"/>
    </xf>
    <xf borderId="0" fillId="5" fontId="87" numFmtId="164" xfId="0" applyAlignment="1" applyFont="1" applyNumberFormat="1">
      <alignment horizontal="center" readingOrder="0"/>
    </xf>
    <xf borderId="0" fillId="40" fontId="86" numFmtId="164" xfId="0" applyAlignment="1" applyFont="1" applyNumberFormat="1">
      <alignment horizontal="left" readingOrder="0"/>
    </xf>
    <xf borderId="0" fillId="5" fontId="87" numFmtId="171" xfId="0" applyAlignment="1" applyFont="1" applyNumberFormat="1">
      <alignment horizontal="center" readingOrder="0"/>
    </xf>
    <xf borderId="0" fillId="5" fontId="90" numFmtId="171" xfId="0" applyAlignment="1" applyFont="1" applyNumberFormat="1">
      <alignment horizontal="center" readingOrder="0"/>
    </xf>
    <xf borderId="0" fillId="40" fontId="90" numFmtId="171" xfId="0" applyAlignment="1" applyFont="1" applyNumberFormat="1">
      <alignment horizontal="center"/>
    </xf>
    <xf borderId="0" fillId="5" fontId="86" numFmtId="167" xfId="0" applyAlignment="1" applyFont="1" applyNumberFormat="1">
      <alignment horizontal="right" readingOrder="0"/>
    </xf>
    <xf borderId="142" fillId="41" fontId="89" numFmtId="165" xfId="0" applyAlignment="1" applyBorder="1" applyFill="1" applyFont="1" applyNumberFormat="1">
      <alignment horizontal="center" readingOrder="0" shrinkToFit="0" vertical="center" wrapText="1"/>
    </xf>
    <xf borderId="0" fillId="5" fontId="86" numFmtId="167" xfId="0" applyAlignment="1" applyFont="1" applyNumberFormat="1">
      <alignment horizontal="right"/>
    </xf>
    <xf borderId="0" fillId="40" fontId="86" numFmtId="171" xfId="0" applyAlignment="1" applyFont="1" applyNumberFormat="1">
      <alignment horizontal="center"/>
    </xf>
    <xf borderId="120" fillId="18" fontId="11" numFmtId="9" xfId="0" applyAlignment="1" applyBorder="1" applyFont="1" applyNumberFormat="1">
      <alignment horizontal="center" readingOrder="0" shrinkToFit="0" vertical="center" wrapText="1"/>
    </xf>
    <xf borderId="143" fillId="15" fontId="92" numFmtId="164" xfId="0" applyAlignment="1" applyBorder="1" applyFont="1" applyNumberFormat="1">
      <alignment horizontal="left" shrinkToFit="0" vertical="center" wrapText="1"/>
    </xf>
    <xf borderId="0" fillId="40" fontId="86" numFmtId="164" xfId="0" applyAlignment="1" applyFont="1" applyNumberFormat="1">
      <alignment horizontal="left"/>
    </xf>
    <xf borderId="0" fillId="5" fontId="86" numFmtId="171" xfId="0" applyAlignment="1" applyFont="1" applyNumberFormat="1">
      <alignment horizontal="center"/>
    </xf>
    <xf borderId="144" fillId="15" fontId="92" numFmtId="164" xfId="0" applyAlignment="1" applyBorder="1" applyFont="1" applyNumberFormat="1">
      <alignment horizontal="left" shrinkToFit="0" vertical="center" wrapText="1"/>
    </xf>
    <xf borderId="144" fillId="15" fontId="92" numFmtId="1" xfId="0" applyAlignment="1" applyBorder="1" applyFont="1" applyNumberFormat="1">
      <alignment horizontal="center" shrinkToFit="0" vertical="center" wrapText="1"/>
    </xf>
    <xf borderId="133" fillId="15" fontId="92" numFmtId="164" xfId="0" applyAlignment="1" applyBorder="1" applyFont="1" applyNumberFormat="1">
      <alignment horizontal="left" shrinkToFit="0" vertical="center" wrapText="0"/>
    </xf>
    <xf borderId="123" fillId="18" fontId="11" numFmtId="167" xfId="0" applyAlignment="1" applyBorder="1" applyFont="1" applyNumberFormat="1">
      <alignment horizontal="center" readingOrder="0" shrinkToFit="0" vertical="center" wrapText="1"/>
    </xf>
    <xf borderId="145" fillId="15" fontId="92" numFmtId="164" xfId="0" applyAlignment="1" applyBorder="1" applyFont="1" applyNumberFormat="1">
      <alignment horizontal="left" shrinkToFit="0" vertical="center" wrapText="1"/>
    </xf>
    <xf borderId="146" fillId="15" fontId="89" numFmtId="164" xfId="0" applyAlignment="1" applyBorder="1" applyFont="1" applyNumberFormat="1">
      <alignment horizontal="left" shrinkToFit="0" vertical="center" wrapText="1"/>
    </xf>
    <xf borderId="147" fillId="15" fontId="89" numFmtId="164" xfId="0" applyAlignment="1" applyBorder="1" applyFont="1" applyNumberFormat="1">
      <alignment horizontal="center" readingOrder="0" shrinkToFit="0" vertical="center" wrapText="0"/>
    </xf>
    <xf borderId="143" fillId="15" fontId="92" numFmtId="9" xfId="0" applyAlignment="1" applyBorder="1" applyFont="1" applyNumberFormat="1">
      <alignment horizontal="left" shrinkToFit="0" vertical="center" wrapText="1"/>
    </xf>
    <xf borderId="143" fillId="15" fontId="92" numFmtId="1" xfId="0" applyAlignment="1" applyBorder="1" applyFont="1" applyNumberFormat="1">
      <alignment horizontal="left" shrinkToFit="0" vertical="center" wrapText="1"/>
    </xf>
    <xf borderId="0" fillId="40" fontId="86" numFmtId="167" xfId="0" applyAlignment="1" applyFont="1" applyNumberFormat="1">
      <alignment horizontal="right"/>
    </xf>
    <xf borderId="0" fillId="5" fontId="88" numFmtId="1" xfId="0" applyAlignment="1" applyFont="1" applyNumberFormat="1">
      <alignment horizontal="center" readingOrder="0" shrinkToFit="0" vertical="top" wrapText="1"/>
    </xf>
    <xf borderId="42" fillId="15" fontId="89" numFmtId="164" xfId="0" applyAlignment="1" applyBorder="1" applyFont="1" applyNumberFormat="1">
      <alignment horizontal="left" readingOrder="0" shrinkToFit="0" vertical="top" wrapText="1"/>
    </xf>
    <xf borderId="144" fillId="15" fontId="92" numFmtId="165" xfId="0" applyAlignment="1" applyBorder="1" applyFont="1" applyNumberFormat="1">
      <alignment horizontal="right" readingOrder="0" shrinkToFit="0" vertical="center" wrapText="1"/>
    </xf>
    <xf borderId="148" fillId="42" fontId="88" numFmtId="164" xfId="0" applyAlignment="1" applyBorder="1" applyFill="1" applyFont="1" applyNumberFormat="1">
      <alignment horizontal="center" readingOrder="0" shrinkToFit="0" vertical="center" wrapText="0"/>
    </xf>
    <xf borderId="149" fillId="42" fontId="93" numFmtId="9" xfId="0" applyAlignment="1" applyBorder="1" applyFont="1" applyNumberFormat="1">
      <alignment horizontal="center" shrinkToFit="0" vertical="top" wrapText="1"/>
    </xf>
    <xf borderId="141" fillId="5" fontId="88" numFmtId="1" xfId="0" applyAlignment="1" applyBorder="1" applyFont="1" applyNumberFormat="1">
      <alignment horizontal="center" readingOrder="0" shrinkToFit="0" vertical="top" wrapText="1"/>
    </xf>
    <xf borderId="143" fillId="15" fontId="92" numFmtId="165" xfId="0" applyAlignment="1" applyBorder="1" applyFont="1" applyNumberFormat="1">
      <alignment horizontal="right" readingOrder="0" shrinkToFit="0" vertical="center" wrapText="1"/>
    </xf>
    <xf borderId="142" fillId="41" fontId="94" numFmtId="165" xfId="0" applyAlignment="1" applyBorder="1" applyFont="1" applyNumberFormat="1">
      <alignment horizontal="center" readingOrder="0" shrinkToFit="0" vertical="top" wrapText="1"/>
    </xf>
    <xf borderId="150" fillId="15" fontId="92" numFmtId="164" xfId="0" applyAlignment="1" applyBorder="1" applyFont="1" applyNumberFormat="1">
      <alignment horizontal="left" readingOrder="0" shrinkToFit="0" vertical="top" wrapText="1"/>
    </xf>
    <xf borderId="144" fillId="15" fontId="92" numFmtId="164" xfId="0" applyAlignment="1" applyBorder="1" applyFont="1" applyNumberFormat="1">
      <alignment horizontal="left" readingOrder="0" shrinkToFit="0" vertical="center" wrapText="1"/>
    </xf>
    <xf borderId="151" fillId="15" fontId="92" numFmtId="164" xfId="0" applyAlignment="1" applyBorder="1" applyFont="1" applyNumberFormat="1">
      <alignment horizontal="left" readingOrder="0" shrinkToFit="0" vertical="top" wrapText="1"/>
    </xf>
    <xf borderId="143" fillId="15" fontId="92" numFmtId="164" xfId="0" applyAlignment="1" applyBorder="1" applyFont="1" applyNumberFormat="1">
      <alignment horizontal="left" readingOrder="0" shrinkToFit="0" vertical="center" wrapText="1"/>
    </xf>
    <xf borderId="150" fillId="21" fontId="92" numFmtId="1" xfId="0" applyAlignment="1" applyBorder="1" applyFont="1" applyNumberFormat="1">
      <alignment horizontal="center" shrinkToFit="0" vertical="top" wrapText="1"/>
    </xf>
    <xf borderId="152" fillId="15" fontId="89" numFmtId="164" xfId="0" applyAlignment="1" applyBorder="1" applyFont="1" applyNumberFormat="1">
      <alignment horizontal="left" readingOrder="0" shrinkToFit="0" vertical="center" wrapText="1"/>
    </xf>
    <xf borderId="153" fillId="21" fontId="92" numFmtId="164" xfId="0" applyAlignment="1" applyBorder="1" applyFont="1" applyNumberFormat="1">
      <alignment horizontal="left" shrinkToFit="0" vertical="center" wrapText="0"/>
    </xf>
    <xf borderId="150" fillId="21" fontId="92" numFmtId="164" xfId="0" applyAlignment="1" applyBorder="1" applyFont="1" applyNumberFormat="1">
      <alignment horizontal="left" shrinkToFit="0" vertical="top" wrapText="1"/>
    </xf>
    <xf borderId="150" fillId="15" fontId="89" numFmtId="164" xfId="0" applyAlignment="1" applyBorder="1" applyFont="1" applyNumberFormat="1">
      <alignment horizontal="left" readingOrder="0" shrinkToFit="0" vertical="top" wrapText="1"/>
    </xf>
    <xf borderId="154" fillId="15" fontId="89" numFmtId="164" xfId="0" applyAlignment="1" applyBorder="1" applyFont="1" applyNumberFormat="1">
      <alignment horizontal="center" readingOrder="0" shrinkToFit="0" vertical="center" wrapText="0"/>
    </xf>
    <xf borderId="150" fillId="15" fontId="92" numFmtId="9" xfId="0" applyAlignment="1" applyBorder="1" applyFont="1" applyNumberFormat="1">
      <alignment horizontal="left" readingOrder="0" shrinkToFit="0" vertical="top" wrapText="1"/>
    </xf>
    <xf borderId="150" fillId="15" fontId="92" numFmtId="1" xfId="0" applyAlignment="1" applyBorder="1" applyFont="1" applyNumberFormat="1">
      <alignment horizontal="left" readingOrder="0" shrinkToFit="0" vertical="top" wrapText="1"/>
    </xf>
    <xf borderId="145" fillId="21" fontId="92" numFmtId="1" xfId="0" applyAlignment="1" applyBorder="1" applyFont="1" applyNumberFormat="1">
      <alignment horizontal="right" shrinkToFit="0" vertical="center" wrapText="1"/>
    </xf>
    <xf borderId="150" fillId="15" fontId="92" numFmtId="165" xfId="0" applyAlignment="1" applyBorder="1" applyFont="1" applyNumberFormat="1">
      <alignment horizontal="right" readingOrder="0" shrinkToFit="0" vertical="top" wrapText="1"/>
    </xf>
    <xf borderId="155" fillId="43" fontId="11" numFmtId="9" xfId="0" applyAlignment="1" applyBorder="1" applyFill="1" applyFont="1" applyNumberFormat="1">
      <alignment horizontal="right" shrinkToFit="0" vertical="center" wrapText="1"/>
    </xf>
    <xf borderId="150" fillId="15" fontId="95" numFmtId="165" xfId="0" applyAlignment="1" applyBorder="1" applyFont="1" applyNumberFormat="1">
      <alignment horizontal="right" readingOrder="0" shrinkToFit="0" vertical="top" wrapText="1"/>
    </xf>
    <xf borderId="142" fillId="15" fontId="92" numFmtId="167" xfId="0" applyAlignment="1" applyBorder="1" applyFont="1" applyNumberFormat="1">
      <alignment horizontal="right" readingOrder="0" shrinkToFit="0" vertical="center" wrapText="1"/>
    </xf>
    <xf borderId="0" fillId="40" fontId="87" numFmtId="164" xfId="0" applyAlignment="1" applyFont="1" applyNumberFormat="1">
      <alignment horizontal="center"/>
    </xf>
    <xf borderId="156" fillId="21" fontId="92" numFmtId="164" xfId="0" applyAlignment="1" applyBorder="1" applyFont="1" applyNumberFormat="1">
      <alignment horizontal="left" shrinkToFit="0" vertical="top" wrapText="1"/>
    </xf>
    <xf borderId="0" fillId="40" fontId="87" numFmtId="164" xfId="0" applyAlignment="1" applyFont="1" applyNumberFormat="1">
      <alignment horizontal="center" readingOrder="0"/>
    </xf>
    <xf borderId="0" fillId="21" fontId="28" numFmtId="167" xfId="0" applyAlignment="1" applyFont="1" applyNumberFormat="1">
      <alignment horizontal="right" readingOrder="0" shrinkToFit="0" vertical="center" wrapText="0"/>
    </xf>
    <xf borderId="137" fillId="40" fontId="87" numFmtId="9" xfId="0" applyAlignment="1" applyBorder="1" applyFont="1" applyNumberFormat="1">
      <alignment horizontal="center"/>
    </xf>
    <xf borderId="0" fillId="5" fontId="87" numFmtId="171" xfId="0" applyAlignment="1" applyFont="1" applyNumberFormat="1">
      <alignment horizontal="center"/>
    </xf>
    <xf borderId="0" fillId="5" fontId="90" numFmtId="171" xfId="0" applyAlignment="1" applyFont="1" applyNumberFormat="1">
      <alignment horizontal="center"/>
    </xf>
    <xf borderId="133" fillId="44" fontId="12" numFmtId="164" xfId="0" applyAlignment="1" applyBorder="1" applyFill="1" applyFont="1" applyNumberFormat="1">
      <alignment horizontal="left" shrinkToFit="0" vertical="center" wrapText="0"/>
    </xf>
    <xf borderId="157" fillId="21" fontId="92" numFmtId="1" xfId="0" applyAlignment="1" applyBorder="1" applyFont="1" applyNumberFormat="1">
      <alignment horizontal="right" shrinkToFit="0" vertical="top" wrapText="1"/>
    </xf>
    <xf borderId="158" fillId="43" fontId="11" numFmtId="9" xfId="0" applyAlignment="1" applyBorder="1" applyFont="1" applyNumberFormat="1">
      <alignment horizontal="right" shrinkToFit="0" vertical="top" wrapText="1"/>
    </xf>
    <xf borderId="0" fillId="3" fontId="85" numFmtId="1" xfId="0" applyAlignment="1" applyFont="1" applyNumberFormat="1">
      <alignment horizontal="center" readingOrder="0"/>
    </xf>
    <xf borderId="0" fillId="3" fontId="86" numFmtId="164" xfId="0" applyAlignment="1" applyFont="1" applyNumberFormat="1">
      <alignment horizontal="left"/>
    </xf>
    <xf borderId="159" fillId="21" fontId="92" numFmtId="1" xfId="0" applyAlignment="1" applyBorder="1" applyFont="1" applyNumberFormat="1">
      <alignment horizontal="right" shrinkToFit="0" vertical="top" wrapText="1"/>
    </xf>
    <xf borderId="0" fillId="3" fontId="86" numFmtId="167" xfId="0" applyAlignment="1" applyFont="1" applyNumberFormat="1">
      <alignment horizontal="right"/>
    </xf>
    <xf borderId="0" fillId="45" fontId="19" numFmtId="0" xfId="0" applyFill="1" applyFont="1"/>
    <xf borderId="0" fillId="46" fontId="85" numFmtId="1" xfId="0" applyAlignment="1" applyFill="1" applyFont="1" applyNumberFormat="1">
      <alignment horizontal="center" readingOrder="0"/>
    </xf>
    <xf borderId="0" fillId="44" fontId="12" numFmtId="164" xfId="0" applyAlignment="1" applyFont="1" applyNumberFormat="1">
      <alignment horizontal="left" shrinkToFit="0" vertical="center" wrapText="0"/>
    </xf>
    <xf borderId="160" fillId="15" fontId="92" numFmtId="167" xfId="0" applyAlignment="1" applyBorder="1" applyFont="1" applyNumberFormat="1">
      <alignment horizontal="right" readingOrder="0" shrinkToFit="0" vertical="top" wrapText="1"/>
    </xf>
    <xf borderId="0" fillId="15" fontId="92" numFmtId="164" xfId="0" applyAlignment="1" applyFont="1" applyNumberFormat="1">
      <alignment horizontal="left" readingOrder="0" shrinkToFit="0" vertical="center" wrapText="0"/>
    </xf>
    <xf borderId="161" fillId="21" fontId="28" numFmtId="167" xfId="0" applyAlignment="1" applyBorder="1" applyFont="1" applyNumberFormat="1">
      <alignment horizontal="right" shrinkToFit="0" vertical="center" wrapText="0"/>
    </xf>
    <xf borderId="0" fillId="15" fontId="92" numFmtId="164" xfId="0" applyAlignment="1" applyFont="1" applyNumberFormat="1">
      <alignment horizontal="left" shrinkToFit="0" vertical="center" wrapText="0"/>
    </xf>
    <xf borderId="0" fillId="15" fontId="92" numFmtId="165" xfId="0" applyAlignment="1" applyFont="1" applyNumberFormat="1">
      <alignment horizontal="right" shrinkToFit="0" vertical="center" wrapText="0"/>
    </xf>
    <xf borderId="0" fillId="21" fontId="92" numFmtId="164" xfId="0" applyAlignment="1" applyFont="1" applyNumberFormat="1">
      <alignment horizontal="center" shrinkToFit="0" vertical="center" wrapText="0"/>
    </xf>
    <xf borderId="0" fillId="5" fontId="86" numFmtId="1" xfId="0" applyAlignment="1" applyFont="1" applyNumberFormat="1">
      <alignment horizontal="center"/>
    </xf>
    <xf borderId="0" fillId="5" fontId="87" numFmtId="164" xfId="0" applyAlignment="1" applyFont="1" applyNumberFormat="1">
      <alignment horizontal="left"/>
    </xf>
    <xf borderId="0" fillId="5" fontId="87" numFmtId="164" xfId="0" applyAlignment="1" applyFont="1" applyNumberFormat="1">
      <alignment horizontal="center"/>
    </xf>
    <xf borderId="120" fillId="15" fontId="92" numFmtId="164" xfId="0" applyAlignment="1" applyBorder="1" applyFont="1" applyNumberFormat="1">
      <alignment horizontal="left" readingOrder="0" shrinkToFit="0" vertical="center" wrapText="0"/>
    </xf>
    <xf borderId="120" fillId="15" fontId="92" numFmtId="167" xfId="0" applyAlignment="1" applyBorder="1" applyFont="1" applyNumberFormat="1">
      <alignment horizontal="right" readingOrder="0" shrinkToFit="0" vertical="center" wrapText="0"/>
    </xf>
    <xf borderId="162" fillId="44" fontId="12" numFmtId="164" xfId="0" applyAlignment="1" applyBorder="1" applyFont="1" applyNumberFormat="1">
      <alignment horizontal="left" shrinkToFit="0" vertical="center" wrapText="0"/>
    </xf>
    <xf borderId="0" fillId="21" fontId="28" numFmtId="167" xfId="0" applyAlignment="1" applyFont="1" applyNumberFormat="1">
      <alignment horizontal="right" shrinkToFit="0" vertical="center" wrapText="0"/>
    </xf>
    <xf borderId="0" fillId="15" fontId="96" numFmtId="164" xfId="0" applyAlignment="1" applyFont="1" applyNumberFormat="1">
      <alignment horizontal="left" shrinkToFit="0" vertical="center" wrapText="0"/>
    </xf>
    <xf borderId="0" fillId="39" fontId="37" numFmtId="164" xfId="0" applyAlignment="1" applyFont="1" applyNumberFormat="1">
      <alignment horizontal="left" readingOrder="0"/>
    </xf>
    <xf borderId="149" fillId="42" fontId="93" numFmtId="9" xfId="0" applyAlignment="1" applyBorder="1" applyFont="1" applyNumberFormat="1">
      <alignment horizontal="center" shrinkToFit="0" vertical="center" wrapText="1"/>
    </xf>
    <xf borderId="163" fillId="5" fontId="37" numFmtId="164" xfId="0" applyAlignment="1" applyBorder="1" applyFont="1" applyNumberFormat="1">
      <alignment horizontal="left" readingOrder="0"/>
    </xf>
    <xf borderId="164" fillId="5" fontId="37" numFmtId="164" xfId="0" applyAlignment="1" applyBorder="1" applyFont="1" applyNumberFormat="1">
      <alignment horizontal="left"/>
    </xf>
    <xf borderId="165" fillId="5" fontId="88" numFmtId="1" xfId="0" applyAlignment="1" applyBorder="1" applyFont="1" applyNumberFormat="1">
      <alignment horizontal="center" shrinkToFit="0" vertical="center" wrapText="1"/>
    </xf>
    <xf borderId="164" fillId="5" fontId="37" numFmtId="164" xfId="0" applyAlignment="1" applyBorder="1" applyFont="1" applyNumberFormat="1">
      <alignment horizontal="left" readingOrder="0"/>
    </xf>
    <xf borderId="127" fillId="5" fontId="37" numFmtId="164" xfId="0" applyAlignment="1" applyBorder="1" applyFont="1" applyNumberFormat="1">
      <alignment horizontal="left"/>
    </xf>
    <xf borderId="127" fillId="40" fontId="37" numFmtId="164" xfId="0" applyAlignment="1" applyBorder="1" applyFont="1" applyNumberFormat="1">
      <alignment horizontal="left"/>
    </xf>
    <xf borderId="126" fillId="5" fontId="37" numFmtId="164" xfId="0" applyAlignment="1" applyBorder="1" applyFont="1" applyNumberFormat="1">
      <alignment horizontal="left"/>
    </xf>
    <xf borderId="0" fillId="5" fontId="79" numFmtId="0" xfId="0" applyAlignment="1" applyFont="1">
      <alignment horizontal="left"/>
    </xf>
    <xf borderId="0" fillId="45" fontId="80" numFmtId="0" xfId="0" applyAlignment="1" applyFont="1">
      <alignment horizontal="center"/>
    </xf>
    <xf borderId="0" fillId="45" fontId="79" numFmtId="0" xfId="0" applyAlignment="1" applyFont="1">
      <alignment horizontal="center"/>
    </xf>
    <xf borderId="0" fillId="45" fontId="80" numFmtId="0" xfId="0" applyAlignment="1" applyFont="1">
      <alignment horizontal="right" readingOrder="0"/>
    </xf>
    <xf borderId="166" fillId="39" fontId="97" numFmtId="164" xfId="0" applyAlignment="1" applyBorder="1" applyFont="1" applyNumberFormat="1">
      <alignment horizontal="left" readingOrder="0"/>
    </xf>
    <xf borderId="167" fillId="5" fontId="11" numFmtId="164" xfId="0" applyAlignment="1" applyBorder="1" applyFont="1" applyNumberFormat="1">
      <alignment horizontal="left"/>
    </xf>
    <xf borderId="168" fillId="15" fontId="92" numFmtId="164" xfId="0" applyAlignment="1" applyBorder="1" applyFont="1" applyNumberFormat="1">
      <alignment horizontal="left" shrinkToFit="0" vertical="center" wrapText="1"/>
    </xf>
    <xf borderId="169" fillId="5" fontId="98" numFmtId="164" xfId="0" applyAlignment="1" applyBorder="1" applyFont="1" applyNumberFormat="1">
      <alignment horizontal="left"/>
    </xf>
    <xf borderId="0" fillId="40" fontId="19" numFmtId="164" xfId="0" applyFont="1" applyNumberFormat="1"/>
    <xf borderId="0" fillId="40" fontId="19" numFmtId="171" xfId="0" applyFont="1" applyNumberFormat="1"/>
    <xf borderId="170" fillId="42" fontId="93" numFmtId="9" xfId="0" applyAlignment="1" applyBorder="1" applyFont="1" applyNumberFormat="1">
      <alignment horizontal="center" shrinkToFit="0" vertical="top" wrapText="1"/>
    </xf>
    <xf borderId="0" fillId="5" fontId="87" numFmtId="9" xfId="0" applyAlignment="1" applyFont="1" applyNumberFormat="1">
      <alignment horizontal="center"/>
    </xf>
    <xf borderId="171" fillId="5" fontId="88" numFmtId="1" xfId="0" applyAlignment="1" applyBorder="1" applyFont="1" applyNumberFormat="1">
      <alignment horizontal="center" readingOrder="0" shrinkToFit="0" vertical="top" wrapText="1"/>
    </xf>
    <xf borderId="133" fillId="21" fontId="28" numFmtId="167" xfId="0" applyAlignment="1" applyBorder="1" applyFont="1" applyNumberFormat="1">
      <alignment horizontal="right" readingOrder="0" shrinkToFit="0" vertical="center" wrapText="0"/>
    </xf>
    <xf borderId="0" fillId="40" fontId="86" numFmtId="167" xfId="0" applyAlignment="1" applyFont="1" applyNumberFormat="1">
      <alignment horizontal="right" readingOrder="0"/>
    </xf>
    <xf borderId="170" fillId="42" fontId="93" numFmtId="9" xfId="0" applyAlignment="1" applyBorder="1" applyFont="1" applyNumberFormat="1">
      <alignment horizontal="center" shrinkToFit="0" vertical="center" wrapText="1"/>
    </xf>
    <xf borderId="172" fillId="15" fontId="92" numFmtId="164" xfId="0" applyAlignment="1" applyBorder="1" applyFont="1" applyNumberFormat="1">
      <alignment horizontal="left" shrinkToFit="0" vertical="center" wrapText="1"/>
    </xf>
    <xf borderId="0" fillId="3" fontId="86" numFmtId="167" xfId="0" applyAlignment="1" applyFont="1" applyNumberFormat="1">
      <alignment horizontal="right" readingOrder="0"/>
    </xf>
    <xf borderId="0" fillId="47" fontId="19" numFmtId="0" xfId="0" applyFill="1" applyFont="1"/>
    <xf borderId="0" fillId="48" fontId="86" numFmtId="164" xfId="0" applyAlignment="1" applyFill="1" applyFont="1" applyNumberFormat="1">
      <alignment horizontal="left" readingOrder="0"/>
    </xf>
    <xf borderId="0" fillId="40" fontId="87" numFmtId="9" xfId="0" applyAlignment="1" applyFont="1" applyNumberFormat="1">
      <alignment horizontal="center"/>
    </xf>
    <xf borderId="133" fillId="21" fontId="28" numFmtId="167" xfId="0" applyAlignment="1" applyBorder="1" applyFont="1" applyNumberFormat="1">
      <alignment horizontal="right" shrinkToFit="0" vertical="center" wrapText="0"/>
    </xf>
    <xf borderId="0" fillId="47" fontId="80" numFmtId="0" xfId="0" applyAlignment="1" applyFont="1">
      <alignment horizontal="center"/>
    </xf>
    <xf borderId="0" fillId="47" fontId="79" numFmtId="0" xfId="0" applyAlignment="1" applyFont="1">
      <alignment horizontal="center"/>
    </xf>
    <xf borderId="0" fillId="47" fontId="80" numFmtId="0" xfId="0" applyAlignment="1" applyFont="1">
      <alignment horizontal="right" readingOrder="0"/>
    </xf>
    <xf borderId="0" fillId="5" fontId="87" numFmtId="9" xfId="0" applyAlignment="1" applyFont="1" applyNumberFormat="1">
      <alignment horizontal="center" readingOrder="0"/>
    </xf>
    <xf borderId="145" fillId="15" fontId="92" numFmtId="164" xfId="0" applyAlignment="1" applyBorder="1" applyFont="1" applyNumberFormat="1">
      <alignment horizontal="left" shrinkToFit="0" vertical="top" wrapText="1"/>
    </xf>
    <xf borderId="145" fillId="21" fontId="92" numFmtId="1" xfId="0" applyAlignment="1" applyBorder="1" applyFont="1" applyNumberFormat="1">
      <alignment horizontal="right" shrinkToFit="0" vertical="top" wrapText="1"/>
    </xf>
    <xf borderId="0" fillId="3" fontId="86" numFmtId="164" xfId="0" applyAlignment="1" applyFont="1" applyNumberFormat="1">
      <alignment horizontal="left" readingOrder="0"/>
    </xf>
    <xf borderId="0" fillId="49" fontId="19" numFmtId="0" xfId="0" applyFill="1" applyFont="1"/>
    <xf borderId="0" fillId="5" fontId="40" numFmtId="164" xfId="0" applyAlignment="1" applyFont="1" applyNumberFormat="1">
      <alignment horizontal="left" readingOrder="0"/>
    </xf>
    <xf borderId="0" fillId="5" fontId="99" numFmtId="164" xfId="0" applyAlignment="1" applyFont="1" applyNumberFormat="1">
      <alignment horizontal="left" readingOrder="0"/>
    </xf>
    <xf borderId="168" fillId="15" fontId="92" numFmtId="164" xfId="0" applyAlignment="1" applyBorder="1" applyFont="1" applyNumberFormat="1">
      <alignment horizontal="left" shrinkToFit="0" vertical="top" wrapText="1"/>
    </xf>
    <xf borderId="173" fillId="5" fontId="86" numFmtId="164" xfId="0" applyAlignment="1" applyBorder="1" applyFont="1" applyNumberFormat="1">
      <alignment horizontal="left"/>
    </xf>
    <xf borderId="0" fillId="49" fontId="80" numFmtId="0" xfId="0" applyAlignment="1" applyFont="1">
      <alignment horizontal="center"/>
    </xf>
    <xf borderId="0" fillId="49" fontId="79" numFmtId="0" xfId="0" applyAlignment="1" applyFont="1">
      <alignment horizontal="center"/>
    </xf>
    <xf borderId="0" fillId="49" fontId="80" numFmtId="0" xfId="0" applyAlignment="1" applyFont="1">
      <alignment horizontal="right" readingOrder="0"/>
    </xf>
    <xf borderId="166" fillId="46" fontId="97" numFmtId="164" xfId="0" applyAlignment="1" applyBorder="1" applyFont="1" applyNumberFormat="1">
      <alignment horizontal="left" readingOrder="0"/>
    </xf>
    <xf borderId="0" fillId="40" fontId="19" numFmtId="167" xfId="0" applyFont="1" applyNumberFormat="1"/>
    <xf borderId="174" fillId="42" fontId="93" numFmtId="9" xfId="0" applyAlignment="1" applyBorder="1" applyFont="1" applyNumberFormat="1">
      <alignment horizontal="center" shrinkToFit="0" vertical="top" wrapText="1"/>
    </xf>
    <xf borderId="0" fillId="5" fontId="86" numFmtId="171" xfId="0" applyAlignment="1" applyFont="1" applyNumberFormat="1">
      <alignment horizontal="center" readingOrder="0"/>
    </xf>
    <xf borderId="175" fillId="5" fontId="86" numFmtId="164" xfId="0" applyAlignment="1" applyBorder="1" applyFont="1" applyNumberFormat="1">
      <alignment horizontal="left"/>
    </xf>
    <xf borderId="173" fillId="5" fontId="86" numFmtId="164" xfId="0" applyAlignment="1" applyBorder="1" applyFont="1" applyNumberFormat="1">
      <alignment horizontal="left" readingOrder="0"/>
    </xf>
    <xf borderId="173" fillId="5" fontId="86" numFmtId="1" xfId="0" applyAlignment="1" applyBorder="1" applyFont="1" applyNumberFormat="1">
      <alignment horizontal="center"/>
    </xf>
    <xf borderId="173" fillId="5" fontId="87" numFmtId="164" xfId="0" applyAlignment="1" applyBorder="1" applyFont="1" applyNumberFormat="1">
      <alignment horizontal="left"/>
    </xf>
    <xf borderId="173" fillId="5" fontId="87" numFmtId="164" xfId="0" applyAlignment="1" applyBorder="1" applyFont="1" applyNumberFormat="1">
      <alignment horizontal="center"/>
    </xf>
    <xf borderId="173" fillId="5" fontId="87" numFmtId="9" xfId="0" applyAlignment="1" applyBorder="1" applyFont="1" applyNumberFormat="1">
      <alignment horizontal="center"/>
    </xf>
    <xf borderId="173" fillId="5" fontId="87" numFmtId="171" xfId="0" applyAlignment="1" applyBorder="1" applyFont="1" applyNumberFormat="1">
      <alignment horizontal="center"/>
    </xf>
    <xf borderId="173" fillId="5" fontId="90" numFmtId="171" xfId="0" applyAlignment="1" applyBorder="1" applyFont="1" applyNumberFormat="1">
      <alignment horizontal="center"/>
    </xf>
    <xf borderId="173" fillId="40" fontId="86" numFmtId="167" xfId="0" applyAlignment="1" applyBorder="1" applyFont="1" applyNumberFormat="1">
      <alignment horizontal="right"/>
    </xf>
    <xf borderId="173" fillId="5" fontId="86" numFmtId="167" xfId="0" applyAlignment="1" applyBorder="1" applyFont="1" applyNumberFormat="1">
      <alignment horizontal="right"/>
    </xf>
    <xf borderId="173" fillId="5" fontId="86" numFmtId="171" xfId="0" applyAlignment="1" applyBorder="1" applyFont="1" applyNumberFormat="1">
      <alignment horizontal="center"/>
    </xf>
    <xf borderId="176" fillId="5" fontId="86" numFmtId="164" xfId="0" applyAlignment="1" applyBorder="1" applyFont="1" applyNumberFormat="1">
      <alignment horizontal="left"/>
    </xf>
    <xf borderId="176" fillId="5" fontId="86" numFmtId="1" xfId="0" applyAlignment="1" applyBorder="1" applyFont="1" applyNumberFormat="1">
      <alignment horizontal="center"/>
    </xf>
    <xf borderId="176" fillId="5" fontId="87" numFmtId="164" xfId="0" applyAlignment="1" applyBorder="1" applyFont="1" applyNumberFormat="1">
      <alignment horizontal="left"/>
    </xf>
    <xf borderId="177" fillId="5" fontId="86" numFmtId="164" xfId="0" applyAlignment="1" applyBorder="1" applyFont="1" applyNumberFormat="1">
      <alignment horizontal="left"/>
    </xf>
    <xf borderId="176" fillId="5" fontId="87" numFmtId="164" xfId="0" applyAlignment="1" applyBorder="1" applyFont="1" applyNumberFormat="1">
      <alignment horizontal="center"/>
    </xf>
    <xf borderId="53" fillId="5" fontId="87" numFmtId="9" xfId="0" applyAlignment="1" applyBorder="1" applyFont="1" applyNumberFormat="1">
      <alignment horizontal="center"/>
    </xf>
    <xf borderId="176" fillId="5" fontId="87" numFmtId="171" xfId="0" applyAlignment="1" applyBorder="1" applyFont="1" applyNumberFormat="1">
      <alignment horizontal="center"/>
    </xf>
    <xf borderId="176" fillId="5" fontId="90" numFmtId="171" xfId="0" applyAlignment="1" applyBorder="1" applyFont="1" applyNumberFormat="1">
      <alignment horizontal="center"/>
    </xf>
    <xf borderId="177" fillId="5" fontId="90" numFmtId="171" xfId="0" applyAlignment="1" applyBorder="1" applyFont="1" applyNumberFormat="1">
      <alignment horizontal="center"/>
    </xf>
    <xf borderId="176" fillId="5" fontId="86" numFmtId="167" xfId="0" applyAlignment="1" applyBorder="1" applyFont="1" applyNumberFormat="1">
      <alignment horizontal="right"/>
    </xf>
    <xf borderId="53" fillId="5" fontId="86" numFmtId="167" xfId="0" applyAlignment="1" applyBorder="1" applyFont="1" applyNumberFormat="1">
      <alignment horizontal="right"/>
    </xf>
    <xf borderId="177" fillId="5" fontId="86" numFmtId="167" xfId="0" applyAlignment="1" applyBorder="1" applyFont="1" applyNumberFormat="1">
      <alignment horizontal="right"/>
    </xf>
    <xf borderId="177" fillId="5" fontId="86" numFmtId="171" xfId="0" applyAlignment="1" applyBorder="1" applyFont="1" applyNumberFormat="1">
      <alignment horizontal="center"/>
    </xf>
    <xf borderId="53" fillId="5" fontId="86" numFmtId="164" xfId="0" applyAlignment="1" applyBorder="1" applyFont="1" applyNumberFormat="1">
      <alignment horizontal="left"/>
    </xf>
    <xf borderId="167" fillId="35" fontId="11" numFmtId="164" xfId="0" applyAlignment="1" applyBorder="1" applyFont="1" applyNumberFormat="1">
      <alignment horizontal="left"/>
    </xf>
    <xf borderId="2" fillId="3" fontId="37" numFmtId="164" xfId="0" applyAlignment="1" applyBorder="1" applyFont="1" applyNumberFormat="1">
      <alignment horizontal="left"/>
    </xf>
    <xf borderId="178" fillId="38" fontId="45" numFmtId="164" xfId="0" applyAlignment="1" applyBorder="1" applyFont="1" applyNumberFormat="1">
      <alignment horizontal="center" readingOrder="0"/>
    </xf>
    <xf borderId="0" fillId="11" fontId="36" numFmtId="164" xfId="0" applyAlignment="1" applyFont="1" applyNumberFormat="1">
      <alignment horizontal="left"/>
    </xf>
    <xf borderId="0" fillId="50" fontId="78" numFmtId="172" xfId="0" applyAlignment="1" applyFill="1" applyFont="1" applyNumberFormat="1">
      <alignment horizontal="center"/>
    </xf>
    <xf borderId="0" fillId="11" fontId="36" numFmtId="164" xfId="0" applyAlignment="1" applyFont="1" applyNumberFormat="1">
      <alignment horizontal="center"/>
    </xf>
    <xf borderId="0" fillId="50" fontId="78" numFmtId="164" xfId="0" applyAlignment="1" applyFont="1" applyNumberFormat="1">
      <alignment horizontal="left"/>
    </xf>
    <xf borderId="0" fillId="50" fontId="78" numFmtId="165" xfId="0" applyAlignment="1" applyFont="1" applyNumberFormat="1">
      <alignment horizontal="center"/>
    </xf>
    <xf borderId="0" fillId="50" fontId="78" numFmtId="9" xfId="0" applyAlignment="1" applyFont="1" applyNumberFormat="1">
      <alignment horizontal="right"/>
    </xf>
    <xf borderId="0" fillId="50" fontId="78" numFmtId="167" xfId="0" applyAlignment="1" applyFont="1" applyNumberFormat="1">
      <alignment horizontal="right"/>
    </xf>
    <xf borderId="0" fillId="11" fontId="59" numFmtId="164" xfId="0" applyAlignment="1" applyFont="1" applyNumberFormat="1">
      <alignment horizontal="center"/>
    </xf>
    <xf borderId="120" fillId="5" fontId="88" numFmtId="9" xfId="0" applyAlignment="1" applyBorder="1" applyFont="1" applyNumberFormat="1">
      <alignment horizontal="center" shrinkToFit="0" vertical="top" wrapText="1"/>
    </xf>
    <xf borderId="160" fillId="5" fontId="88" numFmtId="1" xfId="0" applyAlignment="1" applyBorder="1" applyFont="1" applyNumberFormat="1">
      <alignment horizontal="center" readingOrder="0" shrinkToFit="0" vertical="top" wrapText="1"/>
    </xf>
    <xf borderId="174" fillId="42" fontId="93" numFmtId="9" xfId="0" applyAlignment="1" applyBorder="1" applyFont="1" applyNumberFormat="1">
      <alignment horizontal="center" shrinkToFit="0" vertical="center" wrapText="1"/>
    </xf>
    <xf borderId="84" fillId="23" fontId="63" numFmtId="1" xfId="0" applyAlignment="1" applyBorder="1" applyFont="1" applyNumberFormat="1">
      <alignment horizontal="left" readingOrder="0" shrinkToFit="0" vertical="center" wrapText="1"/>
    </xf>
    <xf borderId="84" fillId="9" fontId="10" numFmtId="164" xfId="0" applyAlignment="1" applyBorder="1" applyFont="1" applyNumberFormat="1">
      <alignment horizontal="left" readingOrder="0" shrinkToFit="0" vertical="center" wrapText="1"/>
    </xf>
    <xf borderId="96" fillId="9" fontId="10" numFmtId="164" xfId="0" applyAlignment="1" applyBorder="1" applyFont="1" applyNumberFormat="1">
      <alignment horizontal="left" readingOrder="0" shrinkToFit="0" vertical="center" wrapText="1"/>
    </xf>
    <xf borderId="179" fillId="15" fontId="89" numFmtId="164" xfId="0" applyAlignment="1" applyBorder="1" applyFont="1" applyNumberFormat="1">
      <alignment horizontal="left" readingOrder="0" shrinkToFit="0" vertical="top" wrapText="1"/>
    </xf>
    <xf borderId="148" fillId="42" fontId="93" numFmtId="9" xfId="0" applyAlignment="1" applyBorder="1" applyFont="1" applyNumberFormat="1">
      <alignment horizontal="center" shrinkToFit="0" vertical="top" wrapText="1"/>
    </xf>
    <xf borderId="180" fillId="5" fontId="88" numFmtId="1" xfId="0" applyAlignment="1" applyBorder="1" applyFont="1" applyNumberFormat="1">
      <alignment horizontal="center" readingOrder="0" shrinkToFit="0" vertical="top" wrapText="1"/>
    </xf>
    <xf borderId="181" fillId="41" fontId="89" numFmtId="165" xfId="0" applyAlignment="1" applyBorder="1" applyFont="1" applyNumberFormat="1">
      <alignment horizontal="center" readingOrder="0" shrinkToFit="0" vertical="top" wrapText="1"/>
    </xf>
    <xf borderId="182" fillId="15" fontId="92" numFmtId="164" xfId="0" applyAlignment="1" applyBorder="1" applyFont="1" applyNumberFormat="1">
      <alignment horizontal="left" readingOrder="0" shrinkToFit="0" vertical="top" wrapText="1"/>
    </xf>
    <xf borderId="183" fillId="15" fontId="92" numFmtId="164" xfId="0" applyAlignment="1" applyBorder="1" applyFont="1" applyNumberFormat="1">
      <alignment horizontal="left" readingOrder="0" shrinkToFit="0" vertical="top" wrapText="1"/>
    </xf>
    <xf borderId="183" fillId="21" fontId="92" numFmtId="164" xfId="0" applyAlignment="1" applyBorder="1" applyFont="1" applyNumberFormat="1">
      <alignment horizontal="left" shrinkToFit="0" vertical="top" wrapText="1"/>
    </xf>
    <xf borderId="183" fillId="21" fontId="92" numFmtId="1" xfId="0" applyAlignment="1" applyBorder="1" applyFont="1" applyNumberFormat="1">
      <alignment horizontal="center" shrinkToFit="0" vertical="top" wrapText="1"/>
    </xf>
    <xf borderId="183" fillId="21" fontId="92" numFmtId="164" xfId="0" applyAlignment="1" applyBorder="1" applyFont="1" applyNumberFormat="1">
      <alignment horizontal="left" shrinkToFit="0" vertical="center" wrapText="0"/>
    </xf>
    <xf borderId="183" fillId="15" fontId="89" numFmtId="164" xfId="0" applyAlignment="1" applyBorder="1" applyFont="1" applyNumberFormat="1">
      <alignment horizontal="left" readingOrder="0" shrinkToFit="0" vertical="top" wrapText="1"/>
    </xf>
    <xf borderId="183" fillId="15" fontId="92" numFmtId="9" xfId="0" applyAlignment="1" applyBorder="1" applyFont="1" applyNumberFormat="1">
      <alignment horizontal="left" readingOrder="0" shrinkToFit="0" vertical="top" wrapText="1"/>
    </xf>
    <xf borderId="183" fillId="15" fontId="92" numFmtId="1" xfId="0" applyAlignment="1" applyBorder="1" applyFont="1" applyNumberFormat="1">
      <alignment horizontal="left" readingOrder="0" shrinkToFit="0" vertical="top" wrapText="1"/>
    </xf>
    <xf borderId="183" fillId="15" fontId="95" numFmtId="165" xfId="0" applyAlignment="1" applyBorder="1" applyFont="1" applyNumberFormat="1">
      <alignment horizontal="right" readingOrder="0" shrinkToFit="0" vertical="top" wrapText="1"/>
    </xf>
    <xf borderId="179" fillId="15" fontId="92" numFmtId="164" xfId="0" applyAlignment="1" applyBorder="1" applyFont="1" applyNumberFormat="1">
      <alignment horizontal="left" readingOrder="0" shrinkToFit="0" vertical="top" wrapText="1"/>
    </xf>
    <xf borderId="179" fillId="21" fontId="92" numFmtId="164" xfId="0" applyAlignment="1" applyBorder="1" applyFont="1" applyNumberFormat="1">
      <alignment horizontal="left" shrinkToFit="0" vertical="top" wrapText="1"/>
    </xf>
    <xf borderId="184" fillId="21" fontId="92" numFmtId="1" xfId="0" applyAlignment="1" applyBorder="1" applyFont="1" applyNumberFormat="1">
      <alignment horizontal="right" shrinkToFit="0" vertical="top" wrapText="1"/>
    </xf>
    <xf borderId="133" fillId="43" fontId="11" numFmtId="9" xfId="0" applyAlignment="1" applyBorder="1" applyFont="1" applyNumberFormat="1">
      <alignment horizontal="right" shrinkToFit="0" vertical="top" wrapText="1"/>
    </xf>
    <xf borderId="181" fillId="15" fontId="92" numFmtId="167" xfId="0" applyAlignment="1" applyBorder="1" applyFont="1" applyNumberFormat="1">
      <alignment horizontal="right" readingOrder="0" shrinkToFit="0" vertical="top" wrapText="1"/>
    </xf>
    <xf borderId="185" fillId="21" fontId="28" numFmtId="167" xfId="0" applyAlignment="1" applyBorder="1" applyFont="1" applyNumberFormat="1">
      <alignment horizontal="right" shrinkToFit="0" vertical="center" wrapText="0"/>
    </xf>
    <xf borderId="148" fillId="42" fontId="93" numFmtId="164" xfId="0" applyAlignment="1" applyBorder="1" applyFont="1" applyNumberFormat="1">
      <alignment horizontal="center" readingOrder="0" shrinkToFit="0" vertical="center" wrapText="0"/>
    </xf>
    <xf borderId="186" fillId="42" fontId="93" numFmtId="9" xfId="0" applyAlignment="1" applyBorder="1" applyFont="1" applyNumberFormat="1">
      <alignment horizontal="center" shrinkToFit="0" vertical="top" wrapText="1"/>
    </xf>
    <xf borderId="187" fillId="5" fontId="88" numFmtId="1" xfId="0" applyAlignment="1" applyBorder="1" applyFont="1" applyNumberFormat="1">
      <alignment horizontal="center" readingOrder="0" shrinkToFit="0" vertical="top" wrapText="1"/>
    </xf>
    <xf borderId="188" fillId="21" fontId="92" numFmtId="164" xfId="0" applyAlignment="1" applyBorder="1" applyFont="1" applyNumberFormat="1">
      <alignment horizontal="left" shrinkToFit="0" vertical="top" wrapText="1"/>
    </xf>
    <xf borderId="188" fillId="21" fontId="92" numFmtId="1" xfId="0" applyAlignment="1" applyBorder="1" applyFont="1" applyNumberFormat="1">
      <alignment horizontal="center" shrinkToFit="0" vertical="top" wrapText="1"/>
    </xf>
    <xf borderId="189" fillId="21" fontId="92" numFmtId="164" xfId="0" applyAlignment="1" applyBorder="1" applyFont="1" applyNumberFormat="1">
      <alignment horizontal="left" shrinkToFit="0" vertical="center" wrapText="0"/>
    </xf>
    <xf borderId="190" fillId="21" fontId="92" numFmtId="164" xfId="0" applyAlignment="1" applyBorder="1" applyFont="1" applyNumberFormat="1">
      <alignment horizontal="left" shrinkToFit="0" vertical="top" wrapText="1"/>
    </xf>
    <xf borderId="190" fillId="21" fontId="92" numFmtId="1" xfId="0" applyAlignment="1" applyBorder="1" applyFont="1" applyNumberFormat="1">
      <alignment horizontal="center" shrinkToFit="0" vertical="top" wrapText="1"/>
    </xf>
    <xf borderId="140" fillId="51" fontId="11" numFmtId="9" xfId="0" applyAlignment="1" applyBorder="1" applyFill="1" applyFont="1" applyNumberFormat="1">
      <alignment horizontal="center" shrinkToFit="0" vertical="center" wrapText="1"/>
    </xf>
    <xf borderId="191" fillId="15" fontId="92" numFmtId="164" xfId="0" applyAlignment="1" applyBorder="1" applyFont="1" applyNumberFormat="1">
      <alignment horizontal="left" shrinkToFit="0" vertical="center" wrapText="0"/>
    </xf>
    <xf borderId="192" fillId="15" fontId="92" numFmtId="164" xfId="0" applyAlignment="1" applyBorder="1" applyFont="1" applyNumberFormat="1">
      <alignment horizontal="left" shrinkToFit="0" vertical="top" wrapText="1"/>
    </xf>
    <xf borderId="172" fillId="15" fontId="92" numFmtId="164" xfId="0" applyAlignment="1" applyBorder="1" applyFont="1" applyNumberFormat="1">
      <alignment horizontal="left" shrinkToFit="0" vertical="top" wrapText="1"/>
    </xf>
    <xf borderId="145" fillId="15" fontId="92" numFmtId="164" xfId="0" applyAlignment="1" applyBorder="1" applyFont="1" applyNumberFormat="1">
      <alignment horizontal="left" readingOrder="0" shrinkToFit="0" vertical="top" wrapText="1"/>
    </xf>
    <xf borderId="168" fillId="15" fontId="92" numFmtId="164" xfId="0" applyAlignment="1" applyBorder="1" applyFont="1" applyNumberFormat="1">
      <alignment horizontal="left" readingOrder="0" shrinkToFit="0" vertical="top" wrapText="1"/>
    </xf>
    <xf borderId="149" fillId="51" fontId="11" numFmtId="9" xfId="0" applyAlignment="1" applyBorder="1" applyFont="1" applyNumberFormat="1">
      <alignment horizontal="center" shrinkToFit="0" vertical="center" wrapText="1"/>
    </xf>
    <xf borderId="174" fillId="51" fontId="11" numFmtId="9" xfId="0" applyAlignment="1" applyBorder="1" applyFont="1" applyNumberFormat="1">
      <alignment horizontal="center" shrinkToFit="0" vertical="center" wrapText="1"/>
    </xf>
    <xf borderId="193" fillId="21" fontId="92" numFmtId="1" xfId="0" applyAlignment="1" applyBorder="1" applyFont="1" applyNumberFormat="1">
      <alignment horizontal="center" shrinkToFit="0" vertical="top" wrapText="1"/>
    </xf>
    <xf borderId="193" fillId="21" fontId="92" numFmtId="164" xfId="0" applyAlignment="1" applyBorder="1" applyFont="1" applyNumberFormat="1">
      <alignment horizontal="left" shrinkToFit="0" vertical="top" wrapText="1"/>
    </xf>
    <xf borderId="149" fillId="51" fontId="11" numFmtId="9" xfId="0" applyAlignment="1" applyBorder="1" applyFont="1" applyNumberFormat="1">
      <alignment horizontal="center" shrinkToFit="0" vertical="top" wrapText="1"/>
    </xf>
    <xf borderId="156" fillId="21" fontId="92" numFmtId="1" xfId="0" applyAlignment="1" applyBorder="1" applyFont="1" applyNumberFormat="1">
      <alignment horizontal="center" shrinkToFit="0" vertical="top" wrapText="1"/>
    </xf>
    <xf borderId="170" fillId="51" fontId="11" numFmtId="9" xfId="0" applyAlignment="1" applyBorder="1" applyFont="1" applyNumberFormat="1">
      <alignment horizontal="center" shrinkToFit="0" vertical="top" wrapText="1"/>
    </xf>
    <xf borderId="174" fillId="51" fontId="11" numFmtId="9" xfId="0" applyAlignment="1" applyBorder="1" applyFont="1" applyNumberFormat="1">
      <alignment horizontal="center" shrinkToFit="0" vertical="top" wrapText="1"/>
    </xf>
    <xf borderId="194" fillId="5" fontId="88" numFmtId="9" xfId="0" applyAlignment="1" applyBorder="1" applyFont="1" applyNumberFormat="1">
      <alignment horizontal="center" shrinkToFit="0" vertical="center" wrapText="1"/>
    </xf>
    <xf borderId="195" fillId="5" fontId="88" numFmtId="1" xfId="0" applyAlignment="1" applyBorder="1" applyFont="1" applyNumberFormat="1">
      <alignment horizontal="center" shrinkToFit="0" vertical="center" wrapText="1"/>
    </xf>
    <xf borderId="195" fillId="5" fontId="88" numFmtId="9" xfId="0" applyAlignment="1" applyBorder="1" applyFont="1" applyNumberFormat="1">
      <alignment horizontal="center" shrinkToFit="0" vertical="center" wrapText="1"/>
    </xf>
    <xf borderId="195" fillId="5" fontId="88" numFmtId="9" xfId="0" applyAlignment="1" applyBorder="1" applyFont="1" applyNumberFormat="1">
      <alignment horizontal="center" shrinkToFit="0" vertical="top" wrapText="1"/>
    </xf>
    <xf borderId="196" fillId="5" fontId="88" numFmtId="1" xfId="0" applyAlignment="1" applyBorder="1" applyFont="1" applyNumberFormat="1">
      <alignment horizontal="center" readingOrder="0" shrinkToFit="0" vertical="top" wrapText="1"/>
    </xf>
    <xf borderId="142" fillId="40" fontId="92" numFmtId="167" xfId="0" applyAlignment="1" applyBorder="1" applyFont="1" applyNumberFormat="1">
      <alignment horizontal="right" readingOrder="0" shrinkToFit="0" vertical="center" wrapText="1"/>
    </xf>
    <xf borderId="197" fillId="5" fontId="88" numFmtId="9" xfId="0" applyAlignment="1" applyBorder="1" applyFont="1" applyNumberFormat="1">
      <alignment horizontal="center" shrinkToFit="0" vertical="center" wrapText="1"/>
    </xf>
    <xf borderId="197" fillId="5" fontId="88" numFmtId="1" xfId="0" applyAlignment="1" applyBorder="1" applyFont="1" applyNumberFormat="1">
      <alignment horizontal="center" shrinkToFit="0" vertical="center" wrapText="1"/>
    </xf>
    <xf borderId="198" fillId="15" fontId="92" numFmtId="164" xfId="0" applyAlignment="1" applyBorder="1" applyFont="1" applyNumberFormat="1">
      <alignment horizontal="left" shrinkToFit="0" vertical="center" wrapText="0"/>
    </xf>
    <xf borderId="199" fillId="15" fontId="92" numFmtId="164" xfId="0" applyAlignment="1" applyBorder="1" applyFont="1" applyNumberFormat="1">
      <alignment horizontal="left" shrinkToFit="0" vertical="top" wrapText="1"/>
    </xf>
    <xf borderId="196" fillId="5" fontId="88" numFmtId="9" xfId="0" applyAlignment="1" applyBorder="1" applyFont="1" applyNumberFormat="1">
      <alignment horizontal="center" shrinkToFit="0" vertical="top" wrapText="1"/>
    </xf>
    <xf borderId="0" fillId="28" fontId="19" numFmtId="0" xfId="0" applyFont="1"/>
    <xf borderId="200" fillId="35" fontId="11" numFmtId="164" xfId="0" applyAlignment="1" applyBorder="1" applyFont="1" applyNumberFormat="1">
      <alignment horizontal="left" readingOrder="0"/>
    </xf>
    <xf borderId="120" fillId="18" fontId="11" numFmtId="49" xfId="0" applyAlignment="1" applyBorder="1" applyFont="1" applyNumberFormat="1">
      <alignment horizontal="center" readingOrder="0" shrinkToFit="0" vertical="center" wrapText="1"/>
    </xf>
    <xf borderId="120" fillId="18" fontId="11" numFmtId="167" xfId="0" applyAlignment="1" applyBorder="1" applyFont="1" applyNumberFormat="1">
      <alignment horizontal="center" readingOrder="0" shrinkToFit="0" vertical="center" wrapText="1"/>
    </xf>
    <xf borderId="0" fillId="38" fontId="32" numFmtId="0" xfId="0" applyAlignment="1" applyFont="1">
      <alignment horizontal="center" readingOrder="0" shrinkToFit="0" vertical="center" wrapText="1"/>
    </xf>
    <xf borderId="148" fillId="35" fontId="11" numFmtId="164" xfId="0" applyAlignment="1" applyBorder="1" applyFont="1" applyNumberFormat="1">
      <alignment horizontal="center" readingOrder="0" shrinkToFit="0" vertical="center" wrapText="0"/>
    </xf>
    <xf borderId="148" fillId="35" fontId="11" numFmtId="9" xfId="0" applyAlignment="1" applyBorder="1" applyFont="1" applyNumberFormat="1">
      <alignment horizontal="center" readingOrder="0" shrinkToFit="0" vertical="top" wrapText="1"/>
    </xf>
    <xf borderId="182" fillId="15" fontId="89" numFmtId="164" xfId="0" applyAlignment="1" applyBorder="1" applyFont="1" applyNumberFormat="1">
      <alignment horizontal="left" readingOrder="0" shrinkToFit="0" vertical="top" wrapText="1"/>
    </xf>
    <xf borderId="179" fillId="21" fontId="92" numFmtId="164" xfId="0" applyAlignment="1" applyBorder="1" applyFont="1" applyNumberFormat="1">
      <alignment horizontal="left" readingOrder="0" shrinkToFit="0" vertical="top" wrapText="1"/>
    </xf>
    <xf borderId="0" fillId="15" fontId="92" numFmtId="164" xfId="0" applyAlignment="1" applyFont="1" applyNumberFormat="1">
      <alignment horizontal="left" readingOrder="0" shrinkToFit="0" vertical="center" wrapText="0"/>
    </xf>
    <xf borderId="183" fillId="21" fontId="92" numFmtId="164" xfId="0" applyAlignment="1" applyBorder="1" applyFont="1" applyNumberFormat="1">
      <alignment horizontal="left" readingOrder="0" shrinkToFit="0" vertical="top" wrapText="1"/>
    </xf>
    <xf borderId="201" fillId="15" fontId="89" numFmtId="164" xfId="0" applyAlignment="1" applyBorder="1" applyFont="1" applyNumberFormat="1">
      <alignment horizontal="center" readingOrder="0" shrinkToFit="0" vertical="center" wrapText="0"/>
    </xf>
    <xf borderId="133" fillId="43" fontId="11" numFmtId="9" xfId="0" applyAlignment="1" applyBorder="1" applyFont="1" applyNumberFormat="1">
      <alignment horizontal="right" readingOrder="0" shrinkToFit="0" vertical="top" wrapText="1"/>
    </xf>
    <xf borderId="183" fillId="15" fontId="92" numFmtId="165" xfId="0" applyAlignment="1" applyBorder="1" applyFont="1" applyNumberFormat="1">
      <alignment horizontal="right" readingOrder="0" shrinkToFit="0" vertical="top" wrapText="1"/>
    </xf>
    <xf borderId="0" fillId="21" fontId="28" numFmtId="167" xfId="0" applyAlignment="1" applyFont="1" applyNumberFormat="1">
      <alignment horizontal="right" readingOrder="0" shrinkToFit="0" vertical="top" wrapText="1"/>
    </xf>
    <xf borderId="0" fillId="44" fontId="12" numFmtId="164" xfId="0" applyAlignment="1" applyFont="1" applyNumberFormat="1">
      <alignment horizontal="left" readingOrder="0" shrinkToFit="0" vertical="top" wrapText="1"/>
    </xf>
    <xf borderId="0" fillId="15" fontId="92" numFmtId="164" xfId="0" applyAlignment="1" applyFont="1" applyNumberFormat="1">
      <alignment horizontal="left" readingOrder="0" shrinkToFit="0" vertical="top" wrapText="1"/>
    </xf>
    <xf borderId="0" fillId="15" fontId="92" numFmtId="165" xfId="0" applyAlignment="1" applyFont="1" applyNumberFormat="1">
      <alignment horizontal="right" readingOrder="0" shrinkToFit="0" vertical="top" wrapText="1"/>
    </xf>
    <xf borderId="190" fillId="15" fontId="92" numFmtId="165" xfId="0" applyAlignment="1" applyBorder="1" applyFont="1" applyNumberFormat="1">
      <alignment horizontal="right" readingOrder="0" shrinkToFit="0" vertical="top" wrapText="1"/>
    </xf>
    <xf borderId="0" fillId="21" fontId="92" numFmtId="164" xfId="0" applyAlignment="1" applyFont="1" applyNumberFormat="1">
      <alignment horizontal="center" readingOrder="0" shrinkToFit="0" vertical="top" wrapText="1"/>
    </xf>
    <xf borderId="120" fillId="15" fontId="92" numFmtId="164" xfId="0" applyAlignment="1" applyBorder="1" applyFont="1" applyNumberFormat="1">
      <alignment horizontal="left" readingOrder="0" shrinkToFit="0" vertical="top" wrapText="1"/>
    </xf>
    <xf borderId="120" fillId="15" fontId="92" numFmtId="167" xfId="0" applyAlignment="1" applyBorder="1" applyFont="1" applyNumberFormat="1">
      <alignment horizontal="right" readingOrder="0" shrinkToFit="0" vertical="top" wrapText="1"/>
    </xf>
    <xf borderId="0" fillId="15" fontId="100" numFmtId="164" xfId="0" applyAlignment="1" applyFont="1" applyNumberFormat="1">
      <alignment horizontal="left" readingOrder="0" shrinkToFit="0" vertical="top" wrapText="1"/>
    </xf>
    <xf borderId="0" fillId="15" fontId="92" numFmtId="0" xfId="0" applyAlignment="1" applyFont="1">
      <alignment horizontal="left" readingOrder="0" shrinkToFit="0" vertical="center" wrapText="0"/>
    </xf>
    <xf borderId="160" fillId="40" fontId="92" numFmtId="167" xfId="0" applyAlignment="1" applyBorder="1" applyFont="1" applyNumberFormat="1">
      <alignment horizontal="right" readingOrder="0" shrinkToFit="0" vertical="top" wrapText="1"/>
    </xf>
    <xf borderId="197" fillId="5" fontId="88" numFmtId="9" xfId="0" applyAlignment="1" applyBorder="1" applyFont="1" applyNumberFormat="1">
      <alignment horizontal="center" shrinkToFit="0" vertical="top" wrapText="1"/>
    </xf>
    <xf borderId="202" fillId="5" fontId="88" numFmtId="1" xfId="0" applyAlignment="1" applyBorder="1" applyFont="1" applyNumberFormat="1">
      <alignment horizontal="center" readingOrder="0" shrinkToFit="0" vertical="top" wrapText="1"/>
    </xf>
    <xf borderId="203" fillId="21" fontId="92" numFmtId="1" xfId="0" applyAlignment="1" applyBorder="1" applyFont="1" applyNumberFormat="1">
      <alignment horizontal="center" shrinkToFit="0" vertical="top" wrapText="1"/>
    </xf>
    <xf borderId="204" fillId="21" fontId="92" numFmtId="164" xfId="0" applyAlignment="1" applyBorder="1" applyFont="1" applyNumberFormat="1">
      <alignment horizontal="left" shrinkToFit="0" vertical="center" wrapText="0"/>
    </xf>
    <xf borderId="203" fillId="21" fontId="92" numFmtId="164" xfId="0" applyAlignment="1" applyBorder="1" applyFont="1" applyNumberFormat="1">
      <alignment horizontal="left" shrinkToFit="0" vertical="top" wrapText="1"/>
    </xf>
    <xf borderId="0" fillId="0" fontId="101" numFmtId="173" xfId="0" applyFont="1" applyNumberFormat="1"/>
    <xf borderId="0" fillId="2" fontId="102" numFmtId="0" xfId="0" applyAlignment="1" applyFont="1">
      <alignment horizontal="left" readingOrder="0"/>
    </xf>
    <xf borderId="0" fillId="0" fontId="103" numFmtId="0" xfId="0" applyAlignment="1" applyFont="1">
      <alignment readingOrder="0"/>
    </xf>
    <xf borderId="0" fillId="7" fontId="104" numFmtId="0" xfId="0" applyAlignment="1" applyFont="1">
      <alignment readingOrder="0"/>
    </xf>
    <xf borderId="205" fillId="19" fontId="105" numFmtId="0" xfId="0" applyAlignment="1" applyBorder="1" applyFont="1">
      <alignment readingOrder="0"/>
    </xf>
    <xf borderId="0" fillId="0" fontId="106" numFmtId="0" xfId="0" applyAlignment="1" applyFont="1">
      <alignment readingOrder="0"/>
    </xf>
    <xf borderId="206" fillId="10" fontId="107" numFmtId="164" xfId="0" applyAlignment="1" applyBorder="1" applyFont="1" applyNumberFormat="1">
      <alignment horizontal="center" readingOrder="0"/>
    </xf>
    <xf borderId="207" fillId="10" fontId="107" numFmtId="164" xfId="0" applyAlignment="1" applyBorder="1" applyFont="1" applyNumberFormat="1">
      <alignment horizontal="center" readingOrder="0"/>
    </xf>
    <xf borderId="208" fillId="10" fontId="107" numFmtId="164" xfId="0" applyAlignment="1" applyBorder="1" applyFont="1" applyNumberFormat="1">
      <alignment horizontal="center" readingOrder="0"/>
    </xf>
    <xf borderId="0" fillId="0" fontId="108" numFmtId="0" xfId="0" applyFont="1"/>
    <xf borderId="0" fillId="5" fontId="35" numFmtId="9" xfId="0" applyAlignment="1" applyFont="1" applyNumberFormat="1">
      <alignment horizontal="right"/>
    </xf>
    <xf borderId="0" fillId="5" fontId="35" numFmtId="165" xfId="0" applyAlignment="1" applyFont="1" applyNumberFormat="1">
      <alignment horizontal="center"/>
    </xf>
    <xf borderId="0" fillId="0" fontId="19" numFmtId="0" xfId="0" applyAlignment="1" applyFont="1">
      <alignment readingOrder="0"/>
    </xf>
    <xf borderId="209" fillId="26" fontId="46" numFmtId="164" xfId="0" applyAlignment="1" applyBorder="1" applyFont="1" applyNumberFormat="1">
      <alignment horizontal="left" readingOrder="0"/>
    </xf>
    <xf borderId="209" fillId="26" fontId="46" numFmtId="164" xfId="0" applyAlignment="1" applyBorder="1" applyFont="1" applyNumberFormat="1">
      <alignment horizontal="left"/>
    </xf>
    <xf borderId="210" fillId="27" fontId="47" numFmtId="164" xfId="0" applyAlignment="1" applyBorder="1" applyFont="1" applyNumberFormat="1">
      <alignment horizontal="center" readingOrder="0"/>
    </xf>
    <xf borderId="210" fillId="27" fontId="47" numFmtId="164" xfId="0" applyAlignment="1" applyBorder="1" applyFont="1" applyNumberFormat="1">
      <alignment horizontal="center"/>
    </xf>
    <xf borderId="0" fillId="29" fontId="61" numFmtId="164" xfId="0" applyAlignment="1" applyFont="1" applyNumberFormat="1">
      <alignment horizontal="left" readingOrder="0"/>
    </xf>
    <xf borderId="0" fillId="29" fontId="61" numFmtId="164" xfId="0" applyAlignment="1" applyFont="1" applyNumberFormat="1">
      <alignment horizontal="left"/>
    </xf>
    <xf borderId="0" fillId="30" fontId="53" numFmtId="1" xfId="0" applyAlignment="1" applyFont="1" applyNumberFormat="1">
      <alignment horizontal="center"/>
    </xf>
    <xf borderId="17" fillId="22" fontId="109" numFmtId="0" xfId="0" applyAlignment="1" applyBorder="1" applyFont="1">
      <alignment horizontal="left" readingOrder="0"/>
    </xf>
    <xf borderId="17" fillId="22" fontId="109" numFmtId="0" xfId="0" applyAlignment="1" applyBorder="1" applyFont="1">
      <alignment horizontal="center" readingOrder="0"/>
    </xf>
    <xf borderId="0" fillId="30" fontId="53" numFmtId="1" xfId="0" applyAlignment="1" applyFont="1" applyNumberFormat="1">
      <alignment horizontal="center" readingOrder="0"/>
    </xf>
    <xf borderId="0" fillId="5" fontId="88" numFmtId="164" xfId="0" applyAlignment="1" applyFont="1" applyNumberFormat="1">
      <alignment horizontal="left"/>
    </xf>
    <xf borderId="0" fillId="5" fontId="88" numFmtId="167" xfId="0" applyAlignment="1" applyFont="1" applyNumberFormat="1">
      <alignment horizontal="right"/>
    </xf>
    <xf borderId="0" fillId="5" fontId="88" numFmtId="168" xfId="0" applyAlignment="1" applyFont="1" applyNumberFormat="1">
      <alignment horizontal="right"/>
    </xf>
    <xf borderId="0" fillId="5" fontId="93" numFmtId="164" xfId="0" applyAlignment="1" applyFont="1" applyNumberFormat="1">
      <alignment horizontal="center"/>
    </xf>
    <xf borderId="211" fillId="30" fontId="53" numFmtId="9" xfId="0" applyAlignment="1" applyBorder="1" applyFont="1" applyNumberFormat="1">
      <alignment horizontal="center" readingOrder="0"/>
    </xf>
    <xf borderId="212" fillId="9" fontId="10" numFmtId="164" xfId="0" applyAlignment="1" applyBorder="1" applyFont="1" applyNumberFormat="1">
      <alignment horizontal="left" readingOrder="0"/>
    </xf>
    <xf borderId="0" fillId="5" fontId="110" numFmtId="164" xfId="0" applyAlignment="1" applyFont="1" applyNumberFormat="1">
      <alignment horizontal="left" readingOrder="0"/>
    </xf>
    <xf borderId="213" fillId="18" fontId="11" numFmtId="164" xfId="0" applyAlignment="1" applyBorder="1" applyFont="1" applyNumberFormat="1">
      <alignment horizontal="center" readingOrder="0"/>
    </xf>
    <xf borderId="214" fillId="18" fontId="11" numFmtId="164" xfId="0" applyAlignment="1" applyBorder="1" applyFont="1" applyNumberFormat="1">
      <alignment horizontal="center" readingOrder="0"/>
    </xf>
    <xf borderId="215" fillId="18" fontId="11" numFmtId="164" xfId="0" applyAlignment="1" applyBorder="1" applyFont="1" applyNumberFormat="1">
      <alignment horizontal="center" readingOrder="0"/>
    </xf>
    <xf borderId="216" fillId="18" fontId="11" numFmtId="164" xfId="0" applyAlignment="1" applyBorder="1" applyFont="1" applyNumberFormat="1">
      <alignment horizontal="center" readingOrder="0"/>
    </xf>
    <xf borderId="217" fillId="18" fontId="11" numFmtId="164" xfId="0" applyAlignment="1" applyBorder="1" applyFont="1" applyNumberFormat="1">
      <alignment horizontal="center" readingOrder="0"/>
    </xf>
    <xf borderId="218" fillId="18" fontId="11" numFmtId="164" xfId="0" applyAlignment="1" applyBorder="1" applyFont="1" applyNumberFormat="1">
      <alignment horizontal="center" readingOrder="0"/>
    </xf>
    <xf borderId="0" fillId="50" fontId="111" numFmtId="164" xfId="0" applyAlignment="1" applyFont="1" applyNumberFormat="1">
      <alignment horizontal="center"/>
    </xf>
    <xf borderId="219" fillId="50" fontId="111" numFmtId="164" xfId="0" applyAlignment="1" applyBorder="1" applyFont="1" applyNumberFormat="1">
      <alignment horizontal="center"/>
    </xf>
    <xf borderId="0" fillId="50" fontId="112" numFmtId="164" xfId="0" applyAlignment="1" applyFont="1" applyNumberFormat="1">
      <alignment horizontal="left"/>
    </xf>
    <xf borderId="219" fillId="50" fontId="112" numFmtId="164" xfId="0" applyAlignment="1" applyBorder="1" applyFont="1" applyNumberFormat="1">
      <alignment horizontal="left"/>
    </xf>
    <xf borderId="0" fillId="50" fontId="111" numFmtId="169" xfId="0" applyAlignment="1" applyFont="1" applyNumberFormat="1">
      <alignment horizontal="center"/>
    </xf>
    <xf borderId="219" fillId="50" fontId="111" numFmtId="169" xfId="0" applyAlignment="1" applyBorder="1" applyFont="1" applyNumberFormat="1">
      <alignment horizontal="center"/>
    </xf>
    <xf borderId="154" fillId="43" fontId="48" numFmtId="164" xfId="0" applyAlignment="1" applyBorder="1" applyFont="1" applyNumberFormat="1">
      <alignment horizontal="center"/>
    </xf>
    <xf borderId="219" fillId="50" fontId="111" numFmtId="9" xfId="0" applyAlignment="1" applyBorder="1" applyFont="1" applyNumberFormat="1">
      <alignment horizontal="center"/>
    </xf>
    <xf borderId="219" fillId="50" fontId="113" numFmtId="164" xfId="0" applyAlignment="1" applyBorder="1" applyFont="1" applyNumberFormat="1">
      <alignment horizontal="left"/>
    </xf>
    <xf borderId="0" fillId="21" fontId="114" numFmtId="164" xfId="0" applyAlignment="1" applyFont="1" applyNumberFormat="1">
      <alignment horizontal="center"/>
    </xf>
    <xf borderId="0" fillId="21" fontId="28" numFmtId="164" xfId="0" applyAlignment="1" applyFont="1" applyNumberFormat="1">
      <alignment horizontal="center"/>
    </xf>
    <xf borderId="0" fillId="21" fontId="28" numFmtId="167" xfId="0" applyAlignment="1" applyFont="1" applyNumberFormat="1">
      <alignment horizontal="right"/>
    </xf>
    <xf borderId="0" fillId="21" fontId="28" numFmtId="164" xfId="0" applyAlignment="1" applyFont="1" applyNumberFormat="1">
      <alignment horizontal="left"/>
    </xf>
    <xf borderId="147" fillId="43" fontId="48" numFmtId="164" xfId="0" applyAlignment="1" applyBorder="1" applyFont="1" applyNumberFormat="1">
      <alignment horizontal="center"/>
    </xf>
    <xf borderId="197" fillId="5" fontId="88" numFmtId="1" xfId="0" applyAlignment="1" applyBorder="1" applyFont="1" applyNumberFormat="1">
      <alignment horizontal="center" readingOrder="0" shrinkToFit="0" vertical="top" wrapText="1"/>
    </xf>
    <xf borderId="220" fillId="21" fontId="92" numFmtId="164" xfId="0" applyAlignment="1" applyBorder="1" applyFont="1" applyNumberFormat="1">
      <alignment horizontal="left" shrinkToFit="0" vertical="top" wrapText="1"/>
    </xf>
    <xf borderId="220" fillId="21" fontId="92" numFmtId="1" xfId="0" applyAlignment="1" applyBorder="1" applyFont="1" applyNumberFormat="1">
      <alignment horizontal="center" shrinkToFit="0" vertical="top" wrapText="1"/>
    </xf>
    <xf borderId="181" fillId="40" fontId="92" numFmtId="167" xfId="0" applyAlignment="1" applyBorder="1" applyFont="1" applyNumberFormat="1">
      <alignment horizontal="right" readingOrder="0" shrinkToFit="0" vertical="top" wrapText="1"/>
    </xf>
    <xf borderId="221" fillId="10" fontId="115" numFmtId="164" xfId="0" applyAlignment="1" applyBorder="1" applyFont="1" applyNumberFormat="1">
      <alignment horizontal="center" shrinkToFit="0" vertical="center" wrapText="1"/>
    </xf>
    <xf borderId="222" fillId="10" fontId="115" numFmtId="164" xfId="0" applyAlignment="1" applyBorder="1" applyFont="1" applyNumberFormat="1">
      <alignment horizontal="center" shrinkToFit="0" vertical="center" wrapText="1"/>
    </xf>
    <xf borderId="223" fillId="10" fontId="115" numFmtId="164" xfId="0" applyAlignment="1" applyBorder="1" applyFont="1" applyNumberFormat="1">
      <alignment horizontal="center" readingOrder="0" shrinkToFit="0" vertical="center" wrapText="1"/>
    </xf>
    <xf borderId="224" fillId="10" fontId="115" numFmtId="164" xfId="0" applyAlignment="1" applyBorder="1" applyFont="1" applyNumberFormat="1">
      <alignment horizontal="center" readingOrder="0" shrinkToFit="0" vertical="center" wrapText="1"/>
    </xf>
    <xf borderId="0" fillId="22" fontId="31" numFmtId="0" xfId="0" applyAlignment="1" applyFont="1">
      <alignment horizontal="center" readingOrder="0"/>
    </xf>
    <xf borderId="1" fillId="2" fontId="116" numFmtId="0" xfId="0" applyAlignment="1" applyBorder="1" applyFont="1">
      <alignment horizontal="left" readingOrder="0"/>
    </xf>
    <xf borderId="1" fillId="2" fontId="116" numFmtId="0" xfId="0" applyAlignment="1" applyBorder="1" applyFont="1">
      <alignment horizontal="center"/>
    </xf>
    <xf borderId="0" fillId="2" fontId="116" numFmtId="0" xfId="0" applyAlignment="1" applyFont="1">
      <alignment readingOrder="0"/>
    </xf>
    <xf borderId="0" fillId="2" fontId="80" numFmtId="0" xfId="0" applyAlignment="1" applyFont="1">
      <alignment horizontal="center" readingOrder="0"/>
    </xf>
    <xf borderId="0" fillId="18" fontId="80" numFmtId="0" xfId="0" applyAlignment="1" applyFont="1">
      <alignment horizontal="center" readingOrder="0"/>
    </xf>
    <xf borderId="225" fillId="52" fontId="117" numFmtId="0" xfId="0" applyAlignment="1" applyBorder="1" applyFill="1" applyFont="1">
      <alignment shrinkToFit="0" vertical="top" wrapText="1"/>
    </xf>
    <xf borderId="38" fillId="0" fontId="117" numFmtId="0" xfId="0" applyAlignment="1" applyBorder="1" applyFont="1">
      <alignment shrinkToFit="0" vertical="top" wrapText="1"/>
    </xf>
    <xf borderId="38" fillId="0" fontId="117" numFmtId="0" xfId="0" applyAlignment="1" applyBorder="1" applyFont="1">
      <alignment readingOrder="0" shrinkToFit="0" vertical="top" wrapText="1"/>
    </xf>
    <xf borderId="201" fillId="53" fontId="11" numFmtId="164" xfId="0" applyAlignment="1" applyBorder="1" applyFill="1" applyFont="1" applyNumberFormat="1">
      <alignment horizontal="center"/>
    </xf>
    <xf borderId="0" fillId="22" fontId="109" numFmtId="0" xfId="0" applyAlignment="1" applyFont="1">
      <alignment horizontal="left" readingOrder="0"/>
    </xf>
    <xf borderId="0" fillId="50" fontId="118" numFmtId="167" xfId="0" applyAlignment="1" applyFont="1" applyNumberFormat="1">
      <alignment horizontal="center" readingOrder="0"/>
    </xf>
    <xf borderId="0" fillId="21" fontId="119" numFmtId="0" xfId="0" applyFont="1"/>
    <xf borderId="226" fillId="54" fontId="117" numFmtId="0" xfId="0" applyAlignment="1" applyBorder="1" applyFill="1" applyFont="1">
      <alignment shrinkToFit="0" vertical="top" wrapText="1"/>
    </xf>
    <xf borderId="42" fillId="0" fontId="117" numFmtId="0" xfId="0" applyAlignment="1" applyBorder="1" applyFont="1">
      <alignment shrinkToFit="0" vertical="top" wrapText="1"/>
    </xf>
    <xf borderId="42" fillId="0" fontId="117" numFmtId="0" xfId="0" applyAlignment="1" applyBorder="1" applyFont="1">
      <alignment readingOrder="0" shrinkToFit="0" vertical="top" wrapText="1"/>
    </xf>
    <xf borderId="147" fillId="43" fontId="11" numFmtId="164" xfId="0" applyAlignment="1" applyBorder="1" applyFont="1" applyNumberFormat="1">
      <alignment horizontal="center"/>
    </xf>
    <xf borderId="0" fillId="50" fontId="118" numFmtId="168" xfId="0" applyAlignment="1" applyFont="1" applyNumberFormat="1">
      <alignment horizontal="center" readingOrder="0"/>
    </xf>
    <xf borderId="227" fillId="55" fontId="120" numFmtId="164" xfId="0" applyAlignment="1" applyBorder="1" applyFill="1" applyFont="1" applyNumberFormat="1">
      <alignment horizontal="center"/>
    </xf>
    <xf borderId="226" fillId="56" fontId="121" numFmtId="0" xfId="0" applyAlignment="1" applyBorder="1" applyFill="1" applyFont="1">
      <alignment shrinkToFit="0" vertical="top" wrapText="1"/>
    </xf>
    <xf borderId="228" fillId="57" fontId="122" numFmtId="164" xfId="0" applyAlignment="1" applyBorder="1" applyFill="1" applyFont="1" applyNumberFormat="1">
      <alignment horizontal="center"/>
    </xf>
    <xf borderId="229" fillId="0" fontId="117" numFmtId="0" xfId="0" applyAlignment="1" applyBorder="1" applyFont="1">
      <alignment shrinkToFit="0" vertical="top" wrapText="1"/>
    </xf>
    <xf borderId="229" fillId="0" fontId="117" numFmtId="0" xfId="0" applyAlignment="1" applyBorder="1" applyFont="1">
      <alignment readingOrder="0" shrinkToFit="0" vertical="top" wrapText="1"/>
    </xf>
    <xf borderId="230" fillId="6" fontId="123" numFmtId="164" xfId="0" applyAlignment="1" applyBorder="1" applyFont="1" applyNumberFormat="1">
      <alignment horizontal="left" vertical="center"/>
    </xf>
    <xf borderId="231" fillId="0" fontId="3" numFmtId="0" xfId="0" applyBorder="1" applyFont="1"/>
    <xf borderId="232" fillId="0" fontId="3" numFmtId="0" xfId="0" applyBorder="1" applyFont="1"/>
    <xf borderId="2" fillId="6" fontId="123" numFmtId="164" xfId="0" applyAlignment="1" applyBorder="1" applyFont="1" applyNumberFormat="1">
      <alignment horizontal="left"/>
    </xf>
    <xf borderId="233" fillId="7" fontId="124" numFmtId="164" xfId="0" applyAlignment="1" applyBorder="1" applyFont="1" applyNumberFormat="1">
      <alignment horizontal="left" shrinkToFit="0" vertical="center" wrapText="1"/>
    </xf>
    <xf borderId="234" fillId="0" fontId="3" numFmtId="0" xfId="0" applyBorder="1" applyFont="1"/>
    <xf borderId="235" fillId="0" fontId="3" numFmtId="0" xfId="0" applyBorder="1" applyFont="1"/>
    <xf borderId="234" fillId="7" fontId="124" numFmtId="164" xfId="0" applyAlignment="1" applyBorder="1" applyFont="1" applyNumberFormat="1">
      <alignment horizontal="left"/>
    </xf>
    <xf borderId="224" fillId="10" fontId="115" numFmtId="164" xfId="0" applyAlignment="1" applyBorder="1" applyFont="1" applyNumberFormat="1">
      <alignment horizontal="center" shrinkToFit="0" vertical="center" wrapText="1"/>
    </xf>
    <xf borderId="236" fillId="6" fontId="115" numFmtId="164" xfId="0" applyAlignment="1" applyBorder="1" applyFont="1" applyNumberFormat="1">
      <alignment horizontal="center" vertical="center"/>
    </xf>
    <xf borderId="237" fillId="0" fontId="3" numFmtId="0" xfId="0" applyBorder="1" applyFont="1"/>
    <xf borderId="238" fillId="0" fontId="3" numFmtId="0" xfId="0" applyBorder="1" applyFont="1"/>
    <xf borderId="38" fillId="0" fontId="117" numFmtId="14" xfId="0" applyAlignment="1" applyBorder="1" applyFont="1" applyNumberFormat="1">
      <alignment shrinkToFit="0" vertical="top" wrapText="1"/>
    </xf>
    <xf borderId="38" fillId="0" fontId="117" numFmtId="1" xfId="0" applyAlignment="1" applyBorder="1" applyFont="1" applyNumberFormat="1">
      <alignment shrinkToFit="0" vertical="top" wrapText="1"/>
    </xf>
    <xf borderId="239" fillId="38" fontId="125" numFmtId="164" xfId="0" applyAlignment="1" applyBorder="1" applyFont="1" applyNumberFormat="1">
      <alignment horizontal="center" shrinkToFit="0" vertical="center" wrapText="1"/>
    </xf>
    <xf borderId="240" fillId="38" fontId="125" numFmtId="164" xfId="0" applyAlignment="1" applyBorder="1" applyFont="1" applyNumberFormat="1">
      <alignment horizontal="center" shrinkToFit="0" vertical="center" wrapText="1"/>
    </xf>
    <xf borderId="241" fillId="38" fontId="125" numFmtId="164" xfId="0" applyAlignment="1" applyBorder="1" applyFont="1" applyNumberFormat="1">
      <alignment horizontal="center" shrinkToFit="0" vertical="center" wrapText="1"/>
    </xf>
    <xf borderId="42" fillId="0" fontId="117" numFmtId="14" xfId="0" applyAlignment="1" applyBorder="1" applyFont="1" applyNumberFormat="1">
      <alignment shrinkToFit="0" vertical="top" wrapText="1"/>
    </xf>
    <xf borderId="42" fillId="0" fontId="117" numFmtId="1" xfId="0" applyAlignment="1" applyBorder="1" applyFont="1" applyNumberFormat="1">
      <alignment shrinkToFit="0" vertical="top" wrapText="1"/>
    </xf>
    <xf borderId="229" fillId="0" fontId="117" numFmtId="14" xfId="0" applyAlignment="1" applyBorder="1" applyFont="1" applyNumberFormat="1">
      <alignment shrinkToFit="0" vertical="top" wrapText="1"/>
    </xf>
    <xf borderId="229" fillId="0" fontId="117" numFmtId="1" xfId="0" applyAlignment="1" applyBorder="1" applyFont="1" applyNumberFormat="1">
      <alignment shrinkToFit="0" vertical="top" wrapText="1"/>
    </xf>
    <xf borderId="242" fillId="58" fontId="126" numFmtId="0" xfId="0" applyAlignment="1" applyBorder="1" applyFill="1" applyFont="1">
      <alignment shrinkToFit="0" vertical="center" wrapText="1"/>
    </xf>
    <xf borderId="243" fillId="0" fontId="3" numFmtId="0" xfId="0" applyBorder="1" applyFont="1"/>
    <xf borderId="244" fillId="0" fontId="3" numFmtId="0" xfId="0" applyBorder="1" applyFont="1"/>
    <xf borderId="226" fillId="19" fontId="117" numFmtId="14" xfId="0" applyAlignment="1" applyBorder="1" applyFont="1" applyNumberFormat="1">
      <alignment shrinkToFit="0" vertical="top" wrapText="1"/>
    </xf>
    <xf borderId="226" fillId="19" fontId="117" numFmtId="0" xfId="0" applyAlignment="1" applyBorder="1" applyFont="1">
      <alignment shrinkToFit="0" vertical="top" wrapText="1"/>
    </xf>
    <xf borderId="226" fillId="19" fontId="117" numFmtId="1" xfId="0" applyAlignment="1" applyBorder="1" applyFont="1" applyNumberFormat="1">
      <alignment shrinkToFit="0" vertical="top" wrapText="1"/>
    </xf>
    <xf borderId="245" fillId="19" fontId="117" numFmtId="14" xfId="0" applyAlignment="1" applyBorder="1" applyFont="1" applyNumberFormat="1">
      <alignment shrinkToFit="0" vertical="top" wrapText="1"/>
    </xf>
    <xf borderId="245" fillId="19" fontId="117" numFmtId="0" xfId="0" applyAlignment="1" applyBorder="1" applyFont="1">
      <alignment shrinkToFit="0" vertical="top" wrapText="1"/>
    </xf>
    <xf borderId="245" fillId="19" fontId="117" numFmtId="1" xfId="0" applyAlignment="1" applyBorder="1" applyFont="1" applyNumberFormat="1">
      <alignment shrinkToFit="0" vertical="top" wrapText="1"/>
    </xf>
    <xf borderId="0" fillId="5" fontId="93" numFmtId="164" xfId="0" applyAlignment="1" applyFont="1" applyNumberFormat="1">
      <alignment horizontal="center" readingOrder="0"/>
    </xf>
    <xf borderId="246" fillId="19" fontId="127" numFmtId="165" xfId="0" applyAlignment="1" applyBorder="1" applyFont="1" applyNumberFormat="1">
      <alignment horizontal="center"/>
    </xf>
    <xf borderId="0" fillId="5" fontId="88" numFmtId="165" xfId="0" applyAlignment="1" applyFont="1" applyNumberFormat="1">
      <alignment horizontal="center"/>
    </xf>
    <xf borderId="0" fillId="5" fontId="55" numFmtId="164" xfId="0" applyAlignment="1" applyFont="1" applyNumberFormat="1">
      <alignment horizontal="left"/>
    </xf>
    <xf borderId="247" fillId="22" fontId="93" numFmtId="164" xfId="0" applyAlignment="1" applyBorder="1" applyFont="1" applyNumberFormat="1">
      <alignment horizontal="center" readingOrder="0"/>
    </xf>
    <xf borderId="0" fillId="11" fontId="93" numFmtId="164" xfId="0" applyAlignment="1" applyFont="1" applyNumberFormat="1">
      <alignment horizontal="center"/>
    </xf>
    <xf borderId="0" fillId="5" fontId="88" numFmtId="1" xfId="0" applyAlignment="1" applyFont="1" applyNumberFormat="1">
      <alignment horizontal="center"/>
    </xf>
    <xf borderId="248" fillId="11" fontId="93" numFmtId="168" xfId="0" applyAlignment="1" applyBorder="1" applyFont="1" applyNumberFormat="1">
      <alignment horizontal="center"/>
    </xf>
    <xf borderId="248" fillId="5" fontId="93" numFmtId="168" xfId="0" applyAlignment="1" applyBorder="1" applyFont="1" applyNumberFormat="1">
      <alignment horizontal="center"/>
    </xf>
    <xf borderId="0" fillId="11" fontId="93" numFmtId="168" xfId="0" applyAlignment="1" applyFont="1" applyNumberFormat="1">
      <alignment horizontal="center"/>
    </xf>
    <xf borderId="0" fillId="5" fontId="93" numFmtId="168" xfId="0" applyAlignment="1" applyFont="1" applyNumberFormat="1">
      <alignment horizontal="center"/>
    </xf>
    <xf borderId="0" fillId="11" fontId="93" numFmtId="167" xfId="0" applyAlignment="1" applyFont="1" applyNumberFormat="1">
      <alignment horizontal="center"/>
    </xf>
    <xf borderId="0" fillId="5" fontId="88" numFmtId="167" xfId="0" applyAlignment="1" applyFont="1" applyNumberFormat="1">
      <alignment horizontal="center"/>
    </xf>
    <xf borderId="248" fillId="11" fontId="93" numFmtId="164" xfId="0" applyAlignment="1" applyBorder="1" applyFont="1" applyNumberFormat="1">
      <alignment horizontal="center"/>
    </xf>
    <xf borderId="248" fillId="5" fontId="88" numFmtId="1" xfId="0" applyAlignment="1" applyBorder="1" applyFont="1" applyNumberFormat="1">
      <alignment horizontal="center"/>
    </xf>
    <xf borderId="0" fillId="2" fontId="6" numFmtId="164" xfId="0" applyAlignment="1" applyFont="1" applyNumberFormat="1">
      <alignment horizontal="left"/>
    </xf>
    <xf borderId="249" fillId="7" fontId="93" numFmtId="1" xfId="0" applyAlignment="1" applyBorder="1" applyFont="1" applyNumberFormat="1">
      <alignment horizontal="center" readingOrder="0"/>
    </xf>
    <xf borderId="250" fillId="7" fontId="93" numFmtId="1" xfId="0" applyAlignment="1" applyBorder="1" applyFont="1" applyNumberFormat="1">
      <alignment horizontal="center"/>
    </xf>
    <xf borderId="251" fillId="20" fontId="93" numFmtId="1" xfId="0" applyAlignment="1" applyBorder="1" applyFont="1" applyNumberFormat="1">
      <alignment horizontal="center" readingOrder="0"/>
    </xf>
    <xf borderId="252" fillId="20" fontId="93" numFmtId="1" xfId="0" applyAlignment="1" applyBorder="1" applyFont="1" applyNumberFormat="1">
      <alignment horizontal="center"/>
    </xf>
    <xf borderId="253" fillId="59" fontId="128" numFmtId="1" xfId="0" applyAlignment="1" applyBorder="1" applyFill="1" applyFont="1" applyNumberFormat="1">
      <alignment horizontal="center" readingOrder="0"/>
    </xf>
    <xf borderId="254" fillId="59" fontId="128" numFmtId="1" xfId="0" applyAlignment="1" applyBorder="1" applyFont="1" applyNumberFormat="1">
      <alignment horizontal="center"/>
    </xf>
    <xf borderId="251" fillId="20" fontId="93" numFmtId="168" xfId="0" applyAlignment="1" applyBorder="1" applyFont="1" applyNumberFormat="1">
      <alignment horizontal="center" readingOrder="0"/>
    </xf>
    <xf borderId="252" fillId="20" fontId="93" numFmtId="168" xfId="0" applyAlignment="1" applyBorder="1" applyFont="1" applyNumberFormat="1">
      <alignment horizontal="center"/>
    </xf>
    <xf borderId="255" fillId="19" fontId="129" numFmtId="1" xfId="0" applyAlignment="1" applyBorder="1" applyFont="1" applyNumberFormat="1">
      <alignment horizontal="center" readingOrder="0"/>
    </xf>
    <xf borderId="256" fillId="19" fontId="129" numFmtId="1" xfId="0" applyAlignment="1" applyBorder="1" applyFont="1" applyNumberFormat="1">
      <alignment horizontal="center"/>
    </xf>
    <xf borderId="257" fillId="7" fontId="93" numFmtId="1" xfId="0" applyAlignment="1" applyBorder="1" applyFont="1" applyNumberFormat="1">
      <alignment horizontal="center"/>
    </xf>
    <xf borderId="258" fillId="11" fontId="93" numFmtId="167" xfId="0" applyAlignment="1" applyBorder="1" applyFont="1" applyNumberFormat="1">
      <alignment horizontal="center" readingOrder="0"/>
    </xf>
    <xf borderId="259" fillId="11" fontId="93" numFmtId="167" xfId="0" applyAlignment="1" applyBorder="1" applyFont="1" applyNumberFormat="1">
      <alignment horizontal="center"/>
    </xf>
    <xf borderId="258" fillId="11" fontId="93" numFmtId="164" xfId="0" applyAlignment="1" applyBorder="1" applyFont="1" applyNumberFormat="1">
      <alignment horizontal="center" readingOrder="0"/>
    </xf>
    <xf borderId="260" fillId="11" fontId="93" numFmtId="164" xfId="0" applyAlignment="1" applyBorder="1" applyFont="1" applyNumberFormat="1">
      <alignment horizontal="center"/>
    </xf>
    <xf borderId="247" fillId="22" fontId="93" numFmtId="164" xfId="0" applyAlignment="1" applyBorder="1" applyFont="1" applyNumberFormat="1">
      <alignment horizontal="center"/>
    </xf>
    <xf borderId="0" fillId="5" fontId="130" numFmtId="164" xfId="0" applyAlignment="1" applyFont="1" applyNumberFormat="1">
      <alignment horizontal="left" readingOrder="0"/>
    </xf>
    <xf borderId="0" fillId="7" fontId="130" numFmtId="9" xfId="0" applyAlignment="1" applyFont="1" applyNumberFormat="1">
      <alignment horizontal="center" readingOrder="0"/>
    </xf>
    <xf borderId="0" fillId="5" fontId="131" numFmtId="164" xfId="0" applyAlignment="1" applyFont="1" applyNumberFormat="1">
      <alignment horizontal="left" readingOrder="0"/>
    </xf>
    <xf borderId="0" fillId="5" fontId="131" numFmtId="164" xfId="0" applyAlignment="1" applyFont="1" applyNumberFormat="1">
      <alignment horizontal="left"/>
    </xf>
    <xf borderId="53" fillId="7" fontId="130" numFmtId="9" xfId="0" applyAlignment="1" applyBorder="1" applyFont="1" applyNumberFormat="1">
      <alignment horizontal="center" readingOrder="0"/>
    </xf>
    <xf borderId="0" fillId="19" fontId="130" numFmtId="164" xfId="0" applyAlignment="1" applyFont="1" applyNumberFormat="1">
      <alignment horizontal="center" readingOrder="0"/>
    </xf>
    <xf borderId="53" fillId="5" fontId="130" numFmtId="164" xfId="0" applyAlignment="1" applyBorder="1" applyFont="1" applyNumberFormat="1">
      <alignment horizontal="left" readingOrder="0"/>
    </xf>
    <xf borderId="53" fillId="19" fontId="130" numFmtId="164" xfId="0" applyAlignment="1" applyBorder="1" applyFont="1" applyNumberFormat="1">
      <alignment horizontal="center"/>
    </xf>
    <xf borderId="53" fillId="5" fontId="131" numFmtId="164" xfId="0" applyAlignment="1" applyBorder="1" applyFont="1" applyNumberFormat="1">
      <alignment horizontal="left" readingOrder="0"/>
    </xf>
    <xf borderId="53" fillId="5" fontId="131" numFmtId="164" xfId="0" applyAlignment="1" applyBorder="1" applyFont="1" applyNumberFormat="1">
      <alignment horizontal="left"/>
    </xf>
    <xf borderId="261" fillId="2" fontId="6" numFmtId="164" xfId="0" applyAlignment="1" applyBorder="1" applyFont="1" applyNumberFormat="1">
      <alignment horizontal="left" readingOrder="0"/>
    </xf>
    <xf borderId="261" fillId="2" fontId="6" numFmtId="164" xfId="0" applyAlignment="1" applyBorder="1" applyFont="1" applyNumberFormat="1">
      <alignment horizontal="left"/>
    </xf>
    <xf borderId="0" fillId="11" fontId="130" numFmtId="164" xfId="0" applyAlignment="1" applyFont="1" applyNumberFormat="1">
      <alignment horizontal="left" readingOrder="0"/>
    </xf>
    <xf borderId="0" fillId="5" fontId="132" numFmtId="164" xfId="0" applyAlignment="1" applyFont="1" applyNumberFormat="1">
      <alignment horizontal="left"/>
    </xf>
    <xf borderId="253" fillId="59" fontId="128" numFmtId="1" xfId="0" applyAlignment="1" applyBorder="1" applyFont="1" applyNumberFormat="1">
      <alignment horizontal="center"/>
    </xf>
    <xf borderId="262" fillId="19" fontId="129" numFmtId="1" xfId="0" applyAlignment="1" applyBorder="1" applyFont="1" applyNumberFormat="1">
      <alignment horizontal="center" readingOrder="0"/>
    </xf>
    <xf borderId="263" fillId="19" fontId="129" numFmtId="1" xfId="0" applyAlignment="1" applyBorder="1" applyFont="1" applyNumberFormat="1">
      <alignment horizontal="center"/>
    </xf>
    <xf borderId="264" fillId="20" fontId="130" numFmtId="164" xfId="0" applyAlignment="1" applyBorder="1" applyFont="1" applyNumberFormat="1">
      <alignment horizontal="left"/>
    </xf>
    <xf borderId="0" fillId="5" fontId="133" numFmtId="164" xfId="0" applyAlignment="1" applyFont="1" applyNumberFormat="1">
      <alignment horizontal="left" readingOrder="0"/>
    </xf>
    <xf borderId="0" fillId="5" fontId="133" numFmtId="164" xfId="0" applyAlignment="1" applyFont="1" applyNumberFormat="1">
      <alignment horizontal="left"/>
    </xf>
    <xf borderId="53" fillId="11" fontId="130" numFmtId="164" xfId="0" applyAlignment="1" applyBorder="1" applyFont="1" applyNumberFormat="1">
      <alignment horizontal="left" readingOrder="0"/>
    </xf>
    <xf borderId="53" fillId="5" fontId="133" numFmtId="164" xfId="0" applyAlignment="1" applyBorder="1" applyFont="1" applyNumberFormat="1">
      <alignment horizontal="left" readingOrder="0"/>
    </xf>
    <xf borderId="53" fillId="5" fontId="133" numFmtId="164" xfId="0" applyAlignment="1" applyBorder="1" applyFont="1" applyNumberFormat="1">
      <alignment horizontal="left"/>
    </xf>
    <xf borderId="265" fillId="5" fontId="57" numFmtId="164" xfId="0" applyAlignment="1" applyBorder="1" applyFont="1" applyNumberFormat="1">
      <alignment horizontal="left" readingOrder="0"/>
    </xf>
    <xf borderId="265" fillId="5" fontId="57" numFmtId="164" xfId="0" applyAlignment="1" applyBorder="1" applyFont="1" applyNumberFormat="1">
      <alignment horizontal="left"/>
    </xf>
    <xf borderId="246" fillId="19" fontId="127" numFmtId="172" xfId="0" applyAlignment="1" applyBorder="1" applyFont="1" applyNumberFormat="1">
      <alignment horizontal="center"/>
    </xf>
    <xf borderId="246" fillId="19" fontId="127" numFmtId="174" xfId="0" applyAlignment="1" applyBorder="1" applyFont="1" applyNumberFormat="1">
      <alignment horizontal="center"/>
    </xf>
    <xf borderId="36" fillId="5" fontId="74" numFmtId="164" xfId="0" applyAlignment="1" applyBorder="1" applyFont="1" applyNumberFormat="1">
      <alignment horizontal="left"/>
    </xf>
    <xf borderId="36" fillId="5" fontId="77" numFmtId="9" xfId="0" applyAlignment="1" applyBorder="1" applyFont="1" applyNumberFormat="1">
      <alignment horizontal="right"/>
    </xf>
    <xf borderId="36" fillId="5" fontId="77" numFmtId="165" xfId="0" applyAlignment="1" applyBorder="1" applyFont="1" applyNumberFormat="1">
      <alignment horizontal="center"/>
    </xf>
    <xf borderId="36" fillId="5" fontId="77" numFmtId="170" xfId="0" applyAlignment="1" applyBorder="1" applyFont="1" applyNumberFormat="1">
      <alignment horizontal="right"/>
    </xf>
    <xf borderId="36" fillId="5" fontId="82" numFmtId="164" xfId="0" applyAlignment="1" applyBorder="1" applyFont="1" applyNumberFormat="1">
      <alignment horizontal="left"/>
    </xf>
    <xf borderId="266" fillId="50" fontId="111" numFmtId="164" xfId="0" applyAlignment="1" applyBorder="1" applyFont="1" applyNumberFormat="1">
      <alignment horizontal="center"/>
    </xf>
    <xf borderId="267" fillId="50" fontId="111" numFmtId="164" xfId="0" applyAlignment="1" applyBorder="1" applyFont="1" applyNumberFormat="1">
      <alignment horizontal="center"/>
    </xf>
    <xf borderId="266" fillId="50" fontId="112" numFmtId="164" xfId="0" applyAlignment="1" applyBorder="1" applyFont="1" applyNumberFormat="1">
      <alignment horizontal="left"/>
    </xf>
    <xf borderId="267" fillId="50" fontId="112" numFmtId="164" xfId="0" applyAlignment="1" applyBorder="1" applyFont="1" applyNumberFormat="1">
      <alignment horizontal="left"/>
    </xf>
  </cellXfs>
  <cellStyles count="1">
    <cellStyle xfId="0" name="Normal" builtinId="0"/>
  </cellStyles>
  <dxfs count="3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theme="6"/>
          <bgColor theme="6"/>
        </patternFill>
      </fill>
      <border/>
    </dxf>
    <dxf>
      <font/>
      <fill>
        <patternFill patternType="solid">
          <fgColor rgb="FFC1F0C8"/>
          <bgColor rgb="FFC1F0C8"/>
        </patternFill>
      </fill>
      <border/>
    </dxf>
    <dxf>
      <border>
        <left style="thin">
          <color theme="6"/>
        </left>
        <right style="thin">
          <color theme="6"/>
        </right>
        <top style="thin">
          <color theme="6"/>
        </top>
        <bottom style="thin">
          <color theme="6"/>
        </bottom>
        <vertical style="thin">
          <color rgb="FFD4D4D4"/>
        </vertical>
        <horizontal style="thin">
          <color rgb="FFD4D4D4"/>
        </horizontal>
      </border>
    </dxf>
    <dxf>
      <font/>
      <fill>
        <patternFill patternType="solid">
          <fgColor rgb="FF83CAEB"/>
          <bgColor rgb="FF83CAEB"/>
        </patternFill>
      </fill>
      <border/>
    </dxf>
    <dxf>
      <font>
        <b/>
        <color rgb="FFFFFFFF"/>
      </font>
      <fill>
        <patternFill patternType="solid">
          <fgColor rgb="FF1F3A5F"/>
          <bgColor rgb="FF1F3A5F"/>
        </patternFill>
      </fill>
      <border/>
    </dxf>
    <dxf>
      <font>
        <color rgb="FFFFFFFF"/>
      </font>
      <fill>
        <patternFill patternType="solid">
          <fgColor rgb="FF2F7C85"/>
          <bgColor rgb="FF2F7C85"/>
        </patternFill>
      </fill>
      <border/>
    </dxf>
    <dxf>
      <font>
        <color rgb="FF174B50"/>
      </font>
      <fill>
        <patternFill patternType="solid">
          <fgColor rgb="FFA8D7D4"/>
          <bgColor rgb="FFA8D7D4"/>
        </patternFill>
      </fill>
      <border/>
    </dxf>
    <dxf>
      <font>
        <color rgb="FF1D2330"/>
      </font>
      <fill>
        <patternFill patternType="solid">
          <fgColor rgb="FFD9E2F3"/>
          <bgColor rgb="FFD9E2F3"/>
        </patternFill>
      </fill>
      <border/>
    </dxf>
    <dxf>
      <font>
        <b/>
        <color rgb="FFFFFFFF"/>
      </font>
      <fill>
        <patternFill patternType="solid">
          <fgColor rgb="FF2F7C85"/>
          <bgColor rgb="FF2F7C85"/>
        </patternFill>
      </fill>
      <border/>
    </dxf>
    <dxf>
      <font>
        <b/>
        <color rgb="FF174B50"/>
      </font>
      <fill>
        <patternFill patternType="solid">
          <fgColor rgb="FFA8D7D4"/>
          <bgColor rgb="FFA8D7D4"/>
        </patternFill>
      </fill>
      <border/>
    </dxf>
    <dxf>
      <font>
        <b/>
        <color rgb="FF416A6D"/>
      </font>
      <fill>
        <patternFill patternType="solid">
          <fgColor rgb="FFE7F3F2"/>
          <bgColor rgb="FFE7F3F2"/>
        </patternFill>
      </fill>
      <border/>
    </dxf>
    <dxf>
      <font>
        <b/>
        <color rgb="FF17365D"/>
      </font>
      <fill>
        <patternFill patternType="solid">
          <fgColor rgb="FFE8EEF8"/>
          <bgColor rgb="FFE8EEF8"/>
        </patternFill>
      </fill>
      <border/>
    </dxf>
    <dxf>
      <font>
        <b/>
        <color rgb="FF27705A"/>
      </font>
      <fill>
        <patternFill patternType="solid">
          <fgColor rgb="FFE8F4EA"/>
          <bgColor rgb="FFE8F4EA"/>
        </patternFill>
      </fill>
      <border/>
    </dxf>
    <dxf>
      <font>
        <b/>
        <color rgb="FF5B6573"/>
      </font>
      <fill>
        <patternFill patternType="solid">
          <fgColor rgb="FFEEF0F3"/>
          <bgColor rgb="FFEEF0F3"/>
        </patternFill>
      </fill>
      <border/>
    </dxf>
    <dxf>
      <font>
        <b/>
        <color rgb="FFB45F06"/>
      </font>
      <fill>
        <patternFill patternType="solid">
          <fgColor rgb="FFFCE9D8"/>
          <bgColor rgb="FFFCE9D8"/>
        </patternFill>
      </fill>
      <border/>
    </dxf>
    <dxf>
      <font>
        <b/>
        <color rgb="FF9C0006"/>
      </font>
      <fill>
        <patternFill patternType="solid">
          <fgColor rgb="FFF4CCCC"/>
          <bgColor rgb="FFF4CCCC"/>
        </patternFill>
      </fill>
      <border/>
    </dxf>
    <dxf>
      <font>
        <b/>
        <color rgb="FFC65911"/>
      </font>
      <fill>
        <patternFill patternType="solid">
          <fgColor rgb="FFFCE4D6"/>
          <bgColor rgb="FFFCE4D6"/>
        </patternFill>
      </fill>
      <border/>
    </dxf>
    <dxf>
      <font>
        <b/>
        <color rgb="FF1F4E78"/>
      </font>
      <fill>
        <patternFill patternType="solid">
          <fgColor rgb="FFDDEBF7"/>
          <bgColor rgb="FFDDEBF7"/>
        </patternFill>
      </fill>
      <border/>
    </dxf>
    <dxf>
      <font>
        <b/>
        <color rgb="FF595959"/>
      </font>
      <fill>
        <patternFill patternType="solid">
          <fgColor rgb="FFE7E6E6"/>
          <bgColor rgb="FFE7E6E6"/>
        </patternFill>
      </fill>
      <border/>
    </dxf>
    <dxf>
      <font>
        <b/>
        <color rgb="FF375623"/>
      </font>
      <fill>
        <patternFill patternType="solid">
          <fgColor rgb="FFE2F0D9"/>
          <bgColor rgb="FFE2F0D9"/>
        </patternFill>
      </fill>
      <border/>
    </dxf>
    <dxf>
      <font>
        <b/>
        <color rgb="FF7F6000"/>
      </font>
      <fill>
        <patternFill patternType="solid">
          <fgColor rgb="FFFFF2CC"/>
          <bgColor rgb="FFFFF2CC"/>
        </patternFill>
      </fill>
      <border/>
    </dxf>
    <dxf>
      <font>
        <color rgb="FFFFFFFF"/>
      </font>
      <fill>
        <patternFill patternType="solid">
          <fgColor rgb="FF1F3A5F"/>
          <bgColor rgb="FF1F3A5F"/>
        </patternFill>
      </fill>
      <border/>
    </dxf>
    <dxf>
      <font>
        <color rgb="FFFFFFFF"/>
      </font>
      <fill>
        <patternFill patternType="solid">
          <fgColor rgb="FF2F7C85"/>
          <bgColor rgb="FF2F7C85"/>
        </patternFill>
      </fill>
      <border/>
    </dxf>
    <dxf>
      <font>
        <color rgb="FF174B50"/>
      </font>
      <fill>
        <patternFill patternType="solid">
          <fgColor rgb="FFA8D7D4"/>
          <bgColor rgb="FFA8D7D4"/>
        </patternFill>
      </fill>
      <border/>
    </dxf>
    <dxf>
      <font>
        <color rgb="FF416A6D"/>
      </font>
      <fill>
        <patternFill patternType="solid">
          <fgColor rgb="FFE7F3F2"/>
          <bgColor rgb="FFE7F3F2"/>
        </patternFill>
      </fill>
      <border/>
    </dxf>
  </dxfs>
  <tableStyles count="4">
    <tableStyle count="4" pivot="0" name="Lớp 3 - Công việc chính-style">
      <tableStyleElement dxfId="1" type="headerRow"/>
      <tableStyleElement dxfId="2" type="firstRowStripe"/>
      <tableStyleElement dxfId="3" type="secondRowStripe"/>
      <tableStyleElement dxfId="4" size="0" type="wholeTable"/>
    </tableStyle>
    <tableStyle count="4" pivot="0" name="Lớp 4 - Danh mục-style">
      <tableStyleElement dxfId="5" type="headerRow"/>
      <tableStyleElement dxfId="6" type="firstRowStripe"/>
      <tableStyleElement dxfId="3" type="secondRowStripe"/>
      <tableStyleElement dxfId="7" size="0" type="wholeTable"/>
    </tableStyle>
    <tableStyle count="4" pivot="0" name="Lớp 5 - Phân công-style">
      <tableStyleElement dxfId="1" type="headerRow"/>
      <tableStyleElement dxfId="8" type="firstRowStripe"/>
      <tableStyleElement dxfId="2" type="secondRowStripe"/>
      <tableStyleElement dxfId="4" size="0" type="wholeTable"/>
    </tableStyle>
    <tableStyle count="4" pivot="0" name="Lớp 6 - Chi tiết-style">
      <tableStyleElement dxfId="1" type="headerRow"/>
      <tableStyleElement dxfId="8"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3:AT78" displayName="BOC_Layer3_Main" name="BOC_Layer3_Main" id="1">
  <tableColumns count="46">
    <tableColumn name="STT" id="1"/>
    <tableColumn name="Tên công việc L3" id="2"/>
    <tableColumn name="Mức độ ưu tiên" id="3"/>
    <tableColumn name="Phần trăm hoàn thành" id="4"/>
    <tableColumn name="Ngày làm việc còn lại" id="5"/>
    <tableColumn name="Ngày kết thúc" id="6"/>
    <tableColumn name="Ngày bắt đầu" id="7"/>
    <tableColumn name="Công việc có chứa lớp con hay không" id="8"/>
    <tableColumn name="Mã L3" id="9"/>
    <tableColumn name="Năm" id="10"/>
    <tableColumn name="Lớp 1 – Cấp quản trị" id="11"/>
    <tableColumn name="Lớp 2 – Nhóm công việc BOC" id="12"/>
    <tableColumn name="Tên công việc L3 2" id="13"/>
    <tableColumn name="Mức độ ưu tiên 2" id="14"/>
    <tableColumn name="Phần trăm hoàn thành 2" id="15"/>
    <tableColumn name="Ngày làm việc còn lại 2" id="16"/>
    <tableColumn name="Ngày kết thúc 2" id="17"/>
    <tableColumn name="Ngày bắt đầu 2" id="18"/>
    <tableColumn name="Công việc có chứa lớp con hay không 2" id="19"/>
    <tableColumn name="Kết quả đầu ra" id="20"/>
    <tableColumn name="Người Lead" id="21"/>
    <tableColumn name="Người thực hiện" id="22"/>
    <tableColumn name="Đơn vị phụ trách" id="23"/>
    <tableColumn name="Trạng thái" id="24"/>
    <tableColumn name="Mức độ ưu tiên 3" id="25"/>
    <tableColumn name="Ngày bắt đầu 3" id="26"/>
    <tableColumn name="Ngày kết thúc 3" id="27"/>
    <tableColumn name="Số ngày làm việc" id="28"/>
    <tableColumn name="Phần trăm hoàn thành 3" id="29"/>
    <tableColumn name="Ngày làm việc còn lại 3" id="30"/>
    <tableColumn name="Khối lượng ước tính (giờ)" id="31"/>
    <tableColumn name="Tải quy đổi (giờ/ngày)" id="32"/>
    <tableColumn name="Kiểm tra thời gian" id="33"/>
    <tableColumn name="Trạng thái tải công việc" id="34"/>
    <tableColumn name="Loại lịch" id="35"/>
    <tableColumn name="Chu kỳ" id="36"/>
    <tableColumn name="Ngày rà soát" id="37"/>
    <tableColumn name="Ngày hoàn thành thực tế" id="38"/>
    <tableColumn name="Kỳ hoàn thành" id="39"/>
    <tableColumn name="Liên kết hệ thống" id="40"/>
    <tableColumn name="Đơn vị phân bổ" id="41"/>
    <tableColumn name="Phân bổ (giờ/kỳ)" id="42"/>
    <tableColumn name="Giờ/kỳ cần để kịp hạn" id="43"/>
    <tableColumn name="Đánh giá phân bổ" id="44"/>
    <tableColumn name="Kiểm tra dữ liệu công việc (OK = hợp lệ)" id="45"/>
    <tableColumn name="Đường link trả kết quả" id="46"/>
  </tableColumns>
  <tableStyleInfo name="Lớp 3 - Công việc chính-style" showColumnStripes="0" showFirstColumn="1" showLastColumn="1" showRowStripes="1"/>
</table>
</file>

<file path=xl/tables/table2.xml><?xml version="1.0" encoding="utf-8"?>
<table xmlns="http://schemas.openxmlformats.org/spreadsheetml/2006/main" ref="A13:AW137" displayName="BOC_Layer4_Detail" name="BOC_Layer4_Detail" id="2">
  <tableColumns count="49">
    <tableColumn name="STT" id="1"/>
    <tableColumn name="Tên công việc L4" id="2"/>
    <tableColumn name="Mức độ ưu tiên" id="3"/>
    <tableColumn name="Phần trăm hoàn thành" id="4"/>
    <tableColumn name="Ngày làm việc còn lại" id="5"/>
    <tableColumn name="Ngày kết thúc" id="6"/>
    <tableColumn name="Ngày bắt đầu" id="7"/>
    <tableColumn name="Công việc có chứa lớp con hay không" id="8"/>
    <tableColumn name="Mã L4" id="9"/>
    <tableColumn name="Mã L3" id="10"/>
    <tableColumn name="Năm" id="11"/>
    <tableColumn name="Lớp 1 – Cấp quản trị" id="12"/>
    <tableColumn name="Lớp 2 – Nhóm công việc BOC" id="13"/>
    <tableColumn name="Tên công việc L3" id="14"/>
    <tableColumn name="Tên công việc L4 2" id="15"/>
    <tableColumn name="Mức độ ưu tiên 2" id="16"/>
    <tableColumn name="Phần trăm hoàn thành 2" id="17"/>
    <tableColumn name="Ngày làm việc còn lại 2" id="18"/>
    <tableColumn name="Ngày kết thúc 2" id="19"/>
    <tableColumn name="Ngày bắt đầu 2" id="20"/>
    <tableColumn name="Công việc có chứa lớp con hay không 2" id="21"/>
    <tableColumn name="Kết quả đầu ra" id="22"/>
    <tableColumn name="Giá trị mang lại" id="23"/>
    <tableColumn name="Đơn vị phụ trách" id="24"/>
    <tableColumn name="Người Lead" id="25"/>
    <tableColumn name="Người thực hiện" id="26"/>
    <tableColumn name="Trạng thái" id="27"/>
    <tableColumn name="Mức độ ưu tiên 3" id="28"/>
    <tableColumn name="Ngày bắt đầu 3" id="29"/>
    <tableColumn name="Ngày kết thúc 3" id="30"/>
    <tableColumn name="Số ngày làm việc" id="31"/>
    <tableColumn name="Phần trăm hoàn thành 3" id="32"/>
    <tableColumn name="Ngày làm việc còn lại 3" id="33"/>
    <tableColumn name="Khối lượng ước tính (giờ)" id="34"/>
    <tableColumn name="Tải quy đổi (giờ/ngày)" id="35"/>
    <tableColumn name="Kiểm tra thời gian" id="36"/>
    <tableColumn name="Trạng thái tải công việc" id="37"/>
    <tableColumn name="Loại lịch" id="38"/>
    <tableColumn name="Chu kỳ" id="39"/>
    <tableColumn name="Ngày rà soát" id="40"/>
    <tableColumn name="Ngày hoàn thành thực tế" id="41"/>
    <tableColumn name="Kỳ hoàn thành" id="42"/>
    <tableColumn name="Liên kết hệ thống" id="43"/>
    <tableColumn name="Đơn vị phân bổ" id="44"/>
    <tableColumn name="Phân bổ (giờ/kỳ)" id="45"/>
    <tableColumn name="Giờ/kỳ cần để kịp hạn" id="46"/>
    <tableColumn name="Đánh giá phân bổ" id="47"/>
    <tableColumn name="Kiểm tra dữ liệu công việc (OK = hợp lệ)" id="48"/>
    <tableColumn name="Đường link trả kết quả" id="49"/>
  </tableColumns>
  <tableStyleInfo name="Lớp 4 - Danh mục-style" showColumnStripes="0" showFirstColumn="1" showLastColumn="1" showRowStripes="1"/>
</table>
</file>

<file path=xl/tables/table3.xml><?xml version="1.0" encoding="utf-8"?>
<table xmlns="http://schemas.openxmlformats.org/spreadsheetml/2006/main" ref="A13:AX267" displayName="BOC_Layer5_Tasks" name="BOC_Layer5_Tasks" id="3">
  <tableColumns count="50">
    <tableColumn name="STT" id="1"/>
    <tableColumn name="Tên công việc L5" id="2"/>
    <tableColumn name="Mức độ ưu tiên" id="3"/>
    <tableColumn name="Phần trăm hoàn thành" id="4"/>
    <tableColumn name="Ngày làm việc còn lại" id="5"/>
    <tableColumn name="Ngày kết thúc" id="6"/>
    <tableColumn name="Ngày bắt đầu" id="7"/>
    <tableColumn name="Công việc có chứa lớp con hay không" id="8"/>
    <tableColumn name="Mã L5" id="9"/>
    <tableColumn name="Mã L4" id="10"/>
    <tableColumn name="Mã L3" id="11"/>
    <tableColumn name="Năm" id="12"/>
    <tableColumn name="Lớp 1 – Cấp quản trị" id="13"/>
    <tableColumn name="Lớp 2 – Nhóm công việc BOC" id="14"/>
    <tableColumn name="Tên công việc L3" id="15"/>
    <tableColumn name="Tên công việc L4" id="16"/>
    <tableColumn name="Tên công việc L5 2" id="17"/>
    <tableColumn name="Mức độ ưu tiên 2" id="18"/>
    <tableColumn name="Phần trăm hoàn thành 2" id="19"/>
    <tableColumn name="Ngày làm việc còn lại 2" id="20"/>
    <tableColumn name="Ngày kết thúc 2" id="21"/>
    <tableColumn name="Ngày bắt đầu 2" id="22"/>
    <tableColumn name="Công việc có chứa lớp con hay không 2" id="23"/>
    <tableColumn name="Kết quả đầu ra" id="24"/>
    <tableColumn name="Giá trị mang lại" id="25"/>
    <tableColumn name="Đơn vị phụ trách" id="26"/>
    <tableColumn name="Người thực hiện" id="27"/>
    <tableColumn name="Trạng thái" id="28"/>
    <tableColumn name="Mức độ ưu tiên 3" id="29"/>
    <tableColumn name="Ngày bắt đầu 3" id="30"/>
    <tableColumn name="Ngày kết thúc 3" id="31"/>
    <tableColumn name="Số ngày làm việc" id="32"/>
    <tableColumn name="Phần trăm hoàn thành 3" id="33"/>
    <tableColumn name="Ngày làm việc còn lại 3" id="34"/>
    <tableColumn name="Khối lượng ước tính (giờ)" id="35"/>
    <tableColumn name="Tải quy đổi (giờ/ngày)" id="36"/>
    <tableColumn name="Kiểm tra thời gian" id="37"/>
    <tableColumn name="Trạng thái tải công việc" id="38"/>
    <tableColumn name="Loại lịch" id="39"/>
    <tableColumn name="Chu kỳ" id="40"/>
    <tableColumn name="Ngày rà soát" id="41"/>
    <tableColumn name="Ngày hoàn thành thực tế" id="42"/>
    <tableColumn name="Kỳ hoàn thành" id="43"/>
    <tableColumn name="Liên kết hệ thống" id="44"/>
    <tableColumn name="Đơn vị phân bổ" id="45"/>
    <tableColumn name="Phân bổ (giờ/kỳ)" id="46"/>
    <tableColumn name="Giờ/kỳ cần để kịp hạn" id="47"/>
    <tableColumn name="Đánh giá phân bổ" id="48"/>
    <tableColumn name="Kiểm tra dữ liệu công việc (OK = hợp lệ)" id="49"/>
    <tableColumn name="Đường link trả kết quả" id="50"/>
  </tableColumns>
  <tableStyleInfo name="Lớp 5 - Phân công-style" showColumnStripes="0" showFirstColumn="1" showLastColumn="1" showRowStripes="1"/>
</table>
</file>

<file path=xl/tables/table4.xml><?xml version="1.0" encoding="utf-8"?>
<table xmlns="http://schemas.openxmlformats.org/spreadsheetml/2006/main" ref="A13:BA267" displayName="BOC_Layer5_Tasks_2" name="BOC_Layer5_Tasks_2" id="4">
  <tableColumns count="53">
    <tableColumn name="STT" id="1"/>
    <tableColumn name="Tên công việc L6" id="2"/>
    <tableColumn name="Mức độ ưu tiên" id="3"/>
    <tableColumn name="Phần trăm hoàn thành" id="4"/>
    <tableColumn name="Ngày làm việc còn lại" id="5"/>
    <tableColumn name="Ngày kết thúc" id="6"/>
    <tableColumn name="Ngày bắt đầu" id="7"/>
    <tableColumn name="Công việc có chứa lớp con hay không" id="8"/>
    <tableColumn name="Mã L6" id="9"/>
    <tableColumn name="Mã L5" id="10"/>
    <tableColumn name="Mã L4" id="11"/>
    <tableColumn name="Mã L3" id="12"/>
    <tableColumn name="Năm" id="13"/>
    <tableColumn name="Lớp 1 – Cấp quản trị" id="14"/>
    <tableColumn name="Lớp 2 – Nhóm công việc BOC" id="15"/>
    <tableColumn name="Tên công việc L3" id="16"/>
    <tableColumn name="Tên công việc L4" id="17"/>
    <tableColumn name="Tên công việc L5" id="18"/>
    <tableColumn name="Tên công việc L6 2" id="19"/>
    <tableColumn name="Mức độ ưu tiên 2" id="20"/>
    <tableColumn name="Phần trăm hoàn thành 2" id="21"/>
    <tableColumn name="Ngày làm việc còn lại 2" id="22"/>
    <tableColumn name="Ngày kết thúc 2" id="23"/>
    <tableColumn name="Ngày bắt đầu 2" id="24"/>
    <tableColumn name="Công việc có chứa lớp con hay không 2" id="25"/>
    <tableColumn name="Kết quả đầu ra" id="26"/>
    <tableColumn name="Giá trị mang lại" id="27"/>
    <tableColumn name="Đơn vị phụ trách" id="28"/>
    <tableColumn name="Người thực hiện" id="29"/>
    <tableColumn name="Đơn vị phối hợp" id="30"/>
    <tableColumn name="Trạng thái" id="31"/>
    <tableColumn name="Mức độ ưu tiên 3" id="32"/>
    <tableColumn name="Ngày bắt đầu 3" id="33"/>
    <tableColumn name="Ngày kết thúc 3" id="34"/>
    <tableColumn name="Số ngày làm việc" id="35"/>
    <tableColumn name="Phần trăm hoàn thành 3" id="36"/>
    <tableColumn name="Ngày làm việc còn lại 3" id="37"/>
    <tableColumn name="Khối lượng ước tính (giờ)" id="38"/>
    <tableColumn name="Tải quy đổi (giờ/ngày)" id="39"/>
    <tableColumn name="Kiểm tra thời gian" id="40"/>
    <tableColumn name="Trạng thái tải công việc" id="41"/>
    <tableColumn name="Loại lịch" id="42"/>
    <tableColumn name="Chu kỳ" id="43"/>
    <tableColumn name="Ngày rà soát" id="44"/>
    <tableColumn name="Ngày hoàn thành thực tế" id="45"/>
    <tableColumn name="Kỳ hoàn thành" id="46"/>
    <tableColumn name="Liên kết hệ thống" id="47"/>
    <tableColumn name="Đơn vị phân bổ" id="48"/>
    <tableColumn name="Phân bổ (giờ/kỳ)" id="49"/>
    <tableColumn name="Giờ/kỳ cần để kịp hạn" id="50"/>
    <tableColumn name="Đánh giá phân bổ" id="51"/>
    <tableColumn name="Kiểm tra dữ liệu công việc (OK = hợp lệ)" id="52"/>
    <tableColumn name="Đường link trả kết quả" id="53"/>
  </tableColumns>
  <tableStyleInfo name="Lớp 6 - Chi tiế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5"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 Id="rId5"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 Id="rId5"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34.63"/>
    <col customWidth="1" min="2" max="2" width="88.88"/>
    <col customWidth="1" min="3" max="3" width="12.63"/>
    <col customWidth="1" hidden="1" min="4" max="6" width="12.63"/>
    <col customWidth="1" min="7" max="8" width="10.75"/>
    <col customWidth="1" min="9" max="26" width="12.63"/>
  </cols>
  <sheetData>
    <row r="1">
      <c r="A1" s="1" t="s">
        <v>0</v>
      </c>
      <c r="B1" s="3"/>
      <c r="C1" s="3"/>
      <c r="D1" s="3"/>
      <c r="E1" s="3"/>
      <c r="F1" s="3"/>
      <c r="G1" s="3"/>
      <c r="H1" s="3"/>
    </row>
    <row r="2">
      <c r="A2" s="8" t="s">
        <v>4</v>
      </c>
      <c r="B2" s="8" t="s">
        <v>5</v>
      </c>
      <c r="C2" s="14"/>
      <c r="D2" s="14"/>
      <c r="E2" s="14"/>
      <c r="F2" s="14"/>
      <c r="G2" s="8" t="s">
        <v>8</v>
      </c>
      <c r="H2" s="24">
        <f>TODAY()</f>
        <v>46245</v>
      </c>
    </row>
    <row r="3">
      <c r="A3" s="14"/>
      <c r="B3" s="14"/>
      <c r="C3" s="14"/>
      <c r="D3" s="14"/>
      <c r="E3" s="14"/>
      <c r="F3" s="14"/>
      <c r="G3" s="14"/>
      <c r="H3" s="14"/>
    </row>
    <row r="4">
      <c r="A4" s="27" t="s">
        <v>12</v>
      </c>
      <c r="B4" s="28"/>
      <c r="C4" s="28"/>
      <c r="D4" s="28"/>
      <c r="E4" s="28"/>
      <c r="F4" s="28"/>
      <c r="G4" s="28"/>
      <c r="H4" s="28"/>
    </row>
    <row r="5">
      <c r="A5" s="34">
        <v>1.0</v>
      </c>
      <c r="B5" s="34" t="s">
        <v>15</v>
      </c>
      <c r="C5" s="36"/>
      <c r="D5" s="14"/>
      <c r="E5" s="14"/>
      <c r="F5" s="14"/>
      <c r="G5" s="14"/>
      <c r="H5" s="14"/>
    </row>
    <row r="6">
      <c r="A6" s="8">
        <v>2.0</v>
      </c>
      <c r="B6" s="8" t="s">
        <v>16</v>
      </c>
      <c r="C6" s="14"/>
      <c r="D6" s="14"/>
      <c r="E6" s="14"/>
      <c r="F6" s="14"/>
      <c r="G6" s="14"/>
      <c r="H6" s="14"/>
    </row>
    <row r="7">
      <c r="A7" s="8">
        <v>3.0</v>
      </c>
      <c r="B7" s="8" t="s">
        <v>17</v>
      </c>
      <c r="C7" s="14"/>
      <c r="D7" s="14"/>
      <c r="E7" s="14"/>
      <c r="F7" s="14"/>
      <c r="G7" s="14"/>
      <c r="H7" s="14"/>
    </row>
    <row r="8">
      <c r="A8" s="8">
        <v>4.0</v>
      </c>
      <c r="B8" s="8" t="s">
        <v>18</v>
      </c>
      <c r="C8" s="14"/>
      <c r="D8" s="14"/>
      <c r="E8" s="14"/>
      <c r="F8" s="14"/>
      <c r="G8" s="14"/>
      <c r="H8" s="14"/>
    </row>
    <row r="9">
      <c r="A9" s="8">
        <v>5.0</v>
      </c>
      <c r="B9" s="8" t="s">
        <v>19</v>
      </c>
      <c r="C9" s="14"/>
      <c r="D9" s="14"/>
      <c r="E9" s="14"/>
      <c r="F9" s="14"/>
      <c r="G9" s="14"/>
      <c r="H9" s="14"/>
    </row>
    <row r="10">
      <c r="A10" s="42"/>
      <c r="B10" s="49"/>
      <c r="C10" s="49"/>
      <c r="D10" s="49"/>
      <c r="E10" s="49"/>
      <c r="F10" s="49"/>
      <c r="G10" s="49"/>
      <c r="H10" s="49"/>
    </row>
    <row r="11">
      <c r="A11" s="27" t="s">
        <v>22</v>
      </c>
      <c r="B11" s="27"/>
      <c r="C11" s="27"/>
      <c r="D11" s="28"/>
      <c r="E11" s="28"/>
      <c r="F11" s="28"/>
      <c r="G11" s="28"/>
      <c r="H11" s="28"/>
    </row>
    <row r="12">
      <c r="A12" s="8" t="s">
        <v>23</v>
      </c>
      <c r="B12" s="8" t="s">
        <v>24</v>
      </c>
      <c r="C12" s="8"/>
      <c r="D12" s="14"/>
      <c r="E12" s="14"/>
      <c r="F12" s="14"/>
      <c r="G12" s="14"/>
      <c r="H12" s="14"/>
    </row>
    <row r="13">
      <c r="A13" s="8" t="s">
        <v>25</v>
      </c>
      <c r="B13" s="8" t="s">
        <v>26</v>
      </c>
      <c r="C13" s="8"/>
      <c r="D13" s="14"/>
      <c r="E13" s="14"/>
      <c r="F13" s="14"/>
      <c r="G13" s="14"/>
      <c r="H13" s="14"/>
    </row>
    <row r="14">
      <c r="A14" s="8" t="s">
        <v>27</v>
      </c>
      <c r="B14" s="8" t="s">
        <v>28</v>
      </c>
      <c r="C14" s="8"/>
      <c r="D14" s="14"/>
      <c r="E14" s="14"/>
      <c r="F14" s="14"/>
      <c r="G14" s="14"/>
      <c r="H14" s="14"/>
    </row>
    <row r="15">
      <c r="A15" s="8" t="s">
        <v>29</v>
      </c>
      <c r="B15" s="8" t="s">
        <v>30</v>
      </c>
      <c r="C15" s="8"/>
      <c r="D15" s="14"/>
      <c r="E15" s="14"/>
      <c r="F15" s="14"/>
      <c r="G15" s="14"/>
      <c r="H15" s="14"/>
    </row>
    <row r="16">
      <c r="A16" s="8"/>
      <c r="B16" s="8"/>
      <c r="C16" s="8"/>
      <c r="D16" s="14"/>
      <c r="E16" s="14"/>
      <c r="F16" s="14"/>
      <c r="G16" s="14"/>
      <c r="H16" s="14"/>
    </row>
    <row r="17">
      <c r="A17" s="27" t="s">
        <v>31</v>
      </c>
      <c r="B17" s="27"/>
      <c r="C17" s="27"/>
      <c r="D17" s="28"/>
      <c r="E17" s="28"/>
      <c r="F17" s="28"/>
      <c r="G17" s="28"/>
      <c r="H17" s="28"/>
    </row>
    <row r="18">
      <c r="A18" s="8" t="s">
        <v>32</v>
      </c>
      <c r="B18" s="8" t="s">
        <v>33</v>
      </c>
      <c r="C18" s="14"/>
      <c r="D18" s="14"/>
      <c r="E18" s="14"/>
      <c r="F18" s="14"/>
      <c r="G18" s="14"/>
      <c r="H18" s="14"/>
    </row>
    <row r="19">
      <c r="A19" s="42" t="s">
        <v>34</v>
      </c>
      <c r="B19" s="42" t="s">
        <v>36</v>
      </c>
      <c r="C19" s="49"/>
      <c r="D19" s="49"/>
      <c r="E19" s="49"/>
      <c r="F19" s="49"/>
      <c r="G19" s="49"/>
      <c r="H19" s="49"/>
    </row>
    <row r="20">
      <c r="A20" s="34" t="s">
        <v>38</v>
      </c>
      <c r="B20" s="34" t="s">
        <v>39</v>
      </c>
      <c r="C20" s="34"/>
      <c r="D20" s="14"/>
      <c r="E20" s="14"/>
      <c r="F20" s="14"/>
      <c r="G20" s="14"/>
      <c r="H20" s="14"/>
    </row>
    <row r="21">
      <c r="A21" s="8"/>
      <c r="B21" s="8"/>
      <c r="C21" s="8"/>
      <c r="D21" s="14"/>
      <c r="E21" s="14"/>
      <c r="F21" s="14"/>
      <c r="G21" s="14"/>
      <c r="H21" s="14"/>
    </row>
    <row r="22">
      <c r="A22" s="62" t="s">
        <v>41</v>
      </c>
      <c r="B22" s="62"/>
      <c r="C22" s="64"/>
      <c r="D22" s="71"/>
      <c r="E22" s="71"/>
      <c r="F22" s="71"/>
      <c r="G22" s="71"/>
      <c r="H22" s="71"/>
    </row>
    <row r="23">
      <c r="A23" s="64" t="s">
        <v>46</v>
      </c>
      <c r="B23" s="64" t="s">
        <v>47</v>
      </c>
      <c r="C23" s="64"/>
      <c r="D23" s="71"/>
      <c r="E23" s="71"/>
      <c r="F23" s="71"/>
      <c r="G23" s="71"/>
      <c r="H23" s="71"/>
    </row>
    <row r="24">
      <c r="A24" s="64" t="s">
        <v>48</v>
      </c>
      <c r="B24" s="64" t="s">
        <v>49</v>
      </c>
      <c r="C24" s="64"/>
      <c r="D24" s="71"/>
      <c r="E24" s="71"/>
      <c r="F24" s="71"/>
      <c r="G24" s="71"/>
      <c r="H24" s="71"/>
    </row>
    <row r="25">
      <c r="A25" s="64" t="s">
        <v>50</v>
      </c>
      <c r="B25" s="64" t="s">
        <v>51</v>
      </c>
      <c r="C25" s="64"/>
      <c r="D25" s="71"/>
      <c r="E25" s="71"/>
      <c r="F25" s="71"/>
      <c r="G25" s="71"/>
      <c r="H25" s="71"/>
    </row>
    <row r="26">
      <c r="A26" s="64" t="s">
        <v>53</v>
      </c>
      <c r="B26" s="64" t="s">
        <v>54</v>
      </c>
      <c r="C26" s="64"/>
      <c r="D26" s="71"/>
      <c r="E26" s="71"/>
      <c r="F26" s="71"/>
      <c r="G26" s="71"/>
      <c r="H26" s="71"/>
    </row>
    <row r="27">
      <c r="A27" s="64" t="s">
        <v>55</v>
      </c>
      <c r="B27" s="64" t="s">
        <v>56</v>
      </c>
      <c r="C27" s="64"/>
      <c r="D27" s="71"/>
      <c r="E27" s="71"/>
      <c r="F27" s="71"/>
      <c r="G27" s="71"/>
      <c r="H27" s="71"/>
    </row>
    <row r="28">
      <c r="A28" s="27" t="s">
        <v>57</v>
      </c>
      <c r="B28" s="27"/>
      <c r="C28" s="27"/>
      <c r="D28" s="28"/>
      <c r="E28" s="28"/>
      <c r="F28" s="28"/>
      <c r="G28" s="28"/>
      <c r="H28" s="28"/>
    </row>
    <row r="29">
      <c r="A29" s="8" t="s">
        <v>58</v>
      </c>
      <c r="B29" s="8" t="s">
        <v>59</v>
      </c>
      <c r="C29" s="8"/>
      <c r="D29" s="14"/>
      <c r="E29" s="14"/>
      <c r="F29" s="14"/>
      <c r="G29" s="14"/>
      <c r="H29" s="14"/>
    </row>
    <row r="30">
      <c r="A30" s="8" t="s">
        <v>61</v>
      </c>
      <c r="B30" s="8" t="s">
        <v>62</v>
      </c>
      <c r="C30" s="8"/>
      <c r="D30" s="14"/>
      <c r="E30" s="14"/>
      <c r="F30" s="14"/>
      <c r="G30" s="14"/>
      <c r="H30" s="14"/>
    </row>
    <row r="31">
      <c r="A31" s="8" t="s">
        <v>63</v>
      </c>
      <c r="B31" s="8" t="s">
        <v>64</v>
      </c>
      <c r="C31" s="8"/>
      <c r="D31" s="14"/>
      <c r="E31" s="14"/>
      <c r="F31" s="14"/>
      <c r="G31" s="14"/>
      <c r="H31" s="14"/>
    </row>
    <row r="32">
      <c r="A32" s="78"/>
      <c r="B32" s="78"/>
      <c r="C32" s="78"/>
      <c r="D32" s="14"/>
      <c r="E32" s="14"/>
      <c r="F32" s="14"/>
      <c r="G32" s="14"/>
      <c r="H32" s="14"/>
    </row>
    <row r="33">
      <c r="A33" s="27" t="s">
        <v>68</v>
      </c>
      <c r="B33" s="28"/>
      <c r="C33" s="28"/>
      <c r="D33" s="28"/>
      <c r="E33" s="28"/>
      <c r="F33" s="28"/>
      <c r="G33" s="28"/>
      <c r="H33" s="28"/>
    </row>
    <row r="34">
      <c r="A34" s="8" t="s">
        <v>69</v>
      </c>
      <c r="B34" s="8" t="s">
        <v>70</v>
      </c>
      <c r="C34" s="8"/>
      <c r="D34" s="14"/>
      <c r="E34" s="14"/>
      <c r="F34" s="14"/>
      <c r="G34" s="14"/>
      <c r="H34" s="14"/>
    </row>
    <row r="35">
      <c r="A35" s="8" t="s">
        <v>71</v>
      </c>
      <c r="B35" s="8" t="s">
        <v>72</v>
      </c>
      <c r="C35" s="8"/>
      <c r="D35" s="14"/>
      <c r="E35" s="14"/>
      <c r="F35" s="14"/>
      <c r="G35" s="14"/>
      <c r="H35" s="14"/>
    </row>
    <row r="36">
      <c r="A36" s="8" t="s">
        <v>74</v>
      </c>
      <c r="B36" s="8" t="s">
        <v>75</v>
      </c>
      <c r="C36" s="8"/>
      <c r="D36" s="14"/>
      <c r="E36" s="14"/>
      <c r="F36" s="14"/>
      <c r="G36" s="14"/>
      <c r="H36" s="14"/>
    </row>
    <row r="37">
      <c r="A37" s="57"/>
      <c r="B37" s="57"/>
      <c r="C37" s="57"/>
      <c r="D37" s="67"/>
      <c r="E37" s="67"/>
      <c r="F37" s="67"/>
      <c r="G37" s="67"/>
      <c r="H37" s="67"/>
    </row>
    <row r="38">
      <c r="A38" s="57"/>
      <c r="B38" s="57"/>
      <c r="C38" s="57"/>
      <c r="D38" s="67"/>
      <c r="E38" s="67"/>
      <c r="F38" s="67"/>
      <c r="G38" s="67"/>
      <c r="H38" s="67"/>
    </row>
    <row r="39">
      <c r="A39" s="57"/>
      <c r="B39" s="57"/>
      <c r="C39" s="57"/>
      <c r="D39" s="67"/>
      <c r="E39" s="67"/>
      <c r="F39" s="67"/>
      <c r="G39" s="67"/>
      <c r="H39" s="67"/>
    </row>
    <row r="40">
      <c r="A40" s="57"/>
      <c r="B40" s="57"/>
      <c r="C40" s="57"/>
      <c r="D40" s="67"/>
      <c r="E40" s="67"/>
      <c r="F40" s="67"/>
      <c r="G40" s="67"/>
      <c r="H40" s="67"/>
    </row>
    <row r="41">
      <c r="A41" s="67"/>
      <c r="B41" s="67"/>
      <c r="C41" s="67"/>
      <c r="D41" s="67"/>
      <c r="E41" s="67"/>
      <c r="F41" s="67"/>
      <c r="G41" s="67"/>
      <c r="H41" s="67"/>
    </row>
    <row r="42">
      <c r="A42" s="85"/>
      <c r="B42" s="67"/>
      <c r="C42" s="67"/>
      <c r="D42" s="67"/>
      <c r="E42" s="67"/>
      <c r="F42" s="67"/>
      <c r="G42" s="67"/>
      <c r="H42" s="67"/>
    </row>
    <row r="43">
      <c r="A43" s="88"/>
      <c r="B43" s="88"/>
      <c r="C43" s="88"/>
      <c r="D43" s="67"/>
      <c r="E43" s="67"/>
      <c r="F43" s="67"/>
      <c r="G43" s="67"/>
      <c r="H43" s="67"/>
    </row>
    <row r="44">
      <c r="A44" s="57"/>
      <c r="B44" s="57"/>
      <c r="C44" s="57"/>
      <c r="D44" s="67"/>
      <c r="E44" s="67"/>
      <c r="F44" s="67"/>
      <c r="G44" s="67"/>
      <c r="H44" s="67"/>
    </row>
    <row r="45">
      <c r="A45" s="57"/>
      <c r="B45" s="57"/>
      <c r="C45" s="57"/>
      <c r="D45" s="67"/>
      <c r="E45" s="67"/>
      <c r="F45" s="67"/>
      <c r="G45" s="67"/>
      <c r="H45" s="67"/>
    </row>
    <row r="46">
      <c r="A46" s="57"/>
      <c r="B46" s="57"/>
      <c r="C46" s="57"/>
      <c r="D46" s="67"/>
      <c r="E46" s="67"/>
      <c r="F46" s="67"/>
      <c r="G46" s="67"/>
      <c r="H46" s="67"/>
    </row>
    <row r="47">
      <c r="A47" s="57"/>
      <c r="B47" s="57"/>
      <c r="C47" s="57"/>
      <c r="D47" s="67"/>
      <c r="E47" s="67"/>
      <c r="F47" s="67"/>
      <c r="G47" s="67"/>
      <c r="H47" s="67"/>
    </row>
    <row r="48">
      <c r="A48" s="57"/>
      <c r="B48" s="57"/>
      <c r="C48" s="57"/>
      <c r="D48" s="67"/>
      <c r="E48" s="67"/>
      <c r="F48" s="67"/>
      <c r="G48" s="67"/>
      <c r="H48" s="67"/>
    </row>
    <row r="49">
      <c r="A49" s="57"/>
      <c r="B49" s="57"/>
      <c r="C49" s="57"/>
      <c r="D49" s="67"/>
      <c r="E49" s="67"/>
      <c r="F49" s="67"/>
      <c r="G49" s="67"/>
      <c r="H49" s="67"/>
    </row>
    <row r="50">
      <c r="A50" s="57"/>
      <c r="B50" s="57"/>
      <c r="C50" s="57"/>
      <c r="D50" s="67"/>
      <c r="E50" s="67"/>
      <c r="F50" s="67"/>
      <c r="G50" s="67"/>
      <c r="H50" s="67"/>
    </row>
    <row r="51">
      <c r="A51" s="57"/>
      <c r="B51" s="57"/>
      <c r="C51" s="57"/>
      <c r="D51" s="67"/>
      <c r="E51" s="67"/>
      <c r="F51" s="67"/>
      <c r="G51" s="67"/>
      <c r="H51" s="67"/>
    </row>
    <row r="52">
      <c r="A52" s="67"/>
      <c r="B52" s="67"/>
      <c r="C52" s="67"/>
      <c r="D52" s="67"/>
      <c r="E52" s="67"/>
      <c r="F52" s="67"/>
      <c r="G52" s="67"/>
      <c r="H52" s="67"/>
    </row>
    <row r="53">
      <c r="A53" s="85"/>
      <c r="B53" s="67"/>
      <c r="C53" s="67"/>
      <c r="D53" s="67"/>
      <c r="E53" s="67"/>
      <c r="F53" s="67"/>
      <c r="G53" s="67"/>
      <c r="H53" s="67"/>
    </row>
    <row r="54">
      <c r="A54" s="88"/>
      <c r="B54" s="88"/>
      <c r="C54" s="88"/>
      <c r="D54" s="67"/>
      <c r="E54" s="67"/>
      <c r="F54" s="67"/>
      <c r="G54" s="67"/>
      <c r="H54" s="67"/>
    </row>
    <row r="55">
      <c r="A55" s="57"/>
      <c r="B55" s="57"/>
      <c r="C55" s="57"/>
      <c r="D55" s="67"/>
      <c r="E55" s="67"/>
      <c r="F55" s="67"/>
      <c r="G55" s="67"/>
      <c r="H55" s="67"/>
    </row>
    <row r="56">
      <c r="A56" s="57"/>
      <c r="B56" s="57"/>
      <c r="C56" s="57"/>
      <c r="D56" s="67"/>
      <c r="E56" s="67"/>
      <c r="F56" s="67"/>
      <c r="G56" s="67"/>
      <c r="H56" s="67"/>
    </row>
    <row r="57">
      <c r="A57" s="57"/>
      <c r="B57" s="57"/>
      <c r="C57" s="57"/>
      <c r="D57" s="67"/>
      <c r="E57" s="67"/>
      <c r="F57" s="67"/>
      <c r="G57" s="67"/>
      <c r="H57" s="67"/>
    </row>
    <row r="58">
      <c r="A58" s="57"/>
      <c r="B58" s="57"/>
      <c r="C58" s="57"/>
      <c r="D58" s="67"/>
      <c r="E58" s="67"/>
      <c r="F58" s="67"/>
      <c r="G58" s="67"/>
      <c r="H58" s="67"/>
    </row>
    <row r="59">
      <c r="A59" s="57"/>
      <c r="B59" s="57"/>
      <c r="C59" s="57"/>
      <c r="D59" s="67"/>
      <c r="E59" s="67"/>
      <c r="F59" s="67"/>
      <c r="G59" s="67"/>
      <c r="H59" s="67"/>
    </row>
    <row r="60">
      <c r="A60" s="57"/>
      <c r="B60" s="57"/>
      <c r="C60" s="57"/>
      <c r="D60" s="67"/>
      <c r="E60" s="67"/>
      <c r="F60" s="67"/>
      <c r="G60" s="67"/>
      <c r="H60" s="67"/>
    </row>
    <row r="61">
      <c r="A61" s="57"/>
      <c r="B61" s="57"/>
      <c r="C61" s="57"/>
      <c r="D61" s="67"/>
      <c r="E61" s="67"/>
      <c r="F61" s="67"/>
      <c r="G61" s="67"/>
      <c r="H61" s="67"/>
    </row>
    <row r="62">
      <c r="A62" s="57"/>
      <c r="B62" s="57"/>
      <c r="C62" s="57"/>
      <c r="D62" s="67"/>
      <c r="E62" s="67"/>
      <c r="F62" s="67"/>
      <c r="G62" s="67"/>
      <c r="H62" s="67"/>
    </row>
    <row r="63">
      <c r="A63" s="57"/>
      <c r="B63" s="57"/>
      <c r="C63" s="57"/>
      <c r="D63" s="67"/>
      <c r="E63" s="67"/>
      <c r="F63" s="67"/>
      <c r="G63" s="67"/>
      <c r="H63" s="67"/>
    </row>
    <row r="64">
      <c r="A64" s="57"/>
      <c r="B64" s="57"/>
      <c r="C64" s="57"/>
      <c r="D64" s="67"/>
      <c r="E64" s="67"/>
      <c r="F64" s="67"/>
      <c r="G64" s="67"/>
      <c r="H64" s="67"/>
    </row>
    <row r="65">
      <c r="A65" s="100"/>
      <c r="B65" s="100"/>
      <c r="C65" s="100"/>
      <c r="D65" s="67"/>
      <c r="E65" s="67"/>
      <c r="F65" s="67"/>
      <c r="G65" s="67"/>
      <c r="H65" s="67"/>
    </row>
    <row r="66">
      <c r="A66" s="100"/>
      <c r="B66" s="100"/>
      <c r="C66" s="100"/>
      <c r="D66" s="67"/>
      <c r="E66" s="67"/>
      <c r="F66" s="67"/>
      <c r="G66" s="67"/>
      <c r="H66" s="67"/>
    </row>
    <row r="67">
      <c r="A67" s="57"/>
      <c r="B67" s="57"/>
      <c r="C67" s="57"/>
      <c r="D67" s="67"/>
      <c r="E67" s="67"/>
      <c r="F67" s="67"/>
      <c r="G67" s="67"/>
      <c r="H67" s="67"/>
    </row>
    <row r="68">
      <c r="A68" s="100"/>
      <c r="B68" s="100"/>
      <c r="C68" s="100"/>
      <c r="D68" s="67"/>
      <c r="E68" s="67"/>
      <c r="F68" s="67"/>
      <c r="G68" s="67"/>
      <c r="H68" s="67"/>
    </row>
    <row r="69">
      <c r="A69" s="57"/>
      <c r="B69" s="57"/>
      <c r="C69" s="57"/>
      <c r="D69" s="67"/>
      <c r="E69" s="67"/>
      <c r="F69" s="67"/>
      <c r="G69" s="67"/>
      <c r="H69" s="67"/>
    </row>
    <row r="70">
      <c r="A70" s="57"/>
      <c r="B70" s="57"/>
      <c r="C70" s="57"/>
      <c r="D70" s="67"/>
      <c r="E70" s="67"/>
      <c r="F70" s="67"/>
      <c r="G70" s="67"/>
      <c r="H70" s="67"/>
    </row>
    <row r="71">
      <c r="A71" s="57"/>
      <c r="B71" s="57"/>
      <c r="C71" s="57"/>
      <c r="D71" s="67"/>
      <c r="E71" s="67"/>
      <c r="F71" s="67"/>
      <c r="G71" s="67"/>
      <c r="H71" s="67"/>
    </row>
    <row r="72">
      <c r="A72" s="57"/>
      <c r="B72" s="57"/>
      <c r="C72" s="57"/>
      <c r="D72" s="67"/>
      <c r="E72" s="67"/>
      <c r="F72" s="67"/>
      <c r="G72" s="67"/>
      <c r="H72" s="67"/>
    </row>
    <row r="73">
      <c r="A73" s="57"/>
      <c r="B73" s="57"/>
      <c r="C73" s="57"/>
      <c r="D73" s="67"/>
      <c r="E73" s="67"/>
      <c r="F73" s="67"/>
      <c r="G73" s="67"/>
      <c r="H73" s="67"/>
    </row>
    <row r="74">
      <c r="A74" s="57"/>
      <c r="B74" s="57"/>
      <c r="C74" s="57"/>
      <c r="D74" s="67"/>
      <c r="E74" s="67"/>
      <c r="F74" s="67"/>
      <c r="G74" s="67"/>
      <c r="H74" s="67"/>
    </row>
    <row r="75">
      <c r="A75" s="67"/>
      <c r="B75" s="67"/>
      <c r="C75" s="67"/>
      <c r="D75" s="67"/>
      <c r="E75" s="67"/>
      <c r="F75" s="67"/>
      <c r="G75" s="67"/>
      <c r="H75" s="67"/>
    </row>
    <row r="76">
      <c r="A76" s="67"/>
      <c r="B76" s="67"/>
      <c r="C76" s="67"/>
      <c r="D76" s="67"/>
      <c r="E76" s="67"/>
      <c r="F76" s="67"/>
      <c r="G76" s="67"/>
      <c r="H76" s="67"/>
    </row>
    <row r="77">
      <c r="A77" s="67"/>
      <c r="B77" s="67"/>
      <c r="C77" s="67"/>
      <c r="D77" s="67"/>
      <c r="E77" s="67"/>
      <c r="F77" s="67"/>
      <c r="G77" s="67"/>
      <c r="H77" s="67"/>
    </row>
    <row r="78">
      <c r="A78" s="67"/>
      <c r="B78" s="67"/>
      <c r="C78" s="67"/>
      <c r="D78" s="67"/>
      <c r="E78" s="67"/>
      <c r="F78" s="67"/>
      <c r="G78" s="67"/>
      <c r="H78" s="67"/>
    </row>
    <row r="79">
      <c r="A79" s="67"/>
      <c r="B79" s="67"/>
      <c r="C79" s="67"/>
      <c r="D79" s="67"/>
      <c r="E79" s="67"/>
      <c r="F79" s="67"/>
      <c r="G79" s="67"/>
      <c r="H79" s="67"/>
    </row>
    <row r="80">
      <c r="A80" s="67"/>
      <c r="B80" s="67"/>
      <c r="C80" s="67"/>
      <c r="D80" s="67"/>
      <c r="E80" s="67"/>
      <c r="F80" s="67"/>
      <c r="G80" s="67"/>
      <c r="H80" s="67"/>
    </row>
    <row r="81">
      <c r="A81" s="67"/>
      <c r="B81" s="67"/>
      <c r="C81" s="67"/>
      <c r="D81" s="67"/>
      <c r="E81" s="67"/>
      <c r="F81" s="67"/>
      <c r="G81" s="67"/>
      <c r="H81" s="67"/>
    </row>
    <row r="82">
      <c r="A82" s="67"/>
      <c r="B82" s="67"/>
      <c r="C82" s="67"/>
      <c r="D82" s="67"/>
      <c r="E82" s="67"/>
      <c r="F82" s="67"/>
      <c r="G82" s="67"/>
      <c r="H82" s="67"/>
    </row>
    <row r="83">
      <c r="A83" s="67"/>
      <c r="B83" s="67"/>
      <c r="C83" s="67"/>
      <c r="D83" s="67"/>
      <c r="E83" s="67"/>
      <c r="F83" s="67"/>
      <c r="G83" s="67"/>
      <c r="H83" s="67"/>
    </row>
    <row r="84">
      <c r="A84" s="67"/>
      <c r="B84" s="67"/>
      <c r="C84" s="67"/>
      <c r="D84" s="67"/>
      <c r="E84" s="67"/>
      <c r="F84" s="67"/>
      <c r="G84" s="67"/>
      <c r="H84" s="67"/>
    </row>
    <row r="85">
      <c r="A85" s="67"/>
      <c r="B85" s="67"/>
      <c r="C85" s="67"/>
      <c r="D85" s="67"/>
      <c r="E85" s="67"/>
      <c r="F85" s="67"/>
      <c r="G85" s="67"/>
      <c r="H85" s="67"/>
    </row>
    <row r="86">
      <c r="A86" s="67"/>
      <c r="B86" s="67"/>
      <c r="C86" s="67"/>
      <c r="D86" s="67"/>
      <c r="E86" s="67"/>
      <c r="F86" s="67"/>
      <c r="G86" s="67"/>
      <c r="H86" s="67"/>
    </row>
    <row r="87">
      <c r="A87" s="67"/>
      <c r="B87" s="67"/>
      <c r="C87" s="67"/>
      <c r="D87" s="67"/>
      <c r="E87" s="67"/>
      <c r="F87" s="67"/>
      <c r="G87" s="67"/>
      <c r="H87" s="67"/>
    </row>
    <row r="88">
      <c r="A88" s="67"/>
      <c r="B88" s="67"/>
      <c r="C88" s="67"/>
      <c r="D88" s="67"/>
      <c r="E88" s="67"/>
      <c r="F88" s="67"/>
      <c r="G88" s="67"/>
      <c r="H88" s="67"/>
    </row>
    <row r="89">
      <c r="A89" s="67"/>
      <c r="B89" s="67"/>
      <c r="C89" s="67"/>
      <c r="D89" s="67"/>
      <c r="E89" s="67"/>
      <c r="F89" s="67"/>
      <c r="G89" s="67"/>
      <c r="H89" s="67"/>
    </row>
    <row r="90">
      <c r="A90" s="67"/>
      <c r="B90" s="67"/>
      <c r="C90" s="67"/>
      <c r="D90" s="67"/>
      <c r="E90" s="67"/>
      <c r="F90" s="67"/>
      <c r="G90" s="67"/>
      <c r="H90" s="67"/>
    </row>
    <row r="91">
      <c r="A91" s="67"/>
      <c r="B91" s="67"/>
      <c r="C91" s="67"/>
      <c r="D91" s="67"/>
      <c r="E91" s="67"/>
      <c r="F91" s="67"/>
      <c r="G91" s="67"/>
      <c r="H91" s="67"/>
    </row>
    <row r="93">
      <c r="A93" s="54"/>
    </row>
    <row r="94">
      <c r="A94" s="54"/>
    </row>
    <row r="95">
      <c r="A95" s="54"/>
    </row>
    <row r="96">
      <c r="A96" s="54"/>
    </row>
    <row r="97">
      <c r="A97" s="54"/>
    </row>
    <row r="98">
      <c r="A98" s="54"/>
    </row>
    <row r="99">
      <c r="A99" s="54"/>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4ED8"/>
    <outlinePr summaryBelow="0" summaryRight="0"/>
  </sheetPr>
  <sheetViews>
    <sheetView showGridLines="0" workbookViewId="0">
      <pane xSplit="6.0" ySplit="63.0" topLeftCell="G64" activePane="bottomRight" state="frozen"/>
      <selection activeCell="G1" sqref="G1" pane="topRight"/>
      <selection activeCell="A64" sqref="A64" pane="bottomLeft"/>
      <selection activeCell="G64" sqref="G64" pane="bottomRight"/>
    </sheetView>
  </sheetViews>
  <sheetFormatPr customHeight="1" defaultColWidth="12.63" defaultRowHeight="15.0"/>
  <cols>
    <col customWidth="1" min="1" max="1" width="6.63"/>
    <col customWidth="1" min="2" max="2" width="17.75"/>
    <col customWidth="1" min="3" max="3" width="12.88"/>
    <col customWidth="1" min="4" max="4" width="13.38"/>
    <col customWidth="1" min="5" max="5" width="7.63"/>
    <col customWidth="1" min="6" max="6" width="58.0"/>
    <col customWidth="1" min="7" max="7" width="26.38"/>
    <col customWidth="1" min="8" max="8" width="22.0"/>
    <col customWidth="1" min="9" max="9" width="14.5"/>
    <col customWidth="1" min="10" max="10" width="13.88"/>
    <col customWidth="1" min="11" max="11" width="14.5"/>
    <col customWidth="1" min="12" max="12" width="12.0"/>
    <col customWidth="1" min="13" max="13" width="11.38"/>
    <col customWidth="1" min="14" max="14" width="14.5"/>
    <col customWidth="1" min="15" max="15" width="11.38"/>
    <col customWidth="1" min="16" max="16" width="10.75"/>
    <col customWidth="1" min="17" max="19" width="12.63"/>
    <col customWidth="1" min="20" max="20" width="27.13"/>
    <col customWidth="1" min="21" max="21" width="18.88"/>
    <col customWidth="1" min="22" max="23" width="12.0"/>
    <col customWidth="1" min="24" max="24" width="13.25"/>
    <col customWidth="1" min="25" max="25" width="22.0"/>
    <col customWidth="1" min="26" max="26" width="10.75"/>
    <col customWidth="1" hidden="1" min="27" max="32" width="12.63"/>
    <col customWidth="1" min="33" max="39" width="12.63"/>
  </cols>
  <sheetData>
    <row r="1" ht="28.5" customHeight="1">
      <c r="A1" s="2" t="s">
        <v>1</v>
      </c>
      <c r="B1" s="2"/>
      <c r="C1" s="4"/>
      <c r="D1" s="4"/>
      <c r="E1" s="4"/>
      <c r="F1" s="2"/>
      <c r="G1" s="4"/>
      <c r="H1" s="4"/>
      <c r="I1" s="4"/>
      <c r="J1" s="4"/>
      <c r="K1" s="4"/>
      <c r="L1" s="4"/>
      <c r="M1" s="4"/>
      <c r="N1" s="4"/>
      <c r="O1" s="4"/>
      <c r="P1" s="4"/>
      <c r="Q1" s="4"/>
      <c r="R1" s="4"/>
      <c r="S1" s="4"/>
      <c r="T1" s="4"/>
      <c r="U1" s="4"/>
      <c r="V1" s="4"/>
      <c r="W1" s="4"/>
      <c r="X1" s="4"/>
      <c r="Y1" s="4"/>
      <c r="Z1" s="4"/>
    </row>
    <row r="2" ht="15.75" hidden="1" customHeight="1">
      <c r="A2" s="10"/>
      <c r="B2" s="12"/>
      <c r="C2" s="17"/>
      <c r="D2" s="23"/>
      <c r="E2" s="23"/>
      <c r="F2" s="32"/>
      <c r="G2" s="33"/>
      <c r="H2" s="40"/>
      <c r="I2" s="40"/>
      <c r="J2" s="47"/>
      <c r="K2" s="47"/>
      <c r="L2" s="47"/>
      <c r="M2" s="47"/>
      <c r="N2" s="47"/>
      <c r="O2" s="47"/>
      <c r="P2" s="47"/>
      <c r="Q2" s="47"/>
      <c r="R2" s="47"/>
      <c r="S2" s="47"/>
      <c r="T2" s="47"/>
      <c r="U2" s="47"/>
      <c r="V2" s="47"/>
      <c r="W2" s="47"/>
      <c r="X2" s="47"/>
      <c r="Y2" s="47"/>
      <c r="Z2" s="52"/>
      <c r="AA2" s="54"/>
    </row>
    <row r="3" ht="15.75" hidden="1" customHeight="1">
      <c r="A3" s="57"/>
      <c r="B3" s="57"/>
      <c r="C3" s="66"/>
      <c r="D3" s="67"/>
      <c r="E3" s="67"/>
      <c r="F3" s="68"/>
      <c r="G3" s="69"/>
      <c r="H3" s="33"/>
      <c r="I3" s="33"/>
      <c r="J3" s="33"/>
      <c r="K3" s="33"/>
      <c r="L3" s="33"/>
      <c r="M3" s="33"/>
      <c r="N3" s="33"/>
      <c r="O3" s="33"/>
      <c r="P3" s="33"/>
      <c r="Q3" s="33"/>
      <c r="R3" s="33"/>
      <c r="S3" s="33"/>
      <c r="T3" s="33"/>
      <c r="U3" s="33"/>
      <c r="V3" s="33"/>
      <c r="W3" s="33"/>
      <c r="X3" s="33"/>
      <c r="Y3" s="33"/>
      <c r="AA3" s="54"/>
    </row>
    <row r="4" ht="15.75" hidden="1" customHeight="1">
      <c r="A4" s="57"/>
      <c r="B4" s="57"/>
      <c r="C4" s="74"/>
      <c r="D4" s="67"/>
      <c r="E4" s="67"/>
      <c r="F4" s="77"/>
      <c r="G4" s="81"/>
      <c r="H4" s="82"/>
      <c r="I4" s="82"/>
      <c r="J4" s="82"/>
      <c r="K4" s="82"/>
      <c r="L4" s="82"/>
      <c r="M4" s="82"/>
      <c r="N4" s="82"/>
      <c r="O4" s="82"/>
      <c r="P4" s="82"/>
      <c r="Q4" s="82"/>
      <c r="R4" s="82"/>
      <c r="S4" s="82"/>
      <c r="T4" s="82"/>
      <c r="U4" s="82"/>
      <c r="V4" s="82"/>
      <c r="W4" s="82"/>
      <c r="X4" s="82"/>
      <c r="Y4" s="82"/>
      <c r="AA4" s="54"/>
    </row>
    <row r="5" ht="15.75" hidden="1" customHeight="1">
      <c r="A5" s="57"/>
      <c r="B5" s="57"/>
      <c r="C5" s="74"/>
      <c r="D5" s="67"/>
      <c r="E5" s="67"/>
      <c r="F5" s="57"/>
      <c r="G5" s="74"/>
      <c r="H5" s="67"/>
      <c r="I5" s="67"/>
    </row>
    <row r="6" ht="15.75" hidden="1" customHeight="1">
      <c r="A6" s="57"/>
      <c r="B6" s="57"/>
      <c r="C6" s="74"/>
      <c r="D6" s="67"/>
      <c r="E6" s="67"/>
      <c r="F6" s="57"/>
      <c r="G6" s="86"/>
      <c r="H6" s="67"/>
      <c r="I6" s="67"/>
    </row>
    <row r="7" ht="15.75" hidden="1" customHeight="1">
      <c r="A7" s="57"/>
      <c r="B7" s="57"/>
      <c r="C7" s="74"/>
      <c r="D7" s="67"/>
      <c r="E7" s="67"/>
      <c r="F7" s="67"/>
      <c r="G7" s="67"/>
      <c r="H7" s="67"/>
      <c r="I7" s="67"/>
    </row>
    <row r="8" ht="15.75" hidden="1" customHeight="1">
      <c r="A8" s="57"/>
      <c r="B8" s="57"/>
      <c r="C8" s="67"/>
      <c r="D8" s="67"/>
      <c r="E8" s="67"/>
      <c r="F8" s="57"/>
      <c r="G8" s="67"/>
      <c r="H8" s="67"/>
      <c r="I8" s="67"/>
    </row>
    <row r="9" ht="15.75" hidden="1" customHeight="1">
      <c r="A9" s="90"/>
      <c r="B9" s="92"/>
      <c r="C9" s="94"/>
      <c r="D9" s="94"/>
      <c r="E9" s="94"/>
      <c r="F9" s="67"/>
      <c r="G9" s="67"/>
      <c r="H9" s="67"/>
      <c r="I9" s="67"/>
    </row>
    <row r="10" ht="15.75" hidden="1" customHeight="1">
      <c r="A10" s="95"/>
      <c r="B10" s="98"/>
      <c r="C10" s="98"/>
      <c r="D10" s="98"/>
      <c r="E10" s="98"/>
      <c r="F10" s="67"/>
      <c r="G10" s="67"/>
      <c r="H10" s="67"/>
      <c r="I10" s="67"/>
    </row>
    <row r="11" ht="15.75" hidden="1" customHeight="1">
      <c r="A11" s="67"/>
      <c r="B11" s="67"/>
      <c r="C11" s="67"/>
      <c r="D11" s="67"/>
      <c r="E11" s="67"/>
      <c r="F11" s="67"/>
      <c r="G11" s="67"/>
      <c r="H11" s="67"/>
      <c r="I11" s="67"/>
    </row>
    <row r="12" ht="15.75" hidden="1" customHeight="1">
      <c r="A12" s="67"/>
      <c r="B12" s="67"/>
      <c r="C12" s="67"/>
      <c r="D12" s="67"/>
      <c r="E12" s="67"/>
      <c r="F12" s="67"/>
      <c r="G12" s="67"/>
      <c r="H12" s="67"/>
      <c r="I12" s="67"/>
    </row>
    <row r="13" ht="15.75" hidden="1" customHeight="1">
      <c r="A13" s="67"/>
      <c r="B13" s="67"/>
      <c r="C13" s="67"/>
      <c r="D13" s="67"/>
      <c r="E13" s="67"/>
      <c r="F13" s="67"/>
      <c r="G13" s="67"/>
      <c r="H13" s="67"/>
      <c r="I13" s="67"/>
    </row>
    <row r="14" ht="15.75" hidden="1" customHeight="1">
      <c r="A14" s="67"/>
      <c r="B14" s="67"/>
      <c r="C14" s="67"/>
      <c r="D14" s="67"/>
      <c r="E14" s="67"/>
      <c r="F14" s="67"/>
      <c r="G14" s="67"/>
      <c r="H14" s="67"/>
      <c r="I14" s="67"/>
    </row>
    <row r="15" ht="15.75" hidden="1" customHeight="1">
      <c r="A15" s="67"/>
      <c r="B15" s="67"/>
      <c r="C15" s="67"/>
      <c r="D15" s="67"/>
      <c r="E15" s="67"/>
      <c r="F15" s="67"/>
      <c r="G15" s="67"/>
      <c r="H15" s="67"/>
      <c r="I15" s="67"/>
    </row>
    <row r="16" ht="15.75" hidden="1" customHeight="1">
      <c r="A16" s="67"/>
      <c r="B16" s="67"/>
      <c r="C16" s="67"/>
      <c r="D16" s="67"/>
      <c r="E16" s="67"/>
      <c r="F16" s="67"/>
      <c r="G16" s="67"/>
      <c r="H16" s="67"/>
      <c r="I16" s="67"/>
    </row>
    <row r="17" ht="15.75" hidden="1" customHeight="1">
      <c r="A17" s="67"/>
      <c r="B17" s="67"/>
      <c r="C17" s="67"/>
      <c r="D17" s="67"/>
      <c r="E17" s="67"/>
      <c r="F17" s="67"/>
      <c r="G17" s="67"/>
      <c r="H17" s="67"/>
      <c r="I17" s="67"/>
    </row>
    <row r="18" ht="15.75" hidden="1" customHeight="1">
      <c r="A18" s="67"/>
      <c r="B18" s="67"/>
      <c r="C18" s="67"/>
      <c r="D18" s="67"/>
      <c r="E18" s="67"/>
      <c r="F18" s="67"/>
      <c r="G18" s="67"/>
      <c r="H18" s="67"/>
      <c r="I18" s="67"/>
    </row>
    <row r="19" ht="15.75" hidden="1" customHeight="1">
      <c r="A19" s="67"/>
      <c r="B19" s="67"/>
      <c r="C19" s="67"/>
      <c r="D19" s="67"/>
      <c r="E19" s="67"/>
      <c r="F19" s="67"/>
      <c r="G19" s="67"/>
      <c r="H19" s="67"/>
      <c r="I19" s="67"/>
    </row>
    <row r="20" ht="15.75" hidden="1" customHeight="1">
      <c r="A20" s="67"/>
      <c r="B20" s="67"/>
      <c r="C20" s="67"/>
      <c r="D20" s="67"/>
      <c r="E20" s="67"/>
      <c r="F20" s="67"/>
      <c r="G20" s="67"/>
      <c r="H20" s="67"/>
      <c r="I20" s="67"/>
    </row>
    <row r="21" ht="15.75" hidden="1" customHeight="1">
      <c r="A21" s="67"/>
      <c r="B21" s="67"/>
      <c r="C21" s="67"/>
      <c r="D21" s="67"/>
      <c r="E21" s="67"/>
      <c r="F21" s="67"/>
      <c r="G21" s="67"/>
      <c r="H21" s="67"/>
      <c r="I21" s="67"/>
    </row>
    <row r="22" ht="15.75" hidden="1" customHeight="1">
      <c r="A22" s="67"/>
      <c r="B22" s="67"/>
      <c r="C22" s="67"/>
      <c r="D22" s="67"/>
      <c r="E22" s="67"/>
      <c r="F22" s="67"/>
      <c r="G22" s="67"/>
      <c r="H22" s="67"/>
      <c r="I22" s="67"/>
    </row>
    <row r="23" ht="15.75" customHeight="1">
      <c r="A23" s="67"/>
      <c r="B23" s="67"/>
      <c r="C23" s="67"/>
      <c r="D23" s="104"/>
      <c r="E23" s="67"/>
      <c r="F23" s="67"/>
      <c r="G23" s="67"/>
      <c r="H23" s="67"/>
      <c r="I23" s="67"/>
    </row>
    <row r="24" ht="15.75" hidden="1" customHeight="1">
      <c r="A24" s="106"/>
      <c r="B24" s="107"/>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5.75" hidden="1" customHeight="1">
      <c r="A25" s="110"/>
      <c r="B25" s="110"/>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ht="15.75" hidden="1" customHeight="1">
      <c r="A26" s="110"/>
      <c r="B26" s="110"/>
      <c r="C26" s="110"/>
      <c r="D26" s="110"/>
      <c r="E26" s="110"/>
      <c r="F26" s="110"/>
      <c r="G26" s="110"/>
      <c r="H26" s="111"/>
      <c r="I26" s="111"/>
      <c r="J26" s="111"/>
      <c r="K26" s="111"/>
      <c r="L26" s="111"/>
      <c r="M26" s="111"/>
      <c r="N26" s="111"/>
      <c r="O26" s="111"/>
      <c r="P26" s="111"/>
      <c r="Q26" s="111"/>
      <c r="R26" s="111"/>
      <c r="S26" s="111"/>
      <c r="T26" s="111"/>
      <c r="U26" s="111"/>
      <c r="V26" s="111"/>
      <c r="W26" s="111"/>
      <c r="X26" s="111"/>
      <c r="Y26" s="111"/>
      <c r="Z26" s="111"/>
    </row>
    <row r="27" ht="15.75" hidden="1" customHeight="1">
      <c r="A27" s="110"/>
      <c r="B27" s="116"/>
      <c r="C27" s="118"/>
      <c r="D27" s="118"/>
      <c r="E27" s="118"/>
      <c r="F27" s="118"/>
      <c r="G27" s="120"/>
      <c r="H27" s="139"/>
      <c r="I27" s="140"/>
      <c r="J27" s="140"/>
      <c r="K27" s="140"/>
      <c r="L27" s="140"/>
      <c r="M27" s="140"/>
      <c r="N27" s="140"/>
      <c r="O27" s="140"/>
      <c r="P27" s="140"/>
      <c r="Q27" s="140"/>
      <c r="R27" s="140"/>
      <c r="S27" s="140"/>
      <c r="T27" s="140"/>
      <c r="U27" s="140"/>
      <c r="V27" s="140"/>
      <c r="W27" s="140"/>
      <c r="X27" s="140"/>
      <c r="Y27" s="140"/>
      <c r="Z27" s="140"/>
    </row>
    <row r="28" ht="15.75" hidden="1" customHeight="1">
      <c r="A28" s="141"/>
      <c r="B28" s="142"/>
      <c r="C28" s="142"/>
      <c r="D28" s="142"/>
      <c r="E28" s="143"/>
      <c r="F28" s="142"/>
      <c r="G28" s="142"/>
      <c r="H28" s="144"/>
      <c r="I28" s="144"/>
    </row>
    <row r="29" ht="15.75" hidden="1" customHeight="1">
      <c r="A29" s="57"/>
      <c r="B29" s="57"/>
      <c r="C29" s="57"/>
      <c r="D29" s="145"/>
      <c r="E29" s="146"/>
      <c r="F29" s="57"/>
      <c r="G29" s="57"/>
      <c r="H29" s="67"/>
      <c r="I29" s="67"/>
    </row>
    <row r="30" ht="15.75" hidden="1" customHeight="1">
      <c r="A30" s="10"/>
      <c r="B30" s="12"/>
      <c r="C30" s="12"/>
      <c r="D30" s="23"/>
      <c r="E30" s="147"/>
      <c r="F30" s="12"/>
      <c r="G30" s="12"/>
      <c r="H30" s="23"/>
      <c r="I30" s="23"/>
    </row>
    <row r="31" ht="15.75" hidden="1" customHeight="1">
      <c r="A31" s="157"/>
      <c r="B31" s="159"/>
      <c r="C31" s="159"/>
      <c r="D31" s="159"/>
      <c r="E31" s="178"/>
      <c r="F31" s="159"/>
      <c r="G31" s="159"/>
      <c r="H31" s="159"/>
      <c r="I31" s="159"/>
    </row>
    <row r="32" ht="15.75" hidden="1" customHeight="1">
      <c r="A32" s="181"/>
      <c r="B32" s="181"/>
      <c r="C32" s="181"/>
      <c r="D32" s="181"/>
      <c r="E32" s="182"/>
      <c r="F32" s="181"/>
      <c r="G32" s="181"/>
      <c r="H32" s="181"/>
      <c r="I32" s="181"/>
      <c r="J32" s="184"/>
      <c r="K32" s="184"/>
      <c r="L32" s="184"/>
      <c r="M32" s="184"/>
      <c r="N32" s="184"/>
      <c r="O32" s="184"/>
      <c r="P32" s="184"/>
      <c r="Q32" s="184"/>
      <c r="R32" s="184"/>
      <c r="S32" s="184"/>
      <c r="T32" s="184"/>
      <c r="U32" s="184"/>
      <c r="V32" s="184"/>
      <c r="W32" s="184"/>
      <c r="X32" s="184"/>
      <c r="Y32" s="184"/>
      <c r="Z32" s="184"/>
      <c r="AA32" s="184"/>
      <c r="AB32" s="184"/>
      <c r="AC32" s="184"/>
      <c r="AD32" s="184"/>
      <c r="AE32" s="184"/>
      <c r="AF32" s="184"/>
      <c r="AG32" s="184"/>
      <c r="AH32" s="184"/>
      <c r="AI32" s="184"/>
      <c r="AJ32" s="184"/>
      <c r="AK32" s="184"/>
      <c r="AL32" s="184"/>
      <c r="AM32" s="184"/>
    </row>
    <row r="33" ht="15.75" hidden="1" customHeight="1">
      <c r="A33" s="181"/>
      <c r="B33" s="181"/>
      <c r="C33" s="181"/>
      <c r="D33" s="181"/>
      <c r="E33" s="186"/>
      <c r="F33" s="181"/>
      <c r="G33" s="181"/>
      <c r="H33" s="181"/>
      <c r="I33" s="181"/>
      <c r="J33" s="184"/>
      <c r="K33" s="184"/>
      <c r="L33" s="184"/>
      <c r="M33" s="184"/>
      <c r="N33" s="184"/>
      <c r="O33" s="184"/>
      <c r="P33" s="184"/>
      <c r="Q33" s="184"/>
      <c r="R33" s="184"/>
      <c r="S33" s="184"/>
      <c r="T33" s="184"/>
      <c r="U33" s="184"/>
      <c r="V33" s="184"/>
      <c r="W33" s="184"/>
      <c r="X33" s="184"/>
      <c r="Y33" s="184"/>
      <c r="Z33" s="184"/>
      <c r="AA33" s="184"/>
      <c r="AB33" s="184"/>
      <c r="AC33" s="184"/>
      <c r="AD33" s="184"/>
      <c r="AE33" s="184"/>
      <c r="AF33" s="184"/>
      <c r="AG33" s="184"/>
      <c r="AH33" s="184"/>
      <c r="AI33" s="184"/>
      <c r="AJ33" s="184"/>
      <c r="AK33" s="184"/>
      <c r="AL33" s="184"/>
      <c r="AM33" s="184"/>
    </row>
    <row r="34" ht="15.75" hidden="1" customHeight="1">
      <c r="A34" s="181"/>
      <c r="B34" s="181"/>
      <c r="C34" s="181"/>
      <c r="D34" s="181"/>
      <c r="E34" s="188"/>
      <c r="F34" s="181"/>
      <c r="G34" s="181"/>
      <c r="H34" s="181"/>
      <c r="I34" s="181"/>
      <c r="J34" s="184"/>
      <c r="K34" s="184"/>
      <c r="L34" s="184"/>
      <c r="M34" s="184"/>
      <c r="N34" s="184"/>
      <c r="O34" s="184"/>
      <c r="P34" s="184"/>
      <c r="Q34" s="184"/>
      <c r="R34" s="184"/>
      <c r="S34" s="184"/>
      <c r="T34" s="184"/>
      <c r="U34" s="184"/>
      <c r="V34" s="184"/>
      <c r="W34" s="184"/>
      <c r="X34" s="184"/>
      <c r="Y34" s="184"/>
      <c r="Z34" s="184"/>
      <c r="AA34" s="184"/>
      <c r="AB34" s="184"/>
      <c r="AC34" s="184"/>
      <c r="AD34" s="184"/>
      <c r="AE34" s="184"/>
      <c r="AF34" s="184"/>
      <c r="AG34" s="184"/>
      <c r="AH34" s="184"/>
      <c r="AI34" s="184"/>
      <c r="AJ34" s="184"/>
      <c r="AK34" s="184"/>
      <c r="AL34" s="184"/>
      <c r="AM34" s="184"/>
    </row>
    <row r="35" ht="15.75" hidden="1" customHeight="1">
      <c r="A35" s="181"/>
      <c r="B35" s="181"/>
      <c r="C35" s="181"/>
      <c r="D35" s="181"/>
      <c r="E35" s="188"/>
      <c r="F35" s="181"/>
      <c r="G35" s="181"/>
      <c r="H35" s="181"/>
      <c r="I35" s="181"/>
      <c r="J35" s="184"/>
      <c r="K35" s="184"/>
      <c r="L35" s="184"/>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row>
    <row r="36" ht="15.75" hidden="1" customHeight="1">
      <c r="A36" s="181"/>
      <c r="B36" s="190"/>
      <c r="C36" s="190"/>
      <c r="D36" s="190"/>
      <c r="E36" s="193"/>
      <c r="F36" s="190"/>
      <c r="G36" s="190"/>
      <c r="H36" s="190"/>
      <c r="I36" s="190"/>
      <c r="J36" s="184"/>
      <c r="K36" s="184"/>
      <c r="L36" s="184"/>
      <c r="M36" s="184"/>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row>
    <row r="37" ht="15.75" hidden="1" customHeight="1">
      <c r="A37" s="196"/>
      <c r="B37" s="196"/>
      <c r="C37" s="196"/>
      <c r="D37" s="196"/>
      <c r="E37" s="198"/>
      <c r="F37" s="196"/>
      <c r="G37" s="196"/>
      <c r="H37" s="196"/>
      <c r="I37" s="196"/>
    </row>
    <row r="38" ht="15.75" hidden="1" customHeight="1">
      <c r="A38" s="196"/>
      <c r="B38" s="196"/>
      <c r="C38" s="196"/>
      <c r="D38" s="196"/>
      <c r="E38" s="198"/>
      <c r="F38" s="196"/>
      <c r="G38" s="196"/>
      <c r="H38" s="196"/>
      <c r="I38" s="196"/>
    </row>
    <row r="39" ht="15.75" hidden="1" customHeight="1">
      <c r="A39" s="196"/>
      <c r="B39" s="196"/>
      <c r="C39" s="196"/>
      <c r="D39" s="196"/>
      <c r="E39" s="198"/>
      <c r="F39" s="196"/>
      <c r="G39" s="196"/>
      <c r="H39" s="196"/>
      <c r="I39" s="196"/>
    </row>
    <row r="40" ht="15.75" hidden="1" customHeight="1">
      <c r="A40" s="196"/>
      <c r="B40" s="196"/>
      <c r="C40" s="196"/>
      <c r="D40" s="196"/>
      <c r="E40" s="198"/>
      <c r="F40" s="196"/>
      <c r="G40" s="196"/>
      <c r="H40" s="103"/>
      <c r="I40" s="103"/>
    </row>
    <row r="41" ht="15.75" hidden="1" customHeight="1">
      <c r="A41" s="196"/>
      <c r="B41" s="196"/>
      <c r="C41" s="196"/>
      <c r="D41" s="196"/>
      <c r="E41" s="198"/>
      <c r="F41" s="196"/>
      <c r="G41" s="196"/>
      <c r="H41" s="103"/>
      <c r="I41" s="103"/>
    </row>
    <row r="42" ht="15.75" hidden="1" customHeight="1">
      <c r="A42" s="196"/>
      <c r="B42" s="196"/>
      <c r="C42" s="196"/>
      <c r="D42" s="200"/>
      <c r="E42" s="202"/>
      <c r="F42" s="196"/>
      <c r="G42" s="196"/>
      <c r="H42" s="103"/>
      <c r="I42" s="103"/>
    </row>
    <row r="43" ht="15.75" hidden="1" customHeight="1">
      <c r="A43" s="196"/>
      <c r="B43" s="196"/>
      <c r="C43" s="196"/>
      <c r="D43" s="196"/>
      <c r="E43" s="198"/>
      <c r="F43" s="196"/>
      <c r="G43" s="196"/>
      <c r="H43" s="103"/>
      <c r="I43" s="103"/>
    </row>
    <row r="44" ht="15.75" hidden="1" customHeight="1">
      <c r="A44" s="196"/>
      <c r="B44" s="196"/>
      <c r="C44" s="196"/>
      <c r="D44" s="196"/>
      <c r="E44" s="198"/>
      <c r="F44" s="196"/>
      <c r="G44" s="196"/>
      <c r="H44" s="103"/>
      <c r="I44" s="103"/>
    </row>
    <row r="45" ht="15.75" hidden="1" customHeight="1">
      <c r="A45" s="196"/>
      <c r="B45" s="196"/>
      <c r="C45" s="196"/>
      <c r="D45" s="204"/>
      <c r="E45" s="205"/>
      <c r="F45" s="196"/>
      <c r="G45" s="196"/>
      <c r="H45" s="103"/>
      <c r="I45" s="103"/>
    </row>
    <row r="46" ht="15.75" hidden="1" customHeight="1">
      <c r="A46" s="196"/>
      <c r="B46" s="196"/>
      <c r="C46" s="196"/>
      <c r="D46" s="207"/>
      <c r="E46" s="198"/>
      <c r="F46" s="196"/>
      <c r="G46" s="196"/>
      <c r="H46" s="103"/>
      <c r="I46" s="103"/>
    </row>
    <row r="47" ht="15.75" hidden="1" customHeight="1">
      <c r="A47" s="196"/>
      <c r="B47" s="196"/>
      <c r="C47" s="196"/>
      <c r="D47" s="209"/>
      <c r="E47" s="212"/>
      <c r="F47" s="196"/>
      <c r="G47" s="196"/>
      <c r="H47" s="103"/>
      <c r="I47" s="103"/>
    </row>
    <row r="48" ht="15.75" hidden="1" customHeight="1">
      <c r="A48" s="196"/>
      <c r="B48" s="196"/>
      <c r="C48" s="196"/>
      <c r="D48" s="207"/>
      <c r="E48" s="205"/>
      <c r="F48" s="196"/>
      <c r="G48" s="196"/>
      <c r="H48" s="103"/>
      <c r="I48" s="103"/>
    </row>
    <row r="49" ht="15.75" hidden="1" customHeight="1">
      <c r="A49" s="196"/>
      <c r="B49" s="196"/>
      <c r="C49" s="196"/>
      <c r="D49" s="207"/>
      <c r="E49" s="198"/>
      <c r="F49" s="196"/>
      <c r="G49" s="196"/>
      <c r="H49" s="103"/>
      <c r="I49" s="103"/>
    </row>
    <row r="50" ht="15.75" hidden="1" customHeight="1">
      <c r="A50" s="196"/>
      <c r="B50" s="227"/>
      <c r="C50" s="227"/>
      <c r="D50" s="230"/>
      <c r="E50" s="232"/>
      <c r="F50" s="227"/>
      <c r="G50" s="227"/>
      <c r="H50" s="239"/>
      <c r="I50" s="239"/>
    </row>
    <row r="51" ht="15.75" hidden="1" customHeight="1">
      <c r="A51" s="57"/>
      <c r="B51" s="57"/>
      <c r="C51" s="57"/>
      <c r="D51" s="241"/>
      <c r="E51" s="242"/>
      <c r="F51" s="57"/>
      <c r="G51" s="57"/>
      <c r="H51" s="67"/>
      <c r="I51" s="67"/>
    </row>
    <row r="52" ht="15.75" hidden="1" customHeight="1">
      <c r="A52" s="57"/>
      <c r="B52" s="57"/>
      <c r="C52" s="57"/>
      <c r="D52" s="246"/>
      <c r="E52" s="247"/>
      <c r="F52" s="57"/>
      <c r="G52" s="57"/>
      <c r="H52" s="67"/>
      <c r="I52" s="67"/>
    </row>
    <row r="53" ht="15.75" hidden="1" customHeight="1">
      <c r="A53" s="67"/>
      <c r="B53" s="67"/>
      <c r="C53" s="67"/>
      <c r="D53" s="67"/>
      <c r="E53" s="67"/>
      <c r="F53" s="67"/>
      <c r="G53" s="67"/>
      <c r="H53" s="67"/>
      <c r="I53" s="67"/>
    </row>
    <row r="54" ht="15.75" hidden="1" customHeight="1">
      <c r="A54" s="248"/>
      <c r="B54" s="250"/>
      <c r="C54" s="251"/>
      <c r="D54" s="67"/>
      <c r="E54" s="67"/>
      <c r="F54" s="67"/>
      <c r="G54" s="67"/>
      <c r="H54" s="67"/>
      <c r="I54" s="67"/>
    </row>
    <row r="55" ht="15.75" hidden="1" customHeight="1">
      <c r="A55" s="67"/>
      <c r="B55" s="67"/>
      <c r="C55" s="67"/>
      <c r="D55" s="67"/>
      <c r="E55" s="67"/>
      <c r="F55" s="67"/>
      <c r="G55" s="67"/>
      <c r="H55" s="67"/>
      <c r="I55" s="67"/>
    </row>
    <row r="56" ht="15.75" hidden="1" customHeight="1">
      <c r="A56" s="62"/>
      <c r="B56" s="255"/>
      <c r="C56" s="256"/>
      <c r="D56" s="256"/>
      <c r="E56" s="256"/>
      <c r="F56" s="256"/>
      <c r="G56" s="256"/>
      <c r="H56" s="256"/>
      <c r="I56" s="256"/>
      <c r="J56" s="52"/>
      <c r="K56" s="52"/>
      <c r="L56" s="52"/>
      <c r="M56" s="52"/>
      <c r="N56" s="52"/>
      <c r="O56" s="52"/>
      <c r="P56" s="52"/>
      <c r="Q56" s="52"/>
      <c r="R56" s="52"/>
      <c r="S56" s="52"/>
      <c r="T56" s="52"/>
      <c r="U56" s="52"/>
      <c r="V56" s="52"/>
      <c r="W56" s="52"/>
      <c r="X56" s="52"/>
      <c r="Y56" s="52"/>
      <c r="Z56" s="52"/>
    </row>
    <row r="57" ht="15.75" hidden="1" customHeight="1">
      <c r="A57" s="259"/>
      <c r="B57" s="259"/>
      <c r="C57" s="260"/>
      <c r="D57" s="260"/>
      <c r="E57" s="260"/>
      <c r="F57" s="260"/>
      <c r="G57" s="260"/>
      <c r="H57" s="260"/>
      <c r="I57" s="260"/>
    </row>
    <row r="58" ht="15.75" hidden="1" customHeight="1">
      <c r="A58" s="67"/>
      <c r="B58" s="67"/>
      <c r="C58" s="67"/>
      <c r="D58" s="67"/>
      <c r="E58" s="67"/>
      <c r="F58" s="67"/>
      <c r="G58" s="67"/>
      <c r="H58" s="67"/>
      <c r="I58" s="67"/>
    </row>
    <row r="59" ht="15.75" hidden="1" customHeight="1">
      <c r="A59" s="262"/>
      <c r="B59" s="264"/>
      <c r="C59" s="264"/>
      <c r="D59" s="264"/>
      <c r="E59" s="264"/>
      <c r="F59" s="264"/>
      <c r="G59" s="264"/>
      <c r="H59" s="264"/>
      <c r="I59" s="264"/>
    </row>
    <row r="60" ht="15.75" hidden="1" customHeight="1">
      <c r="A60" s="267"/>
      <c r="B60" s="270"/>
      <c r="C60" s="273"/>
      <c r="D60" s="273"/>
      <c r="E60" s="273"/>
      <c r="F60" s="273"/>
      <c r="G60" s="273"/>
      <c r="H60" s="273"/>
      <c r="I60" s="273"/>
    </row>
    <row r="61" ht="15.75" hidden="1" customHeight="1">
      <c r="A61" s="267"/>
      <c r="B61" s="270"/>
      <c r="C61" s="273"/>
      <c r="D61" s="273"/>
      <c r="E61" s="273"/>
      <c r="F61" s="273"/>
      <c r="G61" s="273"/>
      <c r="H61" s="273"/>
      <c r="I61" s="273"/>
    </row>
    <row r="62" ht="15.75" customHeight="1">
      <c r="A62" s="277"/>
      <c r="B62" s="277" t="s">
        <v>162</v>
      </c>
      <c r="C62" s="278"/>
      <c r="D62" s="278"/>
      <c r="E62" s="278"/>
      <c r="F62" s="278"/>
      <c r="G62" s="278"/>
      <c r="H62" s="278"/>
      <c r="I62" s="278"/>
      <c r="J62" s="278"/>
      <c r="K62" s="278"/>
      <c r="L62" s="278"/>
      <c r="M62" s="278"/>
      <c r="N62" s="278"/>
      <c r="O62" s="278"/>
      <c r="P62" s="278"/>
      <c r="Q62" s="278"/>
      <c r="R62" s="278"/>
      <c r="S62" s="278"/>
      <c r="T62" s="278"/>
      <c r="U62" s="278"/>
      <c r="V62" s="278"/>
      <c r="W62" s="278"/>
      <c r="X62" s="278"/>
      <c r="Y62" s="278"/>
      <c r="Z62" s="278"/>
    </row>
    <row r="63" ht="25.5" customHeight="1">
      <c r="A63" s="283" t="s">
        <v>163</v>
      </c>
      <c r="B63" s="284" t="s">
        <v>164</v>
      </c>
      <c r="C63" s="285" t="s">
        <v>165</v>
      </c>
      <c r="D63" s="285" t="s">
        <v>166</v>
      </c>
      <c r="E63" s="286" t="s">
        <v>167</v>
      </c>
      <c r="F63" s="287" t="s">
        <v>168</v>
      </c>
      <c r="G63" s="289" t="s">
        <v>169</v>
      </c>
      <c r="H63" s="291" t="s">
        <v>170</v>
      </c>
      <c r="I63" s="291" t="s">
        <v>171</v>
      </c>
      <c r="J63" s="291" t="s">
        <v>172</v>
      </c>
      <c r="K63" s="291" t="s">
        <v>82</v>
      </c>
      <c r="L63" s="296" t="s">
        <v>173</v>
      </c>
      <c r="M63" s="299" t="s">
        <v>175</v>
      </c>
      <c r="N63" s="304" t="s">
        <v>177</v>
      </c>
      <c r="O63" s="284" t="s">
        <v>58</v>
      </c>
      <c r="P63" s="306" t="s">
        <v>61</v>
      </c>
      <c r="Q63" s="307" t="s">
        <v>179</v>
      </c>
      <c r="R63" s="285" t="s">
        <v>180</v>
      </c>
      <c r="S63" s="286" t="s">
        <v>181</v>
      </c>
      <c r="T63" s="289" t="s">
        <v>182</v>
      </c>
      <c r="U63" s="291" t="s">
        <v>183</v>
      </c>
      <c r="V63" s="291" t="s">
        <v>184</v>
      </c>
      <c r="W63" s="291" t="s">
        <v>185</v>
      </c>
      <c r="X63" s="291" t="s">
        <v>186</v>
      </c>
      <c r="Y63" s="291" t="s">
        <v>188</v>
      </c>
      <c r="Z63" s="296" t="s">
        <v>189</v>
      </c>
    </row>
    <row r="64" ht="15.75" customHeight="1">
      <c r="A64" s="310"/>
      <c r="B64" s="310"/>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5"/>
    </row>
    <row r="65" ht="18.0" customHeight="1">
      <c r="A65" s="319" t="s">
        <v>192</v>
      </c>
      <c r="B65" s="322"/>
      <c r="C65" s="324"/>
      <c r="D65" s="324"/>
      <c r="E65" s="324"/>
      <c r="F65" s="329"/>
      <c r="G65" s="324"/>
      <c r="H65" s="324"/>
      <c r="I65" s="329" t="s">
        <v>119</v>
      </c>
      <c r="J65" s="324"/>
      <c r="K65" s="324"/>
      <c r="L65" s="324"/>
      <c r="M65" s="324"/>
      <c r="N65" s="324"/>
      <c r="O65" s="324"/>
      <c r="P65" s="324"/>
      <c r="Q65" s="324"/>
      <c r="R65" s="324"/>
      <c r="S65" s="324"/>
      <c r="T65" s="324"/>
      <c r="U65" s="324"/>
      <c r="V65" s="324"/>
      <c r="W65" s="324"/>
      <c r="X65" s="324"/>
      <c r="Y65" s="324"/>
      <c r="Z65" s="338"/>
      <c r="AA65" s="339"/>
      <c r="AB65" s="340"/>
      <c r="AC65" s="341"/>
      <c r="AD65" s="340"/>
      <c r="AE65" s="340"/>
    </row>
    <row r="66" ht="15.75" customHeight="1">
      <c r="A66" s="342"/>
      <c r="B66" s="343"/>
      <c r="C66" s="345"/>
      <c r="D66" s="345"/>
      <c r="E66" s="345"/>
      <c r="F66" s="343" t="s">
        <v>208</v>
      </c>
      <c r="G66" s="345"/>
      <c r="H66" s="345"/>
      <c r="I66" s="343" t="s">
        <v>119</v>
      </c>
      <c r="J66" s="348"/>
      <c r="K66" s="348"/>
      <c r="L66" s="348"/>
      <c r="M66" s="348"/>
      <c r="N66" s="350"/>
      <c r="O66" s="348"/>
      <c r="P66" s="348"/>
      <c r="Q66" s="354"/>
      <c r="R66" s="354"/>
      <c r="S66" s="354"/>
      <c r="T66" s="362"/>
      <c r="U66" s="362"/>
      <c r="V66" s="348"/>
      <c r="W66" s="362"/>
      <c r="X66" s="354"/>
      <c r="Y66" s="348"/>
      <c r="Z66" s="348"/>
      <c r="AA66" s="339"/>
      <c r="AB66" s="340"/>
      <c r="AC66" s="341"/>
      <c r="AD66" s="340"/>
      <c r="AE66" s="340"/>
    </row>
    <row r="67" ht="15.75" customHeight="1">
      <c r="A67" s="369">
        <f t="shared" ref="A67:A90" si="1">IF(OR($B67="",$C67=""),"",COUNTIFS($C$67:$C67,$C67,$B$67:$B67,"&lt;&gt;"))</f>
        <v>1</v>
      </c>
      <c r="B67" s="370" t="s">
        <v>233</v>
      </c>
      <c r="C67" s="370" t="s">
        <v>23</v>
      </c>
      <c r="D67" s="371"/>
      <c r="E67" s="372">
        <v>2026.0</v>
      </c>
      <c r="F67" s="373" t="s">
        <v>237</v>
      </c>
      <c r="G67" s="370" t="s">
        <v>238</v>
      </c>
      <c r="H67" s="371"/>
      <c r="I67" s="370" t="s">
        <v>118</v>
      </c>
      <c r="J67" s="375" t="s">
        <v>242</v>
      </c>
      <c r="K67" s="375" t="s">
        <v>242</v>
      </c>
      <c r="L67" s="375" t="s">
        <v>243</v>
      </c>
      <c r="M67" s="378" t="s">
        <v>244</v>
      </c>
      <c r="N67" s="384" t="str">
        <f t="shared" ref="N67:N91" si="2">IF(B67="","",IF(OR(L67="Chưa lên lịch",L67="Đã lên lịch",L67="Hủy"),"",IF(COUNTIFS($D$67:$D$212,B67,$L$67:$L$212,"&lt;&gt;",$L$67:$L$212,"&lt;&gt;Hủy",$L$67:$L$212,"&lt;&gt;Chưa lên lịch",$L$67:$L$212,"&lt;&gt;Đã lên lịch")&gt;0,AVERAGEIFS($N$67:$N$212,$D$67:$D$212,B67,$L$67:$L$212,"&lt;&gt;",$L$67:$L$212,"&lt;&gt;Hủy",$L$67:$L$212,"&lt;&gt;Chưa lên lịch",$L$67:$L$212,"&lt;&gt;Đã lên lịch"),IF(L67="Hoàn thành",1,0))))</f>
        <v/>
      </c>
      <c r="O67" s="386" t="s">
        <v>248</v>
      </c>
      <c r="P67" s="375" t="s">
        <v>167</v>
      </c>
      <c r="Q67" s="388">
        <v>46420.0</v>
      </c>
      <c r="R67" s="390">
        <v>46341.0</v>
      </c>
      <c r="S67" s="391"/>
      <c r="T67" s="392">
        <v>200.0</v>
      </c>
      <c r="U67" s="393">
        <f>IF(B67="","",IF(Z67="Có",'Lớp 3 - Công việc chính'!AE14,T67))</f>
        <v>200</v>
      </c>
      <c r="V67" s="375" t="s">
        <v>250</v>
      </c>
      <c r="W67" s="392">
        <v>3.0</v>
      </c>
      <c r="X67" s="395"/>
      <c r="Y67" s="396"/>
      <c r="Z67" s="396" t="str">
        <f t="shared" ref="Z67:Z85" si="3">IF(B67="","",IF(COUNTIF($D$67:$D$212,B67)&gt;0,"Có","Không"))</f>
        <v>Không</v>
      </c>
      <c r="AA67" s="397"/>
      <c r="AB67" s="54"/>
      <c r="AD67" s="54"/>
      <c r="AE67" s="54"/>
    </row>
    <row r="68" ht="15.75" customHeight="1">
      <c r="A68" s="369">
        <f t="shared" si="1"/>
        <v>2</v>
      </c>
      <c r="B68" s="370" t="s">
        <v>252</v>
      </c>
      <c r="C68" s="370" t="s">
        <v>23</v>
      </c>
      <c r="D68" s="371"/>
      <c r="E68" s="372">
        <v>2026.0</v>
      </c>
      <c r="F68" s="373" t="s">
        <v>253</v>
      </c>
      <c r="G68" s="370" t="s">
        <v>238</v>
      </c>
      <c r="H68" s="371"/>
      <c r="I68" s="370" t="s">
        <v>118</v>
      </c>
      <c r="J68" s="370" t="s">
        <v>242</v>
      </c>
      <c r="K68" s="370" t="s">
        <v>242</v>
      </c>
      <c r="L68" s="370" t="s">
        <v>243</v>
      </c>
      <c r="M68" s="401" t="s">
        <v>254</v>
      </c>
      <c r="N68" s="384" t="str">
        <f t="shared" si="2"/>
        <v/>
      </c>
      <c r="O68" s="402" t="s">
        <v>248</v>
      </c>
      <c r="P68" s="370" t="s">
        <v>167</v>
      </c>
      <c r="Q68" s="403">
        <v>46420.0</v>
      </c>
      <c r="R68" s="404">
        <v>46341.0</v>
      </c>
      <c r="S68" s="405"/>
      <c r="T68" s="406">
        <v>100.0</v>
      </c>
      <c r="U68" s="408">
        <f>IF(B68="","",IF(Z68="Có",'Lớp 3 - Công việc chính'!AE15,T68))</f>
        <v>100</v>
      </c>
      <c r="V68" s="370" t="s">
        <v>250</v>
      </c>
      <c r="W68" s="406">
        <v>3.0</v>
      </c>
      <c r="X68" s="409"/>
      <c r="Y68" s="371"/>
      <c r="Z68" s="396" t="str">
        <f t="shared" si="3"/>
        <v>Không</v>
      </c>
      <c r="AA68" s="315"/>
    </row>
    <row r="69" ht="15.75" customHeight="1">
      <c r="A69" s="369">
        <f t="shared" si="1"/>
        <v>3</v>
      </c>
      <c r="B69" s="370" t="s">
        <v>255</v>
      </c>
      <c r="C69" s="370" t="s">
        <v>23</v>
      </c>
      <c r="D69" s="371"/>
      <c r="E69" s="372">
        <v>2026.0</v>
      </c>
      <c r="F69" s="373" t="s">
        <v>256</v>
      </c>
      <c r="G69" s="370" t="s">
        <v>257</v>
      </c>
      <c r="H69" s="371"/>
      <c r="I69" s="370" t="s">
        <v>122</v>
      </c>
      <c r="J69" s="370" t="s">
        <v>242</v>
      </c>
      <c r="K69" s="370" t="s">
        <v>258</v>
      </c>
      <c r="L69" s="370" t="s">
        <v>259</v>
      </c>
      <c r="M69" s="401" t="s">
        <v>244</v>
      </c>
      <c r="N69" s="384">
        <f t="shared" si="2"/>
        <v>0.06964285714</v>
      </c>
      <c r="O69" s="370" t="s">
        <v>248</v>
      </c>
      <c r="P69" s="412"/>
      <c r="Q69" s="403">
        <v>46337.0</v>
      </c>
      <c r="R69" s="404">
        <v>46237.0</v>
      </c>
      <c r="S69" s="405"/>
      <c r="T69" s="406">
        <v>560.0</v>
      </c>
      <c r="U69" s="408">
        <f>IF(B69="","",IF(Z69="Có",'Lớp 3 - Công việc chính'!AE16,T69))</f>
        <v>620</v>
      </c>
      <c r="V69" s="370" t="s">
        <v>250</v>
      </c>
      <c r="W69" s="406">
        <v>3.0</v>
      </c>
      <c r="X69" s="413"/>
      <c r="Y69" s="371"/>
      <c r="Z69" s="396" t="str">
        <f t="shared" si="3"/>
        <v>Có</v>
      </c>
      <c r="AA69" s="315"/>
    </row>
    <row r="70" ht="15.75" customHeight="1">
      <c r="A70" s="369">
        <f t="shared" si="1"/>
        <v>4</v>
      </c>
      <c r="B70" s="370" t="s">
        <v>260</v>
      </c>
      <c r="C70" s="370" t="s">
        <v>23</v>
      </c>
      <c r="D70" s="371"/>
      <c r="E70" s="372">
        <v>2026.0</v>
      </c>
      <c r="F70" s="373" t="s">
        <v>261</v>
      </c>
      <c r="G70" s="370" t="s">
        <v>238</v>
      </c>
      <c r="H70" s="371"/>
      <c r="I70" s="370" t="s">
        <v>119</v>
      </c>
      <c r="J70" s="375" t="s">
        <v>242</v>
      </c>
      <c r="K70" s="370" t="s">
        <v>262</v>
      </c>
      <c r="L70" s="370" t="s">
        <v>259</v>
      </c>
      <c r="M70" s="401" t="s">
        <v>244</v>
      </c>
      <c r="N70" s="384">
        <f t="shared" si="2"/>
        <v>0</v>
      </c>
      <c r="O70" s="370" t="s">
        <v>248</v>
      </c>
      <c r="P70" s="412"/>
      <c r="Q70" s="403">
        <v>46305.0</v>
      </c>
      <c r="R70" s="404">
        <v>46223.0</v>
      </c>
      <c r="S70" s="405"/>
      <c r="T70" s="406">
        <v>224.0</v>
      </c>
      <c r="U70" s="408" t="str">
        <f>IF(B70="","",IF(Z70="Có",'Lớp 3 - Công việc chính'!AE17,T70))</f>
        <v/>
      </c>
      <c r="V70" s="371"/>
      <c r="W70" s="408"/>
      <c r="X70" s="413"/>
      <c r="Y70" s="371"/>
      <c r="Z70" s="396" t="str">
        <f t="shared" si="3"/>
        <v>Có</v>
      </c>
      <c r="AA70" s="315"/>
    </row>
    <row r="71" ht="15.75" customHeight="1">
      <c r="A71" s="369">
        <f t="shared" si="1"/>
        <v>5</v>
      </c>
      <c r="B71" s="370" t="s">
        <v>263</v>
      </c>
      <c r="C71" s="370" t="s">
        <v>23</v>
      </c>
      <c r="D71" s="371"/>
      <c r="E71" s="372">
        <v>2026.0</v>
      </c>
      <c r="F71" s="373" t="s">
        <v>264</v>
      </c>
      <c r="G71" s="370" t="s">
        <v>238</v>
      </c>
      <c r="H71" s="371"/>
      <c r="I71" s="370" t="s">
        <v>119</v>
      </c>
      <c r="J71" s="375" t="s">
        <v>242</v>
      </c>
      <c r="K71" s="370" t="s">
        <v>262</v>
      </c>
      <c r="L71" s="370" t="s">
        <v>259</v>
      </c>
      <c r="M71" s="401" t="s">
        <v>254</v>
      </c>
      <c r="N71" s="384">
        <f t="shared" si="2"/>
        <v>0</v>
      </c>
      <c r="O71" s="370" t="s">
        <v>248</v>
      </c>
      <c r="P71" s="412"/>
      <c r="Q71" s="403">
        <v>46274.0</v>
      </c>
      <c r="R71" s="404">
        <v>46223.0</v>
      </c>
      <c r="S71" s="405"/>
      <c r="T71" s="406">
        <v>120.0</v>
      </c>
      <c r="U71" s="408">
        <f>IF(B71="","",IF(Z71="Có",'Lớp 3 - Công việc chính'!AE18,T71))</f>
        <v>120</v>
      </c>
      <c r="V71" s="371"/>
      <c r="W71" s="408"/>
      <c r="X71" s="413"/>
      <c r="Y71" s="371"/>
      <c r="Z71" s="396" t="str">
        <f t="shared" si="3"/>
        <v>Có</v>
      </c>
      <c r="AA71" s="315"/>
    </row>
    <row r="72" ht="15.75" customHeight="1">
      <c r="A72" s="369">
        <f t="shared" si="1"/>
        <v>6</v>
      </c>
      <c r="B72" s="370" t="s">
        <v>265</v>
      </c>
      <c r="C72" s="370" t="s">
        <v>23</v>
      </c>
      <c r="D72" s="371"/>
      <c r="E72" s="372">
        <v>2026.0</v>
      </c>
      <c r="F72" s="373" t="s">
        <v>266</v>
      </c>
      <c r="G72" s="370" t="s">
        <v>267</v>
      </c>
      <c r="H72" s="371"/>
      <c r="I72" s="370" t="s">
        <v>119</v>
      </c>
      <c r="J72" s="375" t="s">
        <v>242</v>
      </c>
      <c r="K72" s="370" t="s">
        <v>262</v>
      </c>
      <c r="L72" s="370" t="s">
        <v>259</v>
      </c>
      <c r="M72" s="401" t="s">
        <v>254</v>
      </c>
      <c r="N72" s="384">
        <f t="shared" si="2"/>
        <v>0</v>
      </c>
      <c r="O72" s="402" t="s">
        <v>248</v>
      </c>
      <c r="P72" s="412"/>
      <c r="Q72" s="403">
        <v>46368.0</v>
      </c>
      <c r="R72" s="404">
        <v>46223.0</v>
      </c>
      <c r="S72" s="405"/>
      <c r="T72" s="406">
        <v>160.0</v>
      </c>
      <c r="U72" s="408">
        <f>IF(B72="","",IF(Z72="Có",'Lớp 3 - Công việc chính'!AE20,T72))</f>
        <v>160</v>
      </c>
      <c r="V72" s="412"/>
      <c r="W72" s="423"/>
      <c r="X72" s="409"/>
      <c r="Y72" s="371"/>
      <c r="Z72" s="396" t="str">
        <f t="shared" si="3"/>
        <v>Không</v>
      </c>
      <c r="AA72" s="315"/>
    </row>
    <row r="73" ht="15.75" customHeight="1">
      <c r="A73" s="369">
        <f t="shared" si="1"/>
        <v>7</v>
      </c>
      <c r="B73" s="370" t="s">
        <v>268</v>
      </c>
      <c r="C73" s="370" t="s">
        <v>23</v>
      </c>
      <c r="D73" s="371"/>
      <c r="E73" s="372">
        <v>2026.0</v>
      </c>
      <c r="F73" s="373" t="s">
        <v>269</v>
      </c>
      <c r="G73" s="370" t="s">
        <v>270</v>
      </c>
      <c r="H73" s="371"/>
      <c r="I73" s="370" t="s">
        <v>119</v>
      </c>
      <c r="J73" s="375" t="s">
        <v>242</v>
      </c>
      <c r="K73" s="370" t="s">
        <v>262</v>
      </c>
      <c r="L73" s="370" t="s">
        <v>259</v>
      </c>
      <c r="M73" s="401" t="s">
        <v>244</v>
      </c>
      <c r="N73" s="384">
        <f t="shared" si="2"/>
        <v>0</v>
      </c>
      <c r="O73" s="402" t="s">
        <v>248</v>
      </c>
      <c r="P73" s="412"/>
      <c r="Q73" s="403">
        <v>46387.0</v>
      </c>
      <c r="R73" s="404">
        <v>46223.0</v>
      </c>
      <c r="S73" s="405"/>
      <c r="T73" s="406">
        <v>160.0</v>
      </c>
      <c r="U73" s="408">
        <f>IF(B73="","",IF(Z73="Có",'Lớp 3 - Công việc chính'!AE21,T73))</f>
        <v>160</v>
      </c>
      <c r="V73" s="412"/>
      <c r="W73" s="423"/>
      <c r="X73" s="409"/>
      <c r="Y73" s="371"/>
      <c r="Z73" s="396" t="str">
        <f t="shared" si="3"/>
        <v>Không</v>
      </c>
      <c r="AA73" s="315"/>
    </row>
    <row r="74" ht="15.75" customHeight="1">
      <c r="A74" s="369">
        <f t="shared" si="1"/>
        <v>8</v>
      </c>
      <c r="B74" s="370" t="s">
        <v>271</v>
      </c>
      <c r="C74" s="370" t="s">
        <v>23</v>
      </c>
      <c r="D74" s="371"/>
      <c r="E74" s="372">
        <v>2026.0</v>
      </c>
      <c r="F74" s="373" t="s">
        <v>272</v>
      </c>
      <c r="G74" s="370" t="s">
        <v>273</v>
      </c>
      <c r="H74" s="371"/>
      <c r="I74" s="370" t="s">
        <v>119</v>
      </c>
      <c r="J74" s="375" t="s">
        <v>242</v>
      </c>
      <c r="K74" s="370" t="s">
        <v>262</v>
      </c>
      <c r="L74" s="370" t="s">
        <v>259</v>
      </c>
      <c r="M74" s="401" t="s">
        <v>254</v>
      </c>
      <c r="N74" s="384">
        <f t="shared" si="2"/>
        <v>0</v>
      </c>
      <c r="O74" s="402" t="s">
        <v>248</v>
      </c>
      <c r="P74" s="412"/>
      <c r="Q74" s="403">
        <v>46449.0</v>
      </c>
      <c r="R74" s="404">
        <v>46223.0</v>
      </c>
      <c r="S74" s="405"/>
      <c r="T74" s="406">
        <v>120.0</v>
      </c>
      <c r="U74" s="408">
        <f>IF(B74="","",IF(Z74="Có",'Lớp 3 - Công việc chính'!AE22,T74))</f>
        <v>120</v>
      </c>
      <c r="V74" s="412"/>
      <c r="W74" s="423"/>
      <c r="X74" s="409"/>
      <c r="Y74" s="371"/>
      <c r="Z74" s="396" t="str">
        <f t="shared" si="3"/>
        <v>Không</v>
      </c>
      <c r="AA74" s="315"/>
    </row>
    <row r="75" ht="15.75" customHeight="1">
      <c r="A75" s="369">
        <f t="shared" si="1"/>
        <v>9</v>
      </c>
      <c r="B75" s="370" t="s">
        <v>274</v>
      </c>
      <c r="C75" s="370" t="s">
        <v>23</v>
      </c>
      <c r="D75" s="371"/>
      <c r="E75" s="372">
        <v>2026.0</v>
      </c>
      <c r="F75" s="373" t="s">
        <v>275</v>
      </c>
      <c r="G75" s="370" t="s">
        <v>276</v>
      </c>
      <c r="H75" s="371"/>
      <c r="I75" s="370" t="s">
        <v>119</v>
      </c>
      <c r="J75" s="375" t="s">
        <v>242</v>
      </c>
      <c r="K75" s="370" t="s">
        <v>262</v>
      </c>
      <c r="L75" s="370" t="s">
        <v>259</v>
      </c>
      <c r="M75" s="401" t="s">
        <v>254</v>
      </c>
      <c r="N75" s="384">
        <f t="shared" si="2"/>
        <v>0</v>
      </c>
      <c r="O75" s="402" t="s">
        <v>248</v>
      </c>
      <c r="P75" s="412"/>
      <c r="Q75" s="403">
        <v>46449.0</v>
      </c>
      <c r="R75" s="404">
        <v>46223.0</v>
      </c>
      <c r="S75" s="405"/>
      <c r="T75" s="406">
        <v>160.0</v>
      </c>
      <c r="U75" s="408">
        <f>IF(B75="","",IF(Z75="Có",'Lớp 3 - Công việc chính'!AE23,T75))</f>
        <v>160</v>
      </c>
      <c r="V75" s="412"/>
      <c r="W75" s="423"/>
      <c r="X75" s="409"/>
      <c r="Y75" s="371"/>
      <c r="Z75" s="396" t="str">
        <f t="shared" si="3"/>
        <v>Không</v>
      </c>
      <c r="AA75" s="315"/>
    </row>
    <row r="76" ht="15.75" customHeight="1">
      <c r="A76" s="369">
        <f t="shared" si="1"/>
        <v>10</v>
      </c>
      <c r="B76" s="370" t="s">
        <v>277</v>
      </c>
      <c r="C76" s="370" t="s">
        <v>23</v>
      </c>
      <c r="D76" s="371"/>
      <c r="E76" s="372">
        <v>2026.0</v>
      </c>
      <c r="F76" s="373" t="s">
        <v>278</v>
      </c>
      <c r="G76" s="370" t="s">
        <v>279</v>
      </c>
      <c r="H76" s="371"/>
      <c r="I76" s="370" t="s">
        <v>119</v>
      </c>
      <c r="J76" s="375" t="s">
        <v>242</v>
      </c>
      <c r="K76" s="370" t="s">
        <v>262</v>
      </c>
      <c r="L76" s="370" t="s">
        <v>259</v>
      </c>
      <c r="M76" s="401" t="s">
        <v>254</v>
      </c>
      <c r="N76" s="384">
        <f t="shared" si="2"/>
        <v>0</v>
      </c>
      <c r="O76" s="402" t="s">
        <v>248</v>
      </c>
      <c r="P76" s="412"/>
      <c r="Q76" s="403">
        <v>46387.0</v>
      </c>
      <c r="R76" s="404">
        <v>46223.0</v>
      </c>
      <c r="S76" s="405"/>
      <c r="T76" s="406">
        <v>240.0</v>
      </c>
      <c r="U76" s="408">
        <f>IF(B76="","",IF(Z76="Có",'Lớp 3 - Công việc chính'!AE24,T76))</f>
        <v>240</v>
      </c>
      <c r="V76" s="412"/>
      <c r="W76" s="423"/>
      <c r="X76" s="409"/>
      <c r="Y76" s="371"/>
      <c r="Z76" s="396" t="str">
        <f t="shared" si="3"/>
        <v>Không</v>
      </c>
      <c r="AA76" s="315"/>
    </row>
    <row r="77" ht="15.75" customHeight="1">
      <c r="A77" s="369">
        <f t="shared" si="1"/>
        <v>11</v>
      </c>
      <c r="B77" s="370" t="s">
        <v>280</v>
      </c>
      <c r="C77" s="370" t="s">
        <v>23</v>
      </c>
      <c r="D77" s="371"/>
      <c r="E77" s="372">
        <v>2026.0</v>
      </c>
      <c r="F77" s="373" t="s">
        <v>281</v>
      </c>
      <c r="G77" s="370" t="s">
        <v>282</v>
      </c>
      <c r="H77" s="371"/>
      <c r="I77" s="370" t="s">
        <v>119</v>
      </c>
      <c r="J77" s="375" t="s">
        <v>242</v>
      </c>
      <c r="K77" s="370" t="s">
        <v>262</v>
      </c>
      <c r="L77" s="370" t="s">
        <v>259</v>
      </c>
      <c r="M77" s="401" t="s">
        <v>254</v>
      </c>
      <c r="N77" s="384">
        <f t="shared" si="2"/>
        <v>0</v>
      </c>
      <c r="O77" s="370" t="s">
        <v>248</v>
      </c>
      <c r="P77" s="412"/>
      <c r="Q77" s="403">
        <v>46280.0</v>
      </c>
      <c r="R77" s="404">
        <v>46223.0</v>
      </c>
      <c r="S77" s="405"/>
      <c r="T77" s="406">
        <v>160.0</v>
      </c>
      <c r="U77" s="408">
        <f>IF(B77="","",IF(Z77="Có",'Lớp 3 - Công việc chính'!AE25,T77))</f>
        <v>160</v>
      </c>
      <c r="V77" s="371"/>
      <c r="W77" s="408"/>
      <c r="X77" s="413"/>
      <c r="Y77" s="371"/>
      <c r="Z77" s="396" t="str">
        <f t="shared" si="3"/>
        <v>Có</v>
      </c>
      <c r="AA77" s="315"/>
    </row>
    <row r="78" ht="15.75" customHeight="1">
      <c r="A78" s="369">
        <f t="shared" si="1"/>
        <v>12</v>
      </c>
      <c r="B78" s="370" t="s">
        <v>283</v>
      </c>
      <c r="C78" s="370" t="s">
        <v>23</v>
      </c>
      <c r="D78" s="371"/>
      <c r="E78" s="372">
        <v>2026.0</v>
      </c>
      <c r="F78" s="373" t="s">
        <v>284</v>
      </c>
      <c r="G78" s="370" t="s">
        <v>285</v>
      </c>
      <c r="H78" s="371"/>
      <c r="I78" s="370" t="s">
        <v>119</v>
      </c>
      <c r="J78" s="375" t="s">
        <v>242</v>
      </c>
      <c r="K78" s="370" t="s">
        <v>262</v>
      </c>
      <c r="L78" s="370" t="s">
        <v>259</v>
      </c>
      <c r="M78" s="401" t="s">
        <v>286</v>
      </c>
      <c r="N78" s="384">
        <f t="shared" si="2"/>
        <v>0</v>
      </c>
      <c r="O78" s="402" t="s">
        <v>248</v>
      </c>
      <c r="P78" s="412"/>
      <c r="Q78" s="403">
        <v>46387.0</v>
      </c>
      <c r="R78" s="404">
        <v>46223.0</v>
      </c>
      <c r="S78" s="405"/>
      <c r="T78" s="406">
        <v>96.0</v>
      </c>
      <c r="U78" s="408">
        <f>IF(B78="","",IF(Z78="Có",'Lớp 3 - Công việc chính'!AE26,T78))</f>
        <v>96</v>
      </c>
      <c r="V78" s="412"/>
      <c r="W78" s="423"/>
      <c r="X78" s="409"/>
      <c r="Y78" s="371"/>
      <c r="Z78" s="396" t="str">
        <f t="shared" si="3"/>
        <v>Không</v>
      </c>
      <c r="AA78" s="315"/>
    </row>
    <row r="79" ht="15.75" customHeight="1">
      <c r="A79" s="369">
        <f t="shared" si="1"/>
        <v>13</v>
      </c>
      <c r="B79" s="370" t="s">
        <v>287</v>
      </c>
      <c r="C79" s="370" t="s">
        <v>23</v>
      </c>
      <c r="D79" s="371"/>
      <c r="E79" s="372">
        <v>2026.0</v>
      </c>
      <c r="F79" s="373" t="s">
        <v>288</v>
      </c>
      <c r="G79" s="370" t="s">
        <v>289</v>
      </c>
      <c r="H79" s="371"/>
      <c r="I79" s="370" t="s">
        <v>119</v>
      </c>
      <c r="J79" s="375" t="s">
        <v>242</v>
      </c>
      <c r="K79" s="370" t="s">
        <v>262</v>
      </c>
      <c r="L79" s="370" t="s">
        <v>259</v>
      </c>
      <c r="M79" s="401" t="s">
        <v>254</v>
      </c>
      <c r="N79" s="384">
        <f t="shared" si="2"/>
        <v>0</v>
      </c>
      <c r="O79" s="402" t="s">
        <v>248</v>
      </c>
      <c r="P79" s="412"/>
      <c r="Q79" s="403">
        <v>46252.0</v>
      </c>
      <c r="R79" s="404">
        <v>46235.0</v>
      </c>
      <c r="S79" s="405"/>
      <c r="T79" s="406">
        <v>80.0</v>
      </c>
      <c r="U79" s="408">
        <f>IF(B79="","",IF(Z79="Có",'Lớp 3 - Công việc chính'!AE27,T79))</f>
        <v>80</v>
      </c>
      <c r="V79" s="412"/>
      <c r="W79" s="423"/>
      <c r="X79" s="409"/>
      <c r="Y79" s="371"/>
      <c r="Z79" s="396" t="str">
        <f t="shared" si="3"/>
        <v>Không</v>
      </c>
      <c r="AA79" s="315"/>
    </row>
    <row r="80" ht="15.75" customHeight="1">
      <c r="A80" s="369">
        <f t="shared" si="1"/>
        <v>14</v>
      </c>
      <c r="B80" s="370" t="s">
        <v>290</v>
      </c>
      <c r="C80" s="370" t="s">
        <v>23</v>
      </c>
      <c r="D80" s="371"/>
      <c r="E80" s="372">
        <v>2026.0</v>
      </c>
      <c r="F80" s="373" t="s">
        <v>291</v>
      </c>
      <c r="G80" s="370" t="s">
        <v>292</v>
      </c>
      <c r="H80" s="371"/>
      <c r="I80" s="370" t="s">
        <v>119</v>
      </c>
      <c r="J80" s="375" t="s">
        <v>242</v>
      </c>
      <c r="K80" s="370" t="s">
        <v>262</v>
      </c>
      <c r="L80" s="370" t="s">
        <v>259</v>
      </c>
      <c r="M80" s="401" t="s">
        <v>254</v>
      </c>
      <c r="N80" s="384">
        <f t="shared" si="2"/>
        <v>0</v>
      </c>
      <c r="O80" s="370" t="s">
        <v>248</v>
      </c>
      <c r="P80" s="412"/>
      <c r="Q80" s="403">
        <v>46387.0</v>
      </c>
      <c r="R80" s="404">
        <v>46223.0</v>
      </c>
      <c r="S80" s="405"/>
      <c r="T80" s="406">
        <v>280.0</v>
      </c>
      <c r="U80" s="408">
        <f>IF(B80="","",IF(Z80="Có",'Lớp 3 - Công việc chính'!AE28,T80))</f>
        <v>280</v>
      </c>
      <c r="V80" s="371"/>
      <c r="W80" s="408"/>
      <c r="X80" s="413"/>
      <c r="Y80" s="371"/>
      <c r="Z80" s="396" t="str">
        <f t="shared" si="3"/>
        <v>Có</v>
      </c>
      <c r="AA80" s="315"/>
    </row>
    <row r="81" ht="15.75" customHeight="1">
      <c r="A81" s="369">
        <f t="shared" si="1"/>
        <v>15</v>
      </c>
      <c r="B81" s="370" t="s">
        <v>293</v>
      </c>
      <c r="C81" s="370" t="s">
        <v>23</v>
      </c>
      <c r="D81" s="371"/>
      <c r="E81" s="372">
        <v>2026.0</v>
      </c>
      <c r="F81" s="373" t="s">
        <v>294</v>
      </c>
      <c r="G81" s="370" t="s">
        <v>295</v>
      </c>
      <c r="H81" s="371"/>
      <c r="I81" s="370" t="s">
        <v>122</v>
      </c>
      <c r="J81" s="375" t="s">
        <v>242</v>
      </c>
      <c r="K81" s="370" t="s">
        <v>262</v>
      </c>
      <c r="L81" s="370" t="s">
        <v>296</v>
      </c>
      <c r="M81" s="401" t="s">
        <v>286</v>
      </c>
      <c r="N81" s="384">
        <f t="shared" si="2"/>
        <v>0</v>
      </c>
      <c r="O81" s="402" t="s">
        <v>297</v>
      </c>
      <c r="P81" s="412"/>
      <c r="Q81" s="403"/>
      <c r="R81" s="404"/>
      <c r="S81" s="405"/>
      <c r="T81" s="406">
        <v>240.0</v>
      </c>
      <c r="U81" s="408">
        <f>IF(B81="","",IF(Z81="Có",'Lớp 3 - Công việc chính'!AE30,T81))</f>
        <v>240</v>
      </c>
      <c r="V81" s="412"/>
      <c r="W81" s="423"/>
      <c r="X81" s="409"/>
      <c r="Y81" s="371"/>
      <c r="Z81" s="396" t="str">
        <f t="shared" si="3"/>
        <v>Không</v>
      </c>
      <c r="AA81" s="315"/>
    </row>
    <row r="82" ht="15.75" customHeight="1">
      <c r="A82" s="369">
        <f t="shared" si="1"/>
        <v>16</v>
      </c>
      <c r="B82" s="370" t="s">
        <v>298</v>
      </c>
      <c r="C82" s="370" t="s">
        <v>23</v>
      </c>
      <c r="D82" s="371"/>
      <c r="E82" s="372">
        <v>2026.0</v>
      </c>
      <c r="F82" s="373" t="s">
        <v>299</v>
      </c>
      <c r="G82" s="370" t="s">
        <v>300</v>
      </c>
      <c r="H82" s="371"/>
      <c r="I82" s="370" t="s">
        <v>122</v>
      </c>
      <c r="J82" s="375" t="s">
        <v>242</v>
      </c>
      <c r="K82" s="370" t="s">
        <v>262</v>
      </c>
      <c r="L82" s="370" t="s">
        <v>296</v>
      </c>
      <c r="M82" s="401" t="s">
        <v>286</v>
      </c>
      <c r="N82" s="384">
        <f t="shared" si="2"/>
        <v>0</v>
      </c>
      <c r="O82" s="370" t="s">
        <v>297</v>
      </c>
      <c r="P82" s="412"/>
      <c r="Q82" s="403"/>
      <c r="R82" s="404"/>
      <c r="S82" s="405"/>
      <c r="T82" s="406">
        <v>160.0</v>
      </c>
      <c r="U82" s="408">
        <f>IF(B82="","",IF(Z82="Có",'Lớp 3 - Công việc chính'!AE31,T82))</f>
        <v>160</v>
      </c>
      <c r="V82" s="371"/>
      <c r="W82" s="408"/>
      <c r="X82" s="413"/>
      <c r="Y82" s="371"/>
      <c r="Z82" s="396" t="str">
        <f t="shared" si="3"/>
        <v>Có</v>
      </c>
      <c r="AA82" s="315"/>
    </row>
    <row r="83" ht="15.75" customHeight="1">
      <c r="A83" s="369">
        <f t="shared" si="1"/>
        <v>17</v>
      </c>
      <c r="B83" s="370" t="s">
        <v>301</v>
      </c>
      <c r="C83" s="370" t="s">
        <v>23</v>
      </c>
      <c r="D83" s="371"/>
      <c r="E83" s="372">
        <v>2026.0</v>
      </c>
      <c r="F83" s="373" t="s">
        <v>302</v>
      </c>
      <c r="G83" s="370" t="s">
        <v>303</v>
      </c>
      <c r="H83" s="371"/>
      <c r="I83" s="370" t="s">
        <v>122</v>
      </c>
      <c r="J83" s="375" t="s">
        <v>242</v>
      </c>
      <c r="K83" s="370" t="s">
        <v>262</v>
      </c>
      <c r="L83" s="370" t="s">
        <v>296</v>
      </c>
      <c r="M83" s="401" t="s">
        <v>244</v>
      </c>
      <c r="N83" s="384">
        <f t="shared" si="2"/>
        <v>0</v>
      </c>
      <c r="O83" s="402" t="s">
        <v>248</v>
      </c>
      <c r="P83" s="412"/>
      <c r="Q83" s="403">
        <v>46265.0</v>
      </c>
      <c r="R83" s="404">
        <v>46244.0</v>
      </c>
      <c r="S83" s="405"/>
      <c r="T83" s="406">
        <v>200.0</v>
      </c>
      <c r="U83" s="408">
        <f>IF(B83="","",IF(Z83="Có",'Lớp 3 - Công việc chính'!AE33,T83))</f>
        <v>200</v>
      </c>
      <c r="V83" s="371"/>
      <c r="W83" s="423"/>
      <c r="X83" s="409"/>
      <c r="Y83" s="371"/>
      <c r="Z83" s="396" t="str">
        <f t="shared" si="3"/>
        <v>Không</v>
      </c>
      <c r="AA83" s="315"/>
    </row>
    <row r="84" ht="15.75" customHeight="1">
      <c r="A84" s="369">
        <f t="shared" si="1"/>
        <v>18</v>
      </c>
      <c r="B84" s="370" t="s">
        <v>304</v>
      </c>
      <c r="C84" s="370" t="s">
        <v>23</v>
      </c>
      <c r="D84" s="371"/>
      <c r="E84" s="372">
        <v>2026.0</v>
      </c>
      <c r="F84" s="373" t="s">
        <v>305</v>
      </c>
      <c r="G84" s="370" t="s">
        <v>306</v>
      </c>
      <c r="H84" s="371"/>
      <c r="I84" s="370" t="s">
        <v>122</v>
      </c>
      <c r="J84" s="375" t="s">
        <v>242</v>
      </c>
      <c r="K84" s="370" t="s">
        <v>262</v>
      </c>
      <c r="L84" s="370" t="s">
        <v>296</v>
      </c>
      <c r="M84" s="401" t="s">
        <v>254</v>
      </c>
      <c r="N84" s="384">
        <f t="shared" si="2"/>
        <v>0</v>
      </c>
      <c r="O84" s="370" t="s">
        <v>248</v>
      </c>
      <c r="P84" s="412"/>
      <c r="Q84" s="403">
        <v>46265.0</v>
      </c>
      <c r="R84" s="404">
        <v>46235.0</v>
      </c>
      <c r="S84" s="405"/>
      <c r="T84" s="406">
        <v>240.0</v>
      </c>
      <c r="U84" s="408">
        <f>IF(B84="","",IF(Z84="Có",'Lớp 3 - Công việc chính'!AE34,T84))</f>
        <v>240</v>
      </c>
      <c r="V84" s="412"/>
      <c r="W84" s="408"/>
      <c r="X84" s="413"/>
      <c r="Y84" s="371"/>
      <c r="Z84" s="396" t="str">
        <f t="shared" si="3"/>
        <v>Có</v>
      </c>
      <c r="AA84" s="315"/>
    </row>
    <row r="85" ht="15.75" customHeight="1">
      <c r="A85" s="369">
        <f t="shared" si="1"/>
        <v>19</v>
      </c>
      <c r="B85" s="370" t="s">
        <v>307</v>
      </c>
      <c r="C85" s="370" t="s">
        <v>23</v>
      </c>
      <c r="D85" s="371"/>
      <c r="E85" s="372">
        <v>2026.0</v>
      </c>
      <c r="F85" s="373" t="s">
        <v>308</v>
      </c>
      <c r="G85" s="370" t="s">
        <v>309</v>
      </c>
      <c r="H85" s="371"/>
      <c r="I85" s="370" t="s">
        <v>122</v>
      </c>
      <c r="J85" s="375" t="s">
        <v>242</v>
      </c>
      <c r="K85" s="370" t="s">
        <v>258</v>
      </c>
      <c r="L85" s="370" t="s">
        <v>296</v>
      </c>
      <c r="M85" s="401" t="s">
        <v>286</v>
      </c>
      <c r="N85" s="384">
        <f t="shared" si="2"/>
        <v>0</v>
      </c>
      <c r="O85" s="402" t="s">
        <v>297</v>
      </c>
      <c r="P85" s="412"/>
      <c r="Q85" s="403"/>
      <c r="R85" s="404"/>
      <c r="S85" s="405"/>
      <c r="T85" s="406">
        <v>120.0</v>
      </c>
      <c r="U85" s="408">
        <f>IF(B85="","",IF(Z85="Có",'Lớp 3 - Công việc chính'!AE35,T85))</f>
        <v>120</v>
      </c>
      <c r="V85" s="371"/>
      <c r="W85" s="423"/>
      <c r="X85" s="409"/>
      <c r="Y85" s="371"/>
      <c r="Z85" s="396" t="str">
        <f t="shared" si="3"/>
        <v>Không</v>
      </c>
      <c r="AA85" s="315"/>
    </row>
    <row r="86" ht="15.75" customHeight="1">
      <c r="A86" s="369">
        <f t="shared" si="1"/>
        <v>20</v>
      </c>
      <c r="B86" s="370" t="s">
        <v>310</v>
      </c>
      <c r="C86" s="370" t="s">
        <v>23</v>
      </c>
      <c r="D86" s="371"/>
      <c r="E86" s="372">
        <v>2026.0</v>
      </c>
      <c r="F86" s="373" t="s">
        <v>311</v>
      </c>
      <c r="G86" s="370" t="s">
        <v>312</v>
      </c>
      <c r="H86" s="371"/>
      <c r="I86" s="370" t="s">
        <v>122</v>
      </c>
      <c r="J86" s="375" t="s">
        <v>242</v>
      </c>
      <c r="K86" s="370" t="s">
        <v>258</v>
      </c>
      <c r="L86" s="370" t="s">
        <v>296</v>
      </c>
      <c r="M86" s="401" t="s">
        <v>286</v>
      </c>
      <c r="N86" s="384">
        <f t="shared" si="2"/>
        <v>0</v>
      </c>
      <c r="O86" s="370" t="s">
        <v>248</v>
      </c>
      <c r="P86" s="412"/>
      <c r="Q86" s="403">
        <v>46264.0</v>
      </c>
      <c r="R86" s="404">
        <v>46223.0</v>
      </c>
      <c r="S86" s="405"/>
      <c r="T86" s="406">
        <v>120.0</v>
      </c>
      <c r="U86" s="408">
        <f>IF(B86="","",IF(Z86="Có",'Lớp 3 - Công việc chính'!AE36,T86))</f>
        <v>120</v>
      </c>
      <c r="V86" s="412"/>
      <c r="W86" s="408"/>
      <c r="X86" s="413"/>
      <c r="Y86" s="371"/>
      <c r="Z86" s="396"/>
      <c r="AA86" s="315"/>
    </row>
    <row r="87" ht="15.75" customHeight="1">
      <c r="A87" s="369">
        <f t="shared" si="1"/>
        <v>21</v>
      </c>
      <c r="B87" s="370" t="s">
        <v>313</v>
      </c>
      <c r="C87" s="370" t="s">
        <v>23</v>
      </c>
      <c r="D87" s="371"/>
      <c r="E87" s="372">
        <v>2026.0</v>
      </c>
      <c r="F87" s="373" t="s">
        <v>314</v>
      </c>
      <c r="G87" s="370" t="s">
        <v>315</v>
      </c>
      <c r="H87" s="371"/>
      <c r="I87" s="370" t="s">
        <v>122</v>
      </c>
      <c r="J87" s="375" t="s">
        <v>242</v>
      </c>
      <c r="K87" s="370" t="s">
        <v>258</v>
      </c>
      <c r="L87" s="370" t="s">
        <v>296</v>
      </c>
      <c r="M87" s="401" t="s">
        <v>244</v>
      </c>
      <c r="N87" s="384">
        <f t="shared" si="2"/>
        <v>0</v>
      </c>
      <c r="O87" s="370" t="s">
        <v>297</v>
      </c>
      <c r="P87" s="412"/>
      <c r="Q87" s="403"/>
      <c r="R87" s="404"/>
      <c r="S87" s="405"/>
      <c r="T87" s="406">
        <v>120.0</v>
      </c>
      <c r="U87" s="408">
        <f>IF(B87="","",IF(Z87="Có",'Lớp 3 - Công việc chính'!AE37,T87))</f>
        <v>360</v>
      </c>
      <c r="V87" s="371"/>
      <c r="W87" s="408"/>
      <c r="X87" s="413"/>
      <c r="Y87" s="371"/>
      <c r="Z87" s="396" t="str">
        <f t="shared" ref="Z87:Z90" si="4">IF(B87="","",IF(COUNTIF($D$67:$D$212,B87)&gt;0,"Có","Không"))</f>
        <v>Có</v>
      </c>
      <c r="AA87" s="315"/>
    </row>
    <row r="88" ht="15.75" customHeight="1">
      <c r="A88" s="369">
        <f t="shared" si="1"/>
        <v>22</v>
      </c>
      <c r="B88" s="370" t="s">
        <v>316</v>
      </c>
      <c r="C88" s="370" t="s">
        <v>23</v>
      </c>
      <c r="D88" s="371"/>
      <c r="E88" s="372">
        <v>2026.0</v>
      </c>
      <c r="F88" s="373" t="s">
        <v>317</v>
      </c>
      <c r="G88" s="412"/>
      <c r="H88" s="371"/>
      <c r="I88" s="370" t="s">
        <v>122</v>
      </c>
      <c r="J88" s="375" t="s">
        <v>242</v>
      </c>
      <c r="K88" s="370" t="s">
        <v>258</v>
      </c>
      <c r="L88" s="370" t="s">
        <v>243</v>
      </c>
      <c r="M88" s="401" t="s">
        <v>286</v>
      </c>
      <c r="N88" s="384" t="str">
        <f t="shared" si="2"/>
        <v/>
      </c>
      <c r="O88" s="402" t="s">
        <v>248</v>
      </c>
      <c r="P88" s="412"/>
      <c r="Q88" s="403">
        <v>46420.0</v>
      </c>
      <c r="R88" s="404">
        <v>46357.0</v>
      </c>
      <c r="S88" s="405"/>
      <c r="T88" s="423"/>
      <c r="U88" s="408" t="str">
        <f>IF(B88="","",IF(Z88="Có",'Lớp 3 - Công việc chính'!AE38,T88))</f>
        <v/>
      </c>
      <c r="V88" s="371"/>
      <c r="W88" s="423"/>
      <c r="X88" s="409"/>
      <c r="Y88" s="371"/>
      <c r="Z88" s="396" t="str">
        <f t="shared" si="4"/>
        <v>Không</v>
      </c>
      <c r="AA88" s="315"/>
    </row>
    <row r="89" ht="15.75" customHeight="1">
      <c r="A89" s="369">
        <f t="shared" si="1"/>
        <v>23</v>
      </c>
      <c r="B89" s="370" t="s">
        <v>318</v>
      </c>
      <c r="C89" s="370" t="s">
        <v>23</v>
      </c>
      <c r="D89" s="371"/>
      <c r="E89" s="372">
        <v>2026.0</v>
      </c>
      <c r="F89" s="373" t="s">
        <v>319</v>
      </c>
      <c r="G89" s="412"/>
      <c r="H89" s="371"/>
      <c r="I89" s="370" t="s">
        <v>122</v>
      </c>
      <c r="J89" s="375" t="s">
        <v>242</v>
      </c>
      <c r="K89" s="370" t="s">
        <v>258</v>
      </c>
      <c r="L89" s="370" t="s">
        <v>243</v>
      </c>
      <c r="M89" s="449"/>
      <c r="N89" s="384" t="str">
        <f t="shared" si="2"/>
        <v/>
      </c>
      <c r="O89" s="370" t="s">
        <v>248</v>
      </c>
      <c r="P89" s="412"/>
      <c r="Q89" s="403">
        <v>46388.0</v>
      </c>
      <c r="R89" s="404">
        <v>46357.0</v>
      </c>
      <c r="S89" s="405"/>
      <c r="T89" s="423"/>
      <c r="U89" s="408" t="str">
        <f>IF(B89="","",IF(Z89="Có",'Lớp 3 - Công việc chính'!AE39,T89))</f>
        <v/>
      </c>
      <c r="V89" s="412"/>
      <c r="W89" s="423"/>
      <c r="X89" s="409"/>
      <c r="Y89" s="371"/>
      <c r="Z89" s="396" t="str">
        <f t="shared" si="4"/>
        <v>Không</v>
      </c>
      <c r="AA89" s="315"/>
    </row>
    <row r="90" ht="15.75" customHeight="1">
      <c r="A90" s="369">
        <f t="shared" si="1"/>
        <v>24</v>
      </c>
      <c r="B90" s="370" t="s">
        <v>320</v>
      </c>
      <c r="C90" s="370" t="s">
        <v>23</v>
      </c>
      <c r="D90" s="371"/>
      <c r="E90" s="372">
        <v>2026.0</v>
      </c>
      <c r="F90" s="373" t="s">
        <v>321</v>
      </c>
      <c r="G90" s="412"/>
      <c r="H90" s="371"/>
      <c r="I90" s="370" t="s">
        <v>122</v>
      </c>
      <c r="J90" s="370" t="s">
        <v>242</v>
      </c>
      <c r="K90" s="370" t="s">
        <v>258</v>
      </c>
      <c r="L90" s="370" t="s">
        <v>322</v>
      </c>
      <c r="M90" s="451"/>
      <c r="N90" s="384" t="str">
        <f t="shared" si="2"/>
        <v/>
      </c>
      <c r="O90" s="370" t="s">
        <v>248</v>
      </c>
      <c r="P90" s="412"/>
      <c r="Q90" s="403"/>
      <c r="R90" s="404"/>
      <c r="S90" s="405"/>
      <c r="T90" s="423"/>
      <c r="U90" s="408" t="str">
        <f>IF(B90="","",IF(Z90="Có",'Lớp 3 - Công việc chính'!AE40,T90))</f>
        <v/>
      </c>
      <c r="V90" s="412"/>
      <c r="W90" s="408"/>
      <c r="X90" s="413"/>
      <c r="Y90" s="371"/>
      <c r="Z90" s="396" t="str">
        <f t="shared" si="4"/>
        <v>Có</v>
      </c>
      <c r="AA90" s="315"/>
    </row>
    <row r="91" ht="15.75" customHeight="1">
      <c r="A91" s="369">
        <v>25.0</v>
      </c>
      <c r="B91" s="370" t="s">
        <v>323</v>
      </c>
      <c r="C91" s="370" t="s">
        <v>23</v>
      </c>
      <c r="D91" s="371"/>
      <c r="E91" s="372">
        <v>2026.0</v>
      </c>
      <c r="F91" s="373" t="s">
        <v>324</v>
      </c>
      <c r="G91" s="412"/>
      <c r="H91" s="371"/>
      <c r="I91" s="370" t="s">
        <v>122</v>
      </c>
      <c r="J91" s="370" t="s">
        <v>242</v>
      </c>
      <c r="K91" s="412"/>
      <c r="L91" s="371"/>
      <c r="M91" s="401" t="s">
        <v>244</v>
      </c>
      <c r="N91" s="384">
        <f t="shared" si="2"/>
        <v>0</v>
      </c>
      <c r="O91" s="402" t="s">
        <v>248</v>
      </c>
      <c r="P91" s="412"/>
      <c r="Q91" s="403">
        <v>46231.0</v>
      </c>
      <c r="R91" s="404">
        <v>46244.0</v>
      </c>
      <c r="S91" s="405"/>
      <c r="T91" s="423"/>
      <c r="U91" s="408" t="str">
        <f>IF(B91="","",IF(Z91="Có",'Lớp 3 - Công việc chính'!AE72,T91))</f>
        <v/>
      </c>
      <c r="V91" s="371"/>
      <c r="W91" s="423"/>
      <c r="X91" s="409"/>
      <c r="Y91" s="371"/>
      <c r="Z91" s="375" t="s">
        <v>325</v>
      </c>
      <c r="AA91" s="315"/>
    </row>
    <row r="92" ht="15.75" customHeight="1">
      <c r="A92" s="369">
        <v>26.0</v>
      </c>
      <c r="B92" s="370" t="s">
        <v>326</v>
      </c>
      <c r="C92" s="370" t="s">
        <v>23</v>
      </c>
      <c r="D92" s="371"/>
      <c r="E92" s="372">
        <v>2026.0</v>
      </c>
      <c r="F92" s="373" t="s">
        <v>327</v>
      </c>
      <c r="G92" s="412"/>
      <c r="H92" s="371"/>
      <c r="I92" s="370" t="s">
        <v>122</v>
      </c>
      <c r="J92" s="370" t="s">
        <v>242</v>
      </c>
      <c r="K92" s="412"/>
      <c r="L92" s="371"/>
      <c r="M92" s="401" t="s">
        <v>244</v>
      </c>
      <c r="N92" s="453"/>
      <c r="O92" s="402" t="s">
        <v>248</v>
      </c>
      <c r="P92" s="412"/>
      <c r="Q92" s="403">
        <v>46253.0</v>
      </c>
      <c r="R92" s="404">
        <v>46244.0</v>
      </c>
      <c r="S92" s="405"/>
      <c r="T92" s="396"/>
      <c r="U92" s="423"/>
      <c r="V92" s="371"/>
      <c r="W92" s="423"/>
      <c r="X92" s="409"/>
      <c r="Y92" s="371"/>
      <c r="Z92" s="375" t="s">
        <v>325</v>
      </c>
      <c r="AA92" s="315"/>
    </row>
    <row r="93" ht="15.75" customHeight="1">
      <c r="A93" s="369">
        <v>27.0</v>
      </c>
      <c r="B93" s="370" t="s">
        <v>328</v>
      </c>
      <c r="C93" s="370" t="s">
        <v>23</v>
      </c>
      <c r="D93" s="371"/>
      <c r="E93" s="372">
        <v>2026.0</v>
      </c>
      <c r="F93" s="373" t="s">
        <v>329</v>
      </c>
      <c r="G93" s="412"/>
      <c r="H93" s="371"/>
      <c r="I93" s="370" t="s">
        <v>122</v>
      </c>
      <c r="J93" s="370" t="s">
        <v>242</v>
      </c>
      <c r="K93" s="412"/>
      <c r="L93" s="371"/>
      <c r="M93" s="401" t="s">
        <v>254</v>
      </c>
      <c r="N93" s="453"/>
      <c r="O93" s="402" t="s">
        <v>248</v>
      </c>
      <c r="P93" s="412"/>
      <c r="Q93" s="403">
        <v>46387.0</v>
      </c>
      <c r="R93" s="404">
        <v>46244.0</v>
      </c>
      <c r="S93" s="405"/>
      <c r="T93" s="408"/>
      <c r="U93" s="423"/>
      <c r="V93" s="371"/>
      <c r="W93" s="423"/>
      <c r="X93" s="409"/>
      <c r="Y93" s="371"/>
      <c r="Z93" s="375" t="s">
        <v>325</v>
      </c>
      <c r="AA93" s="315"/>
    </row>
    <row r="94" ht="15.75" customHeight="1">
      <c r="A94" s="369">
        <v>28.0</v>
      </c>
      <c r="B94" s="370" t="s">
        <v>330</v>
      </c>
      <c r="C94" s="370" t="s">
        <v>23</v>
      </c>
      <c r="D94" s="371"/>
      <c r="E94" s="372">
        <v>2026.0</v>
      </c>
      <c r="F94" s="373" t="s">
        <v>331</v>
      </c>
      <c r="G94" s="412"/>
      <c r="H94" s="371"/>
      <c r="I94" s="370" t="s">
        <v>122</v>
      </c>
      <c r="J94" s="370" t="s">
        <v>242</v>
      </c>
      <c r="K94" s="412"/>
      <c r="L94" s="371"/>
      <c r="M94" s="401" t="s">
        <v>254</v>
      </c>
      <c r="N94" s="453"/>
      <c r="O94" s="412"/>
      <c r="P94" s="412"/>
      <c r="Q94" s="454"/>
      <c r="R94" s="455"/>
      <c r="S94" s="405"/>
      <c r="T94" s="408"/>
      <c r="U94" s="423"/>
      <c r="V94" s="371"/>
      <c r="W94" s="423"/>
      <c r="X94" s="409"/>
      <c r="Y94" s="371"/>
      <c r="Z94" s="375" t="s">
        <v>325</v>
      </c>
      <c r="AA94" s="315"/>
    </row>
    <row r="95" ht="15.75" customHeight="1">
      <c r="A95" s="369">
        <v>29.0</v>
      </c>
      <c r="B95" s="370" t="s">
        <v>332</v>
      </c>
      <c r="C95" s="370" t="s">
        <v>23</v>
      </c>
      <c r="D95" s="371"/>
      <c r="E95" s="372">
        <v>2026.0</v>
      </c>
      <c r="F95" s="373" t="s">
        <v>333</v>
      </c>
      <c r="G95" s="412"/>
      <c r="H95" s="371"/>
      <c r="I95" s="370" t="s">
        <v>122</v>
      </c>
      <c r="J95" s="370" t="s">
        <v>242</v>
      </c>
      <c r="K95" s="412"/>
      <c r="L95" s="371"/>
      <c r="M95" s="401" t="s">
        <v>244</v>
      </c>
      <c r="N95" s="453"/>
      <c r="O95" s="412"/>
      <c r="P95" s="412"/>
      <c r="Q95" s="454"/>
      <c r="R95" s="455"/>
      <c r="S95" s="405"/>
      <c r="T95" s="408"/>
      <c r="U95" s="423"/>
      <c r="V95" s="371"/>
      <c r="W95" s="423"/>
      <c r="X95" s="409"/>
      <c r="Y95" s="371"/>
      <c r="Z95" s="375" t="s">
        <v>334</v>
      </c>
      <c r="AA95" s="315"/>
    </row>
    <row r="96" ht="15.75" customHeight="1">
      <c r="A96" s="369">
        <v>30.0</v>
      </c>
      <c r="B96" s="370" t="s">
        <v>335</v>
      </c>
      <c r="C96" s="370" t="s">
        <v>23</v>
      </c>
      <c r="D96" s="371"/>
      <c r="E96" s="372">
        <v>2026.0</v>
      </c>
      <c r="F96" s="373" t="s">
        <v>336</v>
      </c>
      <c r="G96" s="412"/>
      <c r="H96" s="371"/>
      <c r="I96" s="370" t="s">
        <v>120</v>
      </c>
      <c r="J96" s="370" t="s">
        <v>242</v>
      </c>
      <c r="K96" s="412"/>
      <c r="L96" s="371"/>
      <c r="M96" s="401" t="s">
        <v>254</v>
      </c>
      <c r="N96" s="453"/>
      <c r="O96" s="412"/>
      <c r="P96" s="412"/>
      <c r="Q96" s="454"/>
      <c r="R96" s="455"/>
      <c r="S96" s="405"/>
      <c r="T96" s="408"/>
      <c r="U96" s="423"/>
      <c r="V96" s="371"/>
      <c r="W96" s="423"/>
      <c r="X96" s="409"/>
      <c r="Y96" s="371"/>
      <c r="Z96" s="375" t="s">
        <v>337</v>
      </c>
      <c r="AA96" s="315"/>
    </row>
    <row r="97" ht="15.75" customHeight="1">
      <c r="A97" s="369">
        <v>31.0</v>
      </c>
      <c r="B97" s="370" t="s">
        <v>338</v>
      </c>
      <c r="C97" s="370" t="s">
        <v>23</v>
      </c>
      <c r="D97" s="371"/>
      <c r="E97" s="372">
        <v>2026.0</v>
      </c>
      <c r="F97" s="373" t="s">
        <v>339</v>
      </c>
      <c r="G97" s="412"/>
      <c r="H97" s="371"/>
      <c r="I97" s="370" t="s">
        <v>120</v>
      </c>
      <c r="J97" s="370" t="s">
        <v>242</v>
      </c>
      <c r="K97" s="412"/>
      <c r="L97" s="371"/>
      <c r="M97" s="401" t="s">
        <v>254</v>
      </c>
      <c r="N97" s="453"/>
      <c r="O97" s="412"/>
      <c r="P97" s="412"/>
      <c r="Q97" s="403">
        <v>46387.0</v>
      </c>
      <c r="R97" s="404">
        <v>46337.0</v>
      </c>
      <c r="S97" s="405"/>
      <c r="T97" s="408"/>
      <c r="U97" s="423"/>
      <c r="V97" s="371"/>
      <c r="W97" s="423"/>
      <c r="X97" s="409"/>
      <c r="Y97" s="371"/>
      <c r="Z97" s="375"/>
      <c r="AA97" s="315"/>
    </row>
    <row r="98" ht="15.75" customHeight="1">
      <c r="A98" s="369">
        <v>32.0</v>
      </c>
      <c r="B98" s="370" t="s">
        <v>340</v>
      </c>
      <c r="C98" s="370" t="s">
        <v>23</v>
      </c>
      <c r="D98" s="371"/>
      <c r="E98" s="372">
        <v>2026.0</v>
      </c>
      <c r="F98" s="373" t="s">
        <v>341</v>
      </c>
      <c r="G98" s="412"/>
      <c r="H98" s="371"/>
      <c r="I98" s="370" t="s">
        <v>120</v>
      </c>
      <c r="J98" s="370" t="s">
        <v>242</v>
      </c>
      <c r="K98" s="412"/>
      <c r="L98" s="371"/>
      <c r="M98" s="401" t="s">
        <v>254</v>
      </c>
      <c r="N98" s="453"/>
      <c r="O98" s="412"/>
      <c r="P98" s="412"/>
      <c r="Q98" s="454"/>
      <c r="R98" s="455"/>
      <c r="S98" s="405"/>
      <c r="T98" s="408"/>
      <c r="U98" s="423"/>
      <c r="V98" s="371"/>
      <c r="W98" s="423"/>
      <c r="X98" s="409"/>
      <c r="Y98" s="371"/>
      <c r="Z98" s="375"/>
      <c r="AA98" s="315"/>
    </row>
    <row r="99" ht="15.75" customHeight="1">
      <c r="A99" s="369">
        <v>33.0</v>
      </c>
      <c r="B99" s="370" t="s">
        <v>342</v>
      </c>
      <c r="C99" s="370" t="s">
        <v>23</v>
      </c>
      <c r="D99" s="371"/>
      <c r="E99" s="372">
        <v>2026.0</v>
      </c>
      <c r="F99" s="373" t="s">
        <v>343</v>
      </c>
      <c r="G99" s="412"/>
      <c r="H99" s="371"/>
      <c r="I99" s="370" t="s">
        <v>120</v>
      </c>
      <c r="J99" s="370" t="s">
        <v>242</v>
      </c>
      <c r="K99" s="412"/>
      <c r="L99" s="371"/>
      <c r="M99" s="401" t="s">
        <v>244</v>
      </c>
      <c r="N99" s="453"/>
      <c r="O99" s="412"/>
      <c r="P99" s="412"/>
      <c r="Q99" s="403">
        <v>46254.0</v>
      </c>
      <c r="R99" s="404">
        <v>46244.0</v>
      </c>
      <c r="S99" s="405"/>
      <c r="T99" s="408"/>
      <c r="U99" s="423"/>
      <c r="V99" s="371"/>
      <c r="W99" s="423"/>
      <c r="X99" s="409"/>
      <c r="Y99" s="371"/>
      <c r="Z99" s="375"/>
      <c r="AA99" s="315"/>
    </row>
    <row r="100" ht="15.75" customHeight="1">
      <c r="A100" s="459">
        <v>34.0</v>
      </c>
      <c r="B100" s="370" t="s">
        <v>344</v>
      </c>
      <c r="C100" s="370" t="s">
        <v>23</v>
      </c>
      <c r="D100" s="371"/>
      <c r="E100" s="372">
        <v>2026.0</v>
      </c>
      <c r="F100" s="373" t="s">
        <v>345</v>
      </c>
      <c r="G100" s="412"/>
      <c r="H100" s="460"/>
      <c r="I100" s="370" t="s">
        <v>121</v>
      </c>
      <c r="J100" s="370" t="s">
        <v>242</v>
      </c>
      <c r="K100" s="412"/>
      <c r="L100" s="371"/>
      <c r="M100" s="401" t="s">
        <v>346</v>
      </c>
      <c r="N100" s="453"/>
      <c r="O100" s="412"/>
      <c r="P100" s="412"/>
      <c r="Q100" s="403"/>
      <c r="R100" s="404"/>
      <c r="S100" s="405"/>
      <c r="T100" s="462"/>
      <c r="U100" s="423"/>
      <c r="V100" s="460"/>
      <c r="W100" s="423"/>
      <c r="X100" s="409"/>
      <c r="Y100" s="371"/>
      <c r="Z100" s="375"/>
      <c r="AA100" s="463"/>
    </row>
    <row r="101" ht="15.75" customHeight="1">
      <c r="A101" s="464"/>
      <c r="B101" s="370" t="s">
        <v>347</v>
      </c>
      <c r="C101" s="370" t="s">
        <v>23</v>
      </c>
      <c r="D101" s="371"/>
      <c r="E101" s="372">
        <v>2026.0</v>
      </c>
      <c r="F101" s="373" t="s">
        <v>348</v>
      </c>
      <c r="G101" s="412"/>
      <c r="H101" s="371"/>
      <c r="I101" s="370" t="s">
        <v>121</v>
      </c>
      <c r="J101" s="370" t="s">
        <v>242</v>
      </c>
      <c r="K101" s="412"/>
      <c r="L101" s="371"/>
      <c r="M101" s="401" t="s">
        <v>346</v>
      </c>
      <c r="N101" s="453"/>
      <c r="O101" s="412"/>
      <c r="P101" s="412"/>
      <c r="Q101" s="403"/>
      <c r="R101" s="404"/>
      <c r="S101" s="405"/>
      <c r="T101" s="408"/>
      <c r="U101" s="423"/>
      <c r="V101" s="371"/>
      <c r="W101" s="423"/>
      <c r="X101" s="409"/>
      <c r="Y101" s="371"/>
      <c r="Z101" s="375"/>
      <c r="AA101" s="463"/>
    </row>
    <row r="102" ht="15.75" customHeight="1">
      <c r="A102" s="369"/>
      <c r="B102" s="370" t="s">
        <v>349</v>
      </c>
      <c r="C102" s="370" t="s">
        <v>23</v>
      </c>
      <c r="D102" s="371"/>
      <c r="E102" s="372">
        <v>2026.0</v>
      </c>
      <c r="F102" s="373" t="s">
        <v>350</v>
      </c>
      <c r="G102" s="412"/>
      <c r="H102" s="371"/>
      <c r="I102" s="370" t="s">
        <v>121</v>
      </c>
      <c r="J102" s="370" t="s">
        <v>242</v>
      </c>
      <c r="K102" s="412"/>
      <c r="L102" s="371"/>
      <c r="M102" s="401" t="s">
        <v>346</v>
      </c>
      <c r="N102" s="453"/>
      <c r="O102" s="412"/>
      <c r="P102" s="412"/>
      <c r="Q102" s="403"/>
      <c r="R102" s="404"/>
      <c r="S102" s="405"/>
      <c r="T102" s="408"/>
      <c r="U102" s="423"/>
      <c r="V102" s="371"/>
      <c r="W102" s="423"/>
      <c r="X102" s="409"/>
      <c r="Y102" s="371"/>
      <c r="Z102" s="375"/>
      <c r="AA102" s="315"/>
    </row>
    <row r="103" ht="15.75" customHeight="1">
      <c r="A103" s="369"/>
      <c r="B103" s="370" t="s">
        <v>351</v>
      </c>
      <c r="C103" s="370" t="s">
        <v>23</v>
      </c>
      <c r="D103" s="371"/>
      <c r="E103" s="372">
        <v>2026.0</v>
      </c>
      <c r="F103" s="373" t="s">
        <v>352</v>
      </c>
      <c r="G103" s="412"/>
      <c r="H103" s="371"/>
      <c r="I103" s="370" t="s">
        <v>121</v>
      </c>
      <c r="J103" s="370" t="s">
        <v>242</v>
      </c>
      <c r="K103" s="412"/>
      <c r="L103" s="371"/>
      <c r="M103" s="401" t="s">
        <v>346</v>
      </c>
      <c r="N103" s="453"/>
      <c r="O103" s="412"/>
      <c r="P103" s="412"/>
      <c r="Q103" s="403"/>
      <c r="R103" s="404"/>
      <c r="S103" s="405"/>
      <c r="T103" s="408"/>
      <c r="U103" s="423"/>
      <c r="V103" s="371"/>
      <c r="W103" s="423"/>
      <c r="X103" s="409"/>
      <c r="Y103" s="371"/>
      <c r="Z103" s="375"/>
      <c r="AA103" s="315"/>
    </row>
    <row r="104" ht="15.75" customHeight="1">
      <c r="A104" s="369"/>
      <c r="B104" s="370" t="s">
        <v>353</v>
      </c>
      <c r="C104" s="370" t="s">
        <v>23</v>
      </c>
      <c r="D104" s="371"/>
      <c r="E104" s="372">
        <v>2026.0</v>
      </c>
      <c r="F104" s="373" t="s">
        <v>354</v>
      </c>
      <c r="G104" s="412"/>
      <c r="H104" s="371"/>
      <c r="I104" s="370" t="s">
        <v>121</v>
      </c>
      <c r="J104" s="370" t="s">
        <v>242</v>
      </c>
      <c r="K104" s="412"/>
      <c r="L104" s="371"/>
      <c r="M104" s="401" t="s">
        <v>346</v>
      </c>
      <c r="N104" s="453"/>
      <c r="O104" s="412"/>
      <c r="P104" s="412"/>
      <c r="Q104" s="403"/>
      <c r="R104" s="404"/>
      <c r="S104" s="405"/>
      <c r="T104" s="408"/>
      <c r="U104" s="423"/>
      <c r="V104" s="371"/>
      <c r="W104" s="423"/>
      <c r="X104" s="409"/>
      <c r="Y104" s="371"/>
      <c r="Z104" s="375"/>
      <c r="AA104" s="315"/>
    </row>
    <row r="105" ht="15.75" customHeight="1">
      <c r="A105" s="369"/>
      <c r="B105" s="370"/>
      <c r="C105" s="370"/>
      <c r="D105" s="371"/>
      <c r="E105" s="372"/>
      <c r="F105" s="373"/>
      <c r="G105" s="371"/>
      <c r="H105" s="371"/>
      <c r="I105" s="370"/>
      <c r="J105" s="370"/>
      <c r="K105" s="371"/>
      <c r="L105" s="371"/>
      <c r="M105" s="401"/>
      <c r="N105" s="384"/>
      <c r="O105" s="371"/>
      <c r="P105" s="371"/>
      <c r="Q105" s="454"/>
      <c r="R105" s="455"/>
      <c r="S105" s="455"/>
      <c r="T105" s="408"/>
      <c r="U105" s="408"/>
      <c r="V105" s="371"/>
      <c r="W105" s="408"/>
      <c r="X105" s="413"/>
      <c r="Y105" s="371"/>
      <c r="Z105" s="375"/>
      <c r="AA105" s="315"/>
    </row>
    <row r="106" ht="15.75" customHeight="1">
      <c r="A106" s="369"/>
      <c r="B106" s="370"/>
      <c r="C106" s="370"/>
      <c r="D106" s="371"/>
      <c r="E106" s="372"/>
      <c r="F106" s="373"/>
      <c r="G106" s="371"/>
      <c r="H106" s="371"/>
      <c r="I106" s="370"/>
      <c r="J106" s="370"/>
      <c r="K106" s="371"/>
      <c r="L106" s="371"/>
      <c r="M106" s="401"/>
      <c r="N106" s="384"/>
      <c r="O106" s="371"/>
      <c r="P106" s="371"/>
      <c r="Q106" s="454"/>
      <c r="R106" s="455"/>
      <c r="S106" s="455"/>
      <c r="T106" s="408"/>
      <c r="U106" s="408"/>
      <c r="V106" s="371"/>
      <c r="W106" s="408"/>
      <c r="X106" s="413"/>
      <c r="Y106" s="371"/>
      <c r="Z106" s="375"/>
      <c r="AA106" s="315"/>
    </row>
    <row r="107" ht="15.75" customHeight="1">
      <c r="A107" s="369" t="str">
        <f t="shared" ref="A107:A112" si="5">IF(OR($B107="",$C107=""),"",COUNTIFS($C$67:$C107,$C107,$B$67:$B107,"&lt;&gt;"))</f>
        <v/>
      </c>
      <c r="B107" s="371"/>
      <c r="C107" s="370" t="s">
        <v>23</v>
      </c>
      <c r="D107" s="371"/>
      <c r="E107" s="472"/>
      <c r="F107" s="473"/>
      <c r="G107" s="371"/>
      <c r="H107" s="371"/>
      <c r="I107" s="371"/>
      <c r="J107" s="371"/>
      <c r="K107" s="371"/>
      <c r="L107" s="371"/>
      <c r="M107" s="474"/>
      <c r="N107" s="384" t="str">
        <f t="shared" ref="N107:N112" si="6">IF(B107="","",IF(OR(L107="Chưa lên lịch",L107="Đã lên lịch",L107="Hủy"),"",IF(COUNTIFS($D$67:$D$212,B107,$L$67:$L$212,"&lt;&gt;",$L$67:$L$212,"&lt;&gt;Hủy",$L$67:$L$212,"&lt;&gt;Chưa lên lịch",$L$67:$L$212,"&lt;&gt;Đã lên lịch")&gt;0,AVERAGEIFS($N$67:$N$212,$D$67:$D$212,B107,$L$67:$L$212,"&lt;&gt;",$L$67:$L$212,"&lt;&gt;Hủy",$L$67:$L$212,"&lt;&gt;Chưa lên lịch",$L$67:$L$212,"&lt;&gt;Đã lên lịch"),IF(L107="Hoàn thành",1,0))))</f>
        <v/>
      </c>
      <c r="O107" s="371"/>
      <c r="P107" s="371"/>
      <c r="Q107" s="454"/>
      <c r="R107" s="455"/>
      <c r="S107" s="455"/>
      <c r="T107" s="408"/>
      <c r="U107" s="408" t="str">
        <f>IF(B107="","",IF(Z107="Có",'Lớp 3 - Công việc chính'!AE73,T107))</f>
        <v/>
      </c>
      <c r="V107" s="371"/>
      <c r="W107" s="408"/>
      <c r="X107" s="413"/>
      <c r="Y107" s="371"/>
      <c r="Z107" s="396" t="str">
        <f t="shared" ref="Z107:Z112" si="7">IF(B107="","",IF(COUNTIF($D$67:$D$212,B107)&gt;0,"Có","Không"))</f>
        <v/>
      </c>
      <c r="AA107" s="315"/>
    </row>
    <row r="108" ht="15.75" hidden="1" customHeight="1">
      <c r="A108" s="369" t="str">
        <f t="shared" si="5"/>
        <v/>
      </c>
      <c r="B108" s="371"/>
      <c r="C108" s="370" t="s">
        <v>23</v>
      </c>
      <c r="D108" s="371"/>
      <c r="E108" s="472"/>
      <c r="F108" s="473"/>
      <c r="G108" s="371"/>
      <c r="H108" s="371"/>
      <c r="I108" s="371"/>
      <c r="J108" s="371"/>
      <c r="K108" s="371"/>
      <c r="L108" s="371"/>
      <c r="M108" s="474"/>
      <c r="N108" s="384" t="str">
        <f t="shared" si="6"/>
        <v/>
      </c>
      <c r="O108" s="371"/>
      <c r="P108" s="371"/>
      <c r="Q108" s="454"/>
      <c r="R108" s="455"/>
      <c r="S108" s="455"/>
      <c r="T108" s="408"/>
      <c r="U108" s="408" t="str">
        <f>IF(B108="","",IF(Z108="Có",'Lớp 3 - Công việc chính'!AE74,T108))</f>
        <v/>
      </c>
      <c r="V108" s="371"/>
      <c r="W108" s="408"/>
      <c r="X108" s="413"/>
      <c r="Y108" s="371"/>
      <c r="Z108" s="396" t="str">
        <f t="shared" si="7"/>
        <v/>
      </c>
      <c r="AA108" s="315"/>
    </row>
    <row r="109" ht="15.75" hidden="1" customHeight="1">
      <c r="A109" s="369" t="str">
        <f t="shared" si="5"/>
        <v/>
      </c>
      <c r="B109" s="371"/>
      <c r="C109" s="370" t="s">
        <v>23</v>
      </c>
      <c r="D109" s="371"/>
      <c r="E109" s="472"/>
      <c r="F109" s="473"/>
      <c r="G109" s="371"/>
      <c r="H109" s="371"/>
      <c r="I109" s="371"/>
      <c r="J109" s="371"/>
      <c r="K109" s="371"/>
      <c r="L109" s="371"/>
      <c r="M109" s="474"/>
      <c r="N109" s="384" t="str">
        <f t="shared" si="6"/>
        <v/>
      </c>
      <c r="O109" s="371"/>
      <c r="P109" s="371"/>
      <c r="Q109" s="454"/>
      <c r="R109" s="455"/>
      <c r="S109" s="455"/>
      <c r="T109" s="408"/>
      <c r="U109" s="408" t="str">
        <f>IF(B109="","",IF(Z109="Có",'Lớp 3 - Công việc chính'!AE75,T109))</f>
        <v/>
      </c>
      <c r="V109" s="412"/>
      <c r="W109" s="408"/>
      <c r="X109" s="413"/>
      <c r="Y109" s="371"/>
      <c r="Z109" s="396" t="str">
        <f t="shared" si="7"/>
        <v/>
      </c>
      <c r="AA109" s="315"/>
    </row>
    <row r="110" ht="15.75" hidden="1" customHeight="1">
      <c r="A110" s="369" t="str">
        <f t="shared" si="5"/>
        <v/>
      </c>
      <c r="B110" s="371"/>
      <c r="C110" s="370" t="s">
        <v>23</v>
      </c>
      <c r="D110" s="371"/>
      <c r="E110" s="472"/>
      <c r="F110" s="473"/>
      <c r="G110" s="371"/>
      <c r="H110" s="371"/>
      <c r="I110" s="371"/>
      <c r="J110" s="371"/>
      <c r="K110" s="371"/>
      <c r="L110" s="371"/>
      <c r="M110" s="474"/>
      <c r="N110" s="384" t="str">
        <f t="shared" si="6"/>
        <v/>
      </c>
      <c r="O110" s="371"/>
      <c r="P110" s="371"/>
      <c r="Q110" s="454"/>
      <c r="R110" s="455"/>
      <c r="S110" s="455"/>
      <c r="T110" s="408"/>
      <c r="U110" s="408" t="str">
        <f>IF(B110="","",IF(Z110="Có",'Lớp 3 - Công việc chính'!AE76,T110))</f>
        <v/>
      </c>
      <c r="V110" s="412"/>
      <c r="W110" s="408"/>
      <c r="X110" s="413"/>
      <c r="Y110" s="371"/>
      <c r="Z110" s="396" t="str">
        <f t="shared" si="7"/>
        <v/>
      </c>
      <c r="AA110" s="315"/>
    </row>
    <row r="111" ht="15.75" hidden="1" customHeight="1">
      <c r="A111" s="369" t="str">
        <f t="shared" si="5"/>
        <v/>
      </c>
      <c r="B111" s="371"/>
      <c r="C111" s="370" t="s">
        <v>23</v>
      </c>
      <c r="D111" s="371"/>
      <c r="E111" s="472"/>
      <c r="F111" s="473"/>
      <c r="G111" s="371"/>
      <c r="H111" s="371"/>
      <c r="I111" s="371"/>
      <c r="J111" s="371"/>
      <c r="K111" s="371"/>
      <c r="L111" s="371"/>
      <c r="M111" s="474"/>
      <c r="N111" s="384" t="str">
        <f t="shared" si="6"/>
        <v/>
      </c>
      <c r="O111" s="371"/>
      <c r="P111" s="371"/>
      <c r="Q111" s="454"/>
      <c r="R111" s="455"/>
      <c r="S111" s="455"/>
      <c r="T111" s="408"/>
      <c r="U111" s="408" t="str">
        <f>IF(B111="","",IF(Z111="Có",'Lớp 3 - Công việc chính'!AE77,T111))</f>
        <v/>
      </c>
      <c r="V111" s="412"/>
      <c r="W111" s="408"/>
      <c r="X111" s="413"/>
      <c r="Y111" s="371"/>
      <c r="Z111" s="396" t="str">
        <f t="shared" si="7"/>
        <v/>
      </c>
      <c r="AA111" s="315"/>
    </row>
    <row r="112" ht="15.75" hidden="1" customHeight="1">
      <c r="A112" s="369" t="str">
        <f t="shared" si="5"/>
        <v/>
      </c>
      <c r="B112" s="371"/>
      <c r="C112" s="370" t="s">
        <v>23</v>
      </c>
      <c r="D112" s="371"/>
      <c r="E112" s="472"/>
      <c r="F112" s="473"/>
      <c r="G112" s="371"/>
      <c r="H112" s="371"/>
      <c r="I112" s="371"/>
      <c r="J112" s="371"/>
      <c r="K112" s="371"/>
      <c r="L112" s="371"/>
      <c r="M112" s="474"/>
      <c r="N112" s="384" t="str">
        <f t="shared" si="6"/>
        <v/>
      </c>
      <c r="O112" s="371"/>
      <c r="P112" s="371"/>
      <c r="Q112" s="454"/>
      <c r="R112" s="455"/>
      <c r="S112" s="455"/>
      <c r="T112" s="408"/>
      <c r="U112" s="408" t="str">
        <f>IF(B112="","",IF(Z112="Có",'Lớp 3 - Công việc chính'!AE78,T112))</f>
        <v/>
      </c>
      <c r="V112" s="412"/>
      <c r="W112" s="408"/>
      <c r="X112" s="413"/>
      <c r="Y112" s="371"/>
      <c r="Z112" s="396" t="str">
        <f t="shared" si="7"/>
        <v/>
      </c>
      <c r="AA112" s="315"/>
    </row>
    <row r="113" ht="18.0" customHeight="1">
      <c r="A113" s="480" t="s">
        <v>355</v>
      </c>
      <c r="B113" s="482"/>
      <c r="C113" s="483"/>
      <c r="D113" s="483"/>
      <c r="E113" s="483"/>
      <c r="F113" s="485"/>
      <c r="G113" s="483"/>
      <c r="H113" s="486"/>
      <c r="I113" s="486"/>
      <c r="J113" s="486"/>
      <c r="K113" s="486"/>
      <c r="L113" s="486"/>
      <c r="M113" s="486"/>
      <c r="N113" s="486"/>
      <c r="O113" s="486"/>
      <c r="P113" s="487"/>
      <c r="Q113" s="486"/>
      <c r="R113" s="486"/>
      <c r="S113" s="487"/>
      <c r="T113" s="486"/>
      <c r="U113" s="486"/>
      <c r="V113" s="487"/>
      <c r="W113" s="486"/>
      <c r="X113" s="486"/>
      <c r="Y113" s="486"/>
      <c r="Z113" s="488"/>
      <c r="AA113" s="489"/>
      <c r="AB113" s="490"/>
      <c r="AC113" s="491"/>
      <c r="AD113" s="492"/>
      <c r="AE113" s="490"/>
    </row>
    <row r="114" ht="19.5" customHeight="1">
      <c r="A114" s="493" t="s">
        <v>356</v>
      </c>
      <c r="B114" s="494" t="s">
        <v>357</v>
      </c>
      <c r="C114" s="496" t="str">
        <f t="array" ref="C114">IF(TRIM(B114)="","",LET(k,TRIM(B114),p,IFERROR(XMATCH("*"&amp;k&amp;"*",$B$67:$B$112,2),IFERROR(XMATCH("*"&amp;k&amp;"*",$F$67:$F$112,2),0)),IF(p=0,"Không tìm thấy",INDEX($B$67:$B$112,p)&amp;" | "&amp;INDEX($F$67:$F$112,p)&amp;" | Dòng "&amp;(p+66))))</f>
        <v>HHL3CT01 | Xây dựng bộ chiến lược công ty tầm nhìn 2030 | Dòng 67</v>
      </c>
      <c r="D114" s="348"/>
      <c r="E114" s="348"/>
      <c r="F114" s="348"/>
      <c r="G114" s="348"/>
      <c r="H114" s="348"/>
      <c r="I114" s="348"/>
      <c r="J114" s="348"/>
      <c r="K114" s="348"/>
      <c r="L114" s="348"/>
      <c r="M114" s="348"/>
      <c r="N114" s="350"/>
      <c r="O114" s="348"/>
      <c r="P114" s="497"/>
      <c r="Q114" s="354"/>
      <c r="R114" s="354"/>
      <c r="S114" s="498"/>
      <c r="T114" s="362"/>
      <c r="U114" s="362"/>
      <c r="V114" s="497"/>
      <c r="W114" s="362"/>
      <c r="X114" s="354"/>
      <c r="Y114" s="348"/>
      <c r="Z114" s="348"/>
      <c r="AA114" s="489"/>
      <c r="AB114" s="490"/>
      <c r="AC114" s="491"/>
      <c r="AD114" s="492"/>
      <c r="AE114" s="490"/>
    </row>
    <row r="115" ht="15.75" customHeight="1">
      <c r="A115" s="369">
        <f t="shared" ref="A115:A127" si="8">IF(OR($B115="",$C115=""),"",COUNTIFS($C$67:$C115,$C115,$B$67:$B115,"&lt;&gt;"))</f>
        <v>1</v>
      </c>
      <c r="B115" s="370" t="s">
        <v>358</v>
      </c>
      <c r="C115" s="370" t="s">
        <v>25</v>
      </c>
      <c r="D115" s="370" t="s">
        <v>255</v>
      </c>
      <c r="E115" s="372">
        <v>2026.0</v>
      </c>
      <c r="F115" s="373" t="s">
        <v>359</v>
      </c>
      <c r="G115" s="370" t="s">
        <v>360</v>
      </c>
      <c r="H115" s="371"/>
      <c r="I115" s="370" t="s">
        <v>122</v>
      </c>
      <c r="J115" s="370" t="s">
        <v>242</v>
      </c>
      <c r="K115" s="370" t="s">
        <v>258</v>
      </c>
      <c r="L115" s="370" t="s">
        <v>296</v>
      </c>
      <c r="M115" s="401" t="s">
        <v>244</v>
      </c>
      <c r="N115" s="500">
        <f t="shared" ref="N115:N147" si="9">IF(B115="","",IF(OR(L115="Chưa lên lịch",L115="Đã lên lịch",L115="Hủy"),"",IF(COUNTIFS($D$67:$D$212,B115,$L$67:$L$212,"&lt;&gt;",$L$67:$L$212,"&lt;&gt;Hủy",$L$67:$L$212,"&lt;&gt;Chưa lên lịch",$L$67:$L$212,"&lt;&gt;Đã lên lịch")&gt;0,AVERAGEIFS($N$67:$N$212,$D$67:$D$212,B115,$L$67:$L$212,"&lt;&gt;",$L$67:$L$212,"&lt;&gt;Hủy",$L$67:$L$212,"&lt;&gt;Chưa lên lịch",$L$67:$L$212,"&lt;&gt;Đã lên lịch"),IF(L115="Hoàn thành",1,0))))</f>
        <v>0.4875</v>
      </c>
      <c r="O115" s="370" t="s">
        <v>248</v>
      </c>
      <c r="P115" s="412"/>
      <c r="Q115" s="403">
        <v>46249.0</v>
      </c>
      <c r="R115" s="404">
        <v>46237.0</v>
      </c>
      <c r="S115" s="405"/>
      <c r="T115" s="406">
        <v>80.0</v>
      </c>
      <c r="U115" s="408">
        <f>IF(B115="","",IF(Z115="Có",'Lớp 4 - Danh mục'!AH14,T115))</f>
        <v>140</v>
      </c>
      <c r="V115" s="402" t="s">
        <v>250</v>
      </c>
      <c r="W115" s="406">
        <v>8.0</v>
      </c>
      <c r="X115" s="413"/>
      <c r="Y115" s="371"/>
      <c r="Z115" s="371" t="str">
        <f t="shared" ref="Z115:Z147" si="10">IF(B115="","",IF(COUNTIF($D$67:$D$212,B115)&gt;0,"Có","Không"))</f>
        <v>Có</v>
      </c>
      <c r="AA115" s="315"/>
      <c r="AD115" s="54"/>
    </row>
    <row r="116" ht="15.75" customHeight="1">
      <c r="A116" s="369">
        <f t="shared" si="8"/>
        <v>2</v>
      </c>
      <c r="B116" s="370" t="s">
        <v>361</v>
      </c>
      <c r="C116" s="370" t="s">
        <v>25</v>
      </c>
      <c r="D116" s="370" t="s">
        <v>255</v>
      </c>
      <c r="E116" s="372">
        <v>2026.0</v>
      </c>
      <c r="F116" s="373" t="s">
        <v>362</v>
      </c>
      <c r="G116" s="370" t="s">
        <v>363</v>
      </c>
      <c r="H116" s="371"/>
      <c r="I116" s="370" t="s">
        <v>122</v>
      </c>
      <c r="J116" s="370" t="s">
        <v>242</v>
      </c>
      <c r="K116" s="370" t="s">
        <v>258</v>
      </c>
      <c r="L116" s="370" t="s">
        <v>296</v>
      </c>
      <c r="M116" s="401" t="s">
        <v>244</v>
      </c>
      <c r="N116" s="500">
        <f t="shared" si="9"/>
        <v>0</v>
      </c>
      <c r="O116" s="370" t="s">
        <v>248</v>
      </c>
      <c r="P116" s="412"/>
      <c r="Q116" s="403">
        <v>46254.0</v>
      </c>
      <c r="R116" s="404">
        <v>46237.0</v>
      </c>
      <c r="S116" s="405"/>
      <c r="T116" s="406">
        <v>80.0</v>
      </c>
      <c r="U116" s="408">
        <f>IF(B116="","",IF(Z116="Có",'Lớp 4 - Danh mục'!AH15,T116))</f>
        <v>80</v>
      </c>
      <c r="V116" s="402" t="s">
        <v>250</v>
      </c>
      <c r="W116" s="406">
        <v>8.0</v>
      </c>
      <c r="X116" s="413"/>
      <c r="Y116" s="371"/>
      <c r="Z116" s="371" t="str">
        <f t="shared" si="10"/>
        <v>Có</v>
      </c>
      <c r="AA116" s="315"/>
    </row>
    <row r="117" ht="15.75" customHeight="1">
      <c r="A117" s="369">
        <f t="shared" si="8"/>
        <v>3</v>
      </c>
      <c r="B117" s="370" t="s">
        <v>364</v>
      </c>
      <c r="C117" s="370" t="s">
        <v>25</v>
      </c>
      <c r="D117" s="370" t="s">
        <v>255</v>
      </c>
      <c r="E117" s="372">
        <v>2026.0</v>
      </c>
      <c r="F117" s="373" t="s">
        <v>365</v>
      </c>
      <c r="G117" s="370" t="s">
        <v>366</v>
      </c>
      <c r="H117" s="371"/>
      <c r="I117" s="370" t="s">
        <v>122</v>
      </c>
      <c r="J117" s="370" t="s">
        <v>242</v>
      </c>
      <c r="K117" s="370" t="s">
        <v>258</v>
      </c>
      <c r="L117" s="370" t="s">
        <v>296</v>
      </c>
      <c r="M117" s="401" t="s">
        <v>244</v>
      </c>
      <c r="N117" s="500">
        <f t="shared" si="9"/>
        <v>0</v>
      </c>
      <c r="O117" s="370" t="s">
        <v>248</v>
      </c>
      <c r="P117" s="412"/>
      <c r="Q117" s="403">
        <v>46254.0</v>
      </c>
      <c r="R117" s="404">
        <v>46237.0</v>
      </c>
      <c r="S117" s="405"/>
      <c r="T117" s="406">
        <v>80.0</v>
      </c>
      <c r="U117" s="408">
        <f>IF(B117="","",IF(Z117="Có",'Lớp 4 - Danh mục'!AH16,T117))</f>
        <v>80</v>
      </c>
      <c r="V117" s="402" t="s">
        <v>250</v>
      </c>
      <c r="W117" s="406">
        <v>8.0</v>
      </c>
      <c r="X117" s="413"/>
      <c r="Y117" s="371"/>
      <c r="Z117" s="371" t="str">
        <f t="shared" si="10"/>
        <v>Có</v>
      </c>
      <c r="AA117" s="315"/>
    </row>
    <row r="118" ht="15.75" customHeight="1">
      <c r="A118" s="369">
        <f t="shared" si="8"/>
        <v>4</v>
      </c>
      <c r="B118" s="370" t="s">
        <v>367</v>
      </c>
      <c r="C118" s="370" t="s">
        <v>25</v>
      </c>
      <c r="D118" s="370" t="s">
        <v>255</v>
      </c>
      <c r="E118" s="372">
        <v>2026.0</v>
      </c>
      <c r="F118" s="373" t="s">
        <v>368</v>
      </c>
      <c r="G118" s="370" t="s">
        <v>369</v>
      </c>
      <c r="H118" s="371"/>
      <c r="I118" s="370" t="s">
        <v>122</v>
      </c>
      <c r="J118" s="370" t="s">
        <v>242</v>
      </c>
      <c r="K118" s="370" t="s">
        <v>258</v>
      </c>
      <c r="L118" s="370" t="s">
        <v>296</v>
      </c>
      <c r="M118" s="401" t="s">
        <v>244</v>
      </c>
      <c r="N118" s="500">
        <f t="shared" si="9"/>
        <v>0</v>
      </c>
      <c r="O118" s="370" t="s">
        <v>248</v>
      </c>
      <c r="P118" s="412"/>
      <c r="Q118" s="403">
        <v>46254.0</v>
      </c>
      <c r="R118" s="404">
        <v>46237.0</v>
      </c>
      <c r="S118" s="405"/>
      <c r="T118" s="406">
        <v>80.0</v>
      </c>
      <c r="U118" s="408">
        <f>IF(B118="","",IF(Z118="Có",'Lớp 4 - Danh mục'!AH17,T118))</f>
        <v>80</v>
      </c>
      <c r="V118" s="402" t="s">
        <v>250</v>
      </c>
      <c r="W118" s="406">
        <v>8.0</v>
      </c>
      <c r="X118" s="413"/>
      <c r="Y118" s="371"/>
      <c r="Z118" s="371" t="str">
        <f t="shared" si="10"/>
        <v>Có</v>
      </c>
      <c r="AA118" s="315"/>
    </row>
    <row r="119" ht="15.75" customHeight="1">
      <c r="A119" s="369">
        <f t="shared" si="8"/>
        <v>5</v>
      </c>
      <c r="B119" s="370" t="s">
        <v>370</v>
      </c>
      <c r="C119" s="370" t="s">
        <v>25</v>
      </c>
      <c r="D119" s="370" t="s">
        <v>255</v>
      </c>
      <c r="E119" s="372">
        <v>2026.0</v>
      </c>
      <c r="F119" s="373" t="s">
        <v>371</v>
      </c>
      <c r="G119" s="370" t="s">
        <v>372</v>
      </c>
      <c r="H119" s="371"/>
      <c r="I119" s="370" t="s">
        <v>122</v>
      </c>
      <c r="J119" s="370" t="s">
        <v>242</v>
      </c>
      <c r="K119" s="370" t="s">
        <v>258</v>
      </c>
      <c r="L119" s="370" t="s">
        <v>296</v>
      </c>
      <c r="M119" s="401" t="s">
        <v>244</v>
      </c>
      <c r="N119" s="500">
        <f t="shared" si="9"/>
        <v>0</v>
      </c>
      <c r="O119" s="370" t="s">
        <v>248</v>
      </c>
      <c r="P119" s="412"/>
      <c r="Q119" s="403">
        <v>46254.0</v>
      </c>
      <c r="R119" s="404">
        <v>46237.0</v>
      </c>
      <c r="S119" s="405"/>
      <c r="T119" s="406">
        <v>80.0</v>
      </c>
      <c r="U119" s="408">
        <f>IF(B119="","",IF(Z119="Có",'Lớp 4 - Danh mục'!AH18,T119))</f>
        <v>80</v>
      </c>
      <c r="V119" s="402" t="s">
        <v>250</v>
      </c>
      <c r="W119" s="406">
        <v>8.0</v>
      </c>
      <c r="X119" s="413"/>
      <c r="Y119" s="371"/>
      <c r="Z119" s="371" t="str">
        <f t="shared" si="10"/>
        <v>Có</v>
      </c>
      <c r="AA119" s="315"/>
    </row>
    <row r="120" ht="15.75" customHeight="1">
      <c r="A120" s="369">
        <f t="shared" si="8"/>
        <v>6</v>
      </c>
      <c r="B120" s="370" t="s">
        <v>373</v>
      </c>
      <c r="C120" s="370" t="s">
        <v>25</v>
      </c>
      <c r="D120" s="370" t="s">
        <v>255</v>
      </c>
      <c r="E120" s="372">
        <v>2026.0</v>
      </c>
      <c r="F120" s="373" t="s">
        <v>374</v>
      </c>
      <c r="G120" s="370" t="s">
        <v>375</v>
      </c>
      <c r="H120" s="371"/>
      <c r="I120" s="370" t="s">
        <v>122</v>
      </c>
      <c r="J120" s="370" t="s">
        <v>242</v>
      </c>
      <c r="K120" s="370" t="s">
        <v>258</v>
      </c>
      <c r="L120" s="370" t="s">
        <v>296</v>
      </c>
      <c r="M120" s="401" t="s">
        <v>244</v>
      </c>
      <c r="N120" s="500">
        <f t="shared" si="9"/>
        <v>0</v>
      </c>
      <c r="O120" s="370" t="s">
        <v>248</v>
      </c>
      <c r="P120" s="412"/>
      <c r="Q120" s="403">
        <v>46254.0</v>
      </c>
      <c r="R120" s="404">
        <v>46237.0</v>
      </c>
      <c r="S120" s="405"/>
      <c r="T120" s="406">
        <v>80.0</v>
      </c>
      <c r="U120" s="408">
        <f>IF(B120="","",IF(Z120="Có",'Lớp 4 - Danh mục'!AH19,T120))</f>
        <v>80</v>
      </c>
      <c r="V120" s="402" t="s">
        <v>250</v>
      </c>
      <c r="W120" s="406">
        <v>8.0</v>
      </c>
      <c r="X120" s="413"/>
      <c r="Y120" s="371"/>
      <c r="Z120" s="371" t="str">
        <f t="shared" si="10"/>
        <v>Có</v>
      </c>
      <c r="AA120" s="315"/>
    </row>
    <row r="121" ht="15.75" customHeight="1">
      <c r="A121" s="369">
        <f t="shared" si="8"/>
        <v>7</v>
      </c>
      <c r="B121" s="370" t="s">
        <v>376</v>
      </c>
      <c r="C121" s="370" t="s">
        <v>25</v>
      </c>
      <c r="D121" s="370" t="s">
        <v>255</v>
      </c>
      <c r="E121" s="372">
        <v>2026.0</v>
      </c>
      <c r="F121" s="373" t="s">
        <v>377</v>
      </c>
      <c r="G121" s="370" t="s">
        <v>378</v>
      </c>
      <c r="H121" s="371"/>
      <c r="I121" s="370" t="s">
        <v>122</v>
      </c>
      <c r="J121" s="370" t="s">
        <v>242</v>
      </c>
      <c r="K121" s="370" t="s">
        <v>258</v>
      </c>
      <c r="L121" s="370" t="s">
        <v>296</v>
      </c>
      <c r="M121" s="401" t="s">
        <v>244</v>
      </c>
      <c r="N121" s="500">
        <f t="shared" si="9"/>
        <v>0</v>
      </c>
      <c r="O121" s="370" t="s">
        <v>248</v>
      </c>
      <c r="P121" s="412"/>
      <c r="Q121" s="403">
        <v>46254.0</v>
      </c>
      <c r="R121" s="404">
        <v>46237.0</v>
      </c>
      <c r="S121" s="405"/>
      <c r="T121" s="406">
        <v>80.0</v>
      </c>
      <c r="U121" s="408">
        <f>IF(B121="","",IF(Z121="Có",'Lớp 4 - Danh mục'!AH20,T121))</f>
        <v>80</v>
      </c>
      <c r="V121" s="402" t="s">
        <v>250</v>
      </c>
      <c r="W121" s="406">
        <v>24.0</v>
      </c>
      <c r="X121" s="413"/>
      <c r="Y121" s="371"/>
      <c r="Z121" s="371" t="str">
        <f t="shared" si="10"/>
        <v>Có</v>
      </c>
      <c r="AA121" s="315"/>
    </row>
    <row r="122" ht="15.75" customHeight="1">
      <c r="A122" s="369">
        <f t="shared" si="8"/>
        <v>8</v>
      </c>
      <c r="B122" s="370" t="s">
        <v>379</v>
      </c>
      <c r="C122" s="370" t="s">
        <v>25</v>
      </c>
      <c r="D122" s="370" t="s">
        <v>290</v>
      </c>
      <c r="E122" s="372">
        <v>2026.0</v>
      </c>
      <c r="F122" s="373" t="s">
        <v>380</v>
      </c>
      <c r="G122" s="370" t="s">
        <v>381</v>
      </c>
      <c r="H122" s="371"/>
      <c r="I122" s="370" t="s">
        <v>119</v>
      </c>
      <c r="J122" s="370" t="s">
        <v>242</v>
      </c>
      <c r="K122" s="370" t="s">
        <v>262</v>
      </c>
      <c r="L122" s="370" t="s">
        <v>259</v>
      </c>
      <c r="M122" s="401" t="s">
        <v>254</v>
      </c>
      <c r="N122" s="500">
        <f t="shared" si="9"/>
        <v>0</v>
      </c>
      <c r="O122" s="402" t="s">
        <v>248</v>
      </c>
      <c r="P122" s="412"/>
      <c r="Q122" s="403">
        <v>46252.0</v>
      </c>
      <c r="R122" s="404">
        <v>46235.0</v>
      </c>
      <c r="S122" s="405"/>
      <c r="T122" s="406">
        <v>40.0</v>
      </c>
      <c r="U122" s="408">
        <f>IF(B122="","",IF(Z122="Có",'Lớp 4 - Danh mục'!AH21,T122))</f>
        <v>40</v>
      </c>
      <c r="V122" s="412"/>
      <c r="W122" s="423"/>
      <c r="X122" s="409"/>
      <c r="Y122" s="371"/>
      <c r="Z122" s="371" t="str">
        <f t="shared" si="10"/>
        <v>Không</v>
      </c>
      <c r="AA122" s="315"/>
    </row>
    <row r="123" ht="15.75" customHeight="1">
      <c r="A123" s="369">
        <f t="shared" si="8"/>
        <v>9</v>
      </c>
      <c r="B123" s="370" t="s">
        <v>382</v>
      </c>
      <c r="C123" s="370" t="s">
        <v>25</v>
      </c>
      <c r="D123" s="370" t="s">
        <v>290</v>
      </c>
      <c r="E123" s="372">
        <v>2026.0</v>
      </c>
      <c r="F123" s="373" t="s">
        <v>383</v>
      </c>
      <c r="G123" s="370" t="s">
        <v>384</v>
      </c>
      <c r="H123" s="371"/>
      <c r="I123" s="370" t="s">
        <v>119</v>
      </c>
      <c r="J123" s="370" t="s">
        <v>242</v>
      </c>
      <c r="K123" s="370" t="s">
        <v>262</v>
      </c>
      <c r="L123" s="370" t="s">
        <v>259</v>
      </c>
      <c r="M123" s="401" t="s">
        <v>254</v>
      </c>
      <c r="N123" s="500">
        <f t="shared" si="9"/>
        <v>0</v>
      </c>
      <c r="O123" s="402" t="s">
        <v>248</v>
      </c>
      <c r="P123" s="412"/>
      <c r="Q123" s="403">
        <v>46326.0</v>
      </c>
      <c r="R123" s="404">
        <v>46235.0</v>
      </c>
      <c r="S123" s="405"/>
      <c r="T123" s="406">
        <v>40.0</v>
      </c>
      <c r="U123" s="408">
        <f>IF(B123="","",IF(Z123="Có",'Lớp 4 - Danh mục'!AH22,T123))</f>
        <v>40</v>
      </c>
      <c r="V123" s="412"/>
      <c r="W123" s="423"/>
      <c r="X123" s="409"/>
      <c r="Y123" s="371"/>
      <c r="Z123" s="371" t="str">
        <f t="shared" si="10"/>
        <v>Không</v>
      </c>
      <c r="AA123" s="315"/>
    </row>
    <row r="124" ht="15.75" customHeight="1">
      <c r="A124" s="369">
        <f t="shared" si="8"/>
        <v>10</v>
      </c>
      <c r="B124" s="370" t="s">
        <v>385</v>
      </c>
      <c r="C124" s="370" t="s">
        <v>25</v>
      </c>
      <c r="D124" s="370" t="s">
        <v>290</v>
      </c>
      <c r="E124" s="372">
        <v>2026.0</v>
      </c>
      <c r="F124" s="373" t="s">
        <v>386</v>
      </c>
      <c r="G124" s="370" t="s">
        <v>387</v>
      </c>
      <c r="H124" s="371"/>
      <c r="I124" s="370" t="s">
        <v>119</v>
      </c>
      <c r="J124" s="370" t="s">
        <v>242</v>
      </c>
      <c r="K124" s="370" t="s">
        <v>262</v>
      </c>
      <c r="L124" s="370" t="s">
        <v>259</v>
      </c>
      <c r="M124" s="401" t="s">
        <v>254</v>
      </c>
      <c r="N124" s="500">
        <f t="shared" si="9"/>
        <v>0</v>
      </c>
      <c r="O124" s="402" t="s">
        <v>248</v>
      </c>
      <c r="P124" s="412"/>
      <c r="Q124" s="403">
        <v>46341.0</v>
      </c>
      <c r="R124" s="404">
        <v>46235.0</v>
      </c>
      <c r="S124" s="405"/>
      <c r="T124" s="406">
        <v>40.0</v>
      </c>
      <c r="U124" s="408">
        <f>IF(B124="","",IF(Z124="Có",'Lớp 4 - Danh mục'!AH23,T124))</f>
        <v>40</v>
      </c>
      <c r="V124" s="412"/>
      <c r="W124" s="423"/>
      <c r="X124" s="409"/>
      <c r="Y124" s="371"/>
      <c r="Z124" s="371" t="str">
        <f t="shared" si="10"/>
        <v>Không</v>
      </c>
      <c r="AA124" s="315"/>
    </row>
    <row r="125" ht="15.75" customHeight="1">
      <c r="A125" s="369">
        <f t="shared" si="8"/>
        <v>11</v>
      </c>
      <c r="B125" s="370" t="s">
        <v>388</v>
      </c>
      <c r="C125" s="370" t="s">
        <v>25</v>
      </c>
      <c r="D125" s="370" t="s">
        <v>290</v>
      </c>
      <c r="E125" s="372">
        <v>2026.0</v>
      </c>
      <c r="F125" s="373" t="s">
        <v>389</v>
      </c>
      <c r="G125" s="370" t="s">
        <v>390</v>
      </c>
      <c r="H125" s="371"/>
      <c r="I125" s="370" t="s">
        <v>119</v>
      </c>
      <c r="J125" s="370" t="s">
        <v>242</v>
      </c>
      <c r="K125" s="370" t="s">
        <v>262</v>
      </c>
      <c r="L125" s="370" t="s">
        <v>259</v>
      </c>
      <c r="M125" s="401" t="s">
        <v>254</v>
      </c>
      <c r="N125" s="500">
        <f t="shared" si="9"/>
        <v>0</v>
      </c>
      <c r="O125" s="402" t="s">
        <v>248</v>
      </c>
      <c r="P125" s="412"/>
      <c r="Q125" s="403">
        <v>46295.0</v>
      </c>
      <c r="R125" s="404">
        <v>46235.0</v>
      </c>
      <c r="S125" s="405"/>
      <c r="T125" s="406">
        <v>40.0</v>
      </c>
      <c r="U125" s="408">
        <f>IF(B125="","",IF(Z125="Có",'Lớp 4 - Danh mục'!AH24,T125))</f>
        <v>40</v>
      </c>
      <c r="V125" s="412"/>
      <c r="W125" s="423"/>
      <c r="X125" s="409"/>
      <c r="Y125" s="371"/>
      <c r="Z125" s="371" t="str">
        <f t="shared" si="10"/>
        <v>Không</v>
      </c>
      <c r="AA125" s="315"/>
    </row>
    <row r="126" ht="15.75" customHeight="1">
      <c r="A126" s="369">
        <f t="shared" si="8"/>
        <v>12</v>
      </c>
      <c r="B126" s="370" t="s">
        <v>391</v>
      </c>
      <c r="C126" s="370" t="s">
        <v>25</v>
      </c>
      <c r="D126" s="370" t="s">
        <v>290</v>
      </c>
      <c r="E126" s="372">
        <v>2026.0</v>
      </c>
      <c r="F126" s="373" t="s">
        <v>392</v>
      </c>
      <c r="G126" s="370" t="s">
        <v>393</v>
      </c>
      <c r="H126" s="371"/>
      <c r="I126" s="370" t="s">
        <v>119</v>
      </c>
      <c r="J126" s="370" t="s">
        <v>242</v>
      </c>
      <c r="K126" s="370" t="s">
        <v>262</v>
      </c>
      <c r="L126" s="370" t="s">
        <v>259</v>
      </c>
      <c r="M126" s="401" t="s">
        <v>254</v>
      </c>
      <c r="N126" s="500">
        <f t="shared" si="9"/>
        <v>0</v>
      </c>
      <c r="O126" s="402" t="s">
        <v>248</v>
      </c>
      <c r="P126" s="412"/>
      <c r="Q126" s="403">
        <v>46326.0</v>
      </c>
      <c r="R126" s="404">
        <v>46235.0</v>
      </c>
      <c r="S126" s="405"/>
      <c r="T126" s="406">
        <v>40.0</v>
      </c>
      <c r="U126" s="408">
        <f>IF(B126="","",IF(Z126="Có",'Lớp 4 - Danh mục'!AH25,T126))</f>
        <v>40</v>
      </c>
      <c r="V126" s="412"/>
      <c r="W126" s="423"/>
      <c r="X126" s="409"/>
      <c r="Y126" s="371"/>
      <c r="Z126" s="371" t="str">
        <f t="shared" si="10"/>
        <v>Không</v>
      </c>
      <c r="AA126" s="315"/>
    </row>
    <row r="127" ht="15.75" customHeight="1">
      <c r="A127" s="369">
        <f t="shared" si="8"/>
        <v>13</v>
      </c>
      <c r="B127" s="370" t="s">
        <v>394</v>
      </c>
      <c r="C127" s="370" t="s">
        <v>25</v>
      </c>
      <c r="D127" s="370" t="s">
        <v>280</v>
      </c>
      <c r="E127" s="372">
        <v>2026.0</v>
      </c>
      <c r="F127" s="373" t="s">
        <v>395</v>
      </c>
      <c r="G127" s="370" t="s">
        <v>396</v>
      </c>
      <c r="H127" s="371"/>
      <c r="I127" s="370" t="s">
        <v>119</v>
      </c>
      <c r="J127" s="370" t="s">
        <v>242</v>
      </c>
      <c r="K127" s="370" t="s">
        <v>262</v>
      </c>
      <c r="L127" s="370" t="s">
        <v>259</v>
      </c>
      <c r="M127" s="401" t="s">
        <v>254</v>
      </c>
      <c r="N127" s="500">
        <f t="shared" si="9"/>
        <v>0</v>
      </c>
      <c r="O127" s="402" t="s">
        <v>248</v>
      </c>
      <c r="P127" s="412"/>
      <c r="Q127" s="403">
        <v>46280.0</v>
      </c>
      <c r="R127" s="404">
        <v>46235.0</v>
      </c>
      <c r="S127" s="405"/>
      <c r="T127" s="406">
        <v>160.0</v>
      </c>
      <c r="U127" s="408">
        <f>IF(B127="","",IF(Z127="Có",'Lớp 4 - Danh mục'!AH26,T127))</f>
        <v>160</v>
      </c>
      <c r="V127" s="412"/>
      <c r="W127" s="423"/>
      <c r="X127" s="409"/>
      <c r="Y127" s="371"/>
      <c r="Z127" s="371" t="str">
        <f t="shared" si="10"/>
        <v>Không</v>
      </c>
      <c r="AA127" s="315"/>
    </row>
    <row r="128" ht="15.75" customHeight="1">
      <c r="A128" s="369">
        <v>14.0</v>
      </c>
      <c r="B128" s="370" t="s">
        <v>397</v>
      </c>
      <c r="C128" s="370" t="s">
        <v>25</v>
      </c>
      <c r="D128" s="370" t="s">
        <v>260</v>
      </c>
      <c r="E128" s="372">
        <v>2026.0</v>
      </c>
      <c r="F128" s="373" t="s">
        <v>398</v>
      </c>
      <c r="G128" s="370" t="s">
        <v>399</v>
      </c>
      <c r="H128" s="371"/>
      <c r="I128" s="370" t="s">
        <v>119</v>
      </c>
      <c r="J128" s="370" t="s">
        <v>242</v>
      </c>
      <c r="K128" s="370" t="s">
        <v>262</v>
      </c>
      <c r="L128" s="370" t="s">
        <v>259</v>
      </c>
      <c r="M128" s="401" t="s">
        <v>254</v>
      </c>
      <c r="N128" s="500">
        <f t="shared" si="9"/>
        <v>0</v>
      </c>
      <c r="O128" s="402" t="s">
        <v>248</v>
      </c>
      <c r="P128" s="412"/>
      <c r="Q128" s="403">
        <v>46285.0</v>
      </c>
      <c r="R128" s="404">
        <v>46235.0</v>
      </c>
      <c r="S128" s="405"/>
      <c r="T128" s="406">
        <v>40.0</v>
      </c>
      <c r="U128" s="408">
        <f>IF(B128="","",IF(Z128="Có",'Lớp 4 - Danh mục'!AH27,T128))</f>
        <v>40</v>
      </c>
      <c r="V128" s="412"/>
      <c r="W128" s="423"/>
      <c r="X128" s="409"/>
      <c r="Y128" s="371"/>
      <c r="Z128" s="371" t="str">
        <f t="shared" si="10"/>
        <v>Không</v>
      </c>
      <c r="AA128" s="315"/>
    </row>
    <row r="129" ht="15.75" customHeight="1">
      <c r="A129" s="369">
        <f t="shared" ref="A129:A146" si="11">IF(OR($B129="",$C129=""),"",COUNTIFS($C$67:$C129,$C129,$B$67:$B129,"&lt;&gt;"))</f>
        <v>15</v>
      </c>
      <c r="B129" s="370" t="s">
        <v>400</v>
      </c>
      <c r="C129" s="370" t="s">
        <v>25</v>
      </c>
      <c r="D129" s="370" t="s">
        <v>260</v>
      </c>
      <c r="E129" s="372">
        <v>2026.0</v>
      </c>
      <c r="F129" s="373" t="s">
        <v>401</v>
      </c>
      <c r="G129" s="370" t="s">
        <v>402</v>
      </c>
      <c r="H129" s="371"/>
      <c r="I129" s="370" t="s">
        <v>119</v>
      </c>
      <c r="J129" s="370" t="s">
        <v>242</v>
      </c>
      <c r="K129" s="370" t="s">
        <v>262</v>
      </c>
      <c r="L129" s="370" t="s">
        <v>259</v>
      </c>
      <c r="M129" s="401" t="s">
        <v>346</v>
      </c>
      <c r="N129" s="500">
        <f t="shared" si="9"/>
        <v>0</v>
      </c>
      <c r="O129" s="402" t="s">
        <v>248</v>
      </c>
      <c r="P129" s="412"/>
      <c r="Q129" s="403">
        <v>46244.0</v>
      </c>
      <c r="R129" s="404">
        <v>46235.0</v>
      </c>
      <c r="S129" s="405"/>
      <c r="T129" s="406">
        <v>24.0</v>
      </c>
      <c r="U129" s="408">
        <f>IF(B129="","",IF(Z129="Có",'Lớp 4 - Danh mục'!AH28,T129))</f>
        <v>24</v>
      </c>
      <c r="V129" s="412"/>
      <c r="W129" s="423"/>
      <c r="X129" s="409"/>
      <c r="Y129" s="371"/>
      <c r="Z129" s="371" t="str">
        <f t="shared" si="10"/>
        <v>Không</v>
      </c>
      <c r="AA129" s="315"/>
    </row>
    <row r="130" ht="15.75" customHeight="1">
      <c r="A130" s="369">
        <f t="shared" si="11"/>
        <v>16</v>
      </c>
      <c r="B130" s="370" t="s">
        <v>403</v>
      </c>
      <c r="C130" s="370" t="s">
        <v>25</v>
      </c>
      <c r="D130" s="370" t="s">
        <v>260</v>
      </c>
      <c r="E130" s="372">
        <v>2026.0</v>
      </c>
      <c r="F130" s="373" t="s">
        <v>404</v>
      </c>
      <c r="G130" s="370" t="s">
        <v>405</v>
      </c>
      <c r="H130" s="371"/>
      <c r="I130" s="370" t="s">
        <v>119</v>
      </c>
      <c r="J130" s="370" t="s">
        <v>242</v>
      </c>
      <c r="K130" s="370" t="s">
        <v>262</v>
      </c>
      <c r="L130" s="370" t="s">
        <v>259</v>
      </c>
      <c r="M130" s="401" t="s">
        <v>254</v>
      </c>
      <c r="N130" s="500">
        <f t="shared" si="9"/>
        <v>0</v>
      </c>
      <c r="O130" s="402" t="s">
        <v>248</v>
      </c>
      <c r="P130" s="412"/>
      <c r="Q130" s="403">
        <v>46305.0</v>
      </c>
      <c r="R130" s="404">
        <v>46235.0</v>
      </c>
      <c r="S130" s="405"/>
      <c r="T130" s="406">
        <v>48.0</v>
      </c>
      <c r="U130" s="408">
        <f>IF(B130="","",IF(Z130="Có",'Lớp 4 - Danh mục'!AH29,T130))</f>
        <v>48</v>
      </c>
      <c r="V130" s="412"/>
      <c r="W130" s="423"/>
      <c r="X130" s="409"/>
      <c r="Y130" s="371"/>
      <c r="Z130" s="371" t="str">
        <f t="shared" si="10"/>
        <v>Không</v>
      </c>
      <c r="AA130" s="315"/>
    </row>
    <row r="131" ht="15.75" customHeight="1">
      <c r="A131" s="369">
        <f t="shared" si="11"/>
        <v>17</v>
      </c>
      <c r="B131" s="370" t="s">
        <v>406</v>
      </c>
      <c r="C131" s="370" t="s">
        <v>25</v>
      </c>
      <c r="D131" s="370" t="s">
        <v>263</v>
      </c>
      <c r="E131" s="372">
        <v>2026.0</v>
      </c>
      <c r="F131" s="373" t="s">
        <v>407</v>
      </c>
      <c r="G131" s="370" t="s">
        <v>408</v>
      </c>
      <c r="H131" s="371"/>
      <c r="I131" s="370" t="s">
        <v>119</v>
      </c>
      <c r="J131" s="370" t="s">
        <v>242</v>
      </c>
      <c r="K131" s="370" t="s">
        <v>262</v>
      </c>
      <c r="L131" s="370" t="s">
        <v>259</v>
      </c>
      <c r="M131" s="401" t="s">
        <v>254</v>
      </c>
      <c r="N131" s="500">
        <f t="shared" si="9"/>
        <v>0</v>
      </c>
      <c r="O131" s="402" t="s">
        <v>248</v>
      </c>
      <c r="P131" s="412"/>
      <c r="Q131" s="403">
        <v>46254.0</v>
      </c>
      <c r="R131" s="404">
        <v>46235.0</v>
      </c>
      <c r="S131" s="405"/>
      <c r="T131" s="503">
        <v>40.0</v>
      </c>
      <c r="U131" s="408">
        <f>IF(B131="","",IF(Z131="Có",'Lớp 4 - Danh mục'!AH30,T131))</f>
        <v>40</v>
      </c>
      <c r="V131" s="412"/>
      <c r="W131" s="423"/>
      <c r="X131" s="409"/>
      <c r="Y131" s="371"/>
      <c r="Z131" s="371" t="str">
        <f t="shared" si="10"/>
        <v>Không</v>
      </c>
      <c r="AA131" s="315"/>
    </row>
    <row r="132" ht="15.75" customHeight="1">
      <c r="A132" s="369">
        <f t="shared" si="11"/>
        <v>18</v>
      </c>
      <c r="B132" s="370" t="s">
        <v>409</v>
      </c>
      <c r="C132" s="370" t="s">
        <v>25</v>
      </c>
      <c r="D132" s="370" t="s">
        <v>260</v>
      </c>
      <c r="E132" s="372">
        <v>2026.0</v>
      </c>
      <c r="F132" s="373" t="s">
        <v>410</v>
      </c>
      <c r="G132" s="370" t="s">
        <v>411</v>
      </c>
      <c r="H132" s="371"/>
      <c r="I132" s="370" t="s">
        <v>119</v>
      </c>
      <c r="J132" s="370" t="s">
        <v>242</v>
      </c>
      <c r="K132" s="370" t="s">
        <v>262</v>
      </c>
      <c r="L132" s="370" t="s">
        <v>259</v>
      </c>
      <c r="M132" s="401" t="s">
        <v>254</v>
      </c>
      <c r="N132" s="500">
        <f t="shared" si="9"/>
        <v>0</v>
      </c>
      <c r="O132" s="402" t="s">
        <v>248</v>
      </c>
      <c r="P132" s="412"/>
      <c r="Q132" s="403">
        <v>46295.0</v>
      </c>
      <c r="R132" s="404">
        <v>46235.0</v>
      </c>
      <c r="S132" s="405"/>
      <c r="T132" s="406">
        <v>32.0</v>
      </c>
      <c r="U132" s="408">
        <f>IF(B132="","",IF(Z132="Có",'Lớp 4 - Danh mục'!AH31,T132))</f>
        <v>32</v>
      </c>
      <c r="V132" s="371"/>
      <c r="W132" s="423"/>
      <c r="X132" s="409"/>
      <c r="Y132" s="371"/>
      <c r="Z132" s="371" t="str">
        <f t="shared" si="10"/>
        <v>Không</v>
      </c>
      <c r="AA132" s="315"/>
    </row>
    <row r="133" ht="15.75" customHeight="1">
      <c r="A133" s="369">
        <f t="shared" si="11"/>
        <v>19</v>
      </c>
      <c r="B133" s="370" t="s">
        <v>412</v>
      </c>
      <c r="C133" s="370" t="s">
        <v>25</v>
      </c>
      <c r="D133" s="370" t="s">
        <v>263</v>
      </c>
      <c r="E133" s="372">
        <v>2026.0</v>
      </c>
      <c r="F133" s="373" t="s">
        <v>413</v>
      </c>
      <c r="G133" s="370" t="s">
        <v>414</v>
      </c>
      <c r="H133" s="371"/>
      <c r="I133" s="370" t="s">
        <v>119</v>
      </c>
      <c r="J133" s="370" t="s">
        <v>242</v>
      </c>
      <c r="K133" s="370" t="s">
        <v>262</v>
      </c>
      <c r="L133" s="370" t="s">
        <v>259</v>
      </c>
      <c r="M133" s="401" t="s">
        <v>254</v>
      </c>
      <c r="N133" s="500">
        <f t="shared" si="9"/>
        <v>0</v>
      </c>
      <c r="O133" s="402" t="s">
        <v>248</v>
      </c>
      <c r="P133" s="412"/>
      <c r="Q133" s="403">
        <v>46244.0</v>
      </c>
      <c r="R133" s="404">
        <v>46235.0</v>
      </c>
      <c r="S133" s="405"/>
      <c r="T133" s="406">
        <v>40.0</v>
      </c>
      <c r="U133" s="408">
        <f>IF(B133="","",IF(Z133="Có",'Lớp 4 - Danh mục'!AH32,T133))</f>
        <v>40</v>
      </c>
      <c r="V133" s="371"/>
      <c r="W133" s="423"/>
      <c r="X133" s="409"/>
      <c r="Y133" s="371"/>
      <c r="Z133" s="371" t="str">
        <f t="shared" si="10"/>
        <v>Không</v>
      </c>
      <c r="AA133" s="315"/>
    </row>
    <row r="134" ht="15.75" customHeight="1">
      <c r="A134" s="369">
        <f t="shared" si="11"/>
        <v>20</v>
      </c>
      <c r="B134" s="370" t="s">
        <v>415</v>
      </c>
      <c r="C134" s="370" t="s">
        <v>25</v>
      </c>
      <c r="D134" s="370" t="s">
        <v>260</v>
      </c>
      <c r="E134" s="372">
        <v>2026.0</v>
      </c>
      <c r="F134" s="373" t="s">
        <v>416</v>
      </c>
      <c r="G134" s="370" t="s">
        <v>417</v>
      </c>
      <c r="H134" s="371"/>
      <c r="I134" s="370" t="s">
        <v>119</v>
      </c>
      <c r="J134" s="370" t="s">
        <v>242</v>
      </c>
      <c r="K134" s="370" t="s">
        <v>262</v>
      </c>
      <c r="L134" s="370" t="s">
        <v>259</v>
      </c>
      <c r="M134" s="401" t="s">
        <v>346</v>
      </c>
      <c r="N134" s="500">
        <f t="shared" si="9"/>
        <v>0</v>
      </c>
      <c r="O134" s="402" t="s">
        <v>248</v>
      </c>
      <c r="P134" s="412"/>
      <c r="Q134" s="403">
        <v>46295.0</v>
      </c>
      <c r="R134" s="404">
        <v>46235.0</v>
      </c>
      <c r="S134" s="405"/>
      <c r="T134" s="406">
        <v>40.0</v>
      </c>
      <c r="U134" s="408">
        <f>IF(B134="","",IF(Z134="Có",'Lớp 4 - Danh mục'!AH33,T134))</f>
        <v>40</v>
      </c>
      <c r="V134" s="371"/>
      <c r="W134" s="423"/>
      <c r="X134" s="409"/>
      <c r="Y134" s="371"/>
      <c r="Z134" s="371" t="str">
        <f t="shared" si="10"/>
        <v>Không</v>
      </c>
      <c r="AA134" s="315"/>
    </row>
    <row r="135" ht="15.75" customHeight="1">
      <c r="A135" s="369">
        <f t="shared" si="11"/>
        <v>21</v>
      </c>
      <c r="B135" s="370" t="s">
        <v>418</v>
      </c>
      <c r="C135" s="370" t="s">
        <v>25</v>
      </c>
      <c r="D135" s="370" t="s">
        <v>260</v>
      </c>
      <c r="E135" s="372">
        <v>2026.0</v>
      </c>
      <c r="F135" s="373" t="s">
        <v>419</v>
      </c>
      <c r="G135" s="370" t="s">
        <v>420</v>
      </c>
      <c r="H135" s="371"/>
      <c r="I135" s="370" t="s">
        <v>119</v>
      </c>
      <c r="J135" s="370" t="s">
        <v>242</v>
      </c>
      <c r="K135" s="370" t="s">
        <v>262</v>
      </c>
      <c r="L135" s="370" t="s">
        <v>259</v>
      </c>
      <c r="M135" s="401" t="s">
        <v>254</v>
      </c>
      <c r="N135" s="500">
        <f t="shared" si="9"/>
        <v>0</v>
      </c>
      <c r="O135" s="402" t="s">
        <v>248</v>
      </c>
      <c r="P135" s="412"/>
      <c r="Q135" s="403">
        <v>46305.0</v>
      </c>
      <c r="R135" s="404">
        <v>46235.0</v>
      </c>
      <c r="S135" s="405"/>
      <c r="T135" s="406">
        <v>40.0</v>
      </c>
      <c r="U135" s="408">
        <f>IF(B135="","",IF(Z135="Có",'Lớp 4 - Danh mục'!AH34,T135))</f>
        <v>40</v>
      </c>
      <c r="V135" s="371"/>
      <c r="W135" s="423"/>
      <c r="X135" s="409"/>
      <c r="Y135" s="371"/>
      <c r="Z135" s="371" t="str">
        <f t="shared" si="10"/>
        <v>Không</v>
      </c>
      <c r="AA135" s="315"/>
    </row>
    <row r="136" ht="15.75" customHeight="1">
      <c r="A136" s="369">
        <f t="shared" si="11"/>
        <v>22</v>
      </c>
      <c r="B136" s="370" t="s">
        <v>421</v>
      </c>
      <c r="C136" s="370" t="s">
        <v>25</v>
      </c>
      <c r="D136" s="370" t="s">
        <v>290</v>
      </c>
      <c r="E136" s="372">
        <v>2026.0</v>
      </c>
      <c r="F136" s="373" t="s">
        <v>422</v>
      </c>
      <c r="G136" s="370" t="s">
        <v>423</v>
      </c>
      <c r="H136" s="371"/>
      <c r="I136" s="370" t="s">
        <v>119</v>
      </c>
      <c r="J136" s="370" t="s">
        <v>242</v>
      </c>
      <c r="K136" s="370" t="s">
        <v>262</v>
      </c>
      <c r="L136" s="370" t="s">
        <v>259</v>
      </c>
      <c r="M136" s="401" t="s">
        <v>254</v>
      </c>
      <c r="N136" s="500">
        <f t="shared" si="9"/>
        <v>0</v>
      </c>
      <c r="O136" s="402" t="s">
        <v>248</v>
      </c>
      <c r="P136" s="412"/>
      <c r="Q136" s="403">
        <v>46356.0</v>
      </c>
      <c r="R136" s="404">
        <v>46235.0</v>
      </c>
      <c r="S136" s="405"/>
      <c r="T136" s="406">
        <v>40.0</v>
      </c>
      <c r="U136" s="408">
        <f>IF(B136="","",IF(Z136="Có",'Lớp 4 - Danh mục'!AH35,T136))</f>
        <v>40</v>
      </c>
      <c r="V136" s="371"/>
      <c r="W136" s="423"/>
      <c r="X136" s="409"/>
      <c r="Y136" s="371"/>
      <c r="Z136" s="371" t="str">
        <f t="shared" si="10"/>
        <v>Không</v>
      </c>
      <c r="AA136" s="315"/>
    </row>
    <row r="137" ht="15.75" customHeight="1">
      <c r="A137" s="369">
        <f t="shared" si="11"/>
        <v>23</v>
      </c>
      <c r="B137" s="370" t="s">
        <v>424</v>
      </c>
      <c r="C137" s="370" t="s">
        <v>25</v>
      </c>
      <c r="D137" s="370" t="s">
        <v>290</v>
      </c>
      <c r="E137" s="372">
        <v>2026.0</v>
      </c>
      <c r="F137" s="373" t="s">
        <v>425</v>
      </c>
      <c r="G137" s="370" t="s">
        <v>426</v>
      </c>
      <c r="H137" s="371"/>
      <c r="I137" s="370" t="s">
        <v>119</v>
      </c>
      <c r="J137" s="370" t="s">
        <v>242</v>
      </c>
      <c r="K137" s="370" t="s">
        <v>262</v>
      </c>
      <c r="L137" s="370" t="s">
        <v>259</v>
      </c>
      <c r="M137" s="401" t="s">
        <v>254</v>
      </c>
      <c r="N137" s="500">
        <f t="shared" si="9"/>
        <v>0</v>
      </c>
      <c r="O137" s="402" t="s">
        <v>248</v>
      </c>
      <c r="P137" s="412"/>
      <c r="Q137" s="403">
        <v>46371.0</v>
      </c>
      <c r="R137" s="404">
        <v>46235.0</v>
      </c>
      <c r="S137" s="405"/>
      <c r="T137" s="406">
        <v>40.0</v>
      </c>
      <c r="U137" s="408">
        <f>IF(B137="","",IF(Z137="Có",'Lớp 4 - Danh mục'!AH36,T137))</f>
        <v>40</v>
      </c>
      <c r="V137" s="371"/>
      <c r="W137" s="423"/>
      <c r="X137" s="409"/>
      <c r="Y137" s="371"/>
      <c r="Z137" s="371" t="str">
        <f t="shared" si="10"/>
        <v>Không</v>
      </c>
      <c r="AA137" s="315"/>
    </row>
    <row r="138" ht="15.75" customHeight="1">
      <c r="A138" s="369">
        <f t="shared" si="11"/>
        <v>24</v>
      </c>
      <c r="B138" s="370" t="s">
        <v>427</v>
      </c>
      <c r="C138" s="370" t="s">
        <v>25</v>
      </c>
      <c r="D138" s="370" t="s">
        <v>263</v>
      </c>
      <c r="E138" s="372">
        <v>2026.0</v>
      </c>
      <c r="F138" s="373" t="s">
        <v>428</v>
      </c>
      <c r="G138" s="370" t="s">
        <v>429</v>
      </c>
      <c r="H138" s="371"/>
      <c r="I138" s="370" t="s">
        <v>119</v>
      </c>
      <c r="J138" s="370" t="s">
        <v>242</v>
      </c>
      <c r="K138" s="370" t="s">
        <v>262</v>
      </c>
      <c r="L138" s="370" t="s">
        <v>259</v>
      </c>
      <c r="M138" s="401" t="s">
        <v>254</v>
      </c>
      <c r="N138" s="500">
        <f t="shared" si="9"/>
        <v>0</v>
      </c>
      <c r="O138" s="402" t="s">
        <v>248</v>
      </c>
      <c r="P138" s="412"/>
      <c r="Q138" s="403">
        <v>46274.0</v>
      </c>
      <c r="R138" s="404">
        <v>46235.0</v>
      </c>
      <c r="S138" s="405"/>
      <c r="T138" s="406">
        <v>40.0</v>
      </c>
      <c r="U138" s="408">
        <f>IF(B138="","",IF(Z138="Có",'Lớp 4 - Danh mục'!AH37,T138))</f>
        <v>40</v>
      </c>
      <c r="V138" s="371"/>
      <c r="W138" s="423"/>
      <c r="X138" s="409"/>
      <c r="Y138" s="371"/>
      <c r="Z138" s="371" t="str">
        <f t="shared" si="10"/>
        <v>Không</v>
      </c>
      <c r="AA138" s="315"/>
    </row>
    <row r="139" ht="15.75" customHeight="1">
      <c r="A139" s="459">
        <f t="shared" si="11"/>
        <v>25</v>
      </c>
      <c r="B139" s="370" t="s">
        <v>430</v>
      </c>
      <c r="C139" s="370" t="s">
        <v>25</v>
      </c>
      <c r="D139" s="370" t="s">
        <v>310</v>
      </c>
      <c r="E139" s="372">
        <v>2026.0</v>
      </c>
      <c r="F139" s="373" t="s">
        <v>431</v>
      </c>
      <c r="G139" s="370" t="s">
        <v>432</v>
      </c>
      <c r="H139" s="460"/>
      <c r="I139" s="370" t="s">
        <v>122</v>
      </c>
      <c r="J139" s="370" t="s">
        <v>242</v>
      </c>
      <c r="K139" s="370" t="s">
        <v>258</v>
      </c>
      <c r="L139" s="370" t="s">
        <v>296</v>
      </c>
      <c r="M139" s="401" t="s">
        <v>286</v>
      </c>
      <c r="N139" s="500">
        <f t="shared" si="9"/>
        <v>0</v>
      </c>
      <c r="O139" s="402" t="s">
        <v>248</v>
      </c>
      <c r="P139" s="412"/>
      <c r="Q139" s="403">
        <v>46236.0</v>
      </c>
      <c r="R139" s="404">
        <v>46232.0</v>
      </c>
      <c r="S139" s="405"/>
      <c r="T139" s="506">
        <v>120.0</v>
      </c>
      <c r="U139" s="408">
        <f>IF(B139="","",IF(Z139="Có",'Lớp 4 - Danh mục'!AH38,T139))</f>
        <v>120</v>
      </c>
      <c r="V139" s="460"/>
      <c r="W139" s="423"/>
      <c r="X139" s="409"/>
      <c r="Y139" s="371"/>
      <c r="Z139" s="371" t="str">
        <f t="shared" si="10"/>
        <v>Không</v>
      </c>
      <c r="AA139" s="507"/>
    </row>
    <row r="140" ht="15.75" customHeight="1">
      <c r="A140" s="464">
        <f t="shared" si="11"/>
        <v>26</v>
      </c>
      <c r="B140" s="370" t="s">
        <v>433</v>
      </c>
      <c r="C140" s="370" t="s">
        <v>25</v>
      </c>
      <c r="D140" s="370" t="s">
        <v>313</v>
      </c>
      <c r="E140" s="372">
        <v>2026.0</v>
      </c>
      <c r="F140" s="373" t="s">
        <v>434</v>
      </c>
      <c r="G140" s="370" t="s">
        <v>435</v>
      </c>
      <c r="H140" s="371"/>
      <c r="I140" s="370" t="s">
        <v>122</v>
      </c>
      <c r="J140" s="370" t="s">
        <v>242</v>
      </c>
      <c r="K140" s="370" t="s">
        <v>258</v>
      </c>
      <c r="L140" s="370" t="s">
        <v>296</v>
      </c>
      <c r="M140" s="401" t="s">
        <v>286</v>
      </c>
      <c r="N140" s="500">
        <f t="shared" si="9"/>
        <v>0</v>
      </c>
      <c r="O140" s="402" t="s">
        <v>297</v>
      </c>
      <c r="P140" s="412"/>
      <c r="Q140" s="403"/>
      <c r="R140" s="404"/>
      <c r="S140" s="405"/>
      <c r="T140" s="406">
        <v>60.0</v>
      </c>
      <c r="U140" s="408">
        <f>IF(B140="","",IF(Z140="Có",'Lớp 4 - Danh mục'!AH39,T140))</f>
        <v>60</v>
      </c>
      <c r="V140" s="371"/>
      <c r="W140" s="423"/>
      <c r="X140" s="409"/>
      <c r="Y140" s="371"/>
      <c r="Z140" s="371" t="str">
        <f t="shared" si="10"/>
        <v>Không</v>
      </c>
      <c r="AA140" s="507"/>
    </row>
    <row r="141" ht="15.75" customHeight="1">
      <c r="A141" s="369">
        <f t="shared" si="11"/>
        <v>27</v>
      </c>
      <c r="B141" s="370" t="s">
        <v>436</v>
      </c>
      <c r="C141" s="370" t="s">
        <v>25</v>
      </c>
      <c r="D141" s="370" t="s">
        <v>313</v>
      </c>
      <c r="E141" s="372">
        <v>2026.0</v>
      </c>
      <c r="F141" s="373" t="s">
        <v>437</v>
      </c>
      <c r="G141" s="370" t="s">
        <v>438</v>
      </c>
      <c r="H141" s="371"/>
      <c r="I141" s="370" t="s">
        <v>122</v>
      </c>
      <c r="J141" s="370" t="s">
        <v>242</v>
      </c>
      <c r="K141" s="370" t="s">
        <v>258</v>
      </c>
      <c r="L141" s="370" t="s">
        <v>296</v>
      </c>
      <c r="M141" s="401" t="s">
        <v>286</v>
      </c>
      <c r="N141" s="500">
        <f t="shared" si="9"/>
        <v>0</v>
      </c>
      <c r="O141" s="402" t="s">
        <v>248</v>
      </c>
      <c r="P141" s="412"/>
      <c r="Q141" s="403">
        <v>46280.0</v>
      </c>
      <c r="R141" s="404">
        <v>46237.0</v>
      </c>
      <c r="S141" s="405"/>
      <c r="T141" s="406">
        <v>60.0</v>
      </c>
      <c r="U141" s="408">
        <f>IF(B141="","",IF(Z141="Có",'Lớp 4 - Danh mục'!AH40,T141))</f>
        <v>60</v>
      </c>
      <c r="V141" s="371"/>
      <c r="W141" s="423"/>
      <c r="X141" s="409"/>
      <c r="Y141" s="371"/>
      <c r="Z141" s="371" t="str">
        <f t="shared" si="10"/>
        <v>Không</v>
      </c>
      <c r="AA141" s="315"/>
    </row>
    <row r="142" ht="15.75" customHeight="1">
      <c r="A142" s="369">
        <f t="shared" si="11"/>
        <v>28</v>
      </c>
      <c r="B142" s="370" t="s">
        <v>439</v>
      </c>
      <c r="C142" s="370" t="s">
        <v>25</v>
      </c>
      <c r="D142" s="508" t="s">
        <v>313</v>
      </c>
      <c r="E142" s="372">
        <v>2026.0</v>
      </c>
      <c r="F142" s="373" t="s">
        <v>440</v>
      </c>
      <c r="G142" s="370" t="s">
        <v>441</v>
      </c>
      <c r="H142" s="371"/>
      <c r="I142" s="370" t="s">
        <v>122</v>
      </c>
      <c r="J142" s="370" t="s">
        <v>242</v>
      </c>
      <c r="K142" s="370" t="s">
        <v>258</v>
      </c>
      <c r="L142" s="370" t="s">
        <v>296</v>
      </c>
      <c r="M142" s="401" t="s">
        <v>254</v>
      </c>
      <c r="N142" s="500">
        <f t="shared" si="9"/>
        <v>0</v>
      </c>
      <c r="O142" s="402" t="s">
        <v>248</v>
      </c>
      <c r="P142" s="412"/>
      <c r="Q142" s="403">
        <v>46237.0</v>
      </c>
      <c r="R142" s="404">
        <v>46233.0</v>
      </c>
      <c r="S142" s="405"/>
      <c r="T142" s="406">
        <v>240.0</v>
      </c>
      <c r="U142" s="408">
        <f>IF(B142="","",IF(Z142="Có",'Lớp 4 - Danh mục'!AH41,T142))</f>
        <v>240</v>
      </c>
      <c r="V142" s="371"/>
      <c r="W142" s="423"/>
      <c r="X142" s="409"/>
      <c r="Y142" s="371"/>
      <c r="Z142" s="371" t="str">
        <f t="shared" si="10"/>
        <v>Không</v>
      </c>
      <c r="AA142" s="315"/>
    </row>
    <row r="143" ht="15.75" customHeight="1">
      <c r="A143" s="369">
        <f t="shared" si="11"/>
        <v>29</v>
      </c>
      <c r="B143" s="370" t="s">
        <v>442</v>
      </c>
      <c r="C143" s="370" t="s">
        <v>25</v>
      </c>
      <c r="D143" s="370" t="s">
        <v>304</v>
      </c>
      <c r="E143" s="372">
        <v>2026.0</v>
      </c>
      <c r="F143" s="373" t="s">
        <v>443</v>
      </c>
      <c r="G143" s="370" t="s">
        <v>444</v>
      </c>
      <c r="H143" s="371"/>
      <c r="I143" s="370" t="s">
        <v>122</v>
      </c>
      <c r="J143" s="370" t="s">
        <v>242</v>
      </c>
      <c r="K143" s="370" t="s">
        <v>258</v>
      </c>
      <c r="L143" s="370" t="s">
        <v>296</v>
      </c>
      <c r="M143" s="401" t="s">
        <v>254</v>
      </c>
      <c r="N143" s="500">
        <f t="shared" si="9"/>
        <v>0</v>
      </c>
      <c r="O143" s="402" t="s">
        <v>248</v>
      </c>
      <c r="P143" s="412"/>
      <c r="Q143" s="403">
        <v>46264.0</v>
      </c>
      <c r="R143" s="404">
        <v>46235.0</v>
      </c>
      <c r="S143" s="405"/>
      <c r="T143" s="406">
        <v>240.0</v>
      </c>
      <c r="U143" s="408">
        <f>IF(B143="","",IF(Z143="Có",'Lớp 4 - Danh mục'!AH42,T143))</f>
        <v>240</v>
      </c>
      <c r="V143" s="371"/>
      <c r="W143" s="423"/>
      <c r="X143" s="409"/>
      <c r="Y143" s="371"/>
      <c r="Z143" s="371" t="str">
        <f t="shared" si="10"/>
        <v>Không</v>
      </c>
      <c r="AA143" s="315"/>
    </row>
    <row r="144" ht="15.75" customHeight="1">
      <c r="A144" s="369">
        <f t="shared" si="11"/>
        <v>30</v>
      </c>
      <c r="B144" s="370" t="s">
        <v>445</v>
      </c>
      <c r="C144" s="370" t="s">
        <v>25</v>
      </c>
      <c r="D144" s="370" t="s">
        <v>298</v>
      </c>
      <c r="E144" s="372">
        <v>2026.0</v>
      </c>
      <c r="F144" s="373" t="s">
        <v>446</v>
      </c>
      <c r="G144" s="370" t="s">
        <v>447</v>
      </c>
      <c r="H144" s="371"/>
      <c r="I144" s="370" t="s">
        <v>122</v>
      </c>
      <c r="J144" s="370" t="s">
        <v>242</v>
      </c>
      <c r="K144" s="370" t="s">
        <v>258</v>
      </c>
      <c r="L144" s="370" t="s">
        <v>296</v>
      </c>
      <c r="M144" s="401" t="s">
        <v>254</v>
      </c>
      <c r="N144" s="500">
        <f t="shared" si="9"/>
        <v>0</v>
      </c>
      <c r="O144" s="402" t="s">
        <v>248</v>
      </c>
      <c r="P144" s="412"/>
      <c r="Q144" s="403">
        <v>46310.0</v>
      </c>
      <c r="R144" s="404">
        <v>46237.0</v>
      </c>
      <c r="S144" s="405"/>
      <c r="T144" s="406">
        <v>160.0</v>
      </c>
      <c r="U144" s="408">
        <f>IF(B144="","",IF(Z144="Có",'Lớp 4 - Danh mục'!AH46,T144))</f>
        <v>160</v>
      </c>
      <c r="V144" s="371"/>
      <c r="W144" s="423"/>
      <c r="X144" s="409"/>
      <c r="Y144" s="371"/>
      <c r="Z144" s="371" t="str">
        <f t="shared" si="10"/>
        <v>Không</v>
      </c>
      <c r="AA144" s="315"/>
    </row>
    <row r="145" ht="15.75" customHeight="1">
      <c r="A145" s="369">
        <f t="shared" si="11"/>
        <v>31</v>
      </c>
      <c r="B145" s="370" t="s">
        <v>448</v>
      </c>
      <c r="C145" s="370" t="s">
        <v>25</v>
      </c>
      <c r="D145" s="370" t="s">
        <v>320</v>
      </c>
      <c r="E145" s="372">
        <v>2026.0</v>
      </c>
      <c r="F145" s="373" t="s">
        <v>449</v>
      </c>
      <c r="G145" s="412"/>
      <c r="H145" s="371"/>
      <c r="I145" s="370" t="s">
        <v>122</v>
      </c>
      <c r="J145" s="370" t="s">
        <v>242</v>
      </c>
      <c r="K145" s="370" t="s">
        <v>258</v>
      </c>
      <c r="L145" s="371"/>
      <c r="M145" s="449"/>
      <c r="N145" s="500">
        <f t="shared" si="9"/>
        <v>0</v>
      </c>
      <c r="O145" s="371"/>
      <c r="P145" s="412"/>
      <c r="Q145" s="454"/>
      <c r="R145" s="455"/>
      <c r="S145" s="405"/>
      <c r="T145" s="423"/>
      <c r="U145" s="408" t="str">
        <f>IF(B145="","",IF(Z145="Có",'Lớp 4 - Danh mục'!AH131,T145))</f>
        <v/>
      </c>
      <c r="V145" s="371"/>
      <c r="W145" s="423"/>
      <c r="X145" s="409"/>
      <c r="Y145" s="371"/>
      <c r="Z145" s="371" t="str">
        <f t="shared" si="10"/>
        <v>Không</v>
      </c>
      <c r="AA145" s="315"/>
    </row>
    <row r="146" ht="15.75" customHeight="1">
      <c r="A146" s="369">
        <f t="shared" si="11"/>
        <v>32</v>
      </c>
      <c r="B146" s="370" t="s">
        <v>450</v>
      </c>
      <c r="C146" s="370" t="s">
        <v>25</v>
      </c>
      <c r="D146" s="370" t="s">
        <v>320</v>
      </c>
      <c r="E146" s="372">
        <v>2026.0</v>
      </c>
      <c r="F146" s="373" t="s">
        <v>294</v>
      </c>
      <c r="G146" s="412"/>
      <c r="H146" s="371"/>
      <c r="I146" s="370" t="s">
        <v>122</v>
      </c>
      <c r="J146" s="370" t="s">
        <v>242</v>
      </c>
      <c r="K146" s="370" t="s">
        <v>258</v>
      </c>
      <c r="L146" s="371"/>
      <c r="M146" s="449"/>
      <c r="N146" s="500">
        <f t="shared" si="9"/>
        <v>0</v>
      </c>
      <c r="O146" s="371"/>
      <c r="P146" s="412"/>
      <c r="Q146" s="454"/>
      <c r="R146" s="455"/>
      <c r="S146" s="405"/>
      <c r="T146" s="408"/>
      <c r="U146" s="408" t="str">
        <f>IF(B146="","",IF(Z146="Có",'Lớp 4 - Danh mục'!AH132,T146))</f>
        <v/>
      </c>
      <c r="V146" s="371"/>
      <c r="W146" s="408"/>
      <c r="X146" s="413"/>
      <c r="Y146" s="371"/>
      <c r="Z146" s="371" t="str">
        <f t="shared" si="10"/>
        <v>Có</v>
      </c>
      <c r="AA146" s="315"/>
    </row>
    <row r="147" ht="15.75" customHeight="1">
      <c r="A147" s="369">
        <v>33.0</v>
      </c>
      <c r="B147" s="370" t="s">
        <v>451</v>
      </c>
      <c r="C147" s="370" t="s">
        <v>25</v>
      </c>
      <c r="D147" s="370" t="s">
        <v>260</v>
      </c>
      <c r="E147" s="372">
        <v>2026.0</v>
      </c>
      <c r="F147" s="373" t="s">
        <v>452</v>
      </c>
      <c r="G147" s="412"/>
      <c r="H147" s="371"/>
      <c r="I147" s="370" t="s">
        <v>119</v>
      </c>
      <c r="J147" s="370" t="s">
        <v>242</v>
      </c>
      <c r="K147" s="370" t="s">
        <v>242</v>
      </c>
      <c r="L147" s="371"/>
      <c r="M147" s="449"/>
      <c r="N147" s="500">
        <f t="shared" si="9"/>
        <v>0</v>
      </c>
      <c r="O147" s="371"/>
      <c r="P147" s="412"/>
      <c r="Q147" s="454"/>
      <c r="R147" s="455"/>
      <c r="S147" s="405"/>
      <c r="T147" s="423"/>
      <c r="U147" s="408" t="str">
        <f>IF(B147="","",IF(Z147="Có",'Lớp 4 - Danh mục'!AH133,T147))</f>
        <v/>
      </c>
      <c r="V147" s="371"/>
      <c r="W147" s="423"/>
      <c r="X147" s="409"/>
      <c r="Y147" s="371"/>
      <c r="Z147" s="371" t="str">
        <f t="shared" si="10"/>
        <v>Không</v>
      </c>
      <c r="AA147" s="315"/>
    </row>
    <row r="148" ht="15.75" customHeight="1">
      <c r="A148" s="369">
        <v>34.0</v>
      </c>
      <c r="B148" s="370" t="s">
        <v>453</v>
      </c>
      <c r="C148" s="370" t="s">
        <v>25</v>
      </c>
      <c r="D148" s="370" t="s">
        <v>260</v>
      </c>
      <c r="E148" s="372">
        <v>2026.0</v>
      </c>
      <c r="F148" s="373" t="s">
        <v>454</v>
      </c>
      <c r="G148" s="412"/>
      <c r="H148" s="371"/>
      <c r="I148" s="370" t="s">
        <v>119</v>
      </c>
      <c r="J148" s="370" t="s">
        <v>242</v>
      </c>
      <c r="K148" s="412"/>
      <c r="L148" s="371"/>
      <c r="M148" s="449"/>
      <c r="N148" s="509"/>
      <c r="O148" s="371"/>
      <c r="P148" s="412"/>
      <c r="Q148" s="454"/>
      <c r="R148" s="455"/>
      <c r="S148" s="405"/>
      <c r="T148" s="408"/>
      <c r="U148" s="408"/>
      <c r="V148" s="371"/>
      <c r="W148" s="408"/>
      <c r="X148" s="413"/>
      <c r="Y148" s="371"/>
      <c r="Z148" s="370" t="s">
        <v>334</v>
      </c>
      <c r="AA148" s="315"/>
    </row>
    <row r="149" ht="15.75" customHeight="1">
      <c r="A149" s="369">
        <v>35.0</v>
      </c>
      <c r="B149" s="370" t="s">
        <v>455</v>
      </c>
      <c r="C149" s="370" t="s">
        <v>25</v>
      </c>
      <c r="D149" s="370" t="s">
        <v>260</v>
      </c>
      <c r="E149" s="372">
        <v>2026.0</v>
      </c>
      <c r="F149" s="373" t="s">
        <v>456</v>
      </c>
      <c r="G149" s="412"/>
      <c r="H149" s="371"/>
      <c r="I149" s="370" t="s">
        <v>119</v>
      </c>
      <c r="J149" s="370" t="s">
        <v>242</v>
      </c>
      <c r="K149" s="412"/>
      <c r="L149" s="371"/>
      <c r="M149" s="449"/>
      <c r="N149" s="509"/>
      <c r="O149" s="371"/>
      <c r="P149" s="412"/>
      <c r="Q149" s="454"/>
      <c r="R149" s="455"/>
      <c r="S149" s="405"/>
      <c r="T149" s="408"/>
      <c r="U149" s="423"/>
      <c r="V149" s="371"/>
      <c r="W149" s="423"/>
      <c r="X149" s="409"/>
      <c r="Y149" s="371"/>
      <c r="Z149" s="370" t="s">
        <v>334</v>
      </c>
      <c r="AA149" s="315"/>
    </row>
    <row r="150" ht="15.75" customHeight="1">
      <c r="A150" s="369">
        <v>36.0</v>
      </c>
      <c r="B150" s="370" t="s">
        <v>457</v>
      </c>
      <c r="C150" s="370" t="s">
        <v>25</v>
      </c>
      <c r="D150" s="370" t="s">
        <v>260</v>
      </c>
      <c r="E150" s="372">
        <v>2026.0</v>
      </c>
      <c r="F150" s="373" t="s">
        <v>458</v>
      </c>
      <c r="G150" s="412"/>
      <c r="H150" s="371"/>
      <c r="I150" s="370" t="s">
        <v>119</v>
      </c>
      <c r="J150" s="370" t="s">
        <v>242</v>
      </c>
      <c r="K150" s="412"/>
      <c r="L150" s="371"/>
      <c r="M150" s="449"/>
      <c r="N150" s="509"/>
      <c r="O150" s="371"/>
      <c r="P150" s="412"/>
      <c r="Q150" s="454"/>
      <c r="R150" s="455"/>
      <c r="S150" s="405"/>
      <c r="T150" s="408"/>
      <c r="U150" s="423"/>
      <c r="V150" s="371"/>
      <c r="W150" s="423"/>
      <c r="X150" s="409"/>
      <c r="Y150" s="371"/>
      <c r="Z150" s="370" t="s">
        <v>325</v>
      </c>
      <c r="AA150" s="315"/>
    </row>
    <row r="151" ht="15.75" customHeight="1">
      <c r="A151" s="369">
        <v>37.0</v>
      </c>
      <c r="B151" s="370" t="s">
        <v>459</v>
      </c>
      <c r="C151" s="370" t="s">
        <v>25</v>
      </c>
      <c r="D151" s="370" t="s">
        <v>260</v>
      </c>
      <c r="E151" s="372">
        <v>2026.0</v>
      </c>
      <c r="F151" s="373" t="s">
        <v>460</v>
      </c>
      <c r="G151" s="412"/>
      <c r="H151" s="371"/>
      <c r="I151" s="370" t="s">
        <v>119</v>
      </c>
      <c r="J151" s="370" t="s">
        <v>242</v>
      </c>
      <c r="K151" s="412"/>
      <c r="L151" s="371"/>
      <c r="M151" s="449"/>
      <c r="N151" s="509"/>
      <c r="O151" s="371"/>
      <c r="P151" s="412"/>
      <c r="Q151" s="454"/>
      <c r="R151" s="455"/>
      <c r="S151" s="405"/>
      <c r="T151" s="408"/>
      <c r="U151" s="423"/>
      <c r="V151" s="371"/>
      <c r="W151" s="423"/>
      <c r="X151" s="412"/>
      <c r="Y151" s="371"/>
      <c r="Z151" s="370" t="s">
        <v>325</v>
      </c>
      <c r="AA151" s="315"/>
    </row>
    <row r="152" ht="15.75" customHeight="1">
      <c r="A152" s="369">
        <v>38.0</v>
      </c>
      <c r="B152" s="370" t="s">
        <v>461</v>
      </c>
      <c r="C152" s="370" t="s">
        <v>25</v>
      </c>
      <c r="D152" s="370" t="s">
        <v>260</v>
      </c>
      <c r="E152" s="372">
        <v>2026.0</v>
      </c>
      <c r="F152" s="373" t="s">
        <v>462</v>
      </c>
      <c r="G152" s="412"/>
      <c r="H152" s="371"/>
      <c r="I152" s="370" t="s">
        <v>119</v>
      </c>
      <c r="J152" s="370" t="s">
        <v>242</v>
      </c>
      <c r="K152" s="412"/>
      <c r="L152" s="371"/>
      <c r="M152" s="449"/>
      <c r="N152" s="509"/>
      <c r="O152" s="371"/>
      <c r="P152" s="412"/>
      <c r="Q152" s="454"/>
      <c r="R152" s="455"/>
      <c r="S152" s="405"/>
      <c r="T152" s="408"/>
      <c r="U152" s="423"/>
      <c r="V152" s="371"/>
      <c r="W152" s="423"/>
      <c r="X152" s="409"/>
      <c r="Y152" s="315"/>
      <c r="Z152" s="370" t="s">
        <v>325</v>
      </c>
      <c r="AA152" s="315"/>
    </row>
    <row r="153" ht="15.75" customHeight="1">
      <c r="A153" s="369" t="str">
        <f t="shared" ref="A153:A156" si="12">IF(OR($B153="",$C153=""),"",COUNTIFS($C$67:$C153,$C153,$B$67:$B153,"&lt;&gt;"))</f>
        <v/>
      </c>
      <c r="B153" s="371"/>
      <c r="C153" s="370" t="s">
        <v>25</v>
      </c>
      <c r="D153" s="371"/>
      <c r="E153" s="472"/>
      <c r="F153" s="473"/>
      <c r="G153" s="371"/>
      <c r="H153" s="371"/>
      <c r="I153" s="371"/>
      <c r="J153" s="371"/>
      <c r="K153" s="371"/>
      <c r="L153" s="371"/>
      <c r="M153" s="474"/>
      <c r="N153" s="500" t="str">
        <f t="shared" ref="N153:N156" si="13">IF(B153="","",IF(OR(L153="Chưa lên lịch",L153="Đã lên lịch",L153="Hủy"),"",IF(COUNTIFS($D$67:$D$212,B153,$L$67:$L$212,"&lt;&gt;",$L$67:$L$212,"&lt;&gt;Hủy",$L$67:$L$212,"&lt;&gt;Chưa lên lịch",$L$67:$L$212,"&lt;&gt;Đã lên lịch")&gt;0,AVERAGEIFS($N$67:$N$212,$D$67:$D$212,B153,$L$67:$L$212,"&lt;&gt;",$L$67:$L$212,"&lt;&gt;Hủy",$L$67:$L$212,"&lt;&gt;Chưa lên lịch",$L$67:$L$212,"&lt;&gt;Đã lên lịch"),IF(L153="Hoàn thành",1,0))))</f>
        <v/>
      </c>
      <c r="O153" s="371"/>
      <c r="P153" s="371"/>
      <c r="Q153" s="454"/>
      <c r="R153" s="455"/>
      <c r="S153" s="455"/>
      <c r="T153" s="408"/>
      <c r="U153" s="408" t="str">
        <f>IF(B153="","",IF(Z153="Có",'Lớp 4 - Danh mục'!AH134,T153))</f>
        <v/>
      </c>
      <c r="V153" s="371"/>
      <c r="W153" s="408"/>
      <c r="X153" s="413"/>
      <c r="Y153" s="371"/>
      <c r="Z153" s="371" t="str">
        <f t="shared" ref="Z153:Z156" si="14">IF(B153="","",IF(COUNTIF($D$67:$D$212,B153)&gt;0,"Có","Không"))</f>
        <v/>
      </c>
      <c r="AA153" s="315"/>
    </row>
    <row r="154" ht="15.75" customHeight="1">
      <c r="A154" s="369" t="str">
        <f t="shared" si="12"/>
        <v/>
      </c>
      <c r="B154" s="371"/>
      <c r="C154" s="370" t="s">
        <v>25</v>
      </c>
      <c r="D154" s="371"/>
      <c r="E154" s="472"/>
      <c r="F154" s="473"/>
      <c r="G154" s="371"/>
      <c r="H154" s="371"/>
      <c r="I154" s="371"/>
      <c r="J154" s="371"/>
      <c r="K154" s="371"/>
      <c r="L154" s="371"/>
      <c r="M154" s="474"/>
      <c r="N154" s="500" t="str">
        <f t="shared" si="13"/>
        <v/>
      </c>
      <c r="O154" s="371"/>
      <c r="P154" s="371"/>
      <c r="Q154" s="454"/>
      <c r="R154" s="455"/>
      <c r="S154" s="455"/>
      <c r="T154" s="408"/>
      <c r="U154" s="408" t="str">
        <f>IF(B154="","",IF(Z154="Có",'Lớp 4 - Danh mục'!AH135,T154))</f>
        <v/>
      </c>
      <c r="V154" s="371"/>
      <c r="W154" s="408"/>
      <c r="X154" s="413"/>
      <c r="Y154" s="371"/>
      <c r="Z154" s="371" t="str">
        <f t="shared" si="14"/>
        <v/>
      </c>
      <c r="AA154" s="315"/>
    </row>
    <row r="155" ht="15.75" customHeight="1">
      <c r="A155" s="369" t="str">
        <f t="shared" si="12"/>
        <v/>
      </c>
      <c r="B155" s="371"/>
      <c r="C155" s="370" t="s">
        <v>25</v>
      </c>
      <c r="D155" s="371"/>
      <c r="E155" s="472"/>
      <c r="F155" s="473"/>
      <c r="G155" s="371"/>
      <c r="H155" s="371"/>
      <c r="I155" s="371"/>
      <c r="J155" s="371"/>
      <c r="K155" s="371"/>
      <c r="L155" s="371"/>
      <c r="M155" s="474"/>
      <c r="N155" s="500" t="str">
        <f t="shared" si="13"/>
        <v/>
      </c>
      <c r="O155" s="371"/>
      <c r="P155" s="371"/>
      <c r="Q155" s="454"/>
      <c r="R155" s="455"/>
      <c r="S155" s="455"/>
      <c r="T155" s="408"/>
      <c r="U155" s="408" t="str">
        <f>IF(B155="","",IF(Z155="Có",'Lớp 4 - Danh mục'!AH136,T155))</f>
        <v/>
      </c>
      <c r="V155" s="371"/>
      <c r="W155" s="408"/>
      <c r="X155" s="413"/>
      <c r="Y155" s="371"/>
      <c r="Z155" s="371" t="str">
        <f t="shared" si="14"/>
        <v/>
      </c>
      <c r="AA155" s="315"/>
    </row>
    <row r="156" ht="15.75" customHeight="1">
      <c r="A156" s="369" t="str">
        <f t="shared" si="12"/>
        <v/>
      </c>
      <c r="B156" s="371"/>
      <c r="C156" s="370" t="s">
        <v>25</v>
      </c>
      <c r="D156" s="371"/>
      <c r="E156" s="472"/>
      <c r="F156" s="473"/>
      <c r="G156" s="371"/>
      <c r="H156" s="371"/>
      <c r="I156" s="371"/>
      <c r="J156" s="371"/>
      <c r="K156" s="371"/>
      <c r="L156" s="371"/>
      <c r="M156" s="474"/>
      <c r="N156" s="500" t="str">
        <f t="shared" si="13"/>
        <v/>
      </c>
      <c r="O156" s="371"/>
      <c r="P156" s="371"/>
      <c r="Q156" s="454"/>
      <c r="R156" s="455"/>
      <c r="S156" s="455"/>
      <c r="T156" s="408"/>
      <c r="U156" s="408" t="str">
        <f>IF(B156="","",IF(Z156="Có",'Lớp 4 - Danh mục'!AH137,T156))</f>
        <v/>
      </c>
      <c r="V156" s="371"/>
      <c r="W156" s="408"/>
      <c r="X156" s="413"/>
      <c r="Y156" s="371"/>
      <c r="Z156" s="371" t="str">
        <f t="shared" si="14"/>
        <v/>
      </c>
      <c r="AA156" s="315"/>
    </row>
    <row r="157" ht="18.0" customHeight="1">
      <c r="A157" s="480" t="s">
        <v>463</v>
      </c>
      <c r="B157" s="482"/>
      <c r="C157" s="483"/>
      <c r="D157" s="483"/>
      <c r="E157" s="483"/>
      <c r="F157" s="485"/>
      <c r="G157" s="483"/>
      <c r="H157" s="486"/>
      <c r="I157" s="486"/>
      <c r="J157" s="486"/>
      <c r="K157" s="486"/>
      <c r="L157" s="486"/>
      <c r="M157" s="486"/>
      <c r="N157" s="486"/>
      <c r="O157" s="487"/>
      <c r="P157" s="487"/>
      <c r="Q157" s="486"/>
      <c r="R157" s="486"/>
      <c r="S157" s="487"/>
      <c r="T157" s="486"/>
      <c r="U157" s="486"/>
      <c r="V157" s="486"/>
      <c r="W157" s="486"/>
      <c r="X157" s="487"/>
      <c r="Y157" s="486"/>
      <c r="Z157" s="488"/>
      <c r="AA157" s="489"/>
      <c r="AB157" s="511"/>
      <c r="AC157" s="512"/>
      <c r="AD157" s="513"/>
      <c r="AE157" s="511"/>
    </row>
    <row r="158" ht="19.5" customHeight="1">
      <c r="A158" s="493" t="s">
        <v>464</v>
      </c>
      <c r="B158" s="494"/>
      <c r="C158" s="496" t="str">
        <f t="array" ref="C158">IF(TRIM(B158)="","",LET(k,TRIM(B158),p,IFERROR(XMATCH("*"&amp;k&amp;"*",$B$115:$B$156,2),IFERROR(XMATCH("*"&amp;k&amp;"*",$F$115:$F$156,2),0)),IF(p=0,"Không tìm thấy",INDEX($B$115:$B$156,p)&amp;" | "&amp;INDEX($F$115:$F$156,p)&amp;" | Dòng "&amp;(p+102))))</f>
        <v/>
      </c>
      <c r="D158" s="348"/>
      <c r="E158" s="348"/>
      <c r="F158" s="348"/>
      <c r="G158" s="348"/>
      <c r="H158" s="348"/>
      <c r="I158" s="348"/>
      <c r="J158" s="348"/>
      <c r="K158" s="348"/>
      <c r="L158" s="348"/>
      <c r="M158" s="348"/>
      <c r="N158" s="350"/>
      <c r="O158" s="497"/>
      <c r="P158" s="497"/>
      <c r="Q158" s="354"/>
      <c r="R158" s="354"/>
      <c r="S158" s="498"/>
      <c r="T158" s="362"/>
      <c r="U158" s="362"/>
      <c r="V158" s="348"/>
      <c r="W158" s="362"/>
      <c r="X158" s="498"/>
      <c r="Y158" s="348"/>
      <c r="Z158" s="348"/>
      <c r="AA158" s="489"/>
      <c r="AB158" s="511"/>
      <c r="AC158" s="512"/>
      <c r="AD158" s="513"/>
      <c r="AE158" s="511"/>
    </row>
    <row r="159" ht="15.75" customHeight="1">
      <c r="A159" s="369">
        <f t="shared" ref="A159:A193" si="15">IF(OR($B159="",$C159=""),"",COUNTIFS($C$67:$C159,$C159,$B$67:$B159,"&lt;&gt;"))</f>
        <v>1</v>
      </c>
      <c r="B159" s="370" t="s">
        <v>465</v>
      </c>
      <c r="C159" s="370" t="s">
        <v>27</v>
      </c>
      <c r="D159" s="370" t="s">
        <v>358</v>
      </c>
      <c r="E159" s="372">
        <v>2026.0</v>
      </c>
      <c r="F159" s="373" t="s">
        <v>466</v>
      </c>
      <c r="G159" s="370" t="s">
        <v>467</v>
      </c>
      <c r="H159" s="371"/>
      <c r="I159" s="370" t="s">
        <v>122</v>
      </c>
      <c r="J159" s="370" t="s">
        <v>242</v>
      </c>
      <c r="K159" s="370" t="s">
        <v>242</v>
      </c>
      <c r="L159" s="370" t="s">
        <v>296</v>
      </c>
      <c r="M159" s="401" t="s">
        <v>244</v>
      </c>
      <c r="N159" s="514">
        <v>0.65</v>
      </c>
      <c r="O159" s="402" t="s">
        <v>248</v>
      </c>
      <c r="P159" s="412"/>
      <c r="Q159" s="403">
        <v>46249.0</v>
      </c>
      <c r="R159" s="404">
        <v>46237.0</v>
      </c>
      <c r="S159" s="405"/>
      <c r="T159" s="406">
        <v>16.0</v>
      </c>
      <c r="U159" s="408">
        <f>IF(B159="","",IF(Z159="Có",'Lớp 5 - Phân công'!AI14,T159))</f>
        <v>16</v>
      </c>
      <c r="V159" s="370" t="s">
        <v>250</v>
      </c>
      <c r="W159" s="406">
        <v>8.0</v>
      </c>
      <c r="X159" s="409"/>
      <c r="Y159" s="371"/>
      <c r="Z159" s="371" t="str">
        <f t="shared" ref="Z159:Z193" si="16">IF(B159="","",IF(COUNTIF($D$67:$D$212,B159)&gt;0,"Có","Không"))</f>
        <v>Không</v>
      </c>
      <c r="AA159" s="315"/>
      <c r="AD159" s="54"/>
    </row>
    <row r="160" ht="15.75" customHeight="1">
      <c r="A160" s="369">
        <f t="shared" si="15"/>
        <v>2</v>
      </c>
      <c r="B160" s="370" t="s">
        <v>468</v>
      </c>
      <c r="C160" s="370" t="s">
        <v>27</v>
      </c>
      <c r="D160" s="370" t="s">
        <v>358</v>
      </c>
      <c r="E160" s="372">
        <v>2026.0</v>
      </c>
      <c r="F160" s="373" t="s">
        <v>469</v>
      </c>
      <c r="G160" s="370" t="s">
        <v>470</v>
      </c>
      <c r="H160" s="371"/>
      <c r="I160" s="370" t="s">
        <v>122</v>
      </c>
      <c r="J160" s="370" t="s">
        <v>242</v>
      </c>
      <c r="K160" s="370" t="s">
        <v>242</v>
      </c>
      <c r="L160" s="370" t="s">
        <v>296</v>
      </c>
      <c r="M160" s="401" t="s">
        <v>244</v>
      </c>
      <c r="N160" s="514">
        <v>0.65</v>
      </c>
      <c r="O160" s="402" t="s">
        <v>248</v>
      </c>
      <c r="P160" s="412"/>
      <c r="Q160" s="403">
        <v>46254.0</v>
      </c>
      <c r="R160" s="404">
        <v>46250.0</v>
      </c>
      <c r="S160" s="405"/>
      <c r="T160" s="406">
        <v>4.0</v>
      </c>
      <c r="U160" s="408">
        <f>IF(B160="","",IF(Z160="Có",'Lớp 5 - Phân công'!AI15,T160))</f>
        <v>4</v>
      </c>
      <c r="V160" s="370" t="s">
        <v>250</v>
      </c>
      <c r="W160" s="406">
        <v>4.0</v>
      </c>
      <c r="X160" s="409"/>
      <c r="Y160" s="371"/>
      <c r="Z160" s="371" t="str">
        <f t="shared" si="16"/>
        <v>Không</v>
      </c>
      <c r="AA160" s="315"/>
    </row>
    <row r="161" ht="15.75" customHeight="1">
      <c r="A161" s="369">
        <f t="shared" si="15"/>
        <v>3</v>
      </c>
      <c r="B161" s="370" t="s">
        <v>471</v>
      </c>
      <c r="C161" s="370" t="s">
        <v>27</v>
      </c>
      <c r="D161" s="370" t="s">
        <v>358</v>
      </c>
      <c r="E161" s="372">
        <v>2026.0</v>
      </c>
      <c r="F161" s="373" t="s">
        <v>472</v>
      </c>
      <c r="G161" s="370" t="s">
        <v>473</v>
      </c>
      <c r="H161" s="371"/>
      <c r="I161" s="370" t="s">
        <v>122</v>
      </c>
      <c r="J161" s="370" t="s">
        <v>242</v>
      </c>
      <c r="K161" s="370" t="s">
        <v>258</v>
      </c>
      <c r="L161" s="370" t="s">
        <v>296</v>
      </c>
      <c r="M161" s="401" t="s">
        <v>244</v>
      </c>
      <c r="N161" s="514">
        <v>0.65</v>
      </c>
      <c r="O161" s="402" t="s">
        <v>248</v>
      </c>
      <c r="P161" s="412"/>
      <c r="Q161" s="403">
        <v>46264.0</v>
      </c>
      <c r="R161" s="404">
        <v>46255.0</v>
      </c>
      <c r="S161" s="405"/>
      <c r="T161" s="406">
        <v>16.0</v>
      </c>
      <c r="U161" s="408">
        <f>IF(B161="","",IF(Z161="Có",'Lớp 5 - Phân công'!AI16,T161))</f>
        <v>16</v>
      </c>
      <c r="V161" s="370" t="s">
        <v>250</v>
      </c>
      <c r="W161" s="406">
        <v>16.0</v>
      </c>
      <c r="X161" s="409"/>
      <c r="Y161" s="371"/>
      <c r="Z161" s="371" t="str">
        <f t="shared" si="16"/>
        <v>Không</v>
      </c>
      <c r="AA161" s="315"/>
    </row>
    <row r="162" ht="15.75" customHeight="1">
      <c r="A162" s="369">
        <f t="shared" si="15"/>
        <v>4</v>
      </c>
      <c r="B162" s="370" t="s">
        <v>474</v>
      </c>
      <c r="C162" s="370" t="s">
        <v>27</v>
      </c>
      <c r="D162" s="370" t="s">
        <v>358</v>
      </c>
      <c r="E162" s="372">
        <v>2026.0</v>
      </c>
      <c r="F162" s="373" t="s">
        <v>475</v>
      </c>
      <c r="G162" s="370" t="s">
        <v>476</v>
      </c>
      <c r="H162" s="371"/>
      <c r="I162" s="370" t="s">
        <v>122</v>
      </c>
      <c r="J162" s="370" t="s">
        <v>242</v>
      </c>
      <c r="K162" s="370" t="s">
        <v>258</v>
      </c>
      <c r="L162" s="370" t="s">
        <v>296</v>
      </c>
      <c r="M162" s="401" t="s">
        <v>244</v>
      </c>
      <c r="N162" s="500">
        <f t="shared" ref="N162:N193" si="17">IF(B162="","",IF(OR(L162="Chưa lên lịch",L162="Đã lên lịch",L162="Hủy"),"",IF(COUNTIFS($D$67:$D$212,B162,$L$67:$L$212,"&lt;&gt;",$L$67:$L$212,"&lt;&gt;Hủy",$L$67:$L$212,"&lt;&gt;Chưa lên lịch",$L$67:$L$212,"&lt;&gt;Đã lên lịch")&gt;0,AVERAGEIFS($N$67:$N$212,$D$67:$D$212,B162,$L$67:$L$212,"&lt;&gt;",$L$67:$L$212,"&lt;&gt;Hủy",$L$67:$L$212,"&lt;&gt;Chưa lên lịch",$L$67:$L$212,"&lt;&gt;Đã lên lịch"),IF(L162="Hoàn thành",1,0))))</f>
        <v>0</v>
      </c>
      <c r="O162" s="402" t="s">
        <v>248</v>
      </c>
      <c r="P162" s="412"/>
      <c r="Q162" s="403">
        <v>46270.0</v>
      </c>
      <c r="R162" s="404">
        <v>46265.0</v>
      </c>
      <c r="S162" s="405"/>
      <c r="T162" s="406">
        <v>8.0</v>
      </c>
      <c r="U162" s="408">
        <f>IF(B162="","",IF(Z162="Có",'Lớp 5 - Phân công'!AI17,T162))</f>
        <v>8</v>
      </c>
      <c r="V162" s="370" t="s">
        <v>250</v>
      </c>
      <c r="W162" s="406">
        <v>8.0</v>
      </c>
      <c r="X162" s="409"/>
      <c r="Y162" s="371"/>
      <c r="Z162" s="371" t="str">
        <f t="shared" si="16"/>
        <v>Không</v>
      </c>
      <c r="AA162" s="315"/>
    </row>
    <row r="163" ht="15.75" customHeight="1">
      <c r="A163" s="369">
        <f t="shared" si="15"/>
        <v>5</v>
      </c>
      <c r="B163" s="370" t="s">
        <v>477</v>
      </c>
      <c r="C163" s="370" t="s">
        <v>27</v>
      </c>
      <c r="D163" s="370" t="s">
        <v>358</v>
      </c>
      <c r="E163" s="372">
        <v>2026.0</v>
      </c>
      <c r="F163" s="373" t="s">
        <v>478</v>
      </c>
      <c r="G163" s="370" t="s">
        <v>479</v>
      </c>
      <c r="H163" s="371"/>
      <c r="I163" s="370" t="s">
        <v>122</v>
      </c>
      <c r="J163" s="370" t="s">
        <v>242</v>
      </c>
      <c r="K163" s="370" t="s">
        <v>258</v>
      </c>
      <c r="L163" s="370" t="s">
        <v>243</v>
      </c>
      <c r="M163" s="401" t="s">
        <v>244</v>
      </c>
      <c r="N163" s="500" t="str">
        <f t="shared" si="17"/>
        <v/>
      </c>
      <c r="O163" s="402" t="s">
        <v>248</v>
      </c>
      <c r="P163" s="412"/>
      <c r="Q163" s="403">
        <v>46305.0</v>
      </c>
      <c r="R163" s="404">
        <v>46271.0</v>
      </c>
      <c r="S163" s="405"/>
      <c r="T163" s="406">
        <v>96.0</v>
      </c>
      <c r="U163" s="408">
        <f>IF(B163="","",IF(Z163="Có",'Lớp 5 - Phân công'!AI18,T163))</f>
        <v>96</v>
      </c>
      <c r="V163" s="370" t="s">
        <v>250</v>
      </c>
      <c r="W163" s="406">
        <v>32.0</v>
      </c>
      <c r="X163" s="409"/>
      <c r="Y163" s="371"/>
      <c r="Z163" s="371" t="str">
        <f t="shared" si="16"/>
        <v>Không</v>
      </c>
      <c r="AA163" s="315"/>
    </row>
    <row r="164" ht="15.75" customHeight="1">
      <c r="A164" s="369">
        <f t="shared" si="15"/>
        <v>6</v>
      </c>
      <c r="B164" s="370" t="s">
        <v>480</v>
      </c>
      <c r="C164" s="370" t="s">
        <v>27</v>
      </c>
      <c r="D164" s="370" t="s">
        <v>361</v>
      </c>
      <c r="E164" s="372">
        <v>2026.0</v>
      </c>
      <c r="F164" s="373" t="s">
        <v>481</v>
      </c>
      <c r="G164" s="370" t="s">
        <v>482</v>
      </c>
      <c r="H164" s="371"/>
      <c r="I164" s="370" t="s">
        <v>122</v>
      </c>
      <c r="J164" s="370" t="s">
        <v>242</v>
      </c>
      <c r="K164" s="370" t="s">
        <v>258</v>
      </c>
      <c r="L164" s="370" t="s">
        <v>296</v>
      </c>
      <c r="M164" s="401" t="s">
        <v>244</v>
      </c>
      <c r="N164" s="500">
        <f t="shared" si="17"/>
        <v>0</v>
      </c>
      <c r="O164" s="402" t="s">
        <v>248</v>
      </c>
      <c r="P164" s="412"/>
      <c r="Q164" s="403">
        <v>46290.0</v>
      </c>
      <c r="R164" s="404">
        <v>46280.0</v>
      </c>
      <c r="S164" s="405"/>
      <c r="T164" s="406">
        <v>16.0</v>
      </c>
      <c r="U164" s="408">
        <f>IF(B164="","",IF(Z164="Có",'Lớp 5 - Phân công'!AI19,T164))</f>
        <v>16</v>
      </c>
      <c r="V164" s="370" t="s">
        <v>250</v>
      </c>
      <c r="W164" s="406">
        <v>4.0</v>
      </c>
      <c r="X164" s="409"/>
      <c r="Y164" s="371"/>
      <c r="Z164" s="371" t="str">
        <f t="shared" si="16"/>
        <v>Không</v>
      </c>
      <c r="AA164" s="315"/>
    </row>
    <row r="165" ht="15.75" customHeight="1">
      <c r="A165" s="369">
        <f t="shared" si="15"/>
        <v>7</v>
      </c>
      <c r="B165" s="370" t="s">
        <v>483</v>
      </c>
      <c r="C165" s="370" t="s">
        <v>27</v>
      </c>
      <c r="D165" s="370" t="s">
        <v>361</v>
      </c>
      <c r="E165" s="372">
        <v>2026.0</v>
      </c>
      <c r="F165" s="373" t="s">
        <v>484</v>
      </c>
      <c r="G165" s="370" t="s">
        <v>485</v>
      </c>
      <c r="H165" s="371"/>
      <c r="I165" s="370" t="s">
        <v>122</v>
      </c>
      <c r="J165" s="370" t="s">
        <v>242</v>
      </c>
      <c r="K165" s="370" t="s">
        <v>258</v>
      </c>
      <c r="L165" s="370" t="s">
        <v>296</v>
      </c>
      <c r="M165" s="401" t="s">
        <v>244</v>
      </c>
      <c r="N165" s="500">
        <f t="shared" si="17"/>
        <v>0</v>
      </c>
      <c r="O165" s="402" t="s">
        <v>248</v>
      </c>
      <c r="P165" s="412"/>
      <c r="Q165" s="403">
        <v>46300.0</v>
      </c>
      <c r="R165" s="404">
        <v>46291.0</v>
      </c>
      <c r="S165" s="405"/>
      <c r="T165" s="406">
        <v>8.0</v>
      </c>
      <c r="U165" s="408">
        <f>IF(B165="","",IF(Z165="Có",'Lớp 5 - Phân công'!AI20,T165))</f>
        <v>8</v>
      </c>
      <c r="V165" s="370" t="s">
        <v>250</v>
      </c>
      <c r="W165" s="406">
        <v>4.0</v>
      </c>
      <c r="X165" s="409"/>
      <c r="Y165" s="371"/>
      <c r="Z165" s="371" t="str">
        <f t="shared" si="16"/>
        <v>Không</v>
      </c>
      <c r="AA165" s="315"/>
    </row>
    <row r="166" ht="15.75" customHeight="1">
      <c r="A166" s="369">
        <f t="shared" si="15"/>
        <v>8</v>
      </c>
      <c r="B166" s="370" t="s">
        <v>486</v>
      </c>
      <c r="C166" s="370" t="s">
        <v>27</v>
      </c>
      <c r="D166" s="370" t="s">
        <v>361</v>
      </c>
      <c r="E166" s="372">
        <v>2026.0</v>
      </c>
      <c r="F166" s="373" t="s">
        <v>487</v>
      </c>
      <c r="G166" s="370" t="s">
        <v>488</v>
      </c>
      <c r="H166" s="371"/>
      <c r="I166" s="370" t="s">
        <v>122</v>
      </c>
      <c r="J166" s="370" t="s">
        <v>242</v>
      </c>
      <c r="K166" s="370" t="s">
        <v>258</v>
      </c>
      <c r="L166" s="370" t="s">
        <v>296</v>
      </c>
      <c r="M166" s="401" t="s">
        <v>244</v>
      </c>
      <c r="N166" s="500">
        <f t="shared" si="17"/>
        <v>0</v>
      </c>
      <c r="O166" s="402" t="s">
        <v>248</v>
      </c>
      <c r="P166" s="412"/>
      <c r="Q166" s="403">
        <v>46295.0</v>
      </c>
      <c r="R166" s="404">
        <v>46291.0</v>
      </c>
      <c r="S166" s="405"/>
      <c r="T166" s="406">
        <v>24.0</v>
      </c>
      <c r="U166" s="408">
        <f>IF(B166="","",IF(Z166="Có",'Lớp 5 - Phân công'!AI21,T166))</f>
        <v>24</v>
      </c>
      <c r="V166" s="370" t="s">
        <v>250</v>
      </c>
      <c r="W166" s="406">
        <v>4.0</v>
      </c>
      <c r="X166" s="409"/>
      <c r="Y166" s="371"/>
      <c r="Z166" s="371" t="str">
        <f t="shared" si="16"/>
        <v>Không</v>
      </c>
      <c r="AA166" s="315"/>
    </row>
    <row r="167" ht="15.75" customHeight="1">
      <c r="A167" s="369">
        <f t="shared" si="15"/>
        <v>9</v>
      </c>
      <c r="B167" s="370" t="s">
        <v>489</v>
      </c>
      <c r="C167" s="370" t="s">
        <v>27</v>
      </c>
      <c r="D167" s="370" t="s">
        <v>361</v>
      </c>
      <c r="E167" s="372">
        <v>2026.0</v>
      </c>
      <c r="F167" s="373" t="s">
        <v>490</v>
      </c>
      <c r="G167" s="370" t="s">
        <v>491</v>
      </c>
      <c r="H167" s="371"/>
      <c r="I167" s="370" t="s">
        <v>122</v>
      </c>
      <c r="J167" s="370" t="s">
        <v>242</v>
      </c>
      <c r="K167" s="370" t="s">
        <v>258</v>
      </c>
      <c r="L167" s="370" t="s">
        <v>243</v>
      </c>
      <c r="M167" s="401" t="s">
        <v>244</v>
      </c>
      <c r="N167" s="500" t="str">
        <f t="shared" si="17"/>
        <v/>
      </c>
      <c r="O167" s="402" t="s">
        <v>248</v>
      </c>
      <c r="P167" s="412"/>
      <c r="Q167" s="403">
        <v>46297.0</v>
      </c>
      <c r="R167" s="404">
        <v>46296.0</v>
      </c>
      <c r="S167" s="405"/>
      <c r="T167" s="406">
        <v>16.0</v>
      </c>
      <c r="U167" s="408">
        <f>IF(B167="","",IF(Z167="Có",'Lớp 5 - Phân công'!AI22,T167))</f>
        <v>16</v>
      </c>
      <c r="V167" s="370" t="s">
        <v>250</v>
      </c>
      <c r="W167" s="406">
        <v>4.0</v>
      </c>
      <c r="X167" s="409"/>
      <c r="Y167" s="371"/>
      <c r="Z167" s="371" t="str">
        <f t="shared" si="16"/>
        <v>Không</v>
      </c>
      <c r="AA167" s="315"/>
    </row>
    <row r="168" ht="15.75" customHeight="1">
      <c r="A168" s="369">
        <f t="shared" si="15"/>
        <v>10</v>
      </c>
      <c r="B168" s="370" t="s">
        <v>492</v>
      </c>
      <c r="C168" s="370" t="s">
        <v>27</v>
      </c>
      <c r="D168" s="370" t="s">
        <v>361</v>
      </c>
      <c r="E168" s="372">
        <v>2026.0</v>
      </c>
      <c r="F168" s="373" t="s">
        <v>493</v>
      </c>
      <c r="G168" s="370" t="s">
        <v>494</v>
      </c>
      <c r="H168" s="371"/>
      <c r="I168" s="370" t="s">
        <v>122</v>
      </c>
      <c r="J168" s="370" t="s">
        <v>242</v>
      </c>
      <c r="K168" s="370" t="s">
        <v>258</v>
      </c>
      <c r="L168" s="370" t="s">
        <v>243</v>
      </c>
      <c r="M168" s="401" t="s">
        <v>244</v>
      </c>
      <c r="N168" s="500" t="str">
        <f t="shared" si="17"/>
        <v/>
      </c>
      <c r="O168" s="402" t="s">
        <v>248</v>
      </c>
      <c r="P168" s="412"/>
      <c r="Q168" s="403">
        <v>46310.0</v>
      </c>
      <c r="R168" s="404">
        <v>46298.0</v>
      </c>
      <c r="S168" s="405"/>
      <c r="T168" s="406">
        <v>16.0</v>
      </c>
      <c r="U168" s="408">
        <f>IF(B168="","",IF(Z168="Có",'Lớp 5 - Phân công'!AI23,T168))</f>
        <v>16</v>
      </c>
      <c r="V168" s="370" t="s">
        <v>250</v>
      </c>
      <c r="W168" s="406">
        <v>4.0</v>
      </c>
      <c r="X168" s="409"/>
      <c r="Y168" s="371"/>
      <c r="Z168" s="371" t="str">
        <f t="shared" si="16"/>
        <v>Không</v>
      </c>
      <c r="AA168" s="315"/>
    </row>
    <row r="169" ht="15.75" customHeight="1">
      <c r="A169" s="369">
        <f t="shared" si="15"/>
        <v>11</v>
      </c>
      <c r="B169" s="370" t="s">
        <v>495</v>
      </c>
      <c r="C169" s="370" t="s">
        <v>27</v>
      </c>
      <c r="D169" s="370" t="s">
        <v>364</v>
      </c>
      <c r="E169" s="372">
        <v>2026.0</v>
      </c>
      <c r="F169" s="373" t="s">
        <v>496</v>
      </c>
      <c r="G169" s="370" t="s">
        <v>497</v>
      </c>
      <c r="H169" s="371"/>
      <c r="I169" s="370" t="s">
        <v>122</v>
      </c>
      <c r="J169" s="370" t="s">
        <v>242</v>
      </c>
      <c r="K169" s="370" t="s">
        <v>258</v>
      </c>
      <c r="L169" s="370" t="s">
        <v>296</v>
      </c>
      <c r="M169" s="401" t="s">
        <v>254</v>
      </c>
      <c r="N169" s="500">
        <f t="shared" si="17"/>
        <v>0</v>
      </c>
      <c r="O169" s="402" t="s">
        <v>248</v>
      </c>
      <c r="P169" s="412"/>
      <c r="Q169" s="403">
        <v>46300.0</v>
      </c>
      <c r="R169" s="404">
        <v>46290.0</v>
      </c>
      <c r="S169" s="405"/>
      <c r="T169" s="406">
        <v>16.0</v>
      </c>
      <c r="U169" s="408">
        <f>IF(B169="","",IF(Z169="Có",'Lớp 5 - Phân công'!AI24,T169))</f>
        <v>16</v>
      </c>
      <c r="V169" s="370" t="s">
        <v>250</v>
      </c>
      <c r="W169" s="406">
        <v>4.0</v>
      </c>
      <c r="X169" s="409"/>
      <c r="Y169" s="371"/>
      <c r="Z169" s="371" t="str">
        <f t="shared" si="16"/>
        <v>Không</v>
      </c>
      <c r="AA169" s="315"/>
    </row>
    <row r="170" ht="15.75" customHeight="1">
      <c r="A170" s="369">
        <f t="shared" si="15"/>
        <v>12</v>
      </c>
      <c r="B170" s="370" t="s">
        <v>498</v>
      </c>
      <c r="C170" s="370" t="s">
        <v>27</v>
      </c>
      <c r="D170" s="370" t="s">
        <v>364</v>
      </c>
      <c r="E170" s="372">
        <v>2026.0</v>
      </c>
      <c r="F170" s="373" t="s">
        <v>499</v>
      </c>
      <c r="G170" s="370" t="s">
        <v>500</v>
      </c>
      <c r="H170" s="371"/>
      <c r="I170" s="370" t="s">
        <v>122</v>
      </c>
      <c r="J170" s="370" t="s">
        <v>242</v>
      </c>
      <c r="K170" s="370" t="s">
        <v>258</v>
      </c>
      <c r="L170" s="370" t="s">
        <v>296</v>
      </c>
      <c r="M170" s="401" t="s">
        <v>254</v>
      </c>
      <c r="N170" s="500">
        <f t="shared" si="17"/>
        <v>0</v>
      </c>
      <c r="O170" s="402" t="s">
        <v>248</v>
      </c>
      <c r="P170" s="412"/>
      <c r="Q170" s="403">
        <v>46310.0</v>
      </c>
      <c r="R170" s="404">
        <v>46301.0</v>
      </c>
      <c r="S170" s="405"/>
      <c r="T170" s="406">
        <v>8.0</v>
      </c>
      <c r="U170" s="408">
        <f>IF(B170="","",IF(Z170="Có",'Lớp 5 - Phân công'!AI25,T170))</f>
        <v>8</v>
      </c>
      <c r="V170" s="370" t="s">
        <v>250</v>
      </c>
      <c r="W170" s="406">
        <v>4.0</v>
      </c>
      <c r="X170" s="409"/>
      <c r="Y170" s="371"/>
      <c r="Z170" s="371" t="str">
        <f t="shared" si="16"/>
        <v>Không</v>
      </c>
      <c r="AA170" s="315"/>
    </row>
    <row r="171" ht="15.75" customHeight="1">
      <c r="A171" s="369">
        <f t="shared" si="15"/>
        <v>13</v>
      </c>
      <c r="B171" s="370" t="s">
        <v>501</v>
      </c>
      <c r="C171" s="370" t="s">
        <v>27</v>
      </c>
      <c r="D171" s="370" t="s">
        <v>364</v>
      </c>
      <c r="E171" s="372">
        <v>2026.0</v>
      </c>
      <c r="F171" s="373" t="s">
        <v>502</v>
      </c>
      <c r="G171" s="370" t="s">
        <v>503</v>
      </c>
      <c r="H171" s="371"/>
      <c r="I171" s="370" t="s">
        <v>122</v>
      </c>
      <c r="J171" s="370" t="s">
        <v>242</v>
      </c>
      <c r="K171" s="370" t="s">
        <v>258</v>
      </c>
      <c r="L171" s="370" t="s">
        <v>296</v>
      </c>
      <c r="M171" s="401" t="s">
        <v>254</v>
      </c>
      <c r="N171" s="500">
        <f t="shared" si="17"/>
        <v>0</v>
      </c>
      <c r="O171" s="402" t="s">
        <v>248</v>
      </c>
      <c r="P171" s="412"/>
      <c r="Q171" s="403">
        <v>46305.0</v>
      </c>
      <c r="R171" s="404">
        <v>46301.0</v>
      </c>
      <c r="S171" s="405"/>
      <c r="T171" s="406">
        <v>24.0</v>
      </c>
      <c r="U171" s="408">
        <f>IF(B171="","",IF(Z171="Có",'Lớp 5 - Phân công'!AI26,T171))</f>
        <v>24</v>
      </c>
      <c r="V171" s="370" t="s">
        <v>250</v>
      </c>
      <c r="W171" s="406">
        <v>4.0</v>
      </c>
      <c r="X171" s="409"/>
      <c r="Y171" s="371"/>
      <c r="Z171" s="371" t="str">
        <f t="shared" si="16"/>
        <v>Không</v>
      </c>
      <c r="AA171" s="315"/>
    </row>
    <row r="172" ht="15.75" customHeight="1">
      <c r="A172" s="369">
        <f t="shared" si="15"/>
        <v>14</v>
      </c>
      <c r="B172" s="370" t="s">
        <v>504</v>
      </c>
      <c r="C172" s="370" t="s">
        <v>27</v>
      </c>
      <c r="D172" s="370" t="s">
        <v>364</v>
      </c>
      <c r="E172" s="372">
        <v>2026.0</v>
      </c>
      <c r="F172" s="373" t="s">
        <v>505</v>
      </c>
      <c r="G172" s="370" t="s">
        <v>506</v>
      </c>
      <c r="H172" s="371"/>
      <c r="I172" s="370" t="s">
        <v>122</v>
      </c>
      <c r="J172" s="370" t="s">
        <v>242</v>
      </c>
      <c r="K172" s="370" t="s">
        <v>258</v>
      </c>
      <c r="L172" s="370" t="s">
        <v>243</v>
      </c>
      <c r="M172" s="401" t="s">
        <v>254</v>
      </c>
      <c r="N172" s="500" t="str">
        <f t="shared" si="17"/>
        <v/>
      </c>
      <c r="O172" s="402" t="s">
        <v>248</v>
      </c>
      <c r="P172" s="412"/>
      <c r="Q172" s="403">
        <v>46307.0</v>
      </c>
      <c r="R172" s="404">
        <v>46306.0</v>
      </c>
      <c r="S172" s="405"/>
      <c r="T172" s="406">
        <v>16.0</v>
      </c>
      <c r="U172" s="408">
        <f>IF(B172="","",IF(Z172="Có",'Lớp 5 - Phân công'!AI27,T172))</f>
        <v>16</v>
      </c>
      <c r="V172" s="370" t="s">
        <v>250</v>
      </c>
      <c r="W172" s="406">
        <v>4.0</v>
      </c>
      <c r="X172" s="409"/>
      <c r="Y172" s="371"/>
      <c r="Z172" s="371" t="str">
        <f t="shared" si="16"/>
        <v>Không</v>
      </c>
      <c r="AA172" s="315"/>
    </row>
    <row r="173" ht="15.75" customHeight="1">
      <c r="A173" s="369">
        <f t="shared" si="15"/>
        <v>15</v>
      </c>
      <c r="B173" s="370" t="s">
        <v>507</v>
      </c>
      <c r="C173" s="370" t="s">
        <v>27</v>
      </c>
      <c r="D173" s="370" t="s">
        <v>364</v>
      </c>
      <c r="E173" s="372">
        <v>2026.0</v>
      </c>
      <c r="F173" s="373" t="s">
        <v>508</v>
      </c>
      <c r="G173" s="370" t="s">
        <v>509</v>
      </c>
      <c r="H173" s="371"/>
      <c r="I173" s="370" t="s">
        <v>122</v>
      </c>
      <c r="J173" s="370" t="s">
        <v>242</v>
      </c>
      <c r="K173" s="370" t="s">
        <v>258</v>
      </c>
      <c r="L173" s="370" t="s">
        <v>243</v>
      </c>
      <c r="M173" s="401" t="s">
        <v>254</v>
      </c>
      <c r="N173" s="500" t="str">
        <f t="shared" si="17"/>
        <v/>
      </c>
      <c r="O173" s="402" t="s">
        <v>248</v>
      </c>
      <c r="P173" s="412"/>
      <c r="Q173" s="403">
        <v>46320.0</v>
      </c>
      <c r="R173" s="404">
        <v>46308.0</v>
      </c>
      <c r="S173" s="405"/>
      <c r="T173" s="406">
        <v>16.0</v>
      </c>
      <c r="U173" s="408">
        <f>IF(B173="","",IF(Z173="Có",'Lớp 5 - Phân công'!AI28,T173))</f>
        <v>16</v>
      </c>
      <c r="V173" s="370" t="s">
        <v>250</v>
      </c>
      <c r="W173" s="406">
        <v>4.0</v>
      </c>
      <c r="X173" s="409"/>
      <c r="Y173" s="371"/>
      <c r="Z173" s="371" t="str">
        <f t="shared" si="16"/>
        <v>Không</v>
      </c>
      <c r="AA173" s="315"/>
    </row>
    <row r="174" ht="15.75" customHeight="1">
      <c r="A174" s="369">
        <f t="shared" si="15"/>
        <v>16</v>
      </c>
      <c r="B174" s="370" t="s">
        <v>510</v>
      </c>
      <c r="C174" s="370" t="s">
        <v>27</v>
      </c>
      <c r="D174" s="370" t="s">
        <v>367</v>
      </c>
      <c r="E174" s="372">
        <v>2026.0</v>
      </c>
      <c r="F174" s="373" t="s">
        <v>511</v>
      </c>
      <c r="G174" s="370" t="s">
        <v>512</v>
      </c>
      <c r="H174" s="371"/>
      <c r="I174" s="370" t="s">
        <v>122</v>
      </c>
      <c r="J174" s="370" t="s">
        <v>242</v>
      </c>
      <c r="K174" s="370" t="s">
        <v>258</v>
      </c>
      <c r="L174" s="370" t="s">
        <v>296</v>
      </c>
      <c r="M174" s="401" t="s">
        <v>254</v>
      </c>
      <c r="N174" s="500">
        <f t="shared" si="17"/>
        <v>0</v>
      </c>
      <c r="O174" s="402" t="s">
        <v>248</v>
      </c>
      <c r="P174" s="412"/>
      <c r="Q174" s="403">
        <v>46300.0</v>
      </c>
      <c r="R174" s="404">
        <v>46290.0</v>
      </c>
      <c r="S174" s="405"/>
      <c r="T174" s="406">
        <v>16.0</v>
      </c>
      <c r="U174" s="408">
        <f>IF(B174="","",IF(Z174="Có",'Lớp 5 - Phân công'!AI29,T174))</f>
        <v>16</v>
      </c>
      <c r="V174" s="370" t="s">
        <v>250</v>
      </c>
      <c r="W174" s="406">
        <v>4.0</v>
      </c>
      <c r="X174" s="409"/>
      <c r="Y174" s="371"/>
      <c r="Z174" s="371" t="str">
        <f t="shared" si="16"/>
        <v>Không</v>
      </c>
      <c r="AA174" s="315"/>
    </row>
    <row r="175" ht="15.75" customHeight="1">
      <c r="A175" s="369">
        <f t="shared" si="15"/>
        <v>17</v>
      </c>
      <c r="B175" s="370" t="s">
        <v>513</v>
      </c>
      <c r="C175" s="370" t="s">
        <v>27</v>
      </c>
      <c r="D175" s="370" t="s">
        <v>367</v>
      </c>
      <c r="E175" s="372">
        <v>2026.0</v>
      </c>
      <c r="F175" s="373" t="s">
        <v>514</v>
      </c>
      <c r="G175" s="370" t="s">
        <v>515</v>
      </c>
      <c r="H175" s="371"/>
      <c r="I175" s="370" t="s">
        <v>122</v>
      </c>
      <c r="J175" s="370" t="s">
        <v>242</v>
      </c>
      <c r="K175" s="370" t="s">
        <v>258</v>
      </c>
      <c r="L175" s="370" t="s">
        <v>296</v>
      </c>
      <c r="M175" s="401" t="s">
        <v>254</v>
      </c>
      <c r="N175" s="500">
        <f t="shared" si="17"/>
        <v>0</v>
      </c>
      <c r="O175" s="402" t="s">
        <v>248</v>
      </c>
      <c r="P175" s="412"/>
      <c r="Q175" s="403">
        <v>46310.0</v>
      </c>
      <c r="R175" s="404">
        <v>46301.0</v>
      </c>
      <c r="S175" s="405"/>
      <c r="T175" s="406">
        <v>8.0</v>
      </c>
      <c r="U175" s="408">
        <f>IF(B175="","",IF(Z175="Có",'Lớp 5 - Phân công'!AI30,T175))</f>
        <v>8</v>
      </c>
      <c r="V175" s="370" t="s">
        <v>250</v>
      </c>
      <c r="W175" s="406">
        <v>4.0</v>
      </c>
      <c r="X175" s="409"/>
      <c r="Y175" s="371"/>
      <c r="Z175" s="371" t="str">
        <f t="shared" si="16"/>
        <v>Không</v>
      </c>
      <c r="AA175" s="315"/>
    </row>
    <row r="176" ht="15.75" customHeight="1">
      <c r="A176" s="369">
        <f t="shared" si="15"/>
        <v>18</v>
      </c>
      <c r="B176" s="370" t="s">
        <v>516</v>
      </c>
      <c r="C176" s="370" t="s">
        <v>27</v>
      </c>
      <c r="D176" s="370" t="s">
        <v>367</v>
      </c>
      <c r="E176" s="372">
        <v>2026.0</v>
      </c>
      <c r="F176" s="373" t="s">
        <v>517</v>
      </c>
      <c r="G176" s="370" t="s">
        <v>518</v>
      </c>
      <c r="H176" s="371"/>
      <c r="I176" s="370" t="s">
        <v>122</v>
      </c>
      <c r="J176" s="370" t="s">
        <v>242</v>
      </c>
      <c r="K176" s="370" t="s">
        <v>258</v>
      </c>
      <c r="L176" s="370" t="s">
        <v>296</v>
      </c>
      <c r="M176" s="401" t="s">
        <v>254</v>
      </c>
      <c r="N176" s="500">
        <f t="shared" si="17"/>
        <v>0</v>
      </c>
      <c r="O176" s="402" t="s">
        <v>248</v>
      </c>
      <c r="P176" s="412"/>
      <c r="Q176" s="403">
        <v>46275.0</v>
      </c>
      <c r="R176" s="404">
        <v>46301.0</v>
      </c>
      <c r="S176" s="405"/>
      <c r="T176" s="406">
        <v>24.0</v>
      </c>
      <c r="U176" s="408">
        <f>IF(B176="","",IF(Z176="Có",'Lớp 5 - Phân công'!AI31,T176))</f>
        <v>24</v>
      </c>
      <c r="V176" s="370" t="s">
        <v>250</v>
      </c>
      <c r="W176" s="406">
        <v>4.0</v>
      </c>
      <c r="X176" s="409"/>
      <c r="Y176" s="371"/>
      <c r="Z176" s="371" t="str">
        <f t="shared" si="16"/>
        <v>Không</v>
      </c>
      <c r="AA176" s="315"/>
    </row>
    <row r="177" ht="15.75" customHeight="1">
      <c r="A177" s="369">
        <f t="shared" si="15"/>
        <v>19</v>
      </c>
      <c r="B177" s="370" t="s">
        <v>519</v>
      </c>
      <c r="C177" s="370" t="s">
        <v>27</v>
      </c>
      <c r="D177" s="370" t="s">
        <v>367</v>
      </c>
      <c r="E177" s="372">
        <v>2026.0</v>
      </c>
      <c r="F177" s="373" t="s">
        <v>520</v>
      </c>
      <c r="G177" s="370" t="s">
        <v>521</v>
      </c>
      <c r="H177" s="371"/>
      <c r="I177" s="370" t="s">
        <v>122</v>
      </c>
      <c r="J177" s="370" t="s">
        <v>242</v>
      </c>
      <c r="K177" s="370" t="s">
        <v>258</v>
      </c>
      <c r="L177" s="370" t="s">
        <v>243</v>
      </c>
      <c r="M177" s="401" t="s">
        <v>254</v>
      </c>
      <c r="N177" s="500" t="str">
        <f t="shared" si="17"/>
        <v/>
      </c>
      <c r="O177" s="402" t="s">
        <v>248</v>
      </c>
      <c r="P177" s="412"/>
      <c r="Q177" s="403">
        <v>46307.0</v>
      </c>
      <c r="R177" s="404">
        <v>46306.0</v>
      </c>
      <c r="S177" s="405"/>
      <c r="T177" s="406">
        <v>16.0</v>
      </c>
      <c r="U177" s="408">
        <f>IF(B177="","",IF(Z177="Có",'Lớp 5 - Phân công'!AI32,T177))</f>
        <v>16</v>
      </c>
      <c r="V177" s="370" t="s">
        <v>250</v>
      </c>
      <c r="W177" s="406">
        <v>4.0</v>
      </c>
      <c r="X177" s="409"/>
      <c r="Y177" s="371"/>
      <c r="Z177" s="371" t="str">
        <f t="shared" si="16"/>
        <v>Không</v>
      </c>
      <c r="AA177" s="315"/>
    </row>
    <row r="178" ht="15.75" customHeight="1">
      <c r="A178" s="369">
        <f t="shared" si="15"/>
        <v>20</v>
      </c>
      <c r="B178" s="370" t="s">
        <v>522</v>
      </c>
      <c r="C178" s="370" t="s">
        <v>27</v>
      </c>
      <c r="D178" s="370" t="s">
        <v>367</v>
      </c>
      <c r="E178" s="372">
        <v>2026.0</v>
      </c>
      <c r="F178" s="373" t="s">
        <v>523</v>
      </c>
      <c r="G178" s="370" t="s">
        <v>524</v>
      </c>
      <c r="H178" s="371"/>
      <c r="I178" s="370" t="s">
        <v>122</v>
      </c>
      <c r="J178" s="370" t="s">
        <v>242</v>
      </c>
      <c r="K178" s="370" t="s">
        <v>258</v>
      </c>
      <c r="L178" s="370" t="s">
        <v>243</v>
      </c>
      <c r="M178" s="401" t="s">
        <v>254</v>
      </c>
      <c r="N178" s="500" t="str">
        <f t="shared" si="17"/>
        <v/>
      </c>
      <c r="O178" s="402" t="s">
        <v>248</v>
      </c>
      <c r="P178" s="412"/>
      <c r="Q178" s="403">
        <v>46320.0</v>
      </c>
      <c r="R178" s="404">
        <v>46308.0</v>
      </c>
      <c r="S178" s="405"/>
      <c r="T178" s="406">
        <v>16.0</v>
      </c>
      <c r="U178" s="408">
        <f>IF(B178="","",IF(Z178="Có",'Lớp 5 - Phân công'!AI33,T178))</f>
        <v>16</v>
      </c>
      <c r="V178" s="370" t="s">
        <v>250</v>
      </c>
      <c r="W178" s="406">
        <v>4.0</v>
      </c>
      <c r="X178" s="409"/>
      <c r="Y178" s="371"/>
      <c r="Z178" s="371" t="str">
        <f t="shared" si="16"/>
        <v>Không</v>
      </c>
      <c r="AA178" s="315"/>
    </row>
    <row r="179" ht="15.75" customHeight="1">
      <c r="A179" s="369">
        <f t="shared" si="15"/>
        <v>21</v>
      </c>
      <c r="B179" s="370" t="s">
        <v>525</v>
      </c>
      <c r="C179" s="370" t="s">
        <v>27</v>
      </c>
      <c r="D179" s="370" t="s">
        <v>370</v>
      </c>
      <c r="E179" s="372">
        <v>2026.0</v>
      </c>
      <c r="F179" s="373" t="s">
        <v>526</v>
      </c>
      <c r="G179" s="370" t="s">
        <v>527</v>
      </c>
      <c r="H179" s="371"/>
      <c r="I179" s="370" t="s">
        <v>122</v>
      </c>
      <c r="J179" s="370" t="s">
        <v>242</v>
      </c>
      <c r="K179" s="370" t="s">
        <v>258</v>
      </c>
      <c r="L179" s="370" t="s">
        <v>296</v>
      </c>
      <c r="M179" s="401" t="s">
        <v>254</v>
      </c>
      <c r="N179" s="500">
        <f t="shared" si="17"/>
        <v>0</v>
      </c>
      <c r="O179" s="402" t="s">
        <v>248</v>
      </c>
      <c r="P179" s="412"/>
      <c r="Q179" s="403">
        <v>46300.0</v>
      </c>
      <c r="R179" s="404">
        <v>46290.0</v>
      </c>
      <c r="S179" s="405"/>
      <c r="T179" s="406">
        <v>16.0</v>
      </c>
      <c r="U179" s="408">
        <f>IF(B179="","",IF(Z179="Có",'Lớp 5 - Phân công'!AI34,T179))</f>
        <v>16</v>
      </c>
      <c r="V179" s="370" t="s">
        <v>250</v>
      </c>
      <c r="W179" s="406">
        <v>4.0</v>
      </c>
      <c r="X179" s="409"/>
      <c r="Y179" s="371"/>
      <c r="Z179" s="371" t="str">
        <f t="shared" si="16"/>
        <v>Không</v>
      </c>
      <c r="AA179" s="315"/>
    </row>
    <row r="180" ht="15.75" customHeight="1">
      <c r="A180" s="369">
        <f t="shared" si="15"/>
        <v>22</v>
      </c>
      <c r="B180" s="370" t="s">
        <v>528</v>
      </c>
      <c r="C180" s="370" t="s">
        <v>27</v>
      </c>
      <c r="D180" s="370" t="s">
        <v>370</v>
      </c>
      <c r="E180" s="372">
        <v>2026.0</v>
      </c>
      <c r="F180" s="373" t="s">
        <v>529</v>
      </c>
      <c r="G180" s="370" t="s">
        <v>530</v>
      </c>
      <c r="H180" s="371"/>
      <c r="I180" s="370" t="s">
        <v>122</v>
      </c>
      <c r="J180" s="370" t="s">
        <v>242</v>
      </c>
      <c r="K180" s="370" t="s">
        <v>258</v>
      </c>
      <c r="L180" s="370" t="s">
        <v>296</v>
      </c>
      <c r="M180" s="401" t="s">
        <v>254</v>
      </c>
      <c r="N180" s="500">
        <f t="shared" si="17"/>
        <v>0</v>
      </c>
      <c r="O180" s="402" t="s">
        <v>248</v>
      </c>
      <c r="P180" s="412"/>
      <c r="Q180" s="403">
        <v>46310.0</v>
      </c>
      <c r="R180" s="404">
        <v>46271.0</v>
      </c>
      <c r="S180" s="405"/>
      <c r="T180" s="406">
        <v>8.0</v>
      </c>
      <c r="U180" s="408">
        <f>IF(B180="","",IF(Z180="Có",'Lớp 5 - Phân công'!AI35,T180))</f>
        <v>8</v>
      </c>
      <c r="V180" s="370" t="s">
        <v>250</v>
      </c>
      <c r="W180" s="406">
        <v>4.0</v>
      </c>
      <c r="X180" s="409"/>
      <c r="Y180" s="371"/>
      <c r="Z180" s="371" t="str">
        <f t="shared" si="16"/>
        <v>Không</v>
      </c>
      <c r="AA180" s="315"/>
    </row>
    <row r="181" ht="15.75" customHeight="1">
      <c r="A181" s="369">
        <f t="shared" si="15"/>
        <v>23</v>
      </c>
      <c r="B181" s="370" t="s">
        <v>531</v>
      </c>
      <c r="C181" s="370" t="s">
        <v>27</v>
      </c>
      <c r="D181" s="370" t="s">
        <v>370</v>
      </c>
      <c r="E181" s="372">
        <v>2026.0</v>
      </c>
      <c r="F181" s="373" t="s">
        <v>532</v>
      </c>
      <c r="G181" s="370" t="s">
        <v>533</v>
      </c>
      <c r="H181" s="371"/>
      <c r="I181" s="370" t="s">
        <v>122</v>
      </c>
      <c r="J181" s="370" t="s">
        <v>242</v>
      </c>
      <c r="K181" s="370" t="s">
        <v>258</v>
      </c>
      <c r="L181" s="370" t="s">
        <v>296</v>
      </c>
      <c r="M181" s="401" t="s">
        <v>254</v>
      </c>
      <c r="N181" s="500">
        <f t="shared" si="17"/>
        <v>0</v>
      </c>
      <c r="O181" s="402" t="s">
        <v>248</v>
      </c>
      <c r="P181" s="412"/>
      <c r="Q181" s="403">
        <v>46305.0</v>
      </c>
      <c r="R181" s="404">
        <v>46301.0</v>
      </c>
      <c r="S181" s="405"/>
      <c r="T181" s="406">
        <v>24.0</v>
      </c>
      <c r="U181" s="408">
        <f>IF(B181="","",IF(Z181="Có",'Lớp 5 - Phân công'!AI36,T181))</f>
        <v>24</v>
      </c>
      <c r="V181" s="370" t="s">
        <v>250</v>
      </c>
      <c r="W181" s="406">
        <v>4.0</v>
      </c>
      <c r="X181" s="409"/>
      <c r="Y181" s="371"/>
      <c r="Z181" s="371" t="str">
        <f t="shared" si="16"/>
        <v>Không</v>
      </c>
      <c r="AA181" s="315"/>
    </row>
    <row r="182" ht="15.75" customHeight="1">
      <c r="A182" s="369">
        <f t="shared" si="15"/>
        <v>24</v>
      </c>
      <c r="B182" s="370" t="s">
        <v>534</v>
      </c>
      <c r="C182" s="370" t="s">
        <v>27</v>
      </c>
      <c r="D182" s="370" t="s">
        <v>370</v>
      </c>
      <c r="E182" s="372">
        <v>2026.0</v>
      </c>
      <c r="F182" s="373" t="s">
        <v>535</v>
      </c>
      <c r="G182" s="370" t="s">
        <v>536</v>
      </c>
      <c r="H182" s="371"/>
      <c r="I182" s="370" t="s">
        <v>122</v>
      </c>
      <c r="J182" s="370" t="s">
        <v>242</v>
      </c>
      <c r="K182" s="370" t="s">
        <v>258</v>
      </c>
      <c r="L182" s="370" t="s">
        <v>243</v>
      </c>
      <c r="M182" s="401" t="s">
        <v>254</v>
      </c>
      <c r="N182" s="500" t="str">
        <f t="shared" si="17"/>
        <v/>
      </c>
      <c r="O182" s="402" t="s">
        <v>248</v>
      </c>
      <c r="P182" s="412"/>
      <c r="Q182" s="403">
        <v>46307.0</v>
      </c>
      <c r="R182" s="404">
        <v>46306.0</v>
      </c>
      <c r="S182" s="405"/>
      <c r="T182" s="406">
        <v>16.0</v>
      </c>
      <c r="U182" s="408">
        <f>IF(B182="","",IF(Z182="Có",'Lớp 5 - Phân công'!AI37,T182))</f>
        <v>16</v>
      </c>
      <c r="V182" s="370" t="s">
        <v>250</v>
      </c>
      <c r="W182" s="406">
        <v>4.0</v>
      </c>
      <c r="X182" s="409"/>
      <c r="Y182" s="371"/>
      <c r="Z182" s="371" t="str">
        <f t="shared" si="16"/>
        <v>Không</v>
      </c>
      <c r="AA182" s="315"/>
    </row>
    <row r="183" ht="15.75" customHeight="1">
      <c r="A183" s="459">
        <f t="shared" si="15"/>
        <v>25</v>
      </c>
      <c r="B183" s="370" t="s">
        <v>537</v>
      </c>
      <c r="C183" s="370" t="s">
        <v>27</v>
      </c>
      <c r="D183" s="370" t="s">
        <v>370</v>
      </c>
      <c r="E183" s="372">
        <v>2026.0</v>
      </c>
      <c r="F183" s="373" t="s">
        <v>538</v>
      </c>
      <c r="G183" s="370" t="s">
        <v>539</v>
      </c>
      <c r="H183" s="460"/>
      <c r="I183" s="370" t="s">
        <v>122</v>
      </c>
      <c r="J183" s="370" t="s">
        <v>242</v>
      </c>
      <c r="K183" s="370" t="s">
        <v>258</v>
      </c>
      <c r="L183" s="370" t="s">
        <v>243</v>
      </c>
      <c r="M183" s="401" t="s">
        <v>254</v>
      </c>
      <c r="N183" s="500" t="str">
        <f t="shared" si="17"/>
        <v/>
      </c>
      <c r="O183" s="402" t="s">
        <v>248</v>
      </c>
      <c r="P183" s="412"/>
      <c r="Q183" s="403">
        <v>46320.0</v>
      </c>
      <c r="R183" s="404">
        <v>46308.0</v>
      </c>
      <c r="S183" s="405"/>
      <c r="T183" s="506">
        <v>16.0</v>
      </c>
      <c r="U183" s="408">
        <f>IF(B183="","",IF(Z183="Có",'Lớp 5 - Phân công'!AI38,T183))</f>
        <v>16</v>
      </c>
      <c r="V183" s="517" t="s">
        <v>250</v>
      </c>
      <c r="W183" s="406">
        <v>4.0</v>
      </c>
      <c r="X183" s="409"/>
      <c r="Y183" s="371"/>
      <c r="Z183" s="371" t="str">
        <f t="shared" si="16"/>
        <v>Không</v>
      </c>
      <c r="AA183" s="518"/>
    </row>
    <row r="184" ht="15.75" customHeight="1">
      <c r="A184" s="464">
        <f t="shared" si="15"/>
        <v>26</v>
      </c>
      <c r="B184" s="370" t="s">
        <v>540</v>
      </c>
      <c r="C184" s="370" t="s">
        <v>27</v>
      </c>
      <c r="D184" s="370" t="s">
        <v>373</v>
      </c>
      <c r="E184" s="372">
        <v>2026.0</v>
      </c>
      <c r="F184" s="373" t="s">
        <v>541</v>
      </c>
      <c r="G184" s="370" t="s">
        <v>542</v>
      </c>
      <c r="H184" s="371"/>
      <c r="I184" s="370" t="s">
        <v>122</v>
      </c>
      <c r="J184" s="370" t="s">
        <v>242</v>
      </c>
      <c r="K184" s="370" t="s">
        <v>258</v>
      </c>
      <c r="L184" s="370" t="s">
        <v>296</v>
      </c>
      <c r="M184" s="401" t="s">
        <v>254</v>
      </c>
      <c r="N184" s="500">
        <f t="shared" si="17"/>
        <v>0</v>
      </c>
      <c r="O184" s="402" t="s">
        <v>248</v>
      </c>
      <c r="P184" s="412"/>
      <c r="Q184" s="403">
        <v>46300.0</v>
      </c>
      <c r="R184" s="404">
        <v>46290.0</v>
      </c>
      <c r="S184" s="405"/>
      <c r="T184" s="503">
        <v>16.0</v>
      </c>
      <c r="U184" s="408">
        <f>IF(B184="","",IF(Z184="Có",'Lớp 5 - Phân công'!AI39,T184))</f>
        <v>16</v>
      </c>
      <c r="V184" s="370" t="s">
        <v>250</v>
      </c>
      <c r="W184" s="406">
        <v>4.0</v>
      </c>
      <c r="X184" s="409"/>
      <c r="Y184" s="371"/>
      <c r="Z184" s="371" t="str">
        <f t="shared" si="16"/>
        <v>Không</v>
      </c>
      <c r="AA184" s="518"/>
    </row>
    <row r="185" ht="15.75" customHeight="1">
      <c r="A185" s="369">
        <f t="shared" si="15"/>
        <v>27</v>
      </c>
      <c r="B185" s="370" t="s">
        <v>543</v>
      </c>
      <c r="C185" s="370" t="s">
        <v>27</v>
      </c>
      <c r="D185" s="370" t="s">
        <v>373</v>
      </c>
      <c r="E185" s="372">
        <v>2026.0</v>
      </c>
      <c r="F185" s="373" t="s">
        <v>544</v>
      </c>
      <c r="G185" s="370" t="s">
        <v>545</v>
      </c>
      <c r="H185" s="371"/>
      <c r="I185" s="370" t="s">
        <v>122</v>
      </c>
      <c r="J185" s="370" t="s">
        <v>242</v>
      </c>
      <c r="K185" s="370" t="s">
        <v>258</v>
      </c>
      <c r="L185" s="370" t="s">
        <v>296</v>
      </c>
      <c r="M185" s="401" t="s">
        <v>254</v>
      </c>
      <c r="N185" s="500">
        <f t="shared" si="17"/>
        <v>0</v>
      </c>
      <c r="O185" s="402" t="s">
        <v>248</v>
      </c>
      <c r="P185" s="412"/>
      <c r="Q185" s="403">
        <v>46310.0</v>
      </c>
      <c r="R185" s="404">
        <v>46301.0</v>
      </c>
      <c r="S185" s="405"/>
      <c r="T185" s="503">
        <v>8.0</v>
      </c>
      <c r="U185" s="408">
        <f>IF(B185="","",IF(Z185="Có",'Lớp 5 - Phân công'!AI40,T185))</f>
        <v>8</v>
      </c>
      <c r="V185" s="402" t="s">
        <v>250</v>
      </c>
      <c r="W185" s="406">
        <v>4.0</v>
      </c>
      <c r="X185" s="409"/>
      <c r="Y185" s="371"/>
      <c r="Z185" s="371" t="str">
        <f t="shared" si="16"/>
        <v>Không</v>
      </c>
      <c r="AA185" s="315"/>
    </row>
    <row r="186" ht="15.75" customHeight="1">
      <c r="A186" s="369">
        <f t="shared" si="15"/>
        <v>28</v>
      </c>
      <c r="B186" s="370" t="s">
        <v>546</v>
      </c>
      <c r="C186" s="370" t="s">
        <v>27</v>
      </c>
      <c r="D186" s="370" t="s">
        <v>373</v>
      </c>
      <c r="E186" s="372">
        <v>2026.0</v>
      </c>
      <c r="F186" s="373" t="s">
        <v>547</v>
      </c>
      <c r="G186" s="370" t="s">
        <v>548</v>
      </c>
      <c r="H186" s="371"/>
      <c r="I186" s="370" t="s">
        <v>122</v>
      </c>
      <c r="J186" s="370" t="s">
        <v>242</v>
      </c>
      <c r="K186" s="370" t="s">
        <v>258</v>
      </c>
      <c r="L186" s="370" t="s">
        <v>296</v>
      </c>
      <c r="M186" s="401" t="s">
        <v>254</v>
      </c>
      <c r="N186" s="500">
        <f t="shared" si="17"/>
        <v>0</v>
      </c>
      <c r="O186" s="402" t="s">
        <v>248</v>
      </c>
      <c r="P186" s="412"/>
      <c r="Q186" s="403">
        <v>46305.0</v>
      </c>
      <c r="R186" s="404">
        <v>46301.0</v>
      </c>
      <c r="S186" s="405"/>
      <c r="T186" s="503">
        <v>24.0</v>
      </c>
      <c r="U186" s="408">
        <f>IF(B186="","",IF(Z186="Có",'Lớp 5 - Phân công'!AI41,T186))</f>
        <v>24</v>
      </c>
      <c r="V186" s="402" t="s">
        <v>250</v>
      </c>
      <c r="W186" s="406">
        <v>4.0</v>
      </c>
      <c r="X186" s="409"/>
      <c r="Y186" s="371"/>
      <c r="Z186" s="371" t="str">
        <f t="shared" si="16"/>
        <v>Không</v>
      </c>
      <c r="AA186" s="315"/>
    </row>
    <row r="187" ht="15.75" customHeight="1">
      <c r="A187" s="369">
        <f t="shared" si="15"/>
        <v>29</v>
      </c>
      <c r="B187" s="370" t="s">
        <v>549</v>
      </c>
      <c r="C187" s="370" t="s">
        <v>27</v>
      </c>
      <c r="D187" s="370" t="s">
        <v>373</v>
      </c>
      <c r="E187" s="372">
        <v>2026.0</v>
      </c>
      <c r="F187" s="373" t="s">
        <v>550</v>
      </c>
      <c r="G187" s="370" t="s">
        <v>551</v>
      </c>
      <c r="H187" s="371"/>
      <c r="I187" s="370" t="s">
        <v>122</v>
      </c>
      <c r="J187" s="370" t="s">
        <v>242</v>
      </c>
      <c r="K187" s="370" t="s">
        <v>258</v>
      </c>
      <c r="L187" s="370" t="s">
        <v>243</v>
      </c>
      <c r="M187" s="401" t="s">
        <v>254</v>
      </c>
      <c r="N187" s="500" t="str">
        <f t="shared" si="17"/>
        <v/>
      </c>
      <c r="O187" s="402" t="s">
        <v>248</v>
      </c>
      <c r="P187" s="412"/>
      <c r="Q187" s="403">
        <v>46307.0</v>
      </c>
      <c r="R187" s="404">
        <v>46306.0</v>
      </c>
      <c r="S187" s="405"/>
      <c r="T187" s="503">
        <v>16.0</v>
      </c>
      <c r="U187" s="408">
        <f>IF(B187="","",IF(Z187="Có",'Lớp 5 - Phân công'!AI42,T187))</f>
        <v>16</v>
      </c>
      <c r="V187" s="402" t="s">
        <v>250</v>
      </c>
      <c r="W187" s="406">
        <v>4.0</v>
      </c>
      <c r="X187" s="409"/>
      <c r="Y187" s="371"/>
      <c r="Z187" s="371" t="str">
        <f t="shared" si="16"/>
        <v>Không</v>
      </c>
      <c r="AA187" s="315"/>
    </row>
    <row r="188" ht="15.75" customHeight="1">
      <c r="A188" s="369">
        <f t="shared" si="15"/>
        <v>30</v>
      </c>
      <c r="B188" s="370" t="s">
        <v>552</v>
      </c>
      <c r="C188" s="370" t="s">
        <v>27</v>
      </c>
      <c r="D188" s="370" t="s">
        <v>373</v>
      </c>
      <c r="E188" s="372">
        <v>2026.0</v>
      </c>
      <c r="F188" s="373" t="s">
        <v>553</v>
      </c>
      <c r="G188" s="370" t="s">
        <v>554</v>
      </c>
      <c r="H188" s="371"/>
      <c r="I188" s="370" t="s">
        <v>122</v>
      </c>
      <c r="J188" s="370" t="s">
        <v>242</v>
      </c>
      <c r="K188" s="370" t="s">
        <v>258</v>
      </c>
      <c r="L188" s="370" t="s">
        <v>243</v>
      </c>
      <c r="M188" s="401" t="s">
        <v>254</v>
      </c>
      <c r="N188" s="500" t="str">
        <f t="shared" si="17"/>
        <v/>
      </c>
      <c r="O188" s="402" t="s">
        <v>248</v>
      </c>
      <c r="P188" s="412"/>
      <c r="Q188" s="403">
        <v>46320.0</v>
      </c>
      <c r="R188" s="404">
        <v>46308.0</v>
      </c>
      <c r="S188" s="405"/>
      <c r="T188" s="503">
        <v>16.0</v>
      </c>
      <c r="U188" s="408">
        <f>IF(B188="","",IF(Z188="Có",'Lớp 5 - Phân công'!AI43,T188))</f>
        <v>16</v>
      </c>
      <c r="V188" s="402" t="s">
        <v>250</v>
      </c>
      <c r="W188" s="406">
        <v>4.0</v>
      </c>
      <c r="X188" s="409"/>
      <c r="Y188" s="371"/>
      <c r="Z188" s="371" t="str">
        <f t="shared" si="16"/>
        <v>Không</v>
      </c>
      <c r="AA188" s="315"/>
    </row>
    <row r="189" ht="15.75" customHeight="1">
      <c r="A189" s="369">
        <f t="shared" si="15"/>
        <v>31</v>
      </c>
      <c r="B189" s="370" t="s">
        <v>555</v>
      </c>
      <c r="C189" s="370" t="s">
        <v>27</v>
      </c>
      <c r="D189" s="370" t="s">
        <v>376</v>
      </c>
      <c r="E189" s="372">
        <v>2026.0</v>
      </c>
      <c r="F189" s="373" t="s">
        <v>556</v>
      </c>
      <c r="G189" s="370" t="s">
        <v>557</v>
      </c>
      <c r="H189" s="371"/>
      <c r="I189" s="370" t="s">
        <v>122</v>
      </c>
      <c r="J189" s="370" t="s">
        <v>242</v>
      </c>
      <c r="K189" s="370" t="s">
        <v>258</v>
      </c>
      <c r="L189" s="370" t="s">
        <v>296</v>
      </c>
      <c r="M189" s="401" t="s">
        <v>254</v>
      </c>
      <c r="N189" s="500">
        <f t="shared" si="17"/>
        <v>0</v>
      </c>
      <c r="O189" s="402" t="s">
        <v>248</v>
      </c>
      <c r="P189" s="412"/>
      <c r="Q189" s="403">
        <v>46310.0</v>
      </c>
      <c r="R189" s="404">
        <v>46300.0</v>
      </c>
      <c r="S189" s="405"/>
      <c r="T189" s="503">
        <v>16.0</v>
      </c>
      <c r="U189" s="408">
        <f>IF(B189="","",IF(Z189="Có",'Lớp 5 - Phân công'!AI44,T189))</f>
        <v>16</v>
      </c>
      <c r="V189" s="370" t="s">
        <v>250</v>
      </c>
      <c r="W189" s="406">
        <v>4.0</v>
      </c>
      <c r="X189" s="409"/>
      <c r="Y189" s="371"/>
      <c r="Z189" s="371" t="str">
        <f t="shared" si="16"/>
        <v>Không</v>
      </c>
      <c r="AA189" s="315"/>
    </row>
    <row r="190" ht="15.75" customHeight="1">
      <c r="A190" s="369">
        <f t="shared" si="15"/>
        <v>32</v>
      </c>
      <c r="B190" s="370" t="s">
        <v>558</v>
      </c>
      <c r="C190" s="370" t="s">
        <v>27</v>
      </c>
      <c r="D190" s="370" t="s">
        <v>376</v>
      </c>
      <c r="E190" s="372">
        <v>2026.0</v>
      </c>
      <c r="F190" s="373" t="s">
        <v>559</v>
      </c>
      <c r="G190" s="370" t="s">
        <v>560</v>
      </c>
      <c r="H190" s="371"/>
      <c r="I190" s="370" t="s">
        <v>122</v>
      </c>
      <c r="J190" s="370" t="s">
        <v>242</v>
      </c>
      <c r="K190" s="370" t="s">
        <v>258</v>
      </c>
      <c r="L190" s="370" t="s">
        <v>296</v>
      </c>
      <c r="M190" s="401" t="s">
        <v>254</v>
      </c>
      <c r="N190" s="500">
        <f t="shared" si="17"/>
        <v>0</v>
      </c>
      <c r="O190" s="402" t="s">
        <v>248</v>
      </c>
      <c r="P190" s="412"/>
      <c r="Q190" s="403">
        <v>46320.0</v>
      </c>
      <c r="R190" s="404">
        <v>46311.0</v>
      </c>
      <c r="S190" s="405"/>
      <c r="T190" s="503">
        <v>8.0</v>
      </c>
      <c r="U190" s="408">
        <f>IF(B190="","",IF(Z190="Có",'Lớp 5 - Phân công'!AI45,T190))</f>
        <v>8</v>
      </c>
      <c r="V190" s="370" t="s">
        <v>250</v>
      </c>
      <c r="W190" s="406">
        <v>4.0</v>
      </c>
      <c r="X190" s="409"/>
      <c r="Y190" s="371"/>
      <c r="Z190" s="371" t="str">
        <f t="shared" si="16"/>
        <v>Không</v>
      </c>
      <c r="AA190" s="315"/>
    </row>
    <row r="191" ht="15.75" customHeight="1">
      <c r="A191" s="369">
        <f t="shared" si="15"/>
        <v>33</v>
      </c>
      <c r="B191" s="370" t="s">
        <v>561</v>
      </c>
      <c r="C191" s="370" t="s">
        <v>27</v>
      </c>
      <c r="D191" s="370" t="s">
        <v>376</v>
      </c>
      <c r="E191" s="372">
        <v>2026.0</v>
      </c>
      <c r="F191" s="373" t="s">
        <v>562</v>
      </c>
      <c r="G191" s="370" t="s">
        <v>563</v>
      </c>
      <c r="H191" s="371"/>
      <c r="I191" s="370" t="s">
        <v>122</v>
      </c>
      <c r="J191" s="370" t="s">
        <v>242</v>
      </c>
      <c r="K191" s="370" t="s">
        <v>258</v>
      </c>
      <c r="L191" s="370" t="s">
        <v>296</v>
      </c>
      <c r="M191" s="401" t="s">
        <v>254</v>
      </c>
      <c r="N191" s="500">
        <f t="shared" si="17"/>
        <v>0</v>
      </c>
      <c r="O191" s="402" t="s">
        <v>248</v>
      </c>
      <c r="P191" s="412"/>
      <c r="Q191" s="403">
        <v>46254.0</v>
      </c>
      <c r="R191" s="404">
        <v>46311.0</v>
      </c>
      <c r="S191" s="405"/>
      <c r="T191" s="503">
        <v>24.0</v>
      </c>
      <c r="U191" s="408">
        <f>IF(B191="","",IF(Z191="Có",'Lớp 5 - Phân công'!AI46,T191))</f>
        <v>24</v>
      </c>
      <c r="V191" s="370" t="s">
        <v>250</v>
      </c>
      <c r="W191" s="406">
        <v>4.0</v>
      </c>
      <c r="X191" s="409"/>
      <c r="Y191" s="371"/>
      <c r="Z191" s="371" t="str">
        <f t="shared" si="16"/>
        <v>Không</v>
      </c>
      <c r="AA191" s="315"/>
    </row>
    <row r="192" ht="15.75" customHeight="1">
      <c r="A192" s="464">
        <f t="shared" si="15"/>
        <v>34</v>
      </c>
      <c r="B192" s="370" t="s">
        <v>564</v>
      </c>
      <c r="C192" s="370" t="s">
        <v>27</v>
      </c>
      <c r="D192" s="370" t="s">
        <v>376</v>
      </c>
      <c r="E192" s="372">
        <v>2026.0</v>
      </c>
      <c r="F192" s="373" t="s">
        <v>565</v>
      </c>
      <c r="G192" s="370" t="s">
        <v>566</v>
      </c>
      <c r="H192" s="371"/>
      <c r="I192" s="370" t="s">
        <v>122</v>
      </c>
      <c r="J192" s="370" t="s">
        <v>242</v>
      </c>
      <c r="K192" s="370" t="s">
        <v>258</v>
      </c>
      <c r="L192" s="370" t="s">
        <v>243</v>
      </c>
      <c r="M192" s="401" t="s">
        <v>254</v>
      </c>
      <c r="N192" s="500" t="str">
        <f t="shared" si="17"/>
        <v/>
      </c>
      <c r="O192" s="402" t="s">
        <v>248</v>
      </c>
      <c r="P192" s="412"/>
      <c r="Q192" s="403">
        <v>46317.0</v>
      </c>
      <c r="R192" s="404">
        <v>46316.0</v>
      </c>
      <c r="S192" s="405"/>
      <c r="T192" s="406">
        <v>16.0</v>
      </c>
      <c r="U192" s="408">
        <f>IF(B192="","",IF(Z192="Có",'Lớp 5 - Phân công'!AI47,T192))</f>
        <v>16</v>
      </c>
      <c r="V192" s="370" t="s">
        <v>250</v>
      </c>
      <c r="W192" s="406">
        <v>4.0</v>
      </c>
      <c r="X192" s="409"/>
      <c r="Y192" s="371"/>
      <c r="Z192" s="371" t="str">
        <f t="shared" si="16"/>
        <v>Không</v>
      </c>
      <c r="AA192" s="315"/>
    </row>
    <row r="193" ht="15.75" customHeight="1">
      <c r="A193" s="464">
        <f t="shared" si="15"/>
        <v>35</v>
      </c>
      <c r="B193" s="370" t="s">
        <v>567</v>
      </c>
      <c r="C193" s="370" t="s">
        <v>27</v>
      </c>
      <c r="D193" s="370" t="s">
        <v>376</v>
      </c>
      <c r="E193" s="372">
        <v>2026.0</v>
      </c>
      <c r="F193" s="373" t="s">
        <v>568</v>
      </c>
      <c r="G193" s="370" t="s">
        <v>569</v>
      </c>
      <c r="H193" s="371"/>
      <c r="I193" s="370" t="s">
        <v>122</v>
      </c>
      <c r="J193" s="370" t="s">
        <v>242</v>
      </c>
      <c r="K193" s="370" t="s">
        <v>258</v>
      </c>
      <c r="L193" s="370" t="s">
        <v>243</v>
      </c>
      <c r="M193" s="401" t="s">
        <v>254</v>
      </c>
      <c r="N193" s="500" t="str">
        <f t="shared" si="17"/>
        <v/>
      </c>
      <c r="O193" s="402" t="s">
        <v>248</v>
      </c>
      <c r="P193" s="412"/>
      <c r="Q193" s="403">
        <v>46331.0</v>
      </c>
      <c r="R193" s="404">
        <v>46318.0</v>
      </c>
      <c r="S193" s="405"/>
      <c r="T193" s="406">
        <v>16.0</v>
      </c>
      <c r="U193" s="408">
        <f>IF(B193="","",IF(Z193="Có",'Lớp 5 - Phân công'!AI48,T193))</f>
        <v>16</v>
      </c>
      <c r="V193" s="370" t="s">
        <v>250</v>
      </c>
      <c r="W193" s="406">
        <v>4.0</v>
      </c>
      <c r="X193" s="409"/>
      <c r="Y193" s="371"/>
      <c r="Z193" s="371" t="str">
        <f t="shared" si="16"/>
        <v>Không</v>
      </c>
      <c r="AA193" s="315"/>
    </row>
    <row r="194" ht="15.75" customHeight="1">
      <c r="A194" s="369">
        <v>36.0</v>
      </c>
      <c r="B194" s="370" t="s">
        <v>570</v>
      </c>
      <c r="C194" s="370" t="s">
        <v>27</v>
      </c>
      <c r="D194" s="370" t="s">
        <v>450</v>
      </c>
      <c r="E194" s="372">
        <v>2026.0</v>
      </c>
      <c r="F194" s="373" t="s">
        <v>571</v>
      </c>
      <c r="G194" s="402"/>
      <c r="H194" s="371"/>
      <c r="I194" s="370" t="s">
        <v>122</v>
      </c>
      <c r="J194" s="370" t="s">
        <v>242</v>
      </c>
      <c r="K194" s="370" t="s">
        <v>258</v>
      </c>
      <c r="L194" s="370"/>
      <c r="M194" s="451"/>
      <c r="N194" s="509"/>
      <c r="O194" s="370"/>
      <c r="P194" s="412"/>
      <c r="Q194" s="403"/>
      <c r="R194" s="404"/>
      <c r="S194" s="405"/>
      <c r="T194" s="503"/>
      <c r="U194" s="423"/>
      <c r="V194" s="370"/>
      <c r="W194" s="503"/>
      <c r="X194" s="409"/>
      <c r="Y194" s="371"/>
      <c r="Z194" s="371"/>
      <c r="AA194" s="315"/>
    </row>
    <row r="195" ht="15.75" customHeight="1">
      <c r="A195" s="464">
        <v>37.0</v>
      </c>
      <c r="B195" s="370" t="s">
        <v>572</v>
      </c>
      <c r="C195" s="370" t="s">
        <v>27</v>
      </c>
      <c r="D195" s="370" t="s">
        <v>450</v>
      </c>
      <c r="E195" s="372">
        <v>2026.0</v>
      </c>
      <c r="F195" s="373" t="s">
        <v>573</v>
      </c>
      <c r="G195" s="402"/>
      <c r="H195" s="371"/>
      <c r="I195" s="370" t="s">
        <v>122</v>
      </c>
      <c r="J195" s="370" t="s">
        <v>242</v>
      </c>
      <c r="K195" s="370" t="s">
        <v>258</v>
      </c>
      <c r="L195" s="370"/>
      <c r="M195" s="451"/>
      <c r="N195" s="509"/>
      <c r="O195" s="370"/>
      <c r="P195" s="412"/>
      <c r="Q195" s="403"/>
      <c r="R195" s="404"/>
      <c r="S195" s="405"/>
      <c r="T195" s="406"/>
      <c r="U195" s="423"/>
      <c r="V195" s="370"/>
      <c r="W195" s="503"/>
      <c r="X195" s="409"/>
      <c r="Y195" s="371"/>
      <c r="Z195" s="371"/>
      <c r="AA195" s="315"/>
    </row>
    <row r="196" ht="15.75" customHeight="1">
      <c r="A196" s="369">
        <v>39.0</v>
      </c>
      <c r="B196" s="370" t="s">
        <v>574</v>
      </c>
      <c r="C196" s="370" t="s">
        <v>27</v>
      </c>
      <c r="D196" s="519" t="s">
        <v>453</v>
      </c>
      <c r="E196" s="372">
        <v>2026.0</v>
      </c>
      <c r="F196" s="520" t="s">
        <v>575</v>
      </c>
      <c r="G196" s="412"/>
      <c r="H196" s="371"/>
      <c r="I196" s="370" t="s">
        <v>119</v>
      </c>
      <c r="J196" s="370" t="s">
        <v>242</v>
      </c>
      <c r="K196" s="412"/>
      <c r="L196" s="370"/>
      <c r="M196" s="449"/>
      <c r="N196" s="509"/>
      <c r="O196" s="370"/>
      <c r="P196" s="412"/>
      <c r="Q196" s="403"/>
      <c r="R196" s="404"/>
      <c r="S196" s="405"/>
      <c r="T196" s="423"/>
      <c r="U196" s="423"/>
      <c r="V196" s="371"/>
      <c r="W196" s="423"/>
      <c r="X196" s="409"/>
      <c r="Y196" s="371"/>
      <c r="Z196" s="371"/>
      <c r="AA196" s="315"/>
    </row>
    <row r="197" ht="15.75" customHeight="1">
      <c r="A197" s="464">
        <f t="shared" ref="A197:A198" si="18">IF(OR($B197="",$C197=""),"",COUNTIFS($C$67:$C197,$C197,$B$67:$B197,"&lt;&gt;"))</f>
        <v>39</v>
      </c>
      <c r="B197" s="370" t="s">
        <v>576</v>
      </c>
      <c r="C197" s="370" t="s">
        <v>27</v>
      </c>
      <c r="D197" s="370" t="s">
        <v>453</v>
      </c>
      <c r="E197" s="372">
        <v>2026.0</v>
      </c>
      <c r="F197" s="373" t="s">
        <v>577</v>
      </c>
      <c r="G197" s="412"/>
      <c r="H197" s="371"/>
      <c r="I197" s="370" t="s">
        <v>119</v>
      </c>
      <c r="J197" s="370" t="s">
        <v>242</v>
      </c>
      <c r="K197" s="412"/>
      <c r="L197" s="371"/>
      <c r="M197" s="449"/>
      <c r="N197" s="500">
        <f t="shared" ref="N197:N198" si="19">IF(B197="","",IF(OR(L197="Chưa lên lịch",L197="Đã lên lịch",L197="Hủy"),"",IF(COUNTIFS($D$67:$D$212,B197,$L$67:$L$212,"&lt;&gt;",$L$67:$L$212,"&lt;&gt;Hủy",$L$67:$L$212,"&lt;&gt;Chưa lên lịch",$L$67:$L$212,"&lt;&gt;Đã lên lịch")&gt;0,AVERAGEIFS($N$67:$N$212,$D$67:$D$212,B197,$L$67:$L$212,"&lt;&gt;",$L$67:$L$212,"&lt;&gt;Hủy",$L$67:$L$212,"&lt;&gt;Chưa lên lịch",$L$67:$L$212,"&lt;&gt;Đã lên lịch"),IF(L197="Hoàn thành",1,0))))</f>
        <v>0</v>
      </c>
      <c r="O197" s="371"/>
      <c r="P197" s="412"/>
      <c r="Q197" s="454"/>
      <c r="R197" s="455"/>
      <c r="S197" s="405"/>
      <c r="T197" s="423"/>
      <c r="U197" s="408" t="str">
        <f>IF(B197="","",IF(Z197="Có",'Lớp 5 - Phân công'!AI50,T197))</f>
        <v/>
      </c>
      <c r="V197" s="371"/>
      <c r="W197" s="423"/>
      <c r="X197" s="409"/>
      <c r="Y197" s="371"/>
      <c r="Z197" s="371" t="str">
        <f t="shared" ref="Z197:Z198" si="20">IF(B197="","",IF(COUNTIF($D$67:$D$212,B197)&gt;0,"Có","Không"))</f>
        <v>Không</v>
      </c>
      <c r="AA197" s="315"/>
    </row>
    <row r="198" ht="15.75" customHeight="1">
      <c r="A198" s="464">
        <f t="shared" si="18"/>
        <v>40</v>
      </c>
      <c r="B198" s="370" t="s">
        <v>578</v>
      </c>
      <c r="C198" s="370" t="s">
        <v>27</v>
      </c>
      <c r="D198" s="370" t="s">
        <v>453</v>
      </c>
      <c r="E198" s="372">
        <v>2026.0</v>
      </c>
      <c r="F198" s="373" t="s">
        <v>579</v>
      </c>
      <c r="G198" s="412"/>
      <c r="H198" s="371"/>
      <c r="I198" s="370" t="s">
        <v>119</v>
      </c>
      <c r="J198" s="370" t="s">
        <v>242</v>
      </c>
      <c r="K198" s="412"/>
      <c r="L198" s="371"/>
      <c r="M198" s="449"/>
      <c r="N198" s="500">
        <f t="shared" si="19"/>
        <v>0</v>
      </c>
      <c r="O198" s="371"/>
      <c r="P198" s="412"/>
      <c r="Q198" s="454"/>
      <c r="R198" s="455"/>
      <c r="S198" s="405"/>
      <c r="T198" s="423"/>
      <c r="U198" s="408" t="str">
        <f>IF(B198="","",IF(Z198="Có",'Lớp 5 - Phân công'!AI265,T198))</f>
        <v/>
      </c>
      <c r="V198" s="371"/>
      <c r="W198" s="423"/>
      <c r="X198" s="409"/>
      <c r="Y198" s="371"/>
      <c r="Z198" s="371" t="str">
        <f t="shared" si="20"/>
        <v>Không</v>
      </c>
      <c r="AA198" s="315"/>
    </row>
    <row r="199" ht="15.75" customHeight="1">
      <c r="A199" s="369">
        <v>42.0</v>
      </c>
      <c r="B199" s="370" t="s">
        <v>580</v>
      </c>
      <c r="C199" s="370" t="s">
        <v>27</v>
      </c>
      <c r="D199" s="370" t="s">
        <v>453</v>
      </c>
      <c r="E199" s="372">
        <v>2026.0</v>
      </c>
      <c r="F199" s="373" t="s">
        <v>581</v>
      </c>
      <c r="G199" s="412"/>
      <c r="H199" s="371"/>
      <c r="I199" s="370" t="s">
        <v>119</v>
      </c>
      <c r="J199" s="370" t="s">
        <v>242</v>
      </c>
      <c r="K199" s="412"/>
      <c r="L199" s="371"/>
      <c r="M199" s="449"/>
      <c r="N199" s="509"/>
      <c r="O199" s="371"/>
      <c r="P199" s="412"/>
      <c r="Q199" s="454"/>
      <c r="R199" s="455"/>
      <c r="S199" s="405"/>
      <c r="T199" s="423"/>
      <c r="U199" s="423"/>
      <c r="V199" s="371"/>
      <c r="W199" s="423"/>
      <c r="X199" s="409"/>
      <c r="Y199" s="371"/>
      <c r="Z199" s="371"/>
      <c r="AA199" s="315"/>
    </row>
    <row r="200" ht="15.75" customHeight="1">
      <c r="A200" s="464">
        <v>43.0</v>
      </c>
      <c r="B200" s="370" t="s">
        <v>582</v>
      </c>
      <c r="C200" s="370" t="s">
        <v>27</v>
      </c>
      <c r="D200" s="370" t="s">
        <v>453</v>
      </c>
      <c r="E200" s="372">
        <v>2026.0</v>
      </c>
      <c r="F200" s="373" t="s">
        <v>583</v>
      </c>
      <c r="G200" s="412"/>
      <c r="H200" s="371"/>
      <c r="I200" s="370" t="s">
        <v>119</v>
      </c>
      <c r="J200" s="370" t="s">
        <v>242</v>
      </c>
      <c r="K200" s="412"/>
      <c r="L200" s="371"/>
      <c r="M200" s="449"/>
      <c r="N200" s="509"/>
      <c r="O200" s="371"/>
      <c r="P200" s="412"/>
      <c r="Q200" s="454"/>
      <c r="R200" s="455"/>
      <c r="S200" s="405"/>
      <c r="T200" s="408"/>
      <c r="U200" s="423"/>
      <c r="V200" s="371"/>
      <c r="W200" s="423"/>
      <c r="X200" s="409"/>
      <c r="Y200" s="371"/>
      <c r="Z200" s="371"/>
      <c r="AA200" s="315"/>
    </row>
    <row r="201" ht="15.75" customHeight="1">
      <c r="A201" s="464"/>
      <c r="B201" s="522"/>
      <c r="C201" s="370"/>
      <c r="D201" s="371"/>
      <c r="E201" s="472"/>
      <c r="F201" s="473"/>
      <c r="G201" s="371"/>
      <c r="H201" s="371"/>
      <c r="I201" s="370"/>
      <c r="J201" s="412"/>
      <c r="K201" s="371"/>
      <c r="L201" s="371"/>
      <c r="M201" s="474"/>
      <c r="N201" s="500"/>
      <c r="O201" s="412"/>
      <c r="P201" s="412"/>
      <c r="Q201" s="454"/>
      <c r="R201" s="455"/>
      <c r="S201" s="405"/>
      <c r="T201" s="408"/>
      <c r="U201" s="408"/>
      <c r="V201" s="371"/>
      <c r="W201" s="423"/>
      <c r="X201" s="413"/>
      <c r="Y201" s="371"/>
      <c r="Z201" s="371"/>
      <c r="AA201" s="315"/>
    </row>
    <row r="202" ht="15.75" customHeight="1">
      <c r="A202" s="464" t="str">
        <f t="shared" ref="A202:A203" si="21">IF(OR($B202="",$C202=""),"",COUNTIFS($C$67:$C202,$C202,$B$67:$B202,"&lt;&gt;"))</f>
        <v/>
      </c>
      <c r="B202" s="522"/>
      <c r="C202" s="370" t="s">
        <v>27</v>
      </c>
      <c r="D202" s="371"/>
      <c r="E202" s="472"/>
      <c r="F202" s="473"/>
      <c r="G202" s="371"/>
      <c r="H202" s="371"/>
      <c r="I202" s="371"/>
      <c r="J202" s="371"/>
      <c r="K202" s="371"/>
      <c r="L202" s="371"/>
      <c r="M202" s="474"/>
      <c r="N202" s="500" t="str">
        <f t="shared" ref="N202:N203" si="22">IF(B202="","",IF(OR(L202="Chưa lên lịch",L202="Đã lên lịch",L202="Hủy"),"",IF(COUNTIFS($D$67:$D$212,B202,$L$67:$L$212,"&lt;&gt;",$L$67:$L$212,"&lt;&gt;Hủy",$L$67:$L$212,"&lt;&gt;Chưa lên lịch",$L$67:$L$212,"&lt;&gt;Đã lên lịch")&gt;0,AVERAGEIFS($N$67:$N$212,$D$67:$D$212,B202,$L$67:$L$212,"&lt;&gt;",$L$67:$L$212,"&lt;&gt;Hủy",$L$67:$L$212,"&lt;&gt;Chưa lên lịch",$L$67:$L$212,"&lt;&gt;Đã lên lịch"),IF(L202="Hoàn thành",1,0))))</f>
        <v/>
      </c>
      <c r="O202" s="371"/>
      <c r="P202" s="371"/>
      <c r="Q202" s="454"/>
      <c r="R202" s="455"/>
      <c r="S202" s="455"/>
      <c r="T202" s="423"/>
      <c r="U202" s="408" t="str">
        <f>IF(B202="","",IF(Z202="Có",'Lớp 5 - Phân công'!AI266,T202))</f>
        <v/>
      </c>
      <c r="V202" s="371"/>
      <c r="W202" s="408"/>
      <c r="X202" s="413"/>
      <c r="Y202" s="371"/>
      <c r="Z202" s="371" t="str">
        <f t="shared" ref="Z202:Z203" si="23">IF(B202="","",IF(COUNTIF($D$67:$D$212,B202)&gt;0,"Có","Không"))</f>
        <v/>
      </c>
      <c r="AA202" s="315"/>
    </row>
    <row r="203" ht="15.75" hidden="1" customHeight="1">
      <c r="A203" s="464" t="str">
        <f t="shared" si="21"/>
        <v/>
      </c>
      <c r="B203" s="371"/>
      <c r="C203" s="370" t="s">
        <v>27</v>
      </c>
      <c r="D203" s="371"/>
      <c r="E203" s="472"/>
      <c r="F203" s="473"/>
      <c r="G203" s="371"/>
      <c r="H203" s="371"/>
      <c r="I203" s="371"/>
      <c r="J203" s="371"/>
      <c r="K203" s="371"/>
      <c r="L203" s="371"/>
      <c r="M203" s="474"/>
      <c r="N203" s="500" t="str">
        <f t="shared" si="22"/>
        <v/>
      </c>
      <c r="O203" s="371"/>
      <c r="P203" s="371"/>
      <c r="Q203" s="454"/>
      <c r="R203" s="455"/>
      <c r="S203" s="455"/>
      <c r="T203" s="408"/>
      <c r="U203" s="408" t="str">
        <f>IF(B203="","",IF(Z203="Có",'Lớp 5 - Phân công'!AI267,T203))</f>
        <v/>
      </c>
      <c r="V203" s="371"/>
      <c r="W203" s="408"/>
      <c r="X203" s="413"/>
      <c r="Y203" s="371"/>
      <c r="Z203" s="371" t="str">
        <f t="shared" si="23"/>
        <v/>
      </c>
      <c r="AA203" s="315"/>
    </row>
    <row r="204" ht="18.0" customHeight="1">
      <c r="A204" s="480" t="s">
        <v>584</v>
      </c>
      <c r="B204" s="482"/>
      <c r="C204" s="483"/>
      <c r="D204" s="483"/>
      <c r="E204" s="483"/>
      <c r="F204" s="485"/>
      <c r="G204" s="483"/>
      <c r="H204" s="486"/>
      <c r="I204" s="486"/>
      <c r="J204" s="487"/>
      <c r="K204" s="486"/>
      <c r="L204" s="486"/>
      <c r="M204" s="486"/>
      <c r="N204" s="486"/>
      <c r="O204" s="487"/>
      <c r="P204" s="487"/>
      <c r="Q204" s="486"/>
      <c r="R204" s="486"/>
      <c r="S204" s="487"/>
      <c r="T204" s="487"/>
      <c r="U204" s="486"/>
      <c r="V204" s="486"/>
      <c r="W204" s="487"/>
      <c r="X204" s="487"/>
      <c r="Y204" s="486"/>
      <c r="Z204" s="488"/>
      <c r="AA204" s="489"/>
      <c r="AB204" s="523"/>
      <c r="AC204" s="524"/>
      <c r="AD204" s="525"/>
      <c r="AE204" s="523"/>
    </row>
    <row r="205" ht="19.5" customHeight="1">
      <c r="A205" s="526" t="s">
        <v>585</v>
      </c>
      <c r="B205" s="494"/>
      <c r="C205" s="496" t="str">
        <f t="array" ref="C205">IF(TRIM(B205)="","",LET(k,TRIM(B205),p,IFERROR(XMATCH("*"&amp;k&amp;"*",$B$159:$B$203,2),IFERROR(XMATCH("*"&amp;k&amp;"*",$F$159:$F$203,2),0)),IF(p=0,"Không tìm thấy",INDEX($B$159:$B$203,p)&amp;" | "&amp;INDEX($F$159:$F$203,p)&amp;" | Dòng "&amp;(p+144))))</f>
        <v/>
      </c>
      <c r="D205" s="348"/>
      <c r="E205" s="348"/>
      <c r="F205" s="348"/>
      <c r="G205" s="348"/>
      <c r="H205" s="348"/>
      <c r="I205" s="348"/>
      <c r="J205" s="497"/>
      <c r="K205" s="348"/>
      <c r="L205" s="348"/>
      <c r="M205" s="348"/>
      <c r="N205" s="350"/>
      <c r="O205" s="497"/>
      <c r="P205" s="497"/>
      <c r="Q205" s="354"/>
      <c r="R205" s="354"/>
      <c r="S205" s="498"/>
      <c r="T205" s="362"/>
      <c r="U205" s="362"/>
      <c r="V205" s="348"/>
      <c r="W205" s="527"/>
      <c r="X205" s="354"/>
      <c r="Y205" s="348"/>
      <c r="Z205" s="348"/>
      <c r="AA205" s="489"/>
      <c r="AB205" s="523"/>
      <c r="AC205" s="524"/>
      <c r="AD205" s="525"/>
      <c r="AE205" s="523"/>
    </row>
    <row r="206" ht="15.75" customHeight="1">
      <c r="A206" s="464">
        <f t="shared" ref="A206:A212" si="24">IF(OR($B206="",$C206=""),"",COUNTIFS($C$67:$C206,$C206,$B$67:$B206,"&lt;&gt;"))</f>
        <v>1</v>
      </c>
      <c r="B206" s="371" t="str">
        <f t="shared" ref="B206:B212" si="25">IF(OR(D206="",F206=""),"",D206&amp;"."&amp;TEXT(COUNTIFS($D$206:D206,D206,$F$206:F206,"&lt;&gt;"),"00"))</f>
        <v>HHL5RD05-01.01</v>
      </c>
      <c r="C206" s="370" t="s">
        <v>29</v>
      </c>
      <c r="D206" s="508" t="s">
        <v>586</v>
      </c>
      <c r="E206" s="372">
        <v>2026.0</v>
      </c>
      <c r="F206" s="373" t="s">
        <v>587</v>
      </c>
      <c r="G206" s="370" t="s">
        <v>588</v>
      </c>
      <c r="H206" s="371"/>
      <c r="I206" s="370" t="s">
        <v>119</v>
      </c>
      <c r="J206" s="412"/>
      <c r="K206" s="370" t="s">
        <v>589</v>
      </c>
      <c r="L206" s="370" t="s">
        <v>259</v>
      </c>
      <c r="M206" s="401" t="s">
        <v>244</v>
      </c>
      <c r="N206" s="514">
        <v>0.0</v>
      </c>
      <c r="O206" s="402" t="s">
        <v>248</v>
      </c>
      <c r="P206" s="412"/>
      <c r="Q206" s="403">
        <v>46254.0</v>
      </c>
      <c r="R206" s="404">
        <v>46239.0</v>
      </c>
      <c r="S206" s="405"/>
      <c r="T206" s="423"/>
      <c r="U206" s="408" t="str">
        <f t="shared" ref="U206:U212" si="26">IF(B206="","",T206)</f>
        <v/>
      </c>
      <c r="V206" s="371"/>
      <c r="W206" s="423"/>
      <c r="X206" s="409"/>
      <c r="Y206" s="371"/>
      <c r="Z206" s="371" t="str">
        <f t="shared" ref="Z206:Z212" si="27">IF(B206="","","Không")</f>
        <v>Không</v>
      </c>
      <c r="AA206" s="315"/>
      <c r="AD206" s="54"/>
    </row>
    <row r="207" ht="15.75" customHeight="1">
      <c r="A207" s="464">
        <f t="shared" si="24"/>
        <v>2</v>
      </c>
      <c r="B207" s="371" t="str">
        <f t="shared" si="25"/>
        <v>HHL5RD05-01.02</v>
      </c>
      <c r="C207" s="370" t="s">
        <v>29</v>
      </c>
      <c r="D207" s="508" t="s">
        <v>586</v>
      </c>
      <c r="E207" s="372">
        <v>2026.0</v>
      </c>
      <c r="F207" s="373" t="s">
        <v>590</v>
      </c>
      <c r="G207" s="370" t="s">
        <v>591</v>
      </c>
      <c r="H207" s="371"/>
      <c r="I207" s="370" t="s">
        <v>119</v>
      </c>
      <c r="J207" s="412"/>
      <c r="K207" s="370" t="s">
        <v>258</v>
      </c>
      <c r="L207" s="370" t="s">
        <v>259</v>
      </c>
      <c r="M207" s="401" t="s">
        <v>244</v>
      </c>
      <c r="N207" s="514">
        <v>0.0</v>
      </c>
      <c r="O207" s="402" t="s">
        <v>248</v>
      </c>
      <c r="P207" s="412"/>
      <c r="Q207" s="403">
        <v>46254.0</v>
      </c>
      <c r="R207" s="404">
        <v>46239.0</v>
      </c>
      <c r="S207" s="405"/>
      <c r="T207" s="423"/>
      <c r="U207" s="408" t="str">
        <f t="shared" si="26"/>
        <v/>
      </c>
      <c r="V207" s="371"/>
      <c r="W207" s="423"/>
      <c r="X207" s="409"/>
      <c r="Y207" s="371"/>
      <c r="Z207" s="371" t="str">
        <f t="shared" si="27"/>
        <v>Không</v>
      </c>
      <c r="AA207" s="315"/>
    </row>
    <row r="208" ht="15.75" customHeight="1">
      <c r="A208" s="369">
        <f t="shared" si="24"/>
        <v>3</v>
      </c>
      <c r="B208" s="371" t="str">
        <f t="shared" si="25"/>
        <v>HHL5RD05-01.03</v>
      </c>
      <c r="C208" s="370" t="s">
        <v>29</v>
      </c>
      <c r="D208" s="508" t="s">
        <v>586</v>
      </c>
      <c r="E208" s="372">
        <v>2026.0</v>
      </c>
      <c r="F208" s="373" t="s">
        <v>592</v>
      </c>
      <c r="G208" s="370" t="s">
        <v>593</v>
      </c>
      <c r="H208" s="371"/>
      <c r="I208" s="370" t="s">
        <v>119</v>
      </c>
      <c r="J208" s="412"/>
      <c r="K208" s="370" t="s">
        <v>594</v>
      </c>
      <c r="L208" s="370" t="s">
        <v>595</v>
      </c>
      <c r="M208" s="401" t="s">
        <v>244</v>
      </c>
      <c r="N208" s="514">
        <v>1.0</v>
      </c>
      <c r="O208" s="402" t="s">
        <v>248</v>
      </c>
      <c r="P208" s="412"/>
      <c r="Q208" s="403">
        <v>46239.0</v>
      </c>
      <c r="R208" s="404">
        <v>46239.0</v>
      </c>
      <c r="S208" s="405"/>
      <c r="T208" s="423"/>
      <c r="U208" s="408" t="str">
        <f t="shared" si="26"/>
        <v/>
      </c>
      <c r="V208" s="371"/>
      <c r="W208" s="423"/>
      <c r="X208" s="529">
        <v>46239.0</v>
      </c>
      <c r="Y208" s="530"/>
      <c r="Z208" s="371" t="str">
        <f t="shared" si="27"/>
        <v>Không</v>
      </c>
      <c r="AA208" s="315"/>
    </row>
    <row r="209" ht="15.75" customHeight="1">
      <c r="A209" s="464">
        <f t="shared" si="24"/>
        <v>4</v>
      </c>
      <c r="B209" s="371" t="str">
        <f t="shared" si="25"/>
        <v>HHL5RD05-01.04</v>
      </c>
      <c r="C209" s="370" t="s">
        <v>29</v>
      </c>
      <c r="D209" s="508" t="s">
        <v>586</v>
      </c>
      <c r="E209" s="372">
        <v>2026.0</v>
      </c>
      <c r="F209" s="373" t="s">
        <v>596</v>
      </c>
      <c r="G209" s="370" t="s">
        <v>597</v>
      </c>
      <c r="H209" s="371"/>
      <c r="I209" s="370" t="s">
        <v>119</v>
      </c>
      <c r="J209" s="412"/>
      <c r="K209" s="370" t="s">
        <v>589</v>
      </c>
      <c r="L209" s="370" t="s">
        <v>243</v>
      </c>
      <c r="M209" s="401" t="s">
        <v>244</v>
      </c>
      <c r="N209" s="514">
        <v>0.0</v>
      </c>
      <c r="O209" s="402" t="s">
        <v>248</v>
      </c>
      <c r="P209" s="412"/>
      <c r="Q209" s="403">
        <v>46264.0</v>
      </c>
      <c r="R209" s="404">
        <v>46254.0</v>
      </c>
      <c r="S209" s="405"/>
      <c r="T209" s="423"/>
      <c r="U209" s="408" t="str">
        <f t="shared" si="26"/>
        <v/>
      </c>
      <c r="V209" s="371"/>
      <c r="W209" s="423"/>
      <c r="X209" s="409"/>
      <c r="Y209" s="371"/>
      <c r="Z209" s="371" t="str">
        <f t="shared" si="27"/>
        <v>Không</v>
      </c>
      <c r="AA209" s="315"/>
    </row>
    <row r="210" ht="15.75" customHeight="1">
      <c r="A210" s="464" t="str">
        <f t="shared" si="24"/>
        <v/>
      </c>
      <c r="B210" s="371" t="str">
        <f t="shared" si="25"/>
        <v/>
      </c>
      <c r="C210" s="370" t="s">
        <v>29</v>
      </c>
      <c r="D210" s="371"/>
      <c r="E210" s="472"/>
      <c r="F210" s="473"/>
      <c r="G210" s="371"/>
      <c r="H210" s="371"/>
      <c r="I210" s="371"/>
      <c r="J210" s="371"/>
      <c r="K210" s="371"/>
      <c r="L210" s="371"/>
      <c r="M210" s="474"/>
      <c r="N210" s="500"/>
      <c r="O210" s="371"/>
      <c r="P210" s="371"/>
      <c r="Q210" s="454"/>
      <c r="R210" s="455"/>
      <c r="S210" s="455"/>
      <c r="T210" s="408"/>
      <c r="U210" s="408" t="str">
        <f t="shared" si="26"/>
        <v/>
      </c>
      <c r="V210" s="371"/>
      <c r="W210" s="408"/>
      <c r="X210" s="413"/>
      <c r="Y210" s="371"/>
      <c r="Z210" s="371" t="str">
        <f t="shared" si="27"/>
        <v/>
      </c>
      <c r="AA210" s="315"/>
    </row>
    <row r="211" ht="15.75" hidden="1" customHeight="1">
      <c r="A211" s="369" t="str">
        <f t="shared" si="24"/>
        <v/>
      </c>
      <c r="B211" s="522" t="str">
        <f t="shared" si="25"/>
        <v/>
      </c>
      <c r="C211" s="531" t="s">
        <v>29</v>
      </c>
      <c r="D211" s="522"/>
      <c r="E211" s="532"/>
      <c r="F211" s="533"/>
      <c r="G211" s="522"/>
      <c r="H211" s="522"/>
      <c r="I211" s="522"/>
      <c r="J211" s="522"/>
      <c r="K211" s="522"/>
      <c r="L211" s="522"/>
      <c r="M211" s="534"/>
      <c r="N211" s="535"/>
      <c r="O211" s="522"/>
      <c r="P211" s="522"/>
      <c r="Q211" s="536"/>
      <c r="R211" s="537"/>
      <c r="S211" s="537"/>
      <c r="T211" s="538"/>
      <c r="U211" s="539" t="str">
        <f t="shared" si="26"/>
        <v/>
      </c>
      <c r="V211" s="522"/>
      <c r="W211" s="539"/>
      <c r="X211" s="540"/>
      <c r="Y211" s="522"/>
      <c r="Z211" s="522" t="str">
        <f t="shared" si="27"/>
        <v/>
      </c>
      <c r="AA211" s="315"/>
    </row>
    <row r="212" ht="15.75" customHeight="1">
      <c r="A212" s="464" t="str">
        <f t="shared" si="24"/>
        <v/>
      </c>
      <c r="B212" s="371" t="str">
        <f t="shared" si="25"/>
        <v/>
      </c>
      <c r="C212" s="370" t="s">
        <v>29</v>
      </c>
      <c r="D212" s="541"/>
      <c r="E212" s="542"/>
      <c r="F212" s="543"/>
      <c r="G212" s="544"/>
      <c r="H212" s="544"/>
      <c r="I212" s="541"/>
      <c r="J212" s="544"/>
      <c r="K212" s="541"/>
      <c r="L212" s="541"/>
      <c r="M212" s="545"/>
      <c r="N212" s="546"/>
      <c r="O212" s="541"/>
      <c r="P212" s="544"/>
      <c r="Q212" s="547"/>
      <c r="R212" s="548"/>
      <c r="S212" s="549"/>
      <c r="T212" s="550"/>
      <c r="U212" s="551" t="str">
        <f t="shared" si="26"/>
        <v/>
      </c>
      <c r="V212" s="544"/>
      <c r="W212" s="552"/>
      <c r="X212" s="553"/>
      <c r="Y212" s="544"/>
      <c r="Z212" s="554" t="str">
        <f t="shared" si="27"/>
        <v/>
      </c>
      <c r="AA212" s="315"/>
    </row>
    <row r="213" ht="19.5" customHeight="1">
      <c r="A213" s="526" t="s">
        <v>598</v>
      </c>
      <c r="B213" s="555"/>
      <c r="C213" s="496" t="str">
        <f t="array" ref="C213">IF(TRIM(B213)="","",LET(k,TRIM(B213),p,IFERROR(XMATCH("*"&amp;k&amp;"*",$B$206:$B$212,2),IFERROR(XMATCH("*"&amp;k&amp;"*",$F$206:$F$212,2),0)),IF(p=0,"Không tìm thấy",INDEX($B$206:$B$212,p)&amp;" | "&amp;INDEX($F$206:$F$212,p)&amp;" | Dòng "&amp;(p+186))))</f>
        <v/>
      </c>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c r="AA213" s="315"/>
    </row>
    <row r="214" ht="18.0" customHeight="1">
      <c r="A214" s="319" t="s">
        <v>599</v>
      </c>
      <c r="B214" s="319"/>
      <c r="C214" s="556"/>
      <c r="D214" s="556"/>
      <c r="E214" s="556"/>
      <c r="F214" s="556"/>
      <c r="G214" s="556"/>
      <c r="H214" s="556"/>
      <c r="I214" s="556"/>
      <c r="J214" s="556"/>
      <c r="K214" s="556"/>
      <c r="L214" s="556"/>
      <c r="M214" s="556"/>
      <c r="N214" s="556"/>
      <c r="O214" s="556"/>
      <c r="P214" s="556"/>
    </row>
    <row r="215" ht="15.75" customHeight="1">
      <c r="A215" s="364" t="s">
        <v>600</v>
      </c>
      <c r="B215" s="364"/>
    </row>
    <row r="216" ht="22.5" customHeight="1">
      <c r="A216" s="557"/>
      <c r="B216" s="557" t="s">
        <v>601</v>
      </c>
      <c r="C216" s="557" t="s">
        <v>602</v>
      </c>
      <c r="D216" s="557" t="s">
        <v>603</v>
      </c>
      <c r="E216" s="557" t="s">
        <v>164</v>
      </c>
      <c r="F216" s="557" t="s">
        <v>168</v>
      </c>
      <c r="G216" s="557" t="s">
        <v>166</v>
      </c>
      <c r="H216" s="557" t="s">
        <v>604</v>
      </c>
      <c r="I216" s="557" t="s">
        <v>58</v>
      </c>
      <c r="J216" s="557" t="s">
        <v>61</v>
      </c>
      <c r="K216" s="557" t="s">
        <v>605</v>
      </c>
      <c r="L216" s="557" t="s">
        <v>606</v>
      </c>
      <c r="M216" s="557" t="s">
        <v>607</v>
      </c>
      <c r="N216" s="557" t="s">
        <v>608</v>
      </c>
      <c r="O216" s="557" t="s">
        <v>609</v>
      </c>
      <c r="P216" s="557" t="s">
        <v>610</v>
      </c>
    </row>
    <row r="217" ht="15.75" customHeight="1">
      <c r="A217" s="558"/>
      <c r="B217" s="558" t="str">
        <f t="shared" ref="B217:B219" si="28">IF(E217="","",TEXT(C217,"yyyymm")&amp;"-"&amp;SUBSTITUTE(D217," ","")&amp;"-"&amp;E217&amp;"-"&amp;TEXT(ROW()-200,"000"))</f>
        <v/>
      </c>
      <c r="C217" s="559"/>
      <c r="D217" s="560" t="str">
        <f t="shared" ref="D217:D219" si="29">IF(E217="","",IFERROR(XLOOKUP(E217,$B$67:$B$212,$C$67:$C$212,""),""))</f>
        <v/>
      </c>
      <c r="E217" s="561"/>
      <c r="F217" s="558" t="str">
        <f t="shared" ref="F217:F219" si="30">IF(E217="","",IFERROR(XLOOKUP(E217,$B$67:$B$212,$F$67:$F$212,""),""))</f>
        <v/>
      </c>
      <c r="G217" s="558" t="str">
        <f t="shared" ref="G217:G219" si="31">IF(E217="","",IFERROR(XLOOKUP(E217,$B$67:$B$212,$D$67:$D$212,""),""))</f>
        <v/>
      </c>
      <c r="H217" s="558" t="str">
        <f t="shared" ref="H217:H219" si="32">IF(E217="","",IFERROR(XLOOKUP(E217,$B$67:$B$212,$K$67:$K$212,""),""))</f>
        <v/>
      </c>
      <c r="I217" s="558" t="str">
        <f t="shared" ref="I217:I219" si="33">IF(E217="","",IFERROR(XLOOKUP(E217,$B$67:$B$212,$O$67:$O$212,""),""))</f>
        <v/>
      </c>
      <c r="J217" s="558" t="str">
        <f t="shared" ref="J217:J219" si="34">IF(E217="","",IFERROR(XLOOKUP(E217,$B$67:$B$212,$P$67:$P$212,""),""))</f>
        <v/>
      </c>
      <c r="K217" s="562"/>
      <c r="L217" s="561"/>
      <c r="M217" s="563"/>
      <c r="N217" s="564"/>
      <c r="O217" s="565" t="str">
        <f t="shared" ref="O217:O219" si="35">IF(OR(E217="",#REF!="",K217=""),"",IF(#REF!&lt;=K217,"Đúng hạn","Trễ hạn"))</f>
        <v>#REF!</v>
      </c>
      <c r="P217" s="561"/>
    </row>
    <row r="218" ht="15.75" customHeight="1">
      <c r="A218" s="558"/>
      <c r="B218" s="558" t="str">
        <f t="shared" si="28"/>
        <v/>
      </c>
      <c r="C218" s="559"/>
      <c r="D218" s="560" t="str">
        <f t="shared" si="29"/>
        <v/>
      </c>
      <c r="E218" s="561"/>
      <c r="F218" s="558" t="str">
        <f t="shared" si="30"/>
        <v/>
      </c>
      <c r="G218" s="558" t="str">
        <f t="shared" si="31"/>
        <v/>
      </c>
      <c r="H218" s="558" t="str">
        <f t="shared" si="32"/>
        <v/>
      </c>
      <c r="I218" s="558" t="str">
        <f t="shared" si="33"/>
        <v/>
      </c>
      <c r="J218" s="558" t="str">
        <f t="shared" si="34"/>
        <v/>
      </c>
      <c r="K218" s="562"/>
      <c r="L218" s="561"/>
      <c r="M218" s="563"/>
      <c r="N218" s="564"/>
      <c r="O218" s="565" t="str">
        <f t="shared" si="35"/>
        <v>#REF!</v>
      </c>
      <c r="P218" s="561"/>
    </row>
    <row r="219" ht="15.75" customHeight="1">
      <c r="A219" s="558"/>
      <c r="B219" s="558" t="str">
        <f t="shared" si="28"/>
        <v/>
      </c>
      <c r="C219" s="559"/>
      <c r="D219" s="560" t="str">
        <f t="shared" si="29"/>
        <v/>
      </c>
      <c r="E219" s="561"/>
      <c r="F219" s="558" t="str">
        <f t="shared" si="30"/>
        <v/>
      </c>
      <c r="G219" s="558" t="str">
        <f t="shared" si="31"/>
        <v/>
      </c>
      <c r="H219" s="558" t="str">
        <f t="shared" si="32"/>
        <v/>
      </c>
      <c r="I219" s="558" t="str">
        <f t="shared" si="33"/>
        <v/>
      </c>
      <c r="J219" s="558" t="str">
        <f t="shared" si="34"/>
        <v/>
      </c>
      <c r="K219" s="562"/>
      <c r="L219" s="561"/>
      <c r="M219" s="563"/>
      <c r="N219" s="564"/>
      <c r="O219" s="565" t="str">
        <f t="shared" si="35"/>
        <v>#REF!</v>
      </c>
      <c r="P219" s="561"/>
    </row>
  </sheetData>
  <dataValidations>
    <dataValidation type="decimal" operator="greaterThanOrEqual" allowBlank="1" showDropDown="1" showInputMessage="1" showErrorMessage="1" prompt="Khối lượng ước tính tính bằng giờ và không được âm." sqref="T65:T91 T93:T212">
      <formula1>0.0</formula1>
    </dataValidation>
    <dataValidation type="list" allowBlank="1" showInputMessage="1" showErrorMessage="1" prompt="L6 chỉ được chọn mã cha thuộc L5." sqref="D204:D212">
      <formula1>'Trung tâm nhập liệu'!$B$159:$B$203</formula1>
    </dataValidation>
    <dataValidation type="list" allowBlank="1" showInputMessage="1" showErrorMessage="1" prompt="Chọn mã công việc cần ghi nhận kỳ hoặc lần thực hiện." sqref="E217:E219">
      <formula1>'Trung tâm nhập liệu'!$B$67:$B$210</formula1>
    </dataValidation>
    <dataValidation type="decimal" allowBlank="1" showDropDown="1" showInputMessage="1" showErrorMessage="1" prompt="% hoàn thành kỳ từ 0% đến 100%." sqref="M217:M219">
      <formula1>0.0</formula1>
      <formula2>1.0</formula2>
    </dataValidation>
    <dataValidation type="list" allowBlank="1" showInputMessage="1" showErrorMessage="1" prompt="Chọn đúng mã công việc. Nếu không nhớ mã, tìm theo tên tại ô F6." sqref="C3">
      <formula1>'Trung tâm nhập liệu'!$B$67:$B$210</formula1>
    </dataValidation>
    <dataValidation type="list" allowBlank="1" showInputMessage="1" showErrorMessage="1" prompt="Chọn trạng thái hiện tại của công việc." sqref="L65:L212">
      <formula1>'_DM_Dropdown'!$G$2:$G$8</formula1>
    </dataValidation>
    <dataValidation type="decimal" allowBlank="1" showDropDown="1" showInputMessage="1" showErrorMessage="1" prompt="% hoàn thành nhập từ 0% đến 100%." sqref="N204:N212">
      <formula1>0.0</formula1>
      <formula2>1.0</formula2>
    </dataValidation>
    <dataValidation type="list" allowBlank="1" showInputMessage="1" showErrorMessage="1" prompt="Chọn năm quản trị của công việc." sqref="E65:E212">
      <formula1>'_DM_Dropdown'!$M$2:$M$3</formula1>
    </dataValidation>
    <dataValidation type="list" allowBlank="1" showInputMessage="1" showErrorMessage="1" prompt="Người trực tiếp thực hiện công việc." sqref="K65:K212">
      <formula1>'_DM_Dropdown'!$A$2:$A$6</formula1>
    </dataValidation>
    <dataValidation type="custom" allowBlank="1" showDropDown="1" showInputMessage="1" showErrorMessage="1" prompt="Nhập ngày hợp lệ." sqref="X65:X150 Q65:S212 X152:X212 K217:K219">
      <formula1>OR(NOT(ISERROR(DATEVALUE(K65))), AND(ISNUMBER(K65), LEFT(CELL("format", K65))="D"))</formula1>
    </dataValidation>
    <dataValidation type="list" allowBlank="1" showInputMessage="1" prompt="Đơn vị dùng để phân bổ tải nguồn lực: Ngày hoặc Tuần." sqref="V65:V212">
      <formula1>'_DM_Dropdown'!$L$2:$L$3</formula1>
    </dataValidation>
    <dataValidation type="list" allowBlank="1" showInputMessage="1" prompt="Lead là người điều phối hoặc chịu trách nhiệm quản trị." sqref="J65:J212">
      <formula1>'_DM_Dropdown'!$A$2:$A$6</formula1>
    </dataValidation>
    <dataValidation type="list" allowBlank="1" showInputMessage="1" showErrorMessage="1" prompt="L5 chỉ được chọn mã cha thuộc L4." sqref="D157:D203">
      <formula1>'Trung tâm nhập liệu'!$B$115:$B$156</formula1>
    </dataValidation>
    <dataValidation type="list" allowBlank="1" showInputMessage="1" showErrorMessage="1" prompt="L4 chỉ được chọn mã cha thuộc L3." sqref="D113:D156">
      <formula1>'Trung tâm nhập liệu'!$B$67:$B$112</formula1>
    </dataValidation>
    <dataValidation type="list" allowBlank="1" showInputMessage="1" showErrorMessage="1" prompt="Chọn Chưa xếp lịch, Có thời hạn, Định kỳ hoặc Khi phát sinh." sqref="O65:O212">
      <formula1>'_DM_Dropdown'!$I$2:$I$5</formula1>
    </dataValidation>
    <dataValidation type="decimal" operator="greaterThanOrEqual" allowBlank="1" showDropDown="1" showInputMessage="1" showErrorMessage="1" prompt="Số giờ phân bổ mỗi kỳ và không được âm." sqref="W65:W212">
      <formula1>0.0</formula1>
    </dataValidation>
    <dataValidation type="list" allowBlank="1" showInputMessage="1" showErrorMessage="1" prompt="Chọn trạng thái của riêng kỳ thực hiện này." sqref="L217:L219">
      <formula1>'_DM_Dropdown'!$K$2:$K$5</formula1>
    </dataValidation>
    <dataValidation type="list" allowBlank="1" showInputMessage="1" showErrorMessage="1" prompt="Chọn đơn vị chịu trách nhiệm chính." sqref="I65:I212">
      <formula1>'_DM_Dropdown'!$B$2:$B$8</formula1>
    </dataValidation>
    <dataValidation type="list" allowBlank="1" showInputMessage="1" prompt="Chỉ nhập Chu kỳ khi Loại lịch là Định kỳ." sqref="P65:P212">
      <formula1>'_DM_Dropdown'!$J$2:$J$5</formula1>
    </dataValidation>
    <dataValidation type="list" allowBlank="1" showInputMessage="1" showErrorMessage="1" prompt="P1 là mức ưu tiên cao nhất." sqref="M65:M212">
      <formula1>'_DM_Dropdown'!$H$2:$H$5</formula1>
    </dataValidation>
    <dataValidation type="custom" allowBlank="1" showDropDown="1" showInputMessage="1" showErrorMessage="1" prompt="Kỳ đánh giá phải là ngày hợp lệ." sqref="C217:C219">
      <formula1>OR(NOT(ISERROR(DATEVALUE(C217))), AND(ISNUMBER(C217), LEFT(CELL("format", C217))="D"))</formula1>
    </dataValidation>
    <dataValidation type="decimal" operator="greaterThanOrEqual" allowBlank="1" showDropDown="1" showInputMessage="1" showErrorMessage="1" prompt="Giờ thực tế không được âm." sqref="N217:N219">
      <formula1>0.0</formula1>
    </dataValidation>
    <dataValidation type="list" allowBlank="1" showInputMessage="1" prompt="Có thể chọn tên từ danh sách hoặc tự nhập một phần tên để tìm gần đúng." sqref="G3">
      <formula1>'Trung tâm nhập liệu'!$F$67:$F$210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outlinePr summaryBelow="0" summaryRight="0"/>
  </sheetPr>
  <sheetViews>
    <sheetView showGridLines="0" workbookViewId="0">
      <pane ySplit="22.0" topLeftCell="A23" activePane="bottomLeft" state="frozen"/>
      <selection activeCell="B24" sqref="B24" pane="bottomLeft"/>
    </sheetView>
  </sheetViews>
  <sheetFormatPr customHeight="1" defaultColWidth="12.63" defaultRowHeight="15.0"/>
  <cols>
    <col customWidth="1" min="1" max="1" width="68.0"/>
    <col customWidth="1" min="2" max="3" width="11.38"/>
    <col customWidth="1" min="4" max="4" width="8.88"/>
    <col customWidth="1" min="5" max="5" width="11.38"/>
    <col customWidth="1" min="6" max="6" width="8.25"/>
    <col customWidth="1" min="7" max="7" width="9.5"/>
    <col customWidth="1" min="8" max="9" width="8.25"/>
    <col customWidth="1" min="10" max="10" width="13.88"/>
    <col customWidth="1" min="11" max="11" width="22.63"/>
    <col customWidth="1" min="12" max="12" width="20.13"/>
    <col customWidth="1" hidden="1" min="13" max="18" width="12.63"/>
    <col customWidth="1" hidden="1" min="19" max="19" width="26.75"/>
    <col customWidth="1" hidden="1" min="20" max="60" width="12.63"/>
    <col customWidth="1" min="61" max="66" width="12.63"/>
  </cols>
  <sheetData>
    <row r="1" ht="15.75" customHeight="1">
      <c r="A1" s="7" t="s">
        <v>2</v>
      </c>
      <c r="B1" s="9"/>
      <c r="C1" s="9"/>
      <c r="D1" s="9"/>
      <c r="E1" s="9"/>
      <c r="F1" s="9"/>
      <c r="G1" s="9"/>
      <c r="H1" s="9"/>
      <c r="I1" s="9"/>
      <c r="J1" s="9"/>
      <c r="K1" s="9"/>
      <c r="L1" s="9"/>
      <c r="M1" s="9"/>
      <c r="N1" s="9"/>
      <c r="O1" s="9"/>
      <c r="P1" s="9"/>
      <c r="Q1" s="9"/>
      <c r="R1" s="9"/>
    </row>
    <row r="2" ht="15.75" customHeight="1">
      <c r="A2" s="13" t="s">
        <v>6</v>
      </c>
      <c r="B2" s="20"/>
      <c r="C2" s="20"/>
      <c r="D2" s="20"/>
      <c r="E2" s="20"/>
      <c r="F2" s="20"/>
      <c r="G2" s="20"/>
      <c r="H2" s="20"/>
      <c r="I2" s="20"/>
      <c r="J2" s="20"/>
      <c r="K2" s="20"/>
      <c r="L2" s="20"/>
      <c r="M2" s="20"/>
      <c r="N2" s="20"/>
      <c r="O2" s="20"/>
      <c r="P2" s="20"/>
      <c r="Q2" s="31" t="s">
        <v>11</v>
      </c>
      <c r="R2" s="39"/>
    </row>
    <row r="3" ht="15.75" customHeight="1">
      <c r="Q3" s="41" t="s">
        <v>20</v>
      </c>
      <c r="R3" s="45"/>
    </row>
    <row r="4" ht="15.75" customHeight="1">
      <c r="A4" s="50" t="s">
        <v>21</v>
      </c>
      <c r="B4" s="56">
        <f>COUNTIF($X$24:$X$700,"&lt;&gt;")</f>
        <v>113</v>
      </c>
      <c r="C4" s="58"/>
      <c r="D4" s="59" t="s">
        <v>35</v>
      </c>
      <c r="E4" s="65">
        <f>COUNTIFS($X$24:$X$700,"&lt;&gt;",$AB$24:$AB$700,"P1")</f>
        <v>35</v>
      </c>
      <c r="F4" s="58"/>
      <c r="G4" s="59" t="s">
        <v>44</v>
      </c>
      <c r="H4" s="72">
        <f>COUNTIFS($X$24:$X$700,"&lt;&gt;",$AI$24:$AI$700,"🔴*")</f>
        <v>5</v>
      </c>
      <c r="I4" s="58"/>
      <c r="J4" s="59" t="s">
        <v>52</v>
      </c>
      <c r="K4" s="80">
        <f>COUNTIFS($X$24:$X$700,"&lt;&gt;",$AI$24:$AI$700,"🟠*")</f>
        <v>3</v>
      </c>
      <c r="L4" s="58"/>
      <c r="M4" s="59" t="s">
        <v>73</v>
      </c>
      <c r="N4" s="84" t="str">
        <f>SUMIFS($AH$24:$AH$700,$X$24:$X$700,"&lt;&gt;")</f>
        <v>#REF!</v>
      </c>
      <c r="Q4" s="41" t="s">
        <v>76</v>
      </c>
      <c r="R4" s="45"/>
    </row>
    <row r="5" ht="15.75" customHeight="1">
      <c r="Q5" s="41" t="s">
        <v>77</v>
      </c>
      <c r="R5" s="45"/>
    </row>
    <row r="6" ht="15.75" customHeight="1">
      <c r="A6" s="91" t="s">
        <v>79</v>
      </c>
      <c r="B6" s="93"/>
      <c r="C6" s="93"/>
      <c r="D6" s="93"/>
      <c r="E6" s="93"/>
      <c r="F6" s="93"/>
      <c r="G6" s="93"/>
      <c r="Q6" s="41" t="s">
        <v>80</v>
      </c>
      <c r="R6" s="45"/>
    </row>
    <row r="7" ht="15.75" customHeight="1">
      <c r="A7" s="96" t="s">
        <v>81</v>
      </c>
      <c r="B7" s="96" t="s">
        <v>82</v>
      </c>
      <c r="C7" s="96" t="s">
        <v>83</v>
      </c>
      <c r="D7" s="96" t="s">
        <v>84</v>
      </c>
      <c r="E7" s="96" t="s">
        <v>85</v>
      </c>
      <c r="F7" s="96" t="s">
        <v>86</v>
      </c>
      <c r="G7" s="96" t="s">
        <v>53</v>
      </c>
      <c r="Q7" s="45"/>
      <c r="R7" s="45"/>
    </row>
    <row r="8" ht="15.75" customHeight="1">
      <c r="A8" s="103" t="str">
        <f t="shared" ref="A8:A10" si="1">IFERROR(IF(LEN(TRIM(SUBSTITUTE(SUBSTITUTE(SUBSTITUTE(INDEX($V$24:$V$700,MATCH(SMALL($T$24:$T$700,ROWS($A$8:A8)),$T$24:$T$700,0)),"◆",""),"├─",""),"└─","")))=0,"⚠ Chưa nhập tên – "&amp;INDEX($X$24:$X$700,MATCH(SMALL($T$24:$T$700,ROWS($A$8:A8)),$T$24:$T$700,0)),INDEX($V$24:$V$700,MATCH(SMALL($T$24:$T$700,ROWS($A$8:A8)),$T$24:$T$700,0))),"")</f>
        <v/>
      </c>
      <c r="B8" s="103" t="str">
        <f t="shared" ref="B8:B10" si="2">IFERROR(INDEX($Z$24:$Z$700,MATCH(SMALL($T$24:$T$700,ROWS($A$8:A8)),$T$24:$T$700,0)),"")</f>
        <v/>
      </c>
      <c r="C8" s="103" t="str">
        <f t="shared" ref="C8:C10" si="3">IFERROR(INDEX($AB$24:$AB$700,MATCH(SMALL($T$24:$T$700,ROWS($A$8:A8)),$T$24:$T$700,0)),"")</f>
        <v/>
      </c>
      <c r="D8" s="113" t="str">
        <f t="shared" ref="D8:D10" si="4">IFERROR(INDEX($AD$24:$AD$700,MATCH(SMALL($T$24:$T$700,ROWS($A$8:A8)),$T$24:$T$700,0)),"")</f>
        <v/>
      </c>
      <c r="E8" s="117" t="str">
        <f t="shared" ref="E8:E10" si="5">IFERROR(INDEX($AE$24:$AE$700,MATCH(SMALL($T$24:$T$700,ROWS($A$8:A8)),$T$24:$T$700,0)),"")</f>
        <v/>
      </c>
      <c r="F8" s="121" t="str">
        <f t="shared" ref="F8:F10" si="6">IFERROR(INDEX($AH$24:$AH$700,MATCH(SMALL($T$24:$T$700,ROWS($A$8:A8)),$T$24:$T$700,0)),"")</f>
        <v/>
      </c>
      <c r="G8" s="103" t="str">
        <f t="shared" ref="G8:G10" si="7">IFERROR(INDEX($AI$24:$AI$700,MATCH(SMALL($T$24:$T$700,ROWS($A$8:A8)),$T$24:$T$700,0)),"")</f>
        <v/>
      </c>
      <c r="Q8" s="41" t="s">
        <v>90</v>
      </c>
      <c r="R8" s="45"/>
    </row>
    <row r="9" ht="15.75" customHeight="1">
      <c r="A9" s="103" t="str">
        <f t="shared" si="1"/>
        <v/>
      </c>
      <c r="B9" s="103" t="str">
        <f t="shared" si="2"/>
        <v/>
      </c>
      <c r="C9" s="103" t="str">
        <f t="shared" si="3"/>
        <v/>
      </c>
      <c r="D9" s="113" t="str">
        <f t="shared" si="4"/>
        <v/>
      </c>
      <c r="E9" s="117" t="str">
        <f t="shared" si="5"/>
        <v/>
      </c>
      <c r="F9" s="121" t="str">
        <f t="shared" si="6"/>
        <v/>
      </c>
      <c r="G9" s="103" t="str">
        <f t="shared" si="7"/>
        <v/>
      </c>
      <c r="Q9" s="41" t="s">
        <v>91</v>
      </c>
      <c r="R9" s="45"/>
    </row>
    <row r="10" ht="15.75" customHeight="1">
      <c r="A10" s="126" t="str">
        <f t="shared" si="1"/>
        <v/>
      </c>
      <c r="B10" s="126" t="str">
        <f t="shared" si="2"/>
        <v/>
      </c>
      <c r="C10" s="126" t="str">
        <f t="shared" si="3"/>
        <v/>
      </c>
      <c r="D10" s="128" t="str">
        <f t="shared" si="4"/>
        <v/>
      </c>
      <c r="E10" s="129" t="str">
        <f t="shared" si="5"/>
        <v/>
      </c>
      <c r="F10" s="130" t="str">
        <f t="shared" si="6"/>
        <v/>
      </c>
      <c r="G10" s="126" t="str">
        <f t="shared" si="7"/>
        <v/>
      </c>
      <c r="Q10" s="41" t="s">
        <v>94</v>
      </c>
      <c r="R10" s="45"/>
    </row>
    <row r="11" ht="15.75" customHeight="1">
      <c r="Q11" s="133" t="s">
        <v>95</v>
      </c>
      <c r="R11" s="134"/>
    </row>
    <row r="12" ht="15.75" customHeight="1">
      <c r="A12" s="31" t="s">
        <v>96</v>
      </c>
      <c r="B12" s="31"/>
      <c r="C12" s="31"/>
      <c r="D12" s="31"/>
      <c r="E12" s="31"/>
      <c r="F12" s="31"/>
      <c r="G12" s="31"/>
      <c r="H12" s="31" t="s">
        <v>97</v>
      </c>
      <c r="I12" s="31"/>
      <c r="J12" s="31"/>
      <c r="K12" s="31" t="s">
        <v>98</v>
      </c>
      <c r="L12" s="31"/>
      <c r="M12" s="31"/>
      <c r="N12" s="31"/>
      <c r="O12" s="31" t="s">
        <v>99</v>
      </c>
      <c r="P12" s="31"/>
      <c r="Q12" s="31"/>
      <c r="R12" s="39"/>
    </row>
    <row r="13" ht="15.75" customHeight="1">
      <c r="A13" s="136" t="s">
        <v>100</v>
      </c>
      <c r="B13" s="136"/>
      <c r="C13" s="136"/>
      <c r="D13" s="137" t="s">
        <v>101</v>
      </c>
      <c r="E13" s="137"/>
      <c r="F13" s="137"/>
      <c r="G13" s="138"/>
      <c r="H13" s="96" t="s">
        <v>102</v>
      </c>
      <c r="I13" s="96" t="s">
        <v>103</v>
      </c>
      <c r="J13" s="96" t="s">
        <v>104</v>
      </c>
      <c r="K13" s="96" t="s">
        <v>105</v>
      </c>
      <c r="L13" s="96" t="s">
        <v>103</v>
      </c>
      <c r="M13" s="96" t="s">
        <v>86</v>
      </c>
      <c r="N13" s="96" t="s">
        <v>106</v>
      </c>
      <c r="O13" s="96" t="s">
        <v>107</v>
      </c>
      <c r="P13" s="96"/>
      <c r="Q13" s="96"/>
      <c r="R13" s="96" t="s">
        <v>108</v>
      </c>
    </row>
    <row r="14" ht="15.75" customHeight="1">
      <c r="A14" s="138" t="s">
        <v>109</v>
      </c>
      <c r="B14" s="138"/>
      <c r="C14" s="138">
        <f>COUNTIFS($AB$24:$AB$700,"P1",$AE$24:$AE$700,"&lt;&gt;",$AE$24:$AE$700,"&lt;="&amp;TODAY()+7,$AC$24:$AC$700,"&lt;&gt;Hoàn thành",$AC$24:$AC$700,"&lt;&gt;Hủy",$X$24:$X$700,"&lt;&gt;")</f>
        <v>2</v>
      </c>
      <c r="D14" s="138" t="s">
        <v>109</v>
      </c>
      <c r="E14" s="138"/>
      <c r="F14" s="138">
        <f>COUNTIFS($AB$24:$AB$700,"&lt;&gt;P1",$AE$24:$AE$700,"&lt;&gt;",$AE$24:$AE$700,"&lt;="&amp;TODAY()+7,$AC$24:$AC$700,"&lt;&gt;Hoàn thành",$AC$24:$AC$700,"&lt;&gt;Hủy",$X$24:$X$700,"&lt;&gt;")</f>
        <v>6</v>
      </c>
      <c r="G14" s="138"/>
      <c r="H14" s="138" t="str">
        <f t="shared" ref="H14:H18" si="8">IFERROR(INDEX($AK$24:$AK$60,MATCH(LARGE($AN$24:$AN$60,ROWS($H$14:H14)),$AN$24:$AN$60,0)),"")</f>
        <v>Em Đại</v>
      </c>
      <c r="I14" s="138">
        <f t="shared" ref="I14:I18" si="9">IF(H14="","",INDEX($AL$24:$AL$60,MATCH(H14,$AK$24:$AK$60,0)))</f>
        <v>61</v>
      </c>
      <c r="J14" s="138">
        <f t="shared" ref="J14:J18" si="10">IF(H14="","",INDEX($AM$24:$AM$60,MATCH(H14,$AK$24:$AK$60,0)))</f>
        <v>35.2</v>
      </c>
      <c r="K14" s="148" t="s">
        <v>90</v>
      </c>
      <c r="L14" s="148">
        <f>COUNTIFS($X$24:$X$700,"&lt;&gt;",$AI$24:$AI$700,"🔴*")</f>
        <v>5</v>
      </c>
      <c r="M14" s="148">
        <f>SUMIFS($AH$24:$AH$700,$X$24:$X$700,"&lt;&gt;",$AI$24:$AI$700,"🔴*")</f>
        <v>424</v>
      </c>
      <c r="N14" s="149">
        <f t="shared" ref="N14:N19" si="11">IFERROR(L14/$B$4,0)</f>
        <v>0.04424778761</v>
      </c>
      <c r="O14" s="138" t="s">
        <v>110</v>
      </c>
      <c r="P14" s="138"/>
      <c r="Q14" s="138"/>
      <c r="R14" s="150">
        <f>COUNTIFS($X$24:$X$700,"&lt;&gt;",$AJ$24:$AJ$700,"Thiếu người*")</f>
        <v>0</v>
      </c>
    </row>
    <row r="15" ht="15.75" customHeight="1">
      <c r="A15" s="148" t="s">
        <v>86</v>
      </c>
      <c r="B15" s="148"/>
      <c r="C15" s="148">
        <f>SUMIFS($AH$24:$AH$700,$AB$24:$AB$700,"P1",$AE$24:$AE$700,"&lt;&gt;",$AE$24:$AE$700,"&lt;="&amp;TODAY()+7,$AC$24:$AC$700,"&lt;&gt;Hoàn thành",$AC$24:$AC$700,"&lt;&gt;Hủy",$X$24:$X$700,"&lt;&gt;")</f>
        <v>16</v>
      </c>
      <c r="D15" s="151" t="s">
        <v>86</v>
      </c>
      <c r="E15" s="151"/>
      <c r="F15" s="151">
        <f>SUMIFS($AH$24:$AH$700,$AB$24:$AB$700,"&lt;&gt;P1",$AE$24:$AE$700,"&lt;&gt;",$AE$24:$AE$700,"&lt;="&amp;TODAY()+7,$AC$24:$AC$700,"&lt;&gt;Hoàn thành",$AC$24:$AC$700,"&lt;&gt;Hủy",$X$24:$X$700,"&lt;&gt;")</f>
        <v>544</v>
      </c>
      <c r="G15" s="138"/>
      <c r="H15" s="138" t="str">
        <f t="shared" si="8"/>
        <v>GĐ BOC</v>
      </c>
      <c r="I15" s="138">
        <f t="shared" si="9"/>
        <v>4</v>
      </c>
      <c r="J15" s="138">
        <f t="shared" si="10"/>
        <v>5</v>
      </c>
      <c r="K15" s="151" t="s">
        <v>111</v>
      </c>
      <c r="L15" s="151">
        <f>COUNTIFS($X$24:$X$700,"&lt;&gt;",$AI$24:$AI$700,"🟠*")</f>
        <v>3</v>
      </c>
      <c r="M15" s="151">
        <f>SUMIFS($AH$24:$AH$700,$X$24:$X$700,"&lt;&gt;",$AI$24:$AI$700,"🟠*")</f>
        <v>136</v>
      </c>
      <c r="N15" s="155">
        <f t="shared" si="11"/>
        <v>0.02654867257</v>
      </c>
      <c r="O15" s="138" t="s">
        <v>113</v>
      </c>
      <c r="P15" s="138"/>
      <c r="Q15" s="138"/>
      <c r="R15" s="150" t="str">
        <f>SUMPRODUCT(--($X$24:$X$700&lt;&gt;""),--(LEN(TRIM(SUBSTITUTE(SUBSTITUTE(SUBSTITUTE($V$24:$V$700,"◆",""),"├─",""),"└─","")))=0))</f>
        <v>#REF!</v>
      </c>
    </row>
    <row r="16" ht="15.75" customHeight="1">
      <c r="A16" s="138"/>
      <c r="B16" s="138"/>
      <c r="C16" s="138"/>
      <c r="D16" s="138"/>
      <c r="E16" s="138"/>
      <c r="F16" s="138"/>
      <c r="G16" s="138"/>
      <c r="H16" s="138" t="str">
        <f t="shared" si="8"/>
        <v>Thu Trang</v>
      </c>
      <c r="I16" s="138">
        <f t="shared" si="9"/>
        <v>1</v>
      </c>
      <c r="J16" s="138">
        <f t="shared" si="10"/>
        <v>0</v>
      </c>
      <c r="K16" s="161" t="s">
        <v>115</v>
      </c>
      <c r="L16" s="161">
        <f>COUNTIFS($AE$24:$AE$700,"&gt;"&amp;TODAY()+7,$AE$24:$AE$700,"&lt;="&amp;TODAY()+30,$AC$24:$AC$700,"&lt;&gt;Hoàn thành",$AC$24:$AC$700,"&lt;&gt;Hủy",$X$24:$X$700,"&lt;&gt;")</f>
        <v>15</v>
      </c>
      <c r="M16" s="161">
        <f>SUMIFS($AH$24:$AH$700,$AE$24:$AE$700,"&gt;"&amp;TODAY()+7,$AE$24:$AE$700,"&lt;="&amp;TODAY()+30,$AC$24:$AC$700,"&lt;&gt;Hoàn thành",$AC$24:$AC$700,"&lt;&gt;Hủy",$X$24:$X$700,"&lt;&gt;")</f>
        <v>1076</v>
      </c>
      <c r="N16" s="169">
        <f t="shared" si="11"/>
        <v>0.1327433628</v>
      </c>
      <c r="O16" s="138" t="s">
        <v>124</v>
      </c>
      <c r="P16" s="138"/>
      <c r="Q16" s="138"/>
      <c r="R16" s="150">
        <f>COUNTIFS($X$24:$X$700,"&lt;&gt;",$AJ$24:$AJ$700,"Quá tải*")</f>
        <v>22</v>
      </c>
    </row>
    <row r="17" ht="15.75" customHeight="1">
      <c r="A17" s="171" t="s">
        <v>125</v>
      </c>
      <c r="B17" s="171"/>
      <c r="C17" s="171"/>
      <c r="D17" s="173" t="s">
        <v>126</v>
      </c>
      <c r="E17" s="173"/>
      <c r="F17" s="173"/>
      <c r="G17" s="138"/>
      <c r="H17" s="138" t="str">
        <f t="shared" si="8"/>
        <v>Team PTSP</v>
      </c>
      <c r="I17" s="138">
        <f t="shared" si="9"/>
        <v>2</v>
      </c>
      <c r="J17" s="138">
        <f t="shared" si="10"/>
        <v>0</v>
      </c>
      <c r="K17" s="177" t="s">
        <v>128</v>
      </c>
      <c r="L17" s="177">
        <f>COUNTIFS($AE$24:$AE$700,"&gt;"&amp;TODAY()+30,$AC$24:$AC$700,"&lt;&gt;Hoàn thành",$AC$24:$AC$700,"&lt;&gt;Hủy",$X$24:$X$700,"&lt;&gt;")</f>
        <v>73</v>
      </c>
      <c r="M17" s="177">
        <f>SUMIFS($AH$24:$AH$700,$AE$24:$AE$700,"&gt;"&amp;TODAY()+30,$AC$24:$AC$700,"&lt;&gt;Hoàn thành",$AC$24:$AC$700,"&lt;&gt;Hủy",$X$24:$X$700,"&lt;&gt;")</f>
        <v>5404</v>
      </c>
      <c r="N17" s="185">
        <f t="shared" si="11"/>
        <v>0.6460176991</v>
      </c>
      <c r="O17" s="138" t="s">
        <v>129</v>
      </c>
      <c r="P17" s="138"/>
      <c r="Q17" s="138"/>
      <c r="R17" s="150">
        <f>COUNTIFS($AD$24:$AD$700,0,$AD$24:$AD$700,"&lt;&gt;",$AC$24:$AC$700,"&lt;&gt;Hoàn thành",$AC$24:$AC$700,"&lt;&gt;Hủy",$AC$24:$AC$700,"&lt;&gt;Chưa lên lịch",$AC$24:$AC$700,"&lt;&gt;Đã lên lịch",$X$24:$X$700,"&lt;&gt;")</f>
        <v>82</v>
      </c>
    </row>
    <row r="18" ht="15.75" customHeight="1">
      <c r="A18" s="138" t="s">
        <v>109</v>
      </c>
      <c r="B18" s="138"/>
      <c r="C18" s="138">
        <f>COUNTIFS($AB$24:$AB$700,"P1",$AE$24:$AE$700,"&gt;"&amp;TODAY()+7,$AC$24:$AC$700,"&lt;&gt;Hoàn thành",$AC$24:$AC$700,"&lt;&gt;Hủy",$X$24:$X$700,"&lt;&gt;")</f>
        <v>32</v>
      </c>
      <c r="D18" s="138" t="s">
        <v>109</v>
      </c>
      <c r="E18" s="138"/>
      <c r="F18" s="138">
        <f>COUNTIFS($X$24:$X$700,"&lt;&gt;",$AI$24:$AI$700,"🟢*")</f>
        <v>57</v>
      </c>
      <c r="G18" s="138"/>
      <c r="H18" s="191" t="str">
        <f t="shared" si="8"/>
        <v>Ms Trang</v>
      </c>
      <c r="I18" s="191">
        <f t="shared" si="9"/>
        <v>32</v>
      </c>
      <c r="J18" s="191">
        <f t="shared" si="10"/>
        <v>0</v>
      </c>
      <c r="K18" s="192" t="s">
        <v>130</v>
      </c>
      <c r="L18" s="192">
        <f>COUNTIFS($X$24:$X$700,"&lt;&gt;",$AE$24:$AE$700,"",$AC$24:$AC$700,"&lt;&gt;Hoàn thành",$AC$24:$AC$700,"&lt;&gt;Hủy")</f>
        <v>9</v>
      </c>
      <c r="M18" s="192">
        <f>SUMIFS($AH$24:$AH$700,$X$24:$X$700,"&lt;&gt;",$AE$24:$AE$700,"",$AC$24:$AC$700,"&lt;&gt;Hoàn thành",$AC$24:$AC$700,"&lt;&gt;Hủy")</f>
        <v>420</v>
      </c>
      <c r="N18" s="195">
        <f t="shared" si="11"/>
        <v>0.0796460177</v>
      </c>
      <c r="O18" s="138" t="s">
        <v>131</v>
      </c>
      <c r="P18" s="138"/>
      <c r="Q18" s="138"/>
      <c r="R18" s="150">
        <f>COUNTIFS('Lớp 6 - Chi tiết'!$S$14:$S$267,"&lt;&gt;",'Lớp 6 - Chi tiết'!$I$14:$I$267,"")</f>
        <v>0</v>
      </c>
    </row>
    <row r="19" ht="15.75" customHeight="1">
      <c r="A19" s="191" t="s">
        <v>86</v>
      </c>
      <c r="B19" s="191"/>
      <c r="C19" s="191">
        <f>SUMIFS($AH$24:$AH$700,$AB$24:$AB$700,"P1",$AE$24:$AE$700,"&gt;"&amp;TODAY()+7,$AC$24:$AC$700,"&lt;&gt;Hoàn thành",$AC$24:$AC$700,"&lt;&gt;Hủy",$X$24:$X$700,"&lt;&gt;")</f>
        <v>2984</v>
      </c>
      <c r="D19" s="191" t="s">
        <v>86</v>
      </c>
      <c r="E19" s="191"/>
      <c r="F19" s="191">
        <f>SUMIFS($AH$24:$AH$700,$X$24:$X$700,"&lt;&gt;",$AI$24:$AI$700,"🟢*")</f>
        <v>3496</v>
      </c>
      <c r="G19" s="191"/>
      <c r="H19" s="191"/>
      <c r="I19" s="191"/>
      <c r="J19" s="191"/>
      <c r="K19" s="191" t="s">
        <v>133</v>
      </c>
      <c r="L19" s="191">
        <f>COUNTIFS($X$24:$X$700,"&lt;&gt;",$AC$24:$AC$700,"Hoàn thành")</f>
        <v>1</v>
      </c>
      <c r="M19" s="191">
        <f>SUMIFS($AH$24:$AH$700,$X$24:$X$700,"&lt;&gt;",$AC$24:$AC$700,"Hoàn thành")</f>
        <v>0</v>
      </c>
      <c r="N19" s="201">
        <f t="shared" si="11"/>
        <v>0.008849557522</v>
      </c>
      <c r="O19" s="191" t="s">
        <v>134</v>
      </c>
      <c r="P19" s="191"/>
      <c r="Q19" s="191"/>
      <c r="R19" s="206">
        <f>IFERROR(COUNTIFS($X$24:$X$700,"&lt;&gt;",$AC$24:$AC$700,"Hoàn thành")/$B$4,0)</f>
        <v>0.008849557522</v>
      </c>
    </row>
    <row r="20" ht="15.75" customHeight="1">
      <c r="A20" s="211" t="s">
        <v>136</v>
      </c>
      <c r="B20" s="211"/>
      <c r="C20" s="211"/>
      <c r="D20" s="211"/>
      <c r="E20" s="211"/>
      <c r="F20" s="211"/>
      <c r="G20" s="213"/>
      <c r="H20" s="211" t="s">
        <v>137</v>
      </c>
      <c r="I20" s="211"/>
      <c r="J20" s="211"/>
      <c r="K20" s="213"/>
      <c r="L20" s="213"/>
      <c r="M20" s="213"/>
      <c r="N20" s="213"/>
      <c r="O20" s="215" t="s">
        <v>138</v>
      </c>
      <c r="P20" s="215"/>
      <c r="Q20" s="215"/>
      <c r="R20" s="219" t="str">
        <f>IF(OR($H$4/$B$4&gt;=15%,$R$21/$B$4&gt;=15%),"🔴 Căng thẳng",IF(OR(($H$4+$K$4)/$B$4&gt;=15%,$R$21/$B$4&gt;=5%),"🟠 Cần chú ý","🟢 Ổn định"))</f>
        <v>#REF!</v>
      </c>
    </row>
    <row r="21" ht="15.75" customHeight="1">
      <c r="A21" s="221" t="s">
        <v>139</v>
      </c>
      <c r="B21" s="223"/>
      <c r="C21" s="223"/>
      <c r="D21" s="223"/>
      <c r="E21" s="223"/>
      <c r="F21" s="223"/>
      <c r="G21" s="223"/>
      <c r="H21" s="223"/>
      <c r="I21" s="223"/>
      <c r="J21" s="223"/>
      <c r="K21" s="223"/>
      <c r="L21" s="223"/>
      <c r="M21" s="67"/>
      <c r="N21" s="67"/>
      <c r="O21" s="215" t="s">
        <v>145</v>
      </c>
      <c r="P21" s="215"/>
      <c r="Q21" s="215"/>
      <c r="R21" s="219" t="str">
        <f>SUMPRODUCT(--(LEN('Lớp 3 - Công việc chính'!$AS$14:$AS$73)&gt;0),--('Lớp 3 - Công việc chính'!$AS$14:$AS$73&lt;&gt;"OK"))+SUMPRODUCT(--(LEN('Lớp 4 - Danh mục'!$AV$14:$AV$132)&gt;0),--('Lớp 4 - Danh mục'!$AV$14:$AV$132&lt;&gt;"OK"))+SUMPRODUCT(--(LEN('Lớp 5 - Phân công'!$AW$14:$AW$262)&gt;0),--('Lớp 5 - Phân công'!$AW$14:$AW$262&lt;&gt;"OK"))+SUMPRODUCT(--(LEN('Lớp 6 - Chi tiết'!$AZ$14:$AZ$267)&gt;0),--('Lớp 6 - Chi tiết'!$AZ$14:$AZ$267&lt;&gt;"OK"))</f>
        <v>#REF!</v>
      </c>
      <c r="S21" s="67"/>
      <c r="T21" s="67"/>
    </row>
    <row r="22" ht="15.75" customHeight="1">
      <c r="A22" s="268" t="s">
        <v>146</v>
      </c>
      <c r="B22" s="268" t="s">
        <v>147</v>
      </c>
      <c r="C22" s="268" t="s">
        <v>148</v>
      </c>
      <c r="D22" s="268" t="s">
        <v>149</v>
      </c>
      <c r="E22" s="268" t="s">
        <v>150</v>
      </c>
      <c r="F22" s="268" t="s">
        <v>151</v>
      </c>
      <c r="G22" s="268" t="s">
        <v>152</v>
      </c>
      <c r="H22" s="268" t="s">
        <v>153</v>
      </c>
      <c r="I22" s="268" t="s">
        <v>154</v>
      </c>
      <c r="J22" s="268" t="s">
        <v>155</v>
      </c>
      <c r="K22" s="268" t="s">
        <v>156</v>
      </c>
      <c r="L22" s="268" t="s">
        <v>158</v>
      </c>
      <c r="M22" s="271" t="s">
        <v>159</v>
      </c>
      <c r="N22" s="276" t="s">
        <v>160</v>
      </c>
      <c r="O22" s="67"/>
      <c r="P22" s="67"/>
      <c r="Q22" s="67"/>
      <c r="R22" s="67"/>
      <c r="S22" s="67"/>
      <c r="T22" s="67"/>
    </row>
    <row r="23" ht="15.75" customHeight="1">
      <c r="A23" s="294" t="str">
        <f t="shared" ref="A23:A700" si="12">IF($T23="","",LET(p,$T23,m,MATCH(p,$AS$24:$AS$700,0),lvl,INDEX($W$24:$W$700,m),SWITCH(lvl,3,"▓▓ L3  "&amp;p&amp;"  "&amp;UPPER(IF(INDEX($AT$24:$AT$700,m)="","⚠ CHƯA NHẬP TÊN",INDEX($AT$24:$AT$700,m))),4,"    ├─ ▓ L4  "&amp;p&amp;"  "&amp;IF(INDEX($AU$24:$AU$700,m)="","⚠ Chưa nhập tên",INDEX($AU$24:$AU$700,m)),5,"        ├── ▒ L5  "&amp;p&amp;"  "&amp;IF(INDEX($AV$24:$AV$700,m)="","⚠ Chưa nhập tên công việc",INDEX($AV$24:$AV$700,m)),6,"            └─── ░ L6  "&amp;p&amp;"  "&amp;IF(INDEX($AW$24:$AW$700,m)="","⚠ Chưa nhập tên chi tiết",INDEX($AW$24:$AW$700,m)),"")))</f>
        <v>▓▓ L3  01  XÂY DỰNG BỘ CHIẾN LƯỢC CÔNG TY TẦM NHÌN 2030</v>
      </c>
      <c r="B23" s="301" t="str">
        <f t="shared" ref="B23:B700" si="13">IF($T23="","",INDEX($AX$24:$AX$700,MATCH($T23,$AS$24:$AS$700,0)))</f>
        <v>GĐ BOC</v>
      </c>
      <c r="C23" s="301" t="str">
        <f t="shared" ref="C23:C700" si="14">IF($T23="","",INDEX($AY$24:$AY$700,MATCH($T23,$AS$24:$AS$700,0)))</f>
        <v>Công ty</v>
      </c>
      <c r="D23" s="301" t="str">
        <f t="shared" ref="D23:D700" si="15">IF($T23="","",INDEX($AZ$24:$AZ$700,MATCH($T23,$AS$24:$AS$700,0)))</f>
        <v>P1</v>
      </c>
      <c r="E23" s="301" t="str">
        <f t="shared" ref="E23:E700" si="16">IF($T23="","",INDEX($BA$24:$BA$700,MATCH($T23,$AS$24:$AS$700,0)))</f>
        <v>Đã lên lịch</v>
      </c>
      <c r="F23" s="317" t="str">
        <f t="shared" ref="F23:F700" si="17">IF($T23="","",INDEX($BB$24:$BB$700,MATCH($T23,$AS$24:$AS$700,0)))</f>
        <v/>
      </c>
      <c r="G23" s="323">
        <f t="shared" ref="G23:G700" si="18">IF($T23="","",INDEX($BC$24:$BC$700,MATCH($T23,$AS$24:$AS$700,0)))</f>
        <v>46420</v>
      </c>
      <c r="H23" s="327">
        <f t="shared" ref="H23:H700" si="19">IF($T23="","",INDEX($BD$24:$BD$700,MATCH($T23,$AS$24:$AS$700,0)))</f>
        <v>68</v>
      </c>
      <c r="I23" s="327">
        <f t="shared" ref="I23:I700" si="20">IF($T23="","",INDEX($BF$24:$BF$700,MATCH($T23,$AS$24:$AS$700,0)))</f>
        <v>200</v>
      </c>
      <c r="J23" s="301" t="str">
        <f t="shared" ref="J23:J700" si="21">IF($T23="","",INDEX($BG$24:$BG$700,MATCH($T23,$AS$24:$AS$700,0)))</f>
        <v>🟣 P1 trọng yếu</v>
      </c>
      <c r="K23" s="301" t="str">
        <f t="shared" ref="K23:K700" si="22">IF($T23="","",INDEX($BH$24:$BH$700,MATCH($T23,$AS$24:$AS$700,0)))</f>
        <v>Bình thường – tổng 2.6/8.0 giờ/ngày</v>
      </c>
      <c r="L23" s="344" t="str">
        <f t="array" ref="L23">IF($T23="","",LET(m,MATCH($T23,$AS$24:$AS$700,0),lvl,INDEX($W$24:$W$700,m),id,INDEX($X$24:$X$700,m),SWITCH(lvl,3,"Lớp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chính!A14</v>
      </c>
      <c r="M23" s="351">
        <f t="shared" ref="M23:M700" si="23">IF($T23="","",INDEX($BI$24:$BI$700,MATCH($T23,$AS$24:$AS$700,0)))</f>
        <v>0.6</v>
      </c>
      <c r="N23" s="356" t="str">
        <f t="shared" ref="N23:N700" si="24">IF($T23="","",INDEX($BJ$24:$BJ$700,MATCH($T23,$AS$24:$AS$700,0)))</f>
        <v>Thiếu 11.7 giờ/tuần</v>
      </c>
      <c r="O23" s="358"/>
      <c r="P23" s="360"/>
      <c r="Q23" s="360"/>
      <c r="R23" s="67"/>
      <c r="S23" s="67"/>
      <c r="T23" s="67" t="str">
        <f>IFERROR(__xludf.DUMMYFUNCTION("SORT(FILTER($AS$24:$AS$700,$X$24:$X$700&lt;&gt;""""),1,1)"),"01")</f>
        <v>01</v>
      </c>
      <c r="U23" s="364" t="s">
        <v>216</v>
      </c>
      <c r="V23" s="364" t="s">
        <v>217</v>
      </c>
      <c r="W23" s="364" t="s">
        <v>218</v>
      </c>
      <c r="X23" s="364" t="s">
        <v>220</v>
      </c>
      <c r="Y23" s="364" t="s">
        <v>221</v>
      </c>
      <c r="Z23" s="364" t="s">
        <v>222</v>
      </c>
      <c r="AA23" s="364" t="s">
        <v>223</v>
      </c>
      <c r="AB23" s="364" t="s">
        <v>224</v>
      </c>
      <c r="AC23" s="364" t="s">
        <v>225</v>
      </c>
      <c r="AD23" s="364" t="s">
        <v>226</v>
      </c>
      <c r="AE23" s="364" t="s">
        <v>85</v>
      </c>
      <c r="AF23" s="364" t="s">
        <v>227</v>
      </c>
      <c r="AG23" s="364" t="s">
        <v>228</v>
      </c>
      <c r="AH23" s="364" t="s">
        <v>229</v>
      </c>
      <c r="AI23" s="364" t="s">
        <v>230</v>
      </c>
      <c r="AJ23" s="364" t="s">
        <v>231</v>
      </c>
      <c r="AK23" s="364" t="s">
        <v>232</v>
      </c>
      <c r="AL23" s="364" t="s">
        <v>234</v>
      </c>
      <c r="AM23" s="364" t="s">
        <v>229</v>
      </c>
      <c r="AO23" s="364"/>
      <c r="AP23" s="364"/>
      <c r="AQ23" s="364"/>
      <c r="AR23" s="364"/>
      <c r="AS23" s="364" t="s">
        <v>235</v>
      </c>
      <c r="AT23" s="364" t="s">
        <v>23</v>
      </c>
      <c r="AU23" s="364" t="s">
        <v>25</v>
      </c>
      <c r="AV23" s="364" t="s">
        <v>27</v>
      </c>
      <c r="AW23" s="364" t="s">
        <v>29</v>
      </c>
      <c r="AX23" s="364" t="s">
        <v>222</v>
      </c>
      <c r="AY23" s="364" t="s">
        <v>223</v>
      </c>
      <c r="AZ23" s="364" t="s">
        <v>224</v>
      </c>
      <c r="BA23" s="364" t="s">
        <v>225</v>
      </c>
      <c r="BB23" s="364" t="s">
        <v>226</v>
      </c>
      <c r="BC23" s="364" t="s">
        <v>85</v>
      </c>
      <c r="BD23" s="364" t="s">
        <v>227</v>
      </c>
      <c r="BE23" s="364" t="s">
        <v>228</v>
      </c>
      <c r="BF23" s="364" t="s">
        <v>229</v>
      </c>
      <c r="BG23" s="364" t="s">
        <v>230</v>
      </c>
      <c r="BH23" s="364" t="s">
        <v>231</v>
      </c>
      <c r="BI23" s="364" t="s">
        <v>239</v>
      </c>
      <c r="BJ23" s="364" t="s">
        <v>240</v>
      </c>
    </row>
    <row r="24" ht="15.75" customHeight="1">
      <c r="A24" s="294" t="str">
        <f t="shared" si="12"/>
        <v>▓▓ L3  02  XÂY DỰNG BỘ VHDN</v>
      </c>
      <c r="B24" s="301" t="str">
        <f t="shared" si="13"/>
        <v>GĐ BOC</v>
      </c>
      <c r="C24" s="301" t="str">
        <f t="shared" si="14"/>
        <v>Công ty</v>
      </c>
      <c r="D24" s="301" t="str">
        <f t="shared" si="15"/>
        <v>P2</v>
      </c>
      <c r="E24" s="301" t="str">
        <f t="shared" si="16"/>
        <v>Đã lên lịch</v>
      </c>
      <c r="F24" s="317" t="str">
        <f t="shared" si="17"/>
        <v/>
      </c>
      <c r="G24" s="323">
        <f t="shared" si="18"/>
        <v>46420</v>
      </c>
      <c r="H24" s="327">
        <f t="shared" si="19"/>
        <v>68</v>
      </c>
      <c r="I24" s="327">
        <f t="shared" si="20"/>
        <v>100</v>
      </c>
      <c r="J24" s="301" t="str">
        <f t="shared" si="21"/>
        <v>🟢 Theo kế hoạch</v>
      </c>
      <c r="K24" s="301" t="str">
        <f t="shared" si="22"/>
        <v>Bình thường – tổng 2.6/8.0 giờ/ngày</v>
      </c>
      <c r="L24" s="344" t="str">
        <f t="array" ref="L24">IF($T24="","",LET(m,MATCH($T24,$AS$24:$AS$700,0),lvl,INDEX($W$24:$W$700,m),id,INDEX($X$24:$X$700,m),SWITCH(lvl,3,"Lớp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chính!A15</v>
      </c>
      <c r="M24" s="351">
        <f t="shared" si="23"/>
        <v>2</v>
      </c>
      <c r="N24" s="356" t="str">
        <f t="shared" si="24"/>
        <v>Thiếu 4.4 giờ/tuần</v>
      </c>
      <c r="O24" s="358"/>
      <c r="P24" s="360"/>
      <c r="Q24" s="360"/>
      <c r="R24" s="67"/>
      <c r="S24" s="67"/>
      <c r="T24" s="67" t="str">
        <f>IFERROR(__xludf.DUMMYFUNCTION("""COMPUTED_VALUE"""),"02")</f>
        <v>02</v>
      </c>
      <c r="U24" s="67" t="str">
        <f>IF('Lớp 3 - Công việc chính'!I14="","",'Lớp 3 - Công việc chính'!I14)</f>
        <v>HHL3CT01</v>
      </c>
      <c r="V24" s="389" t="str">
        <f>IF('Lớp 3 - Công việc chính'!I14="","","◆ "&amp;'Lớp 3 - Công việc chính'!M14)</f>
        <v>◆ Xây dựng bộ chiến lược công ty tầm nhìn 2030</v>
      </c>
      <c r="W24" s="389">
        <f>IF('Lớp 3 - Công việc chính'!I14="","",3)</f>
        <v>3</v>
      </c>
      <c r="X24" s="67" t="str">
        <f>'Lớp 3 - Công việc chính'!I14</f>
        <v>HHL3CT01</v>
      </c>
      <c r="Y24" s="389" t="str">
        <f t="shared" ref="Y24:Y83" si="26">IF(X24="","","")</f>
        <v/>
      </c>
      <c r="Z24" s="67" t="str">
        <f>'Lớp 3 - Công việc chính'!V14</f>
        <v>GĐ BOC</v>
      </c>
      <c r="AA24" s="67" t="str">
        <f>'Lớp 3 - Công việc chính'!W14</f>
        <v>Công ty</v>
      </c>
      <c r="AB24" s="67" t="str">
        <f>'Lớp 3 - Công việc chính'!Y14</f>
        <v>P1</v>
      </c>
      <c r="AC24" s="67" t="str">
        <f>'Lớp 3 - Công việc chính'!X14</f>
        <v>Đã lên lịch</v>
      </c>
      <c r="AD24" s="398" t="str">
        <f>'Lớp 3 - Công việc chính'!AC14</f>
        <v/>
      </c>
      <c r="AE24" s="358">
        <f>'Lớp 3 - Công việc chính'!AA14</f>
        <v>46420</v>
      </c>
      <c r="AF24" s="187">
        <f>'Lớp 3 - Công việc chính'!AD14</f>
        <v>68</v>
      </c>
      <c r="AG24" s="104">
        <f>'Lớp 3 - Công việc chính'!AE14</f>
        <v>200</v>
      </c>
      <c r="AH24" s="389">
        <f t="shared" ref="AH24:AH700" si="27">IF(AG24="","",AG24*(1-AD24))</f>
        <v>200</v>
      </c>
      <c r="AI24" s="389" t="str">
        <f t="array" ref="AI24">IF($X24="","",LET(tw,SWITCH($W24,3,IFERROR(INDEX('Lớp 3 - Công việc chính'!$AG$14:$AG$73,MATCH($X24,'Lớp 3 - Công việc chính'!$I$14:$I$73,0)),""),4,IFERROR(INDEX('Lớp 4 - Danh mục'!$AJ$14:$AJ$132,MATCH($X24,'Lớp 4 - Danh mục'!$I$14:$I$132,0)),""),5,IFERROR(INDEX('Lớp 5 - Phân công'!$AK$14:$AK$262,MATCH($X24,'Lớp 5 - Phân công'!$I$14:$I$262,0)),""),6,IFERROR(INDEX('Lớp 6 - Chi tiết'!$AN$14:$AN$267,MATCH($X24,'Lớp 6 - Chi tiết'!$I$14:$I$267,0)),""),""),std,IF(AC24="Hoàn thành","🟢 Hoàn thành",IF(AC24="Hủy","⚪ Hủy",IF(AE24="","🔵 Chưa có hạn",IF(AE24&lt;TODAY(),"🔴 Quá hạn",IF(AE24&lt;=TODAY()+7,"🟠 Hạn ≤7 ngày",IF(AB24="P1","🟣 P1 trọng yếu","🟢 Theo kế hoạch")))))),IF(ISNUMBER(SEARCH("Cảnh báo",tw)),"🟡 Con vượt khung gốc",std)))</f>
        <v>🟣 P1 trọng yếu</v>
      </c>
      <c r="AJ24" s="67" t="str">
        <f>'Lớp 3 - Công việc chính'!AH14</f>
        <v>Bình thường – tổng 2.6/8.0 giờ/ngày</v>
      </c>
      <c r="AK24" s="67" t="str">
        <f>IFERROR(__xludf.DUMMYFUNCTION("SORT(UNIQUE(FILTER($Z$24:$Z$700,($Z$24:$Z$700&lt;&gt;"""")*($X$24:$X$700&lt;&gt;""""))))"),"Em Đại")</f>
        <v>Em Đại</v>
      </c>
      <c r="AL24" s="389">
        <f t="shared" ref="AL24:AL60" si="28">IF(AK24="","",COUNTIF($Z$24:$Z$700,AK24))</f>
        <v>61</v>
      </c>
      <c r="AM24" s="389">
        <f t="shared" ref="AM24:AM60" si="29">IF(AK24="","",SUMIF($Z$24:$Z$700,AK24,$BI$24:$BI$700))</f>
        <v>35.2</v>
      </c>
      <c r="AN24" s="389">
        <f t="shared" ref="AN24:AN60" si="30">IF(AK24="","",AM24+ROW()/1000000)</f>
        <v>35.200024</v>
      </c>
      <c r="AS24" s="389" t="str">
        <f t="shared" ref="AS24:AS83" si="31">IF(X24="","",TEXT(COUNTIF($X$24:X24,"&lt;&gt;"),"00"))</f>
        <v>01</v>
      </c>
      <c r="AT24" s="389" t="str">
        <f t="shared" ref="AT24:AT700" si="32">IF(W24=3,TRIM(SUBSTITUTE(V24,"◆","")),"")</f>
        <v>Xây dựng bộ chiến lược công ty tầm nhìn 2030</v>
      </c>
      <c r="AU24" s="389" t="str">
        <f t="shared" ref="AU24:AU700" si="33">IF(W24=4,TRIM(SUBSTITUTE(V24,"├─","")),"")</f>
        <v/>
      </c>
      <c r="AV24" s="389" t="str">
        <f t="shared" ref="AV24:AV700" si="34">IF(W24=5,TRIM(SUBSTITUTE(V24,"├─","")),"")</f>
        <v/>
      </c>
      <c r="AW24" s="389" t="str">
        <f t="shared" ref="AW24:AW700" si="35">IF(W24=6,TRIM(SUBSTITUTE(SUBSTITUTE(V24,"└─",""),"├─","")),"")</f>
        <v/>
      </c>
      <c r="AX24" s="67" t="str">
        <f t="shared" ref="AX24:BH24" si="25">Z24</f>
        <v>GĐ BOC</v>
      </c>
      <c r="AY24" s="67" t="str">
        <f t="shared" si="25"/>
        <v>Công ty</v>
      </c>
      <c r="AZ24" s="67" t="str">
        <f t="shared" si="25"/>
        <v>P1</v>
      </c>
      <c r="BA24" s="67" t="str">
        <f t="shared" si="25"/>
        <v>Đã lên lịch</v>
      </c>
      <c r="BB24" s="398" t="str">
        <f t="shared" si="25"/>
        <v/>
      </c>
      <c r="BC24" s="358">
        <f t="shared" si="25"/>
        <v>46420</v>
      </c>
      <c r="BD24" s="187">
        <f t="shared" si="25"/>
        <v>68</v>
      </c>
      <c r="BE24" s="104">
        <f t="shared" si="25"/>
        <v>200</v>
      </c>
      <c r="BF24" s="389">
        <f t="shared" si="25"/>
        <v>200</v>
      </c>
      <c r="BG24" s="389" t="str">
        <f t="shared" si="25"/>
        <v>🟣 P1 trọng yếu</v>
      </c>
      <c r="BH24" s="67" t="str">
        <f t="shared" si="25"/>
        <v>Bình thường – tổng 2.6/8.0 giờ/ngày</v>
      </c>
      <c r="BI24" s="389">
        <f t="array" ref="BI24">IF($X24="","",SWITCH($W24,3,IFERROR(INDEX('Lớp 3 - Công việc chính'!$AF$14:$AF$73,MATCH($X24,'Lớp 3 - Công việc chính'!$I$14:$I$73,0)),""),4,IFERROR(INDEX('Lớp 4 - Danh mục'!$AI$14:$AI$132,MATCH($X24,'Lớp 4 - Danh mục'!$I$14:$I$132,0)),""),5,IFERROR(INDEX('Lớp 5 - Phân công'!$AJ$14:$AJ$262,MATCH($X24,'Lớp 5 - Phân công'!$I$14:$I$262,0)),""),6,IFERROR(INDEX('Lớp 6 - Chi tiết'!$AM$14:$AM$267,MATCH($X24,'Lớp 6 - Chi tiết'!$I$14:$I$267,0)),""),""))</f>
        <v>0.6</v>
      </c>
      <c r="BJ24" s="389" t="str">
        <f t="array" ref="BJ24">IF($X24="","",SWITCH($W24,3,IFERROR(INDEX('Lớp 3 - Công việc chính'!$AR$14:$AR$73,MATCH($X24,'Lớp 3 - Công việc chính'!$I$14:$I$73,0)),""),4,IFERROR(INDEX('Lớp 4 - Danh mục'!$AU$14:$AU$132,MATCH($X24,'Lớp 4 - Danh mục'!$I$14:$I$132,0)),""),5,IFERROR(INDEX('Lớp 5 - Phân công'!$AV$14:$AV$262,MATCH($X24,'Lớp 5 - Phân công'!$I$14:$I$262,0)),""),6,IFERROR(INDEX('Lớp 6 - Chi tiết'!$AY$14:$AY$267,MATCH($X24,'Lớp 6 - Chi tiết'!$I$14:$I$267,0)),""),""))</f>
        <v>Thiếu 11.7 giờ/tuần</v>
      </c>
    </row>
    <row r="25" ht="15.75" customHeight="1">
      <c r="A25" s="294" t="str">
        <f t="shared" si="12"/>
        <v>▓▓ L3  03  KHKD 2027&amp; HT LẬP KH THEO THAM SỐ KD (BÁN TỰ ĐỘNG)</v>
      </c>
      <c r="B25" s="301" t="str">
        <f t="shared" si="13"/>
        <v>Em Đại</v>
      </c>
      <c r="C25" s="301" t="str">
        <f t="shared" si="14"/>
        <v>Dữ liệu điều hành</v>
      </c>
      <c r="D25" s="301" t="str">
        <f t="shared" si="15"/>
        <v>P1</v>
      </c>
      <c r="E25" s="301" t="str">
        <f t="shared" si="16"/>
        <v>Đang thực hiện</v>
      </c>
      <c r="F25" s="317">
        <f t="shared" si="17"/>
        <v>0</v>
      </c>
      <c r="G25" s="323">
        <f t="shared" si="18"/>
        <v>46337</v>
      </c>
      <c r="H25" s="327">
        <f t="shared" si="19"/>
        <v>77</v>
      </c>
      <c r="I25" s="327">
        <f t="shared" si="20"/>
        <v>620</v>
      </c>
      <c r="J25" s="301" t="str">
        <f t="shared" si="21"/>
        <v>🟣 P1 trọng yếu</v>
      </c>
      <c r="K25" s="301" t="str">
        <f t="shared" si="22"/>
        <v>Theo dõi tải tại Lớp 4</v>
      </c>
      <c r="L25" s="344" t="str">
        <f t="array" ref="L25">IF($T25="","",LET(m,MATCH($T25,$AS$24:$AS$700,0),lvl,INDEX($W$24:$W$700,m),id,INDEX($X$24:$X$700,m),SWITCH(lvl,3,"Lớp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chính!A16</v>
      </c>
      <c r="M25" s="351" t="str">
        <f t="shared" si="23"/>
        <v/>
      </c>
      <c r="N25" s="356" t="str">
        <f t="shared" si="24"/>
        <v>Theo dõi phân bổ tại Lớp 4</v>
      </c>
      <c r="O25" s="358"/>
      <c r="P25" s="360"/>
      <c r="Q25" s="360"/>
      <c r="R25" s="67"/>
      <c r="S25" s="67"/>
      <c r="T25" s="67" t="str">
        <f>IFERROR(__xludf.DUMMYFUNCTION("""COMPUTED_VALUE"""),"03")</f>
        <v>03</v>
      </c>
      <c r="U25" s="67" t="str">
        <f>IF('Lớp 3 - Công việc chính'!I15="","",'Lớp 3 - Công việc chính'!I15)</f>
        <v>HHL3CT02</v>
      </c>
      <c r="V25" s="389" t="str">
        <f>IF('Lớp 3 - Công việc chính'!I15="","","◆ "&amp;'Lớp 3 - Công việc chính'!M15)</f>
        <v>◆ Xây dựng bộ VHDN</v>
      </c>
      <c r="W25" s="389">
        <f>IF('Lớp 3 - Công việc chính'!I15="","",3)</f>
        <v>3</v>
      </c>
      <c r="X25" s="67" t="str">
        <f>'Lớp 3 - Công việc chính'!I15</f>
        <v>HHL3CT02</v>
      </c>
      <c r="Y25" s="389" t="str">
        <f t="shared" si="26"/>
        <v/>
      </c>
      <c r="Z25" s="67" t="str">
        <f>'Lớp 3 - Công việc chính'!V15</f>
        <v>GĐ BOC</v>
      </c>
      <c r="AA25" s="67" t="str">
        <f>'Lớp 3 - Công việc chính'!W15</f>
        <v>Công ty</v>
      </c>
      <c r="AB25" s="67" t="str">
        <f>'Lớp 3 - Công việc chính'!Y15</f>
        <v>P2</v>
      </c>
      <c r="AC25" s="67" t="str">
        <f>'Lớp 3 - Công việc chính'!X15</f>
        <v>Đã lên lịch</v>
      </c>
      <c r="AD25" s="398" t="str">
        <f>'Lớp 3 - Công việc chính'!AC15</f>
        <v/>
      </c>
      <c r="AE25" s="358">
        <f>'Lớp 3 - Công việc chính'!AA15</f>
        <v>46420</v>
      </c>
      <c r="AF25" s="187">
        <f>'Lớp 3 - Công việc chính'!AD15</f>
        <v>68</v>
      </c>
      <c r="AG25" s="104">
        <f>'Lớp 3 - Công việc chính'!AE15</f>
        <v>100</v>
      </c>
      <c r="AH25" s="389">
        <f t="shared" si="27"/>
        <v>100</v>
      </c>
      <c r="AI25" s="389" t="str">
        <f t="shared" ref="AI25:AI700" si="37">IF(AC25="Hoàn thành","🟢 Hoàn thành",IF(AC25="Hủy","⚪ Hủy",IF(AE25="","🔵 Chưa có hạn",IF(AE25&lt;TODAY(),"🔴 Quá hạn",IF(AE25&lt;=TODAY()+7,"🟠 Hạn ≤7 ngày",IF(AB25="P1","🟣 P1 trọng yếu","🟢 Theo kế hoạch"))))))</f>
        <v>🟢 Theo kế hoạch</v>
      </c>
      <c r="AJ25" s="67" t="str">
        <f>'Lớp 3 - Công việc chính'!AH15</f>
        <v>Bình thường – tổng 2.6/8.0 giờ/ngày</v>
      </c>
      <c r="AK25" s="67" t="str">
        <f>IFERROR(__xludf.DUMMYFUNCTION("""COMPUTED_VALUE"""),"GĐ BOC")</f>
        <v>GĐ BOC</v>
      </c>
      <c r="AL25" s="389">
        <f t="shared" si="28"/>
        <v>4</v>
      </c>
      <c r="AM25" s="389">
        <f t="shared" si="29"/>
        <v>5</v>
      </c>
      <c r="AN25" s="389">
        <f t="shared" si="30"/>
        <v>5.000025</v>
      </c>
      <c r="AS25" s="389" t="str">
        <f t="shared" si="31"/>
        <v>02</v>
      </c>
      <c r="AT25" s="389" t="str">
        <f t="shared" si="32"/>
        <v>Xây dựng bộ VHDN</v>
      </c>
      <c r="AU25" s="389" t="str">
        <f t="shared" si="33"/>
        <v/>
      </c>
      <c r="AV25" s="389" t="str">
        <f t="shared" si="34"/>
        <v/>
      </c>
      <c r="AW25" s="389" t="str">
        <f t="shared" si="35"/>
        <v/>
      </c>
      <c r="AX25" s="67" t="str">
        <f t="shared" ref="AX25:BH25" si="36">Z25</f>
        <v>GĐ BOC</v>
      </c>
      <c r="AY25" s="67" t="str">
        <f t="shared" si="36"/>
        <v>Công ty</v>
      </c>
      <c r="AZ25" s="67" t="str">
        <f t="shared" si="36"/>
        <v>P2</v>
      </c>
      <c r="BA25" s="67" t="str">
        <f t="shared" si="36"/>
        <v>Đã lên lịch</v>
      </c>
      <c r="BB25" s="398" t="str">
        <f t="shared" si="36"/>
        <v/>
      </c>
      <c r="BC25" s="358">
        <f t="shared" si="36"/>
        <v>46420</v>
      </c>
      <c r="BD25" s="187">
        <f t="shared" si="36"/>
        <v>68</v>
      </c>
      <c r="BE25" s="104">
        <f t="shared" si="36"/>
        <v>100</v>
      </c>
      <c r="BF25" s="389">
        <f t="shared" si="36"/>
        <v>100</v>
      </c>
      <c r="BG25" s="389" t="str">
        <f t="shared" si="36"/>
        <v>🟢 Theo kế hoạch</v>
      </c>
      <c r="BH25" s="67" t="str">
        <f t="shared" si="36"/>
        <v>Bình thường – tổng 2.6/8.0 giờ/ngày</v>
      </c>
      <c r="BI25" s="389">
        <f t="array" ref="BI25">IF($X25="","",SWITCH($W25,3,IFERROR(INDEX('Lớp 3 - Công việc chính'!$AF$14:$AF$73,MATCH($X25,'Lớp 3 - Công việc chính'!$I$14:$I$73,0)),""),4,IFERROR(INDEX('Lớp 4 - Danh mục'!$AI$14:$AI$132,MATCH($X25,'Lớp 4 - Danh mục'!$I$14:$I$132,0)),""),5,IFERROR(INDEX('Lớp 5 - Phân công'!$AJ$14:$AJ$262,MATCH($X25,'Lớp 5 - Phân công'!$I$14:$I$262,0)),""),6,IFERROR(INDEX('Lớp 6 - Chi tiết'!$AM$14:$AM$267,MATCH($X25,'Lớp 6 - Chi tiết'!$I$14:$I$267,0)),""),""))</f>
        <v>2</v>
      </c>
      <c r="BJ25" s="389" t="str">
        <f t="array" ref="BJ25">IF($X25="","",SWITCH($W25,3,IFERROR(INDEX('Lớp 3 - Công việc chính'!$AR$14:$AR$73,MATCH($X25,'Lớp 3 - Công việc chính'!$I$14:$I$73,0)),""),4,IFERROR(INDEX('Lớp 4 - Danh mục'!$AU$14:$AU$132,MATCH($X25,'Lớp 4 - Danh mục'!$I$14:$I$132,0)),""),5,IFERROR(INDEX('Lớp 5 - Phân công'!$AV$14:$AV$262,MATCH($X25,'Lớp 5 - Phân công'!$I$14:$I$262,0)),""),6,IFERROR(INDEX('Lớp 6 - Chi tiết'!$AY$14:$AY$267,MATCH($X25,'Lớp 6 - Chi tiết'!$I$14:$I$267,0)),""),""))</f>
        <v>Thiếu 4.4 giờ/tuần</v>
      </c>
    </row>
    <row r="26" ht="15.75" customHeight="1">
      <c r="A26" s="294" t="str">
        <f t="shared" si="12"/>
        <v>    ├─ ▓ L4  03.01  Xác nhận công thức &amp; tạo HT tham số cho KH GT</v>
      </c>
      <c r="B26" s="301" t="str">
        <f t="shared" si="13"/>
        <v>Em Đại</v>
      </c>
      <c r="C26" s="301" t="str">
        <f t="shared" si="14"/>
        <v>Dữ liệu điều hành</v>
      </c>
      <c r="D26" s="301" t="str">
        <f t="shared" si="15"/>
        <v>P1</v>
      </c>
      <c r="E26" s="301" t="str">
        <f t="shared" si="16"/>
        <v>Chưa bắt đầu</v>
      </c>
      <c r="F26" s="317">
        <f t="shared" si="17"/>
        <v>0</v>
      </c>
      <c r="G26" s="323">
        <f t="shared" si="18"/>
        <v>46305</v>
      </c>
      <c r="H26" s="327">
        <f t="shared" si="19"/>
        <v>50</v>
      </c>
      <c r="I26" s="327">
        <f t="shared" si="20"/>
        <v>140</v>
      </c>
      <c r="J26" s="301" t="str">
        <f t="shared" si="21"/>
        <v>🟣 P1 trọng yếu</v>
      </c>
      <c r="K26" s="301" t="str">
        <f t="shared" si="22"/>
        <v>Theo dõi tải tại Lớp 5</v>
      </c>
      <c r="L26" s="344" t="str">
        <f t="array" ref="L26">IF($T26="","",LET(m,MATCH($T26,$AS$24:$AS$700,0),lvl,INDEX($W$24:$W$700,m),id,INDEX($X$24:$X$700,m),SWITCH(lvl,3,"Lớp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mục!A14</v>
      </c>
      <c r="M26" s="351" t="str">
        <f t="shared" si="23"/>
        <v/>
      </c>
      <c r="N26" s="356" t="str">
        <f t="shared" si="24"/>
        <v>Theo dõi phân bổ tại Lớp 5</v>
      </c>
      <c r="O26" s="358"/>
      <c r="P26" s="360"/>
      <c r="Q26" s="360"/>
      <c r="R26" s="67"/>
      <c r="S26" s="67"/>
      <c r="T26" s="67" t="str">
        <f>IFERROR(__xludf.DUMMYFUNCTION("""COMPUTED_VALUE"""),"03.01")</f>
        <v>03.01</v>
      </c>
      <c r="U26" s="67" t="str">
        <f>IF('Lớp 3 - Công việc chính'!I16="","",'Lớp 3 - Công việc chính'!I16)</f>
        <v>HHL3CT03</v>
      </c>
      <c r="V26" s="389" t="str">
        <f>IF('Lớp 3 - Công việc chính'!I16="","","◆ "&amp;'Lớp 3 - Công việc chính'!M16)</f>
        <v>◆ KHKD 2027&amp; HT lập KH theo tham số KD (bán tự động)</v>
      </c>
      <c r="W26" s="389">
        <f>IF('Lớp 3 - Công việc chính'!I16="","",3)</f>
        <v>3</v>
      </c>
      <c r="X26" s="67" t="str">
        <f>'Lớp 3 - Công việc chính'!I16</f>
        <v>HHL3CT03</v>
      </c>
      <c r="Y26" s="389" t="str">
        <f t="shared" si="26"/>
        <v/>
      </c>
      <c r="Z26" s="67" t="str">
        <f>'Lớp 3 - Công việc chính'!V16</f>
        <v>Em Đại</v>
      </c>
      <c r="AA26" s="67" t="str">
        <f>'Lớp 3 - Công việc chính'!W16</f>
        <v>Dữ liệu điều hành</v>
      </c>
      <c r="AB26" s="67" t="str">
        <f>'Lớp 3 - Công việc chính'!Y16</f>
        <v>P1</v>
      </c>
      <c r="AC26" s="67" t="str">
        <f>'Lớp 3 - Công việc chính'!X16</f>
        <v>Đang thực hiện</v>
      </c>
      <c r="AD26" s="398">
        <f>'Lớp 3 - Công việc chính'!AC16</f>
        <v>0</v>
      </c>
      <c r="AE26" s="358">
        <f>'Lớp 3 - Công việc chính'!AA16</f>
        <v>46337</v>
      </c>
      <c r="AF26" s="187">
        <f>'Lớp 3 - Công việc chính'!AD16</f>
        <v>77</v>
      </c>
      <c r="AG26" s="104">
        <f>'Lớp 3 - Công việc chính'!AE16</f>
        <v>620</v>
      </c>
      <c r="AH26" s="389">
        <f t="shared" si="27"/>
        <v>620</v>
      </c>
      <c r="AI26" s="389" t="str">
        <f t="shared" si="37"/>
        <v>🟣 P1 trọng yếu</v>
      </c>
      <c r="AJ26" s="67" t="str">
        <f>'Lớp 3 - Công việc chính'!AH16</f>
        <v>Theo dõi tải tại Lớp 4</v>
      </c>
      <c r="AK26" s="67" t="str">
        <f>IFERROR(__xludf.DUMMYFUNCTION("""COMPUTED_VALUE"""),"Ms Trang")</f>
        <v>Ms Trang</v>
      </c>
      <c r="AL26" s="389">
        <f t="shared" si="28"/>
        <v>32</v>
      </c>
      <c r="AM26" s="389">
        <f t="shared" si="29"/>
        <v>0</v>
      </c>
      <c r="AN26" s="389">
        <f t="shared" si="30"/>
        <v>0.000026</v>
      </c>
      <c r="AS26" s="389" t="str">
        <f t="shared" si="31"/>
        <v>03</v>
      </c>
      <c r="AT26" s="389" t="str">
        <f t="shared" si="32"/>
        <v>KHKD 2027&amp; HT lập KH theo tham số KD (bán tự động)</v>
      </c>
      <c r="AU26" s="389" t="str">
        <f t="shared" si="33"/>
        <v/>
      </c>
      <c r="AV26" s="389" t="str">
        <f t="shared" si="34"/>
        <v/>
      </c>
      <c r="AW26" s="389" t="str">
        <f t="shared" si="35"/>
        <v/>
      </c>
      <c r="AX26" s="67" t="str">
        <f t="shared" ref="AX26:BH26" si="38">Z26</f>
        <v>Em Đại</v>
      </c>
      <c r="AY26" s="67" t="str">
        <f t="shared" si="38"/>
        <v>Dữ liệu điều hành</v>
      </c>
      <c r="AZ26" s="67" t="str">
        <f t="shared" si="38"/>
        <v>P1</v>
      </c>
      <c r="BA26" s="67" t="str">
        <f t="shared" si="38"/>
        <v>Đang thực hiện</v>
      </c>
      <c r="BB26" s="398">
        <f t="shared" si="38"/>
        <v>0</v>
      </c>
      <c r="BC26" s="358">
        <f t="shared" si="38"/>
        <v>46337</v>
      </c>
      <c r="BD26" s="187">
        <f t="shared" si="38"/>
        <v>77</v>
      </c>
      <c r="BE26" s="104">
        <f t="shared" si="38"/>
        <v>620</v>
      </c>
      <c r="BF26" s="389">
        <f t="shared" si="38"/>
        <v>620</v>
      </c>
      <c r="BG26" s="389" t="str">
        <f t="shared" si="38"/>
        <v>🟣 P1 trọng yếu</v>
      </c>
      <c r="BH26" s="67" t="str">
        <f t="shared" si="38"/>
        <v>Theo dõi tải tại Lớp 4</v>
      </c>
      <c r="BI26" s="389" t="str">
        <f t="array" ref="BI26">IF($X26="","",SWITCH($W26,3,IFERROR(INDEX('Lớp 3 - Công việc chính'!$AF$14:$AF$73,MATCH($X26,'Lớp 3 - Công việc chính'!$I$14:$I$73,0)),""),4,IFERROR(INDEX('Lớp 4 - Danh mục'!$AI$14:$AI$132,MATCH($X26,'Lớp 4 - Danh mục'!$I$14:$I$132,0)),""),5,IFERROR(INDEX('Lớp 5 - Phân công'!$AJ$14:$AJ$262,MATCH($X26,'Lớp 5 - Phân công'!$I$14:$I$262,0)),""),6,IFERROR(INDEX('Lớp 6 - Chi tiết'!$AM$14:$AM$267,MATCH($X26,'Lớp 6 - Chi tiết'!$I$14:$I$267,0)),""),""))</f>
        <v/>
      </c>
      <c r="BJ26" s="389" t="str">
        <f t="array" ref="BJ26">IF($X26="","",SWITCH($W26,3,IFERROR(INDEX('Lớp 3 - Công việc chính'!$AR$14:$AR$73,MATCH($X26,'Lớp 3 - Công việc chính'!$I$14:$I$73,0)),""),4,IFERROR(INDEX('Lớp 4 - Danh mục'!$AU$14:$AU$132,MATCH($X26,'Lớp 4 - Danh mục'!$I$14:$I$132,0)),""),5,IFERROR(INDEX('Lớp 5 - Phân công'!$AV$14:$AV$262,MATCH($X26,'Lớp 5 - Phân công'!$I$14:$I$262,0)),""),6,IFERROR(INDEX('Lớp 6 - Chi tiết'!$AY$14:$AY$267,MATCH($X26,'Lớp 6 - Chi tiết'!$I$14:$I$267,0)),""),""))</f>
        <v>Theo dõi phân bổ tại Lớp 4</v>
      </c>
    </row>
    <row r="27" ht="15.75" customHeight="1">
      <c r="A27" s="294" t="str">
        <f t="shared" si="12"/>
        <v>        ├── ▒ L5  03.01.01  Liệt kê &amp; giải quyết vấn đề còn tồn tại công thức 2025 (CK/TK/phân biệt NPP) GT</v>
      </c>
      <c r="B27" s="301" t="str">
        <f t="shared" si="13"/>
        <v>GĐ BOC</v>
      </c>
      <c r="C27" s="301" t="str">
        <f t="shared" si="14"/>
        <v>Dữ liệu điều hành</v>
      </c>
      <c r="D27" s="301" t="str">
        <f t="shared" si="15"/>
        <v>P1</v>
      </c>
      <c r="E27" s="301" t="str">
        <f t="shared" si="16"/>
        <v>Chưa bắt đầu</v>
      </c>
      <c r="F27" s="317">
        <f t="shared" si="17"/>
        <v>0</v>
      </c>
      <c r="G27" s="323">
        <f t="shared" si="18"/>
        <v>46249</v>
      </c>
      <c r="H27" s="327">
        <f t="shared" si="19"/>
        <v>4</v>
      </c>
      <c r="I27" s="327">
        <f t="shared" si="20"/>
        <v>16</v>
      </c>
      <c r="J27" s="301" t="str">
        <f t="shared" si="21"/>
        <v>🟠 Hạn ≤7 ngày</v>
      </c>
      <c r="K27" s="301" t="str">
        <f t="shared" si="22"/>
        <v>Bình thường – tổng 1.6/8.0 giờ/ngày</v>
      </c>
      <c r="L27" s="344" t="str">
        <f t="array" ref="L27">IF($T27="","",LET(m,MATCH($T27,$AS$24:$AS$700,0),lvl,INDEX($W$24:$W$700,m),id,INDEX($X$24:$X$700,m),SWITCH(lvl,3,"Lớp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công!A14</v>
      </c>
      <c r="M27" s="351">
        <f t="shared" si="23"/>
        <v>1.6</v>
      </c>
      <c r="N27" s="356" t="str">
        <f t="shared" si="24"/>
        <v>Thiếu 12.0 giờ/tuần</v>
      </c>
      <c r="O27" s="358"/>
      <c r="P27" s="360"/>
      <c r="Q27" s="360"/>
      <c r="R27" s="67"/>
      <c r="S27" s="67"/>
      <c r="T27" s="67" t="str">
        <f>IFERROR(__xludf.DUMMYFUNCTION("""COMPUTED_VALUE"""),"03.01.01")</f>
        <v>03.01.01</v>
      </c>
      <c r="U27" s="67" t="str">
        <f>IF('Lớp 3 - Công việc chính'!I17="","",'Lớp 3 - Công việc chính'!I17)</f>
        <v>HHL3RD01</v>
      </c>
      <c r="V27" s="389" t="str">
        <f>IF('Lớp 3 - Công việc chính'!I17="","","◆ "&amp;'Lớp 3 - Công việc chính'!M17)</f>
        <v>◆ KH sản phẩm 2027-2030</v>
      </c>
      <c r="W27" s="389">
        <f>IF('Lớp 3 - Công việc chính'!I17="","",3)</f>
        <v>3</v>
      </c>
      <c r="X27" s="67" t="str">
        <f>'Lớp 3 - Công việc chính'!I17</f>
        <v>HHL3RD01</v>
      </c>
      <c r="Y27" s="389" t="str">
        <f t="shared" si="26"/>
        <v/>
      </c>
      <c r="Z27" s="67" t="str">
        <f>'Lớp 3 - Công việc chính'!V17</f>
        <v>Ms Trang</v>
      </c>
      <c r="AA27" s="67" t="str">
        <f>'Lớp 3 - Công việc chính'!W17</f>
        <v>R&amp;D</v>
      </c>
      <c r="AB27" s="67" t="str">
        <f>'Lớp 3 - Công việc chính'!Y17</f>
        <v>P1</v>
      </c>
      <c r="AC27" s="67" t="str">
        <f>'Lớp 3 - Công việc chính'!X17</f>
        <v>Đang thực hiện</v>
      </c>
      <c r="AD27" s="398">
        <f>'Lớp 3 - Công việc chính'!AC17</f>
        <v>0</v>
      </c>
      <c r="AE27" s="358">
        <f>'Lớp 3 - Công việc chính'!AA17</f>
        <v>46305</v>
      </c>
      <c r="AF27" s="187">
        <f>'Lớp 3 - Công việc chính'!AD17</f>
        <v>50</v>
      </c>
      <c r="AG27" s="104" t="str">
        <f>'Lớp 3 - Công việc chính'!AE17</f>
        <v/>
      </c>
      <c r="AH27" s="389" t="str">
        <f t="shared" si="27"/>
        <v/>
      </c>
      <c r="AI27" s="389" t="str">
        <f t="shared" si="37"/>
        <v>🟣 P1 trọng yếu</v>
      </c>
      <c r="AJ27" s="67" t="str">
        <f>'Lớp 3 - Công việc chính'!AH17</f>
        <v>Theo dõi tải tại Lớp 4</v>
      </c>
      <c r="AK27" s="67" t="str">
        <f>IFERROR(__xludf.DUMMYFUNCTION("""COMPUTED_VALUE"""),"Team PTSP")</f>
        <v>Team PTSP</v>
      </c>
      <c r="AL27" s="389">
        <f t="shared" si="28"/>
        <v>2</v>
      </c>
      <c r="AM27" s="389">
        <f t="shared" si="29"/>
        <v>0</v>
      </c>
      <c r="AN27" s="389">
        <f t="shared" si="30"/>
        <v>0.000027</v>
      </c>
      <c r="AS27" s="389" t="str">
        <f t="shared" si="31"/>
        <v>04</v>
      </c>
      <c r="AT27" s="389" t="str">
        <f t="shared" si="32"/>
        <v>KH sản phẩm 2027-2030</v>
      </c>
      <c r="AU27" s="389" t="str">
        <f t="shared" si="33"/>
        <v/>
      </c>
      <c r="AV27" s="389" t="str">
        <f t="shared" si="34"/>
        <v/>
      </c>
      <c r="AW27" s="389" t="str">
        <f t="shared" si="35"/>
        <v/>
      </c>
      <c r="AX27" s="67" t="str">
        <f t="shared" ref="AX27:BH27" si="39">Z27</f>
        <v>Ms Trang</v>
      </c>
      <c r="AY27" s="67" t="str">
        <f t="shared" si="39"/>
        <v>R&amp;D</v>
      </c>
      <c r="AZ27" s="67" t="str">
        <f t="shared" si="39"/>
        <v>P1</v>
      </c>
      <c r="BA27" s="67" t="str">
        <f t="shared" si="39"/>
        <v>Đang thực hiện</v>
      </c>
      <c r="BB27" s="398">
        <f t="shared" si="39"/>
        <v>0</v>
      </c>
      <c r="BC27" s="358">
        <f t="shared" si="39"/>
        <v>46305</v>
      </c>
      <c r="BD27" s="187">
        <f t="shared" si="39"/>
        <v>50</v>
      </c>
      <c r="BE27" s="104" t="str">
        <f t="shared" si="39"/>
        <v/>
      </c>
      <c r="BF27" s="389" t="str">
        <f t="shared" si="39"/>
        <v/>
      </c>
      <c r="BG27" s="389" t="str">
        <f t="shared" si="39"/>
        <v>🟣 P1 trọng yếu</v>
      </c>
      <c r="BH27" s="67" t="str">
        <f t="shared" si="39"/>
        <v>Theo dõi tải tại Lớp 4</v>
      </c>
      <c r="BI27" s="389" t="str">
        <f t="array" ref="BI27">IF($X27="","",SWITCH($W27,3,IFERROR(INDEX('Lớp 3 - Công việc chính'!$AF$14:$AF$73,MATCH($X27,'Lớp 3 - Công việc chính'!$I$14:$I$73,0)),""),4,IFERROR(INDEX('Lớp 4 - Danh mục'!$AI$14:$AI$132,MATCH($X27,'Lớp 4 - Danh mục'!$I$14:$I$132,0)),""),5,IFERROR(INDEX('Lớp 5 - Phân công'!$AJ$14:$AJ$262,MATCH($X27,'Lớp 5 - Phân công'!$I$14:$I$262,0)),""),6,IFERROR(INDEX('Lớp 6 - Chi tiết'!$AM$14:$AM$267,MATCH($X27,'Lớp 6 - Chi tiết'!$I$14:$I$267,0)),""),""))</f>
        <v/>
      </c>
      <c r="BJ27" s="389" t="str">
        <f t="array" ref="BJ27">IF($X27="","",SWITCH($W27,3,IFERROR(INDEX('Lớp 3 - Công việc chính'!$AR$14:$AR$73,MATCH($X27,'Lớp 3 - Công việc chính'!$I$14:$I$73,0)),""),4,IFERROR(INDEX('Lớp 4 - Danh mục'!$AU$14:$AU$132,MATCH($X27,'Lớp 4 - Danh mục'!$I$14:$I$132,0)),""),5,IFERROR(INDEX('Lớp 5 - Phân công'!$AV$14:$AV$262,MATCH($X27,'Lớp 5 - Phân công'!$I$14:$I$262,0)),""),6,IFERROR(INDEX('Lớp 6 - Chi tiết'!$AY$14:$AY$267,MATCH($X27,'Lớp 6 - Chi tiết'!$I$14:$I$267,0)),""),""))</f>
        <v>Theo dõi phân bổ tại Lớp 4</v>
      </c>
    </row>
    <row r="28" ht="15.75" customHeight="1">
      <c r="A28" s="294" t="str">
        <f t="shared" si="12"/>
        <v>        ├── ▒ L5  03.01.02  Chốt lại đề bài với GĐ BOC &amp; GT</v>
      </c>
      <c r="B28" s="301" t="str">
        <f t="shared" si="13"/>
        <v>GĐ BOC</v>
      </c>
      <c r="C28" s="301" t="str">
        <f t="shared" si="14"/>
        <v>Dữ liệu điều hành</v>
      </c>
      <c r="D28" s="301" t="str">
        <f t="shared" si="15"/>
        <v>P1</v>
      </c>
      <c r="E28" s="301" t="str">
        <f t="shared" si="16"/>
        <v>Chưa bắt đầu</v>
      </c>
      <c r="F28" s="317">
        <f t="shared" si="17"/>
        <v>0</v>
      </c>
      <c r="G28" s="323">
        <f t="shared" si="18"/>
        <v>46254</v>
      </c>
      <c r="H28" s="327">
        <f t="shared" si="19"/>
        <v>4</v>
      </c>
      <c r="I28" s="327">
        <f t="shared" si="20"/>
        <v>4</v>
      </c>
      <c r="J28" s="301" t="str">
        <f t="shared" si="21"/>
        <v>🟣 P1 trọng yếu</v>
      </c>
      <c r="K28" s="301" t="str">
        <f t="shared" si="22"/>
        <v>Bình thường – tổng 0.8/8.0 giờ/ngày</v>
      </c>
      <c r="L28" s="344" t="str">
        <f t="array" ref="L28">IF($T28="","",LET(m,MATCH($T28,$AS$24:$AS$700,0),lvl,INDEX($W$24:$W$700,m),id,INDEX($X$24:$X$700,m),SWITCH(lvl,3,"Lớp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công!A15</v>
      </c>
      <c r="M28" s="351">
        <f t="shared" si="23"/>
        <v>0.8</v>
      </c>
      <c r="N28" s="356" t="str">
        <f t="shared" si="24"/>
        <v>Thiếu 1.0 giờ/tuần</v>
      </c>
      <c r="O28" s="358"/>
      <c r="P28" s="360"/>
      <c r="Q28" s="360"/>
      <c r="R28" s="67"/>
      <c r="S28" s="67"/>
      <c r="T28" s="67" t="str">
        <f>IFERROR(__xludf.DUMMYFUNCTION("""COMPUTED_VALUE"""),"03.01.02")</f>
        <v>03.01.02</v>
      </c>
      <c r="U28" s="67" t="str">
        <f>IF('Lớp 3 - Công việc chính'!I18="","",'Lớp 3 - Công việc chính'!I18)</f>
        <v>HHL3RD02</v>
      </c>
      <c r="V28" s="389" t="str">
        <f>IF('Lớp 3 - Công việc chính'!I18="","","◆ "&amp;'Lớp 3 - Công việc chính'!M18)</f>
        <v>◆ Danh mục SP OEM đề xuất</v>
      </c>
      <c r="W28" s="389">
        <f>IF('Lớp 3 - Công việc chính'!I18="","",3)</f>
        <v>3</v>
      </c>
      <c r="X28" s="67" t="str">
        <f>'Lớp 3 - Công việc chính'!I18</f>
        <v>HHL3RD02</v>
      </c>
      <c r="Y28" s="389" t="str">
        <f t="shared" si="26"/>
        <v/>
      </c>
      <c r="Z28" s="67" t="str">
        <f>'Lớp 3 - Công việc chính'!V18</f>
        <v>Ms Trang</v>
      </c>
      <c r="AA28" s="67" t="str">
        <f>'Lớp 3 - Công việc chính'!W18</f>
        <v>R&amp;D</v>
      </c>
      <c r="AB28" s="67" t="str">
        <f>'Lớp 3 - Công việc chính'!Y18</f>
        <v>P2</v>
      </c>
      <c r="AC28" s="67" t="str">
        <f>'Lớp 3 - Công việc chính'!X18</f>
        <v>Đang thực hiện</v>
      </c>
      <c r="AD28" s="398">
        <f>'Lớp 3 - Công việc chính'!AC18</f>
        <v>0</v>
      </c>
      <c r="AE28" s="358">
        <f>'Lớp 3 - Công việc chính'!AA18</f>
        <v>46274</v>
      </c>
      <c r="AF28" s="187">
        <f>'Lớp 3 - Công việc chính'!AD18</f>
        <v>23</v>
      </c>
      <c r="AG28" s="104">
        <f>'Lớp 3 - Công việc chính'!AE18</f>
        <v>120</v>
      </c>
      <c r="AH28" s="389">
        <f t="shared" si="27"/>
        <v>120</v>
      </c>
      <c r="AI28" s="389" t="str">
        <f t="shared" si="37"/>
        <v>🟢 Theo kế hoạch</v>
      </c>
      <c r="AJ28" s="67" t="str">
        <f>'Lớp 3 - Công việc chính'!AH18</f>
        <v>Theo dõi tải tại Lớp 4</v>
      </c>
      <c r="AK28" s="67" t="str">
        <f>IFERROR(__xludf.DUMMYFUNCTION("""COMPUTED_VALUE"""),"Thu Trang")</f>
        <v>Thu Trang</v>
      </c>
      <c r="AL28" s="389">
        <f t="shared" si="28"/>
        <v>1</v>
      </c>
      <c r="AM28" s="389">
        <f t="shared" si="29"/>
        <v>0</v>
      </c>
      <c r="AN28" s="389">
        <f t="shared" si="30"/>
        <v>0.000028</v>
      </c>
      <c r="AS28" s="389" t="str">
        <f t="shared" si="31"/>
        <v>05</v>
      </c>
      <c r="AT28" s="389" t="str">
        <f t="shared" si="32"/>
        <v>Danh mục SP OEM đề xuất</v>
      </c>
      <c r="AU28" s="389" t="str">
        <f t="shared" si="33"/>
        <v/>
      </c>
      <c r="AV28" s="389" t="str">
        <f t="shared" si="34"/>
        <v/>
      </c>
      <c r="AW28" s="389" t="str">
        <f t="shared" si="35"/>
        <v/>
      </c>
      <c r="AX28" s="67" t="str">
        <f t="shared" ref="AX28:BH28" si="40">Z28</f>
        <v>Ms Trang</v>
      </c>
      <c r="AY28" s="67" t="str">
        <f t="shared" si="40"/>
        <v>R&amp;D</v>
      </c>
      <c r="AZ28" s="67" t="str">
        <f t="shared" si="40"/>
        <v>P2</v>
      </c>
      <c r="BA28" s="67" t="str">
        <f t="shared" si="40"/>
        <v>Đang thực hiện</v>
      </c>
      <c r="BB28" s="398">
        <f t="shared" si="40"/>
        <v>0</v>
      </c>
      <c r="BC28" s="358">
        <f t="shared" si="40"/>
        <v>46274</v>
      </c>
      <c r="BD28" s="187">
        <f t="shared" si="40"/>
        <v>23</v>
      </c>
      <c r="BE28" s="104">
        <f t="shared" si="40"/>
        <v>120</v>
      </c>
      <c r="BF28" s="389">
        <f t="shared" si="40"/>
        <v>120</v>
      </c>
      <c r="BG28" s="389" t="str">
        <f t="shared" si="40"/>
        <v>🟢 Theo kế hoạch</v>
      </c>
      <c r="BH28" s="67" t="str">
        <f t="shared" si="40"/>
        <v>Theo dõi tải tại Lớp 4</v>
      </c>
      <c r="BI28" s="389" t="str">
        <f t="array" ref="BI28">IF($X28="","",SWITCH($W28,3,IFERROR(INDEX('Lớp 3 - Công việc chính'!$AF$14:$AF$73,MATCH($X28,'Lớp 3 - Công việc chính'!$I$14:$I$73,0)),""),4,IFERROR(INDEX('Lớp 4 - Danh mục'!$AI$14:$AI$132,MATCH($X28,'Lớp 4 - Danh mục'!$I$14:$I$132,0)),""),5,IFERROR(INDEX('Lớp 5 - Phân công'!$AJ$14:$AJ$262,MATCH($X28,'Lớp 5 - Phân công'!$I$14:$I$262,0)),""),6,IFERROR(INDEX('Lớp 6 - Chi tiết'!$AM$14:$AM$267,MATCH($X28,'Lớp 6 - Chi tiết'!$I$14:$I$267,0)),""),""))</f>
        <v/>
      </c>
      <c r="BJ28" s="389" t="str">
        <f t="array" ref="BJ28">IF($X28="","",SWITCH($W28,3,IFERROR(INDEX('Lớp 3 - Công việc chính'!$AR$14:$AR$73,MATCH($X28,'Lớp 3 - Công việc chính'!$I$14:$I$73,0)),""),4,IFERROR(INDEX('Lớp 4 - Danh mục'!$AU$14:$AU$132,MATCH($X28,'Lớp 4 - Danh mục'!$I$14:$I$132,0)),""),5,IFERROR(INDEX('Lớp 5 - Phân công'!$AV$14:$AV$262,MATCH($X28,'Lớp 5 - Phân công'!$I$14:$I$262,0)),""),6,IFERROR(INDEX('Lớp 6 - Chi tiết'!$AY$14:$AY$267,MATCH($X28,'Lớp 6 - Chi tiết'!$I$14:$I$267,0)),""),""))</f>
        <v>Theo dõi phân bổ tại Lớp 4</v>
      </c>
    </row>
    <row r="29" ht="15.75" customHeight="1">
      <c r="A29" s="294" t="str">
        <f t="shared" si="12"/>
        <v>        ├── ▒ L5  03.01.03  XD bảng Excel &amp; HT phần mềm (chạy demo) &amp;GT</v>
      </c>
      <c r="B29" s="301" t="str">
        <f t="shared" si="13"/>
        <v>Em Đại</v>
      </c>
      <c r="C29" s="301" t="str">
        <f t="shared" si="14"/>
        <v>Dữ liệu điều hành</v>
      </c>
      <c r="D29" s="301" t="str">
        <f t="shared" si="15"/>
        <v>P1</v>
      </c>
      <c r="E29" s="301" t="str">
        <f t="shared" si="16"/>
        <v>Chưa bắt đầu</v>
      </c>
      <c r="F29" s="317">
        <f t="shared" si="17"/>
        <v>0</v>
      </c>
      <c r="G29" s="323">
        <f t="shared" si="18"/>
        <v>46264</v>
      </c>
      <c r="H29" s="327">
        <f t="shared" si="19"/>
        <v>8</v>
      </c>
      <c r="I29" s="327">
        <f t="shared" si="20"/>
        <v>16</v>
      </c>
      <c r="J29" s="301" t="str">
        <f t="shared" si="21"/>
        <v>🟣 P1 trọng yếu</v>
      </c>
      <c r="K29" s="301" t="str">
        <f t="shared" si="22"/>
        <v>Bình thường – tổng 3.2/8.0 giờ/ngày</v>
      </c>
      <c r="L29" s="344" t="str">
        <f t="array" ref="L29">IF($T29="","",LET(m,MATCH($T29,$AS$24:$AS$700,0),lvl,INDEX($W$24:$W$700,m),id,INDEX($X$24:$X$700,m),SWITCH(lvl,3,"Lớp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công!A16</v>
      </c>
      <c r="M29" s="351">
        <f t="shared" si="23"/>
        <v>3.2</v>
      </c>
      <c r="N29" s="356" t="str">
        <f t="shared" si="24"/>
        <v>Đủ phân bổ theo tuần</v>
      </c>
      <c r="O29" s="358"/>
      <c r="P29" s="360"/>
      <c r="Q29" s="360"/>
      <c r="R29" s="67"/>
      <c r="S29" s="67"/>
      <c r="T29" s="67" t="str">
        <f>IFERROR(__xludf.DUMMYFUNCTION("""COMPUTED_VALUE"""),"03.01.03")</f>
        <v>03.01.03</v>
      </c>
      <c r="U29" s="389" t="str">
        <f>IF('Lớp 3 - Công việc chính'!I19="","",'Lớp 3 - Công việc chính'!I19)</f>
        <v>#REF!</v>
      </c>
      <c r="V29" s="389" t="str">
        <f>IF('Lớp 3 - Công việc chính'!I19="","","◆ "&amp;'Lớp 3 - Công việc chính'!M19)</f>
        <v>#REF!</v>
      </c>
      <c r="W29" s="389" t="str">
        <f>IF('Lớp 3 - Công việc chính'!I19="","",3)</f>
        <v>#REF!</v>
      </c>
      <c r="X29" s="67" t="str">
        <f>'Lớp 3 - Công việc chính'!I19</f>
        <v>#REF!</v>
      </c>
      <c r="Y29" s="389" t="str">
        <f t="shared" si="26"/>
        <v>#REF!</v>
      </c>
      <c r="Z29" s="67" t="str">
        <f>'Lớp 3 - Công việc chính'!V19</f>
        <v>#REF!</v>
      </c>
      <c r="AA29" s="67" t="str">
        <f>'Lớp 3 - Công việc chính'!W19</f>
        <v>#REF!</v>
      </c>
      <c r="AB29" s="67" t="str">
        <f>'Lớp 3 - Công việc chính'!Y19</f>
        <v>#REF!</v>
      </c>
      <c r="AC29" s="67" t="str">
        <f>'Lớp 3 - Công việc chính'!X19</f>
        <v>#REF!</v>
      </c>
      <c r="AD29" s="398" t="str">
        <f>'Lớp 3 - Công việc chính'!AC19</f>
        <v>#REF!</v>
      </c>
      <c r="AE29" s="358" t="str">
        <f>'Lớp 3 - Công việc chính'!AA19</f>
        <v>#REF!</v>
      </c>
      <c r="AF29" s="187" t="str">
        <f>'Lớp 3 - Công việc chính'!AD19</f>
        <v>#REF!</v>
      </c>
      <c r="AG29" s="104" t="str">
        <f>'Lớp 3 - Công việc chính'!AE19</f>
        <v>#REF!</v>
      </c>
      <c r="AH29" s="389" t="str">
        <f t="shared" si="27"/>
        <v>#REF!</v>
      </c>
      <c r="AI29" s="389" t="str">
        <f t="shared" si="37"/>
        <v>#REF!</v>
      </c>
      <c r="AJ29" s="67" t="str">
        <f>'Lớp 3 - Công việc chính'!AH19</f>
        <v>#REF!</v>
      </c>
      <c r="AL29" s="389" t="str">
        <f t="shared" si="28"/>
        <v/>
      </c>
      <c r="AM29" s="389" t="str">
        <f t="shared" si="29"/>
        <v/>
      </c>
      <c r="AN29" s="389" t="str">
        <f t="shared" si="30"/>
        <v/>
      </c>
      <c r="AS29" s="389" t="str">
        <f t="shared" si="31"/>
        <v>#REF!</v>
      </c>
      <c r="AT29" s="389" t="str">
        <f t="shared" si="32"/>
        <v>#REF!</v>
      </c>
      <c r="AU29" s="389" t="str">
        <f t="shared" si="33"/>
        <v>#REF!</v>
      </c>
      <c r="AV29" s="389" t="str">
        <f t="shared" si="34"/>
        <v>#REF!</v>
      </c>
      <c r="AW29" s="389" t="str">
        <f t="shared" si="35"/>
        <v>#REF!</v>
      </c>
      <c r="AX29" s="67" t="str">
        <f t="shared" ref="AX29:BH29" si="41">Z29</f>
        <v>#REF!</v>
      </c>
      <c r="AY29" s="67" t="str">
        <f t="shared" si="41"/>
        <v>#REF!</v>
      </c>
      <c r="AZ29" s="67" t="str">
        <f t="shared" si="41"/>
        <v>#REF!</v>
      </c>
      <c r="BA29" s="67" t="str">
        <f t="shared" si="41"/>
        <v>#REF!</v>
      </c>
      <c r="BB29" s="398" t="str">
        <f t="shared" si="41"/>
        <v>#REF!</v>
      </c>
      <c r="BC29" s="358" t="str">
        <f t="shared" si="41"/>
        <v>#REF!</v>
      </c>
      <c r="BD29" s="187" t="str">
        <f t="shared" si="41"/>
        <v>#REF!</v>
      </c>
      <c r="BE29" s="104" t="str">
        <f t="shared" si="41"/>
        <v>#REF!</v>
      </c>
      <c r="BF29" s="389" t="str">
        <f t="shared" si="41"/>
        <v>#REF!</v>
      </c>
      <c r="BG29" s="389" t="str">
        <f t="shared" si="41"/>
        <v>#REF!</v>
      </c>
      <c r="BH29" s="67" t="str">
        <f t="shared" si="41"/>
        <v>#REF!</v>
      </c>
      <c r="BI29" s="389" t="str">
        <f t="array" ref="BI29">IF($X29="","",SWITCH($W29,3,IFERROR(INDEX('Lớp 3 - Công việc chính'!$AF$14:$AF$73,MATCH($X29,'Lớp 3 - Công việc chính'!$I$14:$I$73,0)),""),4,IFERROR(INDEX('Lớp 4 - Danh mục'!$AI$14:$AI$132,MATCH($X29,'Lớp 4 - Danh mục'!$I$14:$I$132,0)),""),5,IFERROR(INDEX('Lớp 5 - Phân công'!$AJ$14:$AJ$262,MATCH($X29,'Lớp 5 - Phân công'!$I$14:$I$262,0)),""),6,IFERROR(INDEX('Lớp 6 - Chi tiết'!$AM$14:$AM$267,MATCH($X29,'Lớp 6 - Chi tiết'!$I$14:$I$267,0)),""),""))</f>
        <v>#REF!</v>
      </c>
      <c r="BJ29" s="389" t="str">
        <f t="array" ref="BJ29">IF($X29="","",SWITCH($W29,3,IFERROR(INDEX('Lớp 3 - Công việc chính'!$AR$14:$AR$73,MATCH($X29,'Lớp 3 - Công việc chính'!$I$14:$I$73,0)),""),4,IFERROR(INDEX('Lớp 4 - Danh mục'!$AU$14:$AU$132,MATCH($X29,'Lớp 4 - Danh mục'!$I$14:$I$132,0)),""),5,IFERROR(INDEX('Lớp 5 - Phân công'!$AV$14:$AV$262,MATCH($X29,'Lớp 5 - Phân công'!$I$14:$I$262,0)),""),6,IFERROR(INDEX('Lớp 6 - Chi tiết'!$AY$14:$AY$267,MATCH($X29,'Lớp 6 - Chi tiết'!$I$14:$I$267,0)),""),""))</f>
        <v>#REF!</v>
      </c>
    </row>
    <row r="30" ht="15.75" customHeight="1">
      <c r="A30" s="294" t="str">
        <f t="shared" si="12"/>
        <v>        ├── ▒ L5  03.01.04  Chạy tham số Topdown GT</v>
      </c>
      <c r="B30" s="301" t="str">
        <f t="shared" si="13"/>
        <v>Em Đại</v>
      </c>
      <c r="C30" s="301" t="str">
        <f t="shared" si="14"/>
        <v>Dữ liệu điều hành</v>
      </c>
      <c r="D30" s="301" t="str">
        <f t="shared" si="15"/>
        <v>P1</v>
      </c>
      <c r="E30" s="301" t="str">
        <f t="shared" si="16"/>
        <v>Chưa bắt đầu</v>
      </c>
      <c r="F30" s="317">
        <f t="shared" si="17"/>
        <v>0</v>
      </c>
      <c r="G30" s="323">
        <f t="shared" si="18"/>
        <v>46270</v>
      </c>
      <c r="H30" s="327">
        <f t="shared" si="19"/>
        <v>4</v>
      </c>
      <c r="I30" s="327">
        <f t="shared" si="20"/>
        <v>8</v>
      </c>
      <c r="J30" s="301" t="str">
        <f t="shared" si="21"/>
        <v>🟣 P1 trọng yếu</v>
      </c>
      <c r="K30" s="301" t="str">
        <f t="shared" si="22"/>
        <v>Bình thường – tổng 1.6/8.0 giờ/ngày</v>
      </c>
      <c r="L30" s="344" t="str">
        <f t="array" ref="L30">IF($T30="","",LET(m,MATCH($T30,$AS$24:$AS$700,0),lvl,INDEX($W$24:$W$700,m),id,INDEX($X$24:$X$700,m),SWITCH(lvl,3,"Lớp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công!A17</v>
      </c>
      <c r="M30" s="351">
        <f t="shared" si="23"/>
        <v>1.6</v>
      </c>
      <c r="N30" s="356" t="str">
        <f t="shared" si="24"/>
        <v>Thiếu 2.0 giờ/tuần</v>
      </c>
      <c r="O30" s="358"/>
      <c r="P30" s="360"/>
      <c r="Q30" s="360"/>
      <c r="R30" s="67"/>
      <c r="S30" s="67"/>
      <c r="T30" s="67" t="str">
        <f>IFERROR(__xludf.DUMMYFUNCTION("""COMPUTED_VALUE"""),"03.01.04")</f>
        <v>03.01.04</v>
      </c>
      <c r="U30" s="67" t="str">
        <f>IF('Lớp 3 - Công việc chính'!I20="","",'Lớp 3 - Công việc chính'!I20)</f>
        <v>HHL3RD04</v>
      </c>
      <c r="V30" s="389" t="str">
        <f>IF('Lớp 3 - Công việc chính'!I20="","","◆ "&amp;'Lớp 3 - Công việc chính'!M20)</f>
        <v>◆ Xây dựng master file &amp; xác định điểm A</v>
      </c>
      <c r="W30" s="389">
        <f>IF('Lớp 3 - Công việc chính'!I20="","",3)</f>
        <v>3</v>
      </c>
      <c r="X30" s="67" t="str">
        <f>'Lớp 3 - Công việc chính'!I20</f>
        <v>HHL3RD04</v>
      </c>
      <c r="Y30" s="389" t="str">
        <f t="shared" si="26"/>
        <v/>
      </c>
      <c r="Z30" s="67" t="str">
        <f>'Lớp 3 - Công việc chính'!V20</f>
        <v>Ms Trang</v>
      </c>
      <c r="AA30" s="67" t="str">
        <f>'Lớp 3 - Công việc chính'!W20</f>
        <v>R&amp;D</v>
      </c>
      <c r="AB30" s="67" t="str">
        <f>'Lớp 3 - Công việc chính'!Y20</f>
        <v>P2</v>
      </c>
      <c r="AC30" s="67" t="str">
        <f>'Lớp 3 - Công việc chính'!X20</f>
        <v>Đang thực hiện</v>
      </c>
      <c r="AD30" s="398">
        <f>'Lớp 3 - Công việc chính'!AC20</f>
        <v>0</v>
      </c>
      <c r="AE30" s="358">
        <f>'Lớp 3 - Công việc chính'!AA20</f>
        <v>46368</v>
      </c>
      <c r="AF30" s="187">
        <f>'Lớp 3 - Công việc chính'!AD20</f>
        <v>104</v>
      </c>
      <c r="AG30" s="104">
        <f>'Lớp 3 - Công việc chính'!AE20</f>
        <v>160</v>
      </c>
      <c r="AH30" s="389">
        <f t="shared" si="27"/>
        <v>160</v>
      </c>
      <c r="AI30" s="389" t="str">
        <f t="shared" si="37"/>
        <v>🟢 Theo kế hoạch</v>
      </c>
      <c r="AJ30" s="67" t="str">
        <f>'Lớp 3 - Công việc chính'!AH20</f>
        <v>Thiếu tham số phân bổ</v>
      </c>
      <c r="AL30" s="389" t="str">
        <f t="shared" si="28"/>
        <v/>
      </c>
      <c r="AM30" s="389" t="str">
        <f t="shared" si="29"/>
        <v/>
      </c>
      <c r="AN30" s="389" t="str">
        <f t="shared" si="30"/>
        <v/>
      </c>
      <c r="AS30" s="389" t="str">
        <f t="shared" si="31"/>
        <v>07</v>
      </c>
      <c r="AT30" s="389" t="str">
        <f t="shared" si="32"/>
        <v>Xây dựng master file &amp; xác định điểm A</v>
      </c>
      <c r="AU30" s="389" t="str">
        <f t="shared" si="33"/>
        <v/>
      </c>
      <c r="AV30" s="389" t="str">
        <f t="shared" si="34"/>
        <v/>
      </c>
      <c r="AW30" s="389" t="str">
        <f t="shared" si="35"/>
        <v/>
      </c>
      <c r="AX30" s="67" t="str">
        <f t="shared" ref="AX30:BH30" si="42">Z30</f>
        <v>Ms Trang</v>
      </c>
      <c r="AY30" s="67" t="str">
        <f t="shared" si="42"/>
        <v>R&amp;D</v>
      </c>
      <c r="AZ30" s="67" t="str">
        <f t="shared" si="42"/>
        <v>P2</v>
      </c>
      <c r="BA30" s="67" t="str">
        <f t="shared" si="42"/>
        <v>Đang thực hiện</v>
      </c>
      <c r="BB30" s="398">
        <f t="shared" si="42"/>
        <v>0</v>
      </c>
      <c r="BC30" s="358">
        <f t="shared" si="42"/>
        <v>46368</v>
      </c>
      <c r="BD30" s="187">
        <f t="shared" si="42"/>
        <v>104</v>
      </c>
      <c r="BE30" s="104">
        <f t="shared" si="42"/>
        <v>160</v>
      </c>
      <c r="BF30" s="389">
        <f t="shared" si="42"/>
        <v>160</v>
      </c>
      <c r="BG30" s="389" t="str">
        <f t="shared" si="42"/>
        <v>🟢 Theo kế hoạch</v>
      </c>
      <c r="BH30" s="67" t="str">
        <f t="shared" si="42"/>
        <v>Thiếu tham số phân bổ</v>
      </c>
      <c r="BI30" s="389" t="str">
        <f t="array" ref="BI30">IF($X30="","",SWITCH($W30,3,IFERROR(INDEX('Lớp 3 - Công việc chính'!$AF$14:$AF$73,MATCH($X30,'Lớp 3 - Công việc chính'!$I$14:$I$73,0)),""),4,IFERROR(INDEX('Lớp 4 - Danh mục'!$AI$14:$AI$132,MATCH($X30,'Lớp 4 - Danh mục'!$I$14:$I$132,0)),""),5,IFERROR(INDEX('Lớp 5 - Phân công'!$AJ$14:$AJ$262,MATCH($X30,'Lớp 5 - Phân công'!$I$14:$I$262,0)),""),6,IFERROR(INDEX('Lớp 6 - Chi tiết'!$AM$14:$AM$267,MATCH($X30,'Lớp 6 - Chi tiết'!$I$14:$I$267,0)),""),""))</f>
        <v/>
      </c>
      <c r="BJ30" s="389" t="str">
        <f t="array" ref="BJ30">IF($X30="","",SWITCH($W30,3,IFERROR(INDEX('Lớp 3 - Công việc chính'!$AR$14:$AR$73,MATCH($X30,'Lớp 3 - Công việc chính'!$I$14:$I$73,0)),""),4,IFERROR(INDEX('Lớp 4 - Danh mục'!$AU$14:$AU$132,MATCH($X30,'Lớp 4 - Danh mục'!$I$14:$I$132,0)),""),5,IFERROR(INDEX('Lớp 5 - Phân công'!$AV$14:$AV$262,MATCH($X30,'Lớp 5 - Phân công'!$I$14:$I$262,0)),""),6,IFERROR(INDEX('Lớp 6 - Chi tiết'!$AY$14:$AY$267,MATCH($X30,'Lớp 6 - Chi tiết'!$I$14:$I$267,0)),""),""))</f>
        <v>Thiếu tham số phân bổ</v>
      </c>
    </row>
    <row r="31" ht="15.75" customHeight="1">
      <c r="A31" s="294" t="str">
        <f t="shared" si="12"/>
        <v>        ├── ▒ L5  03.01.05  Chạy tham số Bottom-up theo khu vực vùng miền GT</v>
      </c>
      <c r="B31" s="301" t="str">
        <f t="shared" si="13"/>
        <v>Em Đại</v>
      </c>
      <c r="C31" s="301" t="str">
        <f t="shared" si="14"/>
        <v>Dữ liệu điều hành</v>
      </c>
      <c r="D31" s="301" t="str">
        <f t="shared" si="15"/>
        <v>P1</v>
      </c>
      <c r="E31" s="301" t="str">
        <f t="shared" si="16"/>
        <v>Đã lên lịch</v>
      </c>
      <c r="F31" s="317" t="str">
        <f t="shared" si="17"/>
        <v/>
      </c>
      <c r="G31" s="323">
        <f t="shared" si="18"/>
        <v>46305</v>
      </c>
      <c r="H31" s="327">
        <f t="shared" si="19"/>
        <v>30</v>
      </c>
      <c r="I31" s="327">
        <f t="shared" si="20"/>
        <v>96</v>
      </c>
      <c r="J31" s="301" t="str">
        <f t="shared" si="21"/>
        <v>🟣 P1 trọng yếu</v>
      </c>
      <c r="K31" s="301" t="str">
        <f t="shared" si="22"/>
        <v>Quá tải – tổng 20.8/8.0 giờ/ngày</v>
      </c>
      <c r="L31" s="344" t="str">
        <f t="array" ref="L31">IF($T31="","",LET(m,MATCH($T31,$AS$24:$AS$700,0),lvl,INDEX($W$24:$W$700,m),id,INDEX($X$24:$X$700,m),SWITCH(lvl,3,"Lớp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công!A18</v>
      </c>
      <c r="M31" s="351">
        <f t="shared" si="23"/>
        <v>6.4</v>
      </c>
      <c r="N31" s="356" t="str">
        <f t="shared" si="24"/>
        <v>Đủ phân bổ theo tuần</v>
      </c>
      <c r="O31" s="358"/>
      <c r="P31" s="360"/>
      <c r="Q31" s="360"/>
      <c r="R31" s="67"/>
      <c r="S31" s="67"/>
      <c r="T31" s="67" t="str">
        <f>IFERROR(__xludf.DUMMYFUNCTION("""COMPUTED_VALUE"""),"03.01.05")</f>
        <v>03.01.05</v>
      </c>
      <c r="U31" s="67" t="str">
        <f>IF('Lớp 3 - Công việc chính'!I21="","",'Lớp 3 - Công việc chính'!I21)</f>
        <v>HHL3RD05</v>
      </c>
      <c r="V31" s="389" t="str">
        <f>IF('Lớp 3 - Công việc chính'!I21="","","◆ "&amp;'Lớp 3 - Công việc chính'!M21)</f>
        <v>◆ Sự vụ quan trọng phát sinh (Vùng xám)</v>
      </c>
      <c r="W31" s="389">
        <f>IF('Lớp 3 - Công việc chính'!I21="","",3)</f>
        <v>3</v>
      </c>
      <c r="X31" s="67" t="str">
        <f>'Lớp 3 - Công việc chính'!I21</f>
        <v>HHL3RD05</v>
      </c>
      <c r="Y31" s="389" t="str">
        <f t="shared" si="26"/>
        <v/>
      </c>
      <c r="Z31" s="67" t="str">
        <f>'Lớp 3 - Công việc chính'!V21</f>
        <v>Ms Trang</v>
      </c>
      <c r="AA31" s="67" t="str">
        <f>'Lớp 3 - Công việc chính'!W21</f>
        <v>R&amp;D</v>
      </c>
      <c r="AB31" s="67" t="str">
        <f>'Lớp 3 - Công việc chính'!Y21</f>
        <v>P1</v>
      </c>
      <c r="AC31" s="67" t="str">
        <f>'Lớp 3 - Công việc chính'!X21</f>
        <v>Đang thực hiện</v>
      </c>
      <c r="AD31" s="398">
        <f>'Lớp 3 - Công việc chính'!AC21</f>
        <v>0</v>
      </c>
      <c r="AE31" s="358">
        <f>'Lớp 3 - Công việc chính'!AA21</f>
        <v>46387</v>
      </c>
      <c r="AF31" s="187">
        <f>'Lớp 3 - Công việc chính'!AD21</f>
        <v>120</v>
      </c>
      <c r="AG31" s="104">
        <f>'Lớp 3 - Công việc chính'!AE21</f>
        <v>160</v>
      </c>
      <c r="AH31" s="389">
        <f t="shared" si="27"/>
        <v>160</v>
      </c>
      <c r="AI31" s="389" t="str">
        <f t="shared" si="37"/>
        <v>🟣 P1 trọng yếu</v>
      </c>
      <c r="AJ31" s="67" t="str">
        <f>'Lớp 3 - Công việc chính'!AH21</f>
        <v>Thiếu tham số phân bổ</v>
      </c>
      <c r="AL31" s="389" t="str">
        <f t="shared" si="28"/>
        <v/>
      </c>
      <c r="AM31" s="389" t="str">
        <f t="shared" si="29"/>
        <v/>
      </c>
      <c r="AN31" s="389" t="str">
        <f t="shared" si="30"/>
        <v/>
      </c>
      <c r="AS31" s="389" t="str">
        <f t="shared" si="31"/>
        <v>08</v>
      </c>
      <c r="AT31" s="389" t="str">
        <f t="shared" si="32"/>
        <v>Sự vụ quan trọng phát sinh (Vùng xám)</v>
      </c>
      <c r="AU31" s="389" t="str">
        <f t="shared" si="33"/>
        <v/>
      </c>
      <c r="AV31" s="389" t="str">
        <f t="shared" si="34"/>
        <v/>
      </c>
      <c r="AW31" s="389" t="str">
        <f t="shared" si="35"/>
        <v/>
      </c>
      <c r="AX31" s="67" t="str">
        <f t="shared" ref="AX31:BH31" si="43">Z31</f>
        <v>Ms Trang</v>
      </c>
      <c r="AY31" s="67" t="str">
        <f t="shared" si="43"/>
        <v>R&amp;D</v>
      </c>
      <c r="AZ31" s="67" t="str">
        <f t="shared" si="43"/>
        <v>P1</v>
      </c>
      <c r="BA31" s="67" t="str">
        <f t="shared" si="43"/>
        <v>Đang thực hiện</v>
      </c>
      <c r="BB31" s="398">
        <f t="shared" si="43"/>
        <v>0</v>
      </c>
      <c r="BC31" s="358">
        <f t="shared" si="43"/>
        <v>46387</v>
      </c>
      <c r="BD31" s="187">
        <f t="shared" si="43"/>
        <v>120</v>
      </c>
      <c r="BE31" s="104">
        <f t="shared" si="43"/>
        <v>160</v>
      </c>
      <c r="BF31" s="389">
        <f t="shared" si="43"/>
        <v>160</v>
      </c>
      <c r="BG31" s="389" t="str">
        <f t="shared" si="43"/>
        <v>🟣 P1 trọng yếu</v>
      </c>
      <c r="BH31" s="67" t="str">
        <f t="shared" si="43"/>
        <v>Thiếu tham số phân bổ</v>
      </c>
      <c r="BI31" s="389" t="str">
        <f t="array" ref="BI31">IF($X31="","",SWITCH($W31,3,IFERROR(INDEX('Lớp 3 - Công việc chính'!$AF$14:$AF$73,MATCH($X31,'Lớp 3 - Công việc chính'!$I$14:$I$73,0)),""),4,IFERROR(INDEX('Lớp 4 - Danh mục'!$AI$14:$AI$132,MATCH($X31,'Lớp 4 - Danh mục'!$I$14:$I$132,0)),""),5,IFERROR(INDEX('Lớp 5 - Phân công'!$AJ$14:$AJ$262,MATCH($X31,'Lớp 5 - Phân công'!$I$14:$I$262,0)),""),6,IFERROR(INDEX('Lớp 6 - Chi tiết'!$AM$14:$AM$267,MATCH($X31,'Lớp 6 - Chi tiết'!$I$14:$I$267,0)),""),""))</f>
        <v/>
      </c>
      <c r="BJ31" s="389" t="str">
        <f t="array" ref="BJ31">IF($X31="","",SWITCH($W31,3,IFERROR(INDEX('Lớp 3 - Công việc chính'!$AR$14:$AR$73,MATCH($X31,'Lớp 3 - Công việc chính'!$I$14:$I$73,0)),""),4,IFERROR(INDEX('Lớp 4 - Danh mục'!$AU$14:$AU$132,MATCH($X31,'Lớp 4 - Danh mục'!$I$14:$I$132,0)),""),5,IFERROR(INDEX('Lớp 5 - Phân công'!$AV$14:$AV$262,MATCH($X31,'Lớp 5 - Phân công'!$I$14:$I$262,0)),""),6,IFERROR(INDEX('Lớp 6 - Chi tiết'!$AY$14:$AY$267,MATCH($X31,'Lớp 6 - Chi tiết'!$I$14:$I$267,0)),""),""))</f>
        <v>Thiếu tham số phân bổ</v>
      </c>
    </row>
    <row r="32" ht="15.75" customHeight="1">
      <c r="A32" s="294" t="str">
        <f t="shared" si="12"/>
        <v>    ├─ ▓ L4  03.02  Xây dựng công thức &amp; tạo HT tham số cho KH MT</v>
      </c>
      <c r="B32" s="301" t="str">
        <f t="shared" si="13"/>
        <v>Em Đại</v>
      </c>
      <c r="C32" s="301" t="str">
        <f t="shared" si="14"/>
        <v>Dữ liệu điều hành</v>
      </c>
      <c r="D32" s="301" t="str">
        <f t="shared" si="15"/>
        <v>P1</v>
      </c>
      <c r="E32" s="301" t="str">
        <f t="shared" si="16"/>
        <v>Chưa bắt đầu</v>
      </c>
      <c r="F32" s="317">
        <f t="shared" si="17"/>
        <v>0</v>
      </c>
      <c r="G32" s="323">
        <f t="shared" si="18"/>
        <v>46310</v>
      </c>
      <c r="H32" s="327">
        <f t="shared" si="19"/>
        <v>54</v>
      </c>
      <c r="I32" s="327">
        <f t="shared" si="20"/>
        <v>80</v>
      </c>
      <c r="J32" s="301" t="str">
        <f t="shared" si="21"/>
        <v>🟣 P1 trọng yếu</v>
      </c>
      <c r="K32" s="301" t="str">
        <f t="shared" si="22"/>
        <v>Theo dõi tải tại Lớp 5</v>
      </c>
      <c r="L32" s="344" t="str">
        <f t="array" ref="L32">IF($T32="","",LET(m,MATCH($T32,$AS$24:$AS$700,0),lvl,INDEX($W$24:$W$700,m),id,INDEX($X$24:$X$700,m),SWITCH(lvl,3,"Lớp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mục!A15</v>
      </c>
      <c r="M32" s="351" t="str">
        <f t="shared" si="23"/>
        <v/>
      </c>
      <c r="N32" s="356" t="str">
        <f t="shared" si="24"/>
        <v>Theo dõi phân bổ tại Lớp 5</v>
      </c>
      <c r="O32" s="358"/>
      <c r="P32" s="360"/>
      <c r="Q32" s="360"/>
      <c r="R32" s="67"/>
      <c r="S32" s="67"/>
      <c r="T32" s="67" t="str">
        <f>IFERROR(__xludf.DUMMYFUNCTION("""COMPUTED_VALUE"""),"03.02")</f>
        <v>03.02</v>
      </c>
      <c r="U32" s="67" t="str">
        <f>IF('Lớp 3 - Công việc chính'!I22="","",'Lớp 3 - Công việc chính'!I22)</f>
        <v>HHL3RD06</v>
      </c>
      <c r="V32" s="389" t="str">
        <f>IF('Lớp 3 - Công việc chính'!I22="","","◆ "&amp;'Lớp 3 - Công việc chính'!M22)</f>
        <v>◆ XD quy chế đào tạo &amp; Chiến lược đào tạo SP</v>
      </c>
      <c r="W32" s="389">
        <f>IF('Lớp 3 - Công việc chính'!I22="","",3)</f>
        <v>3</v>
      </c>
      <c r="X32" s="67" t="str">
        <f>'Lớp 3 - Công việc chính'!I22</f>
        <v>HHL3RD06</v>
      </c>
      <c r="Y32" s="389" t="str">
        <f t="shared" si="26"/>
        <v/>
      </c>
      <c r="Z32" s="67" t="str">
        <f>'Lớp 3 - Công việc chính'!V22</f>
        <v>Ms Trang</v>
      </c>
      <c r="AA32" s="67" t="str">
        <f>'Lớp 3 - Công việc chính'!W22</f>
        <v>R&amp;D</v>
      </c>
      <c r="AB32" s="67" t="str">
        <f>'Lớp 3 - Công việc chính'!Y22</f>
        <v>P2</v>
      </c>
      <c r="AC32" s="67" t="str">
        <f>'Lớp 3 - Công việc chính'!X22</f>
        <v>Đang thực hiện</v>
      </c>
      <c r="AD32" s="398">
        <f>'Lớp 3 - Công việc chính'!AC22</f>
        <v>0</v>
      </c>
      <c r="AE32" s="358">
        <f>'Lớp 3 - Công việc chính'!AA22</f>
        <v>46449</v>
      </c>
      <c r="AF32" s="187">
        <f>'Lớp 3 - Công việc chính'!AD22</f>
        <v>173</v>
      </c>
      <c r="AG32" s="104">
        <f>'Lớp 3 - Công việc chính'!AE22</f>
        <v>120</v>
      </c>
      <c r="AH32" s="389">
        <f t="shared" si="27"/>
        <v>120</v>
      </c>
      <c r="AI32" s="389" t="str">
        <f t="shared" si="37"/>
        <v>🟢 Theo kế hoạch</v>
      </c>
      <c r="AJ32" s="67" t="str">
        <f>'Lớp 3 - Công việc chính'!AH22</f>
        <v>Thiếu tham số phân bổ</v>
      </c>
      <c r="AL32" s="389" t="str">
        <f t="shared" si="28"/>
        <v/>
      </c>
      <c r="AM32" s="389" t="str">
        <f t="shared" si="29"/>
        <v/>
      </c>
      <c r="AN32" s="389" t="str">
        <f t="shared" si="30"/>
        <v/>
      </c>
      <c r="AS32" s="389" t="str">
        <f t="shared" si="31"/>
        <v>09</v>
      </c>
      <c r="AT32" s="389" t="str">
        <f t="shared" si="32"/>
        <v>XD quy chế đào tạo &amp; Chiến lược đào tạo SP</v>
      </c>
      <c r="AU32" s="389" t="str">
        <f t="shared" si="33"/>
        <v/>
      </c>
      <c r="AV32" s="389" t="str">
        <f t="shared" si="34"/>
        <v/>
      </c>
      <c r="AW32" s="389" t="str">
        <f t="shared" si="35"/>
        <v/>
      </c>
      <c r="AX32" s="67" t="str">
        <f t="shared" ref="AX32:BH32" si="44">Z32</f>
        <v>Ms Trang</v>
      </c>
      <c r="AY32" s="67" t="str">
        <f t="shared" si="44"/>
        <v>R&amp;D</v>
      </c>
      <c r="AZ32" s="67" t="str">
        <f t="shared" si="44"/>
        <v>P2</v>
      </c>
      <c r="BA32" s="67" t="str">
        <f t="shared" si="44"/>
        <v>Đang thực hiện</v>
      </c>
      <c r="BB32" s="398">
        <f t="shared" si="44"/>
        <v>0</v>
      </c>
      <c r="BC32" s="358">
        <f t="shared" si="44"/>
        <v>46449</v>
      </c>
      <c r="BD32" s="187">
        <f t="shared" si="44"/>
        <v>173</v>
      </c>
      <c r="BE32" s="104">
        <f t="shared" si="44"/>
        <v>120</v>
      </c>
      <c r="BF32" s="389">
        <f t="shared" si="44"/>
        <v>120</v>
      </c>
      <c r="BG32" s="389" t="str">
        <f t="shared" si="44"/>
        <v>🟢 Theo kế hoạch</v>
      </c>
      <c r="BH32" s="67" t="str">
        <f t="shared" si="44"/>
        <v>Thiếu tham số phân bổ</v>
      </c>
      <c r="BI32" s="389" t="str">
        <f t="array" ref="BI32">IF($X32="","",SWITCH($W32,3,IFERROR(INDEX('Lớp 3 - Công việc chính'!$AF$14:$AF$73,MATCH($X32,'Lớp 3 - Công việc chính'!$I$14:$I$73,0)),""),4,IFERROR(INDEX('Lớp 4 - Danh mục'!$AI$14:$AI$132,MATCH($X32,'Lớp 4 - Danh mục'!$I$14:$I$132,0)),""),5,IFERROR(INDEX('Lớp 5 - Phân công'!$AJ$14:$AJ$262,MATCH($X32,'Lớp 5 - Phân công'!$I$14:$I$262,0)),""),6,IFERROR(INDEX('Lớp 6 - Chi tiết'!$AM$14:$AM$267,MATCH($X32,'Lớp 6 - Chi tiết'!$I$14:$I$267,0)),""),""))</f>
        <v/>
      </c>
      <c r="BJ32" s="389" t="str">
        <f t="array" ref="BJ32">IF($X32="","",SWITCH($W32,3,IFERROR(INDEX('Lớp 3 - Công việc chính'!$AR$14:$AR$73,MATCH($X32,'Lớp 3 - Công việc chính'!$I$14:$I$73,0)),""),4,IFERROR(INDEX('Lớp 4 - Danh mục'!$AU$14:$AU$132,MATCH($X32,'Lớp 4 - Danh mục'!$I$14:$I$132,0)),""),5,IFERROR(INDEX('Lớp 5 - Phân công'!$AV$14:$AV$262,MATCH($X32,'Lớp 5 - Phân công'!$I$14:$I$262,0)),""),6,IFERROR(INDEX('Lớp 6 - Chi tiết'!$AY$14:$AY$267,MATCH($X32,'Lớp 6 - Chi tiết'!$I$14:$I$267,0)),""),""))</f>
        <v>Thiếu tham số phân bổ</v>
      </c>
    </row>
    <row r="33" ht="15.75" customHeight="1">
      <c r="A33" s="294" t="str">
        <f t="shared" si="12"/>
        <v>        ├── ▒ L5  03.02.01  XD &amp; phản biện công thức (nội bộ) MT</v>
      </c>
      <c r="B33" s="301" t="str">
        <f t="shared" si="13"/>
        <v>Em Đại</v>
      </c>
      <c r="C33" s="301" t="str">
        <f t="shared" si="14"/>
        <v>Dữ liệu điều hành</v>
      </c>
      <c r="D33" s="301" t="str">
        <f t="shared" si="15"/>
        <v>P1</v>
      </c>
      <c r="E33" s="301" t="str">
        <f t="shared" si="16"/>
        <v>Chưa bắt đầu</v>
      </c>
      <c r="F33" s="317">
        <f t="shared" si="17"/>
        <v>0</v>
      </c>
      <c r="G33" s="323">
        <f t="shared" si="18"/>
        <v>46290</v>
      </c>
      <c r="H33" s="327">
        <f t="shared" si="19"/>
        <v>10</v>
      </c>
      <c r="I33" s="327">
        <f t="shared" si="20"/>
        <v>16</v>
      </c>
      <c r="J33" s="301" t="str">
        <f t="shared" si="21"/>
        <v>🟣 P1 trọng yếu</v>
      </c>
      <c r="K33" s="301" t="str">
        <f t="shared" si="22"/>
        <v>Quá tải – tổng 11.2/8.0 giờ/ngày</v>
      </c>
      <c r="L33" s="344" t="str">
        <f t="array" ref="L33">IF($T33="","",LET(m,MATCH($T33,$AS$24:$AS$700,0),lvl,INDEX($W$24:$W$700,m),id,INDEX($X$24:$X$700,m),SWITCH(lvl,3,"Lớp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công!A19</v>
      </c>
      <c r="M33" s="351">
        <f t="shared" si="23"/>
        <v>0.8</v>
      </c>
      <c r="N33" s="356" t="str">
        <f t="shared" si="24"/>
        <v>Thiếu 4.0 giờ/tuần</v>
      </c>
      <c r="O33" s="358"/>
      <c r="P33" s="360"/>
      <c r="Q33" s="360"/>
      <c r="R33" s="67"/>
      <c r="S33" s="67"/>
      <c r="T33" s="67" t="str">
        <f>IFERROR(__xludf.DUMMYFUNCTION("""COMPUTED_VALUE"""),"03.02.01")</f>
        <v>03.02.01</v>
      </c>
      <c r="U33" s="67" t="str">
        <f>IF('Lớp 3 - Công việc chính'!I23="","",'Lớp 3 - Công việc chính'!I23)</f>
        <v>HHL3RD07</v>
      </c>
      <c r="V33" s="389" t="str">
        <f>IF('Lớp 3 - Công việc chính'!I23="","","◆ "&amp;'Lớp 3 - Công việc chính'!M23)</f>
        <v>◆ XD cấu trúc, khoảng trống NL và kiện toàn bộ máy NS R&amp;D</v>
      </c>
      <c r="W33" s="389">
        <f>IF('Lớp 3 - Công việc chính'!I23="","",3)</f>
        <v>3</v>
      </c>
      <c r="X33" s="67" t="str">
        <f>'Lớp 3 - Công việc chính'!I23</f>
        <v>HHL3RD07</v>
      </c>
      <c r="Y33" s="389" t="str">
        <f t="shared" si="26"/>
        <v/>
      </c>
      <c r="Z33" s="67" t="str">
        <f>'Lớp 3 - Công việc chính'!V23</f>
        <v>Ms Trang</v>
      </c>
      <c r="AA33" s="67" t="str">
        <f>'Lớp 3 - Công việc chính'!W23</f>
        <v>R&amp;D</v>
      </c>
      <c r="AB33" s="67" t="str">
        <f>'Lớp 3 - Công việc chính'!Y23</f>
        <v>P2</v>
      </c>
      <c r="AC33" s="67" t="str">
        <f>'Lớp 3 - Công việc chính'!X23</f>
        <v>Đang thực hiện</v>
      </c>
      <c r="AD33" s="398">
        <f>'Lớp 3 - Công việc chính'!AC23</f>
        <v>0</v>
      </c>
      <c r="AE33" s="358">
        <f>'Lớp 3 - Công việc chính'!AA23</f>
        <v>46449</v>
      </c>
      <c r="AF33" s="187">
        <f>'Lớp 3 - Công việc chính'!AD23</f>
        <v>173</v>
      </c>
      <c r="AG33" s="104">
        <f>'Lớp 3 - Công việc chính'!AE23</f>
        <v>160</v>
      </c>
      <c r="AH33" s="389">
        <f t="shared" si="27"/>
        <v>160</v>
      </c>
      <c r="AI33" s="389" t="str">
        <f t="shared" si="37"/>
        <v>🟢 Theo kế hoạch</v>
      </c>
      <c r="AJ33" s="67" t="str">
        <f>'Lớp 3 - Công việc chính'!AH23</f>
        <v>Thiếu tham số phân bổ</v>
      </c>
      <c r="AL33" s="389" t="str">
        <f t="shared" si="28"/>
        <v/>
      </c>
      <c r="AM33" s="389" t="str">
        <f t="shared" si="29"/>
        <v/>
      </c>
      <c r="AN33" s="389" t="str">
        <f t="shared" si="30"/>
        <v/>
      </c>
      <c r="AS33" s="389" t="str">
        <f t="shared" si="31"/>
        <v>10</v>
      </c>
      <c r="AT33" s="389" t="str">
        <f t="shared" si="32"/>
        <v>XD cấu trúc, khoảng trống NL và kiện toàn bộ máy NS R&amp;D</v>
      </c>
      <c r="AU33" s="389" t="str">
        <f t="shared" si="33"/>
        <v/>
      </c>
      <c r="AV33" s="389" t="str">
        <f t="shared" si="34"/>
        <v/>
      </c>
      <c r="AW33" s="389" t="str">
        <f t="shared" si="35"/>
        <v/>
      </c>
      <c r="AX33" s="67" t="str">
        <f t="shared" ref="AX33:BH33" si="45">Z33</f>
        <v>Ms Trang</v>
      </c>
      <c r="AY33" s="67" t="str">
        <f t="shared" si="45"/>
        <v>R&amp;D</v>
      </c>
      <c r="AZ33" s="67" t="str">
        <f t="shared" si="45"/>
        <v>P2</v>
      </c>
      <c r="BA33" s="67" t="str">
        <f t="shared" si="45"/>
        <v>Đang thực hiện</v>
      </c>
      <c r="BB33" s="398">
        <f t="shared" si="45"/>
        <v>0</v>
      </c>
      <c r="BC33" s="358">
        <f t="shared" si="45"/>
        <v>46449</v>
      </c>
      <c r="BD33" s="187">
        <f t="shared" si="45"/>
        <v>173</v>
      </c>
      <c r="BE33" s="104">
        <f t="shared" si="45"/>
        <v>160</v>
      </c>
      <c r="BF33" s="389">
        <f t="shared" si="45"/>
        <v>160</v>
      </c>
      <c r="BG33" s="389" t="str">
        <f t="shared" si="45"/>
        <v>🟢 Theo kế hoạch</v>
      </c>
      <c r="BH33" s="67" t="str">
        <f t="shared" si="45"/>
        <v>Thiếu tham số phân bổ</v>
      </c>
      <c r="BI33" s="389" t="str">
        <f t="array" ref="BI33">IF($X33="","",SWITCH($W33,3,IFERROR(INDEX('Lớp 3 - Công việc chính'!$AF$14:$AF$73,MATCH($X33,'Lớp 3 - Công việc chính'!$I$14:$I$73,0)),""),4,IFERROR(INDEX('Lớp 4 - Danh mục'!$AI$14:$AI$132,MATCH($X33,'Lớp 4 - Danh mục'!$I$14:$I$132,0)),""),5,IFERROR(INDEX('Lớp 5 - Phân công'!$AJ$14:$AJ$262,MATCH($X33,'Lớp 5 - Phân công'!$I$14:$I$262,0)),""),6,IFERROR(INDEX('Lớp 6 - Chi tiết'!$AM$14:$AM$267,MATCH($X33,'Lớp 6 - Chi tiết'!$I$14:$I$267,0)),""),""))</f>
        <v/>
      </c>
      <c r="BJ33" s="389" t="str">
        <f t="array" ref="BJ33">IF($X33="","",SWITCH($W33,3,IFERROR(INDEX('Lớp 3 - Công việc chính'!$AR$14:$AR$73,MATCH($X33,'Lớp 3 - Công việc chính'!$I$14:$I$73,0)),""),4,IFERROR(INDEX('Lớp 4 - Danh mục'!$AU$14:$AU$132,MATCH($X33,'Lớp 4 - Danh mục'!$I$14:$I$132,0)),""),5,IFERROR(INDEX('Lớp 5 - Phân công'!$AV$14:$AV$262,MATCH($X33,'Lớp 5 - Phân công'!$I$14:$I$262,0)),""),6,IFERROR(INDEX('Lớp 6 - Chi tiết'!$AY$14:$AY$267,MATCH($X33,'Lớp 6 - Chi tiết'!$I$14:$I$267,0)),""),""))</f>
        <v>Thiếu tham số phân bổ</v>
      </c>
    </row>
    <row r="34" ht="15.75" customHeight="1">
      <c r="A34" s="294" t="str">
        <f t="shared" si="12"/>
        <v>        ├── ▒ L5  03.02.02  Phản biện với TGĐ &amp; liên PB MT</v>
      </c>
      <c r="B34" s="301" t="str">
        <f t="shared" si="13"/>
        <v>Em Đại</v>
      </c>
      <c r="C34" s="301" t="str">
        <f t="shared" si="14"/>
        <v>Dữ liệu điều hành</v>
      </c>
      <c r="D34" s="301" t="str">
        <f t="shared" si="15"/>
        <v>P1</v>
      </c>
      <c r="E34" s="301" t="str">
        <f t="shared" si="16"/>
        <v>Chưa bắt đầu</v>
      </c>
      <c r="F34" s="317">
        <f t="shared" si="17"/>
        <v>0</v>
      </c>
      <c r="G34" s="323">
        <f t="shared" si="18"/>
        <v>46300</v>
      </c>
      <c r="H34" s="327">
        <f t="shared" si="19"/>
        <v>8</v>
      </c>
      <c r="I34" s="327">
        <f t="shared" si="20"/>
        <v>8</v>
      </c>
      <c r="J34" s="301" t="str">
        <f t="shared" si="21"/>
        <v>🟣 P1 trọng yếu</v>
      </c>
      <c r="K34" s="301" t="str">
        <f t="shared" si="22"/>
        <v>Quá tải – tổng 14.4/8.0 giờ/ngày</v>
      </c>
      <c r="L34" s="344" t="str">
        <f t="array" ref="L34">IF($T34="","",LET(m,MATCH($T34,$AS$24:$AS$700,0),lvl,INDEX($W$24:$W$700,m),id,INDEX($X$24:$X$700,m),SWITCH(lvl,3,"Lớp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công!A20</v>
      </c>
      <c r="M34" s="351">
        <f t="shared" si="23"/>
        <v>0.8</v>
      </c>
      <c r="N34" s="356" t="str">
        <f t="shared" si="24"/>
        <v>Thiếu 1.0 giờ/tuần</v>
      </c>
      <c r="O34" s="358"/>
      <c r="P34" s="360"/>
      <c r="Q34" s="360"/>
      <c r="R34" s="67"/>
      <c r="S34" s="67"/>
      <c r="T34" s="67" t="str">
        <f>IFERROR(__xludf.DUMMYFUNCTION("""COMPUTED_VALUE"""),"03.02.02")</f>
        <v>03.02.02</v>
      </c>
      <c r="U34" s="67" t="str">
        <f>IF('Lớp 3 - Công việc chính'!I24="","",'Lớp 3 - Công việc chính'!I24)</f>
        <v>HHL3RD08</v>
      </c>
      <c r="V34" s="389" t="str">
        <f>IF('Lớp 3 - Công việc chính'!I24="","","◆ "&amp;'Lớp 3 - Công việc chính'!M24)</f>
        <v>◆ Hoạt động nghiên cứu cơ bản &amp; CĐS ngành VPP</v>
      </c>
      <c r="W34" s="389">
        <f>IF('Lớp 3 - Công việc chính'!I24="","",3)</f>
        <v>3</v>
      </c>
      <c r="X34" s="67" t="str">
        <f>'Lớp 3 - Công việc chính'!I24</f>
        <v>HHL3RD08</v>
      </c>
      <c r="Y34" s="389" t="str">
        <f t="shared" si="26"/>
        <v/>
      </c>
      <c r="Z34" s="67" t="str">
        <f>'Lớp 3 - Công việc chính'!V24</f>
        <v>Ms Trang</v>
      </c>
      <c r="AA34" s="67" t="str">
        <f>'Lớp 3 - Công việc chính'!W24</f>
        <v>R&amp;D</v>
      </c>
      <c r="AB34" s="67" t="str">
        <f>'Lớp 3 - Công việc chính'!Y24</f>
        <v>P2</v>
      </c>
      <c r="AC34" s="67" t="str">
        <f>'Lớp 3 - Công việc chính'!X24</f>
        <v>Đang thực hiện</v>
      </c>
      <c r="AD34" s="398">
        <f>'Lớp 3 - Công việc chính'!AC24</f>
        <v>0</v>
      </c>
      <c r="AE34" s="358">
        <f>'Lớp 3 - Công việc chính'!AA24</f>
        <v>46387</v>
      </c>
      <c r="AF34" s="187">
        <f>'Lớp 3 - Công việc chính'!AD24</f>
        <v>120</v>
      </c>
      <c r="AG34" s="104">
        <f>'Lớp 3 - Công việc chính'!AE24</f>
        <v>240</v>
      </c>
      <c r="AH34" s="389">
        <f t="shared" si="27"/>
        <v>240</v>
      </c>
      <c r="AI34" s="389" t="str">
        <f t="shared" si="37"/>
        <v>🟢 Theo kế hoạch</v>
      </c>
      <c r="AJ34" s="67" t="str">
        <f>'Lớp 3 - Công việc chính'!AH24</f>
        <v>Thiếu tham số phân bổ</v>
      </c>
      <c r="AL34" s="389" t="str">
        <f t="shared" si="28"/>
        <v/>
      </c>
      <c r="AM34" s="389" t="str">
        <f t="shared" si="29"/>
        <v/>
      </c>
      <c r="AN34" s="389" t="str">
        <f t="shared" si="30"/>
        <v/>
      </c>
      <c r="AS34" s="389" t="str">
        <f t="shared" si="31"/>
        <v>11</v>
      </c>
      <c r="AT34" s="389" t="str">
        <f t="shared" si="32"/>
        <v>Hoạt động nghiên cứu cơ bản &amp; CĐS ngành VPP</v>
      </c>
      <c r="AU34" s="389" t="str">
        <f t="shared" si="33"/>
        <v/>
      </c>
      <c r="AV34" s="389" t="str">
        <f t="shared" si="34"/>
        <v/>
      </c>
      <c r="AW34" s="389" t="str">
        <f t="shared" si="35"/>
        <v/>
      </c>
      <c r="AX34" s="67" t="str">
        <f t="shared" ref="AX34:BH34" si="46">Z34</f>
        <v>Ms Trang</v>
      </c>
      <c r="AY34" s="67" t="str">
        <f t="shared" si="46"/>
        <v>R&amp;D</v>
      </c>
      <c r="AZ34" s="67" t="str">
        <f t="shared" si="46"/>
        <v>P2</v>
      </c>
      <c r="BA34" s="67" t="str">
        <f t="shared" si="46"/>
        <v>Đang thực hiện</v>
      </c>
      <c r="BB34" s="398">
        <f t="shared" si="46"/>
        <v>0</v>
      </c>
      <c r="BC34" s="358">
        <f t="shared" si="46"/>
        <v>46387</v>
      </c>
      <c r="BD34" s="187">
        <f t="shared" si="46"/>
        <v>120</v>
      </c>
      <c r="BE34" s="104">
        <f t="shared" si="46"/>
        <v>240</v>
      </c>
      <c r="BF34" s="389">
        <f t="shared" si="46"/>
        <v>240</v>
      </c>
      <c r="BG34" s="389" t="str">
        <f t="shared" si="46"/>
        <v>🟢 Theo kế hoạch</v>
      </c>
      <c r="BH34" s="67" t="str">
        <f t="shared" si="46"/>
        <v>Thiếu tham số phân bổ</v>
      </c>
      <c r="BI34" s="389" t="str">
        <f t="array" ref="BI34">IF($X34="","",SWITCH($W34,3,IFERROR(INDEX('Lớp 3 - Công việc chính'!$AF$14:$AF$73,MATCH($X34,'Lớp 3 - Công việc chính'!$I$14:$I$73,0)),""),4,IFERROR(INDEX('Lớp 4 - Danh mục'!$AI$14:$AI$132,MATCH($X34,'Lớp 4 - Danh mục'!$I$14:$I$132,0)),""),5,IFERROR(INDEX('Lớp 5 - Phân công'!$AJ$14:$AJ$262,MATCH($X34,'Lớp 5 - Phân công'!$I$14:$I$262,0)),""),6,IFERROR(INDEX('Lớp 6 - Chi tiết'!$AM$14:$AM$267,MATCH($X34,'Lớp 6 - Chi tiết'!$I$14:$I$267,0)),""),""))</f>
        <v/>
      </c>
      <c r="BJ34" s="389" t="str">
        <f t="array" ref="BJ34">IF($X34="","",SWITCH($W34,3,IFERROR(INDEX('Lớp 3 - Công việc chính'!$AR$14:$AR$73,MATCH($X34,'Lớp 3 - Công việc chính'!$I$14:$I$73,0)),""),4,IFERROR(INDEX('Lớp 4 - Danh mục'!$AU$14:$AU$132,MATCH($X34,'Lớp 4 - Danh mục'!$I$14:$I$132,0)),""),5,IFERROR(INDEX('Lớp 5 - Phân công'!$AV$14:$AV$262,MATCH($X34,'Lớp 5 - Phân công'!$I$14:$I$262,0)),""),6,IFERROR(INDEX('Lớp 6 - Chi tiết'!$AY$14:$AY$267,MATCH($X34,'Lớp 6 - Chi tiết'!$I$14:$I$267,0)),""),""))</f>
        <v>Thiếu tham số phân bổ</v>
      </c>
    </row>
    <row r="35" ht="15.75" customHeight="1">
      <c r="A35" s="294" t="str">
        <f t="shared" si="12"/>
        <v>        ├── ▒ L5  03.02.03  XD bảng Excel &amp; HT phần mềm (chạy demo) MT</v>
      </c>
      <c r="B35" s="301" t="str">
        <f t="shared" si="13"/>
        <v>Em Đại</v>
      </c>
      <c r="C35" s="301" t="str">
        <f t="shared" si="14"/>
        <v>Dữ liệu điều hành</v>
      </c>
      <c r="D35" s="301" t="str">
        <f t="shared" si="15"/>
        <v>P1</v>
      </c>
      <c r="E35" s="301" t="str">
        <f t="shared" si="16"/>
        <v>Chưa bắt đầu</v>
      </c>
      <c r="F35" s="317">
        <f t="shared" si="17"/>
        <v>0</v>
      </c>
      <c r="G35" s="323">
        <f t="shared" si="18"/>
        <v>46295</v>
      </c>
      <c r="H35" s="327">
        <f t="shared" si="19"/>
        <v>4</v>
      </c>
      <c r="I35" s="327">
        <f t="shared" si="20"/>
        <v>24</v>
      </c>
      <c r="J35" s="301" t="str">
        <f t="shared" si="21"/>
        <v>🟣 P1 trọng yếu</v>
      </c>
      <c r="K35" s="301" t="str">
        <f t="shared" si="22"/>
        <v>Quá tải – tổng 12.0/8.0 giờ/ngày</v>
      </c>
      <c r="L35" s="344" t="str">
        <f t="array" ref="L35">IF($T35="","",LET(m,MATCH($T35,$AS$24:$AS$700,0),lvl,INDEX($W$24:$W$700,m),id,INDEX($X$24:$X$700,m),SWITCH(lvl,3,"Lớp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công!A21</v>
      </c>
      <c r="M35" s="351">
        <f t="shared" si="23"/>
        <v>0.8</v>
      </c>
      <c r="N35" s="356" t="str">
        <f t="shared" si="24"/>
        <v>Thiếu 26.0 giờ/tuần</v>
      </c>
      <c r="O35" s="358"/>
      <c r="P35" s="360"/>
      <c r="Q35" s="360"/>
      <c r="R35" s="67"/>
      <c r="S35" s="67"/>
      <c r="T35" s="67" t="str">
        <f>IFERROR(__xludf.DUMMYFUNCTION("""COMPUTED_VALUE"""),"03.02.03")</f>
        <v>03.02.03</v>
      </c>
      <c r="U35" s="67" t="str">
        <f>IF('Lớp 3 - Công việc chính'!I25="","",'Lớp 3 - Công việc chính'!I25)</f>
        <v>HHL3RD09</v>
      </c>
      <c r="V35" s="389" t="str">
        <f>IF('Lớp 3 - Công việc chính'!I25="","","◆ "&amp;'Lớp 3 - Công việc chính'!M25)</f>
        <v>◆ XD phương án Market Research &amp; Cơ chế thu thập thông tin TT</v>
      </c>
      <c r="W35" s="389">
        <f>IF('Lớp 3 - Công việc chính'!I25="","",3)</f>
        <v>3</v>
      </c>
      <c r="X35" s="67" t="str">
        <f>'Lớp 3 - Công việc chính'!I25</f>
        <v>HHL3RD09</v>
      </c>
      <c r="Y35" s="389" t="str">
        <f t="shared" si="26"/>
        <v/>
      </c>
      <c r="Z35" s="67" t="str">
        <f>'Lớp 3 - Công việc chính'!V25</f>
        <v>Ms Trang</v>
      </c>
      <c r="AA35" s="67" t="str">
        <f>'Lớp 3 - Công việc chính'!W25</f>
        <v>R&amp;D</v>
      </c>
      <c r="AB35" s="67" t="str">
        <f>'Lớp 3 - Công việc chính'!Y25</f>
        <v>P2</v>
      </c>
      <c r="AC35" s="67" t="str">
        <f>'Lớp 3 - Công việc chính'!X25</f>
        <v>Đang thực hiện</v>
      </c>
      <c r="AD35" s="398">
        <f>'Lớp 3 - Công việc chính'!AC25</f>
        <v>0</v>
      </c>
      <c r="AE35" s="358">
        <f>'Lớp 3 - Công việc chính'!AA25</f>
        <v>46280</v>
      </c>
      <c r="AF35" s="187">
        <f>'Lớp 3 - Công việc chính'!AD25</f>
        <v>28</v>
      </c>
      <c r="AG35" s="104">
        <f>'Lớp 3 - Công việc chính'!AE25</f>
        <v>160</v>
      </c>
      <c r="AH35" s="389">
        <f t="shared" si="27"/>
        <v>160</v>
      </c>
      <c r="AI35" s="389" t="str">
        <f t="shared" si="37"/>
        <v>🟢 Theo kế hoạch</v>
      </c>
      <c r="AJ35" s="67" t="str">
        <f>'Lớp 3 - Công việc chính'!AH25</f>
        <v>Theo dõi tải tại Lớp 4</v>
      </c>
      <c r="AL35" s="389" t="str">
        <f t="shared" si="28"/>
        <v/>
      </c>
      <c r="AM35" s="389" t="str">
        <f t="shared" si="29"/>
        <v/>
      </c>
      <c r="AN35" s="389" t="str">
        <f t="shared" si="30"/>
        <v/>
      </c>
      <c r="AS35" s="389" t="str">
        <f t="shared" si="31"/>
        <v>12</v>
      </c>
      <c r="AT35" s="389" t="str">
        <f t="shared" si="32"/>
        <v>XD phương án Market Research &amp; Cơ chế thu thập thông tin TT</v>
      </c>
      <c r="AU35" s="389" t="str">
        <f t="shared" si="33"/>
        <v/>
      </c>
      <c r="AV35" s="389" t="str">
        <f t="shared" si="34"/>
        <v/>
      </c>
      <c r="AW35" s="389" t="str">
        <f t="shared" si="35"/>
        <v/>
      </c>
      <c r="AX35" s="67" t="str">
        <f t="shared" ref="AX35:BH35" si="47">Z35</f>
        <v>Ms Trang</v>
      </c>
      <c r="AY35" s="67" t="str">
        <f t="shared" si="47"/>
        <v>R&amp;D</v>
      </c>
      <c r="AZ35" s="67" t="str">
        <f t="shared" si="47"/>
        <v>P2</v>
      </c>
      <c r="BA35" s="67" t="str">
        <f t="shared" si="47"/>
        <v>Đang thực hiện</v>
      </c>
      <c r="BB35" s="398">
        <f t="shared" si="47"/>
        <v>0</v>
      </c>
      <c r="BC35" s="358">
        <f t="shared" si="47"/>
        <v>46280</v>
      </c>
      <c r="BD35" s="187">
        <f t="shared" si="47"/>
        <v>28</v>
      </c>
      <c r="BE35" s="104">
        <f t="shared" si="47"/>
        <v>160</v>
      </c>
      <c r="BF35" s="389">
        <f t="shared" si="47"/>
        <v>160</v>
      </c>
      <c r="BG35" s="389" t="str">
        <f t="shared" si="47"/>
        <v>🟢 Theo kế hoạch</v>
      </c>
      <c r="BH35" s="67" t="str">
        <f t="shared" si="47"/>
        <v>Theo dõi tải tại Lớp 4</v>
      </c>
      <c r="BI35" s="389" t="str">
        <f t="array" ref="BI35">IF($X35="","",SWITCH($W35,3,IFERROR(INDEX('Lớp 3 - Công việc chính'!$AF$14:$AF$73,MATCH($X35,'Lớp 3 - Công việc chính'!$I$14:$I$73,0)),""),4,IFERROR(INDEX('Lớp 4 - Danh mục'!$AI$14:$AI$132,MATCH($X35,'Lớp 4 - Danh mục'!$I$14:$I$132,0)),""),5,IFERROR(INDEX('Lớp 5 - Phân công'!$AJ$14:$AJ$262,MATCH($X35,'Lớp 5 - Phân công'!$I$14:$I$262,0)),""),6,IFERROR(INDEX('Lớp 6 - Chi tiết'!$AM$14:$AM$267,MATCH($X35,'Lớp 6 - Chi tiết'!$I$14:$I$267,0)),""),""))</f>
        <v/>
      </c>
      <c r="BJ35" s="389" t="str">
        <f t="array" ref="BJ35">IF($X35="","",SWITCH($W35,3,IFERROR(INDEX('Lớp 3 - Công việc chính'!$AR$14:$AR$73,MATCH($X35,'Lớp 3 - Công việc chính'!$I$14:$I$73,0)),""),4,IFERROR(INDEX('Lớp 4 - Danh mục'!$AU$14:$AU$132,MATCH($X35,'Lớp 4 - Danh mục'!$I$14:$I$132,0)),""),5,IFERROR(INDEX('Lớp 5 - Phân công'!$AV$14:$AV$262,MATCH($X35,'Lớp 5 - Phân công'!$I$14:$I$262,0)),""),6,IFERROR(INDEX('Lớp 6 - Chi tiết'!$AY$14:$AY$267,MATCH($X35,'Lớp 6 - Chi tiết'!$I$14:$I$267,0)),""),""))</f>
        <v>Theo dõi phân bổ tại Lớp 4</v>
      </c>
    </row>
    <row r="36" ht="15.75" customHeight="1">
      <c r="A36" s="294" t="str">
        <f t="shared" si="12"/>
        <v>        ├── ▒ L5  03.02.04  Chạy tham số Topdown MT</v>
      </c>
      <c r="B36" s="301" t="str">
        <f t="shared" si="13"/>
        <v>Em Đại</v>
      </c>
      <c r="C36" s="301" t="str">
        <f t="shared" si="14"/>
        <v>Dữ liệu điều hành</v>
      </c>
      <c r="D36" s="301" t="str">
        <f t="shared" si="15"/>
        <v>P1</v>
      </c>
      <c r="E36" s="301" t="str">
        <f t="shared" si="16"/>
        <v>Đã lên lịch</v>
      </c>
      <c r="F36" s="317" t="str">
        <f t="shared" si="17"/>
        <v/>
      </c>
      <c r="G36" s="323">
        <f t="shared" si="18"/>
        <v>46297</v>
      </c>
      <c r="H36" s="327">
        <f t="shared" si="19"/>
        <v>2</v>
      </c>
      <c r="I36" s="327">
        <f t="shared" si="20"/>
        <v>16</v>
      </c>
      <c r="J36" s="301" t="str">
        <f t="shared" si="21"/>
        <v>🟣 P1 trọng yếu</v>
      </c>
      <c r="K36" s="301" t="str">
        <f t="shared" si="22"/>
        <v>Quá tải – tổng 12.0/8.0 giờ/ngày</v>
      </c>
      <c r="L36" s="344" t="str">
        <f t="array" ref="L36">IF($T36="","",LET(m,MATCH($T36,$AS$24:$AS$700,0),lvl,INDEX($W$24:$W$700,m),id,INDEX($X$24:$X$700,m),SWITCH(lvl,3,"Lớp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công!A22</v>
      </c>
      <c r="M36" s="351">
        <f t="shared" si="23"/>
        <v>0.8</v>
      </c>
      <c r="N36" s="356" t="str">
        <f t="shared" si="24"/>
        <v>Thiếu 36.0 giờ/tuần</v>
      </c>
      <c r="O36" s="358"/>
      <c r="P36" s="360"/>
      <c r="Q36" s="360"/>
      <c r="R36" s="67"/>
      <c r="S36" s="67"/>
      <c r="T36" s="67" t="str">
        <f>IFERROR(__xludf.DUMMYFUNCTION("""COMPUTED_VALUE"""),"03.02.04")</f>
        <v>03.02.04</v>
      </c>
      <c r="U36" s="67" t="str">
        <f>IF('Lớp 3 - Công việc chính'!I26="","",'Lớp 3 - Công việc chính'!I26)</f>
        <v>HHL3RD10</v>
      </c>
      <c r="V36" s="389" t="str">
        <f>IF('Lớp 3 - Công việc chính'!I26="","","◆ "&amp;'Lớp 3 - Công việc chính'!M26)</f>
        <v>◆ Việc phát sinh khác chưa có phân loại</v>
      </c>
      <c r="W36" s="389">
        <f>IF('Lớp 3 - Công việc chính'!I26="","",3)</f>
        <v>3</v>
      </c>
      <c r="X36" s="67" t="str">
        <f>'Lớp 3 - Công việc chính'!I26</f>
        <v>HHL3RD10</v>
      </c>
      <c r="Y36" s="389" t="str">
        <f t="shared" si="26"/>
        <v/>
      </c>
      <c r="Z36" s="67" t="str">
        <f>'Lớp 3 - Công việc chính'!V26</f>
        <v>Ms Trang</v>
      </c>
      <c r="AA36" s="67" t="str">
        <f>'Lớp 3 - Công việc chính'!W26</f>
        <v>R&amp;D</v>
      </c>
      <c r="AB36" s="67" t="str">
        <f>'Lớp 3 - Công việc chính'!Y26</f>
        <v>P3</v>
      </c>
      <c r="AC36" s="67" t="str">
        <f>'Lớp 3 - Công việc chính'!X26</f>
        <v>Đang thực hiện</v>
      </c>
      <c r="AD36" s="398" t="str">
        <f>'Lớp 3 - Công việc chính'!AC26</f>
        <v/>
      </c>
      <c r="AE36" s="358">
        <f>'Lớp 3 - Công việc chính'!AA26</f>
        <v>46387</v>
      </c>
      <c r="AF36" s="187">
        <f>'Lớp 3 - Công việc chính'!AD26</f>
        <v>120</v>
      </c>
      <c r="AG36" s="104">
        <f>'Lớp 3 - Công việc chính'!AE26</f>
        <v>96</v>
      </c>
      <c r="AH36" s="389">
        <f t="shared" si="27"/>
        <v>96</v>
      </c>
      <c r="AI36" s="389" t="str">
        <f t="shared" si="37"/>
        <v>🟢 Theo kế hoạch</v>
      </c>
      <c r="AJ36" s="67" t="str">
        <f>'Lớp 3 - Công việc chính'!AH26</f>
        <v>Thiếu tham số phân bổ</v>
      </c>
      <c r="AL36" s="389" t="str">
        <f t="shared" si="28"/>
        <v/>
      </c>
      <c r="AM36" s="389" t="str">
        <f t="shared" si="29"/>
        <v/>
      </c>
      <c r="AN36" s="389" t="str">
        <f t="shared" si="30"/>
        <v/>
      </c>
      <c r="AS36" s="389" t="str">
        <f t="shared" si="31"/>
        <v>13</v>
      </c>
      <c r="AT36" s="389" t="str">
        <f t="shared" si="32"/>
        <v>Việc phát sinh khác chưa có phân loại</v>
      </c>
      <c r="AU36" s="389" t="str">
        <f t="shared" si="33"/>
        <v/>
      </c>
      <c r="AV36" s="389" t="str">
        <f t="shared" si="34"/>
        <v/>
      </c>
      <c r="AW36" s="389" t="str">
        <f t="shared" si="35"/>
        <v/>
      </c>
      <c r="AX36" s="67" t="str">
        <f t="shared" ref="AX36:BH36" si="48">Z36</f>
        <v>Ms Trang</v>
      </c>
      <c r="AY36" s="67" t="str">
        <f t="shared" si="48"/>
        <v>R&amp;D</v>
      </c>
      <c r="AZ36" s="67" t="str">
        <f t="shared" si="48"/>
        <v>P3</v>
      </c>
      <c r="BA36" s="67" t="str">
        <f t="shared" si="48"/>
        <v>Đang thực hiện</v>
      </c>
      <c r="BB36" s="398" t="str">
        <f t="shared" si="48"/>
        <v/>
      </c>
      <c r="BC36" s="358">
        <f t="shared" si="48"/>
        <v>46387</v>
      </c>
      <c r="BD36" s="187">
        <f t="shared" si="48"/>
        <v>120</v>
      </c>
      <c r="BE36" s="104">
        <f t="shared" si="48"/>
        <v>96</v>
      </c>
      <c r="BF36" s="389">
        <f t="shared" si="48"/>
        <v>96</v>
      </c>
      <c r="BG36" s="389" t="str">
        <f t="shared" si="48"/>
        <v>🟢 Theo kế hoạch</v>
      </c>
      <c r="BH36" s="67" t="str">
        <f t="shared" si="48"/>
        <v>Thiếu tham số phân bổ</v>
      </c>
      <c r="BI36" s="389" t="str">
        <f t="array" ref="BI36">IF($X36="","",SWITCH($W36,3,IFERROR(INDEX('Lớp 3 - Công việc chính'!$AF$14:$AF$73,MATCH($X36,'Lớp 3 - Công việc chính'!$I$14:$I$73,0)),""),4,IFERROR(INDEX('Lớp 4 - Danh mục'!$AI$14:$AI$132,MATCH($X36,'Lớp 4 - Danh mục'!$I$14:$I$132,0)),""),5,IFERROR(INDEX('Lớp 5 - Phân công'!$AJ$14:$AJ$262,MATCH($X36,'Lớp 5 - Phân công'!$I$14:$I$262,0)),""),6,IFERROR(INDEX('Lớp 6 - Chi tiết'!$AM$14:$AM$267,MATCH($X36,'Lớp 6 - Chi tiết'!$I$14:$I$267,0)),""),""))</f>
        <v/>
      </c>
      <c r="BJ36" s="389" t="str">
        <f t="array" ref="BJ36">IF($X36="","",SWITCH($W36,3,IFERROR(INDEX('Lớp 3 - Công việc chính'!$AR$14:$AR$73,MATCH($X36,'Lớp 3 - Công việc chính'!$I$14:$I$73,0)),""),4,IFERROR(INDEX('Lớp 4 - Danh mục'!$AU$14:$AU$132,MATCH($X36,'Lớp 4 - Danh mục'!$I$14:$I$132,0)),""),5,IFERROR(INDEX('Lớp 5 - Phân công'!$AV$14:$AV$262,MATCH($X36,'Lớp 5 - Phân công'!$I$14:$I$262,0)),""),6,IFERROR(INDEX('Lớp 6 - Chi tiết'!$AY$14:$AY$267,MATCH($X36,'Lớp 6 - Chi tiết'!$I$14:$I$267,0)),""),""))</f>
        <v>Thiếu tham số phân bổ</v>
      </c>
    </row>
    <row r="37" ht="15.75" customHeight="1">
      <c r="A37" s="294" t="str">
        <f t="shared" si="12"/>
        <v>        ├── ▒ L5  03.02.05  Chạy tham số Bottom-up MT</v>
      </c>
      <c r="B37" s="301" t="str">
        <f t="shared" si="13"/>
        <v>Em Đại</v>
      </c>
      <c r="C37" s="301" t="str">
        <f t="shared" si="14"/>
        <v>Dữ liệu điều hành</v>
      </c>
      <c r="D37" s="301" t="str">
        <f t="shared" si="15"/>
        <v>P1</v>
      </c>
      <c r="E37" s="301" t="str">
        <f t="shared" si="16"/>
        <v>Đã lên lịch</v>
      </c>
      <c r="F37" s="317" t="str">
        <f t="shared" si="17"/>
        <v/>
      </c>
      <c r="G37" s="323">
        <f t="shared" si="18"/>
        <v>46310</v>
      </c>
      <c r="H37" s="327">
        <f t="shared" si="19"/>
        <v>11</v>
      </c>
      <c r="I37" s="327">
        <f t="shared" si="20"/>
        <v>16</v>
      </c>
      <c r="J37" s="301" t="str">
        <f t="shared" si="21"/>
        <v>🟣 P1 trọng yếu</v>
      </c>
      <c r="K37" s="301" t="str">
        <f t="shared" si="22"/>
        <v>Quá tải – tổng 24.0/8.0 giờ/ngày</v>
      </c>
      <c r="L37" s="344" t="str">
        <f t="array" ref="L37">IF($T37="","",LET(m,MATCH($T37,$AS$24:$AS$700,0),lvl,INDEX($W$24:$W$700,m),id,INDEX($X$24:$X$700,m),SWITCH(lvl,3,"Lớp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công!A23</v>
      </c>
      <c r="M37" s="351">
        <f t="shared" si="23"/>
        <v>0.8</v>
      </c>
      <c r="N37" s="356" t="str">
        <f t="shared" si="24"/>
        <v>Thiếu 3.3 giờ/tuần</v>
      </c>
      <c r="O37" s="358"/>
      <c r="P37" s="360"/>
      <c r="Q37" s="360"/>
      <c r="R37" s="67"/>
      <c r="S37" s="67"/>
      <c r="T37" s="67" t="str">
        <f>IFERROR(__xludf.DUMMYFUNCTION("""COMPUTED_VALUE"""),"03.02.05")</f>
        <v>03.02.05</v>
      </c>
      <c r="U37" s="67" t="str">
        <f>IF('Lớp 3 - Công việc chính'!I27="","",'Lớp 3 - Công việc chính'!I27)</f>
        <v>HHL3RD11</v>
      </c>
      <c r="V37" s="389" t="str">
        <f>IF('Lớp 3 - Công việc chính'!I27="","","◆ "&amp;'Lớp 3 - Công việc chính'!M27)</f>
        <v>◆ Xác định &amp; thông qua Xu hướng TK mới 2027</v>
      </c>
      <c r="W37" s="389">
        <f>IF('Lớp 3 - Công việc chính'!I27="","",3)</f>
        <v>3</v>
      </c>
      <c r="X37" s="67" t="str">
        <f>'Lớp 3 - Công việc chính'!I27</f>
        <v>HHL3RD11</v>
      </c>
      <c r="Y37" s="389" t="str">
        <f t="shared" si="26"/>
        <v/>
      </c>
      <c r="Z37" s="67" t="str">
        <f>'Lớp 3 - Công việc chính'!V27</f>
        <v>Ms Trang</v>
      </c>
      <c r="AA37" s="67" t="str">
        <f>'Lớp 3 - Công việc chính'!W27</f>
        <v>R&amp;D</v>
      </c>
      <c r="AB37" s="67" t="str">
        <f>'Lớp 3 - Công việc chính'!Y27</f>
        <v>P2</v>
      </c>
      <c r="AC37" s="67" t="str">
        <f>'Lớp 3 - Công việc chính'!X27</f>
        <v>Đang thực hiện</v>
      </c>
      <c r="AD37" s="398">
        <f>'Lớp 3 - Công việc chính'!AC27</f>
        <v>0</v>
      </c>
      <c r="AE37" s="358">
        <f>'Lớp 3 - Công việc chính'!AA27</f>
        <v>46252</v>
      </c>
      <c r="AF37" s="187">
        <f>'Lớp 3 - Công việc chính'!AD27</f>
        <v>6</v>
      </c>
      <c r="AG37" s="104">
        <f>'Lớp 3 - Công việc chính'!AE27</f>
        <v>80</v>
      </c>
      <c r="AH37" s="389">
        <f t="shared" si="27"/>
        <v>80</v>
      </c>
      <c r="AI37" s="389" t="str">
        <f t="shared" si="37"/>
        <v>🟠 Hạn ≤7 ngày</v>
      </c>
      <c r="AJ37" s="67" t="str">
        <f>'Lớp 3 - Công việc chính'!AH27</f>
        <v>Thiếu tham số phân bổ</v>
      </c>
      <c r="AL37" s="389" t="str">
        <f t="shared" si="28"/>
        <v/>
      </c>
      <c r="AM37" s="389" t="str">
        <f t="shared" si="29"/>
        <v/>
      </c>
      <c r="AN37" s="389" t="str">
        <f t="shared" si="30"/>
        <v/>
      </c>
      <c r="AS37" s="389" t="str">
        <f t="shared" si="31"/>
        <v>14</v>
      </c>
      <c r="AT37" s="389" t="str">
        <f t="shared" si="32"/>
        <v>Xác định &amp; thông qua Xu hướng TK mới 2027</v>
      </c>
      <c r="AU37" s="389" t="str">
        <f t="shared" si="33"/>
        <v/>
      </c>
      <c r="AV37" s="389" t="str">
        <f t="shared" si="34"/>
        <v/>
      </c>
      <c r="AW37" s="389" t="str">
        <f t="shared" si="35"/>
        <v/>
      </c>
      <c r="AX37" s="67" t="str">
        <f t="shared" ref="AX37:BH37" si="49">Z37</f>
        <v>Ms Trang</v>
      </c>
      <c r="AY37" s="67" t="str">
        <f t="shared" si="49"/>
        <v>R&amp;D</v>
      </c>
      <c r="AZ37" s="67" t="str">
        <f t="shared" si="49"/>
        <v>P2</v>
      </c>
      <c r="BA37" s="67" t="str">
        <f t="shared" si="49"/>
        <v>Đang thực hiện</v>
      </c>
      <c r="BB37" s="398">
        <f t="shared" si="49"/>
        <v>0</v>
      </c>
      <c r="BC37" s="358">
        <f t="shared" si="49"/>
        <v>46252</v>
      </c>
      <c r="BD37" s="187">
        <f t="shared" si="49"/>
        <v>6</v>
      </c>
      <c r="BE37" s="104">
        <f t="shared" si="49"/>
        <v>80</v>
      </c>
      <c r="BF37" s="389">
        <f t="shared" si="49"/>
        <v>80</v>
      </c>
      <c r="BG37" s="389" t="str">
        <f t="shared" si="49"/>
        <v>🟠 Hạn ≤7 ngày</v>
      </c>
      <c r="BH37" s="67" t="str">
        <f t="shared" si="49"/>
        <v>Thiếu tham số phân bổ</v>
      </c>
      <c r="BI37" s="389" t="str">
        <f t="array" ref="BI37">IF($X37="","",SWITCH($W37,3,IFERROR(INDEX('Lớp 3 - Công việc chính'!$AF$14:$AF$73,MATCH($X37,'Lớp 3 - Công việc chính'!$I$14:$I$73,0)),""),4,IFERROR(INDEX('Lớp 4 - Danh mục'!$AI$14:$AI$132,MATCH($X37,'Lớp 4 - Danh mục'!$I$14:$I$132,0)),""),5,IFERROR(INDEX('Lớp 5 - Phân công'!$AJ$14:$AJ$262,MATCH($X37,'Lớp 5 - Phân công'!$I$14:$I$262,0)),""),6,IFERROR(INDEX('Lớp 6 - Chi tiết'!$AM$14:$AM$267,MATCH($X37,'Lớp 6 - Chi tiết'!$I$14:$I$267,0)),""),""))</f>
        <v/>
      </c>
      <c r="BJ37" s="389" t="str">
        <f t="array" ref="BJ37">IF($X37="","",SWITCH($W37,3,IFERROR(INDEX('Lớp 3 - Công việc chính'!$AR$14:$AR$73,MATCH($X37,'Lớp 3 - Công việc chính'!$I$14:$I$73,0)),""),4,IFERROR(INDEX('Lớp 4 - Danh mục'!$AU$14:$AU$132,MATCH($X37,'Lớp 4 - Danh mục'!$I$14:$I$132,0)),""),5,IFERROR(INDEX('Lớp 5 - Phân công'!$AV$14:$AV$262,MATCH($X37,'Lớp 5 - Phân công'!$I$14:$I$262,0)),""),6,IFERROR(INDEX('Lớp 6 - Chi tiết'!$AY$14:$AY$267,MATCH($X37,'Lớp 6 - Chi tiết'!$I$14:$I$267,0)),""),""))</f>
        <v>Thiếu tham số phân bổ</v>
      </c>
    </row>
    <row r="38" ht="15.75" customHeight="1">
      <c r="A38" s="294" t="str">
        <f t="shared" si="12"/>
        <v>    ├─ ▓ L4  03.03  Xây dựng công thức &amp; tạo HT tham số cho KH B2B</v>
      </c>
      <c r="B38" s="301" t="str">
        <f t="shared" si="13"/>
        <v>Em Đại</v>
      </c>
      <c r="C38" s="301" t="str">
        <f t="shared" si="14"/>
        <v>Dữ liệu điều hành</v>
      </c>
      <c r="D38" s="301" t="str">
        <f t="shared" si="15"/>
        <v>P1</v>
      </c>
      <c r="E38" s="301" t="str">
        <f t="shared" si="16"/>
        <v>Chưa bắt đầu</v>
      </c>
      <c r="F38" s="317">
        <f t="shared" si="17"/>
        <v>0</v>
      </c>
      <c r="G38" s="323">
        <f t="shared" si="18"/>
        <v>46320</v>
      </c>
      <c r="H38" s="327">
        <f t="shared" si="19"/>
        <v>62</v>
      </c>
      <c r="I38" s="327">
        <f t="shared" si="20"/>
        <v>80</v>
      </c>
      <c r="J38" s="301" t="str">
        <f t="shared" si="21"/>
        <v>🟣 P1 trọng yếu</v>
      </c>
      <c r="K38" s="301" t="str">
        <f t="shared" si="22"/>
        <v>Theo dõi tải tại Lớp 5</v>
      </c>
      <c r="L38" s="344" t="str">
        <f t="array" ref="L38">IF($T38="","",LET(m,MATCH($T38,$AS$24:$AS$700,0),lvl,INDEX($W$24:$W$700,m),id,INDEX($X$24:$X$700,m),SWITCH(lvl,3,"Lớp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mục!A16</v>
      </c>
      <c r="M38" s="351" t="str">
        <f t="shared" si="23"/>
        <v/>
      </c>
      <c r="N38" s="356" t="str">
        <f t="shared" si="24"/>
        <v>Theo dõi phân bổ tại Lớp 5</v>
      </c>
      <c r="O38" s="358"/>
      <c r="P38" s="360"/>
      <c r="Q38" s="360"/>
      <c r="R38" s="67"/>
      <c r="S38" s="67"/>
      <c r="T38" s="67" t="str">
        <f>IFERROR(__xludf.DUMMYFUNCTION("""COMPUTED_VALUE"""),"03.03")</f>
        <v>03.03</v>
      </c>
      <c r="U38" s="67" t="str">
        <f>IF('Lớp 3 - Công việc chính'!I28="","",'Lớp 3 - Công việc chính'!I28)</f>
        <v>HHL3RD12</v>
      </c>
      <c r="V38" s="389" t="str">
        <f>IF('Lớp 3 - Công việc chính'!I28="","","◆ "&amp;'Lớp 3 - Công việc chính'!M28)</f>
        <v>◆ Xây dựng quy trình và hệ thống quản trị sản phẩm theo phân loại</v>
      </c>
      <c r="W38" s="389">
        <f>IF('Lớp 3 - Công việc chính'!I28="","",3)</f>
        <v>3</v>
      </c>
      <c r="X38" s="67" t="str">
        <f>'Lớp 3 - Công việc chính'!I28</f>
        <v>HHL3RD12</v>
      </c>
      <c r="Y38" s="389" t="str">
        <f t="shared" si="26"/>
        <v/>
      </c>
      <c r="Z38" s="67" t="str">
        <f>'Lớp 3 - Công việc chính'!V28</f>
        <v>Ms Trang</v>
      </c>
      <c r="AA38" s="67" t="str">
        <f>'Lớp 3 - Công việc chính'!W28</f>
        <v>R&amp;D</v>
      </c>
      <c r="AB38" s="67" t="str">
        <f>'Lớp 3 - Công việc chính'!Y28</f>
        <v>P2</v>
      </c>
      <c r="AC38" s="67" t="str">
        <f>'Lớp 3 - Công việc chính'!X28</f>
        <v>Đang thực hiện</v>
      </c>
      <c r="AD38" s="398">
        <f>'Lớp 3 - Công việc chính'!AC28</f>
        <v>0</v>
      </c>
      <c r="AE38" s="358">
        <f>'Lớp 3 - Công việc chính'!AA28</f>
        <v>46387</v>
      </c>
      <c r="AF38" s="187">
        <f>'Lớp 3 - Công việc chính'!AD28</f>
        <v>120</v>
      </c>
      <c r="AG38" s="104">
        <f>'Lớp 3 - Công việc chính'!AE28</f>
        <v>280</v>
      </c>
      <c r="AH38" s="389">
        <f t="shared" si="27"/>
        <v>280</v>
      </c>
      <c r="AI38" s="389" t="str">
        <f t="shared" si="37"/>
        <v>🟢 Theo kế hoạch</v>
      </c>
      <c r="AJ38" s="67" t="str">
        <f>'Lớp 3 - Công việc chính'!AH28</f>
        <v>Theo dõi tải tại Lớp 4</v>
      </c>
      <c r="AL38" s="389" t="str">
        <f t="shared" si="28"/>
        <v/>
      </c>
      <c r="AM38" s="389" t="str">
        <f t="shared" si="29"/>
        <v/>
      </c>
      <c r="AN38" s="389" t="str">
        <f t="shared" si="30"/>
        <v/>
      </c>
      <c r="AS38" s="389" t="str">
        <f t="shared" si="31"/>
        <v>15</v>
      </c>
      <c r="AT38" s="389" t="str">
        <f t="shared" si="32"/>
        <v>Xây dựng quy trình và hệ thống quản trị sản phẩm theo phân loại</v>
      </c>
      <c r="AU38" s="389" t="str">
        <f t="shared" si="33"/>
        <v/>
      </c>
      <c r="AV38" s="389" t="str">
        <f t="shared" si="34"/>
        <v/>
      </c>
      <c r="AW38" s="389" t="str">
        <f t="shared" si="35"/>
        <v/>
      </c>
      <c r="AX38" s="67" t="str">
        <f t="shared" ref="AX38:BH38" si="50">Z38</f>
        <v>Ms Trang</v>
      </c>
      <c r="AY38" s="67" t="str">
        <f t="shared" si="50"/>
        <v>R&amp;D</v>
      </c>
      <c r="AZ38" s="67" t="str">
        <f t="shared" si="50"/>
        <v>P2</v>
      </c>
      <c r="BA38" s="67" t="str">
        <f t="shared" si="50"/>
        <v>Đang thực hiện</v>
      </c>
      <c r="BB38" s="398">
        <f t="shared" si="50"/>
        <v>0</v>
      </c>
      <c r="BC38" s="358">
        <f t="shared" si="50"/>
        <v>46387</v>
      </c>
      <c r="BD38" s="187">
        <f t="shared" si="50"/>
        <v>120</v>
      </c>
      <c r="BE38" s="104">
        <f t="shared" si="50"/>
        <v>280</v>
      </c>
      <c r="BF38" s="389">
        <f t="shared" si="50"/>
        <v>280</v>
      </c>
      <c r="BG38" s="389" t="str">
        <f t="shared" si="50"/>
        <v>🟢 Theo kế hoạch</v>
      </c>
      <c r="BH38" s="67" t="str">
        <f t="shared" si="50"/>
        <v>Theo dõi tải tại Lớp 4</v>
      </c>
      <c r="BI38" s="389" t="str">
        <f t="array" ref="BI38">IF($X38="","",SWITCH($W38,3,IFERROR(INDEX('Lớp 3 - Công việc chính'!$AF$14:$AF$73,MATCH($X38,'Lớp 3 - Công việc chính'!$I$14:$I$73,0)),""),4,IFERROR(INDEX('Lớp 4 - Danh mục'!$AI$14:$AI$132,MATCH($X38,'Lớp 4 - Danh mục'!$I$14:$I$132,0)),""),5,IFERROR(INDEX('Lớp 5 - Phân công'!$AJ$14:$AJ$262,MATCH($X38,'Lớp 5 - Phân công'!$I$14:$I$262,0)),""),6,IFERROR(INDEX('Lớp 6 - Chi tiết'!$AM$14:$AM$267,MATCH($X38,'Lớp 6 - Chi tiết'!$I$14:$I$267,0)),""),""))</f>
        <v/>
      </c>
      <c r="BJ38" s="389" t="str">
        <f t="array" ref="BJ38">IF($X38="","",SWITCH($W38,3,IFERROR(INDEX('Lớp 3 - Công việc chính'!$AR$14:$AR$73,MATCH($X38,'Lớp 3 - Công việc chính'!$I$14:$I$73,0)),""),4,IFERROR(INDEX('Lớp 4 - Danh mục'!$AU$14:$AU$132,MATCH($X38,'Lớp 4 - Danh mục'!$I$14:$I$132,0)),""),5,IFERROR(INDEX('Lớp 5 - Phân công'!$AV$14:$AV$262,MATCH($X38,'Lớp 5 - Phân công'!$I$14:$I$262,0)),""),6,IFERROR(INDEX('Lớp 6 - Chi tiết'!$AY$14:$AY$267,MATCH($X38,'Lớp 6 - Chi tiết'!$I$14:$I$267,0)),""),""))</f>
        <v>Theo dõi phân bổ tại Lớp 4</v>
      </c>
    </row>
    <row r="39" ht="15.75" customHeight="1">
      <c r="A39" s="294" t="str">
        <f t="shared" si="12"/>
        <v>        ├── ▒ L5  03.03.01  XD &amp; phản biện công thức (nội bộ) B2B</v>
      </c>
      <c r="B39" s="301" t="str">
        <f t="shared" si="13"/>
        <v>Em Đại</v>
      </c>
      <c r="C39" s="301" t="str">
        <f t="shared" si="14"/>
        <v>Dữ liệu điều hành</v>
      </c>
      <c r="D39" s="301" t="str">
        <f t="shared" si="15"/>
        <v>P2</v>
      </c>
      <c r="E39" s="301" t="str">
        <f t="shared" si="16"/>
        <v>Chưa bắt đầu</v>
      </c>
      <c r="F39" s="317">
        <f t="shared" si="17"/>
        <v>0</v>
      </c>
      <c r="G39" s="323">
        <f t="shared" si="18"/>
        <v>46300</v>
      </c>
      <c r="H39" s="327">
        <f t="shared" si="19"/>
        <v>9</v>
      </c>
      <c r="I39" s="327">
        <f t="shared" si="20"/>
        <v>16</v>
      </c>
      <c r="J39" s="301" t="str">
        <f t="shared" si="21"/>
        <v>🟢 Theo kế hoạch</v>
      </c>
      <c r="K39" s="301" t="str">
        <f t="shared" si="22"/>
        <v>Quá tải – tổng 15.2/8.0 giờ/ngày</v>
      </c>
      <c r="L39" s="344" t="str">
        <f t="array" ref="L39">IF($T39="","",LET(m,MATCH($T39,$AS$24:$AS$700,0),lvl,INDEX($W$24:$W$700,m),id,INDEX($X$24:$X$700,m),SWITCH(lvl,3,"Lớp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công!A24</v>
      </c>
      <c r="M39" s="351">
        <f t="shared" si="23"/>
        <v>0.8</v>
      </c>
      <c r="N39" s="356" t="str">
        <f t="shared" si="24"/>
        <v>Thiếu 4.9 giờ/tuần</v>
      </c>
      <c r="O39" s="358"/>
      <c r="P39" s="360"/>
      <c r="Q39" s="360"/>
      <c r="R39" s="67"/>
      <c r="S39" s="67"/>
      <c r="T39" s="67" t="str">
        <f>IFERROR(__xludf.DUMMYFUNCTION("""COMPUTED_VALUE"""),"03.03.01")</f>
        <v>03.03.01</v>
      </c>
      <c r="U39" s="389" t="str">
        <f>IF('Lớp 3 - Công việc chính'!I29="","",'Lớp 3 - Công việc chính'!I29)</f>
        <v>#REF!</v>
      </c>
      <c r="V39" s="389" t="str">
        <f>IF('Lớp 3 - Công việc chính'!I29="","","◆ "&amp;'Lớp 3 - Công việc chính'!M29)</f>
        <v>#REF!</v>
      </c>
      <c r="W39" s="389" t="str">
        <f>IF('Lớp 3 - Công việc chính'!I29="","",3)</f>
        <v>#REF!</v>
      </c>
      <c r="X39" s="67" t="str">
        <f>'Lớp 3 - Công việc chính'!I29</f>
        <v>#REF!</v>
      </c>
      <c r="Y39" s="389" t="str">
        <f t="shared" si="26"/>
        <v>#REF!</v>
      </c>
      <c r="Z39" s="67" t="str">
        <f>'Lớp 3 - Công việc chính'!V29</f>
        <v>#REF!</v>
      </c>
      <c r="AA39" s="67" t="str">
        <f>'Lớp 3 - Công việc chính'!W29</f>
        <v>#REF!</v>
      </c>
      <c r="AB39" s="67" t="str">
        <f>'Lớp 3 - Công việc chính'!Y29</f>
        <v>#REF!</v>
      </c>
      <c r="AC39" s="67" t="str">
        <f>'Lớp 3 - Công việc chính'!X29</f>
        <v>#REF!</v>
      </c>
      <c r="AD39" s="398" t="str">
        <f>'Lớp 3 - Công việc chính'!AC29</f>
        <v>#REF!</v>
      </c>
      <c r="AE39" s="358" t="str">
        <f>'Lớp 3 - Công việc chính'!AA29</f>
        <v>#REF!</v>
      </c>
      <c r="AF39" s="187" t="str">
        <f>'Lớp 3 - Công việc chính'!AD29</f>
        <v>#REF!</v>
      </c>
      <c r="AG39" s="104" t="str">
        <f>'Lớp 3 - Công việc chính'!AE29</f>
        <v>#REF!</v>
      </c>
      <c r="AH39" s="389" t="str">
        <f t="shared" si="27"/>
        <v>#REF!</v>
      </c>
      <c r="AI39" s="389" t="str">
        <f t="shared" si="37"/>
        <v>#REF!</v>
      </c>
      <c r="AJ39" s="67" t="str">
        <f>'Lớp 3 - Công việc chính'!AH29</f>
        <v>#REF!</v>
      </c>
      <c r="AL39" s="389" t="str">
        <f t="shared" si="28"/>
        <v/>
      </c>
      <c r="AM39" s="389" t="str">
        <f t="shared" si="29"/>
        <v/>
      </c>
      <c r="AN39" s="389" t="str">
        <f t="shared" si="30"/>
        <v/>
      </c>
      <c r="AS39" s="389" t="str">
        <f t="shared" si="31"/>
        <v>#REF!</v>
      </c>
      <c r="AT39" s="389" t="str">
        <f t="shared" si="32"/>
        <v>#REF!</v>
      </c>
      <c r="AU39" s="389" t="str">
        <f t="shared" si="33"/>
        <v>#REF!</v>
      </c>
      <c r="AV39" s="389" t="str">
        <f t="shared" si="34"/>
        <v>#REF!</v>
      </c>
      <c r="AW39" s="389" t="str">
        <f t="shared" si="35"/>
        <v>#REF!</v>
      </c>
      <c r="AX39" s="67" t="str">
        <f t="shared" ref="AX39:BH39" si="51">Z39</f>
        <v>#REF!</v>
      </c>
      <c r="AY39" s="67" t="str">
        <f t="shared" si="51"/>
        <v>#REF!</v>
      </c>
      <c r="AZ39" s="67" t="str">
        <f t="shared" si="51"/>
        <v>#REF!</v>
      </c>
      <c r="BA39" s="67" t="str">
        <f t="shared" si="51"/>
        <v>#REF!</v>
      </c>
      <c r="BB39" s="398" t="str">
        <f t="shared" si="51"/>
        <v>#REF!</v>
      </c>
      <c r="BC39" s="358" t="str">
        <f t="shared" si="51"/>
        <v>#REF!</v>
      </c>
      <c r="BD39" s="187" t="str">
        <f t="shared" si="51"/>
        <v>#REF!</v>
      </c>
      <c r="BE39" s="104" t="str">
        <f t="shared" si="51"/>
        <v>#REF!</v>
      </c>
      <c r="BF39" s="389" t="str">
        <f t="shared" si="51"/>
        <v>#REF!</v>
      </c>
      <c r="BG39" s="389" t="str">
        <f t="shared" si="51"/>
        <v>#REF!</v>
      </c>
      <c r="BH39" s="67" t="str">
        <f t="shared" si="51"/>
        <v>#REF!</v>
      </c>
      <c r="BI39" s="389" t="str">
        <f t="array" ref="BI39">IF($X39="","",SWITCH($W39,3,IFERROR(INDEX('Lớp 3 - Công việc chính'!$AF$14:$AF$73,MATCH($X39,'Lớp 3 - Công việc chính'!$I$14:$I$73,0)),""),4,IFERROR(INDEX('Lớp 4 - Danh mục'!$AI$14:$AI$132,MATCH($X39,'Lớp 4 - Danh mục'!$I$14:$I$132,0)),""),5,IFERROR(INDEX('Lớp 5 - Phân công'!$AJ$14:$AJ$262,MATCH($X39,'Lớp 5 - Phân công'!$I$14:$I$262,0)),""),6,IFERROR(INDEX('Lớp 6 - Chi tiết'!$AM$14:$AM$267,MATCH($X39,'Lớp 6 - Chi tiết'!$I$14:$I$267,0)),""),""))</f>
        <v>#REF!</v>
      </c>
      <c r="BJ39" s="389" t="str">
        <f t="array" ref="BJ39">IF($X39="","",SWITCH($W39,3,IFERROR(INDEX('Lớp 3 - Công việc chính'!$AR$14:$AR$73,MATCH($X39,'Lớp 3 - Công việc chính'!$I$14:$I$73,0)),""),4,IFERROR(INDEX('Lớp 4 - Danh mục'!$AU$14:$AU$132,MATCH($X39,'Lớp 4 - Danh mục'!$I$14:$I$132,0)),""),5,IFERROR(INDEX('Lớp 5 - Phân công'!$AV$14:$AV$262,MATCH($X39,'Lớp 5 - Phân công'!$I$14:$I$262,0)),""),6,IFERROR(INDEX('Lớp 6 - Chi tiết'!$AY$14:$AY$267,MATCH($X39,'Lớp 6 - Chi tiết'!$I$14:$I$267,0)),""),""))</f>
        <v>#REF!</v>
      </c>
    </row>
    <row r="40" ht="15.75" customHeight="1">
      <c r="A40" s="294" t="str">
        <f t="shared" si="12"/>
        <v>        ├── ▒ L5  03.03.02  Phản biện với TGĐ &amp; liên PB B2B</v>
      </c>
      <c r="B40" s="301" t="str">
        <f t="shared" si="13"/>
        <v>Em Đại</v>
      </c>
      <c r="C40" s="301" t="str">
        <f t="shared" si="14"/>
        <v>Dữ liệu điều hành</v>
      </c>
      <c r="D40" s="301" t="str">
        <f t="shared" si="15"/>
        <v>P2</v>
      </c>
      <c r="E40" s="301" t="str">
        <f t="shared" si="16"/>
        <v>Chưa bắt đầu</v>
      </c>
      <c r="F40" s="317">
        <f t="shared" si="17"/>
        <v>0</v>
      </c>
      <c r="G40" s="323">
        <f t="shared" si="18"/>
        <v>46310</v>
      </c>
      <c r="H40" s="327">
        <f t="shared" si="19"/>
        <v>9</v>
      </c>
      <c r="I40" s="327">
        <f t="shared" si="20"/>
        <v>8</v>
      </c>
      <c r="J40" s="301" t="str">
        <f t="shared" si="21"/>
        <v>🟢 Theo kế hoạch</v>
      </c>
      <c r="K40" s="301" t="str">
        <f t="shared" si="22"/>
        <v>Quá tải – tổng 20.0/8.0 giờ/ngày</v>
      </c>
      <c r="L40" s="344" t="str">
        <f t="array" ref="L40">IF($T40="","",LET(m,MATCH($T40,$AS$24:$AS$700,0),lvl,INDEX($W$24:$W$700,m),id,INDEX($X$24:$X$700,m),SWITCH(lvl,3,"Lớp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công!A25</v>
      </c>
      <c r="M40" s="351">
        <f t="shared" si="23"/>
        <v>0.8</v>
      </c>
      <c r="N40" s="356" t="str">
        <f t="shared" si="24"/>
        <v>Thiếu 0.4 giờ/tuần</v>
      </c>
      <c r="O40" s="358"/>
      <c r="P40" s="360"/>
      <c r="Q40" s="360"/>
      <c r="R40" s="67"/>
      <c r="S40" s="67"/>
      <c r="T40" s="67" t="str">
        <f>IFERROR(__xludf.DUMMYFUNCTION("""COMPUTED_VALUE"""),"03.03.02")</f>
        <v>03.03.02</v>
      </c>
      <c r="U40" s="67" t="str">
        <f>IF('Lớp 3 - Công việc chính'!I30="","",'Lớp 3 - Công việc chính'!I30)</f>
        <v>HHL3DL02</v>
      </c>
      <c r="V40" s="389" t="str">
        <f>IF('Lớp 3 - Công việc chính'!I30="","","◆ "&amp;'Lớp 3 - Công việc chính'!M30)</f>
        <v>◆ Số hoá DL quản trị all BOC &amp; all PB</v>
      </c>
      <c r="W40" s="389">
        <f>IF('Lớp 3 - Công việc chính'!I30="","",3)</f>
        <v>3</v>
      </c>
      <c r="X40" s="67" t="str">
        <f>'Lớp 3 - Công việc chính'!I30</f>
        <v>HHL3DL02</v>
      </c>
      <c r="Y40" s="389" t="str">
        <f t="shared" si="26"/>
        <v/>
      </c>
      <c r="Z40" s="67" t="str">
        <f>'Lớp 3 - Công việc chính'!V30</f>
        <v>Ms Trang</v>
      </c>
      <c r="AA40" s="67" t="str">
        <f>'Lớp 3 - Công việc chính'!W30</f>
        <v>Dữ liệu điều hành</v>
      </c>
      <c r="AB40" s="67" t="str">
        <f>'Lớp 3 - Công việc chính'!Y30</f>
        <v>P3</v>
      </c>
      <c r="AC40" s="67" t="str">
        <f>'Lớp 3 - Công việc chính'!X30</f>
        <v>Chưa bắt đầu</v>
      </c>
      <c r="AD40" s="398">
        <f>'Lớp 3 - Công việc chính'!AC30</f>
        <v>0</v>
      </c>
      <c r="AE40" s="358" t="str">
        <f>'Lớp 3 - Công việc chính'!AA30</f>
        <v/>
      </c>
      <c r="AF40" s="187" t="str">
        <f>'Lớp 3 - Công việc chính'!AD30</f>
        <v/>
      </c>
      <c r="AG40" s="104">
        <f>'Lớp 3 - Công việc chính'!AE30</f>
        <v>240</v>
      </c>
      <c r="AH40" s="389">
        <f t="shared" si="27"/>
        <v>240</v>
      </c>
      <c r="AI40" s="389" t="str">
        <f t="shared" si="37"/>
        <v>🔵 Chưa có hạn</v>
      </c>
      <c r="AJ40" s="67" t="str">
        <f>'Lớp 3 - Công việc chính'!AH30</f>
        <v>Thiếu tham số phân bổ</v>
      </c>
      <c r="AL40" s="389" t="str">
        <f t="shared" si="28"/>
        <v/>
      </c>
      <c r="AM40" s="389" t="str">
        <f t="shared" si="29"/>
        <v/>
      </c>
      <c r="AN40" s="389" t="str">
        <f t="shared" si="30"/>
        <v/>
      </c>
      <c r="AS40" s="389" t="str">
        <f t="shared" si="31"/>
        <v>17</v>
      </c>
      <c r="AT40" s="389" t="str">
        <f t="shared" si="32"/>
        <v>Số hoá DL quản trị all BOC &amp; all PB</v>
      </c>
      <c r="AU40" s="389" t="str">
        <f t="shared" si="33"/>
        <v/>
      </c>
      <c r="AV40" s="389" t="str">
        <f t="shared" si="34"/>
        <v/>
      </c>
      <c r="AW40" s="389" t="str">
        <f t="shared" si="35"/>
        <v/>
      </c>
      <c r="AX40" s="67" t="str">
        <f t="shared" ref="AX40:BH40" si="52">Z40</f>
        <v>Ms Trang</v>
      </c>
      <c r="AY40" s="67" t="str">
        <f t="shared" si="52"/>
        <v>Dữ liệu điều hành</v>
      </c>
      <c r="AZ40" s="67" t="str">
        <f t="shared" si="52"/>
        <v>P3</v>
      </c>
      <c r="BA40" s="67" t="str">
        <f t="shared" si="52"/>
        <v>Chưa bắt đầu</v>
      </c>
      <c r="BB40" s="398">
        <f t="shared" si="52"/>
        <v>0</v>
      </c>
      <c r="BC40" s="358" t="str">
        <f t="shared" si="52"/>
        <v/>
      </c>
      <c r="BD40" s="187" t="str">
        <f t="shared" si="52"/>
        <v/>
      </c>
      <c r="BE40" s="104">
        <f t="shared" si="52"/>
        <v>240</v>
      </c>
      <c r="BF40" s="389">
        <f t="shared" si="52"/>
        <v>240</v>
      </c>
      <c r="BG40" s="389" t="str">
        <f t="shared" si="52"/>
        <v>🔵 Chưa có hạn</v>
      </c>
      <c r="BH40" s="67" t="str">
        <f t="shared" si="52"/>
        <v>Thiếu tham số phân bổ</v>
      </c>
      <c r="BI40" s="389" t="str">
        <f t="array" ref="BI40">IF($X40="","",SWITCH($W40,3,IFERROR(INDEX('Lớp 3 - Công việc chính'!$AF$14:$AF$73,MATCH($X40,'Lớp 3 - Công việc chính'!$I$14:$I$73,0)),""),4,IFERROR(INDEX('Lớp 4 - Danh mục'!$AI$14:$AI$132,MATCH($X40,'Lớp 4 - Danh mục'!$I$14:$I$132,0)),""),5,IFERROR(INDEX('Lớp 5 - Phân công'!$AJ$14:$AJ$262,MATCH($X40,'Lớp 5 - Phân công'!$I$14:$I$262,0)),""),6,IFERROR(INDEX('Lớp 6 - Chi tiết'!$AM$14:$AM$267,MATCH($X40,'Lớp 6 - Chi tiết'!$I$14:$I$267,0)),""),""))</f>
        <v/>
      </c>
      <c r="BJ40" s="389" t="str">
        <f t="array" ref="BJ40">IF($X40="","",SWITCH($W40,3,IFERROR(INDEX('Lớp 3 - Công việc chính'!$AR$14:$AR$73,MATCH($X40,'Lớp 3 - Công việc chính'!$I$14:$I$73,0)),""),4,IFERROR(INDEX('Lớp 4 - Danh mục'!$AU$14:$AU$132,MATCH($X40,'Lớp 4 - Danh mục'!$I$14:$I$132,0)),""),5,IFERROR(INDEX('Lớp 5 - Phân công'!$AV$14:$AV$262,MATCH($X40,'Lớp 5 - Phân công'!$I$14:$I$262,0)),""),6,IFERROR(INDEX('Lớp 6 - Chi tiết'!$AY$14:$AY$267,MATCH($X40,'Lớp 6 - Chi tiết'!$I$14:$I$267,0)),""),""))</f>
        <v>Thiếu tham số phân bổ</v>
      </c>
    </row>
    <row r="41" ht="15.75" customHeight="1">
      <c r="A41" s="294" t="str">
        <f t="shared" si="12"/>
        <v>        ├── ▒ L5  03.03.03  XD bảng Excel &amp; HT phần mềm (chạy demo) B2B</v>
      </c>
      <c r="B41" s="301" t="str">
        <f t="shared" si="13"/>
        <v>Em Đại</v>
      </c>
      <c r="C41" s="301" t="str">
        <f t="shared" si="14"/>
        <v>Dữ liệu điều hành</v>
      </c>
      <c r="D41" s="301" t="str">
        <f t="shared" si="15"/>
        <v>P2</v>
      </c>
      <c r="E41" s="301" t="str">
        <f t="shared" si="16"/>
        <v>Chưa bắt đầu</v>
      </c>
      <c r="F41" s="317">
        <f t="shared" si="17"/>
        <v>0</v>
      </c>
      <c r="G41" s="323">
        <f t="shared" si="18"/>
        <v>46305</v>
      </c>
      <c r="H41" s="327">
        <f t="shared" si="19"/>
        <v>5</v>
      </c>
      <c r="I41" s="327">
        <f t="shared" si="20"/>
        <v>24</v>
      </c>
      <c r="J41" s="301" t="str">
        <f t="shared" si="21"/>
        <v>🟢 Theo kế hoạch</v>
      </c>
      <c r="K41" s="301" t="str">
        <f t="shared" si="22"/>
        <v>Quá tải – tổng 13.6/8.0 giờ/ngày</v>
      </c>
      <c r="L41" s="344" t="str">
        <f t="array" ref="L41">IF($T41="","",LET(m,MATCH($T41,$AS$24:$AS$700,0),lvl,INDEX($W$24:$W$700,m),id,INDEX($X$24:$X$700,m),SWITCH(lvl,3,"Lớp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công!A26</v>
      </c>
      <c r="M41" s="351">
        <f t="shared" si="23"/>
        <v>0.8</v>
      </c>
      <c r="N41" s="356" t="str">
        <f t="shared" si="24"/>
        <v>Thiếu 20.0 giờ/tuần</v>
      </c>
      <c r="O41" s="358"/>
      <c r="P41" s="360"/>
      <c r="Q41" s="360"/>
      <c r="R41" s="67"/>
      <c r="S41" s="67"/>
      <c r="T41" s="67" t="str">
        <f>IFERROR(__xludf.DUMMYFUNCTION("""COMPUTED_VALUE"""),"03.03.03")</f>
        <v>03.03.03</v>
      </c>
      <c r="U41" s="67" t="str">
        <f>IF('Lớp 3 - Công việc chính'!I31="","",'Lớp 3 - Công việc chính'!I31)</f>
        <v>HHL3DL03</v>
      </c>
      <c r="V41" s="389" t="str">
        <f>IF('Lớp 3 - Công việc chính'!I31="","","◆ "&amp;'Lớp 3 - Công việc chính'!M31)</f>
        <v>◆ XDHT ngưỡng điều tiết &amp; cung ứng hàng hoá </v>
      </c>
      <c r="W41" s="389">
        <f>IF('Lớp 3 - Công việc chính'!I31="","",3)</f>
        <v>3</v>
      </c>
      <c r="X41" s="67" t="str">
        <f>'Lớp 3 - Công việc chính'!I31</f>
        <v>HHL3DL03</v>
      </c>
      <c r="Y41" s="389" t="str">
        <f t="shared" si="26"/>
        <v/>
      </c>
      <c r="Z41" s="67" t="str">
        <f>'Lớp 3 - Công việc chính'!V31</f>
        <v>Ms Trang</v>
      </c>
      <c r="AA41" s="67" t="str">
        <f>'Lớp 3 - Công việc chính'!W31</f>
        <v>Dữ liệu điều hành</v>
      </c>
      <c r="AB41" s="67" t="str">
        <f>'Lớp 3 - Công việc chính'!Y31</f>
        <v>P3</v>
      </c>
      <c r="AC41" s="67" t="str">
        <f>'Lớp 3 - Công việc chính'!X31</f>
        <v>Chưa bắt đầu</v>
      </c>
      <c r="AD41" s="398">
        <f>'Lớp 3 - Công việc chính'!AC31</f>
        <v>0</v>
      </c>
      <c r="AE41" s="358">
        <f>'Lớp 3 - Công việc chính'!AA31</f>
        <v>46310</v>
      </c>
      <c r="AF41" s="187" t="str">
        <f>'Lớp 3 - Công việc chính'!AD31</f>
        <v/>
      </c>
      <c r="AG41" s="104">
        <f>'Lớp 3 - Công việc chính'!AE31</f>
        <v>160</v>
      </c>
      <c r="AH41" s="389">
        <f t="shared" si="27"/>
        <v>160</v>
      </c>
      <c r="AI41" s="389" t="str">
        <f t="shared" si="37"/>
        <v>🟢 Theo kế hoạch</v>
      </c>
      <c r="AJ41" s="67" t="str">
        <f>'Lớp 3 - Công việc chính'!AH31</f>
        <v>Chưa tính tải</v>
      </c>
      <c r="AL41" s="389" t="str">
        <f t="shared" si="28"/>
        <v/>
      </c>
      <c r="AM41" s="389" t="str">
        <f t="shared" si="29"/>
        <v/>
      </c>
      <c r="AN41" s="389" t="str">
        <f t="shared" si="30"/>
        <v/>
      </c>
      <c r="AS41" s="389" t="str">
        <f t="shared" si="31"/>
        <v>18</v>
      </c>
      <c r="AT41" s="389" t="str">
        <f t="shared" si="32"/>
        <v>XDHT ngưỡng điều tiết &amp; cung ứng hàng hoá</v>
      </c>
      <c r="AU41" s="389" t="str">
        <f t="shared" si="33"/>
        <v/>
      </c>
      <c r="AV41" s="389" t="str">
        <f t="shared" si="34"/>
        <v/>
      </c>
      <c r="AW41" s="389" t="str">
        <f t="shared" si="35"/>
        <v/>
      </c>
      <c r="AX41" s="67" t="str">
        <f t="shared" ref="AX41:BH41" si="53">Z41</f>
        <v>Ms Trang</v>
      </c>
      <c r="AY41" s="67" t="str">
        <f t="shared" si="53"/>
        <v>Dữ liệu điều hành</v>
      </c>
      <c r="AZ41" s="67" t="str">
        <f t="shared" si="53"/>
        <v>P3</v>
      </c>
      <c r="BA41" s="67" t="str">
        <f t="shared" si="53"/>
        <v>Chưa bắt đầu</v>
      </c>
      <c r="BB41" s="398">
        <f t="shared" si="53"/>
        <v>0</v>
      </c>
      <c r="BC41" s="358">
        <f t="shared" si="53"/>
        <v>46310</v>
      </c>
      <c r="BD41" s="187" t="str">
        <f t="shared" si="53"/>
        <v/>
      </c>
      <c r="BE41" s="104">
        <f t="shared" si="53"/>
        <v>160</v>
      </c>
      <c r="BF41" s="389">
        <f t="shared" si="53"/>
        <v>160</v>
      </c>
      <c r="BG41" s="389" t="str">
        <f t="shared" si="53"/>
        <v>🟢 Theo kế hoạch</v>
      </c>
      <c r="BH41" s="67" t="str">
        <f t="shared" si="53"/>
        <v>Chưa tính tải</v>
      </c>
      <c r="BI41" s="389" t="str">
        <f t="array" ref="BI41">IF($X41="","",SWITCH($W41,3,IFERROR(INDEX('Lớp 3 - Công việc chính'!$AF$14:$AF$73,MATCH($X41,'Lớp 3 - Công việc chính'!$I$14:$I$73,0)),""),4,IFERROR(INDEX('Lớp 4 - Danh mục'!$AI$14:$AI$132,MATCH($X41,'Lớp 4 - Danh mục'!$I$14:$I$132,0)),""),5,IFERROR(INDEX('Lớp 5 - Phân công'!$AJ$14:$AJ$262,MATCH($X41,'Lớp 5 - Phân công'!$I$14:$I$262,0)),""),6,IFERROR(INDEX('Lớp 6 - Chi tiết'!$AM$14:$AM$267,MATCH($X41,'Lớp 6 - Chi tiết'!$I$14:$I$267,0)),""),""))</f>
        <v/>
      </c>
      <c r="BJ41" s="389" t="str">
        <f t="array" ref="BJ41">IF($X41="","",SWITCH($W41,3,IFERROR(INDEX('Lớp 3 - Công việc chính'!$AR$14:$AR$73,MATCH($X41,'Lớp 3 - Công việc chính'!$I$14:$I$73,0)),""),4,IFERROR(INDEX('Lớp 4 - Danh mục'!$AU$14:$AU$132,MATCH($X41,'Lớp 4 - Danh mục'!$I$14:$I$132,0)),""),5,IFERROR(INDEX('Lớp 5 - Phân công'!$AV$14:$AV$262,MATCH($X41,'Lớp 5 - Phân công'!$I$14:$I$262,0)),""),6,IFERROR(INDEX('Lớp 6 - Chi tiết'!$AY$14:$AY$267,MATCH($X41,'Lớp 6 - Chi tiết'!$I$14:$I$267,0)),""),""))</f>
        <v>Theo dõi phân bổ tại Lớp 4</v>
      </c>
    </row>
    <row r="42" ht="15.75" customHeight="1">
      <c r="A42" s="294" t="str">
        <f t="shared" si="12"/>
        <v>        ├── ▒ L5  03.03.04  Chạy tham số Topdown B2B</v>
      </c>
      <c r="B42" s="301" t="str">
        <f t="shared" si="13"/>
        <v>Em Đại</v>
      </c>
      <c r="C42" s="301" t="str">
        <f t="shared" si="14"/>
        <v>Dữ liệu điều hành</v>
      </c>
      <c r="D42" s="301" t="str">
        <f t="shared" si="15"/>
        <v>P2</v>
      </c>
      <c r="E42" s="301" t="str">
        <f t="shared" si="16"/>
        <v>Đã lên lịch</v>
      </c>
      <c r="F42" s="317" t="str">
        <f t="shared" si="17"/>
        <v/>
      </c>
      <c r="G42" s="323">
        <f t="shared" si="18"/>
        <v>46307</v>
      </c>
      <c r="H42" s="327">
        <f t="shared" si="19"/>
        <v>1</v>
      </c>
      <c r="I42" s="327">
        <f t="shared" si="20"/>
        <v>16</v>
      </c>
      <c r="J42" s="301" t="str">
        <f t="shared" si="21"/>
        <v>🟢 Theo kế hoạch</v>
      </c>
      <c r="K42" s="301" t="str">
        <f t="shared" si="22"/>
        <v>Cận tải – tổng 8.0/8.0 giờ/ngày</v>
      </c>
      <c r="L42" s="344" t="str">
        <f t="array" ref="L42">IF($T42="","",LET(m,MATCH($T42,$AS$24:$AS$700,0),lvl,INDEX($W$24:$W$700,m),id,INDEX($X$24:$X$700,m),SWITCH(lvl,3,"Lớp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công!A27</v>
      </c>
      <c r="M42" s="351">
        <f t="shared" si="23"/>
        <v>0.8</v>
      </c>
      <c r="N42" s="356" t="str">
        <f t="shared" si="24"/>
        <v>Thiếu 76.0 giờ/tuần</v>
      </c>
      <c r="O42" s="358"/>
      <c r="P42" s="360"/>
      <c r="Q42" s="360"/>
      <c r="R42" s="67"/>
      <c r="S42" s="67"/>
      <c r="T42" s="67" t="str">
        <f>IFERROR(__xludf.DUMMYFUNCTION("""COMPUTED_VALUE"""),"03.03.04")</f>
        <v>03.03.04</v>
      </c>
      <c r="U42" s="389" t="str">
        <f>IF('Lớp 3 - Công việc chính'!I32="","",'Lớp 3 - Công việc chính'!I32)</f>
        <v>#REF!</v>
      </c>
      <c r="V42" s="389" t="str">
        <f>IF('Lớp 3 - Công việc chính'!I32="","","◆ "&amp;'Lớp 3 - Công việc chính'!M32)</f>
        <v>#REF!</v>
      </c>
      <c r="W42" s="389" t="str">
        <f>IF('Lớp 3 - Công việc chính'!I32="","",3)</f>
        <v>#REF!</v>
      </c>
      <c r="X42" s="67" t="str">
        <f>'Lớp 3 - Công việc chính'!I32</f>
        <v>#REF!</v>
      </c>
      <c r="Y42" s="389" t="str">
        <f t="shared" si="26"/>
        <v>#REF!</v>
      </c>
      <c r="Z42" s="67" t="str">
        <f>'Lớp 3 - Công việc chính'!V32</f>
        <v>#REF!</v>
      </c>
      <c r="AA42" s="67" t="str">
        <f>'Lớp 3 - Công việc chính'!W32</f>
        <v>#REF!</v>
      </c>
      <c r="AB42" s="67" t="str">
        <f>'Lớp 3 - Công việc chính'!Y32</f>
        <v>#REF!</v>
      </c>
      <c r="AC42" s="67" t="str">
        <f>'Lớp 3 - Công việc chính'!X32</f>
        <v>#REF!</v>
      </c>
      <c r="AD42" s="398" t="str">
        <f>'Lớp 3 - Công việc chính'!AC32</f>
        <v>#REF!</v>
      </c>
      <c r="AE42" s="358" t="str">
        <f>'Lớp 3 - Công việc chính'!AA32</f>
        <v>#REF!</v>
      </c>
      <c r="AF42" s="187" t="str">
        <f>'Lớp 3 - Công việc chính'!AD32</f>
        <v>#REF!</v>
      </c>
      <c r="AG42" s="104" t="str">
        <f>'Lớp 3 - Công việc chính'!AE32</f>
        <v>#REF!</v>
      </c>
      <c r="AH42" s="389" t="str">
        <f t="shared" si="27"/>
        <v>#REF!</v>
      </c>
      <c r="AI42" s="389" t="str">
        <f t="shared" si="37"/>
        <v>#REF!</v>
      </c>
      <c r="AJ42" s="67" t="str">
        <f>'Lớp 3 - Công việc chính'!AH32</f>
        <v>#REF!</v>
      </c>
      <c r="AL42" s="389" t="str">
        <f t="shared" si="28"/>
        <v/>
      </c>
      <c r="AM42" s="389" t="str">
        <f t="shared" si="29"/>
        <v/>
      </c>
      <c r="AN42" s="389" t="str">
        <f t="shared" si="30"/>
        <v/>
      </c>
      <c r="AS42" s="389" t="str">
        <f t="shared" si="31"/>
        <v>#REF!</v>
      </c>
      <c r="AT42" s="389" t="str">
        <f t="shared" si="32"/>
        <v>#REF!</v>
      </c>
      <c r="AU42" s="389" t="str">
        <f t="shared" si="33"/>
        <v>#REF!</v>
      </c>
      <c r="AV42" s="389" t="str">
        <f t="shared" si="34"/>
        <v>#REF!</v>
      </c>
      <c r="AW42" s="389" t="str">
        <f t="shared" si="35"/>
        <v>#REF!</v>
      </c>
      <c r="AX42" s="67" t="str">
        <f t="shared" ref="AX42:BH42" si="54">Z42</f>
        <v>#REF!</v>
      </c>
      <c r="AY42" s="67" t="str">
        <f t="shared" si="54"/>
        <v>#REF!</v>
      </c>
      <c r="AZ42" s="67" t="str">
        <f t="shared" si="54"/>
        <v>#REF!</v>
      </c>
      <c r="BA42" s="67" t="str">
        <f t="shared" si="54"/>
        <v>#REF!</v>
      </c>
      <c r="BB42" s="398" t="str">
        <f t="shared" si="54"/>
        <v>#REF!</v>
      </c>
      <c r="BC42" s="358" t="str">
        <f t="shared" si="54"/>
        <v>#REF!</v>
      </c>
      <c r="BD42" s="187" t="str">
        <f t="shared" si="54"/>
        <v>#REF!</v>
      </c>
      <c r="BE42" s="104" t="str">
        <f t="shared" si="54"/>
        <v>#REF!</v>
      </c>
      <c r="BF42" s="389" t="str">
        <f t="shared" si="54"/>
        <v>#REF!</v>
      </c>
      <c r="BG42" s="389" t="str">
        <f t="shared" si="54"/>
        <v>#REF!</v>
      </c>
      <c r="BH42" s="67" t="str">
        <f t="shared" si="54"/>
        <v>#REF!</v>
      </c>
      <c r="BI42" s="389" t="str">
        <f t="array" ref="BI42">IF($X42="","",SWITCH($W42,3,IFERROR(INDEX('Lớp 3 - Công việc chính'!$AF$14:$AF$73,MATCH($X42,'Lớp 3 - Công việc chính'!$I$14:$I$73,0)),""),4,IFERROR(INDEX('Lớp 4 - Danh mục'!$AI$14:$AI$132,MATCH($X42,'Lớp 4 - Danh mục'!$I$14:$I$132,0)),""),5,IFERROR(INDEX('Lớp 5 - Phân công'!$AJ$14:$AJ$262,MATCH($X42,'Lớp 5 - Phân công'!$I$14:$I$262,0)),""),6,IFERROR(INDEX('Lớp 6 - Chi tiết'!$AM$14:$AM$267,MATCH($X42,'Lớp 6 - Chi tiết'!$I$14:$I$267,0)),""),""))</f>
        <v>#REF!</v>
      </c>
      <c r="BJ42" s="389" t="str">
        <f t="array" ref="BJ42">IF($X42="","",SWITCH($W42,3,IFERROR(INDEX('Lớp 3 - Công việc chính'!$AR$14:$AR$73,MATCH($X42,'Lớp 3 - Công việc chính'!$I$14:$I$73,0)),""),4,IFERROR(INDEX('Lớp 4 - Danh mục'!$AU$14:$AU$132,MATCH($X42,'Lớp 4 - Danh mục'!$I$14:$I$132,0)),""),5,IFERROR(INDEX('Lớp 5 - Phân công'!$AV$14:$AV$262,MATCH($X42,'Lớp 5 - Phân công'!$I$14:$I$262,0)),""),6,IFERROR(INDEX('Lớp 6 - Chi tiết'!$AY$14:$AY$267,MATCH($X42,'Lớp 6 - Chi tiết'!$I$14:$I$267,0)),""),""))</f>
        <v>#REF!</v>
      </c>
    </row>
    <row r="43" ht="15.75" customHeight="1">
      <c r="A43" s="294" t="str">
        <f t="shared" si="12"/>
        <v>        ├── ▒ L5  03.03.05  Chạy tham số Bottom-up theo khu vực vùng miền B2B</v>
      </c>
      <c r="B43" s="301" t="str">
        <f t="shared" si="13"/>
        <v>Em Đại</v>
      </c>
      <c r="C43" s="301" t="str">
        <f t="shared" si="14"/>
        <v>Dữ liệu điều hành</v>
      </c>
      <c r="D43" s="301" t="str">
        <f t="shared" si="15"/>
        <v>P2</v>
      </c>
      <c r="E43" s="301" t="str">
        <f t="shared" si="16"/>
        <v>Đã lên lịch</v>
      </c>
      <c r="F43" s="317" t="str">
        <f t="shared" si="17"/>
        <v/>
      </c>
      <c r="G43" s="323">
        <f t="shared" si="18"/>
        <v>46320</v>
      </c>
      <c r="H43" s="327">
        <f t="shared" si="19"/>
        <v>11</v>
      </c>
      <c r="I43" s="327">
        <f t="shared" si="20"/>
        <v>16</v>
      </c>
      <c r="J43" s="301" t="str">
        <f t="shared" si="21"/>
        <v>🟢 Theo kế hoạch</v>
      </c>
      <c r="K43" s="301" t="str">
        <f t="shared" si="22"/>
        <v>Quá tải – tổng 10.4/8.0 giờ/ngày</v>
      </c>
      <c r="L43" s="344" t="str">
        <f t="array" ref="L43">IF($T43="","",LET(m,MATCH($T43,$AS$24:$AS$700,0),lvl,INDEX($W$24:$W$700,m),id,INDEX($X$24:$X$700,m),SWITCH(lvl,3,"Lớp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công!A28</v>
      </c>
      <c r="M43" s="351">
        <f t="shared" si="23"/>
        <v>0.8</v>
      </c>
      <c r="N43" s="356" t="str">
        <f t="shared" si="24"/>
        <v>Thiếu 3.3 giờ/tuần</v>
      </c>
      <c r="O43" s="358"/>
      <c r="P43" s="360"/>
      <c r="Q43" s="360"/>
      <c r="R43" s="67"/>
      <c r="S43" s="67"/>
      <c r="T43" s="67" t="str">
        <f>IFERROR(__xludf.DUMMYFUNCTION("""COMPUTED_VALUE"""),"03.03.05")</f>
        <v>03.03.05</v>
      </c>
      <c r="U43" s="67" t="str">
        <f>IF('Lớp 3 - Công việc chính'!I33="","",'Lớp 3 - Công việc chính'!I33)</f>
        <v>HHL3DL05</v>
      </c>
      <c r="V43" s="389" t="str">
        <f>IF('Lớp 3 - Công việc chính'!I33="","","◆ "&amp;'Lớp 3 - Công việc chính'!M33)</f>
        <v>◆ Phát triển HT BC tự động định kỳ</v>
      </c>
      <c r="W43" s="389">
        <f>IF('Lớp 3 - Công việc chính'!I33="","",3)</f>
        <v>3</v>
      </c>
      <c r="X43" s="67" t="str">
        <f>'Lớp 3 - Công việc chính'!I33</f>
        <v>HHL3DL05</v>
      </c>
      <c r="Y43" s="389" t="str">
        <f t="shared" si="26"/>
        <v/>
      </c>
      <c r="Z43" s="67" t="str">
        <f>'Lớp 3 - Công việc chính'!V33</f>
        <v>Ms Trang</v>
      </c>
      <c r="AA43" s="67" t="str">
        <f>'Lớp 3 - Công việc chính'!W33</f>
        <v>Dữ liệu điều hành</v>
      </c>
      <c r="AB43" s="67" t="str">
        <f>'Lớp 3 - Công việc chính'!Y33</f>
        <v>P1</v>
      </c>
      <c r="AC43" s="67" t="str">
        <f>'Lớp 3 - Công việc chính'!X33</f>
        <v>Chưa bắt đầu</v>
      </c>
      <c r="AD43" s="398">
        <f>'Lớp 3 - Công việc chính'!AC33</f>
        <v>0</v>
      </c>
      <c r="AE43" s="358">
        <f>'Lớp 3 - Công việc chính'!AA33</f>
        <v>46265</v>
      </c>
      <c r="AF43" s="187">
        <f>'Lớp 3 - Công việc chính'!AD33</f>
        <v>17</v>
      </c>
      <c r="AG43" s="104">
        <f>'Lớp 3 - Công việc chính'!AE33</f>
        <v>200</v>
      </c>
      <c r="AH43" s="389">
        <f t="shared" si="27"/>
        <v>200</v>
      </c>
      <c r="AI43" s="389" t="str">
        <f t="shared" si="37"/>
        <v>🟣 P1 trọng yếu</v>
      </c>
      <c r="AJ43" s="67" t="str">
        <f>'Lớp 3 - Công việc chính'!AH33</f>
        <v>Thiếu tham số phân bổ</v>
      </c>
      <c r="AL43" s="389" t="str">
        <f t="shared" si="28"/>
        <v/>
      </c>
      <c r="AM43" s="389" t="str">
        <f t="shared" si="29"/>
        <v/>
      </c>
      <c r="AN43" s="389" t="str">
        <f t="shared" si="30"/>
        <v/>
      </c>
      <c r="AS43" s="389" t="str">
        <f t="shared" si="31"/>
        <v>20</v>
      </c>
      <c r="AT43" s="389" t="str">
        <f t="shared" si="32"/>
        <v>Phát triển HT BC tự động định kỳ</v>
      </c>
      <c r="AU43" s="389" t="str">
        <f t="shared" si="33"/>
        <v/>
      </c>
      <c r="AV43" s="389" t="str">
        <f t="shared" si="34"/>
        <v/>
      </c>
      <c r="AW43" s="389" t="str">
        <f t="shared" si="35"/>
        <v/>
      </c>
      <c r="AX43" s="67" t="str">
        <f t="shared" ref="AX43:BH43" si="55">Z43</f>
        <v>Ms Trang</v>
      </c>
      <c r="AY43" s="67" t="str">
        <f t="shared" si="55"/>
        <v>Dữ liệu điều hành</v>
      </c>
      <c r="AZ43" s="67" t="str">
        <f t="shared" si="55"/>
        <v>P1</v>
      </c>
      <c r="BA43" s="67" t="str">
        <f t="shared" si="55"/>
        <v>Chưa bắt đầu</v>
      </c>
      <c r="BB43" s="398">
        <f t="shared" si="55"/>
        <v>0</v>
      </c>
      <c r="BC43" s="358">
        <f t="shared" si="55"/>
        <v>46265</v>
      </c>
      <c r="BD43" s="187">
        <f t="shared" si="55"/>
        <v>17</v>
      </c>
      <c r="BE43" s="104">
        <f t="shared" si="55"/>
        <v>200</v>
      </c>
      <c r="BF43" s="389">
        <f t="shared" si="55"/>
        <v>200</v>
      </c>
      <c r="BG43" s="389" t="str">
        <f t="shared" si="55"/>
        <v>🟣 P1 trọng yếu</v>
      </c>
      <c r="BH43" s="67" t="str">
        <f t="shared" si="55"/>
        <v>Thiếu tham số phân bổ</v>
      </c>
      <c r="BI43" s="389" t="str">
        <f t="array" ref="BI43">IF($X43="","",SWITCH($W43,3,IFERROR(INDEX('Lớp 3 - Công việc chính'!$AF$14:$AF$73,MATCH($X43,'Lớp 3 - Công việc chính'!$I$14:$I$73,0)),""),4,IFERROR(INDEX('Lớp 4 - Danh mục'!$AI$14:$AI$132,MATCH($X43,'Lớp 4 - Danh mục'!$I$14:$I$132,0)),""),5,IFERROR(INDEX('Lớp 5 - Phân công'!$AJ$14:$AJ$262,MATCH($X43,'Lớp 5 - Phân công'!$I$14:$I$262,0)),""),6,IFERROR(INDEX('Lớp 6 - Chi tiết'!$AM$14:$AM$267,MATCH($X43,'Lớp 6 - Chi tiết'!$I$14:$I$267,0)),""),""))</f>
        <v/>
      </c>
      <c r="BJ43" s="389" t="str">
        <f t="array" ref="BJ43">IF($X43="","",SWITCH($W43,3,IFERROR(INDEX('Lớp 3 - Công việc chính'!$AR$14:$AR$73,MATCH($X43,'Lớp 3 - Công việc chính'!$I$14:$I$73,0)),""),4,IFERROR(INDEX('Lớp 4 - Danh mục'!$AU$14:$AU$132,MATCH($X43,'Lớp 4 - Danh mục'!$I$14:$I$132,0)),""),5,IFERROR(INDEX('Lớp 5 - Phân công'!$AV$14:$AV$262,MATCH($X43,'Lớp 5 - Phân công'!$I$14:$I$262,0)),""),6,IFERROR(INDEX('Lớp 6 - Chi tiết'!$AY$14:$AY$267,MATCH($X43,'Lớp 6 - Chi tiết'!$I$14:$I$267,0)),""),""))</f>
        <v>Thiếu tham số phân bổ</v>
      </c>
    </row>
    <row r="44" ht="15.75" customHeight="1">
      <c r="A44" s="294" t="str">
        <f t="shared" si="12"/>
        <v>    ├─ ▓ L4  03.04  Xây dựng công thức &amp; tạo HT tham số cho KH Online</v>
      </c>
      <c r="B44" s="301" t="str">
        <f t="shared" si="13"/>
        <v>Em Đại</v>
      </c>
      <c r="C44" s="301" t="str">
        <f t="shared" si="14"/>
        <v>Dữ liệu điều hành</v>
      </c>
      <c r="D44" s="301" t="str">
        <f t="shared" si="15"/>
        <v>P1</v>
      </c>
      <c r="E44" s="301" t="str">
        <f t="shared" si="16"/>
        <v>Chưa bắt đầu</v>
      </c>
      <c r="F44" s="317">
        <f t="shared" si="17"/>
        <v>0</v>
      </c>
      <c r="G44" s="323">
        <f t="shared" si="18"/>
        <v>46320</v>
      </c>
      <c r="H44" s="327">
        <f t="shared" si="19"/>
        <v>62</v>
      </c>
      <c r="I44" s="327">
        <f t="shared" si="20"/>
        <v>80</v>
      </c>
      <c r="J44" s="301" t="str">
        <f t="shared" si="21"/>
        <v>🟣 P1 trọng yếu</v>
      </c>
      <c r="K44" s="301" t="str">
        <f t="shared" si="22"/>
        <v>Theo dõi tải tại Lớp 5</v>
      </c>
      <c r="L44" s="344" t="str">
        <f t="array" ref="L44">IF($T44="","",LET(m,MATCH($T44,$AS$24:$AS$700,0),lvl,INDEX($W$24:$W$700,m),id,INDEX($X$24:$X$700,m),SWITCH(lvl,3,"Lớp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mục!A17</v>
      </c>
      <c r="M44" s="351" t="str">
        <f t="shared" si="23"/>
        <v/>
      </c>
      <c r="N44" s="356" t="str">
        <f t="shared" si="24"/>
        <v>Theo dõi phân bổ tại Lớp 5</v>
      </c>
      <c r="O44" s="358"/>
      <c r="P44" s="360"/>
      <c r="Q44" s="360"/>
      <c r="R44" s="67"/>
      <c r="S44" s="67"/>
      <c r="T44" s="67" t="str">
        <f>IFERROR(__xludf.DUMMYFUNCTION("""COMPUTED_VALUE"""),"03.04")</f>
        <v>03.04</v>
      </c>
      <c r="U44" s="67" t="str">
        <f>IF('Lớp 3 - Công việc chính'!I34="","",'Lớp 3 - Công việc chính'!I34)</f>
        <v>HHL3DL06</v>
      </c>
      <c r="V44" s="389" t="str">
        <f>IF('Lớp 3 - Công việc chính'!I34="","","◆ "&amp;'Lớp 3 - Công việc chính'!M34)</f>
        <v>◆ XDHT quản lý NCC</v>
      </c>
      <c r="W44" s="389">
        <f>IF('Lớp 3 - Công việc chính'!I34="","",3)</f>
        <v>3</v>
      </c>
      <c r="X44" s="67" t="str">
        <f>'Lớp 3 - Công việc chính'!I34</f>
        <v>HHL3DL06</v>
      </c>
      <c r="Y44" s="389" t="str">
        <f t="shared" si="26"/>
        <v/>
      </c>
      <c r="Z44" s="67" t="str">
        <f>'Lớp 3 - Công việc chính'!V34</f>
        <v>Ms Trang</v>
      </c>
      <c r="AA44" s="67" t="str">
        <f>'Lớp 3 - Công việc chính'!W34</f>
        <v>Dữ liệu điều hành</v>
      </c>
      <c r="AB44" s="67" t="str">
        <f>'Lớp 3 - Công việc chính'!Y34</f>
        <v>P2</v>
      </c>
      <c r="AC44" s="67" t="str">
        <f>'Lớp 3 - Công việc chính'!X34</f>
        <v>Chưa bắt đầu</v>
      </c>
      <c r="AD44" s="398">
        <f>'Lớp 3 - Công việc chính'!AC34</f>
        <v>0</v>
      </c>
      <c r="AE44" s="358">
        <f>'Lớp 3 - Công việc chính'!AA34</f>
        <v>46265</v>
      </c>
      <c r="AF44" s="187">
        <f>'Lớp 3 - Công việc chính'!AD34</f>
        <v>17</v>
      </c>
      <c r="AG44" s="104">
        <f>'Lớp 3 - Công việc chính'!AE34</f>
        <v>240</v>
      </c>
      <c r="AH44" s="389">
        <f t="shared" si="27"/>
        <v>240</v>
      </c>
      <c r="AI44" s="389" t="str">
        <f t="shared" si="37"/>
        <v>🟢 Theo kế hoạch</v>
      </c>
      <c r="AJ44" s="67" t="str">
        <f>'Lớp 3 - Công việc chính'!AH34</f>
        <v>Theo dõi tải tại Lớp 4</v>
      </c>
      <c r="AL44" s="389" t="str">
        <f t="shared" si="28"/>
        <v/>
      </c>
      <c r="AM44" s="389" t="str">
        <f t="shared" si="29"/>
        <v/>
      </c>
      <c r="AN44" s="389" t="str">
        <f t="shared" si="30"/>
        <v/>
      </c>
      <c r="AS44" s="389" t="str">
        <f t="shared" si="31"/>
        <v>21</v>
      </c>
      <c r="AT44" s="389" t="str">
        <f t="shared" si="32"/>
        <v>XDHT quản lý NCC</v>
      </c>
      <c r="AU44" s="389" t="str">
        <f t="shared" si="33"/>
        <v/>
      </c>
      <c r="AV44" s="389" t="str">
        <f t="shared" si="34"/>
        <v/>
      </c>
      <c r="AW44" s="389" t="str">
        <f t="shared" si="35"/>
        <v/>
      </c>
      <c r="AX44" s="67" t="str">
        <f t="shared" ref="AX44:BH44" si="56">Z44</f>
        <v>Ms Trang</v>
      </c>
      <c r="AY44" s="67" t="str">
        <f t="shared" si="56"/>
        <v>Dữ liệu điều hành</v>
      </c>
      <c r="AZ44" s="67" t="str">
        <f t="shared" si="56"/>
        <v>P2</v>
      </c>
      <c r="BA44" s="67" t="str">
        <f t="shared" si="56"/>
        <v>Chưa bắt đầu</v>
      </c>
      <c r="BB44" s="398">
        <f t="shared" si="56"/>
        <v>0</v>
      </c>
      <c r="BC44" s="358">
        <f t="shared" si="56"/>
        <v>46265</v>
      </c>
      <c r="BD44" s="187">
        <f t="shared" si="56"/>
        <v>17</v>
      </c>
      <c r="BE44" s="104">
        <f t="shared" si="56"/>
        <v>240</v>
      </c>
      <c r="BF44" s="389">
        <f t="shared" si="56"/>
        <v>240</v>
      </c>
      <c r="BG44" s="389" t="str">
        <f t="shared" si="56"/>
        <v>🟢 Theo kế hoạch</v>
      </c>
      <c r="BH44" s="67" t="str">
        <f t="shared" si="56"/>
        <v>Theo dõi tải tại Lớp 4</v>
      </c>
      <c r="BI44" s="389" t="str">
        <f t="array" ref="BI44">IF($X44="","",SWITCH($W44,3,IFERROR(INDEX('Lớp 3 - Công việc chính'!$AF$14:$AF$73,MATCH($X44,'Lớp 3 - Công việc chính'!$I$14:$I$73,0)),""),4,IFERROR(INDEX('Lớp 4 - Danh mục'!$AI$14:$AI$132,MATCH($X44,'Lớp 4 - Danh mục'!$I$14:$I$132,0)),""),5,IFERROR(INDEX('Lớp 5 - Phân công'!$AJ$14:$AJ$262,MATCH($X44,'Lớp 5 - Phân công'!$I$14:$I$262,0)),""),6,IFERROR(INDEX('Lớp 6 - Chi tiết'!$AM$14:$AM$267,MATCH($X44,'Lớp 6 - Chi tiết'!$I$14:$I$267,0)),""),""))</f>
        <v/>
      </c>
      <c r="BJ44" s="389" t="str">
        <f t="array" ref="BJ44">IF($X44="","",SWITCH($W44,3,IFERROR(INDEX('Lớp 3 - Công việc chính'!$AR$14:$AR$73,MATCH($X44,'Lớp 3 - Công việc chính'!$I$14:$I$73,0)),""),4,IFERROR(INDEX('Lớp 4 - Danh mục'!$AU$14:$AU$132,MATCH($X44,'Lớp 4 - Danh mục'!$I$14:$I$132,0)),""),5,IFERROR(INDEX('Lớp 5 - Phân công'!$AV$14:$AV$262,MATCH($X44,'Lớp 5 - Phân công'!$I$14:$I$262,0)),""),6,IFERROR(INDEX('Lớp 6 - Chi tiết'!$AY$14:$AY$267,MATCH($X44,'Lớp 6 - Chi tiết'!$I$14:$I$267,0)),""),""))</f>
        <v>Theo dõi phân bổ tại Lớp 4</v>
      </c>
    </row>
    <row r="45" ht="15.75" customHeight="1">
      <c r="A45" s="294" t="str">
        <f t="shared" si="12"/>
        <v>        ├── ▒ L5  03.04.01  XD &amp; phản biện công thức (nội bộ) Online</v>
      </c>
      <c r="B45" s="301" t="str">
        <f t="shared" si="13"/>
        <v>Em Đại</v>
      </c>
      <c r="C45" s="301" t="str">
        <f t="shared" si="14"/>
        <v>Dữ liệu điều hành</v>
      </c>
      <c r="D45" s="301" t="str">
        <f t="shared" si="15"/>
        <v>P2</v>
      </c>
      <c r="E45" s="301" t="str">
        <f t="shared" si="16"/>
        <v>Chưa bắt đầu</v>
      </c>
      <c r="F45" s="317">
        <f t="shared" si="17"/>
        <v>0</v>
      </c>
      <c r="G45" s="323">
        <f t="shared" si="18"/>
        <v>46300</v>
      </c>
      <c r="H45" s="327">
        <f t="shared" si="19"/>
        <v>9</v>
      </c>
      <c r="I45" s="327">
        <f t="shared" si="20"/>
        <v>16</v>
      </c>
      <c r="J45" s="301" t="str">
        <f t="shared" si="21"/>
        <v>🟢 Theo kế hoạch</v>
      </c>
      <c r="K45" s="301" t="str">
        <f t="shared" si="22"/>
        <v>Quá tải – tổng 15.2/8.0 giờ/ngày</v>
      </c>
      <c r="L45" s="344" t="str">
        <f t="array" ref="L45">IF($T45="","",LET(m,MATCH($T45,$AS$24:$AS$700,0),lvl,INDEX($W$24:$W$700,m),id,INDEX($X$24:$X$700,m),SWITCH(lvl,3,"Lớp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công!A29</v>
      </c>
      <c r="M45" s="351">
        <f t="shared" si="23"/>
        <v>0.8</v>
      </c>
      <c r="N45" s="356" t="str">
        <f t="shared" si="24"/>
        <v>Thiếu 4.9 giờ/tuần</v>
      </c>
      <c r="O45" s="358"/>
      <c r="P45" s="360"/>
      <c r="Q45" s="360"/>
      <c r="R45" s="67"/>
      <c r="S45" s="67"/>
      <c r="T45" s="67" t="str">
        <f>IFERROR(__xludf.DUMMYFUNCTION("""COMPUTED_VALUE"""),"03.04.01")</f>
        <v>03.04.01</v>
      </c>
      <c r="U45" s="67" t="str">
        <f>IF('Lớp 3 - Công việc chính'!I35="","",'Lớp 3 - Công việc chính'!I35)</f>
        <v>HHL3DL07</v>
      </c>
      <c r="V45" s="389" t="str">
        <f>IF('Lớp 3 - Công việc chính'!I35="","","◆ "&amp;'Lớp 3 - Công việc chính'!M35)</f>
        <v>◆ Truy xuất &amp; xử lý DL phát sinh theo yêu cầu </v>
      </c>
      <c r="W45" s="389">
        <f>IF('Lớp 3 - Công việc chính'!I35="","",3)</f>
        <v>3</v>
      </c>
      <c r="X45" s="67" t="str">
        <f>'Lớp 3 - Công việc chính'!I35</f>
        <v>HHL3DL07</v>
      </c>
      <c r="Y45" s="389" t="str">
        <f t="shared" si="26"/>
        <v/>
      </c>
      <c r="Z45" s="67" t="str">
        <f>'Lớp 3 - Công việc chính'!V35</f>
        <v>Em Đại</v>
      </c>
      <c r="AA45" s="67" t="str">
        <f>'Lớp 3 - Công việc chính'!W35</f>
        <v>Dữ liệu điều hành</v>
      </c>
      <c r="AB45" s="67" t="str">
        <f>'Lớp 3 - Công việc chính'!Y35</f>
        <v>P3</v>
      </c>
      <c r="AC45" s="67" t="str">
        <f>'Lớp 3 - Công việc chính'!X35</f>
        <v>Chưa bắt đầu</v>
      </c>
      <c r="AD45" s="398">
        <f>'Lớp 3 - Công việc chính'!AC35</f>
        <v>0</v>
      </c>
      <c r="AE45" s="358" t="str">
        <f>'Lớp 3 - Công việc chính'!AA35</f>
        <v/>
      </c>
      <c r="AF45" s="187" t="str">
        <f>'Lớp 3 - Công việc chính'!AD35</f>
        <v/>
      </c>
      <c r="AG45" s="104">
        <f>'Lớp 3 - Công việc chính'!AE35</f>
        <v>120</v>
      </c>
      <c r="AH45" s="389">
        <f t="shared" si="27"/>
        <v>120</v>
      </c>
      <c r="AI45" s="389" t="str">
        <f t="shared" si="37"/>
        <v>🔵 Chưa có hạn</v>
      </c>
      <c r="AJ45" s="67" t="str">
        <f>'Lớp 3 - Công việc chính'!AH35</f>
        <v>Thiếu tham số phân bổ</v>
      </c>
      <c r="AL45" s="389" t="str">
        <f t="shared" si="28"/>
        <v/>
      </c>
      <c r="AM45" s="389" t="str">
        <f t="shared" si="29"/>
        <v/>
      </c>
      <c r="AN45" s="389" t="str">
        <f t="shared" si="30"/>
        <v/>
      </c>
      <c r="AS45" s="389" t="str">
        <f t="shared" si="31"/>
        <v>22</v>
      </c>
      <c r="AT45" s="389" t="str">
        <f t="shared" si="32"/>
        <v>Truy xuất &amp; xử lý DL phát sinh theo yêu cầu</v>
      </c>
      <c r="AU45" s="389" t="str">
        <f t="shared" si="33"/>
        <v/>
      </c>
      <c r="AV45" s="389" t="str">
        <f t="shared" si="34"/>
        <v/>
      </c>
      <c r="AW45" s="389" t="str">
        <f t="shared" si="35"/>
        <v/>
      </c>
      <c r="AX45" s="67" t="str">
        <f t="shared" ref="AX45:BH45" si="57">Z45</f>
        <v>Em Đại</v>
      </c>
      <c r="AY45" s="67" t="str">
        <f t="shared" si="57"/>
        <v>Dữ liệu điều hành</v>
      </c>
      <c r="AZ45" s="67" t="str">
        <f t="shared" si="57"/>
        <v>P3</v>
      </c>
      <c r="BA45" s="67" t="str">
        <f t="shared" si="57"/>
        <v>Chưa bắt đầu</v>
      </c>
      <c r="BB45" s="398">
        <f t="shared" si="57"/>
        <v>0</v>
      </c>
      <c r="BC45" s="358" t="str">
        <f t="shared" si="57"/>
        <v/>
      </c>
      <c r="BD45" s="187" t="str">
        <f t="shared" si="57"/>
        <v/>
      </c>
      <c r="BE45" s="104">
        <f t="shared" si="57"/>
        <v>120</v>
      </c>
      <c r="BF45" s="389">
        <f t="shared" si="57"/>
        <v>120</v>
      </c>
      <c r="BG45" s="389" t="str">
        <f t="shared" si="57"/>
        <v>🔵 Chưa có hạn</v>
      </c>
      <c r="BH45" s="67" t="str">
        <f t="shared" si="57"/>
        <v>Thiếu tham số phân bổ</v>
      </c>
      <c r="BI45" s="389" t="str">
        <f t="array" ref="BI45">IF($X45="","",SWITCH($W45,3,IFERROR(INDEX('Lớp 3 - Công việc chính'!$AF$14:$AF$73,MATCH($X45,'Lớp 3 - Công việc chính'!$I$14:$I$73,0)),""),4,IFERROR(INDEX('Lớp 4 - Danh mục'!$AI$14:$AI$132,MATCH($X45,'Lớp 4 - Danh mục'!$I$14:$I$132,0)),""),5,IFERROR(INDEX('Lớp 5 - Phân công'!$AJ$14:$AJ$262,MATCH($X45,'Lớp 5 - Phân công'!$I$14:$I$262,0)),""),6,IFERROR(INDEX('Lớp 6 - Chi tiết'!$AM$14:$AM$267,MATCH($X45,'Lớp 6 - Chi tiết'!$I$14:$I$267,0)),""),""))</f>
        <v/>
      </c>
      <c r="BJ45" s="389" t="str">
        <f t="array" ref="BJ45">IF($X45="","",SWITCH($W45,3,IFERROR(INDEX('Lớp 3 - Công việc chính'!$AR$14:$AR$73,MATCH($X45,'Lớp 3 - Công việc chính'!$I$14:$I$73,0)),""),4,IFERROR(INDEX('Lớp 4 - Danh mục'!$AU$14:$AU$132,MATCH($X45,'Lớp 4 - Danh mục'!$I$14:$I$132,0)),""),5,IFERROR(INDEX('Lớp 5 - Phân công'!$AV$14:$AV$262,MATCH($X45,'Lớp 5 - Phân công'!$I$14:$I$262,0)),""),6,IFERROR(INDEX('Lớp 6 - Chi tiết'!$AY$14:$AY$267,MATCH($X45,'Lớp 6 - Chi tiết'!$I$14:$I$267,0)),""),""))</f>
        <v>Thiếu tham số phân bổ</v>
      </c>
    </row>
    <row r="46" ht="15.75" customHeight="1">
      <c r="A46" s="294" t="str">
        <f t="shared" si="12"/>
        <v>        ├── ▒ L5  03.04.02  Phản biện với TGĐ &amp; liên PB Online</v>
      </c>
      <c r="B46" s="301" t="str">
        <f t="shared" si="13"/>
        <v>Em Đại</v>
      </c>
      <c r="C46" s="301" t="str">
        <f t="shared" si="14"/>
        <v>Dữ liệu điều hành</v>
      </c>
      <c r="D46" s="301" t="str">
        <f t="shared" si="15"/>
        <v>P2</v>
      </c>
      <c r="E46" s="301" t="str">
        <f t="shared" si="16"/>
        <v>Chưa bắt đầu</v>
      </c>
      <c r="F46" s="317">
        <f t="shared" si="17"/>
        <v>0</v>
      </c>
      <c r="G46" s="323">
        <f t="shared" si="18"/>
        <v>46310</v>
      </c>
      <c r="H46" s="327">
        <f t="shared" si="19"/>
        <v>9</v>
      </c>
      <c r="I46" s="327">
        <f t="shared" si="20"/>
        <v>8</v>
      </c>
      <c r="J46" s="301" t="str">
        <f t="shared" si="21"/>
        <v>🟢 Theo kế hoạch</v>
      </c>
      <c r="K46" s="301" t="str">
        <f t="shared" si="22"/>
        <v>Quá tải – tổng 20.0/8.0 giờ/ngày</v>
      </c>
      <c r="L46" s="344" t="str">
        <f t="array" ref="L46">IF($T46="","",LET(m,MATCH($T46,$AS$24:$AS$700,0),lvl,INDEX($W$24:$W$700,m),id,INDEX($X$24:$X$700,m),SWITCH(lvl,3,"Lớp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công!A30</v>
      </c>
      <c r="M46" s="351">
        <f t="shared" si="23"/>
        <v>0.8</v>
      </c>
      <c r="N46" s="356" t="str">
        <f t="shared" si="24"/>
        <v>Thiếu 0.4 giờ/tuần</v>
      </c>
      <c r="O46" s="358"/>
      <c r="P46" s="360"/>
      <c r="Q46" s="360"/>
      <c r="R46" s="67"/>
      <c r="S46" s="67"/>
      <c r="T46" s="67" t="str">
        <f>IFERROR(__xludf.DUMMYFUNCTION("""COMPUTED_VALUE"""),"03.04.02")</f>
        <v>03.04.02</v>
      </c>
      <c r="U46" s="67" t="str">
        <f>IF('Lớp 3 - Công việc chính'!I36="","",'Lớp 3 - Công việc chính'!I36)</f>
        <v>HHL3DL08</v>
      </c>
      <c r="V46" s="389" t="str">
        <f>IF('Lớp 3 - Công việc chính'!I36="","","◆ "&amp;'Lớp 3 - Công việc chính'!M36)</f>
        <v>◆ XDHT xếp hàng lên container phục vụ XK</v>
      </c>
      <c r="W46" s="389">
        <f>IF('Lớp 3 - Công việc chính'!I36="","",3)</f>
        <v>3</v>
      </c>
      <c r="X46" s="67" t="str">
        <f>'Lớp 3 - Công việc chính'!I36</f>
        <v>HHL3DL08</v>
      </c>
      <c r="Y46" s="389" t="str">
        <f t="shared" si="26"/>
        <v/>
      </c>
      <c r="Z46" s="67" t="str">
        <f>'Lớp 3 - Công việc chính'!V36</f>
        <v>Em Đại</v>
      </c>
      <c r="AA46" s="67" t="str">
        <f>'Lớp 3 - Công việc chính'!W36</f>
        <v>Dữ liệu điều hành</v>
      </c>
      <c r="AB46" s="67" t="str">
        <f>'Lớp 3 - Công việc chính'!Y36</f>
        <v>P3</v>
      </c>
      <c r="AC46" s="67" t="str">
        <f>'Lớp 3 - Công việc chính'!X36</f>
        <v>Chưa bắt đầu</v>
      </c>
      <c r="AD46" s="398">
        <f>'Lớp 3 - Công việc chính'!AC36</f>
        <v>0</v>
      </c>
      <c r="AE46" s="358">
        <f>'Lớp 3 - Công việc chính'!AA36</f>
        <v>46264</v>
      </c>
      <c r="AF46" s="187">
        <f>'Lớp 3 - Công việc chính'!AD36</f>
        <v>16</v>
      </c>
      <c r="AG46" s="104">
        <f>'Lớp 3 - Công việc chính'!AE36</f>
        <v>120</v>
      </c>
      <c r="AH46" s="389">
        <f t="shared" si="27"/>
        <v>120</v>
      </c>
      <c r="AI46" s="389" t="str">
        <f t="shared" si="37"/>
        <v>🟢 Theo kế hoạch</v>
      </c>
      <c r="AJ46" s="67" t="str">
        <f>'Lớp 3 - Công việc chính'!AH36</f>
        <v>Theo dõi tải tại Lớp 4</v>
      </c>
      <c r="AL46" s="389" t="str">
        <f t="shared" si="28"/>
        <v/>
      </c>
      <c r="AM46" s="389" t="str">
        <f t="shared" si="29"/>
        <v/>
      </c>
      <c r="AN46" s="389" t="str">
        <f t="shared" si="30"/>
        <v/>
      </c>
      <c r="AS46" s="389" t="str">
        <f t="shared" si="31"/>
        <v>23</v>
      </c>
      <c r="AT46" s="389" t="str">
        <f t="shared" si="32"/>
        <v>XDHT xếp hàng lên container phục vụ XK</v>
      </c>
      <c r="AU46" s="389" t="str">
        <f t="shared" si="33"/>
        <v/>
      </c>
      <c r="AV46" s="389" t="str">
        <f t="shared" si="34"/>
        <v/>
      </c>
      <c r="AW46" s="389" t="str">
        <f t="shared" si="35"/>
        <v/>
      </c>
      <c r="AX46" s="67" t="str">
        <f t="shared" ref="AX46:BH46" si="58">Z46</f>
        <v>Em Đại</v>
      </c>
      <c r="AY46" s="67" t="str">
        <f t="shared" si="58"/>
        <v>Dữ liệu điều hành</v>
      </c>
      <c r="AZ46" s="67" t="str">
        <f t="shared" si="58"/>
        <v>P3</v>
      </c>
      <c r="BA46" s="67" t="str">
        <f t="shared" si="58"/>
        <v>Chưa bắt đầu</v>
      </c>
      <c r="BB46" s="398">
        <f t="shared" si="58"/>
        <v>0</v>
      </c>
      <c r="BC46" s="358">
        <f t="shared" si="58"/>
        <v>46264</v>
      </c>
      <c r="BD46" s="187">
        <f t="shared" si="58"/>
        <v>16</v>
      </c>
      <c r="BE46" s="104">
        <f t="shared" si="58"/>
        <v>120</v>
      </c>
      <c r="BF46" s="389">
        <f t="shared" si="58"/>
        <v>120</v>
      </c>
      <c r="BG46" s="389" t="str">
        <f t="shared" si="58"/>
        <v>🟢 Theo kế hoạch</v>
      </c>
      <c r="BH46" s="67" t="str">
        <f t="shared" si="58"/>
        <v>Theo dõi tải tại Lớp 4</v>
      </c>
      <c r="BI46" s="389" t="str">
        <f t="array" ref="BI46">IF($X46="","",SWITCH($W46,3,IFERROR(INDEX('Lớp 3 - Công việc chính'!$AF$14:$AF$73,MATCH($X46,'Lớp 3 - Công việc chính'!$I$14:$I$73,0)),""),4,IFERROR(INDEX('Lớp 4 - Danh mục'!$AI$14:$AI$132,MATCH($X46,'Lớp 4 - Danh mục'!$I$14:$I$132,0)),""),5,IFERROR(INDEX('Lớp 5 - Phân công'!$AJ$14:$AJ$262,MATCH($X46,'Lớp 5 - Phân công'!$I$14:$I$262,0)),""),6,IFERROR(INDEX('Lớp 6 - Chi tiết'!$AM$14:$AM$267,MATCH($X46,'Lớp 6 - Chi tiết'!$I$14:$I$267,0)),""),""))</f>
        <v/>
      </c>
      <c r="BJ46" s="389" t="str">
        <f t="array" ref="BJ46">IF($X46="","",SWITCH($W46,3,IFERROR(INDEX('Lớp 3 - Công việc chính'!$AR$14:$AR$73,MATCH($X46,'Lớp 3 - Công việc chính'!$I$14:$I$73,0)),""),4,IFERROR(INDEX('Lớp 4 - Danh mục'!$AU$14:$AU$132,MATCH($X46,'Lớp 4 - Danh mục'!$I$14:$I$132,0)),""),5,IFERROR(INDEX('Lớp 5 - Phân công'!$AV$14:$AV$262,MATCH($X46,'Lớp 5 - Phân công'!$I$14:$I$262,0)),""),6,IFERROR(INDEX('Lớp 6 - Chi tiết'!$AY$14:$AY$267,MATCH($X46,'Lớp 6 - Chi tiết'!$I$14:$I$267,0)),""),""))</f>
        <v>Theo dõi phân bổ tại Lớp 4</v>
      </c>
    </row>
    <row r="47" ht="15.75" customHeight="1">
      <c r="A47" s="294" t="str">
        <f t="shared" si="12"/>
        <v>        ├── ▒ L5  03.04.03  XD bảng Excel &amp; HT phần mềm (chạy demo) Online</v>
      </c>
      <c r="B47" s="301" t="str">
        <f t="shared" si="13"/>
        <v>Em Đại</v>
      </c>
      <c r="C47" s="301" t="str">
        <f t="shared" si="14"/>
        <v>Dữ liệu điều hành</v>
      </c>
      <c r="D47" s="301" t="str">
        <f t="shared" si="15"/>
        <v>P2</v>
      </c>
      <c r="E47" s="301" t="str">
        <f t="shared" si="16"/>
        <v>Chưa bắt đầu</v>
      </c>
      <c r="F47" s="317">
        <f t="shared" si="17"/>
        <v>0</v>
      </c>
      <c r="G47" s="323">
        <f t="shared" si="18"/>
        <v>46275</v>
      </c>
      <c r="H47" s="327">
        <f t="shared" si="19"/>
        <v>0</v>
      </c>
      <c r="I47" s="327">
        <f t="shared" si="20"/>
        <v>24</v>
      </c>
      <c r="J47" s="301" t="str">
        <f t="shared" si="21"/>
        <v>🟢 Theo kế hoạch</v>
      </c>
      <c r="K47" s="301" t="str">
        <f t="shared" si="22"/>
        <v>Cận tải – tổng 7.2/8.0 giờ/ngày</v>
      </c>
      <c r="L47" s="344" t="str">
        <f t="array" ref="L47">IF($T47="","",LET(m,MATCH($T47,$AS$24:$AS$700,0),lvl,INDEX($W$24:$W$700,m),id,INDEX($X$24:$X$700,m),SWITCH(lvl,3,"Lớp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công!A31</v>
      </c>
      <c r="M47" s="351">
        <f t="shared" si="23"/>
        <v>0.8</v>
      </c>
      <c r="N47" s="356" t="str">
        <f t="shared" si="24"/>
        <v>Thiếu 116.0 giờ/tuần</v>
      </c>
      <c r="O47" s="358"/>
      <c r="P47" s="360"/>
      <c r="Q47" s="360"/>
      <c r="R47" s="67"/>
      <c r="S47" s="67"/>
      <c r="T47" s="67" t="str">
        <f>IFERROR(__xludf.DUMMYFUNCTION("""COMPUTED_VALUE"""),"03.04.03")</f>
        <v>03.04.03</v>
      </c>
      <c r="U47" s="67" t="str">
        <f>IF('Lớp 3 - Công việc chính'!I37="","",'Lớp 3 - Công việc chính'!I37)</f>
        <v>HHL3DL09</v>
      </c>
      <c r="V47" s="389" t="str">
        <f>IF('Lớp 3 - Công việc chính'!I37="","","◆ "&amp;'Lớp 3 - Công việc chính'!M37)</f>
        <v>◆ Các CV hỗ trợ khác (cho LĐ &amp; PB khác)</v>
      </c>
      <c r="W47" s="389">
        <f>IF('Lớp 3 - Công việc chính'!I37="","",3)</f>
        <v>3</v>
      </c>
      <c r="X47" s="67" t="str">
        <f>'Lớp 3 - Công việc chính'!I37</f>
        <v>HHL3DL09</v>
      </c>
      <c r="Y47" s="389" t="str">
        <f t="shared" si="26"/>
        <v/>
      </c>
      <c r="Z47" s="67" t="str">
        <f>'Lớp 3 - Công việc chính'!V37</f>
        <v>Em Đại</v>
      </c>
      <c r="AA47" s="67" t="str">
        <f>'Lớp 3 - Công việc chính'!W37</f>
        <v>Dữ liệu điều hành</v>
      </c>
      <c r="AB47" s="67" t="str">
        <f>'Lớp 3 - Công việc chính'!Y37</f>
        <v>P1</v>
      </c>
      <c r="AC47" s="67" t="str">
        <f>'Lớp 3 - Công việc chính'!X37</f>
        <v>Chưa bắt đầu</v>
      </c>
      <c r="AD47" s="398">
        <f>'Lớp 3 - Công việc chính'!AC37</f>
        <v>0</v>
      </c>
      <c r="AE47" s="358">
        <f>'Lớp 3 - Công việc chính'!AA37</f>
        <v>46280</v>
      </c>
      <c r="AF47" s="187" t="str">
        <f>'Lớp 3 - Công việc chính'!AD37</f>
        <v/>
      </c>
      <c r="AG47" s="104">
        <f>'Lớp 3 - Công việc chính'!AE37</f>
        <v>360</v>
      </c>
      <c r="AH47" s="389">
        <f t="shared" si="27"/>
        <v>360</v>
      </c>
      <c r="AI47" s="389" t="str">
        <f t="shared" si="37"/>
        <v>🟣 P1 trọng yếu</v>
      </c>
      <c r="AJ47" s="67" t="str">
        <f>'Lớp 3 - Công việc chính'!AH37</f>
        <v>Chưa tính tải</v>
      </c>
      <c r="AL47" s="389" t="str">
        <f t="shared" si="28"/>
        <v/>
      </c>
      <c r="AM47" s="389" t="str">
        <f t="shared" si="29"/>
        <v/>
      </c>
      <c r="AN47" s="389" t="str">
        <f t="shared" si="30"/>
        <v/>
      </c>
      <c r="AS47" s="389" t="str">
        <f t="shared" si="31"/>
        <v>24</v>
      </c>
      <c r="AT47" s="389" t="str">
        <f t="shared" si="32"/>
        <v>Các CV hỗ trợ khác (cho LĐ &amp; PB khác)</v>
      </c>
      <c r="AU47" s="389" t="str">
        <f t="shared" si="33"/>
        <v/>
      </c>
      <c r="AV47" s="389" t="str">
        <f t="shared" si="34"/>
        <v/>
      </c>
      <c r="AW47" s="389" t="str">
        <f t="shared" si="35"/>
        <v/>
      </c>
      <c r="AX47" s="67" t="str">
        <f t="shared" ref="AX47:BH47" si="59">Z47</f>
        <v>Em Đại</v>
      </c>
      <c r="AY47" s="67" t="str">
        <f t="shared" si="59"/>
        <v>Dữ liệu điều hành</v>
      </c>
      <c r="AZ47" s="67" t="str">
        <f t="shared" si="59"/>
        <v>P1</v>
      </c>
      <c r="BA47" s="67" t="str">
        <f t="shared" si="59"/>
        <v>Chưa bắt đầu</v>
      </c>
      <c r="BB47" s="398">
        <f t="shared" si="59"/>
        <v>0</v>
      </c>
      <c r="BC47" s="358">
        <f t="shared" si="59"/>
        <v>46280</v>
      </c>
      <c r="BD47" s="187" t="str">
        <f t="shared" si="59"/>
        <v/>
      </c>
      <c r="BE47" s="104">
        <f t="shared" si="59"/>
        <v>360</v>
      </c>
      <c r="BF47" s="389">
        <f t="shared" si="59"/>
        <v>360</v>
      </c>
      <c r="BG47" s="389" t="str">
        <f t="shared" si="59"/>
        <v>🟣 P1 trọng yếu</v>
      </c>
      <c r="BH47" s="67" t="str">
        <f t="shared" si="59"/>
        <v>Chưa tính tải</v>
      </c>
      <c r="BI47" s="389" t="str">
        <f t="array" ref="BI47">IF($X47="","",SWITCH($W47,3,IFERROR(INDEX('Lớp 3 - Công việc chính'!$AF$14:$AF$73,MATCH($X47,'Lớp 3 - Công việc chính'!$I$14:$I$73,0)),""),4,IFERROR(INDEX('Lớp 4 - Danh mục'!$AI$14:$AI$132,MATCH($X47,'Lớp 4 - Danh mục'!$I$14:$I$132,0)),""),5,IFERROR(INDEX('Lớp 5 - Phân công'!$AJ$14:$AJ$262,MATCH($X47,'Lớp 5 - Phân công'!$I$14:$I$262,0)),""),6,IFERROR(INDEX('Lớp 6 - Chi tiết'!$AM$14:$AM$267,MATCH($X47,'Lớp 6 - Chi tiết'!$I$14:$I$267,0)),""),""))</f>
        <v/>
      </c>
      <c r="BJ47" s="389" t="str">
        <f t="array" ref="BJ47">IF($X47="","",SWITCH($W47,3,IFERROR(INDEX('Lớp 3 - Công việc chính'!$AR$14:$AR$73,MATCH($X47,'Lớp 3 - Công việc chính'!$I$14:$I$73,0)),""),4,IFERROR(INDEX('Lớp 4 - Danh mục'!$AU$14:$AU$132,MATCH($X47,'Lớp 4 - Danh mục'!$I$14:$I$132,0)),""),5,IFERROR(INDEX('Lớp 5 - Phân công'!$AV$14:$AV$262,MATCH($X47,'Lớp 5 - Phân công'!$I$14:$I$262,0)),""),6,IFERROR(INDEX('Lớp 6 - Chi tiết'!$AY$14:$AY$267,MATCH($X47,'Lớp 6 - Chi tiết'!$I$14:$I$267,0)),""),""))</f>
        <v>Theo dõi phân bổ tại Lớp 4</v>
      </c>
    </row>
    <row r="48" ht="15.75" customHeight="1">
      <c r="A48" s="294" t="str">
        <f t="shared" si="12"/>
        <v>        ├── ▒ L5  03.04.04  Chạy tham số Topdown Online</v>
      </c>
      <c r="B48" s="301" t="str">
        <f t="shared" si="13"/>
        <v>Em Đại</v>
      </c>
      <c r="C48" s="301" t="str">
        <f t="shared" si="14"/>
        <v>Dữ liệu điều hành</v>
      </c>
      <c r="D48" s="301" t="str">
        <f t="shared" si="15"/>
        <v>P2</v>
      </c>
      <c r="E48" s="301" t="str">
        <f t="shared" si="16"/>
        <v>Đã lên lịch</v>
      </c>
      <c r="F48" s="317" t="str">
        <f t="shared" si="17"/>
        <v/>
      </c>
      <c r="G48" s="323">
        <f t="shared" si="18"/>
        <v>46307</v>
      </c>
      <c r="H48" s="327">
        <f t="shared" si="19"/>
        <v>1</v>
      </c>
      <c r="I48" s="327">
        <f t="shared" si="20"/>
        <v>16</v>
      </c>
      <c r="J48" s="301" t="str">
        <f t="shared" si="21"/>
        <v>🟢 Theo kế hoạch</v>
      </c>
      <c r="K48" s="301" t="str">
        <f t="shared" si="22"/>
        <v>Cận tải – tổng 8.0/8.0 giờ/ngày</v>
      </c>
      <c r="L48" s="344" t="str">
        <f t="array" ref="L48">IF($T48="","",LET(m,MATCH($T48,$AS$24:$AS$700,0),lvl,INDEX($W$24:$W$700,m),id,INDEX($X$24:$X$700,m),SWITCH(lvl,3,"Lớp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công!A32</v>
      </c>
      <c r="M48" s="351">
        <f t="shared" si="23"/>
        <v>0.8</v>
      </c>
      <c r="N48" s="356" t="str">
        <f t="shared" si="24"/>
        <v>Thiếu 76.0 giờ/tuần</v>
      </c>
      <c r="O48" s="358"/>
      <c r="P48" s="360"/>
      <c r="Q48" s="360"/>
      <c r="R48" s="67"/>
      <c r="S48" s="67"/>
      <c r="T48" s="67" t="str">
        <f>IFERROR(__xludf.DUMMYFUNCTION("""COMPUTED_VALUE"""),"03.04.04")</f>
        <v>03.04.04</v>
      </c>
      <c r="U48" s="67" t="str">
        <f>IF('Lớp 3 - Công việc chính'!I38="","",'Lớp 3 - Công việc chính'!I38)</f>
        <v>HHL3DL10</v>
      </c>
      <c r="V48" s="389" t="str">
        <f>IF('Lớp 3 - Công việc chính'!I38="","","◆ "&amp;'Lớp 3 - Công việc chính'!M38)</f>
        <v>◆ Xây dựng hệ thống kiểm soát chiết khấu</v>
      </c>
      <c r="W48" s="389">
        <f>IF('Lớp 3 - Công việc chính'!I38="","",3)</f>
        <v>3</v>
      </c>
      <c r="X48" s="67" t="str">
        <f>'Lớp 3 - Công việc chính'!I38</f>
        <v>HHL3DL10</v>
      </c>
      <c r="Y48" s="389" t="str">
        <f t="shared" si="26"/>
        <v/>
      </c>
      <c r="Z48" s="67" t="str">
        <f>'Lớp 3 - Công việc chính'!V38</f>
        <v>Em Đại</v>
      </c>
      <c r="AA48" s="67" t="str">
        <f>'Lớp 3 - Công việc chính'!W38</f>
        <v>Dữ liệu điều hành</v>
      </c>
      <c r="AB48" s="67" t="str">
        <f>'Lớp 3 - Công việc chính'!Y38</f>
        <v>P3</v>
      </c>
      <c r="AC48" s="67" t="str">
        <f>'Lớp 3 - Công việc chính'!X38</f>
        <v>Đã lên lịch</v>
      </c>
      <c r="AD48" s="398" t="str">
        <f>'Lớp 3 - Công việc chính'!AC38</f>
        <v/>
      </c>
      <c r="AE48" s="358">
        <f>'Lớp 3 - Công việc chính'!AA38</f>
        <v>46420</v>
      </c>
      <c r="AF48" s="187">
        <f>'Lớp 3 - Công việc chính'!AD38</f>
        <v>55</v>
      </c>
      <c r="AG48" s="104" t="str">
        <f>'Lớp 3 - Công việc chính'!AE38</f>
        <v/>
      </c>
      <c r="AH48" s="389" t="str">
        <f t="shared" si="27"/>
        <v/>
      </c>
      <c r="AI48" s="389" t="str">
        <f t="shared" si="37"/>
        <v>🟢 Theo kế hoạch</v>
      </c>
      <c r="AJ48" s="67" t="str">
        <f>'Lớp 3 - Công việc chính'!AH38</f>
        <v>Chưa nhập khối lượng</v>
      </c>
      <c r="AL48" s="389" t="str">
        <f t="shared" si="28"/>
        <v/>
      </c>
      <c r="AM48" s="389" t="str">
        <f t="shared" si="29"/>
        <v/>
      </c>
      <c r="AN48" s="389" t="str">
        <f t="shared" si="30"/>
        <v/>
      </c>
      <c r="AS48" s="389" t="str">
        <f t="shared" si="31"/>
        <v>25</v>
      </c>
      <c r="AT48" s="389" t="str">
        <f t="shared" si="32"/>
        <v>Xây dựng hệ thống kiểm soát chiết khấu</v>
      </c>
      <c r="AU48" s="389" t="str">
        <f t="shared" si="33"/>
        <v/>
      </c>
      <c r="AV48" s="389" t="str">
        <f t="shared" si="34"/>
        <v/>
      </c>
      <c r="AW48" s="389" t="str">
        <f t="shared" si="35"/>
        <v/>
      </c>
      <c r="AX48" s="67" t="str">
        <f t="shared" ref="AX48:BH48" si="60">Z48</f>
        <v>Em Đại</v>
      </c>
      <c r="AY48" s="67" t="str">
        <f t="shared" si="60"/>
        <v>Dữ liệu điều hành</v>
      </c>
      <c r="AZ48" s="67" t="str">
        <f t="shared" si="60"/>
        <v>P3</v>
      </c>
      <c r="BA48" s="67" t="str">
        <f t="shared" si="60"/>
        <v>Đã lên lịch</v>
      </c>
      <c r="BB48" s="398" t="str">
        <f t="shared" si="60"/>
        <v/>
      </c>
      <c r="BC48" s="358">
        <f t="shared" si="60"/>
        <v>46420</v>
      </c>
      <c r="BD48" s="187">
        <f t="shared" si="60"/>
        <v>55</v>
      </c>
      <c r="BE48" s="104" t="str">
        <f t="shared" si="60"/>
        <v/>
      </c>
      <c r="BF48" s="389" t="str">
        <f t="shared" si="60"/>
        <v/>
      </c>
      <c r="BG48" s="389" t="str">
        <f t="shared" si="60"/>
        <v>🟢 Theo kế hoạch</v>
      </c>
      <c r="BH48" s="67" t="str">
        <f t="shared" si="60"/>
        <v>Chưa nhập khối lượng</v>
      </c>
      <c r="BI48" s="389" t="str">
        <f t="array" ref="BI48">IF($X48="","",SWITCH($W48,3,IFERROR(INDEX('Lớp 3 - Công việc chính'!$AF$14:$AF$73,MATCH($X48,'Lớp 3 - Công việc chính'!$I$14:$I$73,0)),""),4,IFERROR(INDEX('Lớp 4 - Danh mục'!$AI$14:$AI$132,MATCH($X48,'Lớp 4 - Danh mục'!$I$14:$I$132,0)),""),5,IFERROR(INDEX('Lớp 5 - Phân công'!$AJ$14:$AJ$262,MATCH($X48,'Lớp 5 - Phân công'!$I$14:$I$262,0)),""),6,IFERROR(INDEX('Lớp 6 - Chi tiết'!$AM$14:$AM$267,MATCH($X48,'Lớp 6 - Chi tiết'!$I$14:$I$267,0)),""),""))</f>
        <v/>
      </c>
      <c r="BJ48" s="389" t="str">
        <f t="array" ref="BJ48">IF($X48="","",SWITCH($W48,3,IFERROR(INDEX('Lớp 3 - Công việc chính'!$AR$14:$AR$73,MATCH($X48,'Lớp 3 - Công việc chính'!$I$14:$I$73,0)),""),4,IFERROR(INDEX('Lớp 4 - Danh mục'!$AU$14:$AU$132,MATCH($X48,'Lớp 4 - Danh mục'!$I$14:$I$132,0)),""),5,IFERROR(INDEX('Lớp 5 - Phân công'!$AV$14:$AV$262,MATCH($X48,'Lớp 5 - Phân công'!$I$14:$I$262,0)),""),6,IFERROR(INDEX('Lớp 6 - Chi tiết'!$AY$14:$AY$267,MATCH($X48,'Lớp 6 - Chi tiết'!$I$14:$I$267,0)),""),""))</f>
        <v>Thiếu tổng giờ</v>
      </c>
    </row>
    <row r="49" ht="15.75" customHeight="1">
      <c r="A49" s="294" t="str">
        <f t="shared" si="12"/>
        <v>        ├── ▒ L5  03.04.05  Chạy tham số Bottom-up theo khu vực vùng miền Online</v>
      </c>
      <c r="B49" s="301" t="str">
        <f t="shared" si="13"/>
        <v>Em Đại</v>
      </c>
      <c r="C49" s="301" t="str">
        <f t="shared" si="14"/>
        <v>Dữ liệu điều hành</v>
      </c>
      <c r="D49" s="301" t="str">
        <f t="shared" si="15"/>
        <v>P2</v>
      </c>
      <c r="E49" s="301" t="str">
        <f t="shared" si="16"/>
        <v>Đã lên lịch</v>
      </c>
      <c r="F49" s="317" t="str">
        <f t="shared" si="17"/>
        <v/>
      </c>
      <c r="G49" s="323">
        <f t="shared" si="18"/>
        <v>46320</v>
      </c>
      <c r="H49" s="327">
        <f t="shared" si="19"/>
        <v>11</v>
      </c>
      <c r="I49" s="327">
        <f t="shared" si="20"/>
        <v>16</v>
      </c>
      <c r="J49" s="301" t="str">
        <f t="shared" si="21"/>
        <v>🟢 Theo kế hoạch</v>
      </c>
      <c r="K49" s="301" t="str">
        <f t="shared" si="22"/>
        <v>Quá tải – tổng 10.4/8.0 giờ/ngày</v>
      </c>
      <c r="L49" s="344" t="str">
        <f t="array" ref="L49">IF($T49="","",LET(m,MATCH($T49,$AS$24:$AS$700,0),lvl,INDEX($W$24:$W$700,m),id,INDEX($X$24:$X$700,m),SWITCH(lvl,3,"Lớp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công!A33</v>
      </c>
      <c r="M49" s="351">
        <f t="shared" si="23"/>
        <v>0.8</v>
      </c>
      <c r="N49" s="356" t="str">
        <f t="shared" si="24"/>
        <v>Thiếu 3.3 giờ/tuần</v>
      </c>
      <c r="O49" s="358"/>
      <c r="P49" s="360"/>
      <c r="Q49" s="360"/>
      <c r="R49" s="67"/>
      <c r="S49" s="67"/>
      <c r="T49" s="67" t="str">
        <f>IFERROR(__xludf.DUMMYFUNCTION("""COMPUTED_VALUE"""),"03.04.05")</f>
        <v>03.04.05</v>
      </c>
      <c r="U49" s="67" t="str">
        <f>IF('Lớp 3 - Công việc chính'!I39="","",'Lớp 3 - Công việc chính'!I39)</f>
        <v>HHL3DL11</v>
      </c>
      <c r="V49" s="389" t="str">
        <f>IF('Lớp 3 - Công việc chính'!I39="","","◆ "&amp;'Lớp 3 - Công việc chính'!M39)</f>
        <v>◆ Xây dựng hệ thống tính giá &amp; Báo giá xuất khẩu</v>
      </c>
      <c r="W49" s="389">
        <f>IF('Lớp 3 - Công việc chính'!I39="","",3)</f>
        <v>3</v>
      </c>
      <c r="X49" s="67" t="str">
        <f>'Lớp 3 - Công việc chính'!I39</f>
        <v>HHL3DL11</v>
      </c>
      <c r="Y49" s="389" t="str">
        <f t="shared" si="26"/>
        <v/>
      </c>
      <c r="Z49" s="67" t="str">
        <f>'Lớp 3 - Công việc chính'!V39</f>
        <v>Em Đại</v>
      </c>
      <c r="AA49" s="67" t="str">
        <f>'Lớp 3 - Công việc chính'!W39</f>
        <v>Dữ liệu điều hành</v>
      </c>
      <c r="AB49" s="67" t="str">
        <f>'Lớp 3 - Công việc chính'!Y39</f>
        <v/>
      </c>
      <c r="AC49" s="67" t="str">
        <f>'Lớp 3 - Công việc chính'!X39</f>
        <v>Đã lên lịch</v>
      </c>
      <c r="AD49" s="398" t="str">
        <f>'Lớp 3 - Công việc chính'!AC39</f>
        <v/>
      </c>
      <c r="AE49" s="358">
        <f>'Lớp 3 - Công việc chính'!AA39</f>
        <v>46388</v>
      </c>
      <c r="AF49" s="187">
        <f>'Lớp 3 - Công việc chính'!AD39</f>
        <v>28</v>
      </c>
      <c r="AG49" s="104" t="str">
        <f>'Lớp 3 - Công việc chính'!AE39</f>
        <v/>
      </c>
      <c r="AH49" s="389" t="str">
        <f t="shared" si="27"/>
        <v/>
      </c>
      <c r="AI49" s="389" t="str">
        <f t="shared" si="37"/>
        <v>🟢 Theo kế hoạch</v>
      </c>
      <c r="AJ49" s="67" t="str">
        <f>'Lớp 3 - Công việc chính'!AH39</f>
        <v>Chưa nhập khối lượng</v>
      </c>
      <c r="AL49" s="389" t="str">
        <f t="shared" si="28"/>
        <v/>
      </c>
      <c r="AM49" s="389" t="str">
        <f t="shared" si="29"/>
        <v/>
      </c>
      <c r="AN49" s="389" t="str">
        <f t="shared" si="30"/>
        <v/>
      </c>
      <c r="AS49" s="389" t="str">
        <f t="shared" si="31"/>
        <v>26</v>
      </c>
      <c r="AT49" s="389" t="str">
        <f t="shared" si="32"/>
        <v>Xây dựng hệ thống tính giá &amp; Báo giá xuất khẩu</v>
      </c>
      <c r="AU49" s="389" t="str">
        <f t="shared" si="33"/>
        <v/>
      </c>
      <c r="AV49" s="389" t="str">
        <f t="shared" si="34"/>
        <v/>
      </c>
      <c r="AW49" s="389" t="str">
        <f t="shared" si="35"/>
        <v/>
      </c>
      <c r="AX49" s="67" t="str">
        <f t="shared" ref="AX49:BH49" si="61">Z49</f>
        <v>Em Đại</v>
      </c>
      <c r="AY49" s="67" t="str">
        <f t="shared" si="61"/>
        <v>Dữ liệu điều hành</v>
      </c>
      <c r="AZ49" s="67" t="str">
        <f t="shared" si="61"/>
        <v/>
      </c>
      <c r="BA49" s="67" t="str">
        <f t="shared" si="61"/>
        <v>Đã lên lịch</v>
      </c>
      <c r="BB49" s="398" t="str">
        <f t="shared" si="61"/>
        <v/>
      </c>
      <c r="BC49" s="358">
        <f t="shared" si="61"/>
        <v>46388</v>
      </c>
      <c r="BD49" s="187">
        <f t="shared" si="61"/>
        <v>28</v>
      </c>
      <c r="BE49" s="104" t="str">
        <f t="shared" si="61"/>
        <v/>
      </c>
      <c r="BF49" s="389" t="str">
        <f t="shared" si="61"/>
        <v/>
      </c>
      <c r="BG49" s="389" t="str">
        <f t="shared" si="61"/>
        <v>🟢 Theo kế hoạch</v>
      </c>
      <c r="BH49" s="67" t="str">
        <f t="shared" si="61"/>
        <v>Chưa nhập khối lượng</v>
      </c>
      <c r="BI49" s="389" t="str">
        <f t="array" ref="BI49">IF($X49="","",SWITCH($W49,3,IFERROR(INDEX('Lớp 3 - Công việc chính'!$AF$14:$AF$73,MATCH($X49,'Lớp 3 - Công việc chính'!$I$14:$I$73,0)),""),4,IFERROR(INDEX('Lớp 4 - Danh mục'!$AI$14:$AI$132,MATCH($X49,'Lớp 4 - Danh mục'!$I$14:$I$132,0)),""),5,IFERROR(INDEX('Lớp 5 - Phân công'!$AJ$14:$AJ$262,MATCH($X49,'Lớp 5 - Phân công'!$I$14:$I$262,0)),""),6,IFERROR(INDEX('Lớp 6 - Chi tiết'!$AM$14:$AM$267,MATCH($X49,'Lớp 6 - Chi tiết'!$I$14:$I$267,0)),""),""))</f>
        <v/>
      </c>
      <c r="BJ49" s="389" t="str">
        <f t="array" ref="BJ49">IF($X49="","",SWITCH($W49,3,IFERROR(INDEX('Lớp 3 - Công việc chính'!$AR$14:$AR$73,MATCH($X49,'Lớp 3 - Công việc chính'!$I$14:$I$73,0)),""),4,IFERROR(INDEX('Lớp 4 - Danh mục'!$AU$14:$AU$132,MATCH($X49,'Lớp 4 - Danh mục'!$I$14:$I$132,0)),""),5,IFERROR(INDEX('Lớp 5 - Phân công'!$AV$14:$AV$262,MATCH($X49,'Lớp 5 - Phân công'!$I$14:$I$262,0)),""),6,IFERROR(INDEX('Lớp 6 - Chi tiết'!$AY$14:$AY$267,MATCH($X49,'Lớp 6 - Chi tiết'!$I$14:$I$267,0)),""),""))</f>
        <v>Thiếu tổng giờ</v>
      </c>
    </row>
    <row r="50" ht="15.75" customHeight="1">
      <c r="A50" s="294" t="str">
        <f t="shared" si="12"/>
        <v>    ├─ ▓ L4  03.05  Xây dựng công thức &amp; tạo HT tham số cho KH XK</v>
      </c>
      <c r="B50" s="301" t="str">
        <f t="shared" si="13"/>
        <v>Em Đại</v>
      </c>
      <c r="C50" s="301" t="str">
        <f t="shared" si="14"/>
        <v>Dữ liệu điều hành</v>
      </c>
      <c r="D50" s="301" t="str">
        <f t="shared" si="15"/>
        <v>P1</v>
      </c>
      <c r="E50" s="301" t="str">
        <f t="shared" si="16"/>
        <v>Chưa bắt đầu</v>
      </c>
      <c r="F50" s="317">
        <f t="shared" si="17"/>
        <v>0</v>
      </c>
      <c r="G50" s="323">
        <f t="shared" si="18"/>
        <v>46320</v>
      </c>
      <c r="H50" s="327">
        <f t="shared" si="19"/>
        <v>62</v>
      </c>
      <c r="I50" s="327">
        <f t="shared" si="20"/>
        <v>80</v>
      </c>
      <c r="J50" s="301" t="str">
        <f t="shared" si="21"/>
        <v>🟣 P1 trọng yếu</v>
      </c>
      <c r="K50" s="301" t="str">
        <f t="shared" si="22"/>
        <v>Theo dõi tải tại Lớp 5</v>
      </c>
      <c r="L50" s="344" t="str">
        <f t="array" ref="L50">IF($T50="","",LET(m,MATCH($T50,$AS$24:$AS$700,0),lvl,INDEX($W$24:$W$700,m),id,INDEX($X$24:$X$700,m),SWITCH(lvl,3,"Lớp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mục!A18</v>
      </c>
      <c r="M50" s="351" t="str">
        <f t="shared" si="23"/>
        <v/>
      </c>
      <c r="N50" s="356" t="str">
        <f t="shared" si="24"/>
        <v>Theo dõi phân bổ tại Lớp 5</v>
      </c>
      <c r="O50" s="358"/>
      <c r="P50" s="360"/>
      <c r="Q50" s="360"/>
      <c r="R50" s="67"/>
      <c r="S50" s="67"/>
      <c r="T50" s="67" t="str">
        <f>IFERROR(__xludf.DUMMYFUNCTION("""COMPUTED_VALUE"""),"03.05")</f>
        <v>03.05</v>
      </c>
      <c r="U50" s="67" t="str">
        <f>IF('Lớp 3 - Công việc chính'!I40="","",'Lớp 3 - Công việc chính'!I40)</f>
        <v>HHL3DL12</v>
      </c>
      <c r="V50" s="389" t="str">
        <f>IF('Lớp 3 - Công việc chính'!I40="","","◆ "&amp;'Lớp 3 - Công việc chính'!M40)</f>
        <v>◆ CĐS &amp; AI các hoạt động của BOC</v>
      </c>
      <c r="W50" s="389">
        <f>IF('Lớp 3 - Công việc chính'!I40="","",3)</f>
        <v>3</v>
      </c>
      <c r="X50" s="67" t="str">
        <f>'Lớp 3 - Công việc chính'!I40</f>
        <v>HHL3DL12</v>
      </c>
      <c r="Y50" s="389" t="str">
        <f t="shared" si="26"/>
        <v/>
      </c>
      <c r="Z50" s="67" t="str">
        <f>'Lớp 3 - Công việc chính'!V40</f>
        <v>Em Đại</v>
      </c>
      <c r="AA50" s="67" t="str">
        <f>'Lớp 3 - Công việc chính'!W40</f>
        <v>Dữ liệu điều hành</v>
      </c>
      <c r="AB50" s="67" t="str">
        <f>'Lớp 3 - Công việc chính'!Y40</f>
        <v/>
      </c>
      <c r="AC50" s="67" t="str">
        <f>'Lớp 3 - Công việc chính'!X40</f>
        <v>Chưa lên lịch</v>
      </c>
      <c r="AD50" s="398" t="str">
        <f>'Lớp 3 - Công việc chính'!AC40</f>
        <v/>
      </c>
      <c r="AE50" s="358" t="str">
        <f>'Lớp 3 - Công việc chính'!AA40</f>
        <v/>
      </c>
      <c r="AF50" s="187" t="str">
        <f>'Lớp 3 - Công việc chính'!AD40</f>
        <v/>
      </c>
      <c r="AG50" s="104" t="str">
        <f>'Lớp 3 - Công việc chính'!AE40</f>
        <v/>
      </c>
      <c r="AH50" s="389" t="str">
        <f t="shared" si="27"/>
        <v/>
      </c>
      <c r="AI50" s="389" t="str">
        <f t="shared" si="37"/>
        <v>🔵 Chưa có hạn</v>
      </c>
      <c r="AJ50" s="67" t="str">
        <f>'Lớp 3 - Công việc chính'!AH40</f>
        <v>Theo dõi tải tại Lớp 4</v>
      </c>
      <c r="AL50" s="389" t="str">
        <f t="shared" si="28"/>
        <v/>
      </c>
      <c r="AM50" s="389" t="str">
        <f t="shared" si="29"/>
        <v/>
      </c>
      <c r="AN50" s="389" t="str">
        <f t="shared" si="30"/>
        <v/>
      </c>
      <c r="AS50" s="389" t="str">
        <f t="shared" si="31"/>
        <v>27</v>
      </c>
      <c r="AT50" s="389" t="str">
        <f t="shared" si="32"/>
        <v>CĐS &amp; AI các hoạt động của BOC</v>
      </c>
      <c r="AU50" s="389" t="str">
        <f t="shared" si="33"/>
        <v/>
      </c>
      <c r="AV50" s="389" t="str">
        <f t="shared" si="34"/>
        <v/>
      </c>
      <c r="AW50" s="389" t="str">
        <f t="shared" si="35"/>
        <v/>
      </c>
      <c r="AX50" s="67" t="str">
        <f t="shared" ref="AX50:BH50" si="62">Z50</f>
        <v>Em Đại</v>
      </c>
      <c r="AY50" s="67" t="str">
        <f t="shared" si="62"/>
        <v>Dữ liệu điều hành</v>
      </c>
      <c r="AZ50" s="67" t="str">
        <f t="shared" si="62"/>
        <v/>
      </c>
      <c r="BA50" s="67" t="str">
        <f t="shared" si="62"/>
        <v>Chưa lên lịch</v>
      </c>
      <c r="BB50" s="398" t="str">
        <f t="shared" si="62"/>
        <v/>
      </c>
      <c r="BC50" s="358" t="str">
        <f t="shared" si="62"/>
        <v/>
      </c>
      <c r="BD50" s="187" t="str">
        <f t="shared" si="62"/>
        <v/>
      </c>
      <c r="BE50" s="104" t="str">
        <f t="shared" si="62"/>
        <v/>
      </c>
      <c r="BF50" s="389" t="str">
        <f t="shared" si="62"/>
        <v/>
      </c>
      <c r="BG50" s="389" t="str">
        <f t="shared" si="62"/>
        <v>🔵 Chưa có hạn</v>
      </c>
      <c r="BH50" s="67" t="str">
        <f t="shared" si="62"/>
        <v>Theo dõi tải tại Lớp 4</v>
      </c>
      <c r="BI50" s="389" t="str">
        <f t="array" ref="BI50">IF($X50="","",SWITCH($W50,3,IFERROR(INDEX('Lớp 3 - Công việc chính'!$AF$14:$AF$73,MATCH($X50,'Lớp 3 - Công việc chính'!$I$14:$I$73,0)),""),4,IFERROR(INDEX('Lớp 4 - Danh mục'!$AI$14:$AI$132,MATCH($X50,'Lớp 4 - Danh mục'!$I$14:$I$132,0)),""),5,IFERROR(INDEX('Lớp 5 - Phân công'!$AJ$14:$AJ$262,MATCH($X50,'Lớp 5 - Phân công'!$I$14:$I$262,0)),""),6,IFERROR(INDEX('Lớp 6 - Chi tiết'!$AM$14:$AM$267,MATCH($X50,'Lớp 6 - Chi tiết'!$I$14:$I$267,0)),""),""))</f>
        <v/>
      </c>
      <c r="BJ50" s="389" t="str">
        <f t="array" ref="BJ50">IF($X50="","",SWITCH($W50,3,IFERROR(INDEX('Lớp 3 - Công việc chính'!$AR$14:$AR$73,MATCH($X50,'Lớp 3 - Công việc chính'!$I$14:$I$73,0)),""),4,IFERROR(INDEX('Lớp 4 - Danh mục'!$AU$14:$AU$132,MATCH($X50,'Lớp 4 - Danh mục'!$I$14:$I$132,0)),""),5,IFERROR(INDEX('Lớp 5 - Phân công'!$AV$14:$AV$262,MATCH($X50,'Lớp 5 - Phân công'!$I$14:$I$262,0)),""),6,IFERROR(INDEX('Lớp 6 - Chi tiết'!$AY$14:$AY$267,MATCH($X50,'Lớp 6 - Chi tiết'!$I$14:$I$267,0)),""),""))</f>
        <v>Theo dõi phân bổ tại Lớp 4</v>
      </c>
    </row>
    <row r="51" ht="15.75" customHeight="1">
      <c r="A51" s="294" t="str">
        <f t="shared" si="12"/>
        <v>        ├── ▒ L5  03.05.01  XD &amp; phản biện công thức (nội bộ) XK</v>
      </c>
      <c r="B51" s="301" t="str">
        <f t="shared" si="13"/>
        <v>Em Đại</v>
      </c>
      <c r="C51" s="301" t="str">
        <f t="shared" si="14"/>
        <v>Dữ liệu điều hành</v>
      </c>
      <c r="D51" s="301" t="str">
        <f t="shared" si="15"/>
        <v>P2</v>
      </c>
      <c r="E51" s="301" t="str">
        <f t="shared" si="16"/>
        <v>Chưa bắt đầu</v>
      </c>
      <c r="F51" s="317">
        <f t="shared" si="17"/>
        <v>0</v>
      </c>
      <c r="G51" s="323">
        <f t="shared" si="18"/>
        <v>46300</v>
      </c>
      <c r="H51" s="327">
        <f t="shared" si="19"/>
        <v>9</v>
      </c>
      <c r="I51" s="327">
        <f t="shared" si="20"/>
        <v>16</v>
      </c>
      <c r="J51" s="301" t="str">
        <f t="shared" si="21"/>
        <v>🟢 Theo kế hoạch</v>
      </c>
      <c r="K51" s="301" t="str">
        <f t="shared" si="22"/>
        <v>Quá tải – tổng 15.2/8.0 giờ/ngày</v>
      </c>
      <c r="L51" s="344" t="str">
        <f t="array" ref="L51">IF($T51="","",LET(m,MATCH($T51,$AS$24:$AS$700,0),lvl,INDEX($W$24:$W$700,m),id,INDEX($X$24:$X$700,m),SWITCH(lvl,3,"Lớp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công!A34</v>
      </c>
      <c r="M51" s="351">
        <f t="shared" si="23"/>
        <v>0.8</v>
      </c>
      <c r="N51" s="356" t="str">
        <f t="shared" si="24"/>
        <v>Thiếu 4.9 giờ/tuần</v>
      </c>
      <c r="O51" s="358"/>
      <c r="P51" s="360"/>
      <c r="Q51" s="360"/>
      <c r="R51" s="67"/>
      <c r="S51" s="67"/>
      <c r="T51" s="67" t="str">
        <f>IFERROR(__xludf.DUMMYFUNCTION("""COMPUTED_VALUE"""),"03.05.01")</f>
        <v>03.05.01</v>
      </c>
      <c r="U51" s="67" t="str">
        <f>IF('Lớp 3 - Công việc chính'!I41="","",'Lớp 3 - Công việc chính'!I41)</f>
        <v>HHL3XK01</v>
      </c>
      <c r="V51" s="389" t="str">
        <f>IF('Lớp 3 - Công việc chính'!I41="","","◆ "&amp;'Lớp 3 - Công việc chính'!M41)</f>
        <v>◆ XD &amp; vận hành HT CRM XK </v>
      </c>
      <c r="W51" s="389">
        <f>IF('Lớp 3 - Công việc chính'!I41="","",3)</f>
        <v>3</v>
      </c>
      <c r="X51" s="67" t="str">
        <f>'Lớp 3 - Công việc chính'!I41</f>
        <v>HHL3XK01</v>
      </c>
      <c r="Y51" s="389" t="str">
        <f t="shared" si="26"/>
        <v/>
      </c>
      <c r="Z51" s="67" t="str">
        <f>'Lớp 3 - Công việc chính'!V41</f>
        <v/>
      </c>
      <c r="AA51" s="67" t="str">
        <f>'Lớp 3 - Công việc chính'!W41</f>
        <v>Dữ liệu điều hành</v>
      </c>
      <c r="AB51" s="67" t="str">
        <f>'Lớp 3 - Công việc chính'!Y41</f>
        <v>P1</v>
      </c>
      <c r="AC51" s="67" t="str">
        <f>'Lớp 3 - Công việc chính'!X41</f>
        <v/>
      </c>
      <c r="AD51" s="398">
        <f>'Lớp 3 - Công việc chính'!AC41</f>
        <v>0</v>
      </c>
      <c r="AE51" s="358">
        <f>'Lớp 3 - Công việc chính'!AA41</f>
        <v>46231</v>
      </c>
      <c r="AF51" s="187">
        <f>'Lớp 3 - Công việc chính'!AD41</f>
        <v>-12</v>
      </c>
      <c r="AG51" s="104" t="str">
        <f>'Lớp 3 - Công việc chính'!AE41</f>
        <v/>
      </c>
      <c r="AH51" s="389" t="str">
        <f t="shared" si="27"/>
        <v/>
      </c>
      <c r="AI51" s="389" t="str">
        <f t="shared" si="37"/>
        <v>🔴 Quá hạn</v>
      </c>
      <c r="AJ51" s="67" t="str">
        <f>'Lớp 3 - Công việc chính'!AH41</f>
        <v>Chưa nhập khối lượng</v>
      </c>
      <c r="AL51" s="389" t="str">
        <f t="shared" si="28"/>
        <v/>
      </c>
      <c r="AM51" s="389" t="str">
        <f t="shared" si="29"/>
        <v/>
      </c>
      <c r="AN51" s="389" t="str">
        <f t="shared" si="30"/>
        <v/>
      </c>
      <c r="AS51" s="389" t="str">
        <f t="shared" si="31"/>
        <v>28</v>
      </c>
      <c r="AT51" s="389" t="str">
        <f t="shared" si="32"/>
        <v>XD &amp; vận hành HT CRM XK</v>
      </c>
      <c r="AU51" s="389" t="str">
        <f t="shared" si="33"/>
        <v/>
      </c>
      <c r="AV51" s="389" t="str">
        <f t="shared" si="34"/>
        <v/>
      </c>
      <c r="AW51" s="389" t="str">
        <f t="shared" si="35"/>
        <v/>
      </c>
      <c r="AX51" s="67" t="str">
        <f t="shared" ref="AX51:BH51" si="63">Z51</f>
        <v/>
      </c>
      <c r="AY51" s="67" t="str">
        <f t="shared" si="63"/>
        <v>Dữ liệu điều hành</v>
      </c>
      <c r="AZ51" s="67" t="str">
        <f t="shared" si="63"/>
        <v>P1</v>
      </c>
      <c r="BA51" s="67" t="str">
        <f t="shared" si="63"/>
        <v/>
      </c>
      <c r="BB51" s="398">
        <f t="shared" si="63"/>
        <v>0</v>
      </c>
      <c r="BC51" s="358">
        <f t="shared" si="63"/>
        <v>46231</v>
      </c>
      <c r="BD51" s="187">
        <f t="shared" si="63"/>
        <v>-12</v>
      </c>
      <c r="BE51" s="104" t="str">
        <f t="shared" si="63"/>
        <v/>
      </c>
      <c r="BF51" s="389" t="str">
        <f t="shared" si="63"/>
        <v/>
      </c>
      <c r="BG51" s="389" t="str">
        <f t="shared" si="63"/>
        <v>🔴 Quá hạn</v>
      </c>
      <c r="BH51" s="67" t="str">
        <f t="shared" si="63"/>
        <v>Chưa nhập khối lượng</v>
      </c>
      <c r="BI51" s="389" t="str">
        <f t="array" ref="BI51">IF($X51="","",SWITCH($W51,3,IFERROR(INDEX('Lớp 3 - Công việc chính'!$AF$14:$AF$73,MATCH($X51,'Lớp 3 - Công việc chính'!$I$14:$I$73,0)),""),4,IFERROR(INDEX('Lớp 4 - Danh mục'!$AI$14:$AI$132,MATCH($X51,'Lớp 4 - Danh mục'!$I$14:$I$132,0)),""),5,IFERROR(INDEX('Lớp 5 - Phân công'!$AJ$14:$AJ$262,MATCH($X51,'Lớp 5 - Phân công'!$I$14:$I$262,0)),""),6,IFERROR(INDEX('Lớp 6 - Chi tiết'!$AM$14:$AM$267,MATCH($X51,'Lớp 6 - Chi tiết'!$I$14:$I$267,0)),""),""))</f>
        <v/>
      </c>
      <c r="BJ51" s="389" t="str">
        <f t="array" ref="BJ51">IF($X51="","",SWITCH($W51,3,IFERROR(INDEX('Lớp 3 - Công việc chính'!$AR$14:$AR$73,MATCH($X51,'Lớp 3 - Công việc chính'!$I$14:$I$73,0)),""),4,IFERROR(INDEX('Lớp 4 - Danh mục'!$AU$14:$AU$132,MATCH($X51,'Lớp 4 - Danh mục'!$I$14:$I$132,0)),""),5,IFERROR(INDEX('Lớp 5 - Phân công'!$AV$14:$AV$262,MATCH($X51,'Lớp 5 - Phân công'!$I$14:$I$262,0)),""),6,IFERROR(INDEX('Lớp 6 - Chi tiết'!$AY$14:$AY$267,MATCH($X51,'Lớp 6 - Chi tiết'!$I$14:$I$267,0)),""),""))</f>
        <v>Thiếu tổng giờ</v>
      </c>
    </row>
    <row r="52" ht="15.75" customHeight="1">
      <c r="A52" s="294" t="str">
        <f t="shared" si="12"/>
        <v>        ├── ▒ L5  03.05.02  Phản biện với TGĐ &amp; liên PB XK</v>
      </c>
      <c r="B52" s="301" t="str">
        <f t="shared" si="13"/>
        <v>Em Đại</v>
      </c>
      <c r="C52" s="301" t="str">
        <f t="shared" si="14"/>
        <v>Dữ liệu điều hành</v>
      </c>
      <c r="D52" s="301" t="str">
        <f t="shared" si="15"/>
        <v>P2</v>
      </c>
      <c r="E52" s="301" t="str">
        <f t="shared" si="16"/>
        <v>Chưa bắt đầu</v>
      </c>
      <c r="F52" s="317">
        <f t="shared" si="17"/>
        <v>0</v>
      </c>
      <c r="G52" s="323">
        <f t="shared" si="18"/>
        <v>46310</v>
      </c>
      <c r="H52" s="327">
        <f t="shared" si="19"/>
        <v>34</v>
      </c>
      <c r="I52" s="327">
        <f t="shared" si="20"/>
        <v>8</v>
      </c>
      <c r="J52" s="301" t="str">
        <f t="shared" si="21"/>
        <v>🟢 Theo kế hoạch</v>
      </c>
      <c r="K52" s="301" t="str">
        <f t="shared" si="22"/>
        <v>Quá tải – tổng 27.2/8.0 giờ/ngày</v>
      </c>
      <c r="L52" s="344" t="str">
        <f t="array" ref="L52">IF($T52="","",LET(m,MATCH($T52,$AS$24:$AS$700,0),lvl,INDEX($W$24:$W$700,m),id,INDEX($X$24:$X$700,m),SWITCH(lvl,3,"Lớp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công!A35</v>
      </c>
      <c r="M52" s="351">
        <f t="shared" si="23"/>
        <v>0.8</v>
      </c>
      <c r="N52" s="356" t="str">
        <f t="shared" si="24"/>
        <v>Đủ phân bổ theo tuần</v>
      </c>
      <c r="O52" s="358"/>
      <c r="P52" s="360"/>
      <c r="Q52" s="360"/>
      <c r="R52" s="67"/>
      <c r="S52" s="67"/>
      <c r="T52" s="67" t="str">
        <f>IFERROR(__xludf.DUMMYFUNCTION("""COMPUTED_VALUE"""),"03.05.02")</f>
        <v>03.05.02</v>
      </c>
      <c r="U52" s="389" t="str">
        <f>IF('Lớp 3 - Công việc chính'!I42="","",'Lớp 3 - Công việc chính'!I42)</f>
        <v/>
      </c>
      <c r="V52" s="389" t="str">
        <f>IF('Lớp 3 - Công việc chính'!I42="","","◆ "&amp;'Lớp 3 - Công việc chính'!M42)</f>
        <v/>
      </c>
      <c r="W52" s="389" t="str">
        <f>IF('Lớp 3 - Công việc chính'!I42="","",3)</f>
        <v/>
      </c>
      <c r="X52" s="67" t="str">
        <f>'Lớp 3 - Công việc chính'!I42</f>
        <v/>
      </c>
      <c r="Y52" s="389" t="str">
        <f t="shared" si="26"/>
        <v/>
      </c>
      <c r="Z52" s="67" t="str">
        <f>'Lớp 3 - Công việc chính'!V42</f>
        <v/>
      </c>
      <c r="AA52" s="67" t="str">
        <f>'Lớp 3 - Công việc chính'!W42</f>
        <v/>
      </c>
      <c r="AB52" s="67" t="str">
        <f>'Lớp 3 - Công việc chính'!Y42</f>
        <v/>
      </c>
      <c r="AC52" s="67" t="str">
        <f>'Lớp 3 - Công việc chính'!X42</f>
        <v/>
      </c>
      <c r="AD52" s="398" t="str">
        <f>'Lớp 3 - Công việc chính'!AC42</f>
        <v/>
      </c>
      <c r="AE52" s="358" t="str">
        <f>'Lớp 3 - Công việc chính'!AA42</f>
        <v/>
      </c>
      <c r="AF52" s="187" t="str">
        <f>'Lớp 3 - Công việc chính'!AD42</f>
        <v/>
      </c>
      <c r="AG52" s="104" t="str">
        <f>'Lớp 3 - Công việc chính'!AE42</f>
        <v/>
      </c>
      <c r="AH52" s="389" t="str">
        <f t="shared" si="27"/>
        <v/>
      </c>
      <c r="AI52" s="389" t="str">
        <f t="shared" si="37"/>
        <v>🔵 Chưa có hạn</v>
      </c>
      <c r="AJ52" s="67" t="str">
        <f>'Lớp 3 - Công việc chính'!AH42</f>
        <v/>
      </c>
      <c r="AL52" s="389" t="str">
        <f t="shared" si="28"/>
        <v/>
      </c>
      <c r="AM52" s="389" t="str">
        <f t="shared" si="29"/>
        <v/>
      </c>
      <c r="AN52" s="389" t="str">
        <f t="shared" si="30"/>
        <v/>
      </c>
      <c r="AS52" s="389" t="str">
        <f t="shared" si="31"/>
        <v/>
      </c>
      <c r="AT52" s="389" t="str">
        <f t="shared" si="32"/>
        <v/>
      </c>
      <c r="AU52" s="389" t="str">
        <f t="shared" si="33"/>
        <v/>
      </c>
      <c r="AV52" s="389" t="str">
        <f t="shared" si="34"/>
        <v/>
      </c>
      <c r="AW52" s="389" t="str">
        <f t="shared" si="35"/>
        <v/>
      </c>
      <c r="AX52" s="67" t="str">
        <f t="shared" ref="AX52:BH52" si="64">Z52</f>
        <v/>
      </c>
      <c r="AY52" s="67" t="str">
        <f t="shared" si="64"/>
        <v/>
      </c>
      <c r="AZ52" s="67" t="str">
        <f t="shared" si="64"/>
        <v/>
      </c>
      <c r="BA52" s="67" t="str">
        <f t="shared" si="64"/>
        <v/>
      </c>
      <c r="BB52" s="398" t="str">
        <f t="shared" si="64"/>
        <v/>
      </c>
      <c r="BC52" s="358" t="str">
        <f t="shared" si="64"/>
        <v/>
      </c>
      <c r="BD52" s="187" t="str">
        <f t="shared" si="64"/>
        <v/>
      </c>
      <c r="BE52" s="104" t="str">
        <f t="shared" si="64"/>
        <v/>
      </c>
      <c r="BF52" s="389" t="str">
        <f t="shared" si="64"/>
        <v/>
      </c>
      <c r="BG52" s="389" t="str">
        <f t="shared" si="64"/>
        <v>🔵 Chưa có hạn</v>
      </c>
      <c r="BH52" s="67" t="str">
        <f t="shared" si="64"/>
        <v/>
      </c>
      <c r="BI52" s="389" t="str">
        <f t="array" ref="BI52">IF($X52="","",SWITCH($W52,3,IFERROR(INDEX('Lớp 3 - Công việc chính'!$AF$14:$AF$73,MATCH($X52,'Lớp 3 - Công việc chính'!$I$14:$I$73,0)),""),4,IFERROR(INDEX('Lớp 4 - Danh mục'!$AI$14:$AI$132,MATCH($X52,'Lớp 4 - Danh mục'!$I$14:$I$132,0)),""),5,IFERROR(INDEX('Lớp 5 - Phân công'!$AJ$14:$AJ$262,MATCH($X52,'Lớp 5 - Phân công'!$I$14:$I$262,0)),""),6,IFERROR(INDEX('Lớp 6 - Chi tiết'!$AM$14:$AM$267,MATCH($X52,'Lớp 6 - Chi tiết'!$I$14:$I$267,0)),""),""))</f>
        <v/>
      </c>
      <c r="BJ52" s="389" t="str">
        <f t="array" ref="BJ52">IF($X52="","",SWITCH($W52,3,IFERROR(INDEX('Lớp 3 - Công việc chính'!$AR$14:$AR$73,MATCH($X52,'Lớp 3 - Công việc chính'!$I$14:$I$73,0)),""),4,IFERROR(INDEX('Lớp 4 - Danh mục'!$AU$14:$AU$132,MATCH($X52,'Lớp 4 - Danh mục'!$I$14:$I$132,0)),""),5,IFERROR(INDEX('Lớp 5 - Phân công'!$AV$14:$AV$262,MATCH($X52,'Lớp 5 - Phân công'!$I$14:$I$262,0)),""),6,IFERROR(INDEX('Lớp 6 - Chi tiết'!$AY$14:$AY$267,MATCH($X52,'Lớp 6 - Chi tiết'!$I$14:$I$267,0)),""),""))</f>
        <v/>
      </c>
    </row>
    <row r="53" ht="15.75" customHeight="1">
      <c r="A53" s="294" t="str">
        <f t="shared" si="12"/>
        <v>        ├── ▒ L5  03.05.03  XD bảng Excel &amp; HT phần mềm (chạy demo) XK</v>
      </c>
      <c r="B53" s="301" t="str">
        <f t="shared" si="13"/>
        <v>Em Đại</v>
      </c>
      <c r="C53" s="301" t="str">
        <f t="shared" si="14"/>
        <v>Dữ liệu điều hành</v>
      </c>
      <c r="D53" s="301" t="str">
        <f t="shared" si="15"/>
        <v>P2</v>
      </c>
      <c r="E53" s="301" t="str">
        <f t="shared" si="16"/>
        <v>Chưa bắt đầu</v>
      </c>
      <c r="F53" s="317">
        <f t="shared" si="17"/>
        <v>0</v>
      </c>
      <c r="G53" s="323">
        <f t="shared" si="18"/>
        <v>46305</v>
      </c>
      <c r="H53" s="327">
        <f t="shared" si="19"/>
        <v>5</v>
      </c>
      <c r="I53" s="327">
        <f t="shared" si="20"/>
        <v>24</v>
      </c>
      <c r="J53" s="301" t="str">
        <f t="shared" si="21"/>
        <v>🟢 Theo kế hoạch</v>
      </c>
      <c r="K53" s="301" t="str">
        <f t="shared" si="22"/>
        <v>Quá tải – tổng 13.6/8.0 giờ/ngày</v>
      </c>
      <c r="L53" s="344" t="str">
        <f t="array" ref="L53">IF($T53="","",LET(m,MATCH($T53,$AS$24:$AS$700,0),lvl,INDEX($W$24:$W$700,m),id,INDEX($X$24:$X$700,m),SWITCH(lvl,3,"Lớp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công!A36</v>
      </c>
      <c r="M53" s="351">
        <f t="shared" si="23"/>
        <v>0.8</v>
      </c>
      <c r="N53" s="356" t="str">
        <f t="shared" si="24"/>
        <v>Thiếu 20.0 giờ/tuần</v>
      </c>
      <c r="O53" s="358"/>
      <c r="P53" s="360"/>
      <c r="Q53" s="360"/>
      <c r="R53" s="67"/>
      <c r="S53" s="67"/>
      <c r="T53" s="67" t="str">
        <f>IFERROR(__xludf.DUMMYFUNCTION("""COMPUTED_VALUE"""),"03.05.03")</f>
        <v>03.05.03</v>
      </c>
      <c r="U53" s="389" t="str">
        <f>IF('Lớp 3 - Công việc chính'!I43="","",'Lớp 3 - Công việc chính'!I43)</f>
        <v/>
      </c>
      <c r="V53" s="389" t="str">
        <f>IF('Lớp 3 - Công việc chính'!I43="","","◆ "&amp;'Lớp 3 - Công việc chính'!M43)</f>
        <v/>
      </c>
      <c r="W53" s="389" t="str">
        <f>IF('Lớp 3 - Công việc chính'!I43="","",3)</f>
        <v/>
      </c>
      <c r="X53" s="67" t="str">
        <f>'Lớp 3 - Công việc chính'!I43</f>
        <v/>
      </c>
      <c r="Y53" s="389" t="str">
        <f t="shared" si="26"/>
        <v/>
      </c>
      <c r="Z53" s="67" t="str">
        <f>'Lớp 3 - Công việc chính'!V43</f>
        <v/>
      </c>
      <c r="AA53" s="67" t="str">
        <f>'Lớp 3 - Công việc chính'!W43</f>
        <v/>
      </c>
      <c r="AB53" s="67" t="str">
        <f>'Lớp 3 - Công việc chính'!Y43</f>
        <v/>
      </c>
      <c r="AC53" s="67" t="str">
        <f>'Lớp 3 - Công việc chính'!X43</f>
        <v/>
      </c>
      <c r="AD53" s="398" t="str">
        <f>'Lớp 3 - Công việc chính'!AC43</f>
        <v/>
      </c>
      <c r="AE53" s="358" t="str">
        <f>'Lớp 3 - Công việc chính'!AA43</f>
        <v/>
      </c>
      <c r="AF53" s="187" t="str">
        <f>'Lớp 3 - Công việc chính'!AD43</f>
        <v/>
      </c>
      <c r="AG53" s="104" t="str">
        <f>'Lớp 3 - Công việc chính'!AE43</f>
        <v/>
      </c>
      <c r="AH53" s="389" t="str">
        <f t="shared" si="27"/>
        <v/>
      </c>
      <c r="AI53" s="389" t="str">
        <f t="shared" si="37"/>
        <v>🔵 Chưa có hạn</v>
      </c>
      <c r="AJ53" s="67" t="str">
        <f>'Lớp 3 - Công việc chính'!AH43</f>
        <v/>
      </c>
      <c r="AL53" s="389" t="str">
        <f t="shared" si="28"/>
        <v/>
      </c>
      <c r="AM53" s="389" t="str">
        <f t="shared" si="29"/>
        <v/>
      </c>
      <c r="AN53" s="389" t="str">
        <f t="shared" si="30"/>
        <v/>
      </c>
      <c r="AS53" s="389" t="str">
        <f t="shared" si="31"/>
        <v/>
      </c>
      <c r="AT53" s="389" t="str">
        <f t="shared" si="32"/>
        <v/>
      </c>
      <c r="AU53" s="389" t="str">
        <f t="shared" si="33"/>
        <v/>
      </c>
      <c r="AV53" s="389" t="str">
        <f t="shared" si="34"/>
        <v/>
      </c>
      <c r="AW53" s="389" t="str">
        <f t="shared" si="35"/>
        <v/>
      </c>
      <c r="AX53" s="67" t="str">
        <f t="shared" ref="AX53:BH53" si="65">Z53</f>
        <v/>
      </c>
      <c r="AY53" s="67" t="str">
        <f t="shared" si="65"/>
        <v/>
      </c>
      <c r="AZ53" s="67" t="str">
        <f t="shared" si="65"/>
        <v/>
      </c>
      <c r="BA53" s="67" t="str">
        <f t="shared" si="65"/>
        <v/>
      </c>
      <c r="BB53" s="398" t="str">
        <f t="shared" si="65"/>
        <v/>
      </c>
      <c r="BC53" s="358" t="str">
        <f t="shared" si="65"/>
        <v/>
      </c>
      <c r="BD53" s="187" t="str">
        <f t="shared" si="65"/>
        <v/>
      </c>
      <c r="BE53" s="104" t="str">
        <f t="shared" si="65"/>
        <v/>
      </c>
      <c r="BF53" s="389" t="str">
        <f t="shared" si="65"/>
        <v/>
      </c>
      <c r="BG53" s="389" t="str">
        <f t="shared" si="65"/>
        <v>🔵 Chưa có hạn</v>
      </c>
      <c r="BH53" s="67" t="str">
        <f t="shared" si="65"/>
        <v/>
      </c>
      <c r="BI53" s="389" t="str">
        <f t="array" ref="BI53">IF($X53="","",SWITCH($W53,3,IFERROR(INDEX('Lớp 3 - Công việc chính'!$AF$14:$AF$73,MATCH($X53,'Lớp 3 - Công việc chính'!$I$14:$I$73,0)),""),4,IFERROR(INDEX('Lớp 4 - Danh mục'!$AI$14:$AI$132,MATCH($X53,'Lớp 4 - Danh mục'!$I$14:$I$132,0)),""),5,IFERROR(INDEX('Lớp 5 - Phân công'!$AJ$14:$AJ$262,MATCH($X53,'Lớp 5 - Phân công'!$I$14:$I$262,0)),""),6,IFERROR(INDEX('Lớp 6 - Chi tiết'!$AM$14:$AM$267,MATCH($X53,'Lớp 6 - Chi tiết'!$I$14:$I$267,0)),""),""))</f>
        <v/>
      </c>
      <c r="BJ53" s="389" t="str">
        <f t="array" ref="BJ53">IF($X53="","",SWITCH($W53,3,IFERROR(INDEX('Lớp 3 - Công việc chính'!$AR$14:$AR$73,MATCH($X53,'Lớp 3 - Công việc chính'!$I$14:$I$73,0)),""),4,IFERROR(INDEX('Lớp 4 - Danh mục'!$AU$14:$AU$132,MATCH($X53,'Lớp 4 - Danh mục'!$I$14:$I$132,0)),""),5,IFERROR(INDEX('Lớp 5 - Phân công'!$AV$14:$AV$262,MATCH($X53,'Lớp 5 - Phân công'!$I$14:$I$262,0)),""),6,IFERROR(INDEX('Lớp 6 - Chi tiết'!$AY$14:$AY$267,MATCH($X53,'Lớp 6 - Chi tiết'!$I$14:$I$267,0)),""),""))</f>
        <v/>
      </c>
    </row>
    <row r="54" ht="15.75" customHeight="1">
      <c r="A54" s="294" t="str">
        <f t="shared" si="12"/>
        <v>        ├── ▒ L5  03.05.04  Chạy tham số Topdown XK</v>
      </c>
      <c r="B54" s="301" t="str">
        <f t="shared" si="13"/>
        <v>Em Đại</v>
      </c>
      <c r="C54" s="301" t="str">
        <f t="shared" si="14"/>
        <v>Dữ liệu điều hành</v>
      </c>
      <c r="D54" s="301" t="str">
        <f t="shared" si="15"/>
        <v>P2</v>
      </c>
      <c r="E54" s="301" t="str">
        <f t="shared" si="16"/>
        <v>Đã lên lịch</v>
      </c>
      <c r="F54" s="317" t="str">
        <f t="shared" si="17"/>
        <v/>
      </c>
      <c r="G54" s="323">
        <f t="shared" si="18"/>
        <v>46307</v>
      </c>
      <c r="H54" s="327">
        <f t="shared" si="19"/>
        <v>1</v>
      </c>
      <c r="I54" s="327">
        <f t="shared" si="20"/>
        <v>16</v>
      </c>
      <c r="J54" s="301" t="str">
        <f t="shared" si="21"/>
        <v>🟢 Theo kế hoạch</v>
      </c>
      <c r="K54" s="301" t="str">
        <f t="shared" si="22"/>
        <v>Cận tải – tổng 8.0/8.0 giờ/ngày</v>
      </c>
      <c r="L54" s="344" t="str">
        <f t="array" ref="L54">IF($T54="","",LET(m,MATCH($T54,$AS$24:$AS$700,0),lvl,INDEX($W$24:$W$700,m),id,INDEX($X$24:$X$700,m),SWITCH(lvl,3,"Lớp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công!A37</v>
      </c>
      <c r="M54" s="351">
        <f t="shared" si="23"/>
        <v>0.8</v>
      </c>
      <c r="N54" s="356" t="str">
        <f t="shared" si="24"/>
        <v>Thiếu 76.0 giờ/tuần</v>
      </c>
      <c r="O54" s="358"/>
      <c r="P54" s="360"/>
      <c r="Q54" s="360"/>
      <c r="R54" s="67"/>
      <c r="S54" s="67"/>
      <c r="T54" s="67" t="str">
        <f>IFERROR(__xludf.DUMMYFUNCTION("""COMPUTED_VALUE"""),"03.05.04")</f>
        <v>03.05.04</v>
      </c>
      <c r="U54" s="389" t="str">
        <f>IF('Lớp 3 - Công việc chính'!I44="","",'Lớp 3 - Công việc chính'!I44)</f>
        <v/>
      </c>
      <c r="V54" s="389" t="str">
        <f>IF('Lớp 3 - Công việc chính'!I44="","","◆ "&amp;'Lớp 3 - Công việc chính'!M44)</f>
        <v/>
      </c>
      <c r="W54" s="389" t="str">
        <f>IF('Lớp 3 - Công việc chính'!I44="","",3)</f>
        <v/>
      </c>
      <c r="X54" s="67" t="str">
        <f>'Lớp 3 - Công việc chính'!I44</f>
        <v/>
      </c>
      <c r="Y54" s="389" t="str">
        <f t="shared" si="26"/>
        <v/>
      </c>
      <c r="Z54" s="67" t="str">
        <f>'Lớp 3 - Công việc chính'!V44</f>
        <v/>
      </c>
      <c r="AA54" s="67" t="str">
        <f>'Lớp 3 - Công việc chính'!W44</f>
        <v/>
      </c>
      <c r="AB54" s="67" t="str">
        <f>'Lớp 3 - Công việc chính'!Y44</f>
        <v/>
      </c>
      <c r="AC54" s="67" t="str">
        <f>'Lớp 3 - Công việc chính'!X44</f>
        <v/>
      </c>
      <c r="AD54" s="398" t="str">
        <f>'Lớp 3 - Công việc chính'!AC44</f>
        <v/>
      </c>
      <c r="AE54" s="358" t="str">
        <f>'Lớp 3 - Công việc chính'!AA44</f>
        <v/>
      </c>
      <c r="AF54" s="187" t="str">
        <f>'Lớp 3 - Công việc chính'!AD44</f>
        <v/>
      </c>
      <c r="AG54" s="104" t="str">
        <f>'Lớp 3 - Công việc chính'!AE44</f>
        <v/>
      </c>
      <c r="AH54" s="389" t="str">
        <f t="shared" si="27"/>
        <v/>
      </c>
      <c r="AI54" s="389" t="str">
        <f t="shared" si="37"/>
        <v>🔵 Chưa có hạn</v>
      </c>
      <c r="AJ54" s="67" t="str">
        <f>'Lớp 3 - Công việc chính'!AH44</f>
        <v/>
      </c>
      <c r="AL54" s="389" t="str">
        <f t="shared" si="28"/>
        <v/>
      </c>
      <c r="AM54" s="389" t="str">
        <f t="shared" si="29"/>
        <v/>
      </c>
      <c r="AN54" s="389" t="str">
        <f t="shared" si="30"/>
        <v/>
      </c>
      <c r="AS54" s="389" t="str">
        <f t="shared" si="31"/>
        <v/>
      </c>
      <c r="AT54" s="389" t="str">
        <f t="shared" si="32"/>
        <v/>
      </c>
      <c r="AU54" s="389" t="str">
        <f t="shared" si="33"/>
        <v/>
      </c>
      <c r="AV54" s="389" t="str">
        <f t="shared" si="34"/>
        <v/>
      </c>
      <c r="AW54" s="389" t="str">
        <f t="shared" si="35"/>
        <v/>
      </c>
      <c r="AX54" s="67" t="str">
        <f t="shared" ref="AX54:BH54" si="66">Z54</f>
        <v/>
      </c>
      <c r="AY54" s="67" t="str">
        <f t="shared" si="66"/>
        <v/>
      </c>
      <c r="AZ54" s="67" t="str">
        <f t="shared" si="66"/>
        <v/>
      </c>
      <c r="BA54" s="67" t="str">
        <f t="shared" si="66"/>
        <v/>
      </c>
      <c r="BB54" s="398" t="str">
        <f t="shared" si="66"/>
        <v/>
      </c>
      <c r="BC54" s="358" t="str">
        <f t="shared" si="66"/>
        <v/>
      </c>
      <c r="BD54" s="187" t="str">
        <f t="shared" si="66"/>
        <v/>
      </c>
      <c r="BE54" s="104" t="str">
        <f t="shared" si="66"/>
        <v/>
      </c>
      <c r="BF54" s="389" t="str">
        <f t="shared" si="66"/>
        <v/>
      </c>
      <c r="BG54" s="389" t="str">
        <f t="shared" si="66"/>
        <v>🔵 Chưa có hạn</v>
      </c>
      <c r="BH54" s="67" t="str">
        <f t="shared" si="66"/>
        <v/>
      </c>
      <c r="BI54" s="389" t="str">
        <f t="array" ref="BI54">IF($X54="","",SWITCH($W54,3,IFERROR(INDEX('Lớp 3 - Công việc chính'!$AF$14:$AF$73,MATCH($X54,'Lớp 3 - Công việc chính'!$I$14:$I$73,0)),""),4,IFERROR(INDEX('Lớp 4 - Danh mục'!$AI$14:$AI$132,MATCH($X54,'Lớp 4 - Danh mục'!$I$14:$I$132,0)),""),5,IFERROR(INDEX('Lớp 5 - Phân công'!$AJ$14:$AJ$262,MATCH($X54,'Lớp 5 - Phân công'!$I$14:$I$262,0)),""),6,IFERROR(INDEX('Lớp 6 - Chi tiết'!$AM$14:$AM$267,MATCH($X54,'Lớp 6 - Chi tiết'!$I$14:$I$267,0)),""),""))</f>
        <v/>
      </c>
      <c r="BJ54" s="389" t="str">
        <f t="array" ref="BJ54">IF($X54="","",SWITCH($W54,3,IFERROR(INDEX('Lớp 3 - Công việc chính'!$AR$14:$AR$73,MATCH($X54,'Lớp 3 - Công việc chính'!$I$14:$I$73,0)),""),4,IFERROR(INDEX('Lớp 4 - Danh mục'!$AU$14:$AU$132,MATCH($X54,'Lớp 4 - Danh mục'!$I$14:$I$132,0)),""),5,IFERROR(INDEX('Lớp 5 - Phân công'!$AV$14:$AV$262,MATCH($X54,'Lớp 5 - Phân công'!$I$14:$I$262,0)),""),6,IFERROR(INDEX('Lớp 6 - Chi tiết'!$AY$14:$AY$267,MATCH($X54,'Lớp 6 - Chi tiết'!$I$14:$I$267,0)),""),""))</f>
        <v/>
      </c>
    </row>
    <row r="55" ht="15.75" customHeight="1">
      <c r="A55" s="294" t="str">
        <f t="shared" si="12"/>
        <v>        ├── ▒ L5  03.05.05  Chạy tham số Bottom-up theo khu vực vùng miền XK</v>
      </c>
      <c r="B55" s="301" t="str">
        <f t="shared" si="13"/>
        <v>Em Đại</v>
      </c>
      <c r="C55" s="301" t="str">
        <f t="shared" si="14"/>
        <v>Dữ liệu điều hành</v>
      </c>
      <c r="D55" s="301" t="str">
        <f t="shared" si="15"/>
        <v>P2</v>
      </c>
      <c r="E55" s="301" t="str">
        <f t="shared" si="16"/>
        <v>Đã lên lịch</v>
      </c>
      <c r="F55" s="317" t="str">
        <f t="shared" si="17"/>
        <v/>
      </c>
      <c r="G55" s="323">
        <f t="shared" si="18"/>
        <v>46320</v>
      </c>
      <c r="H55" s="327">
        <f t="shared" si="19"/>
        <v>11</v>
      </c>
      <c r="I55" s="327">
        <f t="shared" si="20"/>
        <v>16</v>
      </c>
      <c r="J55" s="301" t="str">
        <f t="shared" si="21"/>
        <v>🟢 Theo kế hoạch</v>
      </c>
      <c r="K55" s="301" t="str">
        <f t="shared" si="22"/>
        <v>Quá tải – tổng 10.4/8.0 giờ/ngày</v>
      </c>
      <c r="L55" s="344" t="str">
        <f t="array" ref="L55">IF($T55="","",LET(m,MATCH($T55,$AS$24:$AS$700,0),lvl,INDEX($W$24:$W$700,m),id,INDEX($X$24:$X$700,m),SWITCH(lvl,3,"Lớp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công!A38</v>
      </c>
      <c r="M55" s="351">
        <f t="shared" si="23"/>
        <v>0.8</v>
      </c>
      <c r="N55" s="356" t="str">
        <f t="shared" si="24"/>
        <v>Thiếu 3.3 giờ/tuần</v>
      </c>
      <c r="O55" s="358"/>
      <c r="P55" s="360"/>
      <c r="Q55" s="360"/>
      <c r="R55" s="67"/>
      <c r="S55" s="67"/>
      <c r="T55" s="67" t="str">
        <f>IFERROR(__xludf.DUMMYFUNCTION("""COMPUTED_VALUE"""),"03.05.05")</f>
        <v>03.05.05</v>
      </c>
      <c r="U55" s="389" t="str">
        <f>IF('Lớp 3 - Công việc chính'!I45="","",'Lớp 3 - Công việc chính'!I45)</f>
        <v/>
      </c>
      <c r="V55" s="389" t="str">
        <f>IF('Lớp 3 - Công việc chính'!I45="","","◆ "&amp;'Lớp 3 - Công việc chính'!M45)</f>
        <v/>
      </c>
      <c r="W55" s="389" t="str">
        <f>IF('Lớp 3 - Công việc chính'!I45="","",3)</f>
        <v/>
      </c>
      <c r="X55" s="67" t="str">
        <f>'Lớp 3 - Công việc chính'!I45</f>
        <v/>
      </c>
      <c r="Y55" s="389" t="str">
        <f t="shared" si="26"/>
        <v/>
      </c>
      <c r="Z55" s="67" t="str">
        <f>'Lớp 3 - Công việc chính'!V45</f>
        <v/>
      </c>
      <c r="AA55" s="67" t="str">
        <f>'Lớp 3 - Công việc chính'!W45</f>
        <v/>
      </c>
      <c r="AB55" s="67" t="str">
        <f>'Lớp 3 - Công việc chính'!Y45</f>
        <v/>
      </c>
      <c r="AC55" s="67" t="str">
        <f>'Lớp 3 - Công việc chính'!X45</f>
        <v/>
      </c>
      <c r="AD55" s="398" t="str">
        <f>'Lớp 3 - Công việc chính'!AC45</f>
        <v/>
      </c>
      <c r="AE55" s="358" t="str">
        <f>'Lớp 3 - Công việc chính'!AA45</f>
        <v/>
      </c>
      <c r="AF55" s="187" t="str">
        <f>'Lớp 3 - Công việc chính'!AD45</f>
        <v/>
      </c>
      <c r="AG55" s="104" t="str">
        <f>'Lớp 3 - Công việc chính'!AE45</f>
        <v/>
      </c>
      <c r="AH55" s="389" t="str">
        <f t="shared" si="27"/>
        <v/>
      </c>
      <c r="AI55" s="389" t="str">
        <f t="shared" si="37"/>
        <v>🔵 Chưa có hạn</v>
      </c>
      <c r="AJ55" s="67" t="str">
        <f>'Lớp 3 - Công việc chính'!AH45</f>
        <v/>
      </c>
      <c r="AL55" s="389" t="str">
        <f t="shared" si="28"/>
        <v/>
      </c>
      <c r="AM55" s="389" t="str">
        <f t="shared" si="29"/>
        <v/>
      </c>
      <c r="AN55" s="389" t="str">
        <f t="shared" si="30"/>
        <v/>
      </c>
      <c r="AS55" s="389" t="str">
        <f t="shared" si="31"/>
        <v/>
      </c>
      <c r="AT55" s="389" t="str">
        <f t="shared" si="32"/>
        <v/>
      </c>
      <c r="AU55" s="389" t="str">
        <f t="shared" si="33"/>
        <v/>
      </c>
      <c r="AV55" s="389" t="str">
        <f t="shared" si="34"/>
        <v/>
      </c>
      <c r="AW55" s="389" t="str">
        <f t="shared" si="35"/>
        <v/>
      </c>
      <c r="AX55" s="67" t="str">
        <f t="shared" ref="AX55:BH55" si="67">Z55</f>
        <v/>
      </c>
      <c r="AY55" s="67" t="str">
        <f t="shared" si="67"/>
        <v/>
      </c>
      <c r="AZ55" s="67" t="str">
        <f t="shared" si="67"/>
        <v/>
      </c>
      <c r="BA55" s="67" t="str">
        <f t="shared" si="67"/>
        <v/>
      </c>
      <c r="BB55" s="398" t="str">
        <f t="shared" si="67"/>
        <v/>
      </c>
      <c r="BC55" s="358" t="str">
        <f t="shared" si="67"/>
        <v/>
      </c>
      <c r="BD55" s="187" t="str">
        <f t="shared" si="67"/>
        <v/>
      </c>
      <c r="BE55" s="104" t="str">
        <f t="shared" si="67"/>
        <v/>
      </c>
      <c r="BF55" s="389" t="str">
        <f t="shared" si="67"/>
        <v/>
      </c>
      <c r="BG55" s="389" t="str">
        <f t="shared" si="67"/>
        <v>🔵 Chưa có hạn</v>
      </c>
      <c r="BH55" s="67" t="str">
        <f t="shared" si="67"/>
        <v/>
      </c>
      <c r="BI55" s="389" t="str">
        <f t="array" ref="BI55">IF($X55="","",SWITCH($W55,3,IFERROR(INDEX('Lớp 3 - Công việc chính'!$AF$14:$AF$73,MATCH($X55,'Lớp 3 - Công việc chính'!$I$14:$I$73,0)),""),4,IFERROR(INDEX('Lớp 4 - Danh mục'!$AI$14:$AI$132,MATCH($X55,'Lớp 4 - Danh mục'!$I$14:$I$132,0)),""),5,IFERROR(INDEX('Lớp 5 - Phân công'!$AJ$14:$AJ$262,MATCH($X55,'Lớp 5 - Phân công'!$I$14:$I$262,0)),""),6,IFERROR(INDEX('Lớp 6 - Chi tiết'!$AM$14:$AM$267,MATCH($X55,'Lớp 6 - Chi tiết'!$I$14:$I$267,0)),""),""))</f>
        <v/>
      </c>
      <c r="BJ55" s="389" t="str">
        <f t="array" ref="BJ55">IF($X55="","",SWITCH($W55,3,IFERROR(INDEX('Lớp 3 - Công việc chính'!$AR$14:$AR$73,MATCH($X55,'Lớp 3 - Công việc chính'!$I$14:$I$73,0)),""),4,IFERROR(INDEX('Lớp 4 - Danh mục'!$AU$14:$AU$132,MATCH($X55,'Lớp 4 - Danh mục'!$I$14:$I$132,0)),""),5,IFERROR(INDEX('Lớp 5 - Phân công'!$AV$14:$AV$262,MATCH($X55,'Lớp 5 - Phân công'!$I$14:$I$262,0)),""),6,IFERROR(INDEX('Lớp 6 - Chi tiết'!$AY$14:$AY$267,MATCH($X55,'Lớp 6 - Chi tiết'!$I$14:$I$267,0)),""),""))</f>
        <v/>
      </c>
    </row>
    <row r="56" ht="15.75" customHeight="1">
      <c r="A56" s="294" t="str">
        <f t="shared" si="12"/>
        <v>    ├─ ▓ L4  03.06  Xây dựng công thức &amp; tạo HT tham số cho KH Showroom</v>
      </c>
      <c r="B56" s="301" t="str">
        <f t="shared" si="13"/>
        <v>Em Đại</v>
      </c>
      <c r="C56" s="301" t="str">
        <f t="shared" si="14"/>
        <v>Dữ liệu điều hành</v>
      </c>
      <c r="D56" s="301" t="str">
        <f t="shared" si="15"/>
        <v>P1</v>
      </c>
      <c r="E56" s="301" t="str">
        <f t="shared" si="16"/>
        <v>Chưa bắt đầu</v>
      </c>
      <c r="F56" s="317">
        <f t="shared" si="17"/>
        <v>0</v>
      </c>
      <c r="G56" s="323">
        <f t="shared" si="18"/>
        <v>46320</v>
      </c>
      <c r="H56" s="327">
        <f t="shared" si="19"/>
        <v>62</v>
      </c>
      <c r="I56" s="327">
        <f t="shared" si="20"/>
        <v>80</v>
      </c>
      <c r="J56" s="301" t="str">
        <f t="shared" si="21"/>
        <v>🟣 P1 trọng yếu</v>
      </c>
      <c r="K56" s="301" t="str">
        <f t="shared" si="22"/>
        <v>Theo dõi tải tại Lớp 5</v>
      </c>
      <c r="L56" s="344" t="str">
        <f t="array" ref="L56">IF($T56="","",LET(m,MATCH($T56,$AS$24:$AS$700,0),lvl,INDEX($W$24:$W$700,m),id,INDEX($X$24:$X$700,m),SWITCH(lvl,3,"Lớp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mục!A19</v>
      </c>
      <c r="M56" s="351" t="str">
        <f t="shared" si="23"/>
        <v/>
      </c>
      <c r="N56" s="356" t="str">
        <f t="shared" si="24"/>
        <v>Theo dõi phân bổ tại Lớp 5</v>
      </c>
      <c r="O56" s="358"/>
      <c r="P56" s="360"/>
      <c r="Q56" s="360"/>
      <c r="R56" s="67"/>
      <c r="S56" s="67"/>
      <c r="T56" s="67" t="str">
        <f>IFERROR(__xludf.DUMMYFUNCTION("""COMPUTED_VALUE"""),"03.06")</f>
        <v>03.06</v>
      </c>
      <c r="U56" s="389" t="str">
        <f>IF('Lớp 3 - Công việc chính'!I46="","",'Lớp 3 - Công việc chính'!I46)</f>
        <v/>
      </c>
      <c r="V56" s="389" t="str">
        <f>IF('Lớp 3 - Công việc chính'!I46="","","◆ "&amp;'Lớp 3 - Công việc chính'!M46)</f>
        <v/>
      </c>
      <c r="W56" s="389" t="str">
        <f>IF('Lớp 3 - Công việc chính'!I46="","",3)</f>
        <v/>
      </c>
      <c r="X56" s="67" t="str">
        <f>'Lớp 3 - Công việc chính'!I46</f>
        <v/>
      </c>
      <c r="Y56" s="389" t="str">
        <f t="shared" si="26"/>
        <v/>
      </c>
      <c r="Z56" s="67" t="str">
        <f>'Lớp 3 - Công việc chính'!V46</f>
        <v/>
      </c>
      <c r="AA56" s="67" t="str">
        <f>'Lớp 3 - Công việc chính'!W46</f>
        <v/>
      </c>
      <c r="AB56" s="67" t="str">
        <f>'Lớp 3 - Công việc chính'!Y46</f>
        <v/>
      </c>
      <c r="AC56" s="67" t="str">
        <f>'Lớp 3 - Công việc chính'!X46</f>
        <v/>
      </c>
      <c r="AD56" s="398" t="str">
        <f>'Lớp 3 - Công việc chính'!AC46</f>
        <v/>
      </c>
      <c r="AE56" s="358" t="str">
        <f>'Lớp 3 - Công việc chính'!AA46</f>
        <v/>
      </c>
      <c r="AF56" s="187" t="str">
        <f>'Lớp 3 - Công việc chính'!AD46</f>
        <v/>
      </c>
      <c r="AG56" s="104" t="str">
        <f>'Lớp 3 - Công việc chính'!AE46</f>
        <v/>
      </c>
      <c r="AH56" s="389" t="str">
        <f t="shared" si="27"/>
        <v/>
      </c>
      <c r="AI56" s="389" t="str">
        <f t="shared" si="37"/>
        <v>🔵 Chưa có hạn</v>
      </c>
      <c r="AJ56" s="67" t="str">
        <f>'Lớp 3 - Công việc chính'!AH46</f>
        <v/>
      </c>
      <c r="AL56" s="389" t="str">
        <f t="shared" si="28"/>
        <v/>
      </c>
      <c r="AM56" s="389" t="str">
        <f t="shared" si="29"/>
        <v/>
      </c>
      <c r="AN56" s="389" t="str">
        <f t="shared" si="30"/>
        <v/>
      </c>
      <c r="AS56" s="389" t="str">
        <f t="shared" si="31"/>
        <v/>
      </c>
      <c r="AT56" s="389" t="str">
        <f t="shared" si="32"/>
        <v/>
      </c>
      <c r="AU56" s="389" t="str">
        <f t="shared" si="33"/>
        <v/>
      </c>
      <c r="AV56" s="389" t="str">
        <f t="shared" si="34"/>
        <v/>
      </c>
      <c r="AW56" s="389" t="str">
        <f t="shared" si="35"/>
        <v/>
      </c>
      <c r="AX56" s="67" t="str">
        <f t="shared" ref="AX56:BH56" si="68">Z56</f>
        <v/>
      </c>
      <c r="AY56" s="67" t="str">
        <f t="shared" si="68"/>
        <v/>
      </c>
      <c r="AZ56" s="67" t="str">
        <f t="shared" si="68"/>
        <v/>
      </c>
      <c r="BA56" s="67" t="str">
        <f t="shared" si="68"/>
        <v/>
      </c>
      <c r="BB56" s="398" t="str">
        <f t="shared" si="68"/>
        <v/>
      </c>
      <c r="BC56" s="358" t="str">
        <f t="shared" si="68"/>
        <v/>
      </c>
      <c r="BD56" s="187" t="str">
        <f t="shared" si="68"/>
        <v/>
      </c>
      <c r="BE56" s="104" t="str">
        <f t="shared" si="68"/>
        <v/>
      </c>
      <c r="BF56" s="389" t="str">
        <f t="shared" si="68"/>
        <v/>
      </c>
      <c r="BG56" s="389" t="str">
        <f t="shared" si="68"/>
        <v>🔵 Chưa có hạn</v>
      </c>
      <c r="BH56" s="67" t="str">
        <f t="shared" si="68"/>
        <v/>
      </c>
      <c r="BI56" s="389" t="str">
        <f t="array" ref="BI56">IF($X56="","",SWITCH($W56,3,IFERROR(INDEX('Lớp 3 - Công việc chính'!$AF$14:$AF$73,MATCH($X56,'Lớp 3 - Công việc chính'!$I$14:$I$73,0)),""),4,IFERROR(INDEX('Lớp 4 - Danh mục'!$AI$14:$AI$132,MATCH($X56,'Lớp 4 - Danh mục'!$I$14:$I$132,0)),""),5,IFERROR(INDEX('Lớp 5 - Phân công'!$AJ$14:$AJ$262,MATCH($X56,'Lớp 5 - Phân công'!$I$14:$I$262,0)),""),6,IFERROR(INDEX('Lớp 6 - Chi tiết'!$AM$14:$AM$267,MATCH($X56,'Lớp 6 - Chi tiết'!$I$14:$I$267,0)),""),""))</f>
        <v/>
      </c>
      <c r="BJ56" s="389" t="str">
        <f t="array" ref="BJ56">IF($X56="","",SWITCH($W56,3,IFERROR(INDEX('Lớp 3 - Công việc chính'!$AR$14:$AR$73,MATCH($X56,'Lớp 3 - Công việc chính'!$I$14:$I$73,0)),""),4,IFERROR(INDEX('Lớp 4 - Danh mục'!$AU$14:$AU$132,MATCH($X56,'Lớp 4 - Danh mục'!$I$14:$I$132,0)),""),5,IFERROR(INDEX('Lớp 5 - Phân công'!$AV$14:$AV$262,MATCH($X56,'Lớp 5 - Phân công'!$I$14:$I$262,0)),""),6,IFERROR(INDEX('Lớp 6 - Chi tiết'!$AY$14:$AY$267,MATCH($X56,'Lớp 6 - Chi tiết'!$I$14:$I$267,0)),""),""))</f>
        <v/>
      </c>
    </row>
    <row r="57" ht="15.75" customHeight="1">
      <c r="A57" s="294" t="str">
        <f t="shared" si="12"/>
        <v>        ├── ▒ L5  03.06.01  XD &amp; phản biện công thức (nội bộ) Showroom</v>
      </c>
      <c r="B57" s="301" t="str">
        <f t="shared" si="13"/>
        <v>Em Đại</v>
      </c>
      <c r="C57" s="301" t="str">
        <f t="shared" si="14"/>
        <v>Dữ liệu điều hành</v>
      </c>
      <c r="D57" s="301" t="str">
        <f t="shared" si="15"/>
        <v>P2</v>
      </c>
      <c r="E57" s="301" t="str">
        <f t="shared" si="16"/>
        <v>Chưa bắt đầu</v>
      </c>
      <c r="F57" s="317">
        <f t="shared" si="17"/>
        <v>0</v>
      </c>
      <c r="G57" s="323">
        <f t="shared" si="18"/>
        <v>46300</v>
      </c>
      <c r="H57" s="327">
        <f t="shared" si="19"/>
        <v>9</v>
      </c>
      <c r="I57" s="327">
        <f t="shared" si="20"/>
        <v>16</v>
      </c>
      <c r="J57" s="301" t="str">
        <f t="shared" si="21"/>
        <v>🟢 Theo kế hoạch</v>
      </c>
      <c r="K57" s="301" t="str">
        <f t="shared" si="22"/>
        <v>Quá tải – tổng 15.2/8.0 giờ/ngày</v>
      </c>
      <c r="L57" s="344" t="str">
        <f t="array" ref="L57">IF($T57="","",LET(m,MATCH($T57,$AS$24:$AS$700,0),lvl,INDEX($W$24:$W$700,m),id,INDEX($X$24:$X$700,m),SWITCH(lvl,3,"Lớp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công!A39</v>
      </c>
      <c r="M57" s="351">
        <f t="shared" si="23"/>
        <v>0.8</v>
      </c>
      <c r="N57" s="356" t="str">
        <f t="shared" si="24"/>
        <v>Thiếu 4.9 giờ/tuần</v>
      </c>
      <c r="O57" s="358"/>
      <c r="P57" s="360"/>
      <c r="Q57" s="360"/>
      <c r="R57" s="67"/>
      <c r="S57" s="67"/>
      <c r="T57" s="67" t="str">
        <f>IFERROR(__xludf.DUMMYFUNCTION("""COMPUTED_VALUE"""),"03.06.01")</f>
        <v>03.06.01</v>
      </c>
      <c r="U57" s="389" t="str">
        <f>IF('Lớp 3 - Công việc chính'!I47="","",'Lớp 3 - Công việc chính'!I47)</f>
        <v/>
      </c>
      <c r="V57" s="389" t="str">
        <f>IF('Lớp 3 - Công việc chính'!I47="","","◆ "&amp;'Lớp 3 - Công việc chính'!M47)</f>
        <v/>
      </c>
      <c r="W57" s="389" t="str">
        <f>IF('Lớp 3 - Công việc chính'!I47="","",3)</f>
        <v/>
      </c>
      <c r="X57" s="67" t="str">
        <f>'Lớp 3 - Công việc chính'!I47</f>
        <v/>
      </c>
      <c r="Y57" s="389" t="str">
        <f t="shared" si="26"/>
        <v/>
      </c>
      <c r="Z57" s="67" t="str">
        <f>'Lớp 3 - Công việc chính'!V47</f>
        <v/>
      </c>
      <c r="AA57" s="67" t="str">
        <f>'Lớp 3 - Công việc chính'!W47</f>
        <v/>
      </c>
      <c r="AB57" s="67" t="str">
        <f>'Lớp 3 - Công việc chính'!Y47</f>
        <v/>
      </c>
      <c r="AC57" s="67" t="str">
        <f>'Lớp 3 - Công việc chính'!X47</f>
        <v/>
      </c>
      <c r="AD57" s="398" t="str">
        <f>'Lớp 3 - Công việc chính'!AC47</f>
        <v/>
      </c>
      <c r="AE57" s="358" t="str">
        <f>'Lớp 3 - Công việc chính'!AA47</f>
        <v/>
      </c>
      <c r="AF57" s="187" t="str">
        <f>'Lớp 3 - Công việc chính'!AD47</f>
        <v/>
      </c>
      <c r="AG57" s="104" t="str">
        <f>'Lớp 3 - Công việc chính'!AE47</f>
        <v/>
      </c>
      <c r="AH57" s="389" t="str">
        <f t="shared" si="27"/>
        <v/>
      </c>
      <c r="AI57" s="389" t="str">
        <f t="shared" si="37"/>
        <v>🔵 Chưa có hạn</v>
      </c>
      <c r="AJ57" s="67" t="str">
        <f>'Lớp 3 - Công việc chính'!AH47</f>
        <v/>
      </c>
      <c r="AL57" s="389" t="str">
        <f t="shared" si="28"/>
        <v/>
      </c>
      <c r="AM57" s="389" t="str">
        <f t="shared" si="29"/>
        <v/>
      </c>
      <c r="AN57" s="389" t="str">
        <f t="shared" si="30"/>
        <v/>
      </c>
      <c r="AS57" s="389" t="str">
        <f t="shared" si="31"/>
        <v/>
      </c>
      <c r="AT57" s="389" t="str">
        <f t="shared" si="32"/>
        <v/>
      </c>
      <c r="AU57" s="389" t="str">
        <f t="shared" si="33"/>
        <v/>
      </c>
      <c r="AV57" s="389" t="str">
        <f t="shared" si="34"/>
        <v/>
      </c>
      <c r="AW57" s="389" t="str">
        <f t="shared" si="35"/>
        <v/>
      </c>
      <c r="AX57" s="67" t="str">
        <f t="shared" ref="AX57:BH57" si="69">Z57</f>
        <v/>
      </c>
      <c r="AY57" s="67" t="str">
        <f t="shared" si="69"/>
        <v/>
      </c>
      <c r="AZ57" s="67" t="str">
        <f t="shared" si="69"/>
        <v/>
      </c>
      <c r="BA57" s="67" t="str">
        <f t="shared" si="69"/>
        <v/>
      </c>
      <c r="BB57" s="398" t="str">
        <f t="shared" si="69"/>
        <v/>
      </c>
      <c r="BC57" s="358" t="str">
        <f t="shared" si="69"/>
        <v/>
      </c>
      <c r="BD57" s="187" t="str">
        <f t="shared" si="69"/>
        <v/>
      </c>
      <c r="BE57" s="104" t="str">
        <f t="shared" si="69"/>
        <v/>
      </c>
      <c r="BF57" s="389" t="str">
        <f t="shared" si="69"/>
        <v/>
      </c>
      <c r="BG57" s="389" t="str">
        <f t="shared" si="69"/>
        <v>🔵 Chưa có hạn</v>
      </c>
      <c r="BH57" s="67" t="str">
        <f t="shared" si="69"/>
        <v/>
      </c>
      <c r="BI57" s="389" t="str">
        <f t="array" ref="BI57">IF($X57="","",SWITCH($W57,3,IFERROR(INDEX('Lớp 3 - Công việc chính'!$AF$14:$AF$73,MATCH($X57,'Lớp 3 - Công việc chính'!$I$14:$I$73,0)),""),4,IFERROR(INDEX('Lớp 4 - Danh mục'!$AI$14:$AI$132,MATCH($X57,'Lớp 4 - Danh mục'!$I$14:$I$132,0)),""),5,IFERROR(INDEX('Lớp 5 - Phân công'!$AJ$14:$AJ$262,MATCH($X57,'Lớp 5 - Phân công'!$I$14:$I$262,0)),""),6,IFERROR(INDEX('Lớp 6 - Chi tiết'!$AM$14:$AM$267,MATCH($X57,'Lớp 6 - Chi tiết'!$I$14:$I$267,0)),""),""))</f>
        <v/>
      </c>
      <c r="BJ57" s="389" t="str">
        <f t="array" ref="BJ57">IF($X57="","",SWITCH($W57,3,IFERROR(INDEX('Lớp 3 - Công việc chính'!$AR$14:$AR$73,MATCH($X57,'Lớp 3 - Công việc chính'!$I$14:$I$73,0)),""),4,IFERROR(INDEX('Lớp 4 - Danh mục'!$AU$14:$AU$132,MATCH($X57,'Lớp 4 - Danh mục'!$I$14:$I$132,0)),""),5,IFERROR(INDEX('Lớp 5 - Phân công'!$AV$14:$AV$262,MATCH($X57,'Lớp 5 - Phân công'!$I$14:$I$262,0)),""),6,IFERROR(INDEX('Lớp 6 - Chi tiết'!$AY$14:$AY$267,MATCH($X57,'Lớp 6 - Chi tiết'!$I$14:$I$267,0)),""),""))</f>
        <v/>
      </c>
    </row>
    <row r="58" ht="15.75" customHeight="1">
      <c r="A58" s="294" t="str">
        <f t="shared" si="12"/>
        <v>        ├── ▒ L5  03.06.02  Phản biện với TGĐ &amp; liên PB Showroom</v>
      </c>
      <c r="B58" s="301" t="str">
        <f t="shared" si="13"/>
        <v>Em Đại</v>
      </c>
      <c r="C58" s="301" t="str">
        <f t="shared" si="14"/>
        <v>Dữ liệu điều hành</v>
      </c>
      <c r="D58" s="301" t="str">
        <f t="shared" si="15"/>
        <v>P2</v>
      </c>
      <c r="E58" s="301" t="str">
        <f t="shared" si="16"/>
        <v>Chưa bắt đầu</v>
      </c>
      <c r="F58" s="317">
        <f t="shared" si="17"/>
        <v>0</v>
      </c>
      <c r="G58" s="323">
        <f t="shared" si="18"/>
        <v>46310</v>
      </c>
      <c r="H58" s="327">
        <f t="shared" si="19"/>
        <v>9</v>
      </c>
      <c r="I58" s="327">
        <f t="shared" si="20"/>
        <v>8</v>
      </c>
      <c r="J58" s="301" t="str">
        <f t="shared" si="21"/>
        <v>🟢 Theo kế hoạch</v>
      </c>
      <c r="K58" s="301" t="str">
        <f t="shared" si="22"/>
        <v>Quá tải – tổng 20.0/8.0 giờ/ngày</v>
      </c>
      <c r="L58" s="344" t="str">
        <f t="array" ref="L58">IF($T58="","",LET(m,MATCH($T58,$AS$24:$AS$700,0),lvl,INDEX($W$24:$W$700,m),id,INDEX($X$24:$X$700,m),SWITCH(lvl,3,"Lớp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công!A40</v>
      </c>
      <c r="M58" s="351">
        <f t="shared" si="23"/>
        <v>0.8</v>
      </c>
      <c r="N58" s="356" t="str">
        <f t="shared" si="24"/>
        <v>Thiếu 0.4 giờ/tuần</v>
      </c>
      <c r="O58" s="358"/>
      <c r="P58" s="360"/>
      <c r="Q58" s="360"/>
      <c r="R58" s="67"/>
      <c r="S58" s="67"/>
      <c r="T58" s="67" t="str">
        <f>IFERROR(__xludf.DUMMYFUNCTION("""COMPUTED_VALUE"""),"03.06.02")</f>
        <v>03.06.02</v>
      </c>
      <c r="U58" s="389" t="str">
        <f>IF('Lớp 3 - Công việc chính'!I48="","",'Lớp 3 - Công việc chính'!I48)</f>
        <v/>
      </c>
      <c r="V58" s="389" t="str">
        <f>IF('Lớp 3 - Công việc chính'!I48="","","◆ "&amp;'Lớp 3 - Công việc chính'!M48)</f>
        <v/>
      </c>
      <c r="W58" s="389" t="str">
        <f>IF('Lớp 3 - Công việc chính'!I48="","",3)</f>
        <v/>
      </c>
      <c r="X58" s="67" t="str">
        <f>'Lớp 3 - Công việc chính'!I48</f>
        <v/>
      </c>
      <c r="Y58" s="389" t="str">
        <f t="shared" si="26"/>
        <v/>
      </c>
      <c r="Z58" s="67" t="str">
        <f>'Lớp 3 - Công việc chính'!V48</f>
        <v/>
      </c>
      <c r="AA58" s="67" t="str">
        <f>'Lớp 3 - Công việc chính'!W48</f>
        <v/>
      </c>
      <c r="AB58" s="67" t="str">
        <f>'Lớp 3 - Công việc chính'!Y48</f>
        <v/>
      </c>
      <c r="AC58" s="67" t="str">
        <f>'Lớp 3 - Công việc chính'!X48</f>
        <v/>
      </c>
      <c r="AD58" s="398" t="str">
        <f>'Lớp 3 - Công việc chính'!AC48</f>
        <v/>
      </c>
      <c r="AE58" s="358" t="str">
        <f>'Lớp 3 - Công việc chính'!AA48</f>
        <v/>
      </c>
      <c r="AF58" s="187" t="str">
        <f>'Lớp 3 - Công việc chính'!AD48</f>
        <v/>
      </c>
      <c r="AG58" s="104" t="str">
        <f>'Lớp 3 - Công việc chính'!AE48</f>
        <v/>
      </c>
      <c r="AH58" s="389" t="str">
        <f t="shared" si="27"/>
        <v/>
      </c>
      <c r="AI58" s="389" t="str">
        <f t="shared" si="37"/>
        <v>🔵 Chưa có hạn</v>
      </c>
      <c r="AJ58" s="67" t="str">
        <f>'Lớp 3 - Công việc chính'!AH48</f>
        <v/>
      </c>
      <c r="AL58" s="389" t="str">
        <f t="shared" si="28"/>
        <v/>
      </c>
      <c r="AM58" s="389" t="str">
        <f t="shared" si="29"/>
        <v/>
      </c>
      <c r="AN58" s="389" t="str">
        <f t="shared" si="30"/>
        <v/>
      </c>
      <c r="AS58" s="389" t="str">
        <f t="shared" si="31"/>
        <v/>
      </c>
      <c r="AT58" s="389" t="str">
        <f t="shared" si="32"/>
        <v/>
      </c>
      <c r="AU58" s="389" t="str">
        <f t="shared" si="33"/>
        <v/>
      </c>
      <c r="AV58" s="389" t="str">
        <f t="shared" si="34"/>
        <v/>
      </c>
      <c r="AW58" s="389" t="str">
        <f t="shared" si="35"/>
        <v/>
      </c>
      <c r="AX58" s="67" t="str">
        <f t="shared" ref="AX58:BH58" si="70">Z58</f>
        <v/>
      </c>
      <c r="AY58" s="67" t="str">
        <f t="shared" si="70"/>
        <v/>
      </c>
      <c r="AZ58" s="67" t="str">
        <f t="shared" si="70"/>
        <v/>
      </c>
      <c r="BA58" s="67" t="str">
        <f t="shared" si="70"/>
        <v/>
      </c>
      <c r="BB58" s="398" t="str">
        <f t="shared" si="70"/>
        <v/>
      </c>
      <c r="BC58" s="358" t="str">
        <f t="shared" si="70"/>
        <v/>
      </c>
      <c r="BD58" s="187" t="str">
        <f t="shared" si="70"/>
        <v/>
      </c>
      <c r="BE58" s="104" t="str">
        <f t="shared" si="70"/>
        <v/>
      </c>
      <c r="BF58" s="389" t="str">
        <f t="shared" si="70"/>
        <v/>
      </c>
      <c r="BG58" s="389" t="str">
        <f t="shared" si="70"/>
        <v>🔵 Chưa có hạn</v>
      </c>
      <c r="BH58" s="67" t="str">
        <f t="shared" si="70"/>
        <v/>
      </c>
      <c r="BI58" s="389" t="str">
        <f t="array" ref="BI58">IF($X58="","",SWITCH($W58,3,IFERROR(INDEX('Lớp 3 - Công việc chính'!$AF$14:$AF$73,MATCH($X58,'Lớp 3 - Công việc chính'!$I$14:$I$73,0)),""),4,IFERROR(INDEX('Lớp 4 - Danh mục'!$AI$14:$AI$132,MATCH($X58,'Lớp 4 - Danh mục'!$I$14:$I$132,0)),""),5,IFERROR(INDEX('Lớp 5 - Phân công'!$AJ$14:$AJ$262,MATCH($X58,'Lớp 5 - Phân công'!$I$14:$I$262,0)),""),6,IFERROR(INDEX('Lớp 6 - Chi tiết'!$AM$14:$AM$267,MATCH($X58,'Lớp 6 - Chi tiết'!$I$14:$I$267,0)),""),""))</f>
        <v/>
      </c>
      <c r="BJ58" s="389" t="str">
        <f t="array" ref="BJ58">IF($X58="","",SWITCH($W58,3,IFERROR(INDEX('Lớp 3 - Công việc chính'!$AR$14:$AR$73,MATCH($X58,'Lớp 3 - Công việc chính'!$I$14:$I$73,0)),""),4,IFERROR(INDEX('Lớp 4 - Danh mục'!$AU$14:$AU$132,MATCH($X58,'Lớp 4 - Danh mục'!$I$14:$I$132,0)),""),5,IFERROR(INDEX('Lớp 5 - Phân công'!$AV$14:$AV$262,MATCH($X58,'Lớp 5 - Phân công'!$I$14:$I$262,0)),""),6,IFERROR(INDEX('Lớp 6 - Chi tiết'!$AY$14:$AY$267,MATCH($X58,'Lớp 6 - Chi tiết'!$I$14:$I$267,0)),""),""))</f>
        <v/>
      </c>
    </row>
    <row r="59" ht="15.75" customHeight="1">
      <c r="A59" s="294" t="str">
        <f t="shared" si="12"/>
        <v>        ├── ▒ L5  03.06.03  XD bảng Excel &amp; HT phần mềm (chạy demo) Showroom</v>
      </c>
      <c r="B59" s="301" t="str">
        <f t="shared" si="13"/>
        <v>Em Đại</v>
      </c>
      <c r="C59" s="301" t="str">
        <f t="shared" si="14"/>
        <v>Dữ liệu điều hành</v>
      </c>
      <c r="D59" s="301" t="str">
        <f t="shared" si="15"/>
        <v>P2</v>
      </c>
      <c r="E59" s="301" t="str">
        <f t="shared" si="16"/>
        <v>Chưa bắt đầu</v>
      </c>
      <c r="F59" s="317">
        <f t="shared" si="17"/>
        <v>0</v>
      </c>
      <c r="G59" s="323">
        <f t="shared" si="18"/>
        <v>46305</v>
      </c>
      <c r="H59" s="327">
        <f t="shared" si="19"/>
        <v>5</v>
      </c>
      <c r="I59" s="327">
        <f t="shared" si="20"/>
        <v>24</v>
      </c>
      <c r="J59" s="301" t="str">
        <f t="shared" si="21"/>
        <v>🟢 Theo kế hoạch</v>
      </c>
      <c r="K59" s="301" t="str">
        <f t="shared" si="22"/>
        <v>Quá tải – tổng 13.6/8.0 giờ/ngày</v>
      </c>
      <c r="L59" s="344" t="str">
        <f t="array" ref="L59">IF($T59="","",LET(m,MATCH($T59,$AS$24:$AS$700,0),lvl,INDEX($W$24:$W$700,m),id,INDEX($X$24:$X$700,m),SWITCH(lvl,3,"Lớp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công!A41</v>
      </c>
      <c r="M59" s="351">
        <f t="shared" si="23"/>
        <v>0.8</v>
      </c>
      <c r="N59" s="356" t="str">
        <f t="shared" si="24"/>
        <v>Thiếu 20.0 giờ/tuần</v>
      </c>
      <c r="O59" s="358"/>
      <c r="P59" s="360"/>
      <c r="Q59" s="360"/>
      <c r="R59" s="67"/>
      <c r="S59" s="67"/>
      <c r="T59" s="67" t="str">
        <f>IFERROR(__xludf.DUMMYFUNCTION("""COMPUTED_VALUE"""),"03.06.03")</f>
        <v>03.06.03</v>
      </c>
      <c r="U59" s="389" t="str">
        <f>IF('Lớp 3 - Công việc chính'!I49="","",'Lớp 3 - Công việc chính'!I49)</f>
        <v/>
      </c>
      <c r="V59" s="389" t="str">
        <f>IF('Lớp 3 - Công việc chính'!I49="","","◆ "&amp;'Lớp 3 - Công việc chính'!M49)</f>
        <v/>
      </c>
      <c r="W59" s="389" t="str">
        <f>IF('Lớp 3 - Công việc chính'!I49="","",3)</f>
        <v/>
      </c>
      <c r="X59" s="67" t="str">
        <f>'Lớp 3 - Công việc chính'!I49</f>
        <v/>
      </c>
      <c r="Y59" s="389" t="str">
        <f t="shared" si="26"/>
        <v/>
      </c>
      <c r="Z59" s="67" t="str">
        <f>'Lớp 3 - Công việc chính'!V49</f>
        <v/>
      </c>
      <c r="AA59" s="67" t="str">
        <f>'Lớp 3 - Công việc chính'!W49</f>
        <v/>
      </c>
      <c r="AB59" s="67" t="str">
        <f>'Lớp 3 - Công việc chính'!Y49</f>
        <v/>
      </c>
      <c r="AC59" s="67" t="str">
        <f>'Lớp 3 - Công việc chính'!X49</f>
        <v/>
      </c>
      <c r="AD59" s="398" t="str">
        <f>'Lớp 3 - Công việc chính'!AC49</f>
        <v/>
      </c>
      <c r="AE59" s="358" t="str">
        <f>'Lớp 3 - Công việc chính'!AA49</f>
        <v/>
      </c>
      <c r="AF59" s="187" t="str">
        <f>'Lớp 3 - Công việc chính'!AD49</f>
        <v/>
      </c>
      <c r="AG59" s="104" t="str">
        <f>'Lớp 3 - Công việc chính'!AE49</f>
        <v/>
      </c>
      <c r="AH59" s="389" t="str">
        <f t="shared" si="27"/>
        <v/>
      </c>
      <c r="AI59" s="389" t="str">
        <f t="shared" si="37"/>
        <v>🔵 Chưa có hạn</v>
      </c>
      <c r="AJ59" s="67" t="str">
        <f>'Lớp 3 - Công việc chính'!AH49</f>
        <v/>
      </c>
      <c r="AL59" s="389" t="str">
        <f t="shared" si="28"/>
        <v/>
      </c>
      <c r="AM59" s="389" t="str">
        <f t="shared" si="29"/>
        <v/>
      </c>
      <c r="AN59" s="389" t="str">
        <f t="shared" si="30"/>
        <v/>
      </c>
      <c r="AS59" s="389" t="str">
        <f t="shared" si="31"/>
        <v/>
      </c>
      <c r="AT59" s="389" t="str">
        <f t="shared" si="32"/>
        <v/>
      </c>
      <c r="AU59" s="389" t="str">
        <f t="shared" si="33"/>
        <v/>
      </c>
      <c r="AV59" s="389" t="str">
        <f t="shared" si="34"/>
        <v/>
      </c>
      <c r="AW59" s="389" t="str">
        <f t="shared" si="35"/>
        <v/>
      </c>
      <c r="AX59" s="67" t="str">
        <f t="shared" ref="AX59:BH59" si="71">Z59</f>
        <v/>
      </c>
      <c r="AY59" s="67" t="str">
        <f t="shared" si="71"/>
        <v/>
      </c>
      <c r="AZ59" s="67" t="str">
        <f t="shared" si="71"/>
        <v/>
      </c>
      <c r="BA59" s="67" t="str">
        <f t="shared" si="71"/>
        <v/>
      </c>
      <c r="BB59" s="398" t="str">
        <f t="shared" si="71"/>
        <v/>
      </c>
      <c r="BC59" s="358" t="str">
        <f t="shared" si="71"/>
        <v/>
      </c>
      <c r="BD59" s="187" t="str">
        <f t="shared" si="71"/>
        <v/>
      </c>
      <c r="BE59" s="104" t="str">
        <f t="shared" si="71"/>
        <v/>
      </c>
      <c r="BF59" s="389" t="str">
        <f t="shared" si="71"/>
        <v/>
      </c>
      <c r="BG59" s="389" t="str">
        <f t="shared" si="71"/>
        <v>🔵 Chưa có hạn</v>
      </c>
      <c r="BH59" s="67" t="str">
        <f t="shared" si="71"/>
        <v/>
      </c>
      <c r="BI59" s="389" t="str">
        <f t="array" ref="BI59">IF($X59="","",SWITCH($W59,3,IFERROR(INDEX('Lớp 3 - Công việc chính'!$AF$14:$AF$73,MATCH($X59,'Lớp 3 - Công việc chính'!$I$14:$I$73,0)),""),4,IFERROR(INDEX('Lớp 4 - Danh mục'!$AI$14:$AI$132,MATCH($X59,'Lớp 4 - Danh mục'!$I$14:$I$132,0)),""),5,IFERROR(INDEX('Lớp 5 - Phân công'!$AJ$14:$AJ$262,MATCH($X59,'Lớp 5 - Phân công'!$I$14:$I$262,0)),""),6,IFERROR(INDEX('Lớp 6 - Chi tiết'!$AM$14:$AM$267,MATCH($X59,'Lớp 6 - Chi tiết'!$I$14:$I$267,0)),""),""))</f>
        <v/>
      </c>
      <c r="BJ59" s="389" t="str">
        <f t="array" ref="BJ59">IF($X59="","",SWITCH($W59,3,IFERROR(INDEX('Lớp 3 - Công việc chính'!$AR$14:$AR$73,MATCH($X59,'Lớp 3 - Công việc chính'!$I$14:$I$73,0)),""),4,IFERROR(INDEX('Lớp 4 - Danh mục'!$AU$14:$AU$132,MATCH($X59,'Lớp 4 - Danh mục'!$I$14:$I$132,0)),""),5,IFERROR(INDEX('Lớp 5 - Phân công'!$AV$14:$AV$262,MATCH($X59,'Lớp 5 - Phân công'!$I$14:$I$262,0)),""),6,IFERROR(INDEX('Lớp 6 - Chi tiết'!$AY$14:$AY$267,MATCH($X59,'Lớp 6 - Chi tiết'!$I$14:$I$267,0)),""),""))</f>
        <v/>
      </c>
    </row>
    <row r="60" ht="15.75" customHeight="1">
      <c r="A60" s="294" t="str">
        <f t="shared" si="12"/>
        <v>        ├── ▒ L5  03.06.04  Chạy tham số. Topdown Showroom</v>
      </c>
      <c r="B60" s="301" t="str">
        <f t="shared" si="13"/>
        <v>Em Đại</v>
      </c>
      <c r="C60" s="301" t="str">
        <f t="shared" si="14"/>
        <v>Dữ liệu điều hành</v>
      </c>
      <c r="D60" s="301" t="str">
        <f t="shared" si="15"/>
        <v>P2</v>
      </c>
      <c r="E60" s="301" t="str">
        <f t="shared" si="16"/>
        <v>Đã lên lịch</v>
      </c>
      <c r="F60" s="317" t="str">
        <f t="shared" si="17"/>
        <v/>
      </c>
      <c r="G60" s="323">
        <f t="shared" si="18"/>
        <v>46307</v>
      </c>
      <c r="H60" s="327">
        <f t="shared" si="19"/>
        <v>1</v>
      </c>
      <c r="I60" s="327">
        <f t="shared" si="20"/>
        <v>16</v>
      </c>
      <c r="J60" s="301" t="str">
        <f t="shared" si="21"/>
        <v>🟢 Theo kế hoạch</v>
      </c>
      <c r="K60" s="301" t="str">
        <f t="shared" si="22"/>
        <v>Cận tải – tổng 8.0/8.0 giờ/ngày</v>
      </c>
      <c r="L60" s="344" t="str">
        <f t="array" ref="L60">IF($T60="","",LET(m,MATCH($T60,$AS$24:$AS$700,0),lvl,INDEX($W$24:$W$700,m),id,INDEX($X$24:$X$700,m),SWITCH(lvl,3,"Lớp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công!A42</v>
      </c>
      <c r="M60" s="351">
        <f t="shared" si="23"/>
        <v>0.8</v>
      </c>
      <c r="N60" s="356" t="str">
        <f t="shared" si="24"/>
        <v>Thiếu 76.0 giờ/tuần</v>
      </c>
      <c r="O60" s="358"/>
      <c r="P60" s="360"/>
      <c r="Q60" s="360"/>
      <c r="R60" s="67"/>
      <c r="S60" s="67"/>
      <c r="T60" s="67" t="str">
        <f>IFERROR(__xludf.DUMMYFUNCTION("""COMPUTED_VALUE"""),"03.06.04")</f>
        <v>03.06.04</v>
      </c>
      <c r="U60" s="389" t="str">
        <f>IF('Lớp 3 - Công việc chính'!I50="","",'Lớp 3 - Công việc chính'!I50)</f>
        <v/>
      </c>
      <c r="V60" s="389" t="str">
        <f>IF('Lớp 3 - Công việc chính'!I50="","","◆ "&amp;'Lớp 3 - Công việc chính'!M50)</f>
        <v/>
      </c>
      <c r="W60" s="389" t="str">
        <f>IF('Lớp 3 - Công việc chính'!I50="","",3)</f>
        <v/>
      </c>
      <c r="X60" s="67" t="str">
        <f>'Lớp 3 - Công việc chính'!I50</f>
        <v/>
      </c>
      <c r="Y60" s="389" t="str">
        <f t="shared" si="26"/>
        <v/>
      </c>
      <c r="Z60" s="67" t="str">
        <f>'Lớp 3 - Công việc chính'!V50</f>
        <v/>
      </c>
      <c r="AA60" s="67" t="str">
        <f>'Lớp 3 - Công việc chính'!W50</f>
        <v/>
      </c>
      <c r="AB60" s="67" t="str">
        <f>'Lớp 3 - Công việc chính'!Y50</f>
        <v/>
      </c>
      <c r="AC60" s="67" t="str">
        <f>'Lớp 3 - Công việc chính'!X50</f>
        <v/>
      </c>
      <c r="AD60" s="398" t="str">
        <f>'Lớp 3 - Công việc chính'!AC50</f>
        <v/>
      </c>
      <c r="AE60" s="358" t="str">
        <f>'Lớp 3 - Công việc chính'!AA50</f>
        <v/>
      </c>
      <c r="AF60" s="187" t="str">
        <f>'Lớp 3 - Công việc chính'!AD50</f>
        <v/>
      </c>
      <c r="AG60" s="104" t="str">
        <f>'Lớp 3 - Công việc chính'!AE50</f>
        <v/>
      </c>
      <c r="AH60" s="389" t="str">
        <f t="shared" si="27"/>
        <v/>
      </c>
      <c r="AI60" s="389" t="str">
        <f t="shared" si="37"/>
        <v>🔵 Chưa có hạn</v>
      </c>
      <c r="AJ60" s="67" t="str">
        <f>'Lớp 3 - Công việc chính'!AH50</f>
        <v/>
      </c>
      <c r="AL60" s="389" t="str">
        <f t="shared" si="28"/>
        <v/>
      </c>
      <c r="AM60" s="389" t="str">
        <f t="shared" si="29"/>
        <v/>
      </c>
      <c r="AN60" s="389" t="str">
        <f t="shared" si="30"/>
        <v/>
      </c>
      <c r="AS60" s="389" t="str">
        <f t="shared" si="31"/>
        <v/>
      </c>
      <c r="AT60" s="389" t="str">
        <f t="shared" si="32"/>
        <v/>
      </c>
      <c r="AU60" s="389" t="str">
        <f t="shared" si="33"/>
        <v/>
      </c>
      <c r="AV60" s="389" t="str">
        <f t="shared" si="34"/>
        <v/>
      </c>
      <c r="AW60" s="389" t="str">
        <f t="shared" si="35"/>
        <v/>
      </c>
      <c r="AX60" s="67" t="str">
        <f t="shared" ref="AX60:BH60" si="72">Z60</f>
        <v/>
      </c>
      <c r="AY60" s="67" t="str">
        <f t="shared" si="72"/>
        <v/>
      </c>
      <c r="AZ60" s="67" t="str">
        <f t="shared" si="72"/>
        <v/>
      </c>
      <c r="BA60" s="67" t="str">
        <f t="shared" si="72"/>
        <v/>
      </c>
      <c r="BB60" s="398" t="str">
        <f t="shared" si="72"/>
        <v/>
      </c>
      <c r="BC60" s="358" t="str">
        <f t="shared" si="72"/>
        <v/>
      </c>
      <c r="BD60" s="187" t="str">
        <f t="shared" si="72"/>
        <v/>
      </c>
      <c r="BE60" s="104" t="str">
        <f t="shared" si="72"/>
        <v/>
      </c>
      <c r="BF60" s="389" t="str">
        <f t="shared" si="72"/>
        <v/>
      </c>
      <c r="BG60" s="389" t="str">
        <f t="shared" si="72"/>
        <v>🔵 Chưa có hạn</v>
      </c>
      <c r="BH60" s="67" t="str">
        <f t="shared" si="72"/>
        <v/>
      </c>
      <c r="BI60" s="389" t="str">
        <f t="array" ref="BI60">IF($X60="","",SWITCH($W60,3,IFERROR(INDEX('Lớp 3 - Công việc chính'!$AF$14:$AF$73,MATCH($X60,'Lớp 3 - Công việc chính'!$I$14:$I$73,0)),""),4,IFERROR(INDEX('Lớp 4 - Danh mục'!$AI$14:$AI$132,MATCH($X60,'Lớp 4 - Danh mục'!$I$14:$I$132,0)),""),5,IFERROR(INDEX('Lớp 5 - Phân công'!$AJ$14:$AJ$262,MATCH($X60,'Lớp 5 - Phân công'!$I$14:$I$262,0)),""),6,IFERROR(INDEX('Lớp 6 - Chi tiết'!$AM$14:$AM$267,MATCH($X60,'Lớp 6 - Chi tiết'!$I$14:$I$267,0)),""),""))</f>
        <v/>
      </c>
      <c r="BJ60" s="389" t="str">
        <f t="array" ref="BJ60">IF($X60="","",SWITCH($W60,3,IFERROR(INDEX('Lớp 3 - Công việc chính'!$AR$14:$AR$73,MATCH($X60,'Lớp 3 - Công việc chính'!$I$14:$I$73,0)),""),4,IFERROR(INDEX('Lớp 4 - Danh mục'!$AU$14:$AU$132,MATCH($X60,'Lớp 4 - Danh mục'!$I$14:$I$132,0)),""),5,IFERROR(INDEX('Lớp 5 - Phân công'!$AV$14:$AV$262,MATCH($X60,'Lớp 5 - Phân công'!$I$14:$I$262,0)),""),6,IFERROR(INDEX('Lớp 6 - Chi tiết'!$AY$14:$AY$267,MATCH($X60,'Lớp 6 - Chi tiết'!$I$14:$I$267,0)),""),""))</f>
        <v/>
      </c>
    </row>
    <row r="61" ht="15.75" customHeight="1">
      <c r="A61" s="294" t="str">
        <f t="shared" si="12"/>
        <v>        ├── ▒ L5  03.06.05  Chạy tham số Bottom-up theo khu vực vùng miền Showroom</v>
      </c>
      <c r="B61" s="301" t="str">
        <f t="shared" si="13"/>
        <v>Em Đại</v>
      </c>
      <c r="C61" s="301" t="str">
        <f t="shared" si="14"/>
        <v>Dữ liệu điều hành</v>
      </c>
      <c r="D61" s="301" t="str">
        <f t="shared" si="15"/>
        <v>P2</v>
      </c>
      <c r="E61" s="301" t="str">
        <f t="shared" si="16"/>
        <v>Đã lên lịch</v>
      </c>
      <c r="F61" s="317" t="str">
        <f t="shared" si="17"/>
        <v/>
      </c>
      <c r="G61" s="323">
        <f t="shared" si="18"/>
        <v>46320</v>
      </c>
      <c r="H61" s="327">
        <f t="shared" si="19"/>
        <v>11</v>
      </c>
      <c r="I61" s="327">
        <f t="shared" si="20"/>
        <v>16</v>
      </c>
      <c r="J61" s="301" t="str">
        <f t="shared" si="21"/>
        <v>🟢 Theo kế hoạch</v>
      </c>
      <c r="K61" s="301" t="str">
        <f t="shared" si="22"/>
        <v>Quá tải – tổng 10.4/8.0 giờ/ngày</v>
      </c>
      <c r="L61" s="344" t="str">
        <f t="array" ref="L61">IF($T61="","",LET(m,MATCH($T61,$AS$24:$AS$700,0),lvl,INDEX($W$24:$W$700,m),id,INDEX($X$24:$X$700,m),SWITCH(lvl,3,"Lớp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công!A43</v>
      </c>
      <c r="M61" s="351">
        <f t="shared" si="23"/>
        <v>0.8</v>
      </c>
      <c r="N61" s="356" t="str">
        <f t="shared" si="24"/>
        <v>Thiếu 3.3 giờ/tuần</v>
      </c>
      <c r="O61" s="358"/>
      <c r="P61" s="360"/>
      <c r="Q61" s="360"/>
      <c r="R61" s="67"/>
      <c r="S61" s="67"/>
      <c r="T61" s="67" t="str">
        <f>IFERROR(__xludf.DUMMYFUNCTION("""COMPUTED_VALUE"""),"03.06.05")</f>
        <v>03.06.05</v>
      </c>
      <c r="U61" s="389" t="str">
        <f>IF('Lớp 3 - Công việc chính'!I51="","",'Lớp 3 - Công việc chính'!I51)</f>
        <v/>
      </c>
      <c r="V61" s="389" t="str">
        <f>IF('Lớp 3 - Công việc chính'!I51="","","◆ "&amp;'Lớp 3 - Công việc chính'!M51)</f>
        <v/>
      </c>
      <c r="W61" s="389" t="str">
        <f>IF('Lớp 3 - Công việc chính'!I51="","",3)</f>
        <v/>
      </c>
      <c r="X61" s="67" t="str">
        <f>'Lớp 3 - Công việc chính'!I51</f>
        <v/>
      </c>
      <c r="Y61" s="389" t="str">
        <f t="shared" si="26"/>
        <v/>
      </c>
      <c r="Z61" s="67" t="str">
        <f>'Lớp 3 - Công việc chính'!V51</f>
        <v/>
      </c>
      <c r="AA61" s="67" t="str">
        <f>'Lớp 3 - Công việc chính'!W51</f>
        <v/>
      </c>
      <c r="AB61" s="67" t="str">
        <f>'Lớp 3 - Công việc chính'!Y51</f>
        <v/>
      </c>
      <c r="AC61" s="67" t="str">
        <f>'Lớp 3 - Công việc chính'!X51</f>
        <v/>
      </c>
      <c r="AD61" s="398" t="str">
        <f>'Lớp 3 - Công việc chính'!AC51</f>
        <v/>
      </c>
      <c r="AE61" s="358" t="str">
        <f>'Lớp 3 - Công việc chính'!AA51</f>
        <v/>
      </c>
      <c r="AF61" s="187" t="str">
        <f>'Lớp 3 - Công việc chính'!AD51</f>
        <v/>
      </c>
      <c r="AG61" s="104" t="str">
        <f>'Lớp 3 - Công việc chính'!AE51</f>
        <v/>
      </c>
      <c r="AH61" s="389" t="str">
        <f t="shared" si="27"/>
        <v/>
      </c>
      <c r="AI61" s="389" t="str">
        <f t="shared" si="37"/>
        <v>🔵 Chưa có hạn</v>
      </c>
      <c r="AJ61" s="67" t="str">
        <f>'Lớp 3 - Công việc chính'!AH51</f>
        <v/>
      </c>
      <c r="AS61" s="389" t="str">
        <f t="shared" si="31"/>
        <v/>
      </c>
      <c r="AT61" s="389" t="str">
        <f t="shared" si="32"/>
        <v/>
      </c>
      <c r="AU61" s="389" t="str">
        <f t="shared" si="33"/>
        <v/>
      </c>
      <c r="AV61" s="389" t="str">
        <f t="shared" si="34"/>
        <v/>
      </c>
      <c r="AW61" s="389" t="str">
        <f t="shared" si="35"/>
        <v/>
      </c>
      <c r="AX61" s="67" t="str">
        <f t="shared" ref="AX61:BH61" si="73">Z61</f>
        <v/>
      </c>
      <c r="AY61" s="67" t="str">
        <f t="shared" si="73"/>
        <v/>
      </c>
      <c r="AZ61" s="67" t="str">
        <f t="shared" si="73"/>
        <v/>
      </c>
      <c r="BA61" s="67" t="str">
        <f t="shared" si="73"/>
        <v/>
      </c>
      <c r="BB61" s="398" t="str">
        <f t="shared" si="73"/>
        <v/>
      </c>
      <c r="BC61" s="358" t="str">
        <f t="shared" si="73"/>
        <v/>
      </c>
      <c r="BD61" s="187" t="str">
        <f t="shared" si="73"/>
        <v/>
      </c>
      <c r="BE61" s="104" t="str">
        <f t="shared" si="73"/>
        <v/>
      </c>
      <c r="BF61" s="389" t="str">
        <f t="shared" si="73"/>
        <v/>
      </c>
      <c r="BG61" s="389" t="str">
        <f t="shared" si="73"/>
        <v>🔵 Chưa có hạn</v>
      </c>
      <c r="BH61" s="67" t="str">
        <f t="shared" si="73"/>
        <v/>
      </c>
      <c r="BI61" s="389" t="str">
        <f t="array" ref="BI61">IF($X61="","",SWITCH($W61,3,IFERROR(INDEX('Lớp 3 - Công việc chính'!$AF$14:$AF$73,MATCH($X61,'Lớp 3 - Công việc chính'!$I$14:$I$73,0)),""),4,IFERROR(INDEX('Lớp 4 - Danh mục'!$AI$14:$AI$132,MATCH($X61,'Lớp 4 - Danh mục'!$I$14:$I$132,0)),""),5,IFERROR(INDEX('Lớp 5 - Phân công'!$AJ$14:$AJ$262,MATCH($X61,'Lớp 5 - Phân công'!$I$14:$I$262,0)),""),6,IFERROR(INDEX('Lớp 6 - Chi tiết'!$AM$14:$AM$267,MATCH($X61,'Lớp 6 - Chi tiết'!$I$14:$I$267,0)),""),""))</f>
        <v/>
      </c>
      <c r="BJ61" s="389" t="str">
        <f t="array" ref="BJ61">IF($X61="","",SWITCH($W61,3,IFERROR(INDEX('Lớp 3 - Công việc chính'!$AR$14:$AR$73,MATCH($X61,'Lớp 3 - Công việc chính'!$I$14:$I$73,0)),""),4,IFERROR(INDEX('Lớp 4 - Danh mục'!$AU$14:$AU$132,MATCH($X61,'Lớp 4 - Danh mục'!$I$14:$I$132,0)),""),5,IFERROR(INDEX('Lớp 5 - Phân công'!$AV$14:$AV$262,MATCH($X61,'Lớp 5 - Phân công'!$I$14:$I$262,0)),""),6,IFERROR(INDEX('Lớp 6 - Chi tiết'!$AY$14:$AY$267,MATCH($X61,'Lớp 6 - Chi tiết'!$I$14:$I$267,0)),""),""))</f>
        <v/>
      </c>
    </row>
    <row r="62" ht="15.75" customHeight="1">
      <c r="A62" s="294" t="str">
        <f t="shared" si="12"/>
        <v>    ├─ ▓ L4  03.07  Xây dựng phần mềm &amp; Chạy Topdown thử nghiệm</v>
      </c>
      <c r="B62" s="301" t="str">
        <f t="shared" si="13"/>
        <v>Em Đại</v>
      </c>
      <c r="C62" s="301" t="str">
        <f t="shared" si="14"/>
        <v>Dữ liệu điều hành</v>
      </c>
      <c r="D62" s="301" t="str">
        <f t="shared" si="15"/>
        <v>P1</v>
      </c>
      <c r="E62" s="301" t="str">
        <f t="shared" si="16"/>
        <v>Chưa bắt đầu</v>
      </c>
      <c r="F62" s="317">
        <f t="shared" si="17"/>
        <v>0</v>
      </c>
      <c r="G62" s="323">
        <f t="shared" si="18"/>
        <v>46331</v>
      </c>
      <c r="H62" s="327">
        <f t="shared" si="19"/>
        <v>72</v>
      </c>
      <c r="I62" s="327">
        <f t="shared" si="20"/>
        <v>80</v>
      </c>
      <c r="J62" s="301" t="str">
        <f t="shared" si="21"/>
        <v>🟣 P1 trọng yếu</v>
      </c>
      <c r="K62" s="301" t="str">
        <f t="shared" si="22"/>
        <v>Theo dõi tải tại Lớp 5</v>
      </c>
      <c r="L62" s="344" t="str">
        <f t="array" ref="L62">IF($T62="","",LET(m,MATCH($T62,$AS$24:$AS$700,0),lvl,INDEX($W$24:$W$700,m),id,INDEX($X$24:$X$700,m),SWITCH(lvl,3,"Lớp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mục!A20</v>
      </c>
      <c r="M62" s="351" t="str">
        <f t="shared" si="23"/>
        <v/>
      </c>
      <c r="N62" s="356" t="str">
        <f t="shared" si="24"/>
        <v>Theo dõi phân bổ tại Lớp 5</v>
      </c>
      <c r="O62" s="358"/>
      <c r="P62" s="360"/>
      <c r="Q62" s="360"/>
      <c r="R62" s="67"/>
      <c r="S62" s="67"/>
      <c r="T62" s="67" t="str">
        <f>IFERROR(__xludf.DUMMYFUNCTION("""COMPUTED_VALUE"""),"03.07")</f>
        <v>03.07</v>
      </c>
      <c r="U62" s="389" t="str">
        <f>IF('Lớp 3 - Công việc chính'!I52="","",'Lớp 3 - Công việc chính'!I52)</f>
        <v/>
      </c>
      <c r="V62" s="389" t="str">
        <f>IF('Lớp 3 - Công việc chính'!I52="","","◆ "&amp;'Lớp 3 - Công việc chính'!M52)</f>
        <v/>
      </c>
      <c r="W62" s="389" t="str">
        <f>IF('Lớp 3 - Công việc chính'!I52="","",3)</f>
        <v/>
      </c>
      <c r="X62" s="67" t="str">
        <f>'Lớp 3 - Công việc chính'!I52</f>
        <v/>
      </c>
      <c r="Y62" s="389" t="str">
        <f t="shared" si="26"/>
        <v/>
      </c>
      <c r="Z62" s="67" t="str">
        <f>'Lớp 3 - Công việc chính'!V52</f>
        <v/>
      </c>
      <c r="AA62" s="67" t="str">
        <f>'Lớp 3 - Công việc chính'!W52</f>
        <v/>
      </c>
      <c r="AB62" s="67" t="str">
        <f>'Lớp 3 - Công việc chính'!Y52</f>
        <v/>
      </c>
      <c r="AC62" s="67" t="str">
        <f>'Lớp 3 - Công việc chính'!X52</f>
        <v/>
      </c>
      <c r="AD62" s="398" t="str">
        <f>'Lớp 3 - Công việc chính'!AC52</f>
        <v/>
      </c>
      <c r="AE62" s="358" t="str">
        <f>'Lớp 3 - Công việc chính'!AA52</f>
        <v/>
      </c>
      <c r="AF62" s="187" t="str">
        <f>'Lớp 3 - Công việc chính'!AD52</f>
        <v/>
      </c>
      <c r="AG62" s="104" t="str">
        <f>'Lớp 3 - Công việc chính'!AE52</f>
        <v/>
      </c>
      <c r="AH62" s="389" t="str">
        <f t="shared" si="27"/>
        <v/>
      </c>
      <c r="AI62" s="389" t="str">
        <f t="shared" si="37"/>
        <v>🔵 Chưa có hạn</v>
      </c>
      <c r="AJ62" s="67" t="str">
        <f>'Lớp 3 - Công việc chính'!AH52</f>
        <v/>
      </c>
      <c r="AS62" s="389" t="str">
        <f t="shared" si="31"/>
        <v/>
      </c>
      <c r="AT62" s="389" t="str">
        <f t="shared" si="32"/>
        <v/>
      </c>
      <c r="AU62" s="389" t="str">
        <f t="shared" si="33"/>
        <v/>
      </c>
      <c r="AV62" s="389" t="str">
        <f t="shared" si="34"/>
        <v/>
      </c>
      <c r="AW62" s="389" t="str">
        <f t="shared" si="35"/>
        <v/>
      </c>
      <c r="AX62" s="67" t="str">
        <f t="shared" ref="AX62:BH62" si="74">Z62</f>
        <v/>
      </c>
      <c r="AY62" s="67" t="str">
        <f t="shared" si="74"/>
        <v/>
      </c>
      <c r="AZ62" s="67" t="str">
        <f t="shared" si="74"/>
        <v/>
      </c>
      <c r="BA62" s="67" t="str">
        <f t="shared" si="74"/>
        <v/>
      </c>
      <c r="BB62" s="398" t="str">
        <f t="shared" si="74"/>
        <v/>
      </c>
      <c r="BC62" s="358" t="str">
        <f t="shared" si="74"/>
        <v/>
      </c>
      <c r="BD62" s="187" t="str">
        <f t="shared" si="74"/>
        <v/>
      </c>
      <c r="BE62" s="104" t="str">
        <f t="shared" si="74"/>
        <v/>
      </c>
      <c r="BF62" s="389" t="str">
        <f t="shared" si="74"/>
        <v/>
      </c>
      <c r="BG62" s="389" t="str">
        <f t="shared" si="74"/>
        <v>🔵 Chưa có hạn</v>
      </c>
      <c r="BH62" s="67" t="str">
        <f t="shared" si="74"/>
        <v/>
      </c>
      <c r="BI62" s="389" t="str">
        <f t="array" ref="BI62">IF($X62="","",SWITCH($W62,3,IFERROR(INDEX('Lớp 3 - Công việc chính'!$AF$14:$AF$73,MATCH($X62,'Lớp 3 - Công việc chính'!$I$14:$I$73,0)),""),4,IFERROR(INDEX('Lớp 4 - Danh mục'!$AI$14:$AI$132,MATCH($X62,'Lớp 4 - Danh mục'!$I$14:$I$132,0)),""),5,IFERROR(INDEX('Lớp 5 - Phân công'!$AJ$14:$AJ$262,MATCH($X62,'Lớp 5 - Phân công'!$I$14:$I$262,0)),""),6,IFERROR(INDEX('Lớp 6 - Chi tiết'!$AM$14:$AM$267,MATCH($X62,'Lớp 6 - Chi tiết'!$I$14:$I$267,0)),""),""))</f>
        <v/>
      </c>
      <c r="BJ62" s="389" t="str">
        <f t="array" ref="BJ62">IF($X62="","",SWITCH($W62,3,IFERROR(INDEX('Lớp 3 - Công việc chính'!$AR$14:$AR$73,MATCH($X62,'Lớp 3 - Công việc chính'!$I$14:$I$73,0)),""),4,IFERROR(INDEX('Lớp 4 - Danh mục'!$AU$14:$AU$132,MATCH($X62,'Lớp 4 - Danh mục'!$I$14:$I$132,0)),""),5,IFERROR(INDEX('Lớp 5 - Phân công'!$AV$14:$AV$262,MATCH($X62,'Lớp 5 - Phân công'!$I$14:$I$262,0)),""),6,IFERROR(INDEX('Lớp 6 - Chi tiết'!$AY$14:$AY$267,MATCH($X62,'Lớp 6 - Chi tiết'!$I$14:$I$267,0)),""),""))</f>
        <v/>
      </c>
    </row>
    <row r="63" ht="15.75" customHeight="1">
      <c r="A63" s="294" t="str">
        <f t="shared" si="12"/>
        <v>        ├── ▒ L5  03.07.01  Chốt đề bài DL phần mềm</v>
      </c>
      <c r="B63" s="301" t="str">
        <f t="shared" si="13"/>
        <v>Em Đại</v>
      </c>
      <c r="C63" s="301" t="str">
        <f t="shared" si="14"/>
        <v>Dữ liệu điều hành</v>
      </c>
      <c r="D63" s="301" t="str">
        <f t="shared" si="15"/>
        <v>P2</v>
      </c>
      <c r="E63" s="301" t="str">
        <f t="shared" si="16"/>
        <v>Chưa bắt đầu</v>
      </c>
      <c r="F63" s="317">
        <f t="shared" si="17"/>
        <v>0</v>
      </c>
      <c r="G63" s="323">
        <f t="shared" si="18"/>
        <v>46310</v>
      </c>
      <c r="H63" s="327">
        <f t="shared" si="19"/>
        <v>10</v>
      </c>
      <c r="I63" s="327">
        <f t="shared" si="20"/>
        <v>16</v>
      </c>
      <c r="J63" s="301" t="str">
        <f t="shared" si="21"/>
        <v>🟢 Theo kế hoạch</v>
      </c>
      <c r="K63" s="301" t="str">
        <f t="shared" si="22"/>
        <v>Quá tải – tổng 24.0/8.0 giờ/ngày</v>
      </c>
      <c r="L63" s="344" t="str">
        <f t="array" ref="L63">IF($T63="","",LET(m,MATCH($T63,$AS$24:$AS$700,0),lvl,INDEX($W$24:$W$700,m),id,INDEX($X$24:$X$700,m),SWITCH(lvl,3,"Lớp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công!A44</v>
      </c>
      <c r="M63" s="351">
        <f t="shared" si="23"/>
        <v>0.8</v>
      </c>
      <c r="N63" s="356" t="str">
        <f t="shared" si="24"/>
        <v>Thiếu 4.0 giờ/tuần</v>
      </c>
      <c r="O63" s="358"/>
      <c r="P63" s="360"/>
      <c r="Q63" s="360"/>
      <c r="R63" s="67"/>
      <c r="S63" s="67"/>
      <c r="T63" s="67" t="str">
        <f>IFERROR(__xludf.DUMMYFUNCTION("""COMPUTED_VALUE"""),"03.07.01")</f>
        <v>03.07.01</v>
      </c>
      <c r="U63" s="389" t="str">
        <f>IF('Lớp 3 - Công việc chính'!I53="","",'Lớp 3 - Công việc chính'!I53)</f>
        <v/>
      </c>
      <c r="V63" s="389" t="str">
        <f>IF('Lớp 3 - Công việc chính'!I53="","","◆ "&amp;'Lớp 3 - Công việc chính'!M53)</f>
        <v/>
      </c>
      <c r="W63" s="389" t="str">
        <f>IF('Lớp 3 - Công việc chính'!I53="","",3)</f>
        <v/>
      </c>
      <c r="X63" s="67" t="str">
        <f>'Lớp 3 - Công việc chính'!I53</f>
        <v/>
      </c>
      <c r="Y63" s="389" t="str">
        <f t="shared" si="26"/>
        <v/>
      </c>
      <c r="Z63" s="67" t="str">
        <f>'Lớp 3 - Công việc chính'!V53</f>
        <v/>
      </c>
      <c r="AA63" s="67" t="str">
        <f>'Lớp 3 - Công việc chính'!W53</f>
        <v/>
      </c>
      <c r="AB63" s="67" t="str">
        <f>'Lớp 3 - Công việc chính'!Y53</f>
        <v/>
      </c>
      <c r="AC63" s="67" t="str">
        <f>'Lớp 3 - Công việc chính'!X53</f>
        <v/>
      </c>
      <c r="AD63" s="398" t="str">
        <f>'Lớp 3 - Công việc chính'!AC53</f>
        <v/>
      </c>
      <c r="AE63" s="358" t="str">
        <f>'Lớp 3 - Công việc chính'!AA53</f>
        <v/>
      </c>
      <c r="AF63" s="187" t="str">
        <f>'Lớp 3 - Công việc chính'!AD53</f>
        <v/>
      </c>
      <c r="AG63" s="104" t="str">
        <f>'Lớp 3 - Công việc chính'!AE53</f>
        <v/>
      </c>
      <c r="AH63" s="389" t="str">
        <f t="shared" si="27"/>
        <v/>
      </c>
      <c r="AI63" s="389" t="str">
        <f t="shared" si="37"/>
        <v>🔵 Chưa có hạn</v>
      </c>
      <c r="AJ63" s="67" t="str">
        <f>'Lớp 3 - Công việc chính'!AH53</f>
        <v/>
      </c>
      <c r="AS63" s="389" t="str">
        <f t="shared" si="31"/>
        <v/>
      </c>
      <c r="AT63" s="389" t="str">
        <f t="shared" si="32"/>
        <v/>
      </c>
      <c r="AU63" s="389" t="str">
        <f t="shared" si="33"/>
        <v/>
      </c>
      <c r="AV63" s="389" t="str">
        <f t="shared" si="34"/>
        <v/>
      </c>
      <c r="AW63" s="389" t="str">
        <f t="shared" si="35"/>
        <v/>
      </c>
      <c r="AX63" s="67" t="str">
        <f t="shared" ref="AX63:BH63" si="75">Z63</f>
        <v/>
      </c>
      <c r="AY63" s="67" t="str">
        <f t="shared" si="75"/>
        <v/>
      </c>
      <c r="AZ63" s="67" t="str">
        <f t="shared" si="75"/>
        <v/>
      </c>
      <c r="BA63" s="67" t="str">
        <f t="shared" si="75"/>
        <v/>
      </c>
      <c r="BB63" s="398" t="str">
        <f t="shared" si="75"/>
        <v/>
      </c>
      <c r="BC63" s="358" t="str">
        <f t="shared" si="75"/>
        <v/>
      </c>
      <c r="BD63" s="187" t="str">
        <f t="shared" si="75"/>
        <v/>
      </c>
      <c r="BE63" s="104" t="str">
        <f t="shared" si="75"/>
        <v/>
      </c>
      <c r="BF63" s="389" t="str">
        <f t="shared" si="75"/>
        <v/>
      </c>
      <c r="BG63" s="389" t="str">
        <f t="shared" si="75"/>
        <v>🔵 Chưa có hạn</v>
      </c>
      <c r="BH63" s="67" t="str">
        <f t="shared" si="75"/>
        <v/>
      </c>
      <c r="BI63" s="389" t="str">
        <f t="array" ref="BI63">IF($X63="","",SWITCH($W63,3,IFERROR(INDEX('Lớp 3 - Công việc chính'!$AF$14:$AF$73,MATCH($X63,'Lớp 3 - Công việc chính'!$I$14:$I$73,0)),""),4,IFERROR(INDEX('Lớp 4 - Danh mục'!$AI$14:$AI$132,MATCH($X63,'Lớp 4 - Danh mục'!$I$14:$I$132,0)),""),5,IFERROR(INDEX('Lớp 5 - Phân công'!$AJ$14:$AJ$262,MATCH($X63,'Lớp 5 - Phân công'!$I$14:$I$262,0)),""),6,IFERROR(INDEX('Lớp 6 - Chi tiết'!$AM$14:$AM$267,MATCH($X63,'Lớp 6 - Chi tiết'!$I$14:$I$267,0)),""),""))</f>
        <v/>
      </c>
      <c r="BJ63" s="389" t="str">
        <f t="array" ref="BJ63">IF($X63="","",SWITCH($W63,3,IFERROR(INDEX('Lớp 3 - Công việc chính'!$AR$14:$AR$73,MATCH($X63,'Lớp 3 - Công việc chính'!$I$14:$I$73,0)),""),4,IFERROR(INDEX('Lớp 4 - Danh mục'!$AU$14:$AU$132,MATCH($X63,'Lớp 4 - Danh mục'!$I$14:$I$132,0)),""),5,IFERROR(INDEX('Lớp 5 - Phân công'!$AV$14:$AV$262,MATCH($X63,'Lớp 5 - Phân công'!$I$14:$I$262,0)),""),6,IFERROR(INDEX('Lớp 6 - Chi tiết'!$AY$14:$AY$267,MATCH($X63,'Lớp 6 - Chi tiết'!$I$14:$I$267,0)),""),""))</f>
        <v/>
      </c>
    </row>
    <row r="64" ht="15.75" customHeight="1">
      <c r="A64" s="294" t="str">
        <f t="shared" si="12"/>
        <v>        ├── ▒ L5  03.07.02  Chạy thử nghiệm topdown Total bằng phần mềm</v>
      </c>
      <c r="B64" s="301" t="str">
        <f t="shared" si="13"/>
        <v>Em Đại</v>
      </c>
      <c r="C64" s="301" t="str">
        <f t="shared" si="14"/>
        <v>Dữ liệu điều hành</v>
      </c>
      <c r="D64" s="301" t="str">
        <f t="shared" si="15"/>
        <v>P2</v>
      </c>
      <c r="E64" s="301" t="str">
        <f t="shared" si="16"/>
        <v>Chưa bắt đầu</v>
      </c>
      <c r="F64" s="317">
        <f t="shared" si="17"/>
        <v>0</v>
      </c>
      <c r="G64" s="323">
        <f t="shared" si="18"/>
        <v>46320</v>
      </c>
      <c r="H64" s="327">
        <f t="shared" si="19"/>
        <v>8</v>
      </c>
      <c r="I64" s="327">
        <f t="shared" si="20"/>
        <v>8</v>
      </c>
      <c r="J64" s="301" t="str">
        <f t="shared" si="21"/>
        <v>🟢 Theo kế hoạch</v>
      </c>
      <c r="K64" s="301" t="str">
        <f t="shared" si="22"/>
        <v>Bình thường – tổng 5.6/8.0 giờ/ngày</v>
      </c>
      <c r="L64" s="344" t="str">
        <f t="array" ref="L64">IF($T64="","",LET(m,MATCH($T64,$AS$24:$AS$700,0),lvl,INDEX($W$24:$W$700,m),id,INDEX($X$24:$X$700,m),SWITCH(lvl,3,"Lớp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công!A45</v>
      </c>
      <c r="M64" s="351">
        <f t="shared" si="23"/>
        <v>0.8</v>
      </c>
      <c r="N64" s="356" t="str">
        <f t="shared" si="24"/>
        <v>Thiếu 1.0 giờ/tuần</v>
      </c>
      <c r="O64" s="358"/>
      <c r="P64" s="360"/>
      <c r="Q64" s="360"/>
      <c r="R64" s="67"/>
      <c r="S64" s="67"/>
      <c r="T64" s="67" t="str">
        <f>IFERROR(__xludf.DUMMYFUNCTION("""COMPUTED_VALUE"""),"03.07.02")</f>
        <v>03.07.02</v>
      </c>
      <c r="U64" s="389" t="str">
        <f>IF('Lớp 3 - Công việc chính'!I54="","",'Lớp 3 - Công việc chính'!I54)</f>
        <v/>
      </c>
      <c r="V64" s="389" t="str">
        <f>IF('Lớp 3 - Công việc chính'!I54="","","◆ "&amp;'Lớp 3 - Công việc chính'!M54)</f>
        <v/>
      </c>
      <c r="W64" s="389" t="str">
        <f>IF('Lớp 3 - Công việc chính'!I54="","",3)</f>
        <v/>
      </c>
      <c r="X64" s="67" t="str">
        <f>'Lớp 3 - Công việc chính'!I54</f>
        <v/>
      </c>
      <c r="Y64" s="389" t="str">
        <f t="shared" si="26"/>
        <v/>
      </c>
      <c r="Z64" s="67" t="str">
        <f>'Lớp 3 - Công việc chính'!V54</f>
        <v/>
      </c>
      <c r="AA64" s="67" t="str">
        <f>'Lớp 3 - Công việc chính'!W54</f>
        <v/>
      </c>
      <c r="AB64" s="67" t="str">
        <f>'Lớp 3 - Công việc chính'!Y54</f>
        <v/>
      </c>
      <c r="AC64" s="67" t="str">
        <f>'Lớp 3 - Công việc chính'!X54</f>
        <v/>
      </c>
      <c r="AD64" s="398" t="str">
        <f>'Lớp 3 - Công việc chính'!AC54</f>
        <v/>
      </c>
      <c r="AE64" s="358" t="str">
        <f>'Lớp 3 - Công việc chính'!AA54</f>
        <v/>
      </c>
      <c r="AF64" s="187" t="str">
        <f>'Lớp 3 - Công việc chính'!AD54</f>
        <v/>
      </c>
      <c r="AG64" s="104" t="str">
        <f>'Lớp 3 - Công việc chính'!AE54</f>
        <v/>
      </c>
      <c r="AH64" s="389" t="str">
        <f t="shared" si="27"/>
        <v/>
      </c>
      <c r="AI64" s="389" t="str">
        <f t="shared" si="37"/>
        <v>🔵 Chưa có hạn</v>
      </c>
      <c r="AJ64" s="67" t="str">
        <f>'Lớp 3 - Công việc chính'!AH54</f>
        <v/>
      </c>
      <c r="AS64" s="389" t="str">
        <f t="shared" si="31"/>
        <v/>
      </c>
      <c r="AT64" s="389" t="str">
        <f t="shared" si="32"/>
        <v/>
      </c>
      <c r="AU64" s="389" t="str">
        <f t="shared" si="33"/>
        <v/>
      </c>
      <c r="AV64" s="389" t="str">
        <f t="shared" si="34"/>
        <v/>
      </c>
      <c r="AW64" s="389" t="str">
        <f t="shared" si="35"/>
        <v/>
      </c>
      <c r="AX64" s="67" t="str">
        <f t="shared" ref="AX64:BH64" si="76">Z64</f>
        <v/>
      </c>
      <c r="AY64" s="67" t="str">
        <f t="shared" si="76"/>
        <v/>
      </c>
      <c r="AZ64" s="67" t="str">
        <f t="shared" si="76"/>
        <v/>
      </c>
      <c r="BA64" s="67" t="str">
        <f t="shared" si="76"/>
        <v/>
      </c>
      <c r="BB64" s="398" t="str">
        <f t="shared" si="76"/>
        <v/>
      </c>
      <c r="BC64" s="358" t="str">
        <f t="shared" si="76"/>
        <v/>
      </c>
      <c r="BD64" s="187" t="str">
        <f t="shared" si="76"/>
        <v/>
      </c>
      <c r="BE64" s="104" t="str">
        <f t="shared" si="76"/>
        <v/>
      </c>
      <c r="BF64" s="389" t="str">
        <f t="shared" si="76"/>
        <v/>
      </c>
      <c r="BG64" s="389" t="str">
        <f t="shared" si="76"/>
        <v>🔵 Chưa có hạn</v>
      </c>
      <c r="BH64" s="67" t="str">
        <f t="shared" si="76"/>
        <v/>
      </c>
      <c r="BI64" s="389" t="str">
        <f t="array" ref="BI64">IF($X64="","",SWITCH($W64,3,IFERROR(INDEX('Lớp 3 - Công việc chính'!$AF$14:$AF$73,MATCH($X64,'Lớp 3 - Công việc chính'!$I$14:$I$73,0)),""),4,IFERROR(INDEX('Lớp 4 - Danh mục'!$AI$14:$AI$132,MATCH($X64,'Lớp 4 - Danh mục'!$I$14:$I$132,0)),""),5,IFERROR(INDEX('Lớp 5 - Phân công'!$AJ$14:$AJ$262,MATCH($X64,'Lớp 5 - Phân công'!$I$14:$I$262,0)),""),6,IFERROR(INDEX('Lớp 6 - Chi tiết'!$AM$14:$AM$267,MATCH($X64,'Lớp 6 - Chi tiết'!$I$14:$I$267,0)),""),""))</f>
        <v/>
      </c>
      <c r="BJ64" s="389" t="str">
        <f t="array" ref="BJ64">IF($X64="","",SWITCH($W64,3,IFERROR(INDEX('Lớp 3 - Công việc chính'!$AR$14:$AR$73,MATCH($X64,'Lớp 3 - Công việc chính'!$I$14:$I$73,0)),""),4,IFERROR(INDEX('Lớp 4 - Danh mục'!$AU$14:$AU$132,MATCH($X64,'Lớp 4 - Danh mục'!$I$14:$I$132,0)),""),5,IFERROR(INDEX('Lớp 5 - Phân công'!$AV$14:$AV$262,MATCH($X64,'Lớp 5 - Phân công'!$I$14:$I$262,0)),""),6,IFERROR(INDEX('Lớp 6 - Chi tiết'!$AY$14:$AY$267,MATCH($X64,'Lớp 6 - Chi tiết'!$I$14:$I$267,0)),""),""))</f>
        <v/>
      </c>
    </row>
    <row r="65" ht="15.75" customHeight="1">
      <c r="A65" s="294" t="str">
        <f t="shared" si="12"/>
        <v>        ├── ▒ L5  03.07.03  Đào tạo phần mềm</v>
      </c>
      <c r="B65" s="301" t="str">
        <f t="shared" si="13"/>
        <v>Em Đại</v>
      </c>
      <c r="C65" s="301" t="str">
        <f t="shared" si="14"/>
        <v>Dữ liệu điều hành</v>
      </c>
      <c r="D65" s="301" t="str">
        <f t="shared" si="15"/>
        <v>P2</v>
      </c>
      <c r="E65" s="301" t="str">
        <f t="shared" si="16"/>
        <v>Chưa bắt đầu</v>
      </c>
      <c r="F65" s="317">
        <f t="shared" si="17"/>
        <v>0</v>
      </c>
      <c r="G65" s="323">
        <f t="shared" si="18"/>
        <v>46254</v>
      </c>
      <c r="H65" s="327">
        <f t="shared" si="19"/>
        <v>0</v>
      </c>
      <c r="I65" s="327">
        <f t="shared" si="20"/>
        <v>24</v>
      </c>
      <c r="J65" s="301" t="str">
        <f t="shared" si="21"/>
        <v>🟢 Theo kế hoạch</v>
      </c>
      <c r="K65" s="301" t="str">
        <f t="shared" si="22"/>
        <v>Bình thường – tổng 0.0/8.0 giờ/ngày</v>
      </c>
      <c r="L65" s="344" t="str">
        <f t="array" ref="L65">IF($T65="","",LET(m,MATCH($T65,$AS$24:$AS$700,0),lvl,INDEX($W$24:$W$700,m),id,INDEX($X$24:$X$700,m),SWITCH(lvl,3,"Lớp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công!A46</v>
      </c>
      <c r="M65" s="351">
        <f t="shared" si="23"/>
        <v>0.8</v>
      </c>
      <c r="N65" s="356" t="str">
        <f t="shared" si="24"/>
        <v>Thiếu 116.0 giờ/tuần</v>
      </c>
      <c r="O65" s="358"/>
      <c r="P65" s="360"/>
      <c r="Q65" s="360"/>
      <c r="R65" s="67"/>
      <c r="S65" s="67"/>
      <c r="T65" s="67" t="str">
        <f>IFERROR(__xludf.DUMMYFUNCTION("""COMPUTED_VALUE"""),"03.07.03")</f>
        <v>03.07.03</v>
      </c>
      <c r="U65" s="389" t="str">
        <f>IF('Lớp 3 - Công việc chính'!I55="","",'Lớp 3 - Công việc chính'!I55)</f>
        <v/>
      </c>
      <c r="V65" s="389" t="str">
        <f>IF('Lớp 3 - Công việc chính'!I55="","","◆ "&amp;'Lớp 3 - Công việc chính'!M55)</f>
        <v/>
      </c>
      <c r="W65" s="389" t="str">
        <f>IF('Lớp 3 - Công việc chính'!I55="","",3)</f>
        <v/>
      </c>
      <c r="X65" s="67" t="str">
        <f>'Lớp 3 - Công việc chính'!I55</f>
        <v/>
      </c>
      <c r="Y65" s="389" t="str">
        <f t="shared" si="26"/>
        <v/>
      </c>
      <c r="Z65" s="67" t="str">
        <f>'Lớp 3 - Công việc chính'!V55</f>
        <v/>
      </c>
      <c r="AA65" s="67" t="str">
        <f>'Lớp 3 - Công việc chính'!W55</f>
        <v/>
      </c>
      <c r="AB65" s="67" t="str">
        <f>'Lớp 3 - Công việc chính'!Y55</f>
        <v/>
      </c>
      <c r="AC65" s="67" t="str">
        <f>'Lớp 3 - Công việc chính'!X55</f>
        <v/>
      </c>
      <c r="AD65" s="398" t="str">
        <f>'Lớp 3 - Công việc chính'!AC55</f>
        <v/>
      </c>
      <c r="AE65" s="358" t="str">
        <f>'Lớp 3 - Công việc chính'!AA55</f>
        <v/>
      </c>
      <c r="AF65" s="187" t="str">
        <f>'Lớp 3 - Công việc chính'!AD55</f>
        <v/>
      </c>
      <c r="AG65" s="104" t="str">
        <f>'Lớp 3 - Công việc chính'!AE55</f>
        <v/>
      </c>
      <c r="AH65" s="389" t="str">
        <f t="shared" si="27"/>
        <v/>
      </c>
      <c r="AI65" s="389" t="str">
        <f t="shared" si="37"/>
        <v>🔵 Chưa có hạn</v>
      </c>
      <c r="AJ65" s="67" t="str">
        <f>'Lớp 3 - Công việc chính'!AH55</f>
        <v/>
      </c>
      <c r="AS65" s="389" t="str">
        <f t="shared" si="31"/>
        <v/>
      </c>
      <c r="AT65" s="389" t="str">
        <f t="shared" si="32"/>
        <v/>
      </c>
      <c r="AU65" s="389" t="str">
        <f t="shared" si="33"/>
        <v/>
      </c>
      <c r="AV65" s="389" t="str">
        <f t="shared" si="34"/>
        <v/>
      </c>
      <c r="AW65" s="389" t="str">
        <f t="shared" si="35"/>
        <v/>
      </c>
      <c r="AX65" s="67" t="str">
        <f t="shared" ref="AX65:BH65" si="77">Z65</f>
        <v/>
      </c>
      <c r="AY65" s="67" t="str">
        <f t="shared" si="77"/>
        <v/>
      </c>
      <c r="AZ65" s="67" t="str">
        <f t="shared" si="77"/>
        <v/>
      </c>
      <c r="BA65" s="67" t="str">
        <f t="shared" si="77"/>
        <v/>
      </c>
      <c r="BB65" s="398" t="str">
        <f t="shared" si="77"/>
        <v/>
      </c>
      <c r="BC65" s="358" t="str">
        <f t="shared" si="77"/>
        <v/>
      </c>
      <c r="BD65" s="187" t="str">
        <f t="shared" si="77"/>
        <v/>
      </c>
      <c r="BE65" s="104" t="str">
        <f t="shared" si="77"/>
        <v/>
      </c>
      <c r="BF65" s="389" t="str">
        <f t="shared" si="77"/>
        <v/>
      </c>
      <c r="BG65" s="389" t="str">
        <f t="shared" si="77"/>
        <v>🔵 Chưa có hạn</v>
      </c>
      <c r="BH65" s="67" t="str">
        <f t="shared" si="77"/>
        <v/>
      </c>
      <c r="BI65" s="389" t="str">
        <f t="array" ref="BI65">IF($X65="","",SWITCH($W65,3,IFERROR(INDEX('Lớp 3 - Công việc chính'!$AF$14:$AF$73,MATCH($X65,'Lớp 3 - Công việc chính'!$I$14:$I$73,0)),""),4,IFERROR(INDEX('Lớp 4 - Danh mục'!$AI$14:$AI$132,MATCH($X65,'Lớp 4 - Danh mục'!$I$14:$I$132,0)),""),5,IFERROR(INDEX('Lớp 5 - Phân công'!$AJ$14:$AJ$262,MATCH($X65,'Lớp 5 - Phân công'!$I$14:$I$262,0)),""),6,IFERROR(INDEX('Lớp 6 - Chi tiết'!$AM$14:$AM$267,MATCH($X65,'Lớp 6 - Chi tiết'!$I$14:$I$267,0)),""),""))</f>
        <v/>
      </c>
      <c r="BJ65" s="389" t="str">
        <f t="array" ref="BJ65">IF($X65="","",SWITCH($W65,3,IFERROR(INDEX('Lớp 3 - Công việc chính'!$AR$14:$AR$73,MATCH($X65,'Lớp 3 - Công việc chính'!$I$14:$I$73,0)),""),4,IFERROR(INDEX('Lớp 4 - Danh mục'!$AU$14:$AU$132,MATCH($X65,'Lớp 4 - Danh mục'!$I$14:$I$132,0)),""),5,IFERROR(INDEX('Lớp 5 - Phân công'!$AV$14:$AV$262,MATCH($X65,'Lớp 5 - Phân công'!$I$14:$I$262,0)),""),6,IFERROR(INDEX('Lớp 6 - Chi tiết'!$AY$14:$AY$267,MATCH($X65,'Lớp 6 - Chi tiết'!$I$14:$I$267,0)),""),""))</f>
        <v/>
      </c>
    </row>
    <row r="66" ht="15.75" customHeight="1">
      <c r="A66" s="294" t="str">
        <f t="shared" si="12"/>
        <v>        ├── ▒ L5  03.07.04  Chạy thử nghiệm bottom-up Total bằng phần mềm</v>
      </c>
      <c r="B66" s="301" t="str">
        <f t="shared" si="13"/>
        <v>Em Đại</v>
      </c>
      <c r="C66" s="301" t="str">
        <f t="shared" si="14"/>
        <v>Dữ liệu điều hành</v>
      </c>
      <c r="D66" s="301" t="str">
        <f t="shared" si="15"/>
        <v>P2</v>
      </c>
      <c r="E66" s="301" t="str">
        <f t="shared" si="16"/>
        <v>Đã lên lịch</v>
      </c>
      <c r="F66" s="317" t="str">
        <f t="shared" si="17"/>
        <v/>
      </c>
      <c r="G66" s="323">
        <f t="shared" si="18"/>
        <v>46317</v>
      </c>
      <c r="H66" s="327">
        <f t="shared" si="19"/>
        <v>2</v>
      </c>
      <c r="I66" s="327">
        <f t="shared" si="20"/>
        <v>16</v>
      </c>
      <c r="J66" s="301" t="str">
        <f t="shared" si="21"/>
        <v>🟢 Theo kế hoạch</v>
      </c>
      <c r="K66" s="301" t="str">
        <f t="shared" si="22"/>
        <v>Bình thường – tổng 4.8/8.0 giờ/ngày</v>
      </c>
      <c r="L66" s="344" t="str">
        <f t="array" ref="L66">IF($T66="","",LET(m,MATCH($T66,$AS$24:$AS$700,0),lvl,INDEX($W$24:$W$700,m),id,INDEX($X$24:$X$700,m),SWITCH(lvl,3,"Lớp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công!A47</v>
      </c>
      <c r="M66" s="351">
        <f t="shared" si="23"/>
        <v>0.8</v>
      </c>
      <c r="N66" s="356" t="str">
        <f t="shared" si="24"/>
        <v>Thiếu 36.0 giờ/tuần</v>
      </c>
      <c r="O66" s="358"/>
      <c r="P66" s="360"/>
      <c r="Q66" s="360"/>
      <c r="R66" s="67"/>
      <c r="S66" s="67"/>
      <c r="T66" s="67" t="str">
        <f>IFERROR(__xludf.DUMMYFUNCTION("""COMPUTED_VALUE"""),"03.07.04")</f>
        <v>03.07.04</v>
      </c>
      <c r="U66" s="389" t="str">
        <f>IF('Lớp 3 - Công việc chính'!I56="","",'Lớp 3 - Công việc chính'!I56)</f>
        <v/>
      </c>
      <c r="V66" s="389" t="str">
        <f>IF('Lớp 3 - Công việc chính'!I56="","","◆ "&amp;'Lớp 3 - Công việc chính'!M56)</f>
        <v/>
      </c>
      <c r="W66" s="389" t="str">
        <f>IF('Lớp 3 - Công việc chính'!I56="","",3)</f>
        <v/>
      </c>
      <c r="X66" s="67" t="str">
        <f>'Lớp 3 - Công việc chính'!I56</f>
        <v/>
      </c>
      <c r="Y66" s="389" t="str">
        <f t="shared" si="26"/>
        <v/>
      </c>
      <c r="Z66" s="67" t="str">
        <f>'Lớp 3 - Công việc chính'!V56</f>
        <v/>
      </c>
      <c r="AA66" s="67" t="str">
        <f>'Lớp 3 - Công việc chính'!W56</f>
        <v/>
      </c>
      <c r="AB66" s="67" t="str">
        <f>'Lớp 3 - Công việc chính'!Y56</f>
        <v/>
      </c>
      <c r="AC66" s="67" t="str">
        <f>'Lớp 3 - Công việc chính'!X56</f>
        <v/>
      </c>
      <c r="AD66" s="398" t="str">
        <f>'Lớp 3 - Công việc chính'!AC56</f>
        <v/>
      </c>
      <c r="AE66" s="358" t="str">
        <f>'Lớp 3 - Công việc chính'!AA56</f>
        <v/>
      </c>
      <c r="AF66" s="187" t="str">
        <f>'Lớp 3 - Công việc chính'!AD56</f>
        <v/>
      </c>
      <c r="AG66" s="104" t="str">
        <f>'Lớp 3 - Công việc chính'!AE56</f>
        <v/>
      </c>
      <c r="AH66" s="389" t="str">
        <f t="shared" si="27"/>
        <v/>
      </c>
      <c r="AI66" s="389" t="str">
        <f t="shared" si="37"/>
        <v>🔵 Chưa có hạn</v>
      </c>
      <c r="AJ66" s="67" t="str">
        <f>'Lớp 3 - Công việc chính'!AH56</f>
        <v/>
      </c>
      <c r="AS66" s="389" t="str">
        <f t="shared" si="31"/>
        <v/>
      </c>
      <c r="AT66" s="389" t="str">
        <f t="shared" si="32"/>
        <v/>
      </c>
      <c r="AU66" s="389" t="str">
        <f t="shared" si="33"/>
        <v/>
      </c>
      <c r="AV66" s="389" t="str">
        <f t="shared" si="34"/>
        <v/>
      </c>
      <c r="AW66" s="389" t="str">
        <f t="shared" si="35"/>
        <v/>
      </c>
      <c r="AX66" s="67" t="str">
        <f t="shared" ref="AX66:BH66" si="78">Z66</f>
        <v/>
      </c>
      <c r="AY66" s="67" t="str">
        <f t="shared" si="78"/>
        <v/>
      </c>
      <c r="AZ66" s="67" t="str">
        <f t="shared" si="78"/>
        <v/>
      </c>
      <c r="BA66" s="67" t="str">
        <f t="shared" si="78"/>
        <v/>
      </c>
      <c r="BB66" s="398" t="str">
        <f t="shared" si="78"/>
        <v/>
      </c>
      <c r="BC66" s="358" t="str">
        <f t="shared" si="78"/>
        <v/>
      </c>
      <c r="BD66" s="187" t="str">
        <f t="shared" si="78"/>
        <v/>
      </c>
      <c r="BE66" s="104" t="str">
        <f t="shared" si="78"/>
        <v/>
      </c>
      <c r="BF66" s="389" t="str">
        <f t="shared" si="78"/>
        <v/>
      </c>
      <c r="BG66" s="389" t="str">
        <f t="shared" si="78"/>
        <v>🔵 Chưa có hạn</v>
      </c>
      <c r="BH66" s="67" t="str">
        <f t="shared" si="78"/>
        <v/>
      </c>
      <c r="BI66" s="389" t="str">
        <f t="array" ref="BI66">IF($X66="","",SWITCH($W66,3,IFERROR(INDEX('Lớp 3 - Công việc chính'!$AF$14:$AF$73,MATCH($X66,'Lớp 3 - Công việc chính'!$I$14:$I$73,0)),""),4,IFERROR(INDEX('Lớp 4 - Danh mục'!$AI$14:$AI$132,MATCH($X66,'Lớp 4 - Danh mục'!$I$14:$I$132,0)),""),5,IFERROR(INDEX('Lớp 5 - Phân công'!$AJ$14:$AJ$262,MATCH($X66,'Lớp 5 - Phân công'!$I$14:$I$262,0)),""),6,IFERROR(INDEX('Lớp 6 - Chi tiết'!$AM$14:$AM$267,MATCH($X66,'Lớp 6 - Chi tiết'!$I$14:$I$267,0)),""),""))</f>
        <v/>
      </c>
      <c r="BJ66" s="389" t="str">
        <f t="array" ref="BJ66">IF($X66="","",SWITCH($W66,3,IFERROR(INDEX('Lớp 3 - Công việc chính'!$AR$14:$AR$73,MATCH($X66,'Lớp 3 - Công việc chính'!$I$14:$I$73,0)),""),4,IFERROR(INDEX('Lớp 4 - Danh mục'!$AU$14:$AU$132,MATCH($X66,'Lớp 4 - Danh mục'!$I$14:$I$132,0)),""),5,IFERROR(INDEX('Lớp 5 - Phân công'!$AV$14:$AV$262,MATCH($X66,'Lớp 5 - Phân công'!$I$14:$I$262,0)),""),6,IFERROR(INDEX('Lớp 6 - Chi tiết'!$AY$14:$AY$267,MATCH($X66,'Lớp 6 - Chi tiết'!$I$14:$I$267,0)),""),""))</f>
        <v/>
      </c>
    </row>
    <row r="67" ht="15.75" customHeight="1">
      <c r="A67" s="294" t="str">
        <f t="shared" si="12"/>
        <v>        ├── ▒ L5  03.07.05  Chốt số KH V1 2027 Total</v>
      </c>
      <c r="B67" s="301" t="str">
        <f t="shared" si="13"/>
        <v>Em Đại</v>
      </c>
      <c r="C67" s="301" t="str">
        <f t="shared" si="14"/>
        <v>Dữ liệu điều hành</v>
      </c>
      <c r="D67" s="301" t="str">
        <f t="shared" si="15"/>
        <v>P2</v>
      </c>
      <c r="E67" s="301" t="str">
        <f t="shared" si="16"/>
        <v>Đã lên lịch</v>
      </c>
      <c r="F67" s="317" t="str">
        <f t="shared" si="17"/>
        <v/>
      </c>
      <c r="G67" s="323">
        <f t="shared" si="18"/>
        <v>46331</v>
      </c>
      <c r="H67" s="327">
        <f t="shared" si="19"/>
        <v>12</v>
      </c>
      <c r="I67" s="327">
        <f t="shared" si="20"/>
        <v>16</v>
      </c>
      <c r="J67" s="301" t="str">
        <f t="shared" si="21"/>
        <v>🟢 Theo kế hoạch</v>
      </c>
      <c r="K67" s="301" t="str">
        <f t="shared" si="22"/>
        <v>Bình thường – tổng 4.8/8.0 giờ/ngày</v>
      </c>
      <c r="L67" s="344" t="str">
        <f t="array" ref="L67">IF($T67="","",LET(m,MATCH($T67,$AS$24:$AS$700,0),lvl,INDEX($W$24:$W$700,m),id,INDEX($X$24:$X$700,m),SWITCH(lvl,3,"Lớp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công!A48</v>
      </c>
      <c r="M67" s="351">
        <f t="shared" si="23"/>
        <v>0.8</v>
      </c>
      <c r="N67" s="356" t="str">
        <f t="shared" si="24"/>
        <v>Thiếu 2.7 giờ/tuần</v>
      </c>
      <c r="O67" s="358"/>
      <c r="P67" s="360"/>
      <c r="Q67" s="360"/>
      <c r="R67" s="67"/>
      <c r="S67" s="67"/>
      <c r="T67" s="67" t="str">
        <f>IFERROR(__xludf.DUMMYFUNCTION("""COMPUTED_VALUE"""),"03.07.05")</f>
        <v>03.07.05</v>
      </c>
      <c r="U67" s="389" t="str">
        <f>IF('Lớp 3 - Công việc chính'!I57="","",'Lớp 3 - Công việc chính'!I57)</f>
        <v/>
      </c>
      <c r="V67" s="389" t="str">
        <f>IF('Lớp 3 - Công việc chính'!I57="","","◆ "&amp;'Lớp 3 - Công việc chính'!M57)</f>
        <v/>
      </c>
      <c r="W67" s="389" t="str">
        <f>IF('Lớp 3 - Công việc chính'!I57="","",3)</f>
        <v/>
      </c>
      <c r="X67" s="67" t="str">
        <f>'Lớp 3 - Công việc chính'!I57</f>
        <v/>
      </c>
      <c r="Y67" s="389" t="str">
        <f t="shared" si="26"/>
        <v/>
      </c>
      <c r="Z67" s="67" t="str">
        <f>'Lớp 3 - Công việc chính'!V57</f>
        <v/>
      </c>
      <c r="AA67" s="67" t="str">
        <f>'Lớp 3 - Công việc chính'!W57</f>
        <v/>
      </c>
      <c r="AB67" s="67" t="str">
        <f>'Lớp 3 - Công việc chính'!Y57</f>
        <v/>
      </c>
      <c r="AC67" s="67" t="str">
        <f>'Lớp 3 - Công việc chính'!X57</f>
        <v/>
      </c>
      <c r="AD67" s="398" t="str">
        <f>'Lớp 3 - Công việc chính'!AC57</f>
        <v/>
      </c>
      <c r="AE67" s="358" t="str">
        <f>'Lớp 3 - Công việc chính'!AA57</f>
        <v/>
      </c>
      <c r="AF67" s="187" t="str">
        <f>'Lớp 3 - Công việc chính'!AD57</f>
        <v/>
      </c>
      <c r="AG67" s="104" t="str">
        <f>'Lớp 3 - Công việc chính'!AE57</f>
        <v/>
      </c>
      <c r="AH67" s="389" t="str">
        <f t="shared" si="27"/>
        <v/>
      </c>
      <c r="AI67" s="389" t="str">
        <f t="shared" si="37"/>
        <v>🔵 Chưa có hạn</v>
      </c>
      <c r="AJ67" s="67" t="str">
        <f>'Lớp 3 - Công việc chính'!AH57</f>
        <v/>
      </c>
      <c r="AS67" s="389" t="str">
        <f t="shared" si="31"/>
        <v/>
      </c>
      <c r="AT67" s="389" t="str">
        <f t="shared" si="32"/>
        <v/>
      </c>
      <c r="AU67" s="389" t="str">
        <f t="shared" si="33"/>
        <v/>
      </c>
      <c r="AV67" s="389" t="str">
        <f t="shared" si="34"/>
        <v/>
      </c>
      <c r="AW67" s="389" t="str">
        <f t="shared" si="35"/>
        <v/>
      </c>
      <c r="AX67" s="67" t="str">
        <f t="shared" ref="AX67:BH67" si="79">Z67</f>
        <v/>
      </c>
      <c r="AY67" s="67" t="str">
        <f t="shared" si="79"/>
        <v/>
      </c>
      <c r="AZ67" s="67" t="str">
        <f t="shared" si="79"/>
        <v/>
      </c>
      <c r="BA67" s="67" t="str">
        <f t="shared" si="79"/>
        <v/>
      </c>
      <c r="BB67" s="398" t="str">
        <f t="shared" si="79"/>
        <v/>
      </c>
      <c r="BC67" s="358" t="str">
        <f t="shared" si="79"/>
        <v/>
      </c>
      <c r="BD67" s="187" t="str">
        <f t="shared" si="79"/>
        <v/>
      </c>
      <c r="BE67" s="104" t="str">
        <f t="shared" si="79"/>
        <v/>
      </c>
      <c r="BF67" s="389" t="str">
        <f t="shared" si="79"/>
        <v/>
      </c>
      <c r="BG67" s="389" t="str">
        <f t="shared" si="79"/>
        <v>🔵 Chưa có hạn</v>
      </c>
      <c r="BH67" s="67" t="str">
        <f t="shared" si="79"/>
        <v/>
      </c>
      <c r="BI67" s="389" t="str">
        <f t="array" ref="BI67">IF($X67="","",SWITCH($W67,3,IFERROR(INDEX('Lớp 3 - Công việc chính'!$AF$14:$AF$73,MATCH($X67,'Lớp 3 - Công việc chính'!$I$14:$I$73,0)),""),4,IFERROR(INDEX('Lớp 4 - Danh mục'!$AI$14:$AI$132,MATCH($X67,'Lớp 4 - Danh mục'!$I$14:$I$132,0)),""),5,IFERROR(INDEX('Lớp 5 - Phân công'!$AJ$14:$AJ$262,MATCH($X67,'Lớp 5 - Phân công'!$I$14:$I$262,0)),""),6,IFERROR(INDEX('Lớp 6 - Chi tiết'!$AM$14:$AM$267,MATCH($X67,'Lớp 6 - Chi tiết'!$I$14:$I$267,0)),""),""))</f>
        <v/>
      </c>
      <c r="BJ67" s="389" t="str">
        <f t="array" ref="BJ67">IF($X67="","",SWITCH($W67,3,IFERROR(INDEX('Lớp 3 - Công việc chính'!$AR$14:$AR$73,MATCH($X67,'Lớp 3 - Công việc chính'!$I$14:$I$73,0)),""),4,IFERROR(INDEX('Lớp 4 - Danh mục'!$AU$14:$AU$132,MATCH($X67,'Lớp 4 - Danh mục'!$I$14:$I$132,0)),""),5,IFERROR(INDEX('Lớp 5 - Phân công'!$AV$14:$AV$262,MATCH($X67,'Lớp 5 - Phân công'!$I$14:$I$262,0)),""),6,IFERROR(INDEX('Lớp 6 - Chi tiết'!$AY$14:$AY$267,MATCH($X67,'Lớp 6 - Chi tiết'!$I$14:$I$267,0)),""),""))</f>
        <v/>
      </c>
    </row>
    <row r="68" ht="15.75" customHeight="1">
      <c r="A68" s="294" t="str">
        <f t="shared" si="12"/>
        <v>    ├─ ▓ L4  03.08  Xác nhận công thức &amp; tạo HT tham số cho KH GT</v>
      </c>
      <c r="B68" s="301" t="str">
        <f t="shared" si="13"/>
        <v>Em Đại</v>
      </c>
      <c r="C68" s="301" t="str">
        <f t="shared" si="14"/>
        <v>Dữ liệu điều hành</v>
      </c>
      <c r="D68" s="301" t="str">
        <f t="shared" si="15"/>
        <v>P1</v>
      </c>
      <c r="E68" s="301" t="str">
        <f t="shared" si="16"/>
        <v>Chưa bắt đầu</v>
      </c>
      <c r="F68" s="317">
        <f t="shared" si="17"/>
        <v>0</v>
      </c>
      <c r="G68" s="323">
        <f t="shared" si="18"/>
        <v>46305</v>
      </c>
      <c r="H68" s="327">
        <f t="shared" si="19"/>
        <v>50</v>
      </c>
      <c r="I68" s="327">
        <f t="shared" si="20"/>
        <v>140</v>
      </c>
      <c r="J68" s="301" t="str">
        <f t="shared" si="21"/>
        <v>🟣 P1 trọng yếu</v>
      </c>
      <c r="K68" s="301" t="str">
        <f t="shared" si="22"/>
        <v>Theo dõi tải tại Lớp 5</v>
      </c>
      <c r="L68" s="344" t="str">
        <f t="array" ref="L68">IF($T68="","",LET(m,MATCH($T68,$AS$24:$AS$700,0),lvl,INDEX($W$24:$W$700,m),id,INDEX($X$24:$X$700,m),SWITCH(lvl,3,"Lớp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mục!A14</v>
      </c>
      <c r="M68" s="351" t="str">
        <f t="shared" si="23"/>
        <v/>
      </c>
      <c r="N68" s="356" t="str">
        <f t="shared" si="24"/>
        <v>Theo dõi phân bổ tại Lớp 5</v>
      </c>
      <c r="O68" s="358"/>
      <c r="P68" s="360"/>
      <c r="Q68" s="360"/>
      <c r="R68" s="67"/>
      <c r="S68" s="67"/>
      <c r="T68" s="67" t="str">
        <f>IFERROR(__xludf.DUMMYFUNCTION("""COMPUTED_VALUE"""),"03.08")</f>
        <v>03.08</v>
      </c>
      <c r="U68" s="389" t="str">
        <f>IF('Lớp 3 - Công việc chính'!I58="","",'Lớp 3 - Công việc chính'!I58)</f>
        <v/>
      </c>
      <c r="V68" s="389" t="str">
        <f>IF('Lớp 3 - Công việc chính'!I58="","","◆ "&amp;'Lớp 3 - Công việc chính'!M58)</f>
        <v/>
      </c>
      <c r="W68" s="389" t="str">
        <f>IF('Lớp 3 - Công việc chính'!I58="","",3)</f>
        <v/>
      </c>
      <c r="X68" s="67" t="str">
        <f>'Lớp 3 - Công việc chính'!I58</f>
        <v/>
      </c>
      <c r="Y68" s="389" t="str">
        <f t="shared" si="26"/>
        <v/>
      </c>
      <c r="Z68" s="67" t="str">
        <f>'Lớp 3 - Công việc chính'!V58</f>
        <v/>
      </c>
      <c r="AA68" s="67" t="str">
        <f>'Lớp 3 - Công việc chính'!W58</f>
        <v/>
      </c>
      <c r="AB68" s="67" t="str">
        <f>'Lớp 3 - Công việc chính'!Y58</f>
        <v/>
      </c>
      <c r="AC68" s="67" t="str">
        <f>'Lớp 3 - Công việc chính'!X58</f>
        <v/>
      </c>
      <c r="AD68" s="398" t="str">
        <f>'Lớp 3 - Công việc chính'!AC58</f>
        <v/>
      </c>
      <c r="AE68" s="358" t="str">
        <f>'Lớp 3 - Công việc chính'!AA58</f>
        <v/>
      </c>
      <c r="AF68" s="187" t="str">
        <f>'Lớp 3 - Công việc chính'!AD58</f>
        <v/>
      </c>
      <c r="AG68" s="104" t="str">
        <f>'Lớp 3 - Công việc chính'!AE58</f>
        <v/>
      </c>
      <c r="AH68" s="389" t="str">
        <f t="shared" si="27"/>
        <v/>
      </c>
      <c r="AI68" s="389" t="str">
        <f t="shared" si="37"/>
        <v>🔵 Chưa có hạn</v>
      </c>
      <c r="AJ68" s="67" t="str">
        <f>'Lớp 3 - Công việc chính'!AH58</f>
        <v/>
      </c>
      <c r="AS68" s="389" t="str">
        <f t="shared" si="31"/>
        <v/>
      </c>
      <c r="AT68" s="389" t="str">
        <f t="shared" si="32"/>
        <v/>
      </c>
      <c r="AU68" s="389" t="str">
        <f t="shared" si="33"/>
        <v/>
      </c>
      <c r="AV68" s="389" t="str">
        <f t="shared" si="34"/>
        <v/>
      </c>
      <c r="AW68" s="389" t="str">
        <f t="shared" si="35"/>
        <v/>
      </c>
      <c r="AX68" s="67" t="str">
        <f t="shared" ref="AX68:BH68" si="80">Z68</f>
        <v/>
      </c>
      <c r="AY68" s="67" t="str">
        <f t="shared" si="80"/>
        <v/>
      </c>
      <c r="AZ68" s="67" t="str">
        <f t="shared" si="80"/>
        <v/>
      </c>
      <c r="BA68" s="67" t="str">
        <f t="shared" si="80"/>
        <v/>
      </c>
      <c r="BB68" s="398" t="str">
        <f t="shared" si="80"/>
        <v/>
      </c>
      <c r="BC68" s="358" t="str">
        <f t="shared" si="80"/>
        <v/>
      </c>
      <c r="BD68" s="187" t="str">
        <f t="shared" si="80"/>
        <v/>
      </c>
      <c r="BE68" s="104" t="str">
        <f t="shared" si="80"/>
        <v/>
      </c>
      <c r="BF68" s="389" t="str">
        <f t="shared" si="80"/>
        <v/>
      </c>
      <c r="BG68" s="389" t="str">
        <f t="shared" si="80"/>
        <v>🔵 Chưa có hạn</v>
      </c>
      <c r="BH68" s="67" t="str">
        <f t="shared" si="80"/>
        <v/>
      </c>
      <c r="BI68" s="389" t="str">
        <f t="array" ref="BI68">IF($X68="","",SWITCH($W68,3,IFERROR(INDEX('Lớp 3 - Công việc chính'!$AF$14:$AF$73,MATCH($X68,'Lớp 3 - Công việc chính'!$I$14:$I$73,0)),""),4,IFERROR(INDEX('Lớp 4 - Danh mục'!$AI$14:$AI$132,MATCH($X68,'Lớp 4 - Danh mục'!$I$14:$I$132,0)),""),5,IFERROR(INDEX('Lớp 5 - Phân công'!$AJ$14:$AJ$262,MATCH($X68,'Lớp 5 - Phân công'!$I$14:$I$262,0)),""),6,IFERROR(INDEX('Lớp 6 - Chi tiết'!$AM$14:$AM$267,MATCH($X68,'Lớp 6 - Chi tiết'!$I$14:$I$267,0)),""),""))</f>
        <v/>
      </c>
      <c r="BJ68" s="389" t="str">
        <f t="array" ref="BJ68">IF($X68="","",SWITCH($W68,3,IFERROR(INDEX('Lớp 3 - Công việc chính'!$AR$14:$AR$73,MATCH($X68,'Lớp 3 - Công việc chính'!$I$14:$I$73,0)),""),4,IFERROR(INDEX('Lớp 4 - Danh mục'!$AU$14:$AU$132,MATCH($X68,'Lớp 4 - Danh mục'!$I$14:$I$132,0)),""),5,IFERROR(INDEX('Lớp 5 - Phân công'!$AV$14:$AV$262,MATCH($X68,'Lớp 5 - Phân công'!$I$14:$I$262,0)),""),6,IFERROR(INDEX('Lớp 6 - Chi tiết'!$AY$14:$AY$267,MATCH($X68,'Lớp 6 - Chi tiết'!$I$14:$I$267,0)),""),""))</f>
        <v/>
      </c>
    </row>
    <row r="69" ht="15.75" customHeight="1">
      <c r="A69" s="294" t="str">
        <f t="shared" si="12"/>
        <v>    ├─ ▓ L4  03.09  Xây dựng công thức &amp; tạo HT tham số cho KH MT</v>
      </c>
      <c r="B69" s="301" t="str">
        <f t="shared" si="13"/>
        <v>Em Đại</v>
      </c>
      <c r="C69" s="301" t="str">
        <f t="shared" si="14"/>
        <v>Dữ liệu điều hành</v>
      </c>
      <c r="D69" s="301" t="str">
        <f t="shared" si="15"/>
        <v>P1</v>
      </c>
      <c r="E69" s="301" t="str">
        <f t="shared" si="16"/>
        <v>Chưa bắt đầu</v>
      </c>
      <c r="F69" s="317">
        <f t="shared" si="17"/>
        <v>0</v>
      </c>
      <c r="G69" s="323">
        <f t="shared" si="18"/>
        <v>46310</v>
      </c>
      <c r="H69" s="327">
        <f t="shared" si="19"/>
        <v>54</v>
      </c>
      <c r="I69" s="327">
        <f t="shared" si="20"/>
        <v>80</v>
      </c>
      <c r="J69" s="301" t="str">
        <f t="shared" si="21"/>
        <v>🟣 P1 trọng yếu</v>
      </c>
      <c r="K69" s="301" t="str">
        <f t="shared" si="22"/>
        <v>Theo dõi tải tại Lớp 5</v>
      </c>
      <c r="L69" s="344" t="str">
        <f t="array" ref="L69">IF($T69="","",LET(m,MATCH($T69,$AS$24:$AS$700,0),lvl,INDEX($W$24:$W$700,m),id,INDEX($X$24:$X$700,m),SWITCH(lvl,3,"Lớp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mục!A15</v>
      </c>
      <c r="M69" s="351" t="str">
        <f t="shared" si="23"/>
        <v/>
      </c>
      <c r="N69" s="356" t="str">
        <f t="shared" si="24"/>
        <v>Theo dõi phân bổ tại Lớp 5</v>
      </c>
      <c r="O69" s="358"/>
      <c r="P69" s="360"/>
      <c r="Q69" s="360"/>
      <c r="R69" s="67"/>
      <c r="S69" s="67"/>
      <c r="T69" s="67" t="str">
        <f>IFERROR(__xludf.DUMMYFUNCTION("""COMPUTED_VALUE"""),"03.09")</f>
        <v>03.09</v>
      </c>
      <c r="U69" s="389" t="str">
        <f>IF('Lớp 3 - Công việc chính'!I59="","",'Lớp 3 - Công việc chính'!I59)</f>
        <v/>
      </c>
      <c r="V69" s="389" t="str">
        <f>IF('Lớp 3 - Công việc chính'!I59="","","◆ "&amp;'Lớp 3 - Công việc chính'!M59)</f>
        <v/>
      </c>
      <c r="W69" s="389" t="str">
        <f>IF('Lớp 3 - Công việc chính'!I59="","",3)</f>
        <v/>
      </c>
      <c r="X69" s="67" t="str">
        <f>'Lớp 3 - Công việc chính'!I59</f>
        <v/>
      </c>
      <c r="Y69" s="389" t="str">
        <f t="shared" si="26"/>
        <v/>
      </c>
      <c r="Z69" s="67" t="str">
        <f>'Lớp 3 - Công việc chính'!V59</f>
        <v/>
      </c>
      <c r="AA69" s="67" t="str">
        <f>'Lớp 3 - Công việc chính'!W59</f>
        <v/>
      </c>
      <c r="AB69" s="67" t="str">
        <f>'Lớp 3 - Công việc chính'!Y59</f>
        <v/>
      </c>
      <c r="AC69" s="67" t="str">
        <f>'Lớp 3 - Công việc chính'!X59</f>
        <v/>
      </c>
      <c r="AD69" s="398" t="str">
        <f>'Lớp 3 - Công việc chính'!AC59</f>
        <v/>
      </c>
      <c r="AE69" s="358" t="str">
        <f>'Lớp 3 - Công việc chính'!AA59</f>
        <v/>
      </c>
      <c r="AF69" s="187" t="str">
        <f>'Lớp 3 - Công việc chính'!AD59</f>
        <v/>
      </c>
      <c r="AG69" s="104" t="str">
        <f>'Lớp 3 - Công việc chính'!AE59</f>
        <v/>
      </c>
      <c r="AH69" s="389" t="str">
        <f t="shared" si="27"/>
        <v/>
      </c>
      <c r="AI69" s="389" t="str">
        <f t="shared" si="37"/>
        <v>🔵 Chưa có hạn</v>
      </c>
      <c r="AJ69" s="67" t="str">
        <f>'Lớp 3 - Công việc chính'!AH59</f>
        <v/>
      </c>
      <c r="AS69" s="389" t="str">
        <f t="shared" si="31"/>
        <v/>
      </c>
      <c r="AT69" s="389" t="str">
        <f t="shared" si="32"/>
        <v/>
      </c>
      <c r="AU69" s="389" t="str">
        <f t="shared" si="33"/>
        <v/>
      </c>
      <c r="AV69" s="389" t="str">
        <f t="shared" si="34"/>
        <v/>
      </c>
      <c r="AW69" s="389" t="str">
        <f t="shared" si="35"/>
        <v/>
      </c>
      <c r="AX69" s="67" t="str">
        <f t="shared" ref="AX69:BH69" si="81">Z69</f>
        <v/>
      </c>
      <c r="AY69" s="67" t="str">
        <f t="shared" si="81"/>
        <v/>
      </c>
      <c r="AZ69" s="67" t="str">
        <f t="shared" si="81"/>
        <v/>
      </c>
      <c r="BA69" s="67" t="str">
        <f t="shared" si="81"/>
        <v/>
      </c>
      <c r="BB69" s="398" t="str">
        <f t="shared" si="81"/>
        <v/>
      </c>
      <c r="BC69" s="358" t="str">
        <f t="shared" si="81"/>
        <v/>
      </c>
      <c r="BD69" s="187" t="str">
        <f t="shared" si="81"/>
        <v/>
      </c>
      <c r="BE69" s="104" t="str">
        <f t="shared" si="81"/>
        <v/>
      </c>
      <c r="BF69" s="389" t="str">
        <f t="shared" si="81"/>
        <v/>
      </c>
      <c r="BG69" s="389" t="str">
        <f t="shared" si="81"/>
        <v>🔵 Chưa có hạn</v>
      </c>
      <c r="BH69" s="67" t="str">
        <f t="shared" si="81"/>
        <v/>
      </c>
      <c r="BI69" s="389" t="str">
        <f t="array" ref="BI69">IF($X69="","",SWITCH($W69,3,IFERROR(INDEX('Lớp 3 - Công việc chính'!$AF$14:$AF$73,MATCH($X69,'Lớp 3 - Công việc chính'!$I$14:$I$73,0)),""),4,IFERROR(INDEX('Lớp 4 - Danh mục'!$AI$14:$AI$132,MATCH($X69,'Lớp 4 - Danh mục'!$I$14:$I$132,0)),""),5,IFERROR(INDEX('Lớp 5 - Phân công'!$AJ$14:$AJ$262,MATCH($X69,'Lớp 5 - Phân công'!$I$14:$I$262,0)),""),6,IFERROR(INDEX('Lớp 6 - Chi tiết'!$AM$14:$AM$267,MATCH($X69,'Lớp 6 - Chi tiết'!$I$14:$I$267,0)),""),""))</f>
        <v/>
      </c>
      <c r="BJ69" s="389" t="str">
        <f t="array" ref="BJ69">IF($X69="","",SWITCH($W69,3,IFERROR(INDEX('Lớp 3 - Công việc chính'!$AR$14:$AR$73,MATCH($X69,'Lớp 3 - Công việc chính'!$I$14:$I$73,0)),""),4,IFERROR(INDEX('Lớp 4 - Danh mục'!$AU$14:$AU$132,MATCH($X69,'Lớp 4 - Danh mục'!$I$14:$I$132,0)),""),5,IFERROR(INDEX('Lớp 5 - Phân công'!$AV$14:$AV$262,MATCH($X69,'Lớp 5 - Phân công'!$I$14:$I$262,0)),""),6,IFERROR(INDEX('Lớp 6 - Chi tiết'!$AY$14:$AY$267,MATCH($X69,'Lớp 6 - Chi tiết'!$I$14:$I$267,0)),""),""))</f>
        <v/>
      </c>
    </row>
    <row r="70" ht="15.75" customHeight="1">
      <c r="A70" s="294" t="str">
        <f t="shared" si="12"/>
        <v>    ├─ ▓ L4  03.10  Xây dựng công thức &amp; tạo HT tham số cho KH B2B</v>
      </c>
      <c r="B70" s="301" t="str">
        <f t="shared" si="13"/>
        <v>Em Đại</v>
      </c>
      <c r="C70" s="301" t="str">
        <f t="shared" si="14"/>
        <v>Dữ liệu điều hành</v>
      </c>
      <c r="D70" s="301" t="str">
        <f t="shared" si="15"/>
        <v>P1</v>
      </c>
      <c r="E70" s="301" t="str">
        <f t="shared" si="16"/>
        <v>Chưa bắt đầu</v>
      </c>
      <c r="F70" s="317">
        <f t="shared" si="17"/>
        <v>0</v>
      </c>
      <c r="G70" s="323">
        <f t="shared" si="18"/>
        <v>46320</v>
      </c>
      <c r="H70" s="327">
        <f t="shared" si="19"/>
        <v>62</v>
      </c>
      <c r="I70" s="327">
        <f t="shared" si="20"/>
        <v>80</v>
      </c>
      <c r="J70" s="301" t="str">
        <f t="shared" si="21"/>
        <v>🟣 P1 trọng yếu</v>
      </c>
      <c r="K70" s="301" t="str">
        <f t="shared" si="22"/>
        <v>Theo dõi tải tại Lớp 5</v>
      </c>
      <c r="L70" s="344" t="str">
        <f t="array" ref="L70">IF($T70="","",LET(m,MATCH($T70,$AS$24:$AS$700,0),lvl,INDEX($W$24:$W$700,m),id,INDEX($X$24:$X$700,m),SWITCH(lvl,3,"Lớp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mục!A16</v>
      </c>
      <c r="M70" s="351" t="str">
        <f t="shared" si="23"/>
        <v/>
      </c>
      <c r="N70" s="356" t="str">
        <f t="shared" si="24"/>
        <v>Theo dõi phân bổ tại Lớp 5</v>
      </c>
      <c r="O70" s="358"/>
      <c r="P70" s="360"/>
      <c r="Q70" s="360"/>
      <c r="R70" s="67"/>
      <c r="S70" s="67"/>
      <c r="T70" s="67" t="str">
        <f>IFERROR(__xludf.DUMMYFUNCTION("""COMPUTED_VALUE"""),"03.10")</f>
        <v>03.10</v>
      </c>
      <c r="U70" s="389" t="str">
        <f>IF('Lớp 3 - Công việc chính'!I60="","",'Lớp 3 - Công việc chính'!I60)</f>
        <v/>
      </c>
      <c r="V70" s="389" t="str">
        <f>IF('Lớp 3 - Công việc chính'!I60="","","◆ "&amp;'Lớp 3 - Công việc chính'!M60)</f>
        <v/>
      </c>
      <c r="W70" s="389" t="str">
        <f>IF('Lớp 3 - Công việc chính'!I60="","",3)</f>
        <v/>
      </c>
      <c r="X70" s="67" t="str">
        <f>'Lớp 3 - Công việc chính'!I60</f>
        <v/>
      </c>
      <c r="Y70" s="389" t="str">
        <f t="shared" si="26"/>
        <v/>
      </c>
      <c r="Z70" s="67" t="str">
        <f>'Lớp 3 - Công việc chính'!V60</f>
        <v/>
      </c>
      <c r="AA70" s="67" t="str">
        <f>'Lớp 3 - Công việc chính'!W60</f>
        <v/>
      </c>
      <c r="AB70" s="67" t="str">
        <f>'Lớp 3 - Công việc chính'!Y60</f>
        <v/>
      </c>
      <c r="AC70" s="67" t="str">
        <f>'Lớp 3 - Công việc chính'!X60</f>
        <v/>
      </c>
      <c r="AD70" s="398" t="str">
        <f>'Lớp 3 - Công việc chính'!AC60</f>
        <v/>
      </c>
      <c r="AE70" s="358" t="str">
        <f>'Lớp 3 - Công việc chính'!AA60</f>
        <v/>
      </c>
      <c r="AF70" s="187" t="str">
        <f>'Lớp 3 - Công việc chính'!AD60</f>
        <v/>
      </c>
      <c r="AG70" s="104" t="str">
        <f>'Lớp 3 - Công việc chính'!AE60</f>
        <v/>
      </c>
      <c r="AH70" s="389" t="str">
        <f t="shared" si="27"/>
        <v/>
      </c>
      <c r="AI70" s="389" t="str">
        <f t="shared" si="37"/>
        <v>🔵 Chưa có hạn</v>
      </c>
      <c r="AJ70" s="67" t="str">
        <f>'Lớp 3 - Công việc chính'!AH60</f>
        <v/>
      </c>
      <c r="AS70" s="389" t="str">
        <f t="shared" si="31"/>
        <v/>
      </c>
      <c r="AT70" s="389" t="str">
        <f t="shared" si="32"/>
        <v/>
      </c>
      <c r="AU70" s="389" t="str">
        <f t="shared" si="33"/>
        <v/>
      </c>
      <c r="AV70" s="389" t="str">
        <f t="shared" si="34"/>
        <v/>
      </c>
      <c r="AW70" s="389" t="str">
        <f t="shared" si="35"/>
        <v/>
      </c>
      <c r="AX70" s="67" t="str">
        <f t="shared" ref="AX70:BH70" si="82">Z70</f>
        <v/>
      </c>
      <c r="AY70" s="67" t="str">
        <f t="shared" si="82"/>
        <v/>
      </c>
      <c r="AZ70" s="67" t="str">
        <f t="shared" si="82"/>
        <v/>
      </c>
      <c r="BA70" s="67" t="str">
        <f t="shared" si="82"/>
        <v/>
      </c>
      <c r="BB70" s="398" t="str">
        <f t="shared" si="82"/>
        <v/>
      </c>
      <c r="BC70" s="358" t="str">
        <f t="shared" si="82"/>
        <v/>
      </c>
      <c r="BD70" s="187" t="str">
        <f t="shared" si="82"/>
        <v/>
      </c>
      <c r="BE70" s="104" t="str">
        <f t="shared" si="82"/>
        <v/>
      </c>
      <c r="BF70" s="389" t="str">
        <f t="shared" si="82"/>
        <v/>
      </c>
      <c r="BG70" s="389" t="str">
        <f t="shared" si="82"/>
        <v>🔵 Chưa có hạn</v>
      </c>
      <c r="BH70" s="67" t="str">
        <f t="shared" si="82"/>
        <v/>
      </c>
      <c r="BI70" s="389" t="str">
        <f t="array" ref="BI70">IF($X70="","",SWITCH($W70,3,IFERROR(INDEX('Lớp 3 - Công việc chính'!$AF$14:$AF$73,MATCH($X70,'Lớp 3 - Công việc chính'!$I$14:$I$73,0)),""),4,IFERROR(INDEX('Lớp 4 - Danh mục'!$AI$14:$AI$132,MATCH($X70,'Lớp 4 - Danh mục'!$I$14:$I$132,0)),""),5,IFERROR(INDEX('Lớp 5 - Phân công'!$AJ$14:$AJ$262,MATCH($X70,'Lớp 5 - Phân công'!$I$14:$I$262,0)),""),6,IFERROR(INDEX('Lớp 6 - Chi tiết'!$AM$14:$AM$267,MATCH($X70,'Lớp 6 - Chi tiết'!$I$14:$I$267,0)),""),""))</f>
        <v/>
      </c>
      <c r="BJ70" s="389" t="str">
        <f t="array" ref="BJ70">IF($X70="","",SWITCH($W70,3,IFERROR(INDEX('Lớp 3 - Công việc chính'!$AR$14:$AR$73,MATCH($X70,'Lớp 3 - Công việc chính'!$I$14:$I$73,0)),""),4,IFERROR(INDEX('Lớp 4 - Danh mục'!$AU$14:$AU$132,MATCH($X70,'Lớp 4 - Danh mục'!$I$14:$I$132,0)),""),5,IFERROR(INDEX('Lớp 5 - Phân công'!$AV$14:$AV$262,MATCH($X70,'Lớp 5 - Phân công'!$I$14:$I$262,0)),""),6,IFERROR(INDEX('Lớp 6 - Chi tiết'!$AY$14:$AY$267,MATCH($X70,'Lớp 6 - Chi tiết'!$I$14:$I$267,0)),""),""))</f>
        <v/>
      </c>
    </row>
    <row r="71" ht="15.75" customHeight="1">
      <c r="A71" s="294" t="str">
        <f t="shared" si="12"/>
        <v>    ├─ ▓ L4  03.11  Xây dựng công thức &amp; tạo HT tham số cho KH Online</v>
      </c>
      <c r="B71" s="301" t="str">
        <f t="shared" si="13"/>
        <v>Em Đại</v>
      </c>
      <c r="C71" s="301" t="str">
        <f t="shared" si="14"/>
        <v>Dữ liệu điều hành</v>
      </c>
      <c r="D71" s="301" t="str">
        <f t="shared" si="15"/>
        <v>P1</v>
      </c>
      <c r="E71" s="301" t="str">
        <f t="shared" si="16"/>
        <v>Chưa bắt đầu</v>
      </c>
      <c r="F71" s="317">
        <f t="shared" si="17"/>
        <v>0</v>
      </c>
      <c r="G71" s="323">
        <f t="shared" si="18"/>
        <v>46320</v>
      </c>
      <c r="H71" s="327">
        <f t="shared" si="19"/>
        <v>62</v>
      </c>
      <c r="I71" s="327">
        <f t="shared" si="20"/>
        <v>80</v>
      </c>
      <c r="J71" s="301" t="str">
        <f t="shared" si="21"/>
        <v>🟣 P1 trọng yếu</v>
      </c>
      <c r="K71" s="301" t="str">
        <f t="shared" si="22"/>
        <v>Theo dõi tải tại Lớp 5</v>
      </c>
      <c r="L71" s="344" t="str">
        <f t="array" ref="L71">IF($T71="","",LET(m,MATCH($T71,$AS$24:$AS$700,0),lvl,INDEX($W$24:$W$700,m),id,INDEX($X$24:$X$700,m),SWITCH(lvl,3,"Lớp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mục!A17</v>
      </c>
      <c r="M71" s="351" t="str">
        <f t="shared" si="23"/>
        <v/>
      </c>
      <c r="N71" s="356" t="str">
        <f t="shared" si="24"/>
        <v>Theo dõi phân bổ tại Lớp 5</v>
      </c>
      <c r="O71" s="358"/>
      <c r="P71" s="360"/>
      <c r="Q71" s="360"/>
      <c r="R71" s="67"/>
      <c r="S71" s="67"/>
      <c r="T71" s="67" t="str">
        <f>IFERROR(__xludf.DUMMYFUNCTION("""COMPUTED_VALUE"""),"03.11")</f>
        <v>03.11</v>
      </c>
      <c r="U71" s="389" t="str">
        <f>IF('Lớp 3 - Công việc chính'!I61="","",'Lớp 3 - Công việc chính'!I61)</f>
        <v/>
      </c>
      <c r="V71" s="389" t="str">
        <f>IF('Lớp 3 - Công việc chính'!I61="","","◆ "&amp;'Lớp 3 - Công việc chính'!M61)</f>
        <v/>
      </c>
      <c r="W71" s="389" t="str">
        <f>IF('Lớp 3 - Công việc chính'!I61="","",3)</f>
        <v/>
      </c>
      <c r="X71" s="67" t="str">
        <f>'Lớp 3 - Công việc chính'!I61</f>
        <v/>
      </c>
      <c r="Y71" s="389" t="str">
        <f t="shared" si="26"/>
        <v/>
      </c>
      <c r="Z71" s="67" t="str">
        <f>'Lớp 3 - Công việc chính'!V61</f>
        <v/>
      </c>
      <c r="AA71" s="67" t="str">
        <f>'Lớp 3 - Công việc chính'!W61</f>
        <v/>
      </c>
      <c r="AB71" s="67" t="str">
        <f>'Lớp 3 - Công việc chính'!Y61</f>
        <v/>
      </c>
      <c r="AC71" s="67" t="str">
        <f>'Lớp 3 - Công việc chính'!X61</f>
        <v/>
      </c>
      <c r="AD71" s="398" t="str">
        <f>'Lớp 3 - Công việc chính'!AC61</f>
        <v/>
      </c>
      <c r="AE71" s="358" t="str">
        <f>'Lớp 3 - Công việc chính'!AA61</f>
        <v/>
      </c>
      <c r="AF71" s="187" t="str">
        <f>'Lớp 3 - Công việc chính'!AD61</f>
        <v/>
      </c>
      <c r="AG71" s="104" t="str">
        <f>'Lớp 3 - Công việc chính'!AE61</f>
        <v/>
      </c>
      <c r="AH71" s="389" t="str">
        <f t="shared" si="27"/>
        <v/>
      </c>
      <c r="AI71" s="389" t="str">
        <f t="shared" si="37"/>
        <v>🔵 Chưa có hạn</v>
      </c>
      <c r="AJ71" s="67" t="str">
        <f>'Lớp 3 - Công việc chính'!AH61</f>
        <v/>
      </c>
      <c r="AS71" s="389" t="str">
        <f t="shared" si="31"/>
        <v/>
      </c>
      <c r="AT71" s="389" t="str">
        <f t="shared" si="32"/>
        <v/>
      </c>
      <c r="AU71" s="389" t="str">
        <f t="shared" si="33"/>
        <v/>
      </c>
      <c r="AV71" s="389" t="str">
        <f t="shared" si="34"/>
        <v/>
      </c>
      <c r="AW71" s="389" t="str">
        <f t="shared" si="35"/>
        <v/>
      </c>
      <c r="AX71" s="67" t="str">
        <f t="shared" ref="AX71:BH71" si="83">Z71</f>
        <v/>
      </c>
      <c r="AY71" s="67" t="str">
        <f t="shared" si="83"/>
        <v/>
      </c>
      <c r="AZ71" s="67" t="str">
        <f t="shared" si="83"/>
        <v/>
      </c>
      <c r="BA71" s="67" t="str">
        <f t="shared" si="83"/>
        <v/>
      </c>
      <c r="BB71" s="398" t="str">
        <f t="shared" si="83"/>
        <v/>
      </c>
      <c r="BC71" s="358" t="str">
        <f t="shared" si="83"/>
        <v/>
      </c>
      <c r="BD71" s="187" t="str">
        <f t="shared" si="83"/>
        <v/>
      </c>
      <c r="BE71" s="104" t="str">
        <f t="shared" si="83"/>
        <v/>
      </c>
      <c r="BF71" s="389" t="str">
        <f t="shared" si="83"/>
        <v/>
      </c>
      <c r="BG71" s="389" t="str">
        <f t="shared" si="83"/>
        <v>🔵 Chưa có hạn</v>
      </c>
      <c r="BH71" s="67" t="str">
        <f t="shared" si="83"/>
        <v/>
      </c>
      <c r="BI71" s="389" t="str">
        <f t="array" ref="BI71">IF($X71="","",SWITCH($W71,3,IFERROR(INDEX('Lớp 3 - Công việc chính'!$AF$14:$AF$73,MATCH($X71,'Lớp 3 - Công việc chính'!$I$14:$I$73,0)),""),4,IFERROR(INDEX('Lớp 4 - Danh mục'!$AI$14:$AI$132,MATCH($X71,'Lớp 4 - Danh mục'!$I$14:$I$132,0)),""),5,IFERROR(INDEX('Lớp 5 - Phân công'!$AJ$14:$AJ$262,MATCH($X71,'Lớp 5 - Phân công'!$I$14:$I$262,0)),""),6,IFERROR(INDEX('Lớp 6 - Chi tiết'!$AM$14:$AM$267,MATCH($X71,'Lớp 6 - Chi tiết'!$I$14:$I$267,0)),""),""))</f>
        <v/>
      </c>
      <c r="BJ71" s="389" t="str">
        <f t="array" ref="BJ71">IF($X71="","",SWITCH($W71,3,IFERROR(INDEX('Lớp 3 - Công việc chính'!$AR$14:$AR$73,MATCH($X71,'Lớp 3 - Công việc chính'!$I$14:$I$73,0)),""),4,IFERROR(INDEX('Lớp 4 - Danh mục'!$AU$14:$AU$132,MATCH($X71,'Lớp 4 - Danh mục'!$I$14:$I$132,0)),""),5,IFERROR(INDEX('Lớp 5 - Phân công'!$AV$14:$AV$262,MATCH($X71,'Lớp 5 - Phân công'!$I$14:$I$262,0)),""),6,IFERROR(INDEX('Lớp 6 - Chi tiết'!$AY$14:$AY$267,MATCH($X71,'Lớp 6 - Chi tiết'!$I$14:$I$267,0)),""),""))</f>
        <v/>
      </c>
    </row>
    <row r="72" ht="15.75" customHeight="1">
      <c r="A72" s="294" t="str">
        <f t="shared" si="12"/>
        <v>    ├─ ▓ L4  03.12  Xây dựng công thức &amp; tạo HT tham số cho KH XK</v>
      </c>
      <c r="B72" s="301" t="str">
        <f t="shared" si="13"/>
        <v>Em Đại</v>
      </c>
      <c r="C72" s="301" t="str">
        <f t="shared" si="14"/>
        <v>Dữ liệu điều hành</v>
      </c>
      <c r="D72" s="301" t="str">
        <f t="shared" si="15"/>
        <v>P1</v>
      </c>
      <c r="E72" s="301" t="str">
        <f t="shared" si="16"/>
        <v>Chưa bắt đầu</v>
      </c>
      <c r="F72" s="317">
        <f t="shared" si="17"/>
        <v>0</v>
      </c>
      <c r="G72" s="323">
        <f t="shared" si="18"/>
        <v>46320</v>
      </c>
      <c r="H72" s="327">
        <f t="shared" si="19"/>
        <v>62</v>
      </c>
      <c r="I72" s="327">
        <f t="shared" si="20"/>
        <v>80</v>
      </c>
      <c r="J72" s="301" t="str">
        <f t="shared" si="21"/>
        <v>🟣 P1 trọng yếu</v>
      </c>
      <c r="K72" s="301" t="str">
        <f t="shared" si="22"/>
        <v>Theo dõi tải tại Lớp 5</v>
      </c>
      <c r="L72" s="344" t="str">
        <f t="array" ref="L72">IF($T72="","",LET(m,MATCH($T72,$AS$24:$AS$700,0),lvl,INDEX($W$24:$W$700,m),id,INDEX($X$24:$X$700,m),SWITCH(lvl,3,"Lớp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mục!A18</v>
      </c>
      <c r="M72" s="351" t="str">
        <f t="shared" si="23"/>
        <v/>
      </c>
      <c r="N72" s="356" t="str">
        <f t="shared" si="24"/>
        <v>Theo dõi phân bổ tại Lớp 5</v>
      </c>
      <c r="O72" s="358"/>
      <c r="P72" s="360"/>
      <c r="Q72" s="360"/>
      <c r="R72" s="67"/>
      <c r="S72" s="67"/>
      <c r="T72" s="67" t="str">
        <f>IFERROR(__xludf.DUMMYFUNCTION("""COMPUTED_VALUE"""),"03.12")</f>
        <v>03.12</v>
      </c>
      <c r="U72" s="389" t="str">
        <f>IF('Lớp 3 - Công việc chính'!I62="","",'Lớp 3 - Công việc chính'!I62)</f>
        <v/>
      </c>
      <c r="V72" s="389" t="str">
        <f>IF('Lớp 3 - Công việc chính'!I62="","","◆ "&amp;'Lớp 3 - Công việc chính'!M62)</f>
        <v/>
      </c>
      <c r="W72" s="389" t="str">
        <f>IF('Lớp 3 - Công việc chính'!I62="","",3)</f>
        <v/>
      </c>
      <c r="X72" s="67" t="str">
        <f>'Lớp 3 - Công việc chính'!I62</f>
        <v/>
      </c>
      <c r="Y72" s="389" t="str">
        <f t="shared" si="26"/>
        <v/>
      </c>
      <c r="Z72" s="67" t="str">
        <f>'Lớp 3 - Công việc chính'!V62</f>
        <v/>
      </c>
      <c r="AA72" s="67" t="str">
        <f>'Lớp 3 - Công việc chính'!W62</f>
        <v/>
      </c>
      <c r="AB72" s="67" t="str">
        <f>'Lớp 3 - Công việc chính'!Y62</f>
        <v/>
      </c>
      <c r="AC72" s="67" t="str">
        <f>'Lớp 3 - Công việc chính'!X62</f>
        <v/>
      </c>
      <c r="AD72" s="398" t="str">
        <f>'Lớp 3 - Công việc chính'!AC62</f>
        <v/>
      </c>
      <c r="AE72" s="358" t="str">
        <f>'Lớp 3 - Công việc chính'!AA62</f>
        <v/>
      </c>
      <c r="AF72" s="187" t="str">
        <f>'Lớp 3 - Công việc chính'!AD62</f>
        <v/>
      </c>
      <c r="AG72" s="104" t="str">
        <f>'Lớp 3 - Công việc chính'!AE62</f>
        <v/>
      </c>
      <c r="AH72" s="389" t="str">
        <f t="shared" si="27"/>
        <v/>
      </c>
      <c r="AI72" s="389" t="str">
        <f t="shared" si="37"/>
        <v>🔵 Chưa có hạn</v>
      </c>
      <c r="AJ72" s="67" t="str">
        <f>'Lớp 3 - Công việc chính'!AH62</f>
        <v/>
      </c>
      <c r="AS72" s="389" t="str">
        <f t="shared" si="31"/>
        <v/>
      </c>
      <c r="AT72" s="389" t="str">
        <f t="shared" si="32"/>
        <v/>
      </c>
      <c r="AU72" s="389" t="str">
        <f t="shared" si="33"/>
        <v/>
      </c>
      <c r="AV72" s="389" t="str">
        <f t="shared" si="34"/>
        <v/>
      </c>
      <c r="AW72" s="389" t="str">
        <f t="shared" si="35"/>
        <v/>
      </c>
      <c r="AX72" s="67" t="str">
        <f t="shared" ref="AX72:BH72" si="84">Z72</f>
        <v/>
      </c>
      <c r="AY72" s="67" t="str">
        <f t="shared" si="84"/>
        <v/>
      </c>
      <c r="AZ72" s="67" t="str">
        <f t="shared" si="84"/>
        <v/>
      </c>
      <c r="BA72" s="67" t="str">
        <f t="shared" si="84"/>
        <v/>
      </c>
      <c r="BB72" s="398" t="str">
        <f t="shared" si="84"/>
        <v/>
      </c>
      <c r="BC72" s="358" t="str">
        <f t="shared" si="84"/>
        <v/>
      </c>
      <c r="BD72" s="187" t="str">
        <f t="shared" si="84"/>
        <v/>
      </c>
      <c r="BE72" s="104" t="str">
        <f t="shared" si="84"/>
        <v/>
      </c>
      <c r="BF72" s="389" t="str">
        <f t="shared" si="84"/>
        <v/>
      </c>
      <c r="BG72" s="389" t="str">
        <f t="shared" si="84"/>
        <v>🔵 Chưa có hạn</v>
      </c>
      <c r="BH72" s="67" t="str">
        <f t="shared" si="84"/>
        <v/>
      </c>
      <c r="BI72" s="389" t="str">
        <f t="array" ref="BI72">IF($X72="","",SWITCH($W72,3,IFERROR(INDEX('Lớp 3 - Công việc chính'!$AF$14:$AF$73,MATCH($X72,'Lớp 3 - Công việc chính'!$I$14:$I$73,0)),""),4,IFERROR(INDEX('Lớp 4 - Danh mục'!$AI$14:$AI$132,MATCH($X72,'Lớp 4 - Danh mục'!$I$14:$I$132,0)),""),5,IFERROR(INDEX('Lớp 5 - Phân công'!$AJ$14:$AJ$262,MATCH($X72,'Lớp 5 - Phân công'!$I$14:$I$262,0)),""),6,IFERROR(INDEX('Lớp 6 - Chi tiết'!$AM$14:$AM$267,MATCH($X72,'Lớp 6 - Chi tiết'!$I$14:$I$267,0)),""),""))</f>
        <v/>
      </c>
      <c r="BJ72" s="389" t="str">
        <f t="array" ref="BJ72">IF($X72="","",SWITCH($W72,3,IFERROR(INDEX('Lớp 3 - Công việc chính'!$AR$14:$AR$73,MATCH($X72,'Lớp 3 - Công việc chính'!$I$14:$I$73,0)),""),4,IFERROR(INDEX('Lớp 4 - Danh mục'!$AU$14:$AU$132,MATCH($X72,'Lớp 4 - Danh mục'!$I$14:$I$132,0)),""),5,IFERROR(INDEX('Lớp 5 - Phân công'!$AV$14:$AV$262,MATCH($X72,'Lớp 5 - Phân công'!$I$14:$I$262,0)),""),6,IFERROR(INDEX('Lớp 6 - Chi tiết'!$AY$14:$AY$267,MATCH($X72,'Lớp 6 - Chi tiết'!$I$14:$I$267,0)),""),""))</f>
        <v/>
      </c>
    </row>
    <row r="73" ht="15.75" customHeight="1">
      <c r="A73" s="294" t="str">
        <f t="shared" si="12"/>
        <v>    ├─ ▓ L4  03.13  Xây dựng công thức &amp; tạo HT tham số cho KH Showroom</v>
      </c>
      <c r="B73" s="301" t="str">
        <f t="shared" si="13"/>
        <v>Em Đại</v>
      </c>
      <c r="C73" s="301" t="str">
        <f t="shared" si="14"/>
        <v>Dữ liệu điều hành</v>
      </c>
      <c r="D73" s="301" t="str">
        <f t="shared" si="15"/>
        <v>P1</v>
      </c>
      <c r="E73" s="301" t="str">
        <f t="shared" si="16"/>
        <v>Chưa bắt đầu</v>
      </c>
      <c r="F73" s="317">
        <f t="shared" si="17"/>
        <v>0</v>
      </c>
      <c r="G73" s="323">
        <f t="shared" si="18"/>
        <v>46320</v>
      </c>
      <c r="H73" s="327">
        <f t="shared" si="19"/>
        <v>62</v>
      </c>
      <c r="I73" s="327">
        <f t="shared" si="20"/>
        <v>80</v>
      </c>
      <c r="J73" s="301" t="str">
        <f t="shared" si="21"/>
        <v>🟣 P1 trọng yếu</v>
      </c>
      <c r="K73" s="301" t="str">
        <f t="shared" si="22"/>
        <v>Theo dõi tải tại Lớp 5</v>
      </c>
      <c r="L73" s="344" t="str">
        <f t="array" ref="L73">IF($T73="","",LET(m,MATCH($T73,$AS$24:$AS$700,0),lvl,INDEX($W$24:$W$700,m),id,INDEX($X$24:$X$700,m),SWITCH(lvl,3,"Lớp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mục!A19</v>
      </c>
      <c r="M73" s="351" t="str">
        <f t="shared" si="23"/>
        <v/>
      </c>
      <c r="N73" s="356" t="str">
        <f t="shared" si="24"/>
        <v>Theo dõi phân bổ tại Lớp 5</v>
      </c>
      <c r="O73" s="358"/>
      <c r="P73" s="360"/>
      <c r="Q73" s="360"/>
      <c r="R73" s="67"/>
      <c r="S73" s="67"/>
      <c r="T73" s="67" t="str">
        <f>IFERROR(__xludf.DUMMYFUNCTION("""COMPUTED_VALUE"""),"03.13")</f>
        <v>03.13</v>
      </c>
      <c r="U73" s="389" t="str">
        <f>IF('Lớp 3 - Công việc chính'!I63="","",'Lớp 3 - Công việc chính'!I63)</f>
        <v/>
      </c>
      <c r="V73" s="389" t="str">
        <f>IF('Lớp 3 - Công việc chính'!I63="","","◆ "&amp;'Lớp 3 - Công việc chính'!M63)</f>
        <v/>
      </c>
      <c r="W73" s="389" t="str">
        <f>IF('Lớp 3 - Công việc chính'!I63="","",3)</f>
        <v/>
      </c>
      <c r="X73" s="67" t="str">
        <f>'Lớp 3 - Công việc chính'!I63</f>
        <v/>
      </c>
      <c r="Y73" s="389" t="str">
        <f t="shared" si="26"/>
        <v/>
      </c>
      <c r="Z73" s="67" t="str">
        <f>'Lớp 3 - Công việc chính'!V63</f>
        <v/>
      </c>
      <c r="AA73" s="67" t="str">
        <f>'Lớp 3 - Công việc chính'!W63</f>
        <v/>
      </c>
      <c r="AB73" s="67" t="str">
        <f>'Lớp 3 - Công việc chính'!Y63</f>
        <v/>
      </c>
      <c r="AC73" s="67" t="str">
        <f>'Lớp 3 - Công việc chính'!X63</f>
        <v/>
      </c>
      <c r="AD73" s="398" t="str">
        <f>'Lớp 3 - Công việc chính'!AC63</f>
        <v/>
      </c>
      <c r="AE73" s="358" t="str">
        <f>'Lớp 3 - Công việc chính'!AA63</f>
        <v/>
      </c>
      <c r="AF73" s="187" t="str">
        <f>'Lớp 3 - Công việc chính'!AD63</f>
        <v/>
      </c>
      <c r="AG73" s="104" t="str">
        <f>'Lớp 3 - Công việc chính'!AE63</f>
        <v/>
      </c>
      <c r="AH73" s="389" t="str">
        <f t="shared" si="27"/>
        <v/>
      </c>
      <c r="AI73" s="389" t="str">
        <f t="shared" si="37"/>
        <v>🔵 Chưa có hạn</v>
      </c>
      <c r="AJ73" s="67" t="str">
        <f>'Lớp 3 - Công việc chính'!AH63</f>
        <v/>
      </c>
      <c r="AS73" s="389" t="str">
        <f t="shared" si="31"/>
        <v/>
      </c>
      <c r="AT73" s="389" t="str">
        <f t="shared" si="32"/>
        <v/>
      </c>
      <c r="AU73" s="389" t="str">
        <f t="shared" si="33"/>
        <v/>
      </c>
      <c r="AV73" s="389" t="str">
        <f t="shared" si="34"/>
        <v/>
      </c>
      <c r="AW73" s="389" t="str">
        <f t="shared" si="35"/>
        <v/>
      </c>
      <c r="AX73" s="67" t="str">
        <f t="shared" ref="AX73:BH73" si="85">Z73</f>
        <v/>
      </c>
      <c r="AY73" s="67" t="str">
        <f t="shared" si="85"/>
        <v/>
      </c>
      <c r="AZ73" s="67" t="str">
        <f t="shared" si="85"/>
        <v/>
      </c>
      <c r="BA73" s="67" t="str">
        <f t="shared" si="85"/>
        <v/>
      </c>
      <c r="BB73" s="398" t="str">
        <f t="shared" si="85"/>
        <v/>
      </c>
      <c r="BC73" s="358" t="str">
        <f t="shared" si="85"/>
        <v/>
      </c>
      <c r="BD73" s="187" t="str">
        <f t="shared" si="85"/>
        <v/>
      </c>
      <c r="BE73" s="104" t="str">
        <f t="shared" si="85"/>
        <v/>
      </c>
      <c r="BF73" s="389" t="str">
        <f t="shared" si="85"/>
        <v/>
      </c>
      <c r="BG73" s="389" t="str">
        <f t="shared" si="85"/>
        <v>🔵 Chưa có hạn</v>
      </c>
      <c r="BH73" s="67" t="str">
        <f t="shared" si="85"/>
        <v/>
      </c>
      <c r="BI73" s="389" t="str">
        <f t="array" ref="BI73">IF($X73="","",SWITCH($W73,3,IFERROR(INDEX('Lớp 3 - Công việc chính'!$AF$14:$AF$73,MATCH($X73,'Lớp 3 - Công việc chính'!$I$14:$I$73,0)),""),4,IFERROR(INDEX('Lớp 4 - Danh mục'!$AI$14:$AI$132,MATCH($X73,'Lớp 4 - Danh mục'!$I$14:$I$132,0)),""),5,IFERROR(INDEX('Lớp 5 - Phân công'!$AJ$14:$AJ$262,MATCH($X73,'Lớp 5 - Phân công'!$I$14:$I$262,0)),""),6,IFERROR(INDEX('Lớp 6 - Chi tiết'!$AM$14:$AM$267,MATCH($X73,'Lớp 6 - Chi tiết'!$I$14:$I$267,0)),""),""))</f>
        <v/>
      </c>
      <c r="BJ73" s="389" t="str">
        <f t="array" ref="BJ73">IF($X73="","",SWITCH($W73,3,IFERROR(INDEX('Lớp 3 - Công việc chính'!$AR$14:$AR$73,MATCH($X73,'Lớp 3 - Công việc chính'!$I$14:$I$73,0)),""),4,IFERROR(INDEX('Lớp 4 - Danh mục'!$AU$14:$AU$132,MATCH($X73,'Lớp 4 - Danh mục'!$I$14:$I$132,0)),""),5,IFERROR(INDEX('Lớp 5 - Phân công'!$AV$14:$AV$262,MATCH($X73,'Lớp 5 - Phân công'!$I$14:$I$262,0)),""),6,IFERROR(INDEX('Lớp 6 - Chi tiết'!$AY$14:$AY$267,MATCH($X73,'Lớp 6 - Chi tiết'!$I$14:$I$267,0)),""),""))</f>
        <v/>
      </c>
    </row>
    <row r="74" ht="15.75" customHeight="1">
      <c r="A74" s="294" t="str">
        <f t="shared" si="12"/>
        <v>    ├─ ▓ L4  03.14  Xây dựng phần mềm &amp; Chạy Topdown thử nghiệm</v>
      </c>
      <c r="B74" s="301" t="str">
        <f t="shared" si="13"/>
        <v>Em Đại</v>
      </c>
      <c r="C74" s="301" t="str">
        <f t="shared" si="14"/>
        <v>Dữ liệu điều hành</v>
      </c>
      <c r="D74" s="301" t="str">
        <f t="shared" si="15"/>
        <v>P1</v>
      </c>
      <c r="E74" s="301" t="str">
        <f t="shared" si="16"/>
        <v>Chưa bắt đầu</v>
      </c>
      <c r="F74" s="317">
        <f t="shared" si="17"/>
        <v>0</v>
      </c>
      <c r="G74" s="323">
        <f t="shared" si="18"/>
        <v>46331</v>
      </c>
      <c r="H74" s="327">
        <f t="shared" si="19"/>
        <v>72</v>
      </c>
      <c r="I74" s="327">
        <f t="shared" si="20"/>
        <v>80</v>
      </c>
      <c r="J74" s="301" t="str">
        <f t="shared" si="21"/>
        <v>🟣 P1 trọng yếu</v>
      </c>
      <c r="K74" s="301" t="str">
        <f t="shared" si="22"/>
        <v>Theo dõi tải tại Lớp 5</v>
      </c>
      <c r="L74" s="344" t="str">
        <f t="array" ref="L74">IF($T74="","",LET(m,MATCH($T74,$AS$24:$AS$700,0),lvl,INDEX($W$24:$W$700,m),id,INDEX($X$24:$X$700,m),SWITCH(lvl,3,"Lớp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mục!A20</v>
      </c>
      <c r="M74" s="351" t="str">
        <f t="shared" si="23"/>
        <v/>
      </c>
      <c r="N74" s="356" t="str">
        <f t="shared" si="24"/>
        <v>Theo dõi phân bổ tại Lớp 5</v>
      </c>
      <c r="O74" s="358"/>
      <c r="P74" s="360"/>
      <c r="Q74" s="360"/>
      <c r="R74" s="67"/>
      <c r="S74" s="67"/>
      <c r="T74" s="67" t="str">
        <f>IFERROR(__xludf.DUMMYFUNCTION("""COMPUTED_VALUE"""),"03.14")</f>
        <v>03.14</v>
      </c>
      <c r="U74" s="389" t="str">
        <f>IF('Lớp 3 - Công việc chính'!I64="","",'Lớp 3 - Công việc chính'!I64)</f>
        <v/>
      </c>
      <c r="V74" s="389" t="str">
        <f>IF('Lớp 3 - Công việc chính'!I64="","","◆ "&amp;'Lớp 3 - Công việc chính'!M64)</f>
        <v/>
      </c>
      <c r="W74" s="389" t="str">
        <f>IF('Lớp 3 - Công việc chính'!I64="","",3)</f>
        <v/>
      </c>
      <c r="X74" s="67" t="str">
        <f>'Lớp 3 - Công việc chính'!I64</f>
        <v/>
      </c>
      <c r="Y74" s="389" t="str">
        <f t="shared" si="26"/>
        <v/>
      </c>
      <c r="Z74" s="67" t="str">
        <f>'Lớp 3 - Công việc chính'!V64</f>
        <v/>
      </c>
      <c r="AA74" s="67" t="str">
        <f>'Lớp 3 - Công việc chính'!W64</f>
        <v/>
      </c>
      <c r="AB74" s="67" t="str">
        <f>'Lớp 3 - Công việc chính'!Y64</f>
        <v/>
      </c>
      <c r="AC74" s="67" t="str">
        <f>'Lớp 3 - Công việc chính'!X64</f>
        <v/>
      </c>
      <c r="AD74" s="398" t="str">
        <f>'Lớp 3 - Công việc chính'!AC64</f>
        <v/>
      </c>
      <c r="AE74" s="358" t="str">
        <f>'Lớp 3 - Công việc chính'!AA64</f>
        <v/>
      </c>
      <c r="AF74" s="187" t="str">
        <f>'Lớp 3 - Công việc chính'!AD64</f>
        <v/>
      </c>
      <c r="AG74" s="104" t="str">
        <f>'Lớp 3 - Công việc chính'!AE64</f>
        <v/>
      </c>
      <c r="AH74" s="389" t="str">
        <f t="shared" si="27"/>
        <v/>
      </c>
      <c r="AI74" s="389" t="str">
        <f t="shared" si="37"/>
        <v>🔵 Chưa có hạn</v>
      </c>
      <c r="AJ74" s="67" t="str">
        <f>'Lớp 3 - Công việc chính'!AH64</f>
        <v/>
      </c>
      <c r="AS74" s="389" t="str">
        <f t="shared" si="31"/>
        <v/>
      </c>
      <c r="AT74" s="389" t="str">
        <f t="shared" si="32"/>
        <v/>
      </c>
      <c r="AU74" s="389" t="str">
        <f t="shared" si="33"/>
        <v/>
      </c>
      <c r="AV74" s="389" t="str">
        <f t="shared" si="34"/>
        <v/>
      </c>
      <c r="AW74" s="389" t="str">
        <f t="shared" si="35"/>
        <v/>
      </c>
      <c r="AX74" s="67" t="str">
        <f t="shared" ref="AX74:BH74" si="86">Z74</f>
        <v/>
      </c>
      <c r="AY74" s="67" t="str">
        <f t="shared" si="86"/>
        <v/>
      </c>
      <c r="AZ74" s="67" t="str">
        <f t="shared" si="86"/>
        <v/>
      </c>
      <c r="BA74" s="67" t="str">
        <f t="shared" si="86"/>
        <v/>
      </c>
      <c r="BB74" s="398" t="str">
        <f t="shared" si="86"/>
        <v/>
      </c>
      <c r="BC74" s="358" t="str">
        <f t="shared" si="86"/>
        <v/>
      </c>
      <c r="BD74" s="187" t="str">
        <f t="shared" si="86"/>
        <v/>
      </c>
      <c r="BE74" s="104" t="str">
        <f t="shared" si="86"/>
        <v/>
      </c>
      <c r="BF74" s="389" t="str">
        <f t="shared" si="86"/>
        <v/>
      </c>
      <c r="BG74" s="389" t="str">
        <f t="shared" si="86"/>
        <v>🔵 Chưa có hạn</v>
      </c>
      <c r="BH74" s="67" t="str">
        <f t="shared" si="86"/>
        <v/>
      </c>
      <c r="BI74" s="389" t="str">
        <f t="array" ref="BI74">IF($X74="","",SWITCH($W74,3,IFERROR(INDEX('Lớp 3 - Công việc chính'!$AF$14:$AF$73,MATCH($X74,'Lớp 3 - Công việc chính'!$I$14:$I$73,0)),""),4,IFERROR(INDEX('Lớp 4 - Danh mục'!$AI$14:$AI$132,MATCH($X74,'Lớp 4 - Danh mục'!$I$14:$I$132,0)),""),5,IFERROR(INDEX('Lớp 5 - Phân công'!$AJ$14:$AJ$262,MATCH($X74,'Lớp 5 - Phân công'!$I$14:$I$262,0)),""),6,IFERROR(INDEX('Lớp 6 - Chi tiết'!$AM$14:$AM$267,MATCH($X74,'Lớp 6 - Chi tiết'!$I$14:$I$267,0)),""),""))</f>
        <v/>
      </c>
      <c r="BJ74" s="389" t="str">
        <f t="array" ref="BJ74">IF($X74="","",SWITCH($W74,3,IFERROR(INDEX('Lớp 3 - Công việc chính'!$AR$14:$AR$73,MATCH($X74,'Lớp 3 - Công việc chính'!$I$14:$I$73,0)),""),4,IFERROR(INDEX('Lớp 4 - Danh mục'!$AU$14:$AU$132,MATCH($X74,'Lớp 4 - Danh mục'!$I$14:$I$132,0)),""),5,IFERROR(INDEX('Lớp 5 - Phân công'!$AV$14:$AV$262,MATCH($X74,'Lớp 5 - Phân công'!$I$14:$I$262,0)),""),6,IFERROR(INDEX('Lớp 6 - Chi tiết'!$AY$14:$AY$267,MATCH($X74,'Lớp 6 - Chi tiết'!$I$14:$I$267,0)),""),""))</f>
        <v/>
      </c>
    </row>
    <row r="75" ht="15.75" customHeight="1">
      <c r="A75" s="294" t="str">
        <f t="shared" si="12"/>
        <v>▓▓ L3  04  KH SẢN PHẨM 2027-2030</v>
      </c>
      <c r="B75" s="301" t="str">
        <f t="shared" si="13"/>
        <v>Ms Trang</v>
      </c>
      <c r="C75" s="301" t="str">
        <f t="shared" si="14"/>
        <v>R&amp;D</v>
      </c>
      <c r="D75" s="301" t="str">
        <f t="shared" si="15"/>
        <v>P1</v>
      </c>
      <c r="E75" s="301" t="str">
        <f t="shared" si="16"/>
        <v>Đang thực hiện</v>
      </c>
      <c r="F75" s="317">
        <f t="shared" si="17"/>
        <v>0</v>
      </c>
      <c r="G75" s="323">
        <f t="shared" si="18"/>
        <v>46305</v>
      </c>
      <c r="H75" s="327">
        <f t="shared" si="19"/>
        <v>50</v>
      </c>
      <c r="I75" s="327" t="str">
        <f t="shared" si="20"/>
        <v/>
      </c>
      <c r="J75" s="301" t="str">
        <f t="shared" si="21"/>
        <v>🟣 P1 trọng yếu</v>
      </c>
      <c r="K75" s="301" t="str">
        <f t="shared" si="22"/>
        <v>Theo dõi tải tại Lớp 4</v>
      </c>
      <c r="L75" s="344" t="str">
        <f t="array" ref="L75">IF($T75="","",LET(m,MATCH($T75,$AS$24:$AS$700,0),lvl,INDEX($W$24:$W$700,m),id,INDEX($X$24:$X$700,m),SWITCH(lvl,3,"Lớp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chính!A17</v>
      </c>
      <c r="M75" s="351" t="str">
        <f t="shared" si="23"/>
        <v/>
      </c>
      <c r="N75" s="356" t="str">
        <f t="shared" si="24"/>
        <v>Theo dõi phân bổ tại Lớp 4</v>
      </c>
      <c r="O75" s="358"/>
      <c r="P75" s="360"/>
      <c r="Q75" s="360"/>
      <c r="R75" s="67"/>
      <c r="S75" s="67"/>
      <c r="T75" s="67" t="str">
        <f>IFERROR(__xludf.DUMMYFUNCTION("""COMPUTED_VALUE"""),"04")</f>
        <v>04</v>
      </c>
      <c r="U75" s="389" t="str">
        <f>IF('Lớp 3 - Công việc chính'!I65="","",'Lớp 3 - Công việc chính'!I65)</f>
        <v/>
      </c>
      <c r="V75" s="389" t="str">
        <f>IF('Lớp 3 - Công việc chính'!I65="","","◆ "&amp;'Lớp 3 - Công việc chính'!M65)</f>
        <v/>
      </c>
      <c r="W75" s="389" t="str">
        <f>IF('Lớp 3 - Công việc chính'!I65="","",3)</f>
        <v/>
      </c>
      <c r="X75" s="67" t="str">
        <f>'Lớp 3 - Công việc chính'!I65</f>
        <v/>
      </c>
      <c r="Y75" s="389" t="str">
        <f t="shared" si="26"/>
        <v/>
      </c>
      <c r="Z75" s="67" t="str">
        <f>'Lớp 3 - Công việc chính'!V65</f>
        <v/>
      </c>
      <c r="AA75" s="67" t="str">
        <f>'Lớp 3 - Công việc chính'!W65</f>
        <v/>
      </c>
      <c r="AB75" s="67" t="str">
        <f>'Lớp 3 - Công việc chính'!Y65</f>
        <v/>
      </c>
      <c r="AC75" s="67" t="str">
        <f>'Lớp 3 - Công việc chính'!X65</f>
        <v/>
      </c>
      <c r="AD75" s="398" t="str">
        <f>'Lớp 3 - Công việc chính'!AC65</f>
        <v/>
      </c>
      <c r="AE75" s="358" t="str">
        <f>'Lớp 3 - Công việc chính'!AA65</f>
        <v/>
      </c>
      <c r="AF75" s="187" t="str">
        <f>'Lớp 3 - Công việc chính'!AD65</f>
        <v/>
      </c>
      <c r="AG75" s="104" t="str">
        <f>'Lớp 3 - Công việc chính'!AE65</f>
        <v/>
      </c>
      <c r="AH75" s="389" t="str">
        <f t="shared" si="27"/>
        <v/>
      </c>
      <c r="AI75" s="389" t="str">
        <f t="shared" si="37"/>
        <v>🔵 Chưa có hạn</v>
      </c>
      <c r="AJ75" s="67" t="str">
        <f>'Lớp 3 - Công việc chính'!AH65</f>
        <v/>
      </c>
      <c r="AS75" s="389" t="str">
        <f t="shared" si="31"/>
        <v/>
      </c>
      <c r="AT75" s="389" t="str">
        <f t="shared" si="32"/>
        <v/>
      </c>
      <c r="AU75" s="389" t="str">
        <f t="shared" si="33"/>
        <v/>
      </c>
      <c r="AV75" s="389" t="str">
        <f t="shared" si="34"/>
        <v/>
      </c>
      <c r="AW75" s="389" t="str">
        <f t="shared" si="35"/>
        <v/>
      </c>
      <c r="AX75" s="67" t="str">
        <f t="shared" ref="AX75:BH75" si="87">Z75</f>
        <v/>
      </c>
      <c r="AY75" s="67" t="str">
        <f t="shared" si="87"/>
        <v/>
      </c>
      <c r="AZ75" s="67" t="str">
        <f t="shared" si="87"/>
        <v/>
      </c>
      <c r="BA75" s="67" t="str">
        <f t="shared" si="87"/>
        <v/>
      </c>
      <c r="BB75" s="398" t="str">
        <f t="shared" si="87"/>
        <v/>
      </c>
      <c r="BC75" s="358" t="str">
        <f t="shared" si="87"/>
        <v/>
      </c>
      <c r="BD75" s="187" t="str">
        <f t="shared" si="87"/>
        <v/>
      </c>
      <c r="BE75" s="104" t="str">
        <f t="shared" si="87"/>
        <v/>
      </c>
      <c r="BF75" s="389" t="str">
        <f t="shared" si="87"/>
        <v/>
      </c>
      <c r="BG75" s="389" t="str">
        <f t="shared" si="87"/>
        <v>🔵 Chưa có hạn</v>
      </c>
      <c r="BH75" s="67" t="str">
        <f t="shared" si="87"/>
        <v/>
      </c>
      <c r="BI75" s="389" t="str">
        <f t="array" ref="BI75">IF($X75="","",SWITCH($W75,3,IFERROR(INDEX('Lớp 3 - Công việc chính'!$AF$14:$AF$73,MATCH($X75,'Lớp 3 - Công việc chính'!$I$14:$I$73,0)),""),4,IFERROR(INDEX('Lớp 4 - Danh mục'!$AI$14:$AI$132,MATCH($X75,'Lớp 4 - Danh mục'!$I$14:$I$132,0)),""),5,IFERROR(INDEX('Lớp 5 - Phân công'!$AJ$14:$AJ$262,MATCH($X75,'Lớp 5 - Phân công'!$I$14:$I$262,0)),""),6,IFERROR(INDEX('Lớp 6 - Chi tiết'!$AM$14:$AM$267,MATCH($X75,'Lớp 6 - Chi tiết'!$I$14:$I$267,0)),""),""))</f>
        <v/>
      </c>
      <c r="BJ75" s="389" t="str">
        <f t="array" ref="BJ75">IF($X75="","",SWITCH($W75,3,IFERROR(INDEX('Lớp 3 - Công việc chính'!$AR$14:$AR$73,MATCH($X75,'Lớp 3 - Công việc chính'!$I$14:$I$73,0)),""),4,IFERROR(INDEX('Lớp 4 - Danh mục'!$AU$14:$AU$132,MATCH($X75,'Lớp 4 - Danh mục'!$I$14:$I$132,0)),""),5,IFERROR(INDEX('Lớp 5 - Phân công'!$AV$14:$AV$262,MATCH($X75,'Lớp 5 - Phân công'!$I$14:$I$262,0)),""),6,IFERROR(INDEX('Lớp 6 - Chi tiết'!$AY$14:$AY$267,MATCH($X75,'Lớp 6 - Chi tiết'!$I$14:$I$267,0)),""),""))</f>
        <v/>
      </c>
    </row>
    <row r="76" ht="15.75" customHeight="1">
      <c r="A76" s="294" t="str">
        <f t="shared" si="12"/>
        <v>    ├─ ▓ L4  04.01  XĐ căn cứ &amp; QH nhân quả giữa NC với QT&amp;PTSP hàng năm</v>
      </c>
      <c r="B76" s="301" t="str">
        <f t="shared" si="13"/>
        <v>Ms Trang</v>
      </c>
      <c r="C76" s="301" t="str">
        <f t="shared" si="14"/>
        <v>R&amp;D</v>
      </c>
      <c r="D76" s="301" t="str">
        <f t="shared" si="15"/>
        <v>P2</v>
      </c>
      <c r="E76" s="301" t="str">
        <f t="shared" si="16"/>
        <v>Đang thực hiện</v>
      </c>
      <c r="F76" s="317">
        <f t="shared" si="17"/>
        <v>0</v>
      </c>
      <c r="G76" s="323">
        <f t="shared" si="18"/>
        <v>46285</v>
      </c>
      <c r="H76" s="327">
        <f t="shared" si="19"/>
        <v>32</v>
      </c>
      <c r="I76" s="327">
        <f t="shared" si="20"/>
        <v>40</v>
      </c>
      <c r="J76" s="301" t="str">
        <f t="shared" si="21"/>
        <v>🟢 Theo kế hoạch</v>
      </c>
      <c r="K76" s="301" t="str">
        <f t="shared" si="22"/>
        <v>Thiếu tham số phân bổ</v>
      </c>
      <c r="L76" s="344" t="str">
        <f t="array" ref="L76">IF($T76="","",LET(m,MATCH($T76,$AS$24:$AS$700,0),lvl,INDEX($W$24:$W$700,m),id,INDEX($X$24:$X$700,m),SWITCH(lvl,3,"Lớp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mục!A27</v>
      </c>
      <c r="M76" s="351" t="str">
        <f t="shared" si="23"/>
        <v/>
      </c>
      <c r="N76" s="356" t="str">
        <f t="shared" si="24"/>
        <v>Thiếu tham số phân bổ</v>
      </c>
      <c r="O76" s="358"/>
      <c r="P76" s="360"/>
      <c r="Q76" s="360"/>
      <c r="R76" s="67"/>
      <c r="S76" s="67"/>
      <c r="T76" s="67" t="str">
        <f>IFERROR(__xludf.DUMMYFUNCTION("""COMPUTED_VALUE"""),"04.01")</f>
        <v>04.01</v>
      </c>
      <c r="U76" s="389" t="str">
        <f>IF('Lớp 3 - Công việc chính'!I66="","",'Lớp 3 - Công việc chính'!I66)</f>
        <v/>
      </c>
      <c r="V76" s="389" t="str">
        <f>IF('Lớp 3 - Công việc chính'!I66="","","◆ "&amp;'Lớp 3 - Công việc chính'!M66)</f>
        <v/>
      </c>
      <c r="W76" s="389" t="str">
        <f>IF('Lớp 3 - Công việc chính'!I66="","",3)</f>
        <v/>
      </c>
      <c r="X76" s="67" t="str">
        <f>'Lớp 3 - Công việc chính'!I66</f>
        <v/>
      </c>
      <c r="Y76" s="389" t="str">
        <f t="shared" si="26"/>
        <v/>
      </c>
      <c r="Z76" s="67" t="str">
        <f>'Lớp 3 - Công việc chính'!V66</f>
        <v/>
      </c>
      <c r="AA76" s="67" t="str">
        <f>'Lớp 3 - Công việc chính'!W66</f>
        <v/>
      </c>
      <c r="AB76" s="67" t="str">
        <f>'Lớp 3 - Công việc chính'!Y66</f>
        <v/>
      </c>
      <c r="AC76" s="67" t="str">
        <f>'Lớp 3 - Công việc chính'!X66</f>
        <v/>
      </c>
      <c r="AD76" s="398" t="str">
        <f>'Lớp 3 - Công việc chính'!AC66</f>
        <v/>
      </c>
      <c r="AE76" s="358" t="str">
        <f>'Lớp 3 - Công việc chính'!AA66</f>
        <v/>
      </c>
      <c r="AF76" s="187" t="str">
        <f>'Lớp 3 - Công việc chính'!AD66</f>
        <v/>
      </c>
      <c r="AG76" s="104" t="str">
        <f>'Lớp 3 - Công việc chính'!AE66</f>
        <v/>
      </c>
      <c r="AH76" s="389" t="str">
        <f t="shared" si="27"/>
        <v/>
      </c>
      <c r="AI76" s="389" t="str">
        <f t="shared" si="37"/>
        <v>🔵 Chưa có hạn</v>
      </c>
      <c r="AJ76" s="67" t="str">
        <f>'Lớp 3 - Công việc chính'!AH66</f>
        <v/>
      </c>
      <c r="AS76" s="389" t="str">
        <f t="shared" si="31"/>
        <v/>
      </c>
      <c r="AT76" s="389" t="str">
        <f t="shared" si="32"/>
        <v/>
      </c>
      <c r="AU76" s="389" t="str">
        <f t="shared" si="33"/>
        <v/>
      </c>
      <c r="AV76" s="389" t="str">
        <f t="shared" si="34"/>
        <v/>
      </c>
      <c r="AW76" s="389" t="str">
        <f t="shared" si="35"/>
        <v/>
      </c>
      <c r="AX76" s="67" t="str">
        <f t="shared" ref="AX76:BH76" si="88">Z76</f>
        <v/>
      </c>
      <c r="AY76" s="67" t="str">
        <f t="shared" si="88"/>
        <v/>
      </c>
      <c r="AZ76" s="67" t="str">
        <f t="shared" si="88"/>
        <v/>
      </c>
      <c r="BA76" s="67" t="str">
        <f t="shared" si="88"/>
        <v/>
      </c>
      <c r="BB76" s="398" t="str">
        <f t="shared" si="88"/>
        <v/>
      </c>
      <c r="BC76" s="358" t="str">
        <f t="shared" si="88"/>
        <v/>
      </c>
      <c r="BD76" s="187" t="str">
        <f t="shared" si="88"/>
        <v/>
      </c>
      <c r="BE76" s="104" t="str">
        <f t="shared" si="88"/>
        <v/>
      </c>
      <c r="BF76" s="389" t="str">
        <f t="shared" si="88"/>
        <v/>
      </c>
      <c r="BG76" s="389" t="str">
        <f t="shared" si="88"/>
        <v>🔵 Chưa có hạn</v>
      </c>
      <c r="BH76" s="67" t="str">
        <f t="shared" si="88"/>
        <v/>
      </c>
      <c r="BI76" s="389" t="str">
        <f t="array" ref="BI76">IF($X76="","",SWITCH($W76,3,IFERROR(INDEX('Lớp 3 - Công việc chính'!$AF$14:$AF$73,MATCH($X76,'Lớp 3 - Công việc chính'!$I$14:$I$73,0)),""),4,IFERROR(INDEX('Lớp 4 - Danh mục'!$AI$14:$AI$132,MATCH($X76,'Lớp 4 - Danh mục'!$I$14:$I$132,0)),""),5,IFERROR(INDEX('Lớp 5 - Phân công'!$AJ$14:$AJ$262,MATCH($X76,'Lớp 5 - Phân công'!$I$14:$I$262,0)),""),6,IFERROR(INDEX('Lớp 6 - Chi tiết'!$AM$14:$AM$267,MATCH($X76,'Lớp 6 - Chi tiết'!$I$14:$I$267,0)),""),""))</f>
        <v/>
      </c>
      <c r="BJ76" s="389" t="str">
        <f t="array" ref="BJ76">IF($X76="","",SWITCH($W76,3,IFERROR(INDEX('Lớp 3 - Công việc chính'!$AR$14:$AR$73,MATCH($X76,'Lớp 3 - Công việc chính'!$I$14:$I$73,0)),""),4,IFERROR(INDEX('Lớp 4 - Danh mục'!$AU$14:$AU$132,MATCH($X76,'Lớp 4 - Danh mục'!$I$14:$I$132,0)),""),5,IFERROR(INDEX('Lớp 5 - Phân công'!$AV$14:$AV$262,MATCH($X76,'Lớp 5 - Phân công'!$I$14:$I$262,0)),""),6,IFERROR(INDEX('Lớp 6 - Chi tiết'!$AY$14:$AY$267,MATCH($X76,'Lớp 6 - Chi tiết'!$I$14:$I$267,0)),""),""))</f>
        <v/>
      </c>
    </row>
    <row r="77" ht="15.75" customHeight="1">
      <c r="A77" s="294" t="str">
        <f t="shared" si="12"/>
        <v>    ├─ ▓ L4  04.02  Phân tích bộ câu hỏi KS Insight 2024, 2025</v>
      </c>
      <c r="B77" s="301" t="str">
        <f t="shared" si="13"/>
        <v>Ms Trang</v>
      </c>
      <c r="C77" s="301" t="str">
        <f t="shared" si="14"/>
        <v>R&amp;D</v>
      </c>
      <c r="D77" s="301" t="str">
        <f t="shared" si="15"/>
        <v>P4</v>
      </c>
      <c r="E77" s="301" t="str">
        <f t="shared" si="16"/>
        <v>Đang thực hiện</v>
      </c>
      <c r="F77" s="317">
        <f t="shared" si="17"/>
        <v>0</v>
      </c>
      <c r="G77" s="323">
        <f t="shared" si="18"/>
        <v>46244</v>
      </c>
      <c r="H77" s="327">
        <f t="shared" si="19"/>
        <v>-1</v>
      </c>
      <c r="I77" s="327">
        <f t="shared" si="20"/>
        <v>24</v>
      </c>
      <c r="J77" s="301" t="str">
        <f t="shared" si="21"/>
        <v>🔴 Quá hạn</v>
      </c>
      <c r="K77" s="301" t="str">
        <f t="shared" si="22"/>
        <v>Thiếu tham số phân bổ</v>
      </c>
      <c r="L77" s="344" t="str">
        <f t="array" ref="L77">IF($T77="","",LET(m,MATCH($T77,$AS$24:$AS$700,0),lvl,INDEX($W$24:$W$700,m),id,INDEX($X$24:$X$700,m),SWITCH(lvl,3,"Lớp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mục!A28</v>
      </c>
      <c r="M77" s="351" t="str">
        <f t="shared" si="23"/>
        <v/>
      </c>
      <c r="N77" s="356" t="str">
        <f t="shared" si="24"/>
        <v>Thiếu tham số phân bổ</v>
      </c>
      <c r="O77" s="358"/>
      <c r="P77" s="360"/>
      <c r="Q77" s="360"/>
      <c r="R77" s="67"/>
      <c r="S77" s="67"/>
      <c r="T77" s="67" t="str">
        <f>IFERROR(__xludf.DUMMYFUNCTION("""COMPUTED_VALUE"""),"04.02")</f>
        <v>04.02</v>
      </c>
      <c r="U77" s="389" t="str">
        <f>IF('Lớp 3 - Công việc chính'!I67="","",'Lớp 3 - Công việc chính'!I67)</f>
        <v/>
      </c>
      <c r="V77" s="389" t="str">
        <f>IF('Lớp 3 - Công việc chính'!I67="","","◆ "&amp;'Lớp 3 - Công việc chính'!M67)</f>
        <v/>
      </c>
      <c r="W77" s="389" t="str">
        <f>IF('Lớp 3 - Công việc chính'!I67="","",3)</f>
        <v/>
      </c>
      <c r="X77" s="67" t="str">
        <f>'Lớp 3 - Công việc chính'!I67</f>
        <v/>
      </c>
      <c r="Y77" s="389" t="str">
        <f t="shared" si="26"/>
        <v/>
      </c>
      <c r="Z77" s="67" t="str">
        <f>'Lớp 3 - Công việc chính'!V67</f>
        <v/>
      </c>
      <c r="AA77" s="67" t="str">
        <f>'Lớp 3 - Công việc chính'!W67</f>
        <v/>
      </c>
      <c r="AB77" s="67" t="str">
        <f>'Lớp 3 - Công việc chính'!Y67</f>
        <v/>
      </c>
      <c r="AC77" s="67" t="str">
        <f>'Lớp 3 - Công việc chính'!X67</f>
        <v/>
      </c>
      <c r="AD77" s="398" t="str">
        <f>'Lớp 3 - Công việc chính'!AC67</f>
        <v/>
      </c>
      <c r="AE77" s="358" t="str">
        <f>'Lớp 3 - Công việc chính'!AA67</f>
        <v/>
      </c>
      <c r="AF77" s="187" t="str">
        <f>'Lớp 3 - Công việc chính'!AD67</f>
        <v/>
      </c>
      <c r="AG77" s="104" t="str">
        <f>'Lớp 3 - Công việc chính'!AE67</f>
        <v/>
      </c>
      <c r="AH77" s="389" t="str">
        <f t="shared" si="27"/>
        <v/>
      </c>
      <c r="AI77" s="389" t="str">
        <f t="shared" si="37"/>
        <v>🔵 Chưa có hạn</v>
      </c>
      <c r="AJ77" s="67" t="str">
        <f>'Lớp 3 - Công việc chính'!AH67</f>
        <v/>
      </c>
      <c r="AS77" s="389" t="str">
        <f t="shared" si="31"/>
        <v/>
      </c>
      <c r="AT77" s="389" t="str">
        <f t="shared" si="32"/>
        <v/>
      </c>
      <c r="AU77" s="389" t="str">
        <f t="shared" si="33"/>
        <v/>
      </c>
      <c r="AV77" s="389" t="str">
        <f t="shared" si="34"/>
        <v/>
      </c>
      <c r="AW77" s="389" t="str">
        <f t="shared" si="35"/>
        <v/>
      </c>
      <c r="AX77" s="67" t="str">
        <f t="shared" ref="AX77:BH77" si="89">Z77</f>
        <v/>
      </c>
      <c r="AY77" s="67" t="str">
        <f t="shared" si="89"/>
        <v/>
      </c>
      <c r="AZ77" s="67" t="str">
        <f t="shared" si="89"/>
        <v/>
      </c>
      <c r="BA77" s="67" t="str">
        <f t="shared" si="89"/>
        <v/>
      </c>
      <c r="BB77" s="398" t="str">
        <f t="shared" si="89"/>
        <v/>
      </c>
      <c r="BC77" s="358" t="str">
        <f t="shared" si="89"/>
        <v/>
      </c>
      <c r="BD77" s="187" t="str">
        <f t="shared" si="89"/>
        <v/>
      </c>
      <c r="BE77" s="104" t="str">
        <f t="shared" si="89"/>
        <v/>
      </c>
      <c r="BF77" s="389" t="str">
        <f t="shared" si="89"/>
        <v/>
      </c>
      <c r="BG77" s="389" t="str">
        <f t="shared" si="89"/>
        <v>🔵 Chưa có hạn</v>
      </c>
      <c r="BH77" s="67" t="str">
        <f t="shared" si="89"/>
        <v/>
      </c>
      <c r="BI77" s="389" t="str">
        <f t="array" ref="BI77">IF($X77="","",SWITCH($W77,3,IFERROR(INDEX('Lớp 3 - Công việc chính'!$AF$14:$AF$73,MATCH($X77,'Lớp 3 - Công việc chính'!$I$14:$I$73,0)),""),4,IFERROR(INDEX('Lớp 4 - Danh mục'!$AI$14:$AI$132,MATCH($X77,'Lớp 4 - Danh mục'!$I$14:$I$132,0)),""),5,IFERROR(INDEX('Lớp 5 - Phân công'!$AJ$14:$AJ$262,MATCH($X77,'Lớp 5 - Phân công'!$I$14:$I$262,0)),""),6,IFERROR(INDEX('Lớp 6 - Chi tiết'!$AM$14:$AM$267,MATCH($X77,'Lớp 6 - Chi tiết'!$I$14:$I$267,0)),""),""))</f>
        <v/>
      </c>
      <c r="BJ77" s="389" t="str">
        <f t="array" ref="BJ77">IF($X77="","",SWITCH($W77,3,IFERROR(INDEX('Lớp 3 - Công việc chính'!$AR$14:$AR$73,MATCH($X77,'Lớp 3 - Công việc chính'!$I$14:$I$73,0)),""),4,IFERROR(INDEX('Lớp 4 - Danh mục'!$AU$14:$AU$132,MATCH($X77,'Lớp 4 - Danh mục'!$I$14:$I$132,0)),""),5,IFERROR(INDEX('Lớp 5 - Phân công'!$AV$14:$AV$262,MATCH($X77,'Lớp 5 - Phân công'!$I$14:$I$262,0)),""),6,IFERROR(INDEX('Lớp 6 - Chi tiết'!$AY$14:$AY$267,MATCH($X77,'Lớp 6 - Chi tiết'!$I$14:$I$267,0)),""),""))</f>
        <v/>
      </c>
    </row>
    <row r="78" ht="15.75" customHeight="1">
      <c r="A78" s="294" t="str">
        <f t="shared" si="12"/>
        <v>    ├─ ▓ L4  04.03  Final BCCL xét từ hai yếu tố bên trong &amp; bên ngoài</v>
      </c>
      <c r="B78" s="301" t="str">
        <f t="shared" si="13"/>
        <v>Ms Trang</v>
      </c>
      <c r="C78" s="301" t="str">
        <f t="shared" si="14"/>
        <v>R&amp;D</v>
      </c>
      <c r="D78" s="301" t="str">
        <f t="shared" si="15"/>
        <v>P2</v>
      </c>
      <c r="E78" s="301" t="str">
        <f t="shared" si="16"/>
        <v>Đang thực hiện</v>
      </c>
      <c r="F78" s="317">
        <f t="shared" si="17"/>
        <v>0</v>
      </c>
      <c r="G78" s="323">
        <f t="shared" si="18"/>
        <v>46305</v>
      </c>
      <c r="H78" s="327">
        <f t="shared" si="19"/>
        <v>50</v>
      </c>
      <c r="I78" s="327">
        <f t="shared" si="20"/>
        <v>48</v>
      </c>
      <c r="J78" s="301" t="str">
        <f t="shared" si="21"/>
        <v>🟢 Theo kế hoạch</v>
      </c>
      <c r="K78" s="301" t="str">
        <f t="shared" si="22"/>
        <v>Thiếu tham số phân bổ</v>
      </c>
      <c r="L78" s="344" t="str">
        <f t="array" ref="L78">IF($T78="","",LET(m,MATCH($T78,$AS$24:$AS$700,0),lvl,INDEX($W$24:$W$700,m),id,INDEX($X$24:$X$700,m),SWITCH(lvl,3,"Lớp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mục!A29</v>
      </c>
      <c r="M78" s="351" t="str">
        <f t="shared" si="23"/>
        <v/>
      </c>
      <c r="N78" s="356" t="str">
        <f t="shared" si="24"/>
        <v>Thiếu tham số phân bổ</v>
      </c>
      <c r="O78" s="358"/>
      <c r="P78" s="360"/>
      <c r="Q78" s="360"/>
      <c r="R78" s="67"/>
      <c r="S78" s="67"/>
      <c r="T78" s="67" t="str">
        <f>IFERROR(__xludf.DUMMYFUNCTION("""COMPUTED_VALUE"""),"04.03")</f>
        <v>04.03</v>
      </c>
      <c r="U78" s="389" t="str">
        <f>IF('Lớp 3 - Công việc chính'!I68="","",'Lớp 3 - Công việc chính'!I68)</f>
        <v/>
      </c>
      <c r="V78" s="389" t="str">
        <f>IF('Lớp 3 - Công việc chính'!I68="","","◆ "&amp;'Lớp 3 - Công việc chính'!M68)</f>
        <v/>
      </c>
      <c r="W78" s="389" t="str">
        <f>IF('Lớp 3 - Công việc chính'!I68="","",3)</f>
        <v/>
      </c>
      <c r="X78" s="67" t="str">
        <f>'Lớp 3 - Công việc chính'!I68</f>
        <v/>
      </c>
      <c r="Y78" s="389" t="str">
        <f t="shared" si="26"/>
        <v/>
      </c>
      <c r="Z78" s="67" t="str">
        <f>'Lớp 3 - Công việc chính'!V68</f>
        <v/>
      </c>
      <c r="AA78" s="67" t="str">
        <f>'Lớp 3 - Công việc chính'!W68</f>
        <v/>
      </c>
      <c r="AB78" s="67" t="str">
        <f>'Lớp 3 - Công việc chính'!Y68</f>
        <v/>
      </c>
      <c r="AC78" s="67" t="str">
        <f>'Lớp 3 - Công việc chính'!X68</f>
        <v/>
      </c>
      <c r="AD78" s="398" t="str">
        <f>'Lớp 3 - Công việc chính'!AC68</f>
        <v/>
      </c>
      <c r="AE78" s="358" t="str">
        <f>'Lớp 3 - Công việc chính'!AA68</f>
        <v/>
      </c>
      <c r="AF78" s="187" t="str">
        <f>'Lớp 3 - Công việc chính'!AD68</f>
        <v/>
      </c>
      <c r="AG78" s="104" t="str">
        <f>'Lớp 3 - Công việc chính'!AE68</f>
        <v/>
      </c>
      <c r="AH78" s="389" t="str">
        <f t="shared" si="27"/>
        <v/>
      </c>
      <c r="AI78" s="389" t="str">
        <f t="shared" si="37"/>
        <v>🔵 Chưa có hạn</v>
      </c>
      <c r="AJ78" s="67" t="str">
        <f>'Lớp 3 - Công việc chính'!AH68</f>
        <v/>
      </c>
      <c r="AS78" s="389" t="str">
        <f t="shared" si="31"/>
        <v/>
      </c>
      <c r="AT78" s="389" t="str">
        <f t="shared" si="32"/>
        <v/>
      </c>
      <c r="AU78" s="389" t="str">
        <f t="shared" si="33"/>
        <v/>
      </c>
      <c r="AV78" s="389" t="str">
        <f t="shared" si="34"/>
        <v/>
      </c>
      <c r="AW78" s="389" t="str">
        <f t="shared" si="35"/>
        <v/>
      </c>
      <c r="AX78" s="67" t="str">
        <f t="shared" ref="AX78:BH78" si="90">Z78</f>
        <v/>
      </c>
      <c r="AY78" s="67" t="str">
        <f t="shared" si="90"/>
        <v/>
      </c>
      <c r="AZ78" s="67" t="str">
        <f t="shared" si="90"/>
        <v/>
      </c>
      <c r="BA78" s="67" t="str">
        <f t="shared" si="90"/>
        <v/>
      </c>
      <c r="BB78" s="398" t="str">
        <f t="shared" si="90"/>
        <v/>
      </c>
      <c r="BC78" s="358" t="str">
        <f t="shared" si="90"/>
        <v/>
      </c>
      <c r="BD78" s="187" t="str">
        <f t="shared" si="90"/>
        <v/>
      </c>
      <c r="BE78" s="104" t="str">
        <f t="shared" si="90"/>
        <v/>
      </c>
      <c r="BF78" s="389" t="str">
        <f t="shared" si="90"/>
        <v/>
      </c>
      <c r="BG78" s="389" t="str">
        <f t="shared" si="90"/>
        <v>🔵 Chưa có hạn</v>
      </c>
      <c r="BH78" s="67" t="str">
        <f t="shared" si="90"/>
        <v/>
      </c>
      <c r="BI78" s="389" t="str">
        <f t="array" ref="BI78">IF($X78="","",SWITCH($W78,3,IFERROR(INDEX('Lớp 3 - Công việc chính'!$AF$14:$AF$73,MATCH($X78,'Lớp 3 - Công việc chính'!$I$14:$I$73,0)),""),4,IFERROR(INDEX('Lớp 4 - Danh mục'!$AI$14:$AI$132,MATCH($X78,'Lớp 4 - Danh mục'!$I$14:$I$132,0)),""),5,IFERROR(INDEX('Lớp 5 - Phân công'!$AJ$14:$AJ$262,MATCH($X78,'Lớp 5 - Phân công'!$I$14:$I$262,0)),""),6,IFERROR(INDEX('Lớp 6 - Chi tiết'!$AM$14:$AM$267,MATCH($X78,'Lớp 6 - Chi tiết'!$I$14:$I$267,0)),""),""))</f>
        <v/>
      </c>
      <c r="BJ78" s="389" t="str">
        <f t="array" ref="BJ78">IF($X78="","",SWITCH($W78,3,IFERROR(INDEX('Lớp 3 - Công việc chính'!$AR$14:$AR$73,MATCH($X78,'Lớp 3 - Công việc chính'!$I$14:$I$73,0)),""),4,IFERROR(INDEX('Lớp 4 - Danh mục'!$AU$14:$AU$132,MATCH($X78,'Lớp 4 - Danh mục'!$I$14:$I$132,0)),""),5,IFERROR(INDEX('Lớp 5 - Phân công'!$AV$14:$AV$262,MATCH($X78,'Lớp 5 - Phân công'!$I$14:$I$262,0)),""),6,IFERROR(INDEX('Lớp 6 - Chi tiết'!$AY$14:$AY$267,MATCH($X78,'Lớp 6 - Chi tiết'!$I$14:$I$267,0)),""),""))</f>
        <v/>
      </c>
    </row>
    <row r="79" ht="15.75" customHeight="1">
      <c r="A79" s="294" t="str">
        <f t="shared" si="12"/>
        <v>    ├─ ▓ L4  04.04  Chốt kế hoạch KSTT &amp; KH</v>
      </c>
      <c r="B79" s="301" t="str">
        <f t="shared" si="13"/>
        <v>Ms Trang</v>
      </c>
      <c r="C79" s="301" t="str">
        <f t="shared" si="14"/>
        <v>R&amp;D</v>
      </c>
      <c r="D79" s="301" t="str">
        <f t="shared" si="15"/>
        <v>P2</v>
      </c>
      <c r="E79" s="301" t="str">
        <f t="shared" si="16"/>
        <v>Đang thực hiện</v>
      </c>
      <c r="F79" s="317">
        <f t="shared" si="17"/>
        <v>0</v>
      </c>
      <c r="G79" s="323">
        <f t="shared" si="18"/>
        <v>46295</v>
      </c>
      <c r="H79" s="327">
        <f t="shared" si="19"/>
        <v>41</v>
      </c>
      <c r="I79" s="327">
        <f t="shared" si="20"/>
        <v>32</v>
      </c>
      <c r="J79" s="301" t="str">
        <f t="shared" si="21"/>
        <v>🟢 Theo kế hoạch</v>
      </c>
      <c r="K79" s="301" t="str">
        <f t="shared" si="22"/>
        <v>Thiếu tham số phân bổ</v>
      </c>
      <c r="L79" s="344" t="str">
        <f t="array" ref="L79">IF($T79="","",LET(m,MATCH($T79,$AS$24:$AS$700,0),lvl,INDEX($W$24:$W$700,m),id,INDEX($X$24:$X$700,m),SWITCH(lvl,3,"Lớp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mục!A31</v>
      </c>
      <c r="M79" s="351" t="str">
        <f t="shared" si="23"/>
        <v/>
      </c>
      <c r="N79" s="356" t="str">
        <f t="shared" si="24"/>
        <v>Thiếu tham số phân bổ</v>
      </c>
      <c r="O79" s="358"/>
      <c r="P79" s="360"/>
      <c r="Q79" s="360"/>
      <c r="R79" s="67"/>
      <c r="S79" s="67"/>
      <c r="T79" s="67" t="str">
        <f>IFERROR(__xludf.DUMMYFUNCTION("""COMPUTED_VALUE"""),"04.04")</f>
        <v>04.04</v>
      </c>
      <c r="U79" s="389" t="str">
        <f>IF('Lớp 3 - Công việc chính'!I69="","",'Lớp 3 - Công việc chính'!I69)</f>
        <v/>
      </c>
      <c r="V79" s="389" t="str">
        <f>IF('Lớp 3 - Công việc chính'!I69="","","◆ "&amp;'Lớp 3 - Công việc chính'!M69)</f>
        <v/>
      </c>
      <c r="W79" s="389" t="str">
        <f>IF('Lớp 3 - Công việc chính'!I69="","",3)</f>
        <v/>
      </c>
      <c r="X79" s="67" t="str">
        <f>'Lớp 3 - Công việc chính'!I69</f>
        <v/>
      </c>
      <c r="Y79" s="389" t="str">
        <f t="shared" si="26"/>
        <v/>
      </c>
      <c r="Z79" s="67" t="str">
        <f>'Lớp 3 - Công việc chính'!V69</f>
        <v/>
      </c>
      <c r="AA79" s="67" t="str">
        <f>'Lớp 3 - Công việc chính'!W69</f>
        <v/>
      </c>
      <c r="AB79" s="67" t="str">
        <f>'Lớp 3 - Công việc chính'!Y69</f>
        <v/>
      </c>
      <c r="AC79" s="67" t="str">
        <f>'Lớp 3 - Công việc chính'!X69</f>
        <v/>
      </c>
      <c r="AD79" s="398" t="str">
        <f>'Lớp 3 - Công việc chính'!AC69</f>
        <v/>
      </c>
      <c r="AE79" s="358" t="str">
        <f>'Lớp 3 - Công việc chính'!AA69</f>
        <v/>
      </c>
      <c r="AF79" s="187" t="str">
        <f>'Lớp 3 - Công việc chính'!AD69</f>
        <v/>
      </c>
      <c r="AG79" s="104" t="str">
        <f>'Lớp 3 - Công việc chính'!AE69</f>
        <v/>
      </c>
      <c r="AH79" s="389" t="str">
        <f t="shared" si="27"/>
        <v/>
      </c>
      <c r="AI79" s="389" t="str">
        <f t="shared" si="37"/>
        <v>🔵 Chưa có hạn</v>
      </c>
      <c r="AJ79" s="67" t="str">
        <f>'Lớp 3 - Công việc chính'!AH69</f>
        <v/>
      </c>
      <c r="AS79" s="389" t="str">
        <f t="shared" si="31"/>
        <v/>
      </c>
      <c r="AT79" s="389" t="str">
        <f t="shared" si="32"/>
        <v/>
      </c>
      <c r="AU79" s="389" t="str">
        <f t="shared" si="33"/>
        <v/>
      </c>
      <c r="AV79" s="389" t="str">
        <f t="shared" si="34"/>
        <v/>
      </c>
      <c r="AW79" s="389" t="str">
        <f t="shared" si="35"/>
        <v/>
      </c>
      <c r="AX79" s="67" t="str">
        <f t="shared" ref="AX79:BH79" si="91">Z79</f>
        <v/>
      </c>
      <c r="AY79" s="67" t="str">
        <f t="shared" si="91"/>
        <v/>
      </c>
      <c r="AZ79" s="67" t="str">
        <f t="shared" si="91"/>
        <v/>
      </c>
      <c r="BA79" s="67" t="str">
        <f t="shared" si="91"/>
        <v/>
      </c>
      <c r="BB79" s="398" t="str">
        <f t="shared" si="91"/>
        <v/>
      </c>
      <c r="BC79" s="358" t="str">
        <f t="shared" si="91"/>
        <v/>
      </c>
      <c r="BD79" s="187" t="str">
        <f t="shared" si="91"/>
        <v/>
      </c>
      <c r="BE79" s="104" t="str">
        <f t="shared" si="91"/>
        <v/>
      </c>
      <c r="BF79" s="389" t="str">
        <f t="shared" si="91"/>
        <v/>
      </c>
      <c r="BG79" s="389" t="str">
        <f t="shared" si="91"/>
        <v>🔵 Chưa có hạn</v>
      </c>
      <c r="BH79" s="67" t="str">
        <f t="shared" si="91"/>
        <v/>
      </c>
      <c r="BI79" s="389" t="str">
        <f t="array" ref="BI79">IF($X79="","",SWITCH($W79,3,IFERROR(INDEX('Lớp 3 - Công việc chính'!$AF$14:$AF$73,MATCH($X79,'Lớp 3 - Công việc chính'!$I$14:$I$73,0)),""),4,IFERROR(INDEX('Lớp 4 - Danh mục'!$AI$14:$AI$132,MATCH($X79,'Lớp 4 - Danh mục'!$I$14:$I$132,0)),""),5,IFERROR(INDEX('Lớp 5 - Phân công'!$AJ$14:$AJ$262,MATCH($X79,'Lớp 5 - Phân công'!$I$14:$I$262,0)),""),6,IFERROR(INDEX('Lớp 6 - Chi tiết'!$AM$14:$AM$267,MATCH($X79,'Lớp 6 - Chi tiết'!$I$14:$I$267,0)),""),""))</f>
        <v/>
      </c>
      <c r="BJ79" s="389" t="str">
        <f t="array" ref="BJ79">IF($X79="","",SWITCH($W79,3,IFERROR(INDEX('Lớp 3 - Công việc chính'!$AR$14:$AR$73,MATCH($X79,'Lớp 3 - Công việc chính'!$I$14:$I$73,0)),""),4,IFERROR(INDEX('Lớp 4 - Danh mục'!$AU$14:$AU$132,MATCH($X79,'Lớp 4 - Danh mục'!$I$14:$I$132,0)),""),5,IFERROR(INDEX('Lớp 5 - Phân công'!$AV$14:$AV$262,MATCH($X79,'Lớp 5 - Phân công'!$I$14:$I$262,0)),""),6,IFERROR(INDEX('Lớp 6 - Chi tiết'!$AY$14:$AY$267,MATCH($X79,'Lớp 6 - Chi tiết'!$I$14:$I$267,0)),""),""))</f>
        <v/>
      </c>
    </row>
    <row r="80" ht="15.75" customHeight="1">
      <c r="A80" s="294" t="str">
        <f t="shared" si="12"/>
        <v>    ├─ ▓ L4  04.05  Đánh giá QHSP 2026, các vđ cần khắc phục</v>
      </c>
      <c r="B80" s="301" t="str">
        <f t="shared" si="13"/>
        <v>Ms Trang</v>
      </c>
      <c r="C80" s="301" t="str">
        <f t="shared" si="14"/>
        <v>R&amp;D</v>
      </c>
      <c r="D80" s="301" t="str">
        <f t="shared" si="15"/>
        <v>P4</v>
      </c>
      <c r="E80" s="301" t="str">
        <f t="shared" si="16"/>
        <v>Đang thực hiện</v>
      </c>
      <c r="F80" s="317">
        <f t="shared" si="17"/>
        <v>0</v>
      </c>
      <c r="G80" s="323">
        <f t="shared" si="18"/>
        <v>46295</v>
      </c>
      <c r="H80" s="327">
        <f t="shared" si="19"/>
        <v>41</v>
      </c>
      <c r="I80" s="327">
        <f t="shared" si="20"/>
        <v>40</v>
      </c>
      <c r="J80" s="301" t="str">
        <f t="shared" si="21"/>
        <v>🟢 Theo kế hoạch</v>
      </c>
      <c r="K80" s="301" t="str">
        <f t="shared" si="22"/>
        <v>Thiếu tham số phân bổ</v>
      </c>
      <c r="L80" s="344" t="str">
        <f t="array" ref="L80">IF($T80="","",LET(m,MATCH($T80,$AS$24:$AS$700,0),lvl,INDEX($W$24:$W$700,m),id,INDEX($X$24:$X$700,m),SWITCH(lvl,3,"Lớp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mục!A33</v>
      </c>
      <c r="M80" s="351" t="str">
        <f t="shared" si="23"/>
        <v/>
      </c>
      <c r="N80" s="356" t="str">
        <f t="shared" si="24"/>
        <v>Thiếu tham số phân bổ</v>
      </c>
      <c r="O80" s="358"/>
      <c r="P80" s="360"/>
      <c r="Q80" s="360"/>
      <c r="R80" s="67"/>
      <c r="S80" s="67"/>
      <c r="T80" s="67" t="str">
        <f>IFERROR(__xludf.DUMMYFUNCTION("""COMPUTED_VALUE"""),"04.05")</f>
        <v>04.05</v>
      </c>
      <c r="U80" s="389" t="str">
        <f>IF('Lớp 3 - Công việc chính'!I70="","",'Lớp 3 - Công việc chính'!I70)</f>
        <v/>
      </c>
      <c r="V80" s="389" t="str">
        <f>IF('Lớp 3 - Công việc chính'!I70="","","◆ "&amp;'Lớp 3 - Công việc chính'!M70)</f>
        <v/>
      </c>
      <c r="W80" s="389" t="str">
        <f>IF('Lớp 3 - Công việc chính'!I70="","",3)</f>
        <v/>
      </c>
      <c r="X80" s="67" t="str">
        <f>'Lớp 3 - Công việc chính'!I70</f>
        <v/>
      </c>
      <c r="Y80" s="389" t="str">
        <f t="shared" si="26"/>
        <v/>
      </c>
      <c r="Z80" s="67" t="str">
        <f>'Lớp 3 - Công việc chính'!V70</f>
        <v/>
      </c>
      <c r="AA80" s="67" t="str">
        <f>'Lớp 3 - Công việc chính'!W70</f>
        <v/>
      </c>
      <c r="AB80" s="67" t="str">
        <f>'Lớp 3 - Công việc chính'!Y70</f>
        <v/>
      </c>
      <c r="AC80" s="67" t="str">
        <f>'Lớp 3 - Công việc chính'!X70</f>
        <v/>
      </c>
      <c r="AD80" s="398" t="str">
        <f>'Lớp 3 - Công việc chính'!AC70</f>
        <v/>
      </c>
      <c r="AE80" s="358" t="str">
        <f>'Lớp 3 - Công việc chính'!AA70</f>
        <v/>
      </c>
      <c r="AF80" s="187" t="str">
        <f>'Lớp 3 - Công việc chính'!AD70</f>
        <v/>
      </c>
      <c r="AG80" s="104" t="str">
        <f>'Lớp 3 - Công việc chính'!AE70</f>
        <v/>
      </c>
      <c r="AH80" s="389" t="str">
        <f t="shared" si="27"/>
        <v/>
      </c>
      <c r="AI80" s="389" t="str">
        <f t="shared" si="37"/>
        <v>🔵 Chưa có hạn</v>
      </c>
      <c r="AJ80" s="67" t="str">
        <f>'Lớp 3 - Công việc chính'!AH70</f>
        <v/>
      </c>
      <c r="AS80" s="389" t="str">
        <f t="shared" si="31"/>
        <v/>
      </c>
      <c r="AT80" s="389" t="str">
        <f t="shared" si="32"/>
        <v/>
      </c>
      <c r="AU80" s="389" t="str">
        <f t="shared" si="33"/>
        <v/>
      </c>
      <c r="AV80" s="389" t="str">
        <f t="shared" si="34"/>
        <v/>
      </c>
      <c r="AW80" s="389" t="str">
        <f t="shared" si="35"/>
        <v/>
      </c>
      <c r="AX80" s="67" t="str">
        <f t="shared" ref="AX80:BH80" si="92">Z80</f>
        <v/>
      </c>
      <c r="AY80" s="67" t="str">
        <f t="shared" si="92"/>
        <v/>
      </c>
      <c r="AZ80" s="67" t="str">
        <f t="shared" si="92"/>
        <v/>
      </c>
      <c r="BA80" s="67" t="str">
        <f t="shared" si="92"/>
        <v/>
      </c>
      <c r="BB80" s="398" t="str">
        <f t="shared" si="92"/>
        <v/>
      </c>
      <c r="BC80" s="358" t="str">
        <f t="shared" si="92"/>
        <v/>
      </c>
      <c r="BD80" s="187" t="str">
        <f t="shared" si="92"/>
        <v/>
      </c>
      <c r="BE80" s="104" t="str">
        <f t="shared" si="92"/>
        <v/>
      </c>
      <c r="BF80" s="389" t="str">
        <f t="shared" si="92"/>
        <v/>
      </c>
      <c r="BG80" s="389" t="str">
        <f t="shared" si="92"/>
        <v>🔵 Chưa có hạn</v>
      </c>
      <c r="BH80" s="67" t="str">
        <f t="shared" si="92"/>
        <v/>
      </c>
      <c r="BI80" s="389" t="str">
        <f t="array" ref="BI80">IF($X80="","",SWITCH($W80,3,IFERROR(INDEX('Lớp 3 - Công việc chính'!$AF$14:$AF$73,MATCH($X80,'Lớp 3 - Công việc chính'!$I$14:$I$73,0)),""),4,IFERROR(INDEX('Lớp 4 - Danh mục'!$AI$14:$AI$132,MATCH($X80,'Lớp 4 - Danh mục'!$I$14:$I$132,0)),""),5,IFERROR(INDEX('Lớp 5 - Phân công'!$AJ$14:$AJ$262,MATCH($X80,'Lớp 5 - Phân công'!$I$14:$I$262,0)),""),6,IFERROR(INDEX('Lớp 6 - Chi tiết'!$AM$14:$AM$267,MATCH($X80,'Lớp 6 - Chi tiết'!$I$14:$I$267,0)),""),""))</f>
        <v/>
      </c>
      <c r="BJ80" s="389" t="str">
        <f t="array" ref="BJ80">IF($X80="","",SWITCH($W80,3,IFERROR(INDEX('Lớp 3 - Công việc chính'!$AR$14:$AR$73,MATCH($X80,'Lớp 3 - Công việc chính'!$I$14:$I$73,0)),""),4,IFERROR(INDEX('Lớp 4 - Danh mục'!$AU$14:$AU$132,MATCH($X80,'Lớp 4 - Danh mục'!$I$14:$I$132,0)),""),5,IFERROR(INDEX('Lớp 5 - Phân công'!$AV$14:$AV$262,MATCH($X80,'Lớp 5 - Phân công'!$I$14:$I$262,0)),""),6,IFERROR(INDEX('Lớp 6 - Chi tiết'!$AY$14:$AY$267,MATCH($X80,'Lớp 6 - Chi tiết'!$I$14:$I$267,0)),""),""))</f>
        <v/>
      </c>
    </row>
    <row r="81" ht="15.75" customHeight="1">
      <c r="A81" s="294" t="str">
        <f t="shared" si="12"/>
        <v>    ├─ ▓ L4  04.06  Đào tạo nội bộ cútomer Insight phục vụ NC &amp; PTSP</v>
      </c>
      <c r="B81" s="301" t="str">
        <f t="shared" si="13"/>
        <v>Ms Trang</v>
      </c>
      <c r="C81" s="301" t="str">
        <f t="shared" si="14"/>
        <v>R&amp;D</v>
      </c>
      <c r="D81" s="301" t="str">
        <f t="shared" si="15"/>
        <v>P2</v>
      </c>
      <c r="E81" s="301" t="str">
        <f t="shared" si="16"/>
        <v>Đang thực hiện</v>
      </c>
      <c r="F81" s="317">
        <f t="shared" si="17"/>
        <v>0</v>
      </c>
      <c r="G81" s="323">
        <f t="shared" si="18"/>
        <v>46305</v>
      </c>
      <c r="H81" s="327">
        <f t="shared" si="19"/>
        <v>50</v>
      </c>
      <c r="I81" s="327">
        <f t="shared" si="20"/>
        <v>40</v>
      </c>
      <c r="J81" s="301" t="str">
        <f t="shared" si="21"/>
        <v>🟢 Theo kế hoạch</v>
      </c>
      <c r="K81" s="301" t="str">
        <f t="shared" si="22"/>
        <v>Thiếu tham số phân bổ</v>
      </c>
      <c r="L81" s="344" t="str">
        <f t="array" ref="L81">IF($T81="","",LET(m,MATCH($T81,$AS$24:$AS$700,0),lvl,INDEX($W$24:$W$700,m),id,INDEX($X$24:$X$700,m),SWITCH(lvl,3,"Lớp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mục!A34</v>
      </c>
      <c r="M81" s="351" t="str">
        <f t="shared" si="23"/>
        <v/>
      </c>
      <c r="N81" s="356" t="str">
        <f t="shared" si="24"/>
        <v>Thiếu tham số phân bổ</v>
      </c>
      <c r="O81" s="358"/>
      <c r="P81" s="360"/>
      <c r="Q81" s="360"/>
      <c r="R81" s="67"/>
      <c r="S81" s="67"/>
      <c r="T81" s="67" t="str">
        <f>IFERROR(__xludf.DUMMYFUNCTION("""COMPUTED_VALUE"""),"04.06")</f>
        <v>04.06</v>
      </c>
      <c r="U81" s="389" t="str">
        <f>IF('Lớp 3 - Công việc chính'!I71="","",'Lớp 3 - Công việc chính'!I71)</f>
        <v/>
      </c>
      <c r="V81" s="389" t="str">
        <f>IF('Lớp 3 - Công việc chính'!I71="","","◆ "&amp;'Lớp 3 - Công việc chính'!M71)</f>
        <v/>
      </c>
      <c r="W81" s="389" t="str">
        <f>IF('Lớp 3 - Công việc chính'!I71="","",3)</f>
        <v/>
      </c>
      <c r="X81" s="67" t="str">
        <f>'Lớp 3 - Công việc chính'!I71</f>
        <v/>
      </c>
      <c r="Y81" s="389" t="str">
        <f t="shared" si="26"/>
        <v/>
      </c>
      <c r="Z81" s="67" t="str">
        <f>'Lớp 3 - Công việc chính'!V71</f>
        <v/>
      </c>
      <c r="AA81" s="67" t="str">
        <f>'Lớp 3 - Công việc chính'!W71</f>
        <v/>
      </c>
      <c r="AB81" s="67" t="str">
        <f>'Lớp 3 - Công việc chính'!Y71</f>
        <v/>
      </c>
      <c r="AC81" s="67" t="str">
        <f>'Lớp 3 - Công việc chính'!X71</f>
        <v/>
      </c>
      <c r="AD81" s="398" t="str">
        <f>'Lớp 3 - Công việc chính'!AC71</f>
        <v/>
      </c>
      <c r="AE81" s="358" t="str">
        <f>'Lớp 3 - Công việc chính'!AA71</f>
        <v/>
      </c>
      <c r="AF81" s="187" t="str">
        <f>'Lớp 3 - Công việc chính'!AD71</f>
        <v/>
      </c>
      <c r="AG81" s="104" t="str">
        <f>'Lớp 3 - Công việc chính'!AE71</f>
        <v/>
      </c>
      <c r="AH81" s="389" t="str">
        <f t="shared" si="27"/>
        <v/>
      </c>
      <c r="AI81" s="389" t="str">
        <f t="shared" si="37"/>
        <v>🔵 Chưa có hạn</v>
      </c>
      <c r="AJ81" s="67" t="str">
        <f>'Lớp 3 - Công việc chính'!AH71</f>
        <v/>
      </c>
      <c r="AS81" s="389" t="str">
        <f t="shared" si="31"/>
        <v/>
      </c>
      <c r="AT81" s="389" t="str">
        <f t="shared" si="32"/>
        <v/>
      </c>
      <c r="AU81" s="389" t="str">
        <f t="shared" si="33"/>
        <v/>
      </c>
      <c r="AV81" s="389" t="str">
        <f t="shared" si="34"/>
        <v/>
      </c>
      <c r="AW81" s="389" t="str">
        <f t="shared" si="35"/>
        <v/>
      </c>
      <c r="AX81" s="67" t="str">
        <f t="shared" ref="AX81:BH81" si="93">Z81</f>
        <v/>
      </c>
      <c r="AY81" s="67" t="str">
        <f t="shared" si="93"/>
        <v/>
      </c>
      <c r="AZ81" s="67" t="str">
        <f t="shared" si="93"/>
        <v/>
      </c>
      <c r="BA81" s="67" t="str">
        <f t="shared" si="93"/>
        <v/>
      </c>
      <c r="BB81" s="398" t="str">
        <f t="shared" si="93"/>
        <v/>
      </c>
      <c r="BC81" s="358" t="str">
        <f t="shared" si="93"/>
        <v/>
      </c>
      <c r="BD81" s="187" t="str">
        <f t="shared" si="93"/>
        <v/>
      </c>
      <c r="BE81" s="104" t="str">
        <f t="shared" si="93"/>
        <v/>
      </c>
      <c r="BF81" s="389" t="str">
        <f t="shared" si="93"/>
        <v/>
      </c>
      <c r="BG81" s="389" t="str">
        <f t="shared" si="93"/>
        <v>🔵 Chưa có hạn</v>
      </c>
      <c r="BH81" s="67" t="str">
        <f t="shared" si="93"/>
        <v/>
      </c>
      <c r="BI81" s="389" t="str">
        <f t="array" ref="BI81">IF($X81="","",SWITCH($W81,3,IFERROR(INDEX('Lớp 3 - Công việc chính'!$AF$14:$AF$73,MATCH($X81,'Lớp 3 - Công việc chính'!$I$14:$I$73,0)),""),4,IFERROR(INDEX('Lớp 4 - Danh mục'!$AI$14:$AI$132,MATCH($X81,'Lớp 4 - Danh mục'!$I$14:$I$132,0)),""),5,IFERROR(INDEX('Lớp 5 - Phân công'!$AJ$14:$AJ$262,MATCH($X81,'Lớp 5 - Phân công'!$I$14:$I$262,0)),""),6,IFERROR(INDEX('Lớp 6 - Chi tiết'!$AM$14:$AM$267,MATCH($X81,'Lớp 6 - Chi tiết'!$I$14:$I$267,0)),""),""))</f>
        <v/>
      </c>
      <c r="BJ81" s="389" t="str">
        <f t="array" ref="BJ81">IF($X81="","",SWITCH($W81,3,IFERROR(INDEX('Lớp 3 - Công việc chính'!$AR$14:$AR$73,MATCH($X81,'Lớp 3 - Công việc chính'!$I$14:$I$73,0)),""),4,IFERROR(INDEX('Lớp 4 - Danh mục'!$AU$14:$AU$132,MATCH($X81,'Lớp 4 - Danh mục'!$I$14:$I$132,0)),""),5,IFERROR(INDEX('Lớp 5 - Phân công'!$AV$14:$AV$262,MATCH($X81,'Lớp 5 - Phân công'!$I$14:$I$262,0)),""),6,IFERROR(INDEX('Lớp 6 - Chi tiết'!$AY$14:$AY$267,MATCH($X81,'Lớp 6 - Chi tiết'!$I$14:$I$267,0)),""),""))</f>
        <v/>
      </c>
    </row>
    <row r="82" ht="15.75" customHeight="1">
      <c r="A82" s="294" t="str">
        <f t="shared" si="12"/>
        <v>▓▓ L3  05  DANH MỤC SP OEM ĐỀ XUẤT</v>
      </c>
      <c r="B82" s="301" t="str">
        <f t="shared" si="13"/>
        <v>Ms Trang</v>
      </c>
      <c r="C82" s="301" t="str">
        <f t="shared" si="14"/>
        <v>R&amp;D</v>
      </c>
      <c r="D82" s="301" t="str">
        <f t="shared" si="15"/>
        <v>P2</v>
      </c>
      <c r="E82" s="301" t="str">
        <f t="shared" si="16"/>
        <v>Đang thực hiện</v>
      </c>
      <c r="F82" s="317">
        <f t="shared" si="17"/>
        <v>0</v>
      </c>
      <c r="G82" s="323">
        <f t="shared" si="18"/>
        <v>46274</v>
      </c>
      <c r="H82" s="327">
        <f t="shared" si="19"/>
        <v>23</v>
      </c>
      <c r="I82" s="327">
        <f t="shared" si="20"/>
        <v>120</v>
      </c>
      <c r="J82" s="301" t="str">
        <f t="shared" si="21"/>
        <v>🟢 Theo kế hoạch</v>
      </c>
      <c r="K82" s="301" t="str">
        <f t="shared" si="22"/>
        <v>Theo dõi tải tại Lớp 4</v>
      </c>
      <c r="L82" s="344" t="str">
        <f t="array" ref="L82">IF($T82="","",LET(m,MATCH($T82,$AS$24:$AS$700,0),lvl,INDEX($W$24:$W$700,m),id,INDEX($X$24:$X$700,m),SWITCH(lvl,3,"Lớp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chính!A18</v>
      </c>
      <c r="M82" s="351" t="str">
        <f t="shared" si="23"/>
        <v/>
      </c>
      <c r="N82" s="356" t="str">
        <f t="shared" si="24"/>
        <v>Theo dõi phân bổ tại Lớp 4</v>
      </c>
      <c r="O82" s="358"/>
      <c r="P82" s="360"/>
      <c r="Q82" s="360"/>
      <c r="R82" s="67"/>
      <c r="S82" s="67"/>
      <c r="T82" s="67" t="str">
        <f>IFERROR(__xludf.DUMMYFUNCTION("""COMPUTED_VALUE"""),"05")</f>
        <v>05</v>
      </c>
      <c r="U82" s="389" t="str">
        <f>IF('Lớp 3 - Công việc chính'!I72="","",'Lớp 3 - Công việc chính'!I72)</f>
        <v/>
      </c>
      <c r="V82" s="389" t="str">
        <f>IF('Lớp 3 - Công việc chính'!I72="","","◆ "&amp;'Lớp 3 - Công việc chính'!M72)</f>
        <v/>
      </c>
      <c r="W82" s="389" t="str">
        <f>IF('Lớp 3 - Công việc chính'!I72="","",3)</f>
        <v/>
      </c>
      <c r="X82" s="67" t="str">
        <f>'Lớp 3 - Công việc chính'!I72</f>
        <v/>
      </c>
      <c r="Y82" s="389" t="str">
        <f t="shared" si="26"/>
        <v/>
      </c>
      <c r="Z82" s="67" t="str">
        <f>'Lớp 3 - Công việc chính'!V72</f>
        <v/>
      </c>
      <c r="AA82" s="67" t="str">
        <f>'Lớp 3 - Công việc chính'!W72</f>
        <v/>
      </c>
      <c r="AB82" s="67" t="str">
        <f>'Lớp 3 - Công việc chính'!Y72</f>
        <v/>
      </c>
      <c r="AC82" s="67" t="str">
        <f>'Lớp 3 - Công việc chính'!X72</f>
        <v/>
      </c>
      <c r="AD82" s="398" t="str">
        <f>'Lớp 3 - Công việc chính'!AC72</f>
        <v/>
      </c>
      <c r="AE82" s="358" t="str">
        <f>'Lớp 3 - Công việc chính'!AA72</f>
        <v/>
      </c>
      <c r="AF82" s="187" t="str">
        <f>'Lớp 3 - Công việc chính'!AD72</f>
        <v/>
      </c>
      <c r="AG82" s="104" t="str">
        <f>'Lớp 3 - Công việc chính'!AE72</f>
        <v/>
      </c>
      <c r="AH82" s="389" t="str">
        <f t="shared" si="27"/>
        <v/>
      </c>
      <c r="AI82" s="389" t="str">
        <f t="shared" si="37"/>
        <v>🔵 Chưa có hạn</v>
      </c>
      <c r="AJ82" s="67" t="str">
        <f>'Lớp 3 - Công việc chính'!AH72</f>
        <v/>
      </c>
      <c r="AS82" s="389" t="str">
        <f t="shared" si="31"/>
        <v/>
      </c>
      <c r="AT82" s="389" t="str">
        <f t="shared" si="32"/>
        <v/>
      </c>
      <c r="AU82" s="389" t="str">
        <f t="shared" si="33"/>
        <v/>
      </c>
      <c r="AV82" s="389" t="str">
        <f t="shared" si="34"/>
        <v/>
      </c>
      <c r="AW82" s="389" t="str">
        <f t="shared" si="35"/>
        <v/>
      </c>
      <c r="AX82" s="67" t="str">
        <f t="shared" ref="AX82:BH82" si="94">Z82</f>
        <v/>
      </c>
      <c r="AY82" s="67" t="str">
        <f t="shared" si="94"/>
        <v/>
      </c>
      <c r="AZ82" s="67" t="str">
        <f t="shared" si="94"/>
        <v/>
      </c>
      <c r="BA82" s="67" t="str">
        <f t="shared" si="94"/>
        <v/>
      </c>
      <c r="BB82" s="398" t="str">
        <f t="shared" si="94"/>
        <v/>
      </c>
      <c r="BC82" s="358" t="str">
        <f t="shared" si="94"/>
        <v/>
      </c>
      <c r="BD82" s="187" t="str">
        <f t="shared" si="94"/>
        <v/>
      </c>
      <c r="BE82" s="104" t="str">
        <f t="shared" si="94"/>
        <v/>
      </c>
      <c r="BF82" s="389" t="str">
        <f t="shared" si="94"/>
        <v/>
      </c>
      <c r="BG82" s="389" t="str">
        <f t="shared" si="94"/>
        <v>🔵 Chưa có hạn</v>
      </c>
      <c r="BH82" s="67" t="str">
        <f t="shared" si="94"/>
        <v/>
      </c>
      <c r="BI82" s="389" t="str">
        <f t="array" ref="BI82">IF($X82="","",SWITCH($W82,3,IFERROR(INDEX('Lớp 3 - Công việc chính'!$AF$14:$AF$73,MATCH($X82,'Lớp 3 - Công việc chính'!$I$14:$I$73,0)),""),4,IFERROR(INDEX('Lớp 4 - Danh mục'!$AI$14:$AI$132,MATCH($X82,'Lớp 4 - Danh mục'!$I$14:$I$132,0)),""),5,IFERROR(INDEX('Lớp 5 - Phân công'!$AJ$14:$AJ$262,MATCH($X82,'Lớp 5 - Phân công'!$I$14:$I$262,0)),""),6,IFERROR(INDEX('Lớp 6 - Chi tiết'!$AM$14:$AM$267,MATCH($X82,'Lớp 6 - Chi tiết'!$I$14:$I$267,0)),""),""))</f>
        <v/>
      </c>
      <c r="BJ82" s="389" t="str">
        <f t="array" ref="BJ82">IF($X82="","",SWITCH($W82,3,IFERROR(INDEX('Lớp 3 - Công việc chính'!$AR$14:$AR$73,MATCH($X82,'Lớp 3 - Công việc chính'!$I$14:$I$73,0)),""),4,IFERROR(INDEX('Lớp 4 - Danh mục'!$AU$14:$AU$132,MATCH($X82,'Lớp 4 - Danh mục'!$I$14:$I$132,0)),""),5,IFERROR(INDEX('Lớp 5 - Phân công'!$AV$14:$AV$262,MATCH($X82,'Lớp 5 - Phân công'!$I$14:$I$262,0)),""),6,IFERROR(INDEX('Lớp 6 - Chi tiết'!$AY$14:$AY$267,MATCH($X82,'Lớp 6 - Chi tiết'!$I$14:$I$267,0)),""),""))</f>
        <v/>
      </c>
    </row>
    <row r="83" ht="15.75" customHeight="1">
      <c r="A83" s="294" t="str">
        <f t="shared" si="12"/>
        <v>    ├─ ▓ L4  05.01  Tổng hợp TT SP OEM theo NCC (đầy đủ trường dữ liệu)</v>
      </c>
      <c r="B83" s="301" t="str">
        <f t="shared" si="13"/>
        <v>Ms Trang</v>
      </c>
      <c r="C83" s="301" t="str">
        <f t="shared" si="14"/>
        <v>R&amp;D</v>
      </c>
      <c r="D83" s="301" t="str">
        <f t="shared" si="15"/>
        <v>P2</v>
      </c>
      <c r="E83" s="301" t="str">
        <f t="shared" si="16"/>
        <v>Đang thực hiện</v>
      </c>
      <c r="F83" s="317">
        <f t="shared" si="17"/>
        <v>0</v>
      </c>
      <c r="G83" s="323">
        <f t="shared" si="18"/>
        <v>46254</v>
      </c>
      <c r="H83" s="327">
        <f t="shared" si="19"/>
        <v>8</v>
      </c>
      <c r="I83" s="327">
        <f t="shared" si="20"/>
        <v>40</v>
      </c>
      <c r="J83" s="301" t="str">
        <f t="shared" si="21"/>
        <v>🟢 Theo kế hoạch</v>
      </c>
      <c r="K83" s="301" t="str">
        <f t="shared" si="22"/>
        <v>Thiếu tham số phân bổ</v>
      </c>
      <c r="L83" s="344" t="str">
        <f t="array" ref="L83">IF($T83="","",LET(m,MATCH($T83,$AS$24:$AS$700,0),lvl,INDEX($W$24:$W$700,m),id,INDEX($X$24:$X$700,m),SWITCH(lvl,3,"Lớp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mục!A30</v>
      </c>
      <c r="M83" s="351" t="str">
        <f t="shared" si="23"/>
        <v/>
      </c>
      <c r="N83" s="356" t="str">
        <f t="shared" si="24"/>
        <v>Thiếu tham số phân bổ</v>
      </c>
      <c r="O83" s="358"/>
      <c r="P83" s="360"/>
      <c r="Q83" s="360"/>
      <c r="R83" s="67"/>
      <c r="S83" s="67"/>
      <c r="T83" s="67" t="str">
        <f>IFERROR(__xludf.DUMMYFUNCTION("""COMPUTED_VALUE"""),"05.01")</f>
        <v>05.01</v>
      </c>
      <c r="U83" s="389" t="str">
        <f>IF('Lớp 3 - Công việc chính'!I73="","",'Lớp 3 - Công việc chính'!I73)</f>
        <v/>
      </c>
      <c r="V83" s="389" t="str">
        <f>IF('Lớp 3 - Công việc chính'!I73="","","◆ "&amp;'Lớp 3 - Công việc chính'!M73)</f>
        <v/>
      </c>
      <c r="W83" s="389" t="str">
        <f>IF('Lớp 3 - Công việc chính'!I73="","",3)</f>
        <v/>
      </c>
      <c r="X83" s="67" t="str">
        <f>'Lớp 3 - Công việc chính'!I73</f>
        <v/>
      </c>
      <c r="Y83" s="389" t="str">
        <f t="shared" si="26"/>
        <v/>
      </c>
      <c r="Z83" s="67" t="str">
        <f>'Lớp 3 - Công việc chính'!V73</f>
        <v/>
      </c>
      <c r="AA83" s="67" t="str">
        <f>'Lớp 3 - Công việc chính'!W73</f>
        <v/>
      </c>
      <c r="AB83" s="67" t="str">
        <f>'Lớp 3 - Công việc chính'!Y73</f>
        <v/>
      </c>
      <c r="AC83" s="67" t="str">
        <f>'Lớp 3 - Công việc chính'!X73</f>
        <v/>
      </c>
      <c r="AD83" s="398" t="str">
        <f>'Lớp 3 - Công việc chính'!AC73</f>
        <v/>
      </c>
      <c r="AE83" s="358" t="str">
        <f>'Lớp 3 - Công việc chính'!AA73</f>
        <v/>
      </c>
      <c r="AF83" s="187" t="str">
        <f>'Lớp 3 - Công việc chính'!AD73</f>
        <v/>
      </c>
      <c r="AG83" s="104" t="str">
        <f>'Lớp 3 - Công việc chính'!AE73</f>
        <v/>
      </c>
      <c r="AH83" s="389" t="str">
        <f t="shared" si="27"/>
        <v/>
      </c>
      <c r="AI83" s="389" t="str">
        <f t="shared" si="37"/>
        <v>🔵 Chưa có hạn</v>
      </c>
      <c r="AJ83" s="67" t="str">
        <f>'Lớp 3 - Công việc chính'!AH73</f>
        <v/>
      </c>
      <c r="AS83" s="389" t="str">
        <f t="shared" si="31"/>
        <v/>
      </c>
      <c r="AT83" s="389" t="str">
        <f t="shared" si="32"/>
        <v/>
      </c>
      <c r="AU83" s="389" t="str">
        <f t="shared" si="33"/>
        <v/>
      </c>
      <c r="AV83" s="389" t="str">
        <f t="shared" si="34"/>
        <v/>
      </c>
      <c r="AW83" s="389" t="str">
        <f t="shared" si="35"/>
        <v/>
      </c>
      <c r="AX83" s="67" t="str">
        <f t="shared" ref="AX83:BH83" si="95">Z83</f>
        <v/>
      </c>
      <c r="AY83" s="67" t="str">
        <f t="shared" si="95"/>
        <v/>
      </c>
      <c r="AZ83" s="67" t="str">
        <f t="shared" si="95"/>
        <v/>
      </c>
      <c r="BA83" s="67" t="str">
        <f t="shared" si="95"/>
        <v/>
      </c>
      <c r="BB83" s="398" t="str">
        <f t="shared" si="95"/>
        <v/>
      </c>
      <c r="BC83" s="358" t="str">
        <f t="shared" si="95"/>
        <v/>
      </c>
      <c r="BD83" s="187" t="str">
        <f t="shared" si="95"/>
        <v/>
      </c>
      <c r="BE83" s="104" t="str">
        <f t="shared" si="95"/>
        <v/>
      </c>
      <c r="BF83" s="389" t="str">
        <f t="shared" si="95"/>
        <v/>
      </c>
      <c r="BG83" s="389" t="str">
        <f t="shared" si="95"/>
        <v>🔵 Chưa có hạn</v>
      </c>
      <c r="BH83" s="67" t="str">
        <f t="shared" si="95"/>
        <v/>
      </c>
      <c r="BI83" s="389" t="str">
        <f t="array" ref="BI83">IF($X83="","",SWITCH($W83,3,IFERROR(INDEX('Lớp 3 - Công việc chính'!$AF$14:$AF$73,MATCH($X83,'Lớp 3 - Công việc chính'!$I$14:$I$73,0)),""),4,IFERROR(INDEX('Lớp 4 - Danh mục'!$AI$14:$AI$132,MATCH($X83,'Lớp 4 - Danh mục'!$I$14:$I$132,0)),""),5,IFERROR(INDEX('Lớp 5 - Phân công'!$AJ$14:$AJ$262,MATCH($X83,'Lớp 5 - Phân công'!$I$14:$I$262,0)),""),6,IFERROR(INDEX('Lớp 6 - Chi tiết'!$AM$14:$AM$267,MATCH($X83,'Lớp 6 - Chi tiết'!$I$14:$I$267,0)),""),""))</f>
        <v/>
      </c>
      <c r="BJ83" s="389" t="str">
        <f t="array" ref="BJ83">IF($X83="","",SWITCH($W83,3,IFERROR(INDEX('Lớp 3 - Công việc chính'!$AR$14:$AR$73,MATCH($X83,'Lớp 3 - Công việc chính'!$I$14:$I$73,0)),""),4,IFERROR(INDEX('Lớp 4 - Danh mục'!$AU$14:$AU$132,MATCH($X83,'Lớp 4 - Danh mục'!$I$14:$I$132,0)),""),5,IFERROR(INDEX('Lớp 5 - Phân công'!$AV$14:$AV$262,MATCH($X83,'Lớp 5 - Phân công'!$I$14:$I$262,0)),""),6,IFERROR(INDEX('Lớp 6 - Chi tiết'!$AY$14:$AY$267,MATCH($X83,'Lớp 6 - Chi tiết'!$I$14:$I$267,0)),""),""))</f>
        <v/>
      </c>
    </row>
    <row r="84" ht="15.75" customHeight="1">
      <c r="A84" s="294" t="str">
        <f t="shared" si="12"/>
        <v>    ├─ ▓ L4  05.02  TH &amp; BC đánh giá hiệu quả của SP OEM từ 2022 đến nay</v>
      </c>
      <c r="B84" s="301" t="str">
        <f t="shared" si="13"/>
        <v>Ms Trang</v>
      </c>
      <c r="C84" s="301" t="str">
        <f t="shared" si="14"/>
        <v>R&amp;D</v>
      </c>
      <c r="D84" s="301" t="str">
        <f t="shared" si="15"/>
        <v>P2</v>
      </c>
      <c r="E84" s="301" t="str">
        <f t="shared" si="16"/>
        <v>Đang thực hiện</v>
      </c>
      <c r="F84" s="317">
        <f t="shared" si="17"/>
        <v>0</v>
      </c>
      <c r="G84" s="323">
        <f t="shared" si="18"/>
        <v>46244</v>
      </c>
      <c r="H84" s="327">
        <f t="shared" si="19"/>
        <v>-1</v>
      </c>
      <c r="I84" s="327">
        <f t="shared" si="20"/>
        <v>40</v>
      </c>
      <c r="J84" s="301" t="str">
        <f t="shared" si="21"/>
        <v>🔴 Quá hạn</v>
      </c>
      <c r="K84" s="301" t="str">
        <f t="shared" si="22"/>
        <v>Thiếu tham số phân bổ</v>
      </c>
      <c r="L84" s="344" t="str">
        <f t="array" ref="L84">IF($T84="","",LET(m,MATCH($T84,$AS$24:$AS$700,0),lvl,INDEX($W$24:$W$700,m),id,INDEX($X$24:$X$700,m),SWITCH(lvl,3,"Lớp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mục!A32</v>
      </c>
      <c r="M84" s="351" t="str">
        <f t="shared" si="23"/>
        <v/>
      </c>
      <c r="N84" s="356" t="str">
        <f t="shared" si="24"/>
        <v>Thiếu tham số phân bổ</v>
      </c>
      <c r="O84" s="358"/>
      <c r="P84" s="360"/>
      <c r="Q84" s="360"/>
      <c r="R84" s="67"/>
      <c r="S84" s="67"/>
      <c r="T84" s="67" t="str">
        <f>IFERROR(__xludf.DUMMYFUNCTION("""COMPUTED_VALUE"""),"05.02")</f>
        <v>05.02</v>
      </c>
      <c r="U84" s="389" t="str">
        <f>IF('Lớp 4 - Danh mục'!I14="","",'Lớp 4 - Danh mục'!J14&amp;"|"&amp;'Lớp 4 - Danh mục'!I14)</f>
        <v>HHL3CT03|HHL4DL01</v>
      </c>
      <c r="V84" s="389" t="str">
        <f>IF('Lớp 4 - Danh mục'!I14="","","   ├─ "&amp;'Lớp 4 - Danh mục'!O14)</f>
        <v>   ├─ Xác nhận công thức &amp; tạo HT tham số cho KH GT</v>
      </c>
      <c r="W84" s="389">
        <f>IF('Lớp 4 - Danh mục'!I14="","",4)</f>
        <v>4</v>
      </c>
      <c r="X84" s="67" t="str">
        <f>'Lớp 4 - Danh mục'!I14</f>
        <v>HHL4DL01</v>
      </c>
      <c r="Y84" s="67" t="str">
        <f>'Lớp 4 - Danh mục'!J14</f>
        <v>HHL3CT03</v>
      </c>
      <c r="Z84" s="67" t="str">
        <f>'Lớp 4 - Danh mục'!Z14</f>
        <v>Em Đại</v>
      </c>
      <c r="AA84" s="67" t="str">
        <f>'Lớp 4 - Danh mục'!X14</f>
        <v>Dữ liệu điều hành</v>
      </c>
      <c r="AB84" s="67" t="str">
        <f>'Lớp 4 - Danh mục'!AB14</f>
        <v>P1</v>
      </c>
      <c r="AC84" s="67" t="str">
        <f>'Lớp 4 - Danh mục'!AA14</f>
        <v>Chưa bắt đầu</v>
      </c>
      <c r="AD84" s="398">
        <f>'Lớp 4 - Danh mục'!AF14</f>
        <v>0</v>
      </c>
      <c r="AE84" s="358">
        <f>'Lớp 4 - Danh mục'!AD14</f>
        <v>46305</v>
      </c>
      <c r="AF84" s="187">
        <f>'Lớp 4 - Danh mục'!AG14</f>
        <v>50</v>
      </c>
      <c r="AG84" s="104">
        <f>'Lớp 4 - Danh mục'!AH14</f>
        <v>140</v>
      </c>
      <c r="AH84" s="389">
        <f t="shared" si="27"/>
        <v>140</v>
      </c>
      <c r="AI84" s="389" t="str">
        <f t="shared" si="37"/>
        <v>🟣 P1 trọng yếu</v>
      </c>
      <c r="AJ84" s="67" t="str">
        <f>'Lớp 4 - Danh mục'!AK14</f>
        <v>Theo dõi tải tại Lớp 5</v>
      </c>
      <c r="AS84" s="389" t="str">
        <f t="shared" ref="AS84:AS202" si="97">IF(X84="","",IFERROR(INDEX($AS$24:$AS$83,MATCH(Y84,$X$24:$X$83,0))&amp;"."&amp;TEXT(COUNTIFS($Y$84:Y84,Y84,$X$84:X84,"&lt;&gt;"),"00"),"99."&amp;TEXT(ROW()-83,"00")))</f>
        <v>03.01</v>
      </c>
      <c r="AT84" s="389" t="str">
        <f t="shared" si="32"/>
        <v/>
      </c>
      <c r="AU84" s="389" t="str">
        <f t="shared" si="33"/>
        <v>Xác nhận công thức &amp; tạo HT tham số cho KH GT</v>
      </c>
      <c r="AV84" s="389" t="str">
        <f t="shared" si="34"/>
        <v/>
      </c>
      <c r="AW84" s="389" t="str">
        <f t="shared" si="35"/>
        <v/>
      </c>
      <c r="AX84" s="67" t="str">
        <f t="shared" ref="AX84:BH84" si="96">Z84</f>
        <v>Em Đại</v>
      </c>
      <c r="AY84" s="67" t="str">
        <f t="shared" si="96"/>
        <v>Dữ liệu điều hành</v>
      </c>
      <c r="AZ84" s="67" t="str">
        <f t="shared" si="96"/>
        <v>P1</v>
      </c>
      <c r="BA84" s="67" t="str">
        <f t="shared" si="96"/>
        <v>Chưa bắt đầu</v>
      </c>
      <c r="BB84" s="398">
        <f t="shared" si="96"/>
        <v>0</v>
      </c>
      <c r="BC84" s="358">
        <f t="shared" si="96"/>
        <v>46305</v>
      </c>
      <c r="BD84" s="187">
        <f t="shared" si="96"/>
        <v>50</v>
      </c>
      <c r="BE84" s="104">
        <f t="shared" si="96"/>
        <v>140</v>
      </c>
      <c r="BF84" s="389">
        <f t="shared" si="96"/>
        <v>140</v>
      </c>
      <c r="BG84" s="389" t="str">
        <f t="shared" si="96"/>
        <v>🟣 P1 trọng yếu</v>
      </c>
      <c r="BH84" s="67" t="str">
        <f t="shared" si="96"/>
        <v>Theo dõi tải tại Lớp 5</v>
      </c>
      <c r="BI84" s="389" t="str">
        <f t="array" ref="BI84">IF($X84="","",SWITCH($W84,3,IFERROR(INDEX('Lớp 3 - Công việc chính'!$AF$14:$AF$73,MATCH($X84,'Lớp 3 - Công việc chính'!$I$14:$I$73,0)),""),4,IFERROR(INDEX('Lớp 4 - Danh mục'!$AI$14:$AI$132,MATCH($X84,'Lớp 4 - Danh mục'!$I$14:$I$132,0)),""),5,IFERROR(INDEX('Lớp 5 - Phân công'!$AJ$14:$AJ$262,MATCH($X84,'Lớp 5 - Phân công'!$I$14:$I$262,0)),""),6,IFERROR(INDEX('Lớp 6 - Chi tiết'!$AM$14:$AM$267,MATCH($X84,'Lớp 6 - Chi tiết'!$I$14:$I$267,0)),""),""))</f>
        <v/>
      </c>
      <c r="BJ84" s="389" t="str">
        <f t="array" ref="BJ84">IF($X84="","",SWITCH($W84,3,IFERROR(INDEX('Lớp 3 - Công việc chính'!$AR$14:$AR$73,MATCH($X84,'Lớp 3 - Công việc chính'!$I$14:$I$73,0)),""),4,IFERROR(INDEX('Lớp 4 - Danh mục'!$AU$14:$AU$132,MATCH($X84,'Lớp 4 - Danh mục'!$I$14:$I$132,0)),""),5,IFERROR(INDEX('Lớp 5 - Phân công'!$AV$14:$AV$262,MATCH($X84,'Lớp 5 - Phân công'!$I$14:$I$262,0)),""),6,IFERROR(INDEX('Lớp 6 - Chi tiết'!$AY$14:$AY$267,MATCH($X84,'Lớp 6 - Chi tiết'!$I$14:$I$267,0)),""),""))</f>
        <v>Theo dõi phân bổ tại Lớp 5</v>
      </c>
    </row>
    <row r="85" ht="15.75" customHeight="1">
      <c r="A85" s="294" t="str">
        <f t="shared" si="12"/>
        <v>    ├─ ▓ L4  05.03  Tổ chức hệ thống Soursing hàng OEM có CO trong nước</v>
      </c>
      <c r="B85" s="301" t="str">
        <f t="shared" si="13"/>
        <v>Ms Trang</v>
      </c>
      <c r="C85" s="301" t="str">
        <f t="shared" si="14"/>
        <v>R&amp;D</v>
      </c>
      <c r="D85" s="301" t="str">
        <f t="shared" si="15"/>
        <v>P2</v>
      </c>
      <c r="E85" s="301" t="str">
        <f t="shared" si="16"/>
        <v>Đang thực hiện</v>
      </c>
      <c r="F85" s="317">
        <f t="shared" si="17"/>
        <v>0</v>
      </c>
      <c r="G85" s="323">
        <f t="shared" si="18"/>
        <v>46274</v>
      </c>
      <c r="H85" s="327">
        <f t="shared" si="19"/>
        <v>23</v>
      </c>
      <c r="I85" s="327">
        <f t="shared" si="20"/>
        <v>40</v>
      </c>
      <c r="J85" s="301" t="str">
        <f t="shared" si="21"/>
        <v>🟢 Theo kế hoạch</v>
      </c>
      <c r="K85" s="301" t="str">
        <f t="shared" si="22"/>
        <v>Thiếu tham số phân bổ</v>
      </c>
      <c r="L85" s="344" t="str">
        <f t="array" ref="L85">IF($T85="","",LET(m,MATCH($T85,$AS$24:$AS$700,0),lvl,INDEX($W$24:$W$700,m),id,INDEX($X$24:$X$700,m),SWITCH(lvl,3,"Lớp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mục!A37</v>
      </c>
      <c r="M85" s="351" t="str">
        <f t="shared" si="23"/>
        <v/>
      </c>
      <c r="N85" s="356" t="str">
        <f t="shared" si="24"/>
        <v>Thiếu tham số phân bổ</v>
      </c>
      <c r="O85" s="358"/>
      <c r="P85" s="360"/>
      <c r="Q85" s="360"/>
      <c r="R85" s="67"/>
      <c r="S85" s="67"/>
      <c r="T85" s="67" t="str">
        <f>IFERROR(__xludf.DUMMYFUNCTION("""COMPUTED_VALUE"""),"05.03")</f>
        <v>05.03</v>
      </c>
      <c r="U85" s="389" t="str">
        <f>IF('Lớp 4 - Danh mục'!I15="","",'Lớp 4 - Danh mục'!J15&amp;"|"&amp;'Lớp 4 - Danh mục'!I15)</f>
        <v>HHL3CT03|HHL4DL02</v>
      </c>
      <c r="V85" s="389" t="str">
        <f>IF('Lớp 4 - Danh mục'!I15="","","   ├─ "&amp;'Lớp 4 - Danh mục'!O15)</f>
        <v>   ├─ Xây dựng công thức &amp; tạo HT tham số cho KH MT</v>
      </c>
      <c r="W85" s="389">
        <f>IF('Lớp 4 - Danh mục'!I15="","",4)</f>
        <v>4</v>
      </c>
      <c r="X85" s="67" t="str">
        <f>'Lớp 4 - Danh mục'!I15</f>
        <v>HHL4DL02</v>
      </c>
      <c r="Y85" s="67" t="str">
        <f>'Lớp 4 - Danh mục'!J15</f>
        <v>HHL3CT03</v>
      </c>
      <c r="Z85" s="67" t="str">
        <f>'Lớp 4 - Danh mục'!Z15</f>
        <v>Em Đại</v>
      </c>
      <c r="AA85" s="67" t="str">
        <f>'Lớp 4 - Danh mục'!X15</f>
        <v>Dữ liệu điều hành</v>
      </c>
      <c r="AB85" s="67" t="str">
        <f>'Lớp 4 - Danh mục'!AB15</f>
        <v>P1</v>
      </c>
      <c r="AC85" s="67" t="str">
        <f>'Lớp 4 - Danh mục'!AA15</f>
        <v>Chưa bắt đầu</v>
      </c>
      <c r="AD85" s="398">
        <f>'Lớp 4 - Danh mục'!AF15</f>
        <v>0</v>
      </c>
      <c r="AE85" s="358">
        <f>'Lớp 4 - Danh mục'!AD15</f>
        <v>46310</v>
      </c>
      <c r="AF85" s="187">
        <f>'Lớp 4 - Danh mục'!AG15</f>
        <v>54</v>
      </c>
      <c r="AG85" s="104">
        <f>'Lớp 4 - Danh mục'!AH15</f>
        <v>80</v>
      </c>
      <c r="AH85" s="389">
        <f t="shared" si="27"/>
        <v>80</v>
      </c>
      <c r="AI85" s="389" t="str">
        <f t="shared" si="37"/>
        <v>🟣 P1 trọng yếu</v>
      </c>
      <c r="AJ85" s="67" t="str">
        <f>'Lớp 4 - Danh mục'!AK15</f>
        <v>Theo dõi tải tại Lớp 5</v>
      </c>
      <c r="AS85" s="389" t="str">
        <f t="shared" si="97"/>
        <v>03.02</v>
      </c>
      <c r="AT85" s="389" t="str">
        <f t="shared" si="32"/>
        <v/>
      </c>
      <c r="AU85" s="389" t="str">
        <f t="shared" si="33"/>
        <v>Xây dựng công thức &amp; tạo HT tham số cho KH MT</v>
      </c>
      <c r="AV85" s="389" t="str">
        <f t="shared" si="34"/>
        <v/>
      </c>
      <c r="AW85" s="389" t="str">
        <f t="shared" si="35"/>
        <v/>
      </c>
      <c r="AX85" s="67" t="str">
        <f t="shared" ref="AX85:BH85" si="98">Z85</f>
        <v>Em Đại</v>
      </c>
      <c r="AY85" s="67" t="str">
        <f t="shared" si="98"/>
        <v>Dữ liệu điều hành</v>
      </c>
      <c r="AZ85" s="67" t="str">
        <f t="shared" si="98"/>
        <v>P1</v>
      </c>
      <c r="BA85" s="67" t="str">
        <f t="shared" si="98"/>
        <v>Chưa bắt đầu</v>
      </c>
      <c r="BB85" s="398">
        <f t="shared" si="98"/>
        <v>0</v>
      </c>
      <c r="BC85" s="358">
        <f t="shared" si="98"/>
        <v>46310</v>
      </c>
      <c r="BD85" s="187">
        <f t="shared" si="98"/>
        <v>54</v>
      </c>
      <c r="BE85" s="104">
        <f t="shared" si="98"/>
        <v>80</v>
      </c>
      <c r="BF85" s="389">
        <f t="shared" si="98"/>
        <v>80</v>
      </c>
      <c r="BG85" s="389" t="str">
        <f t="shared" si="98"/>
        <v>🟣 P1 trọng yếu</v>
      </c>
      <c r="BH85" s="67" t="str">
        <f t="shared" si="98"/>
        <v>Theo dõi tải tại Lớp 5</v>
      </c>
      <c r="BI85" s="389" t="str">
        <f t="array" ref="BI85">IF($X85="","",SWITCH($W85,3,IFERROR(INDEX('Lớp 3 - Công việc chính'!$AF$14:$AF$73,MATCH($X85,'Lớp 3 - Công việc chính'!$I$14:$I$73,0)),""),4,IFERROR(INDEX('Lớp 4 - Danh mục'!$AI$14:$AI$132,MATCH($X85,'Lớp 4 - Danh mục'!$I$14:$I$132,0)),""),5,IFERROR(INDEX('Lớp 5 - Phân công'!$AJ$14:$AJ$262,MATCH($X85,'Lớp 5 - Phân công'!$I$14:$I$262,0)),""),6,IFERROR(INDEX('Lớp 6 - Chi tiết'!$AM$14:$AM$267,MATCH($X85,'Lớp 6 - Chi tiết'!$I$14:$I$267,0)),""),""))</f>
        <v/>
      </c>
      <c r="BJ85" s="389" t="str">
        <f t="array" ref="BJ85">IF($X85="","",SWITCH($W85,3,IFERROR(INDEX('Lớp 3 - Công việc chính'!$AR$14:$AR$73,MATCH($X85,'Lớp 3 - Công việc chính'!$I$14:$I$73,0)),""),4,IFERROR(INDEX('Lớp 4 - Danh mục'!$AU$14:$AU$132,MATCH($X85,'Lớp 4 - Danh mục'!$I$14:$I$132,0)),""),5,IFERROR(INDEX('Lớp 5 - Phân công'!$AV$14:$AV$262,MATCH($X85,'Lớp 5 - Phân công'!$I$14:$I$262,0)),""),6,IFERROR(INDEX('Lớp 6 - Chi tiết'!$AY$14:$AY$267,MATCH($X85,'Lớp 6 - Chi tiết'!$I$14:$I$267,0)),""),""))</f>
        <v>Theo dõi phân bổ tại Lớp 5</v>
      </c>
    </row>
    <row r="86" ht="15.75" customHeight="1">
      <c r="A86" s="294" t="str">
        <f t="shared" si="12"/>
        <v>▓▓ L3  07  XÂY DỰNG MASTER FILE &amp; XÁC ĐỊNH ĐIỂM A</v>
      </c>
      <c r="B86" s="301" t="str">
        <f t="shared" si="13"/>
        <v>Ms Trang</v>
      </c>
      <c r="C86" s="301" t="str">
        <f t="shared" si="14"/>
        <v>R&amp;D</v>
      </c>
      <c r="D86" s="301" t="str">
        <f t="shared" si="15"/>
        <v>P2</v>
      </c>
      <c r="E86" s="301" t="str">
        <f t="shared" si="16"/>
        <v>Đang thực hiện</v>
      </c>
      <c r="F86" s="317">
        <f t="shared" si="17"/>
        <v>0</v>
      </c>
      <c r="G86" s="323">
        <f t="shared" si="18"/>
        <v>46368</v>
      </c>
      <c r="H86" s="327">
        <f t="shared" si="19"/>
        <v>104</v>
      </c>
      <c r="I86" s="327">
        <f t="shared" si="20"/>
        <v>160</v>
      </c>
      <c r="J86" s="301" t="str">
        <f t="shared" si="21"/>
        <v>🟢 Theo kế hoạch</v>
      </c>
      <c r="K86" s="301" t="str">
        <f t="shared" si="22"/>
        <v>Thiếu tham số phân bổ</v>
      </c>
      <c r="L86" s="344" t="str">
        <f t="array" ref="L86">IF($T86="","",LET(m,MATCH($T86,$AS$24:$AS$700,0),lvl,INDEX($W$24:$W$700,m),id,INDEX($X$24:$X$700,m),SWITCH(lvl,3,"Lớp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chính!A20</v>
      </c>
      <c r="M86" s="351" t="str">
        <f t="shared" si="23"/>
        <v/>
      </c>
      <c r="N86" s="356" t="str">
        <f t="shared" si="24"/>
        <v>Thiếu tham số phân bổ</v>
      </c>
      <c r="O86" s="358"/>
      <c r="P86" s="360"/>
      <c r="Q86" s="360"/>
      <c r="R86" s="67"/>
      <c r="S86" s="67"/>
      <c r="T86" s="67" t="str">
        <f>IFERROR(__xludf.DUMMYFUNCTION("""COMPUTED_VALUE"""),"07")</f>
        <v>07</v>
      </c>
      <c r="U86" s="389" t="str">
        <f>IF('Lớp 4 - Danh mục'!I16="","",'Lớp 4 - Danh mục'!J16&amp;"|"&amp;'Lớp 4 - Danh mục'!I16)</f>
        <v>HHL3CT03|HHL4DL03</v>
      </c>
      <c r="V86" s="389" t="str">
        <f>IF('Lớp 4 - Danh mục'!I16="","","   ├─ "&amp;'Lớp 4 - Danh mục'!O16)</f>
        <v>   ├─ Xây dựng công thức &amp; tạo HT tham số cho KH B2B</v>
      </c>
      <c r="W86" s="389">
        <f>IF('Lớp 4 - Danh mục'!I16="","",4)</f>
        <v>4</v>
      </c>
      <c r="X86" s="67" t="str">
        <f>'Lớp 4 - Danh mục'!I16</f>
        <v>HHL4DL03</v>
      </c>
      <c r="Y86" s="67" t="str">
        <f>'Lớp 4 - Danh mục'!J16</f>
        <v>HHL3CT03</v>
      </c>
      <c r="Z86" s="67" t="str">
        <f>'Lớp 4 - Danh mục'!Z16</f>
        <v>Em Đại</v>
      </c>
      <c r="AA86" s="67" t="str">
        <f>'Lớp 4 - Danh mục'!X16</f>
        <v>Dữ liệu điều hành</v>
      </c>
      <c r="AB86" s="67" t="str">
        <f>'Lớp 4 - Danh mục'!AB16</f>
        <v>P1</v>
      </c>
      <c r="AC86" s="67" t="str">
        <f>'Lớp 4 - Danh mục'!AA16</f>
        <v>Chưa bắt đầu</v>
      </c>
      <c r="AD86" s="398">
        <f>'Lớp 4 - Danh mục'!AF16</f>
        <v>0</v>
      </c>
      <c r="AE86" s="358">
        <f>'Lớp 4 - Danh mục'!AD16</f>
        <v>46320</v>
      </c>
      <c r="AF86" s="187">
        <f>'Lớp 4 - Danh mục'!AG16</f>
        <v>62</v>
      </c>
      <c r="AG86" s="104">
        <f>'Lớp 4 - Danh mục'!AH16</f>
        <v>80</v>
      </c>
      <c r="AH86" s="389">
        <f t="shared" si="27"/>
        <v>80</v>
      </c>
      <c r="AI86" s="389" t="str">
        <f t="shared" si="37"/>
        <v>🟣 P1 trọng yếu</v>
      </c>
      <c r="AJ86" s="67" t="str">
        <f>'Lớp 4 - Danh mục'!AK16</f>
        <v>Theo dõi tải tại Lớp 5</v>
      </c>
      <c r="AS86" s="389" t="str">
        <f t="shared" si="97"/>
        <v>03.03</v>
      </c>
      <c r="AT86" s="389" t="str">
        <f t="shared" si="32"/>
        <v/>
      </c>
      <c r="AU86" s="389" t="str">
        <f t="shared" si="33"/>
        <v>Xây dựng công thức &amp; tạo HT tham số cho KH B2B</v>
      </c>
      <c r="AV86" s="389" t="str">
        <f t="shared" si="34"/>
        <v/>
      </c>
      <c r="AW86" s="389" t="str">
        <f t="shared" si="35"/>
        <v/>
      </c>
      <c r="AX86" s="67" t="str">
        <f t="shared" ref="AX86:BH86" si="99">Z86</f>
        <v>Em Đại</v>
      </c>
      <c r="AY86" s="67" t="str">
        <f t="shared" si="99"/>
        <v>Dữ liệu điều hành</v>
      </c>
      <c r="AZ86" s="67" t="str">
        <f t="shared" si="99"/>
        <v>P1</v>
      </c>
      <c r="BA86" s="67" t="str">
        <f t="shared" si="99"/>
        <v>Chưa bắt đầu</v>
      </c>
      <c r="BB86" s="398">
        <f t="shared" si="99"/>
        <v>0</v>
      </c>
      <c r="BC86" s="358">
        <f t="shared" si="99"/>
        <v>46320</v>
      </c>
      <c r="BD86" s="187">
        <f t="shared" si="99"/>
        <v>62</v>
      </c>
      <c r="BE86" s="104">
        <f t="shared" si="99"/>
        <v>80</v>
      </c>
      <c r="BF86" s="389">
        <f t="shared" si="99"/>
        <v>80</v>
      </c>
      <c r="BG86" s="389" t="str">
        <f t="shared" si="99"/>
        <v>🟣 P1 trọng yếu</v>
      </c>
      <c r="BH86" s="67" t="str">
        <f t="shared" si="99"/>
        <v>Theo dõi tải tại Lớp 5</v>
      </c>
      <c r="BI86" s="389" t="str">
        <f t="array" ref="BI86">IF($X86="","",SWITCH($W86,3,IFERROR(INDEX('Lớp 3 - Công việc chính'!$AF$14:$AF$73,MATCH($X86,'Lớp 3 - Công việc chính'!$I$14:$I$73,0)),""),4,IFERROR(INDEX('Lớp 4 - Danh mục'!$AI$14:$AI$132,MATCH($X86,'Lớp 4 - Danh mục'!$I$14:$I$132,0)),""),5,IFERROR(INDEX('Lớp 5 - Phân công'!$AJ$14:$AJ$262,MATCH($X86,'Lớp 5 - Phân công'!$I$14:$I$262,0)),""),6,IFERROR(INDEX('Lớp 6 - Chi tiết'!$AM$14:$AM$267,MATCH($X86,'Lớp 6 - Chi tiết'!$I$14:$I$267,0)),""),""))</f>
        <v/>
      </c>
      <c r="BJ86" s="389" t="str">
        <f t="array" ref="BJ86">IF($X86="","",SWITCH($W86,3,IFERROR(INDEX('Lớp 3 - Công việc chính'!$AR$14:$AR$73,MATCH($X86,'Lớp 3 - Công việc chính'!$I$14:$I$73,0)),""),4,IFERROR(INDEX('Lớp 4 - Danh mục'!$AU$14:$AU$132,MATCH($X86,'Lớp 4 - Danh mục'!$I$14:$I$132,0)),""),5,IFERROR(INDEX('Lớp 5 - Phân công'!$AV$14:$AV$262,MATCH($X86,'Lớp 5 - Phân công'!$I$14:$I$262,0)),""),6,IFERROR(INDEX('Lớp 6 - Chi tiết'!$AY$14:$AY$267,MATCH($X86,'Lớp 6 - Chi tiết'!$I$14:$I$267,0)),""),""))</f>
        <v>Theo dõi phân bổ tại Lớp 5</v>
      </c>
    </row>
    <row r="87" ht="15.75" customHeight="1">
      <c r="A87" s="294" t="str">
        <f t="shared" si="12"/>
        <v>▓▓ L3  08  SỰ VỤ QUAN TRỌNG PHÁT SINH (VÙNG XÁM)</v>
      </c>
      <c r="B87" s="301" t="str">
        <f t="shared" si="13"/>
        <v>Ms Trang</v>
      </c>
      <c r="C87" s="301" t="str">
        <f t="shared" si="14"/>
        <v>R&amp;D</v>
      </c>
      <c r="D87" s="301" t="str">
        <f t="shared" si="15"/>
        <v>P1</v>
      </c>
      <c r="E87" s="301" t="str">
        <f t="shared" si="16"/>
        <v>Đang thực hiện</v>
      </c>
      <c r="F87" s="317">
        <f t="shared" si="17"/>
        <v>0</v>
      </c>
      <c r="G87" s="323">
        <f t="shared" si="18"/>
        <v>46387</v>
      </c>
      <c r="H87" s="327">
        <f t="shared" si="19"/>
        <v>120</v>
      </c>
      <c r="I87" s="327">
        <f t="shared" si="20"/>
        <v>160</v>
      </c>
      <c r="J87" s="301" t="str">
        <f t="shared" si="21"/>
        <v>🟣 P1 trọng yếu</v>
      </c>
      <c r="K87" s="301" t="str">
        <f t="shared" si="22"/>
        <v>Thiếu tham số phân bổ</v>
      </c>
      <c r="L87" s="344" t="str">
        <f t="array" ref="L87">IF($T87="","",LET(m,MATCH($T87,$AS$24:$AS$700,0),lvl,INDEX($W$24:$W$700,m),id,INDEX($X$24:$X$700,m),SWITCH(lvl,3,"Lớp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chính!A21</v>
      </c>
      <c r="M87" s="351" t="str">
        <f t="shared" si="23"/>
        <v/>
      </c>
      <c r="N87" s="356" t="str">
        <f t="shared" si="24"/>
        <v>Thiếu tham số phân bổ</v>
      </c>
      <c r="O87" s="358"/>
      <c r="P87" s="360"/>
      <c r="Q87" s="360"/>
      <c r="R87" s="67"/>
      <c r="S87" s="67"/>
      <c r="T87" s="67" t="str">
        <f>IFERROR(__xludf.DUMMYFUNCTION("""COMPUTED_VALUE"""),"08")</f>
        <v>08</v>
      </c>
      <c r="U87" s="389" t="str">
        <f>IF('Lớp 4 - Danh mục'!I17="","",'Lớp 4 - Danh mục'!J17&amp;"|"&amp;'Lớp 4 - Danh mục'!I17)</f>
        <v>HHL3CT03|HHL4DL04</v>
      </c>
      <c r="V87" s="389" t="str">
        <f>IF('Lớp 4 - Danh mục'!I17="","","   ├─ "&amp;'Lớp 4 - Danh mục'!O17)</f>
        <v>   ├─ Xây dựng công thức &amp; tạo HT tham số cho KH Online</v>
      </c>
      <c r="W87" s="389">
        <f>IF('Lớp 4 - Danh mục'!I17="","",4)</f>
        <v>4</v>
      </c>
      <c r="X87" s="67" t="str">
        <f>'Lớp 4 - Danh mục'!I17</f>
        <v>HHL4DL04</v>
      </c>
      <c r="Y87" s="67" t="str">
        <f>'Lớp 4 - Danh mục'!J17</f>
        <v>HHL3CT03</v>
      </c>
      <c r="Z87" s="67" t="str">
        <f>'Lớp 4 - Danh mục'!Z17</f>
        <v>Em Đại</v>
      </c>
      <c r="AA87" s="67" t="str">
        <f>'Lớp 4 - Danh mục'!X17</f>
        <v>Dữ liệu điều hành</v>
      </c>
      <c r="AB87" s="67" t="str">
        <f>'Lớp 4 - Danh mục'!AB17</f>
        <v>P1</v>
      </c>
      <c r="AC87" s="67" t="str">
        <f>'Lớp 4 - Danh mục'!AA17</f>
        <v>Chưa bắt đầu</v>
      </c>
      <c r="AD87" s="398">
        <f>'Lớp 4 - Danh mục'!AF17</f>
        <v>0</v>
      </c>
      <c r="AE87" s="358">
        <f>'Lớp 4 - Danh mục'!AD17</f>
        <v>46320</v>
      </c>
      <c r="AF87" s="187">
        <f>'Lớp 4 - Danh mục'!AG17</f>
        <v>62</v>
      </c>
      <c r="AG87" s="104">
        <f>'Lớp 4 - Danh mục'!AH17</f>
        <v>80</v>
      </c>
      <c r="AH87" s="389">
        <f t="shared" si="27"/>
        <v>80</v>
      </c>
      <c r="AI87" s="389" t="str">
        <f t="shared" si="37"/>
        <v>🟣 P1 trọng yếu</v>
      </c>
      <c r="AJ87" s="67" t="str">
        <f>'Lớp 4 - Danh mục'!AK17</f>
        <v>Theo dõi tải tại Lớp 5</v>
      </c>
      <c r="AS87" s="389" t="str">
        <f t="shared" si="97"/>
        <v>03.04</v>
      </c>
      <c r="AT87" s="389" t="str">
        <f t="shared" si="32"/>
        <v/>
      </c>
      <c r="AU87" s="389" t="str">
        <f t="shared" si="33"/>
        <v>Xây dựng công thức &amp; tạo HT tham số cho KH Online</v>
      </c>
      <c r="AV87" s="389" t="str">
        <f t="shared" si="34"/>
        <v/>
      </c>
      <c r="AW87" s="389" t="str">
        <f t="shared" si="35"/>
        <v/>
      </c>
      <c r="AX87" s="67" t="str">
        <f t="shared" ref="AX87:BH87" si="100">Z87</f>
        <v>Em Đại</v>
      </c>
      <c r="AY87" s="67" t="str">
        <f t="shared" si="100"/>
        <v>Dữ liệu điều hành</v>
      </c>
      <c r="AZ87" s="67" t="str">
        <f t="shared" si="100"/>
        <v>P1</v>
      </c>
      <c r="BA87" s="67" t="str">
        <f t="shared" si="100"/>
        <v>Chưa bắt đầu</v>
      </c>
      <c r="BB87" s="398">
        <f t="shared" si="100"/>
        <v>0</v>
      </c>
      <c r="BC87" s="358">
        <f t="shared" si="100"/>
        <v>46320</v>
      </c>
      <c r="BD87" s="187">
        <f t="shared" si="100"/>
        <v>62</v>
      </c>
      <c r="BE87" s="104">
        <f t="shared" si="100"/>
        <v>80</v>
      </c>
      <c r="BF87" s="389">
        <f t="shared" si="100"/>
        <v>80</v>
      </c>
      <c r="BG87" s="389" t="str">
        <f t="shared" si="100"/>
        <v>🟣 P1 trọng yếu</v>
      </c>
      <c r="BH87" s="67" t="str">
        <f t="shared" si="100"/>
        <v>Theo dõi tải tại Lớp 5</v>
      </c>
      <c r="BI87" s="389" t="str">
        <f t="array" ref="BI87">IF($X87="","",SWITCH($W87,3,IFERROR(INDEX('Lớp 3 - Công việc chính'!$AF$14:$AF$73,MATCH($X87,'Lớp 3 - Công việc chính'!$I$14:$I$73,0)),""),4,IFERROR(INDEX('Lớp 4 - Danh mục'!$AI$14:$AI$132,MATCH($X87,'Lớp 4 - Danh mục'!$I$14:$I$132,0)),""),5,IFERROR(INDEX('Lớp 5 - Phân công'!$AJ$14:$AJ$262,MATCH($X87,'Lớp 5 - Phân công'!$I$14:$I$262,0)),""),6,IFERROR(INDEX('Lớp 6 - Chi tiết'!$AM$14:$AM$267,MATCH($X87,'Lớp 6 - Chi tiết'!$I$14:$I$267,0)),""),""))</f>
        <v/>
      </c>
      <c r="BJ87" s="389" t="str">
        <f t="array" ref="BJ87">IF($X87="","",SWITCH($W87,3,IFERROR(INDEX('Lớp 3 - Công việc chính'!$AR$14:$AR$73,MATCH($X87,'Lớp 3 - Công việc chính'!$I$14:$I$73,0)),""),4,IFERROR(INDEX('Lớp 4 - Danh mục'!$AU$14:$AU$132,MATCH($X87,'Lớp 4 - Danh mục'!$I$14:$I$132,0)),""),5,IFERROR(INDEX('Lớp 5 - Phân công'!$AV$14:$AV$262,MATCH($X87,'Lớp 5 - Phân công'!$I$14:$I$262,0)),""),6,IFERROR(INDEX('Lớp 6 - Chi tiết'!$AY$14:$AY$267,MATCH($X87,'Lớp 6 - Chi tiết'!$I$14:$I$267,0)),""),""))</f>
        <v>Theo dõi phân bổ tại Lớp 5</v>
      </c>
    </row>
    <row r="88" ht="15.75" customHeight="1">
      <c r="A88" s="294" t="str">
        <f t="shared" si="12"/>
        <v>▓▓ L3  09  XD QUY CHẾ ĐÀO TẠO &amp; CHIẾN LƯỢC ĐÀO TẠO SP</v>
      </c>
      <c r="B88" s="301" t="str">
        <f t="shared" si="13"/>
        <v>Ms Trang</v>
      </c>
      <c r="C88" s="301" t="str">
        <f t="shared" si="14"/>
        <v>R&amp;D</v>
      </c>
      <c r="D88" s="301" t="str">
        <f t="shared" si="15"/>
        <v>P2</v>
      </c>
      <c r="E88" s="301" t="str">
        <f t="shared" si="16"/>
        <v>Đang thực hiện</v>
      </c>
      <c r="F88" s="317">
        <f t="shared" si="17"/>
        <v>0</v>
      </c>
      <c r="G88" s="323">
        <f t="shared" si="18"/>
        <v>46449</v>
      </c>
      <c r="H88" s="327">
        <f t="shared" si="19"/>
        <v>173</v>
      </c>
      <c r="I88" s="327">
        <f t="shared" si="20"/>
        <v>120</v>
      </c>
      <c r="J88" s="301" t="str">
        <f t="shared" si="21"/>
        <v>🟢 Theo kế hoạch</v>
      </c>
      <c r="K88" s="301" t="str">
        <f t="shared" si="22"/>
        <v>Thiếu tham số phân bổ</v>
      </c>
      <c r="L88" s="344" t="str">
        <f t="array" ref="L88">IF($T88="","",LET(m,MATCH($T88,$AS$24:$AS$700,0),lvl,INDEX($W$24:$W$700,m),id,INDEX($X$24:$X$700,m),SWITCH(lvl,3,"Lớp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chính!A22</v>
      </c>
      <c r="M88" s="351" t="str">
        <f t="shared" si="23"/>
        <v/>
      </c>
      <c r="N88" s="356" t="str">
        <f t="shared" si="24"/>
        <v>Thiếu tham số phân bổ</v>
      </c>
      <c r="O88" s="358"/>
      <c r="P88" s="360"/>
      <c r="Q88" s="360"/>
      <c r="R88" s="67"/>
      <c r="S88" s="67"/>
      <c r="T88" s="67" t="str">
        <f>IFERROR(__xludf.DUMMYFUNCTION("""COMPUTED_VALUE"""),"09")</f>
        <v>09</v>
      </c>
      <c r="U88" s="389" t="str">
        <f>IF('Lớp 4 - Danh mục'!I18="","",'Lớp 4 - Danh mục'!J18&amp;"|"&amp;'Lớp 4 - Danh mục'!I18)</f>
        <v>HHL3CT03|HHL4DL05</v>
      </c>
      <c r="V88" s="389" t="str">
        <f>IF('Lớp 4 - Danh mục'!I18="","","   ├─ "&amp;'Lớp 4 - Danh mục'!O18)</f>
        <v>   ├─ Xây dựng công thức &amp; tạo HT tham số cho KH XK</v>
      </c>
      <c r="W88" s="389">
        <f>IF('Lớp 4 - Danh mục'!I18="","",4)</f>
        <v>4</v>
      </c>
      <c r="X88" s="67" t="str">
        <f>'Lớp 4 - Danh mục'!I18</f>
        <v>HHL4DL05</v>
      </c>
      <c r="Y88" s="67" t="str">
        <f>'Lớp 4 - Danh mục'!J18</f>
        <v>HHL3CT03</v>
      </c>
      <c r="Z88" s="67" t="str">
        <f>'Lớp 4 - Danh mục'!Z18</f>
        <v>Em Đại</v>
      </c>
      <c r="AA88" s="67" t="str">
        <f>'Lớp 4 - Danh mục'!X18</f>
        <v>Dữ liệu điều hành</v>
      </c>
      <c r="AB88" s="67" t="str">
        <f>'Lớp 4 - Danh mục'!AB18</f>
        <v>P1</v>
      </c>
      <c r="AC88" s="67" t="str">
        <f>'Lớp 4 - Danh mục'!AA18</f>
        <v>Chưa bắt đầu</v>
      </c>
      <c r="AD88" s="398">
        <f>'Lớp 4 - Danh mục'!AF18</f>
        <v>0</v>
      </c>
      <c r="AE88" s="358">
        <f>'Lớp 4 - Danh mục'!AD18</f>
        <v>46320</v>
      </c>
      <c r="AF88" s="187">
        <f>'Lớp 4 - Danh mục'!AG18</f>
        <v>62</v>
      </c>
      <c r="AG88" s="104">
        <f>'Lớp 4 - Danh mục'!AH18</f>
        <v>80</v>
      </c>
      <c r="AH88" s="389">
        <f t="shared" si="27"/>
        <v>80</v>
      </c>
      <c r="AI88" s="389" t="str">
        <f t="shared" si="37"/>
        <v>🟣 P1 trọng yếu</v>
      </c>
      <c r="AJ88" s="67" t="str">
        <f>'Lớp 4 - Danh mục'!AK18</f>
        <v>Theo dõi tải tại Lớp 5</v>
      </c>
      <c r="AS88" s="389" t="str">
        <f t="shared" si="97"/>
        <v>03.05</v>
      </c>
      <c r="AT88" s="389" t="str">
        <f t="shared" si="32"/>
        <v/>
      </c>
      <c r="AU88" s="389" t="str">
        <f t="shared" si="33"/>
        <v>Xây dựng công thức &amp; tạo HT tham số cho KH XK</v>
      </c>
      <c r="AV88" s="389" t="str">
        <f t="shared" si="34"/>
        <v/>
      </c>
      <c r="AW88" s="389" t="str">
        <f t="shared" si="35"/>
        <v/>
      </c>
      <c r="AX88" s="67" t="str">
        <f t="shared" ref="AX88:BH88" si="101">Z88</f>
        <v>Em Đại</v>
      </c>
      <c r="AY88" s="67" t="str">
        <f t="shared" si="101"/>
        <v>Dữ liệu điều hành</v>
      </c>
      <c r="AZ88" s="67" t="str">
        <f t="shared" si="101"/>
        <v>P1</v>
      </c>
      <c r="BA88" s="67" t="str">
        <f t="shared" si="101"/>
        <v>Chưa bắt đầu</v>
      </c>
      <c r="BB88" s="398">
        <f t="shared" si="101"/>
        <v>0</v>
      </c>
      <c r="BC88" s="358">
        <f t="shared" si="101"/>
        <v>46320</v>
      </c>
      <c r="BD88" s="187">
        <f t="shared" si="101"/>
        <v>62</v>
      </c>
      <c r="BE88" s="104">
        <f t="shared" si="101"/>
        <v>80</v>
      </c>
      <c r="BF88" s="389">
        <f t="shared" si="101"/>
        <v>80</v>
      </c>
      <c r="BG88" s="389" t="str">
        <f t="shared" si="101"/>
        <v>🟣 P1 trọng yếu</v>
      </c>
      <c r="BH88" s="67" t="str">
        <f t="shared" si="101"/>
        <v>Theo dõi tải tại Lớp 5</v>
      </c>
      <c r="BI88" s="389" t="str">
        <f t="array" ref="BI88">IF($X88="","",SWITCH($W88,3,IFERROR(INDEX('Lớp 3 - Công việc chính'!$AF$14:$AF$73,MATCH($X88,'Lớp 3 - Công việc chính'!$I$14:$I$73,0)),""),4,IFERROR(INDEX('Lớp 4 - Danh mục'!$AI$14:$AI$132,MATCH($X88,'Lớp 4 - Danh mục'!$I$14:$I$132,0)),""),5,IFERROR(INDEX('Lớp 5 - Phân công'!$AJ$14:$AJ$262,MATCH($X88,'Lớp 5 - Phân công'!$I$14:$I$262,0)),""),6,IFERROR(INDEX('Lớp 6 - Chi tiết'!$AM$14:$AM$267,MATCH($X88,'Lớp 6 - Chi tiết'!$I$14:$I$267,0)),""),""))</f>
        <v/>
      </c>
      <c r="BJ88" s="389" t="str">
        <f t="array" ref="BJ88">IF($X88="","",SWITCH($W88,3,IFERROR(INDEX('Lớp 3 - Công việc chính'!$AR$14:$AR$73,MATCH($X88,'Lớp 3 - Công việc chính'!$I$14:$I$73,0)),""),4,IFERROR(INDEX('Lớp 4 - Danh mục'!$AU$14:$AU$132,MATCH($X88,'Lớp 4 - Danh mục'!$I$14:$I$132,0)),""),5,IFERROR(INDEX('Lớp 5 - Phân công'!$AV$14:$AV$262,MATCH($X88,'Lớp 5 - Phân công'!$I$14:$I$262,0)),""),6,IFERROR(INDEX('Lớp 6 - Chi tiết'!$AY$14:$AY$267,MATCH($X88,'Lớp 6 - Chi tiết'!$I$14:$I$267,0)),""),""))</f>
        <v>Theo dõi phân bổ tại Lớp 5</v>
      </c>
    </row>
    <row r="89" ht="15.75" customHeight="1">
      <c r="A89" s="294" t="str">
        <f t="shared" si="12"/>
        <v>▓▓ L3  10  XD CẤU TRÚC, KHOẢNG TRỐNG NL VÀ KIỆN TOÀN BỘ MÁY NS R&amp;D</v>
      </c>
      <c r="B89" s="301" t="str">
        <f t="shared" si="13"/>
        <v>Ms Trang</v>
      </c>
      <c r="C89" s="301" t="str">
        <f t="shared" si="14"/>
        <v>R&amp;D</v>
      </c>
      <c r="D89" s="301" t="str">
        <f t="shared" si="15"/>
        <v>P2</v>
      </c>
      <c r="E89" s="301" t="str">
        <f t="shared" si="16"/>
        <v>Đang thực hiện</v>
      </c>
      <c r="F89" s="317">
        <f t="shared" si="17"/>
        <v>0</v>
      </c>
      <c r="G89" s="323">
        <f t="shared" si="18"/>
        <v>46449</v>
      </c>
      <c r="H89" s="327">
        <f t="shared" si="19"/>
        <v>173</v>
      </c>
      <c r="I89" s="327">
        <f t="shared" si="20"/>
        <v>160</v>
      </c>
      <c r="J89" s="301" t="str">
        <f t="shared" si="21"/>
        <v>🟢 Theo kế hoạch</v>
      </c>
      <c r="K89" s="301" t="str">
        <f t="shared" si="22"/>
        <v>Thiếu tham số phân bổ</v>
      </c>
      <c r="L89" s="344" t="str">
        <f t="array" ref="L89">IF($T89="","",LET(m,MATCH($T89,$AS$24:$AS$700,0),lvl,INDEX($W$24:$W$700,m),id,INDEX($X$24:$X$700,m),SWITCH(lvl,3,"Lớp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chính!A23</v>
      </c>
      <c r="M89" s="351" t="str">
        <f t="shared" si="23"/>
        <v/>
      </c>
      <c r="N89" s="356" t="str">
        <f t="shared" si="24"/>
        <v>Thiếu tham số phân bổ</v>
      </c>
      <c r="O89" s="358"/>
      <c r="P89" s="360"/>
      <c r="Q89" s="360"/>
      <c r="R89" s="67"/>
      <c r="S89" s="67"/>
      <c r="T89" s="67" t="str">
        <f>IFERROR(__xludf.DUMMYFUNCTION("""COMPUTED_VALUE"""),"10")</f>
        <v>10</v>
      </c>
      <c r="U89" s="389" t="str">
        <f>IF('Lớp 4 - Danh mục'!I19="","",'Lớp 4 - Danh mục'!J19&amp;"|"&amp;'Lớp 4 - Danh mục'!I19)</f>
        <v>HHL3CT03|HHL4DL06</v>
      </c>
      <c r="V89" s="389" t="str">
        <f>IF('Lớp 4 - Danh mục'!I19="","","   ├─ "&amp;'Lớp 4 - Danh mục'!O19)</f>
        <v>   ├─ Xây dựng công thức &amp; tạo HT tham số cho KH Showroom</v>
      </c>
      <c r="W89" s="389">
        <f>IF('Lớp 4 - Danh mục'!I19="","",4)</f>
        <v>4</v>
      </c>
      <c r="X89" s="67" t="str">
        <f>'Lớp 4 - Danh mục'!I19</f>
        <v>HHL4DL06</v>
      </c>
      <c r="Y89" s="67" t="str">
        <f>'Lớp 4 - Danh mục'!J19</f>
        <v>HHL3CT03</v>
      </c>
      <c r="Z89" s="67" t="str">
        <f>'Lớp 4 - Danh mục'!Z19</f>
        <v>Em Đại</v>
      </c>
      <c r="AA89" s="67" t="str">
        <f>'Lớp 4 - Danh mục'!X19</f>
        <v>Dữ liệu điều hành</v>
      </c>
      <c r="AB89" s="67" t="str">
        <f>'Lớp 4 - Danh mục'!AB19</f>
        <v>P1</v>
      </c>
      <c r="AC89" s="67" t="str">
        <f>'Lớp 4 - Danh mục'!AA19</f>
        <v>Chưa bắt đầu</v>
      </c>
      <c r="AD89" s="398">
        <f>'Lớp 4 - Danh mục'!AF19</f>
        <v>0</v>
      </c>
      <c r="AE89" s="358">
        <f>'Lớp 4 - Danh mục'!AD19</f>
        <v>46320</v>
      </c>
      <c r="AF89" s="187">
        <f>'Lớp 4 - Danh mục'!AG19</f>
        <v>62</v>
      </c>
      <c r="AG89" s="104">
        <f>'Lớp 4 - Danh mục'!AH19</f>
        <v>80</v>
      </c>
      <c r="AH89" s="389">
        <f t="shared" si="27"/>
        <v>80</v>
      </c>
      <c r="AI89" s="389" t="str">
        <f t="shared" si="37"/>
        <v>🟣 P1 trọng yếu</v>
      </c>
      <c r="AJ89" s="67" t="str">
        <f>'Lớp 4 - Danh mục'!AK19</f>
        <v>Theo dõi tải tại Lớp 5</v>
      </c>
      <c r="AS89" s="389" t="str">
        <f t="shared" si="97"/>
        <v>03.06</v>
      </c>
      <c r="AT89" s="389" t="str">
        <f t="shared" si="32"/>
        <v/>
      </c>
      <c r="AU89" s="389" t="str">
        <f t="shared" si="33"/>
        <v>Xây dựng công thức &amp; tạo HT tham số cho KH Showroom</v>
      </c>
      <c r="AV89" s="389" t="str">
        <f t="shared" si="34"/>
        <v/>
      </c>
      <c r="AW89" s="389" t="str">
        <f t="shared" si="35"/>
        <v/>
      </c>
      <c r="AX89" s="67" t="str">
        <f t="shared" ref="AX89:BH89" si="102">Z89</f>
        <v>Em Đại</v>
      </c>
      <c r="AY89" s="67" t="str">
        <f t="shared" si="102"/>
        <v>Dữ liệu điều hành</v>
      </c>
      <c r="AZ89" s="67" t="str">
        <f t="shared" si="102"/>
        <v>P1</v>
      </c>
      <c r="BA89" s="67" t="str">
        <f t="shared" si="102"/>
        <v>Chưa bắt đầu</v>
      </c>
      <c r="BB89" s="398">
        <f t="shared" si="102"/>
        <v>0</v>
      </c>
      <c r="BC89" s="358">
        <f t="shared" si="102"/>
        <v>46320</v>
      </c>
      <c r="BD89" s="187">
        <f t="shared" si="102"/>
        <v>62</v>
      </c>
      <c r="BE89" s="104">
        <f t="shared" si="102"/>
        <v>80</v>
      </c>
      <c r="BF89" s="389">
        <f t="shared" si="102"/>
        <v>80</v>
      </c>
      <c r="BG89" s="389" t="str">
        <f t="shared" si="102"/>
        <v>🟣 P1 trọng yếu</v>
      </c>
      <c r="BH89" s="67" t="str">
        <f t="shared" si="102"/>
        <v>Theo dõi tải tại Lớp 5</v>
      </c>
      <c r="BI89" s="389" t="str">
        <f t="array" ref="BI89">IF($X89="","",SWITCH($W89,3,IFERROR(INDEX('Lớp 3 - Công việc chính'!$AF$14:$AF$73,MATCH($X89,'Lớp 3 - Công việc chính'!$I$14:$I$73,0)),""),4,IFERROR(INDEX('Lớp 4 - Danh mục'!$AI$14:$AI$132,MATCH($X89,'Lớp 4 - Danh mục'!$I$14:$I$132,0)),""),5,IFERROR(INDEX('Lớp 5 - Phân công'!$AJ$14:$AJ$262,MATCH($X89,'Lớp 5 - Phân công'!$I$14:$I$262,0)),""),6,IFERROR(INDEX('Lớp 6 - Chi tiết'!$AM$14:$AM$267,MATCH($X89,'Lớp 6 - Chi tiết'!$I$14:$I$267,0)),""),""))</f>
        <v/>
      </c>
      <c r="BJ89" s="389" t="str">
        <f t="array" ref="BJ89">IF($X89="","",SWITCH($W89,3,IFERROR(INDEX('Lớp 3 - Công việc chính'!$AR$14:$AR$73,MATCH($X89,'Lớp 3 - Công việc chính'!$I$14:$I$73,0)),""),4,IFERROR(INDEX('Lớp 4 - Danh mục'!$AU$14:$AU$132,MATCH($X89,'Lớp 4 - Danh mục'!$I$14:$I$132,0)),""),5,IFERROR(INDEX('Lớp 5 - Phân công'!$AV$14:$AV$262,MATCH($X89,'Lớp 5 - Phân công'!$I$14:$I$262,0)),""),6,IFERROR(INDEX('Lớp 6 - Chi tiết'!$AY$14:$AY$267,MATCH($X89,'Lớp 6 - Chi tiết'!$I$14:$I$267,0)),""),""))</f>
        <v>Theo dõi phân bổ tại Lớp 5</v>
      </c>
    </row>
    <row r="90" ht="15.75" customHeight="1">
      <c r="A90" s="294" t="str">
        <f t="shared" si="12"/>
        <v>▓▓ L3  11  HOẠT ĐỘNG NGHIÊN CỨU CƠ BẢN &amp; CĐS NGÀNH VPP</v>
      </c>
      <c r="B90" s="301" t="str">
        <f t="shared" si="13"/>
        <v>Ms Trang</v>
      </c>
      <c r="C90" s="301" t="str">
        <f t="shared" si="14"/>
        <v>R&amp;D</v>
      </c>
      <c r="D90" s="301" t="str">
        <f t="shared" si="15"/>
        <v>P2</v>
      </c>
      <c r="E90" s="301" t="str">
        <f t="shared" si="16"/>
        <v>Đang thực hiện</v>
      </c>
      <c r="F90" s="317">
        <f t="shared" si="17"/>
        <v>0</v>
      </c>
      <c r="G90" s="323">
        <f t="shared" si="18"/>
        <v>46387</v>
      </c>
      <c r="H90" s="327">
        <f t="shared" si="19"/>
        <v>120</v>
      </c>
      <c r="I90" s="327">
        <f t="shared" si="20"/>
        <v>240</v>
      </c>
      <c r="J90" s="301" t="str">
        <f t="shared" si="21"/>
        <v>🟢 Theo kế hoạch</v>
      </c>
      <c r="K90" s="301" t="str">
        <f t="shared" si="22"/>
        <v>Thiếu tham số phân bổ</v>
      </c>
      <c r="L90" s="344" t="str">
        <f t="array" ref="L90">IF($T90="","",LET(m,MATCH($T90,$AS$24:$AS$700,0),lvl,INDEX($W$24:$W$700,m),id,INDEX($X$24:$X$700,m),SWITCH(lvl,3,"Lớp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chính!A24</v>
      </c>
      <c r="M90" s="351" t="str">
        <f t="shared" si="23"/>
        <v/>
      </c>
      <c r="N90" s="356" t="str">
        <f t="shared" si="24"/>
        <v>Thiếu tham số phân bổ</v>
      </c>
      <c r="O90" s="358"/>
      <c r="P90" s="360"/>
      <c r="Q90" s="360"/>
      <c r="R90" s="67"/>
      <c r="S90" s="67"/>
      <c r="T90" s="67" t="str">
        <f>IFERROR(__xludf.DUMMYFUNCTION("""COMPUTED_VALUE"""),"11")</f>
        <v>11</v>
      </c>
      <c r="U90" s="389" t="str">
        <f>IF('Lớp 4 - Danh mục'!I20="","",'Lớp 4 - Danh mục'!J20&amp;"|"&amp;'Lớp 4 - Danh mục'!I20)</f>
        <v>HHL3CT03|HHL4DL07</v>
      </c>
      <c r="V90" s="389" t="str">
        <f>IF('Lớp 4 - Danh mục'!I20="","","   ├─ "&amp;'Lớp 4 - Danh mục'!O20)</f>
        <v>   ├─ Xây dựng phần mềm &amp; Chạy Topdown thử nghiệm</v>
      </c>
      <c r="W90" s="389">
        <f>IF('Lớp 4 - Danh mục'!I20="","",4)</f>
        <v>4</v>
      </c>
      <c r="X90" s="67" t="str">
        <f>'Lớp 4 - Danh mục'!I20</f>
        <v>HHL4DL07</v>
      </c>
      <c r="Y90" s="67" t="str">
        <f>'Lớp 4 - Danh mục'!J20</f>
        <v>HHL3CT03</v>
      </c>
      <c r="Z90" s="67" t="str">
        <f>'Lớp 4 - Danh mục'!Z20</f>
        <v>Em Đại</v>
      </c>
      <c r="AA90" s="67" t="str">
        <f>'Lớp 4 - Danh mục'!X20</f>
        <v>Dữ liệu điều hành</v>
      </c>
      <c r="AB90" s="67" t="str">
        <f>'Lớp 4 - Danh mục'!AB20</f>
        <v>P1</v>
      </c>
      <c r="AC90" s="67" t="str">
        <f>'Lớp 4 - Danh mục'!AA20</f>
        <v>Chưa bắt đầu</v>
      </c>
      <c r="AD90" s="398">
        <f>'Lớp 4 - Danh mục'!AF20</f>
        <v>0</v>
      </c>
      <c r="AE90" s="358">
        <f>'Lớp 4 - Danh mục'!AD20</f>
        <v>46331</v>
      </c>
      <c r="AF90" s="187">
        <f>'Lớp 4 - Danh mục'!AG20</f>
        <v>72</v>
      </c>
      <c r="AG90" s="104">
        <f>'Lớp 4 - Danh mục'!AH20</f>
        <v>80</v>
      </c>
      <c r="AH90" s="389">
        <f t="shared" si="27"/>
        <v>80</v>
      </c>
      <c r="AI90" s="389" t="str">
        <f t="shared" si="37"/>
        <v>🟣 P1 trọng yếu</v>
      </c>
      <c r="AJ90" s="67" t="str">
        <f>'Lớp 4 - Danh mục'!AK20</f>
        <v>Theo dõi tải tại Lớp 5</v>
      </c>
      <c r="AS90" s="389" t="str">
        <f t="shared" si="97"/>
        <v>03.07</v>
      </c>
      <c r="AT90" s="389" t="str">
        <f t="shared" si="32"/>
        <v/>
      </c>
      <c r="AU90" s="389" t="str">
        <f t="shared" si="33"/>
        <v>Xây dựng phần mềm &amp; Chạy Topdown thử nghiệm</v>
      </c>
      <c r="AV90" s="389" t="str">
        <f t="shared" si="34"/>
        <v/>
      </c>
      <c r="AW90" s="389" t="str">
        <f t="shared" si="35"/>
        <v/>
      </c>
      <c r="AX90" s="67" t="str">
        <f t="shared" ref="AX90:BH90" si="103">Z90</f>
        <v>Em Đại</v>
      </c>
      <c r="AY90" s="67" t="str">
        <f t="shared" si="103"/>
        <v>Dữ liệu điều hành</v>
      </c>
      <c r="AZ90" s="67" t="str">
        <f t="shared" si="103"/>
        <v>P1</v>
      </c>
      <c r="BA90" s="67" t="str">
        <f t="shared" si="103"/>
        <v>Chưa bắt đầu</v>
      </c>
      <c r="BB90" s="398">
        <f t="shared" si="103"/>
        <v>0</v>
      </c>
      <c r="BC90" s="358">
        <f t="shared" si="103"/>
        <v>46331</v>
      </c>
      <c r="BD90" s="187">
        <f t="shared" si="103"/>
        <v>72</v>
      </c>
      <c r="BE90" s="104">
        <f t="shared" si="103"/>
        <v>80</v>
      </c>
      <c r="BF90" s="389">
        <f t="shared" si="103"/>
        <v>80</v>
      </c>
      <c r="BG90" s="389" t="str">
        <f t="shared" si="103"/>
        <v>🟣 P1 trọng yếu</v>
      </c>
      <c r="BH90" s="67" t="str">
        <f t="shared" si="103"/>
        <v>Theo dõi tải tại Lớp 5</v>
      </c>
      <c r="BI90" s="389" t="str">
        <f t="array" ref="BI90">IF($X90="","",SWITCH($W90,3,IFERROR(INDEX('Lớp 3 - Công việc chính'!$AF$14:$AF$73,MATCH($X90,'Lớp 3 - Công việc chính'!$I$14:$I$73,0)),""),4,IFERROR(INDEX('Lớp 4 - Danh mục'!$AI$14:$AI$132,MATCH($X90,'Lớp 4 - Danh mục'!$I$14:$I$132,0)),""),5,IFERROR(INDEX('Lớp 5 - Phân công'!$AJ$14:$AJ$262,MATCH($X90,'Lớp 5 - Phân công'!$I$14:$I$262,0)),""),6,IFERROR(INDEX('Lớp 6 - Chi tiết'!$AM$14:$AM$267,MATCH($X90,'Lớp 6 - Chi tiết'!$I$14:$I$267,0)),""),""))</f>
        <v/>
      </c>
      <c r="BJ90" s="389" t="str">
        <f t="array" ref="BJ90">IF($X90="","",SWITCH($W90,3,IFERROR(INDEX('Lớp 3 - Công việc chính'!$AR$14:$AR$73,MATCH($X90,'Lớp 3 - Công việc chính'!$I$14:$I$73,0)),""),4,IFERROR(INDEX('Lớp 4 - Danh mục'!$AU$14:$AU$132,MATCH($X90,'Lớp 4 - Danh mục'!$I$14:$I$132,0)),""),5,IFERROR(INDEX('Lớp 5 - Phân công'!$AV$14:$AV$262,MATCH($X90,'Lớp 5 - Phân công'!$I$14:$I$262,0)),""),6,IFERROR(INDEX('Lớp 6 - Chi tiết'!$AY$14:$AY$267,MATCH($X90,'Lớp 6 - Chi tiết'!$I$14:$I$267,0)),""),""))</f>
        <v>Theo dõi phân bổ tại Lớp 5</v>
      </c>
    </row>
    <row r="91" ht="15.75" customHeight="1">
      <c r="A91" s="294" t="str">
        <f t="shared" si="12"/>
        <v>▓▓ L3  12  XD PHƯƠNG ÁN MARKET RESEARCH &amp; CƠ CHẾ THU THẬP THÔNG TIN TT</v>
      </c>
      <c r="B91" s="301" t="str">
        <f t="shared" si="13"/>
        <v>Ms Trang</v>
      </c>
      <c r="C91" s="301" t="str">
        <f t="shared" si="14"/>
        <v>R&amp;D</v>
      </c>
      <c r="D91" s="301" t="str">
        <f t="shared" si="15"/>
        <v>P2</v>
      </c>
      <c r="E91" s="301" t="str">
        <f t="shared" si="16"/>
        <v>Đang thực hiện</v>
      </c>
      <c r="F91" s="317">
        <f t="shared" si="17"/>
        <v>0</v>
      </c>
      <c r="G91" s="323">
        <f t="shared" si="18"/>
        <v>46280</v>
      </c>
      <c r="H91" s="327">
        <f t="shared" si="19"/>
        <v>28</v>
      </c>
      <c r="I91" s="327">
        <f t="shared" si="20"/>
        <v>160</v>
      </c>
      <c r="J91" s="301" t="str">
        <f t="shared" si="21"/>
        <v>🟢 Theo kế hoạch</v>
      </c>
      <c r="K91" s="301" t="str">
        <f t="shared" si="22"/>
        <v>Theo dõi tải tại Lớp 4</v>
      </c>
      <c r="L91" s="344" t="str">
        <f t="array" ref="L91">IF($T91="","",LET(m,MATCH($T91,$AS$24:$AS$700,0),lvl,INDEX($W$24:$W$700,m),id,INDEX($X$24:$X$700,m),SWITCH(lvl,3,"Lớp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chính!A25</v>
      </c>
      <c r="M91" s="351" t="str">
        <f t="shared" si="23"/>
        <v/>
      </c>
      <c r="N91" s="356" t="str">
        <f t="shared" si="24"/>
        <v>Theo dõi phân bổ tại Lớp 4</v>
      </c>
      <c r="O91" s="358"/>
      <c r="P91" s="360"/>
      <c r="Q91" s="360"/>
      <c r="R91" s="67"/>
      <c r="S91" s="67"/>
      <c r="T91" s="67" t="str">
        <f>IFERROR(__xludf.DUMMYFUNCTION("""COMPUTED_VALUE"""),"12")</f>
        <v>12</v>
      </c>
      <c r="U91" s="389" t="str">
        <f>IF('Lớp 4 - Danh mục'!I21="","",'Lớp 4 - Danh mục'!J21&amp;"|"&amp;'Lớp 4 - Danh mục'!I21)</f>
        <v>HHL3RD12|HHL4RD08</v>
      </c>
      <c r="V91" s="389" t="str">
        <f>IF('Lớp 4 - Danh mục'!I21="","","   ├─ "&amp;'Lớp 4 - Danh mục'!O21)</f>
        <v>   ├─ Chuẩn hóa Guideline thiết kế SP &amp; bao bì</v>
      </c>
      <c r="W91" s="389">
        <f>IF('Lớp 4 - Danh mục'!I21="","",4)</f>
        <v>4</v>
      </c>
      <c r="X91" s="67" t="str">
        <f>'Lớp 4 - Danh mục'!I21</f>
        <v>HHL4RD08</v>
      </c>
      <c r="Y91" s="67" t="str">
        <f>'Lớp 4 - Danh mục'!J21</f>
        <v>HHL3RD12</v>
      </c>
      <c r="Z91" s="67" t="str">
        <f>'Lớp 4 - Danh mục'!Z21</f>
        <v>Ms Trang</v>
      </c>
      <c r="AA91" s="67" t="str">
        <f>'Lớp 4 - Danh mục'!X21</f>
        <v>R&amp;D</v>
      </c>
      <c r="AB91" s="67" t="str">
        <f>'Lớp 4 - Danh mục'!AB21</f>
        <v>P2</v>
      </c>
      <c r="AC91" s="67" t="str">
        <f>'Lớp 4 - Danh mục'!AA21</f>
        <v>Đang thực hiện</v>
      </c>
      <c r="AD91" s="398">
        <f>'Lớp 4 - Danh mục'!AF21</f>
        <v>0</v>
      </c>
      <c r="AE91" s="358">
        <f>'Lớp 4 - Danh mục'!AD21</f>
        <v>46252</v>
      </c>
      <c r="AF91" s="187">
        <f>'Lớp 4 - Danh mục'!AG21</f>
        <v>6</v>
      </c>
      <c r="AG91" s="104">
        <f>'Lớp 4 - Danh mục'!AH21</f>
        <v>40</v>
      </c>
      <c r="AH91" s="389">
        <f t="shared" si="27"/>
        <v>40</v>
      </c>
      <c r="AI91" s="389" t="str">
        <f t="shared" si="37"/>
        <v>🟠 Hạn ≤7 ngày</v>
      </c>
      <c r="AJ91" s="67" t="str">
        <f>'Lớp 4 - Danh mục'!AK21</f>
        <v>Thiếu tham số phân bổ</v>
      </c>
      <c r="AS91" s="389" t="str">
        <f t="shared" si="97"/>
        <v>15.01</v>
      </c>
      <c r="AT91" s="389" t="str">
        <f t="shared" si="32"/>
        <v/>
      </c>
      <c r="AU91" s="389" t="str">
        <f t="shared" si="33"/>
        <v>Chuẩn hóa Guideline thiết kế SP &amp; bao bì</v>
      </c>
      <c r="AV91" s="389" t="str">
        <f t="shared" si="34"/>
        <v/>
      </c>
      <c r="AW91" s="389" t="str">
        <f t="shared" si="35"/>
        <v/>
      </c>
      <c r="AX91" s="67" t="str">
        <f t="shared" ref="AX91:BH91" si="104">Z91</f>
        <v>Ms Trang</v>
      </c>
      <c r="AY91" s="67" t="str">
        <f t="shared" si="104"/>
        <v>R&amp;D</v>
      </c>
      <c r="AZ91" s="67" t="str">
        <f t="shared" si="104"/>
        <v>P2</v>
      </c>
      <c r="BA91" s="67" t="str">
        <f t="shared" si="104"/>
        <v>Đang thực hiện</v>
      </c>
      <c r="BB91" s="398">
        <f t="shared" si="104"/>
        <v>0</v>
      </c>
      <c r="BC91" s="358">
        <f t="shared" si="104"/>
        <v>46252</v>
      </c>
      <c r="BD91" s="187">
        <f t="shared" si="104"/>
        <v>6</v>
      </c>
      <c r="BE91" s="104">
        <f t="shared" si="104"/>
        <v>40</v>
      </c>
      <c r="BF91" s="389">
        <f t="shared" si="104"/>
        <v>40</v>
      </c>
      <c r="BG91" s="389" t="str">
        <f t="shared" si="104"/>
        <v>🟠 Hạn ≤7 ngày</v>
      </c>
      <c r="BH91" s="67" t="str">
        <f t="shared" si="104"/>
        <v>Thiếu tham số phân bổ</v>
      </c>
      <c r="BI91" s="389" t="str">
        <f t="array" ref="BI91">IF($X91="","",SWITCH($W91,3,IFERROR(INDEX('Lớp 3 - Công việc chính'!$AF$14:$AF$73,MATCH($X91,'Lớp 3 - Công việc chính'!$I$14:$I$73,0)),""),4,IFERROR(INDEX('Lớp 4 - Danh mục'!$AI$14:$AI$132,MATCH($X91,'Lớp 4 - Danh mục'!$I$14:$I$132,0)),""),5,IFERROR(INDEX('Lớp 5 - Phân công'!$AJ$14:$AJ$262,MATCH($X91,'Lớp 5 - Phân công'!$I$14:$I$262,0)),""),6,IFERROR(INDEX('Lớp 6 - Chi tiết'!$AM$14:$AM$267,MATCH($X91,'Lớp 6 - Chi tiết'!$I$14:$I$267,0)),""),""))</f>
        <v/>
      </c>
      <c r="BJ91" s="389" t="str">
        <f t="array" ref="BJ91">IF($X91="","",SWITCH($W91,3,IFERROR(INDEX('Lớp 3 - Công việc chính'!$AR$14:$AR$73,MATCH($X91,'Lớp 3 - Công việc chính'!$I$14:$I$73,0)),""),4,IFERROR(INDEX('Lớp 4 - Danh mục'!$AU$14:$AU$132,MATCH($X91,'Lớp 4 - Danh mục'!$I$14:$I$132,0)),""),5,IFERROR(INDEX('Lớp 5 - Phân công'!$AV$14:$AV$262,MATCH($X91,'Lớp 5 - Phân công'!$I$14:$I$262,0)),""),6,IFERROR(INDEX('Lớp 6 - Chi tiết'!$AY$14:$AY$267,MATCH($X91,'Lớp 6 - Chi tiết'!$I$14:$I$267,0)),""),""))</f>
        <v>Thiếu tham số phân bổ</v>
      </c>
    </row>
    <row r="92" ht="15.75" customHeight="1">
      <c r="A92" s="294" t="str">
        <f t="shared" si="12"/>
        <v>    ├─ ▓ L4  12.01  XD Tool quét xu hướng &amp; thị trường</v>
      </c>
      <c r="B92" s="301" t="str">
        <f t="shared" si="13"/>
        <v>Ms Trang</v>
      </c>
      <c r="C92" s="301" t="str">
        <f t="shared" si="14"/>
        <v>R&amp;D</v>
      </c>
      <c r="D92" s="301" t="str">
        <f t="shared" si="15"/>
        <v>P2</v>
      </c>
      <c r="E92" s="301" t="str">
        <f t="shared" si="16"/>
        <v>Đang thực hiện</v>
      </c>
      <c r="F92" s="317">
        <f t="shared" si="17"/>
        <v>0</v>
      </c>
      <c r="G92" s="323">
        <f t="shared" si="18"/>
        <v>46280</v>
      </c>
      <c r="H92" s="327">
        <f t="shared" si="19"/>
        <v>28</v>
      </c>
      <c r="I92" s="327">
        <f t="shared" si="20"/>
        <v>160</v>
      </c>
      <c r="J92" s="301" t="str">
        <f t="shared" si="21"/>
        <v>🟢 Theo kế hoạch</v>
      </c>
      <c r="K92" s="301" t="str">
        <f t="shared" si="22"/>
        <v>Thiếu tham số phân bổ</v>
      </c>
      <c r="L92" s="344" t="str">
        <f t="array" ref="L92">IF($T92="","",LET(m,MATCH($T92,$AS$24:$AS$700,0),lvl,INDEX($W$24:$W$700,m),id,INDEX($X$24:$X$700,m),SWITCH(lvl,3,"Lớp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mục!A26</v>
      </c>
      <c r="M92" s="351" t="str">
        <f t="shared" si="23"/>
        <v/>
      </c>
      <c r="N92" s="356" t="str">
        <f t="shared" si="24"/>
        <v>Thiếu tham số phân bổ</v>
      </c>
      <c r="O92" s="358"/>
      <c r="P92" s="360"/>
      <c r="Q92" s="360"/>
      <c r="R92" s="67"/>
      <c r="S92" s="67"/>
      <c r="T92" s="67" t="str">
        <f>IFERROR(__xludf.DUMMYFUNCTION("""COMPUTED_VALUE"""),"12.01")</f>
        <v>12.01</v>
      </c>
      <c r="U92" s="389" t="str">
        <f>IF('Lớp 4 - Danh mục'!I22="","",'Lớp 4 - Danh mục'!J22&amp;"|"&amp;'Lớp 4 - Danh mục'!I22)</f>
        <v>HHL3RD12|HHL4RD09</v>
      </c>
      <c r="V92" s="389" t="str">
        <f>IF('Lớp 4 - Danh mục'!I22="","","   ├─ "&amp;'Lớp 4 - Danh mục'!O22)</f>
        <v>   ├─ XD phương án Quản trị đặt hàng OEM</v>
      </c>
      <c r="W92" s="389">
        <f>IF('Lớp 4 - Danh mục'!I22="","",4)</f>
        <v>4</v>
      </c>
      <c r="X92" s="67" t="str">
        <f>'Lớp 4 - Danh mục'!I22</f>
        <v>HHL4RD09</v>
      </c>
      <c r="Y92" s="67" t="str">
        <f>'Lớp 4 - Danh mục'!J22</f>
        <v>HHL3RD12</v>
      </c>
      <c r="Z92" s="67" t="str">
        <f>'Lớp 4 - Danh mục'!Z22</f>
        <v>Ms Trang</v>
      </c>
      <c r="AA92" s="67" t="str">
        <f>'Lớp 4 - Danh mục'!X22</f>
        <v>R&amp;D</v>
      </c>
      <c r="AB92" s="67" t="str">
        <f>'Lớp 4 - Danh mục'!AB22</f>
        <v>P2</v>
      </c>
      <c r="AC92" s="67" t="str">
        <f>'Lớp 4 - Danh mục'!AA22</f>
        <v>Đang thực hiện</v>
      </c>
      <c r="AD92" s="398">
        <f>'Lớp 4 - Danh mục'!AF22</f>
        <v>0</v>
      </c>
      <c r="AE92" s="358">
        <f>'Lớp 4 - Danh mục'!AD22</f>
        <v>46326</v>
      </c>
      <c r="AF92" s="187">
        <f>'Lớp 4 - Danh mục'!AG22</f>
        <v>68</v>
      </c>
      <c r="AG92" s="104">
        <f>'Lớp 4 - Danh mục'!AH22</f>
        <v>40</v>
      </c>
      <c r="AH92" s="389">
        <f t="shared" si="27"/>
        <v>40</v>
      </c>
      <c r="AI92" s="389" t="str">
        <f t="shared" si="37"/>
        <v>🟢 Theo kế hoạch</v>
      </c>
      <c r="AJ92" s="67" t="str">
        <f>'Lớp 4 - Danh mục'!AK22</f>
        <v>Thiếu tham số phân bổ</v>
      </c>
      <c r="AS92" s="389" t="str">
        <f t="shared" si="97"/>
        <v>15.02</v>
      </c>
      <c r="AT92" s="389" t="str">
        <f t="shared" si="32"/>
        <v/>
      </c>
      <c r="AU92" s="389" t="str">
        <f t="shared" si="33"/>
        <v>XD phương án Quản trị đặt hàng OEM</v>
      </c>
      <c r="AV92" s="389" t="str">
        <f t="shared" si="34"/>
        <v/>
      </c>
      <c r="AW92" s="389" t="str">
        <f t="shared" si="35"/>
        <v/>
      </c>
      <c r="AX92" s="67" t="str">
        <f t="shared" ref="AX92:BH92" si="105">Z92</f>
        <v>Ms Trang</v>
      </c>
      <c r="AY92" s="67" t="str">
        <f t="shared" si="105"/>
        <v>R&amp;D</v>
      </c>
      <c r="AZ92" s="67" t="str">
        <f t="shared" si="105"/>
        <v>P2</v>
      </c>
      <c r="BA92" s="67" t="str">
        <f t="shared" si="105"/>
        <v>Đang thực hiện</v>
      </c>
      <c r="BB92" s="398">
        <f t="shared" si="105"/>
        <v>0</v>
      </c>
      <c r="BC92" s="358">
        <f t="shared" si="105"/>
        <v>46326</v>
      </c>
      <c r="BD92" s="187">
        <f t="shared" si="105"/>
        <v>68</v>
      </c>
      <c r="BE92" s="104">
        <f t="shared" si="105"/>
        <v>40</v>
      </c>
      <c r="BF92" s="389">
        <f t="shared" si="105"/>
        <v>40</v>
      </c>
      <c r="BG92" s="389" t="str">
        <f t="shared" si="105"/>
        <v>🟢 Theo kế hoạch</v>
      </c>
      <c r="BH92" s="67" t="str">
        <f t="shared" si="105"/>
        <v>Thiếu tham số phân bổ</v>
      </c>
      <c r="BI92" s="389" t="str">
        <f t="array" ref="BI92">IF($X92="","",SWITCH($W92,3,IFERROR(INDEX('Lớp 3 - Công việc chính'!$AF$14:$AF$73,MATCH($X92,'Lớp 3 - Công việc chính'!$I$14:$I$73,0)),""),4,IFERROR(INDEX('Lớp 4 - Danh mục'!$AI$14:$AI$132,MATCH($X92,'Lớp 4 - Danh mục'!$I$14:$I$132,0)),""),5,IFERROR(INDEX('Lớp 5 - Phân công'!$AJ$14:$AJ$262,MATCH($X92,'Lớp 5 - Phân công'!$I$14:$I$262,0)),""),6,IFERROR(INDEX('Lớp 6 - Chi tiết'!$AM$14:$AM$267,MATCH($X92,'Lớp 6 - Chi tiết'!$I$14:$I$267,0)),""),""))</f>
        <v/>
      </c>
      <c r="BJ92" s="389" t="str">
        <f t="array" ref="BJ92">IF($X92="","",SWITCH($W92,3,IFERROR(INDEX('Lớp 3 - Công việc chính'!$AR$14:$AR$73,MATCH($X92,'Lớp 3 - Công việc chính'!$I$14:$I$73,0)),""),4,IFERROR(INDEX('Lớp 4 - Danh mục'!$AU$14:$AU$132,MATCH($X92,'Lớp 4 - Danh mục'!$I$14:$I$132,0)),""),5,IFERROR(INDEX('Lớp 5 - Phân công'!$AV$14:$AV$262,MATCH($X92,'Lớp 5 - Phân công'!$I$14:$I$262,0)),""),6,IFERROR(INDEX('Lớp 6 - Chi tiết'!$AY$14:$AY$267,MATCH($X92,'Lớp 6 - Chi tiết'!$I$14:$I$267,0)),""),""))</f>
        <v>Thiếu tham số phân bổ</v>
      </c>
    </row>
    <row r="93" ht="15.75" customHeight="1">
      <c r="A93" s="294" t="str">
        <f t="shared" si="12"/>
        <v>▓▓ L3  13  VIỆC PHÁT SINH KHÁC CHƯA CÓ PHÂN LOẠI</v>
      </c>
      <c r="B93" s="301" t="str">
        <f t="shared" si="13"/>
        <v>Ms Trang</v>
      </c>
      <c r="C93" s="301" t="str">
        <f t="shared" si="14"/>
        <v>R&amp;D</v>
      </c>
      <c r="D93" s="301" t="str">
        <f t="shared" si="15"/>
        <v>P3</v>
      </c>
      <c r="E93" s="301" t="str">
        <f t="shared" si="16"/>
        <v>Đang thực hiện</v>
      </c>
      <c r="F93" s="317" t="str">
        <f t="shared" si="17"/>
        <v/>
      </c>
      <c r="G93" s="323">
        <f t="shared" si="18"/>
        <v>46387</v>
      </c>
      <c r="H93" s="327">
        <f t="shared" si="19"/>
        <v>120</v>
      </c>
      <c r="I93" s="327">
        <f t="shared" si="20"/>
        <v>96</v>
      </c>
      <c r="J93" s="301" t="str">
        <f t="shared" si="21"/>
        <v>🟢 Theo kế hoạch</v>
      </c>
      <c r="K93" s="301" t="str">
        <f t="shared" si="22"/>
        <v>Thiếu tham số phân bổ</v>
      </c>
      <c r="L93" s="344" t="str">
        <f t="array" ref="L93">IF($T93="","",LET(m,MATCH($T93,$AS$24:$AS$700,0),lvl,INDEX($W$24:$W$700,m),id,INDEX($X$24:$X$700,m),SWITCH(lvl,3,"Lớp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chính!A26</v>
      </c>
      <c r="M93" s="351" t="str">
        <f t="shared" si="23"/>
        <v/>
      </c>
      <c r="N93" s="356" t="str">
        <f t="shared" si="24"/>
        <v>Thiếu tham số phân bổ</v>
      </c>
      <c r="O93" s="358"/>
      <c r="P93" s="360"/>
      <c r="Q93" s="360"/>
      <c r="R93" s="67"/>
      <c r="S93" s="67"/>
      <c r="T93" s="67" t="str">
        <f>IFERROR(__xludf.DUMMYFUNCTION("""COMPUTED_VALUE"""),"13")</f>
        <v>13</v>
      </c>
      <c r="U93" s="389" t="str">
        <f>IF('Lớp 4 - Danh mục'!I23="","",'Lớp 4 - Danh mục'!J23&amp;"|"&amp;'Lớp 4 - Danh mục'!I23)</f>
        <v>HHL3RD12|HHL4RD10</v>
      </c>
      <c r="V93" s="389" t="str">
        <f>IF('Lớp 4 - Danh mục'!I23="","","   ├─ "&amp;'Lớp 4 - Danh mục'!O23)</f>
        <v>   ├─ Phương án quản trị chất lược sản phẩm</v>
      </c>
      <c r="W93" s="389">
        <f>IF('Lớp 4 - Danh mục'!I23="","",4)</f>
        <v>4</v>
      </c>
      <c r="X93" s="67" t="str">
        <f>'Lớp 4 - Danh mục'!I23</f>
        <v>HHL4RD10</v>
      </c>
      <c r="Y93" s="67" t="str">
        <f>'Lớp 4 - Danh mục'!J23</f>
        <v>HHL3RD12</v>
      </c>
      <c r="Z93" s="67" t="str">
        <f>'Lớp 4 - Danh mục'!Z23</f>
        <v>Ms Trang</v>
      </c>
      <c r="AA93" s="67" t="str">
        <f>'Lớp 4 - Danh mục'!X23</f>
        <v>R&amp;D</v>
      </c>
      <c r="AB93" s="67" t="str">
        <f>'Lớp 4 - Danh mục'!AB23</f>
        <v>P2</v>
      </c>
      <c r="AC93" s="67" t="str">
        <f>'Lớp 4 - Danh mục'!AA23</f>
        <v>Đang thực hiện</v>
      </c>
      <c r="AD93" s="398">
        <f>'Lớp 4 - Danh mục'!AF23</f>
        <v>0</v>
      </c>
      <c r="AE93" s="358">
        <f>'Lớp 4 - Danh mục'!AD23</f>
        <v>46341</v>
      </c>
      <c r="AF93" s="187">
        <f>'Lớp 4 - Danh mục'!AG23</f>
        <v>80</v>
      </c>
      <c r="AG93" s="104">
        <f>'Lớp 4 - Danh mục'!AH23</f>
        <v>40</v>
      </c>
      <c r="AH93" s="389">
        <f t="shared" si="27"/>
        <v>40</v>
      </c>
      <c r="AI93" s="389" t="str">
        <f t="shared" si="37"/>
        <v>🟢 Theo kế hoạch</v>
      </c>
      <c r="AJ93" s="67" t="str">
        <f>'Lớp 4 - Danh mục'!AK23</f>
        <v>Thiếu tham số phân bổ</v>
      </c>
      <c r="AS93" s="389" t="str">
        <f t="shared" si="97"/>
        <v>15.03</v>
      </c>
      <c r="AT93" s="389" t="str">
        <f t="shared" si="32"/>
        <v/>
      </c>
      <c r="AU93" s="389" t="str">
        <f t="shared" si="33"/>
        <v>Phương án quản trị chất lược sản phẩm</v>
      </c>
      <c r="AV93" s="389" t="str">
        <f t="shared" si="34"/>
        <v/>
      </c>
      <c r="AW93" s="389" t="str">
        <f t="shared" si="35"/>
        <v/>
      </c>
      <c r="AX93" s="67" t="str">
        <f t="shared" ref="AX93:BH93" si="106">Z93</f>
        <v>Ms Trang</v>
      </c>
      <c r="AY93" s="67" t="str">
        <f t="shared" si="106"/>
        <v>R&amp;D</v>
      </c>
      <c r="AZ93" s="67" t="str">
        <f t="shared" si="106"/>
        <v>P2</v>
      </c>
      <c r="BA93" s="67" t="str">
        <f t="shared" si="106"/>
        <v>Đang thực hiện</v>
      </c>
      <c r="BB93" s="398">
        <f t="shared" si="106"/>
        <v>0</v>
      </c>
      <c r="BC93" s="358">
        <f t="shared" si="106"/>
        <v>46341</v>
      </c>
      <c r="BD93" s="187">
        <f t="shared" si="106"/>
        <v>80</v>
      </c>
      <c r="BE93" s="104">
        <f t="shared" si="106"/>
        <v>40</v>
      </c>
      <c r="BF93" s="389">
        <f t="shared" si="106"/>
        <v>40</v>
      </c>
      <c r="BG93" s="389" t="str">
        <f t="shared" si="106"/>
        <v>🟢 Theo kế hoạch</v>
      </c>
      <c r="BH93" s="67" t="str">
        <f t="shared" si="106"/>
        <v>Thiếu tham số phân bổ</v>
      </c>
      <c r="BI93" s="389" t="str">
        <f t="array" ref="BI93">IF($X93="","",SWITCH($W93,3,IFERROR(INDEX('Lớp 3 - Công việc chính'!$AF$14:$AF$73,MATCH($X93,'Lớp 3 - Công việc chính'!$I$14:$I$73,0)),""),4,IFERROR(INDEX('Lớp 4 - Danh mục'!$AI$14:$AI$132,MATCH($X93,'Lớp 4 - Danh mục'!$I$14:$I$132,0)),""),5,IFERROR(INDEX('Lớp 5 - Phân công'!$AJ$14:$AJ$262,MATCH($X93,'Lớp 5 - Phân công'!$I$14:$I$262,0)),""),6,IFERROR(INDEX('Lớp 6 - Chi tiết'!$AM$14:$AM$267,MATCH($X93,'Lớp 6 - Chi tiết'!$I$14:$I$267,0)),""),""))</f>
        <v/>
      </c>
      <c r="BJ93" s="389" t="str">
        <f t="array" ref="BJ93">IF($X93="","",SWITCH($W93,3,IFERROR(INDEX('Lớp 3 - Công việc chính'!$AR$14:$AR$73,MATCH($X93,'Lớp 3 - Công việc chính'!$I$14:$I$73,0)),""),4,IFERROR(INDEX('Lớp 4 - Danh mục'!$AU$14:$AU$132,MATCH($X93,'Lớp 4 - Danh mục'!$I$14:$I$132,0)),""),5,IFERROR(INDEX('Lớp 5 - Phân công'!$AV$14:$AV$262,MATCH($X93,'Lớp 5 - Phân công'!$I$14:$I$262,0)),""),6,IFERROR(INDEX('Lớp 6 - Chi tiết'!$AY$14:$AY$267,MATCH($X93,'Lớp 6 - Chi tiết'!$I$14:$I$267,0)),""),""))</f>
        <v>Thiếu tham số phân bổ</v>
      </c>
    </row>
    <row r="94" ht="15.75" customHeight="1">
      <c r="A94" s="294" t="str">
        <f t="shared" si="12"/>
        <v>▓▓ L3  14  XÁC ĐỊNH &amp; THÔNG QUA XU HƯỚNG TK MỚI 2027</v>
      </c>
      <c r="B94" s="301" t="str">
        <f t="shared" si="13"/>
        <v>Ms Trang</v>
      </c>
      <c r="C94" s="301" t="str">
        <f t="shared" si="14"/>
        <v>R&amp;D</v>
      </c>
      <c r="D94" s="301" t="str">
        <f t="shared" si="15"/>
        <v>P2</v>
      </c>
      <c r="E94" s="301" t="str">
        <f t="shared" si="16"/>
        <v>Đang thực hiện</v>
      </c>
      <c r="F94" s="317">
        <f t="shared" si="17"/>
        <v>0</v>
      </c>
      <c r="G94" s="323">
        <f t="shared" si="18"/>
        <v>46252</v>
      </c>
      <c r="H94" s="327">
        <f t="shared" si="19"/>
        <v>6</v>
      </c>
      <c r="I94" s="327">
        <f t="shared" si="20"/>
        <v>80</v>
      </c>
      <c r="J94" s="301" t="str">
        <f t="shared" si="21"/>
        <v>🟠 Hạn ≤7 ngày</v>
      </c>
      <c r="K94" s="301" t="str">
        <f t="shared" si="22"/>
        <v>Thiếu tham số phân bổ</v>
      </c>
      <c r="L94" s="344" t="str">
        <f t="array" ref="L94">IF($T94="","",LET(m,MATCH($T94,$AS$24:$AS$700,0),lvl,INDEX($W$24:$W$700,m),id,INDEX($X$24:$X$700,m),SWITCH(lvl,3,"Lớp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chính!A27</v>
      </c>
      <c r="M94" s="351" t="str">
        <f t="shared" si="23"/>
        <v/>
      </c>
      <c r="N94" s="356" t="str">
        <f t="shared" si="24"/>
        <v>Thiếu tham số phân bổ</v>
      </c>
      <c r="O94" s="358"/>
      <c r="P94" s="360"/>
      <c r="Q94" s="360"/>
      <c r="R94" s="67"/>
      <c r="S94" s="67"/>
      <c r="T94" s="67" t="str">
        <f>IFERROR(__xludf.DUMMYFUNCTION("""COMPUTED_VALUE"""),"14")</f>
        <v>14</v>
      </c>
      <c r="U94" s="389" t="str">
        <f>IF('Lớp 4 - Danh mục'!I24="","",'Lớp 4 - Danh mục'!J24&amp;"|"&amp;'Lớp 4 - Danh mục'!I24)</f>
        <v>HHL3RD12|HHL4RD11</v>
      </c>
      <c r="V94" s="389" t="str">
        <f>IF('Lớp 4 - Danh mục'!I24="","","   ├─ "&amp;'Lớp 4 - Danh mục'!O24)</f>
        <v>   ├─ Thành lập ban CLSP &amp; cơ chế vận hành</v>
      </c>
      <c r="W94" s="389">
        <f>IF('Lớp 4 - Danh mục'!I24="","",4)</f>
        <v>4</v>
      </c>
      <c r="X94" s="67" t="str">
        <f>'Lớp 4 - Danh mục'!I24</f>
        <v>HHL4RD11</v>
      </c>
      <c r="Y94" s="67" t="str">
        <f>'Lớp 4 - Danh mục'!J24</f>
        <v>HHL3RD12</v>
      </c>
      <c r="Z94" s="67" t="str">
        <f>'Lớp 4 - Danh mục'!Z24</f>
        <v>Ms Trang</v>
      </c>
      <c r="AA94" s="67" t="str">
        <f>'Lớp 4 - Danh mục'!X24</f>
        <v>R&amp;D</v>
      </c>
      <c r="AB94" s="67" t="str">
        <f>'Lớp 4 - Danh mục'!AB24</f>
        <v>P2</v>
      </c>
      <c r="AC94" s="67" t="str">
        <f>'Lớp 4 - Danh mục'!AA24</f>
        <v>Đang thực hiện</v>
      </c>
      <c r="AD94" s="398">
        <f>'Lớp 4 - Danh mục'!AF24</f>
        <v>0</v>
      </c>
      <c r="AE94" s="358">
        <f>'Lớp 4 - Danh mục'!AD24</f>
        <v>46295</v>
      </c>
      <c r="AF94" s="187">
        <f>'Lớp 4 - Danh mục'!AG24</f>
        <v>41</v>
      </c>
      <c r="AG94" s="104">
        <f>'Lớp 4 - Danh mục'!AH24</f>
        <v>40</v>
      </c>
      <c r="AH94" s="389">
        <f t="shared" si="27"/>
        <v>40</v>
      </c>
      <c r="AI94" s="389" t="str">
        <f t="shared" si="37"/>
        <v>🟢 Theo kế hoạch</v>
      </c>
      <c r="AJ94" s="67" t="str">
        <f>'Lớp 4 - Danh mục'!AK24</f>
        <v>Thiếu tham số phân bổ</v>
      </c>
      <c r="AS94" s="389" t="str">
        <f t="shared" si="97"/>
        <v>15.04</v>
      </c>
      <c r="AT94" s="389" t="str">
        <f t="shared" si="32"/>
        <v/>
      </c>
      <c r="AU94" s="389" t="str">
        <f t="shared" si="33"/>
        <v>Thành lập ban CLSP &amp; cơ chế vận hành</v>
      </c>
      <c r="AV94" s="389" t="str">
        <f t="shared" si="34"/>
        <v/>
      </c>
      <c r="AW94" s="389" t="str">
        <f t="shared" si="35"/>
        <v/>
      </c>
      <c r="AX94" s="67" t="str">
        <f t="shared" ref="AX94:BH94" si="107">Z94</f>
        <v>Ms Trang</v>
      </c>
      <c r="AY94" s="67" t="str">
        <f t="shared" si="107"/>
        <v>R&amp;D</v>
      </c>
      <c r="AZ94" s="67" t="str">
        <f t="shared" si="107"/>
        <v>P2</v>
      </c>
      <c r="BA94" s="67" t="str">
        <f t="shared" si="107"/>
        <v>Đang thực hiện</v>
      </c>
      <c r="BB94" s="398">
        <f t="shared" si="107"/>
        <v>0</v>
      </c>
      <c r="BC94" s="358">
        <f t="shared" si="107"/>
        <v>46295</v>
      </c>
      <c r="BD94" s="187">
        <f t="shared" si="107"/>
        <v>41</v>
      </c>
      <c r="BE94" s="104">
        <f t="shared" si="107"/>
        <v>40</v>
      </c>
      <c r="BF94" s="389">
        <f t="shared" si="107"/>
        <v>40</v>
      </c>
      <c r="BG94" s="389" t="str">
        <f t="shared" si="107"/>
        <v>🟢 Theo kế hoạch</v>
      </c>
      <c r="BH94" s="67" t="str">
        <f t="shared" si="107"/>
        <v>Thiếu tham số phân bổ</v>
      </c>
      <c r="BI94" s="389" t="str">
        <f t="array" ref="BI94">IF($X94="","",SWITCH($W94,3,IFERROR(INDEX('Lớp 3 - Công việc chính'!$AF$14:$AF$73,MATCH($X94,'Lớp 3 - Công việc chính'!$I$14:$I$73,0)),""),4,IFERROR(INDEX('Lớp 4 - Danh mục'!$AI$14:$AI$132,MATCH($X94,'Lớp 4 - Danh mục'!$I$14:$I$132,0)),""),5,IFERROR(INDEX('Lớp 5 - Phân công'!$AJ$14:$AJ$262,MATCH($X94,'Lớp 5 - Phân công'!$I$14:$I$262,0)),""),6,IFERROR(INDEX('Lớp 6 - Chi tiết'!$AM$14:$AM$267,MATCH($X94,'Lớp 6 - Chi tiết'!$I$14:$I$267,0)),""),""))</f>
        <v/>
      </c>
      <c r="BJ94" s="389" t="str">
        <f t="array" ref="BJ94">IF($X94="","",SWITCH($W94,3,IFERROR(INDEX('Lớp 3 - Công việc chính'!$AR$14:$AR$73,MATCH($X94,'Lớp 3 - Công việc chính'!$I$14:$I$73,0)),""),4,IFERROR(INDEX('Lớp 4 - Danh mục'!$AU$14:$AU$132,MATCH($X94,'Lớp 4 - Danh mục'!$I$14:$I$132,0)),""),5,IFERROR(INDEX('Lớp 5 - Phân công'!$AV$14:$AV$262,MATCH($X94,'Lớp 5 - Phân công'!$I$14:$I$262,0)),""),6,IFERROR(INDEX('Lớp 6 - Chi tiết'!$AY$14:$AY$267,MATCH($X94,'Lớp 6 - Chi tiết'!$I$14:$I$267,0)),""),""))</f>
        <v>Thiếu tham số phân bổ</v>
      </c>
    </row>
    <row r="95" ht="15.75" customHeight="1">
      <c r="A95" s="294" t="str">
        <f t="shared" si="12"/>
        <v>▓▓ L3  15  XÂY DỰNG QUY TRÌNH VÀ HỆ THỐNG QUẢN TRỊ SẢN PHẨM THEO PHÂN LOẠI</v>
      </c>
      <c r="B95" s="301" t="str">
        <f t="shared" si="13"/>
        <v>Ms Trang</v>
      </c>
      <c r="C95" s="301" t="str">
        <f t="shared" si="14"/>
        <v>R&amp;D</v>
      </c>
      <c r="D95" s="301" t="str">
        <f t="shared" si="15"/>
        <v>P2</v>
      </c>
      <c r="E95" s="301" t="str">
        <f t="shared" si="16"/>
        <v>Đang thực hiện</v>
      </c>
      <c r="F95" s="317">
        <f t="shared" si="17"/>
        <v>0</v>
      </c>
      <c r="G95" s="323">
        <f t="shared" si="18"/>
        <v>46387</v>
      </c>
      <c r="H95" s="327">
        <f t="shared" si="19"/>
        <v>120</v>
      </c>
      <c r="I95" s="327">
        <f t="shared" si="20"/>
        <v>280</v>
      </c>
      <c r="J95" s="301" t="str">
        <f t="shared" si="21"/>
        <v>🟢 Theo kế hoạch</v>
      </c>
      <c r="K95" s="301" t="str">
        <f t="shared" si="22"/>
        <v>Theo dõi tải tại Lớp 4</v>
      </c>
      <c r="L95" s="344" t="str">
        <f t="array" ref="L95">IF($T95="","",LET(m,MATCH($T95,$AS$24:$AS$700,0),lvl,INDEX($W$24:$W$700,m),id,INDEX($X$24:$X$700,m),SWITCH(lvl,3,"Lớp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chính!A28</v>
      </c>
      <c r="M95" s="351" t="str">
        <f t="shared" si="23"/>
        <v/>
      </c>
      <c r="N95" s="356" t="str">
        <f t="shared" si="24"/>
        <v>Theo dõi phân bổ tại Lớp 4</v>
      </c>
      <c r="O95" s="358"/>
      <c r="P95" s="360"/>
      <c r="Q95" s="360"/>
      <c r="R95" s="67"/>
      <c r="S95" s="67"/>
      <c r="T95" s="67" t="str">
        <f>IFERROR(__xludf.DUMMYFUNCTION("""COMPUTED_VALUE"""),"15")</f>
        <v>15</v>
      </c>
      <c r="U95" s="389" t="str">
        <f>IF('Lớp 4 - Danh mục'!I25="","",'Lớp 4 - Danh mục'!J25&amp;"|"&amp;'Lớp 4 - Danh mục'!I25)</f>
        <v>HHL3RD12|HHL4RD12</v>
      </c>
      <c r="V95" s="389" t="str">
        <f>IF('Lớp 4 - Danh mục'!I25="","","   ├─ "&amp;'Lớp 4 - Danh mục'!O25)</f>
        <v>   ├─ Quy hoạch thông tin SP &amp; truy xuất thông tin</v>
      </c>
      <c r="W95" s="389">
        <f>IF('Lớp 4 - Danh mục'!I25="","",4)</f>
        <v>4</v>
      </c>
      <c r="X95" s="67" t="str">
        <f>'Lớp 4 - Danh mục'!I25</f>
        <v>HHL4RD12</v>
      </c>
      <c r="Y95" s="67" t="str">
        <f>'Lớp 4 - Danh mục'!J25</f>
        <v>HHL3RD12</v>
      </c>
      <c r="Z95" s="67" t="str">
        <f>'Lớp 4 - Danh mục'!Z25</f>
        <v>Ms Trang</v>
      </c>
      <c r="AA95" s="67" t="str">
        <f>'Lớp 4 - Danh mục'!X25</f>
        <v>R&amp;D</v>
      </c>
      <c r="AB95" s="67" t="str">
        <f>'Lớp 4 - Danh mục'!AB25</f>
        <v>P2</v>
      </c>
      <c r="AC95" s="67" t="str">
        <f>'Lớp 4 - Danh mục'!AA25</f>
        <v>Đang thực hiện</v>
      </c>
      <c r="AD95" s="398">
        <f>'Lớp 4 - Danh mục'!AF25</f>
        <v>0</v>
      </c>
      <c r="AE95" s="358">
        <f>'Lớp 4 - Danh mục'!AD25</f>
        <v>46326</v>
      </c>
      <c r="AF95" s="187">
        <f>'Lớp 4 - Danh mục'!AG25</f>
        <v>68</v>
      </c>
      <c r="AG95" s="104">
        <f>'Lớp 4 - Danh mục'!AH25</f>
        <v>40</v>
      </c>
      <c r="AH95" s="389">
        <f t="shared" si="27"/>
        <v>40</v>
      </c>
      <c r="AI95" s="389" t="str">
        <f t="shared" si="37"/>
        <v>🟢 Theo kế hoạch</v>
      </c>
      <c r="AJ95" s="67" t="str">
        <f>'Lớp 4 - Danh mục'!AK25</f>
        <v>Thiếu tham số phân bổ</v>
      </c>
      <c r="AS95" s="389" t="str">
        <f t="shared" si="97"/>
        <v>15.05</v>
      </c>
      <c r="AT95" s="389" t="str">
        <f t="shared" si="32"/>
        <v/>
      </c>
      <c r="AU95" s="389" t="str">
        <f t="shared" si="33"/>
        <v>Quy hoạch thông tin SP &amp; truy xuất thông tin</v>
      </c>
      <c r="AV95" s="389" t="str">
        <f t="shared" si="34"/>
        <v/>
      </c>
      <c r="AW95" s="389" t="str">
        <f t="shared" si="35"/>
        <v/>
      </c>
      <c r="AX95" s="67" t="str">
        <f t="shared" ref="AX95:BH95" si="108">Z95</f>
        <v>Ms Trang</v>
      </c>
      <c r="AY95" s="67" t="str">
        <f t="shared" si="108"/>
        <v>R&amp;D</v>
      </c>
      <c r="AZ95" s="67" t="str">
        <f t="shared" si="108"/>
        <v>P2</v>
      </c>
      <c r="BA95" s="67" t="str">
        <f t="shared" si="108"/>
        <v>Đang thực hiện</v>
      </c>
      <c r="BB95" s="398">
        <f t="shared" si="108"/>
        <v>0</v>
      </c>
      <c r="BC95" s="358">
        <f t="shared" si="108"/>
        <v>46326</v>
      </c>
      <c r="BD95" s="187">
        <f t="shared" si="108"/>
        <v>68</v>
      </c>
      <c r="BE95" s="104">
        <f t="shared" si="108"/>
        <v>40</v>
      </c>
      <c r="BF95" s="389">
        <f t="shared" si="108"/>
        <v>40</v>
      </c>
      <c r="BG95" s="389" t="str">
        <f t="shared" si="108"/>
        <v>🟢 Theo kế hoạch</v>
      </c>
      <c r="BH95" s="67" t="str">
        <f t="shared" si="108"/>
        <v>Thiếu tham số phân bổ</v>
      </c>
      <c r="BI95" s="389" t="str">
        <f t="array" ref="BI95">IF($X95="","",SWITCH($W95,3,IFERROR(INDEX('Lớp 3 - Công việc chính'!$AF$14:$AF$73,MATCH($X95,'Lớp 3 - Công việc chính'!$I$14:$I$73,0)),""),4,IFERROR(INDEX('Lớp 4 - Danh mục'!$AI$14:$AI$132,MATCH($X95,'Lớp 4 - Danh mục'!$I$14:$I$132,0)),""),5,IFERROR(INDEX('Lớp 5 - Phân công'!$AJ$14:$AJ$262,MATCH($X95,'Lớp 5 - Phân công'!$I$14:$I$262,0)),""),6,IFERROR(INDEX('Lớp 6 - Chi tiết'!$AM$14:$AM$267,MATCH($X95,'Lớp 6 - Chi tiết'!$I$14:$I$267,0)),""),""))</f>
        <v/>
      </c>
      <c r="BJ95" s="389" t="str">
        <f t="array" ref="BJ95">IF($X95="","",SWITCH($W95,3,IFERROR(INDEX('Lớp 3 - Công việc chính'!$AR$14:$AR$73,MATCH($X95,'Lớp 3 - Công việc chính'!$I$14:$I$73,0)),""),4,IFERROR(INDEX('Lớp 4 - Danh mục'!$AU$14:$AU$132,MATCH($X95,'Lớp 4 - Danh mục'!$I$14:$I$132,0)),""),5,IFERROR(INDEX('Lớp 5 - Phân công'!$AV$14:$AV$262,MATCH($X95,'Lớp 5 - Phân công'!$I$14:$I$262,0)),""),6,IFERROR(INDEX('Lớp 6 - Chi tiết'!$AY$14:$AY$267,MATCH($X95,'Lớp 6 - Chi tiết'!$I$14:$I$267,0)),""),""))</f>
        <v>Thiếu tham số phân bổ</v>
      </c>
    </row>
    <row r="96" ht="15.75" customHeight="1">
      <c r="A96" s="294" t="str">
        <f t="shared" si="12"/>
        <v>    ├─ ▓ L4  15.01  Chuẩn hóa Guideline thiết kế SP &amp; bao bì</v>
      </c>
      <c r="B96" s="301" t="str">
        <f t="shared" si="13"/>
        <v>Ms Trang</v>
      </c>
      <c r="C96" s="301" t="str">
        <f t="shared" si="14"/>
        <v>R&amp;D</v>
      </c>
      <c r="D96" s="301" t="str">
        <f t="shared" si="15"/>
        <v>P2</v>
      </c>
      <c r="E96" s="301" t="str">
        <f t="shared" si="16"/>
        <v>Đang thực hiện</v>
      </c>
      <c r="F96" s="317">
        <f t="shared" si="17"/>
        <v>0</v>
      </c>
      <c r="G96" s="323">
        <f t="shared" si="18"/>
        <v>46252</v>
      </c>
      <c r="H96" s="327">
        <f t="shared" si="19"/>
        <v>6</v>
      </c>
      <c r="I96" s="327">
        <f t="shared" si="20"/>
        <v>40</v>
      </c>
      <c r="J96" s="301" t="str">
        <f t="shared" si="21"/>
        <v>🟠 Hạn ≤7 ngày</v>
      </c>
      <c r="K96" s="301" t="str">
        <f t="shared" si="22"/>
        <v>Thiếu tham số phân bổ</v>
      </c>
      <c r="L96" s="344" t="str">
        <f t="array" ref="L96">IF($T96="","",LET(m,MATCH($T96,$AS$24:$AS$700,0),lvl,INDEX($W$24:$W$700,m),id,INDEX($X$24:$X$700,m),SWITCH(lvl,3,"Lớp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mục!A21</v>
      </c>
      <c r="M96" s="351" t="str">
        <f t="shared" si="23"/>
        <v/>
      </c>
      <c r="N96" s="356" t="str">
        <f t="shared" si="24"/>
        <v>Thiếu tham số phân bổ</v>
      </c>
      <c r="O96" s="358"/>
      <c r="P96" s="360"/>
      <c r="Q96" s="360"/>
      <c r="R96" s="67"/>
      <c r="S96" s="67"/>
      <c r="T96" s="67" t="str">
        <f>IFERROR(__xludf.DUMMYFUNCTION("""COMPUTED_VALUE"""),"15.01")</f>
        <v>15.01</v>
      </c>
      <c r="U96" s="389" t="str">
        <f>IF('Lớp 4 - Danh mục'!I26="","",'Lớp 4 - Danh mục'!J26&amp;"|"&amp;'Lớp 4 - Danh mục'!I26)</f>
        <v>HHL3RD09|HHL4RD13</v>
      </c>
      <c r="V96" s="389" t="str">
        <f>IF('Lớp 4 - Danh mục'!I26="","","   ├─ "&amp;'Lớp 4 - Danh mục'!O26)</f>
        <v>   ├─ XD Tool quét xu hướng &amp; thị trường</v>
      </c>
      <c r="W96" s="389">
        <f>IF('Lớp 4 - Danh mục'!I26="","",4)</f>
        <v>4</v>
      </c>
      <c r="X96" s="67" t="str">
        <f>'Lớp 4 - Danh mục'!I26</f>
        <v>HHL4RD13</v>
      </c>
      <c r="Y96" s="67" t="str">
        <f>'Lớp 4 - Danh mục'!J26</f>
        <v>HHL3RD09</v>
      </c>
      <c r="Z96" s="67" t="str">
        <f>'Lớp 4 - Danh mục'!Z26</f>
        <v>Ms Trang</v>
      </c>
      <c r="AA96" s="67" t="str">
        <f>'Lớp 4 - Danh mục'!X26</f>
        <v>R&amp;D</v>
      </c>
      <c r="AB96" s="67" t="str">
        <f>'Lớp 4 - Danh mục'!AB26</f>
        <v>P2</v>
      </c>
      <c r="AC96" s="67" t="str">
        <f>'Lớp 4 - Danh mục'!AA26</f>
        <v>Đang thực hiện</v>
      </c>
      <c r="AD96" s="398">
        <f>'Lớp 4 - Danh mục'!AF26</f>
        <v>0</v>
      </c>
      <c r="AE96" s="358">
        <f>'Lớp 4 - Danh mục'!AD26</f>
        <v>46280</v>
      </c>
      <c r="AF96" s="187">
        <f>'Lớp 4 - Danh mục'!AG26</f>
        <v>28</v>
      </c>
      <c r="AG96" s="104">
        <f>'Lớp 4 - Danh mục'!AH26</f>
        <v>160</v>
      </c>
      <c r="AH96" s="389">
        <f t="shared" si="27"/>
        <v>160</v>
      </c>
      <c r="AI96" s="389" t="str">
        <f t="shared" si="37"/>
        <v>🟢 Theo kế hoạch</v>
      </c>
      <c r="AJ96" s="67" t="str">
        <f>'Lớp 4 - Danh mục'!AK26</f>
        <v>Thiếu tham số phân bổ</v>
      </c>
      <c r="AS96" s="389" t="str">
        <f t="shared" si="97"/>
        <v>12.01</v>
      </c>
      <c r="AT96" s="389" t="str">
        <f t="shared" si="32"/>
        <v/>
      </c>
      <c r="AU96" s="389" t="str">
        <f t="shared" si="33"/>
        <v>XD Tool quét xu hướng &amp; thị trường</v>
      </c>
      <c r="AV96" s="389" t="str">
        <f t="shared" si="34"/>
        <v/>
      </c>
      <c r="AW96" s="389" t="str">
        <f t="shared" si="35"/>
        <v/>
      </c>
      <c r="AX96" s="67" t="str">
        <f t="shared" ref="AX96:BH96" si="109">Z96</f>
        <v>Ms Trang</v>
      </c>
      <c r="AY96" s="67" t="str">
        <f t="shared" si="109"/>
        <v>R&amp;D</v>
      </c>
      <c r="AZ96" s="67" t="str">
        <f t="shared" si="109"/>
        <v>P2</v>
      </c>
      <c r="BA96" s="67" t="str">
        <f t="shared" si="109"/>
        <v>Đang thực hiện</v>
      </c>
      <c r="BB96" s="398">
        <f t="shared" si="109"/>
        <v>0</v>
      </c>
      <c r="BC96" s="358">
        <f t="shared" si="109"/>
        <v>46280</v>
      </c>
      <c r="BD96" s="187">
        <f t="shared" si="109"/>
        <v>28</v>
      </c>
      <c r="BE96" s="104">
        <f t="shared" si="109"/>
        <v>160</v>
      </c>
      <c r="BF96" s="389">
        <f t="shared" si="109"/>
        <v>160</v>
      </c>
      <c r="BG96" s="389" t="str">
        <f t="shared" si="109"/>
        <v>🟢 Theo kế hoạch</v>
      </c>
      <c r="BH96" s="67" t="str">
        <f t="shared" si="109"/>
        <v>Thiếu tham số phân bổ</v>
      </c>
      <c r="BI96" s="389" t="str">
        <f t="array" ref="BI96">IF($X96="","",SWITCH($W96,3,IFERROR(INDEX('Lớp 3 - Công việc chính'!$AF$14:$AF$73,MATCH($X96,'Lớp 3 - Công việc chính'!$I$14:$I$73,0)),""),4,IFERROR(INDEX('Lớp 4 - Danh mục'!$AI$14:$AI$132,MATCH($X96,'Lớp 4 - Danh mục'!$I$14:$I$132,0)),""),5,IFERROR(INDEX('Lớp 5 - Phân công'!$AJ$14:$AJ$262,MATCH($X96,'Lớp 5 - Phân công'!$I$14:$I$262,0)),""),6,IFERROR(INDEX('Lớp 6 - Chi tiết'!$AM$14:$AM$267,MATCH($X96,'Lớp 6 - Chi tiết'!$I$14:$I$267,0)),""),""))</f>
        <v/>
      </c>
      <c r="BJ96" s="389" t="str">
        <f t="array" ref="BJ96">IF($X96="","",SWITCH($W96,3,IFERROR(INDEX('Lớp 3 - Công việc chính'!$AR$14:$AR$73,MATCH($X96,'Lớp 3 - Công việc chính'!$I$14:$I$73,0)),""),4,IFERROR(INDEX('Lớp 4 - Danh mục'!$AU$14:$AU$132,MATCH($X96,'Lớp 4 - Danh mục'!$I$14:$I$132,0)),""),5,IFERROR(INDEX('Lớp 5 - Phân công'!$AV$14:$AV$262,MATCH($X96,'Lớp 5 - Phân công'!$I$14:$I$262,0)),""),6,IFERROR(INDEX('Lớp 6 - Chi tiết'!$AY$14:$AY$267,MATCH($X96,'Lớp 6 - Chi tiết'!$I$14:$I$267,0)),""),""))</f>
        <v>Thiếu tham số phân bổ</v>
      </c>
    </row>
    <row r="97" ht="15.75" customHeight="1">
      <c r="A97" s="294" t="str">
        <f t="shared" si="12"/>
        <v>    ├─ ▓ L4  15.02  XD phương án Quản trị đặt hàng OEM</v>
      </c>
      <c r="B97" s="301" t="str">
        <f t="shared" si="13"/>
        <v>Ms Trang</v>
      </c>
      <c r="C97" s="301" t="str">
        <f t="shared" si="14"/>
        <v>R&amp;D</v>
      </c>
      <c r="D97" s="301" t="str">
        <f t="shared" si="15"/>
        <v>P2</v>
      </c>
      <c r="E97" s="301" t="str">
        <f t="shared" si="16"/>
        <v>Đang thực hiện</v>
      </c>
      <c r="F97" s="317">
        <f t="shared" si="17"/>
        <v>0</v>
      </c>
      <c r="G97" s="323">
        <f t="shared" si="18"/>
        <v>46326</v>
      </c>
      <c r="H97" s="327">
        <f t="shared" si="19"/>
        <v>68</v>
      </c>
      <c r="I97" s="327">
        <f t="shared" si="20"/>
        <v>40</v>
      </c>
      <c r="J97" s="301" t="str">
        <f t="shared" si="21"/>
        <v>🟢 Theo kế hoạch</v>
      </c>
      <c r="K97" s="301" t="str">
        <f t="shared" si="22"/>
        <v>Thiếu tham số phân bổ</v>
      </c>
      <c r="L97" s="344" t="str">
        <f t="array" ref="L97">IF($T97="","",LET(m,MATCH($T97,$AS$24:$AS$700,0),lvl,INDEX($W$24:$W$700,m),id,INDEX($X$24:$X$700,m),SWITCH(lvl,3,"Lớp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mục!A22</v>
      </c>
      <c r="M97" s="351" t="str">
        <f t="shared" si="23"/>
        <v/>
      </c>
      <c r="N97" s="356" t="str">
        <f t="shared" si="24"/>
        <v>Thiếu tham số phân bổ</v>
      </c>
      <c r="O97" s="358"/>
      <c r="P97" s="360"/>
      <c r="Q97" s="360"/>
      <c r="R97" s="67"/>
      <c r="S97" s="67"/>
      <c r="T97" s="67" t="str">
        <f>IFERROR(__xludf.DUMMYFUNCTION("""COMPUTED_VALUE"""),"15.02")</f>
        <v>15.02</v>
      </c>
      <c r="U97" s="389" t="str">
        <f>IF('Lớp 4 - Danh mục'!I27="","",'Lớp 4 - Danh mục'!J27&amp;"|"&amp;'Lớp 4 - Danh mục'!I27)</f>
        <v>HHL3RD01|HHL4RD14</v>
      </c>
      <c r="V97" s="389" t="str">
        <f>IF('Lớp 4 - Danh mục'!I27="","","   ├─ "&amp;'Lớp 4 - Danh mục'!O27)</f>
        <v>   ├─ XĐ căn cứ &amp; QH nhân quả giữa NC với QT&amp;PTSP hàng năm</v>
      </c>
      <c r="W97" s="389">
        <f>IF('Lớp 4 - Danh mục'!I27="","",4)</f>
        <v>4</v>
      </c>
      <c r="X97" s="67" t="str">
        <f>'Lớp 4 - Danh mục'!I27</f>
        <v>HHL4RD14</v>
      </c>
      <c r="Y97" s="67" t="str">
        <f>'Lớp 4 - Danh mục'!J27</f>
        <v>HHL3RD01</v>
      </c>
      <c r="Z97" s="67" t="str">
        <f>'Lớp 4 - Danh mục'!Z27</f>
        <v>Ms Trang</v>
      </c>
      <c r="AA97" s="67" t="str">
        <f>'Lớp 4 - Danh mục'!X27</f>
        <v>R&amp;D</v>
      </c>
      <c r="AB97" s="67" t="str">
        <f>'Lớp 4 - Danh mục'!AB27</f>
        <v>P2</v>
      </c>
      <c r="AC97" s="67" t="str">
        <f>'Lớp 4 - Danh mục'!AA27</f>
        <v>Đang thực hiện</v>
      </c>
      <c r="AD97" s="398">
        <f>'Lớp 4 - Danh mục'!AF27</f>
        <v>0</v>
      </c>
      <c r="AE97" s="358">
        <f>'Lớp 4 - Danh mục'!AD27</f>
        <v>46285</v>
      </c>
      <c r="AF97" s="187">
        <f>'Lớp 4 - Danh mục'!AG27</f>
        <v>32</v>
      </c>
      <c r="AG97" s="104">
        <f>'Lớp 4 - Danh mục'!AH27</f>
        <v>40</v>
      </c>
      <c r="AH97" s="389">
        <f t="shared" si="27"/>
        <v>40</v>
      </c>
      <c r="AI97" s="389" t="str">
        <f t="shared" si="37"/>
        <v>🟢 Theo kế hoạch</v>
      </c>
      <c r="AJ97" s="67" t="str">
        <f>'Lớp 4 - Danh mục'!AK27</f>
        <v>Thiếu tham số phân bổ</v>
      </c>
      <c r="AS97" s="389" t="str">
        <f t="shared" si="97"/>
        <v>04.01</v>
      </c>
      <c r="AT97" s="389" t="str">
        <f t="shared" si="32"/>
        <v/>
      </c>
      <c r="AU97" s="389" t="str">
        <f t="shared" si="33"/>
        <v>XĐ căn cứ &amp; QH nhân quả giữa NC với QT&amp;PTSP hàng năm</v>
      </c>
      <c r="AV97" s="389" t="str">
        <f t="shared" si="34"/>
        <v/>
      </c>
      <c r="AW97" s="389" t="str">
        <f t="shared" si="35"/>
        <v/>
      </c>
      <c r="AX97" s="67" t="str">
        <f t="shared" ref="AX97:BH97" si="110">Z97</f>
        <v>Ms Trang</v>
      </c>
      <c r="AY97" s="67" t="str">
        <f t="shared" si="110"/>
        <v>R&amp;D</v>
      </c>
      <c r="AZ97" s="67" t="str">
        <f t="shared" si="110"/>
        <v>P2</v>
      </c>
      <c r="BA97" s="67" t="str">
        <f t="shared" si="110"/>
        <v>Đang thực hiện</v>
      </c>
      <c r="BB97" s="398">
        <f t="shared" si="110"/>
        <v>0</v>
      </c>
      <c r="BC97" s="358">
        <f t="shared" si="110"/>
        <v>46285</v>
      </c>
      <c r="BD97" s="187">
        <f t="shared" si="110"/>
        <v>32</v>
      </c>
      <c r="BE97" s="104">
        <f t="shared" si="110"/>
        <v>40</v>
      </c>
      <c r="BF97" s="389">
        <f t="shared" si="110"/>
        <v>40</v>
      </c>
      <c r="BG97" s="389" t="str">
        <f t="shared" si="110"/>
        <v>🟢 Theo kế hoạch</v>
      </c>
      <c r="BH97" s="67" t="str">
        <f t="shared" si="110"/>
        <v>Thiếu tham số phân bổ</v>
      </c>
      <c r="BI97" s="389" t="str">
        <f t="array" ref="BI97">IF($X97="","",SWITCH($W97,3,IFERROR(INDEX('Lớp 3 - Công việc chính'!$AF$14:$AF$73,MATCH($X97,'Lớp 3 - Công việc chính'!$I$14:$I$73,0)),""),4,IFERROR(INDEX('Lớp 4 - Danh mục'!$AI$14:$AI$132,MATCH($X97,'Lớp 4 - Danh mục'!$I$14:$I$132,0)),""),5,IFERROR(INDEX('Lớp 5 - Phân công'!$AJ$14:$AJ$262,MATCH($X97,'Lớp 5 - Phân công'!$I$14:$I$262,0)),""),6,IFERROR(INDEX('Lớp 6 - Chi tiết'!$AM$14:$AM$267,MATCH($X97,'Lớp 6 - Chi tiết'!$I$14:$I$267,0)),""),""))</f>
        <v/>
      </c>
      <c r="BJ97" s="389" t="str">
        <f t="array" ref="BJ97">IF($X97="","",SWITCH($W97,3,IFERROR(INDEX('Lớp 3 - Công việc chính'!$AR$14:$AR$73,MATCH($X97,'Lớp 3 - Công việc chính'!$I$14:$I$73,0)),""),4,IFERROR(INDEX('Lớp 4 - Danh mục'!$AU$14:$AU$132,MATCH($X97,'Lớp 4 - Danh mục'!$I$14:$I$132,0)),""),5,IFERROR(INDEX('Lớp 5 - Phân công'!$AV$14:$AV$262,MATCH($X97,'Lớp 5 - Phân công'!$I$14:$I$262,0)),""),6,IFERROR(INDEX('Lớp 6 - Chi tiết'!$AY$14:$AY$267,MATCH($X97,'Lớp 6 - Chi tiết'!$I$14:$I$267,0)),""),""))</f>
        <v>Thiếu tham số phân bổ</v>
      </c>
    </row>
    <row r="98" ht="15.75" customHeight="1">
      <c r="A98" s="294" t="str">
        <f t="shared" si="12"/>
        <v>    ├─ ▓ L4  15.03  Phương án quản trị chất lược sản phẩm</v>
      </c>
      <c r="B98" s="301" t="str">
        <f t="shared" si="13"/>
        <v>Ms Trang</v>
      </c>
      <c r="C98" s="301" t="str">
        <f t="shared" si="14"/>
        <v>R&amp;D</v>
      </c>
      <c r="D98" s="301" t="str">
        <f t="shared" si="15"/>
        <v>P2</v>
      </c>
      <c r="E98" s="301" t="str">
        <f t="shared" si="16"/>
        <v>Đang thực hiện</v>
      </c>
      <c r="F98" s="317">
        <f t="shared" si="17"/>
        <v>0</v>
      </c>
      <c r="G98" s="323">
        <f t="shared" si="18"/>
        <v>46341</v>
      </c>
      <c r="H98" s="327">
        <f t="shared" si="19"/>
        <v>80</v>
      </c>
      <c r="I98" s="327">
        <f t="shared" si="20"/>
        <v>40</v>
      </c>
      <c r="J98" s="301" t="str">
        <f t="shared" si="21"/>
        <v>🟢 Theo kế hoạch</v>
      </c>
      <c r="K98" s="301" t="str">
        <f t="shared" si="22"/>
        <v>Thiếu tham số phân bổ</v>
      </c>
      <c r="L98" s="344" t="str">
        <f t="array" ref="L98">IF($T98="","",LET(m,MATCH($T98,$AS$24:$AS$700,0),lvl,INDEX($W$24:$W$700,m),id,INDEX($X$24:$X$700,m),SWITCH(lvl,3,"Lớp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mục!A23</v>
      </c>
      <c r="M98" s="351" t="str">
        <f t="shared" si="23"/>
        <v/>
      </c>
      <c r="N98" s="356" t="str">
        <f t="shared" si="24"/>
        <v>Thiếu tham số phân bổ</v>
      </c>
      <c r="O98" s="358"/>
      <c r="P98" s="360"/>
      <c r="Q98" s="360"/>
      <c r="R98" s="67"/>
      <c r="S98" s="67"/>
      <c r="T98" s="67" t="str">
        <f>IFERROR(__xludf.DUMMYFUNCTION("""COMPUTED_VALUE"""),"15.03")</f>
        <v>15.03</v>
      </c>
      <c r="U98" s="389" t="str">
        <f>IF('Lớp 4 - Danh mục'!I28="","",'Lớp 4 - Danh mục'!J28&amp;"|"&amp;'Lớp 4 - Danh mục'!I28)</f>
        <v>HHL3RD01|HHL4RD15</v>
      </c>
      <c r="V98" s="389" t="str">
        <f>IF('Lớp 4 - Danh mục'!I28="","","   ├─ "&amp;'Lớp 4 - Danh mục'!O28)</f>
        <v>   ├─ Phân tích bộ câu hỏi KS Insight 2024, 2025</v>
      </c>
      <c r="W98" s="389">
        <f>IF('Lớp 4 - Danh mục'!I28="","",4)</f>
        <v>4</v>
      </c>
      <c r="X98" s="67" t="str">
        <f>'Lớp 4 - Danh mục'!I28</f>
        <v>HHL4RD15</v>
      </c>
      <c r="Y98" s="67" t="str">
        <f>'Lớp 4 - Danh mục'!J28</f>
        <v>HHL3RD01</v>
      </c>
      <c r="Z98" s="67" t="str">
        <f>'Lớp 4 - Danh mục'!Z28</f>
        <v>Ms Trang</v>
      </c>
      <c r="AA98" s="67" t="str">
        <f>'Lớp 4 - Danh mục'!X28</f>
        <v>R&amp;D</v>
      </c>
      <c r="AB98" s="67" t="str">
        <f>'Lớp 4 - Danh mục'!AB28</f>
        <v>P4</v>
      </c>
      <c r="AC98" s="67" t="str">
        <f>'Lớp 4 - Danh mục'!AA28</f>
        <v>Đang thực hiện</v>
      </c>
      <c r="AD98" s="398">
        <f>'Lớp 4 - Danh mục'!AF28</f>
        <v>0</v>
      </c>
      <c r="AE98" s="358">
        <f>'Lớp 4 - Danh mục'!AD28</f>
        <v>46244</v>
      </c>
      <c r="AF98" s="187">
        <f>'Lớp 4 - Danh mục'!AG28</f>
        <v>-1</v>
      </c>
      <c r="AG98" s="104">
        <f>'Lớp 4 - Danh mục'!AH28</f>
        <v>24</v>
      </c>
      <c r="AH98" s="389">
        <f t="shared" si="27"/>
        <v>24</v>
      </c>
      <c r="AI98" s="389" t="str">
        <f t="shared" si="37"/>
        <v>🔴 Quá hạn</v>
      </c>
      <c r="AJ98" s="67" t="str">
        <f>'Lớp 4 - Danh mục'!AK28</f>
        <v>Thiếu tham số phân bổ</v>
      </c>
      <c r="AS98" s="389" t="str">
        <f t="shared" si="97"/>
        <v>04.02</v>
      </c>
      <c r="AT98" s="389" t="str">
        <f t="shared" si="32"/>
        <v/>
      </c>
      <c r="AU98" s="389" t="str">
        <f t="shared" si="33"/>
        <v>Phân tích bộ câu hỏi KS Insight 2024, 2025</v>
      </c>
      <c r="AV98" s="389" t="str">
        <f t="shared" si="34"/>
        <v/>
      </c>
      <c r="AW98" s="389" t="str">
        <f t="shared" si="35"/>
        <v/>
      </c>
      <c r="AX98" s="67" t="str">
        <f t="shared" ref="AX98:BH98" si="111">Z98</f>
        <v>Ms Trang</v>
      </c>
      <c r="AY98" s="67" t="str">
        <f t="shared" si="111"/>
        <v>R&amp;D</v>
      </c>
      <c r="AZ98" s="67" t="str">
        <f t="shared" si="111"/>
        <v>P4</v>
      </c>
      <c r="BA98" s="67" t="str">
        <f t="shared" si="111"/>
        <v>Đang thực hiện</v>
      </c>
      <c r="BB98" s="398">
        <f t="shared" si="111"/>
        <v>0</v>
      </c>
      <c r="BC98" s="358">
        <f t="shared" si="111"/>
        <v>46244</v>
      </c>
      <c r="BD98" s="187">
        <f t="shared" si="111"/>
        <v>-1</v>
      </c>
      <c r="BE98" s="104">
        <f t="shared" si="111"/>
        <v>24</v>
      </c>
      <c r="BF98" s="389">
        <f t="shared" si="111"/>
        <v>24</v>
      </c>
      <c r="BG98" s="389" t="str">
        <f t="shared" si="111"/>
        <v>🔴 Quá hạn</v>
      </c>
      <c r="BH98" s="67" t="str">
        <f t="shared" si="111"/>
        <v>Thiếu tham số phân bổ</v>
      </c>
      <c r="BI98" s="389" t="str">
        <f t="array" ref="BI98">IF($X98="","",SWITCH($W98,3,IFERROR(INDEX('Lớp 3 - Công việc chính'!$AF$14:$AF$73,MATCH($X98,'Lớp 3 - Công việc chính'!$I$14:$I$73,0)),""),4,IFERROR(INDEX('Lớp 4 - Danh mục'!$AI$14:$AI$132,MATCH($X98,'Lớp 4 - Danh mục'!$I$14:$I$132,0)),""),5,IFERROR(INDEX('Lớp 5 - Phân công'!$AJ$14:$AJ$262,MATCH($X98,'Lớp 5 - Phân công'!$I$14:$I$262,0)),""),6,IFERROR(INDEX('Lớp 6 - Chi tiết'!$AM$14:$AM$267,MATCH($X98,'Lớp 6 - Chi tiết'!$I$14:$I$267,0)),""),""))</f>
        <v/>
      </c>
      <c r="BJ98" s="389" t="str">
        <f t="array" ref="BJ98">IF($X98="","",SWITCH($W98,3,IFERROR(INDEX('Lớp 3 - Công việc chính'!$AR$14:$AR$73,MATCH($X98,'Lớp 3 - Công việc chính'!$I$14:$I$73,0)),""),4,IFERROR(INDEX('Lớp 4 - Danh mục'!$AU$14:$AU$132,MATCH($X98,'Lớp 4 - Danh mục'!$I$14:$I$132,0)),""),5,IFERROR(INDEX('Lớp 5 - Phân công'!$AV$14:$AV$262,MATCH($X98,'Lớp 5 - Phân công'!$I$14:$I$262,0)),""),6,IFERROR(INDEX('Lớp 6 - Chi tiết'!$AY$14:$AY$267,MATCH($X98,'Lớp 6 - Chi tiết'!$I$14:$I$267,0)),""),""))</f>
        <v>Thiếu tham số phân bổ</v>
      </c>
    </row>
    <row r="99" ht="15.75" customHeight="1">
      <c r="A99" s="294" t="str">
        <f t="shared" si="12"/>
        <v>    ├─ ▓ L4  15.04  Thành lập ban CLSP &amp; cơ chế vận hành</v>
      </c>
      <c r="B99" s="301" t="str">
        <f t="shared" si="13"/>
        <v>Ms Trang</v>
      </c>
      <c r="C99" s="301" t="str">
        <f t="shared" si="14"/>
        <v>R&amp;D</v>
      </c>
      <c r="D99" s="301" t="str">
        <f t="shared" si="15"/>
        <v>P2</v>
      </c>
      <c r="E99" s="301" t="str">
        <f t="shared" si="16"/>
        <v>Đang thực hiện</v>
      </c>
      <c r="F99" s="317">
        <f t="shared" si="17"/>
        <v>0</v>
      </c>
      <c r="G99" s="323">
        <f t="shared" si="18"/>
        <v>46295</v>
      </c>
      <c r="H99" s="327">
        <f t="shared" si="19"/>
        <v>41</v>
      </c>
      <c r="I99" s="327">
        <f t="shared" si="20"/>
        <v>40</v>
      </c>
      <c r="J99" s="301" t="str">
        <f t="shared" si="21"/>
        <v>🟢 Theo kế hoạch</v>
      </c>
      <c r="K99" s="301" t="str">
        <f t="shared" si="22"/>
        <v>Thiếu tham số phân bổ</v>
      </c>
      <c r="L99" s="344" t="str">
        <f t="array" ref="L99">IF($T99="","",LET(m,MATCH($T99,$AS$24:$AS$700,0),lvl,INDEX($W$24:$W$700,m),id,INDEX($X$24:$X$700,m),SWITCH(lvl,3,"Lớp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mục!A24</v>
      </c>
      <c r="M99" s="351" t="str">
        <f t="shared" si="23"/>
        <v/>
      </c>
      <c r="N99" s="356" t="str">
        <f t="shared" si="24"/>
        <v>Thiếu tham số phân bổ</v>
      </c>
      <c r="O99" s="358"/>
      <c r="P99" s="360"/>
      <c r="Q99" s="360"/>
      <c r="R99" s="67"/>
      <c r="S99" s="67"/>
      <c r="T99" s="67" t="str">
        <f>IFERROR(__xludf.DUMMYFUNCTION("""COMPUTED_VALUE"""),"15.04")</f>
        <v>15.04</v>
      </c>
      <c r="U99" s="389" t="str">
        <f>IF('Lớp 4 - Danh mục'!I29="","",'Lớp 4 - Danh mục'!J29&amp;"|"&amp;'Lớp 4 - Danh mục'!I29)</f>
        <v>HHL3RD01|HHL4RD16</v>
      </c>
      <c r="V99" s="389" t="str">
        <f>IF('Lớp 4 - Danh mục'!I29="","","   ├─ "&amp;'Lớp 4 - Danh mục'!O29)</f>
        <v>   ├─ Final BCCL xét từ hai yếu tố bên trong &amp; bên ngoài</v>
      </c>
      <c r="W99" s="389">
        <f>IF('Lớp 4 - Danh mục'!I29="","",4)</f>
        <v>4</v>
      </c>
      <c r="X99" s="67" t="str">
        <f>'Lớp 4 - Danh mục'!I29</f>
        <v>HHL4RD16</v>
      </c>
      <c r="Y99" s="67" t="str">
        <f>'Lớp 4 - Danh mục'!J29</f>
        <v>HHL3RD01</v>
      </c>
      <c r="Z99" s="67" t="str">
        <f>'Lớp 4 - Danh mục'!Z29</f>
        <v>Ms Trang</v>
      </c>
      <c r="AA99" s="67" t="str">
        <f>'Lớp 4 - Danh mục'!X29</f>
        <v>R&amp;D</v>
      </c>
      <c r="AB99" s="67" t="str">
        <f>'Lớp 4 - Danh mục'!AB29</f>
        <v>P2</v>
      </c>
      <c r="AC99" s="67" t="str">
        <f>'Lớp 4 - Danh mục'!AA29</f>
        <v>Đang thực hiện</v>
      </c>
      <c r="AD99" s="398">
        <f>'Lớp 4 - Danh mục'!AF29</f>
        <v>0</v>
      </c>
      <c r="AE99" s="358">
        <f>'Lớp 4 - Danh mục'!AD29</f>
        <v>46305</v>
      </c>
      <c r="AF99" s="187">
        <f>'Lớp 4 - Danh mục'!AG29</f>
        <v>50</v>
      </c>
      <c r="AG99" s="104">
        <f>'Lớp 4 - Danh mục'!AH29</f>
        <v>48</v>
      </c>
      <c r="AH99" s="389">
        <f t="shared" si="27"/>
        <v>48</v>
      </c>
      <c r="AI99" s="389" t="str">
        <f t="shared" si="37"/>
        <v>🟢 Theo kế hoạch</v>
      </c>
      <c r="AJ99" s="67" t="str">
        <f>'Lớp 4 - Danh mục'!AK29</f>
        <v>Thiếu tham số phân bổ</v>
      </c>
      <c r="AS99" s="389" t="str">
        <f t="shared" si="97"/>
        <v>04.03</v>
      </c>
      <c r="AT99" s="389" t="str">
        <f t="shared" si="32"/>
        <v/>
      </c>
      <c r="AU99" s="389" t="str">
        <f t="shared" si="33"/>
        <v>Final BCCL xét từ hai yếu tố bên trong &amp; bên ngoài</v>
      </c>
      <c r="AV99" s="389" t="str">
        <f t="shared" si="34"/>
        <v/>
      </c>
      <c r="AW99" s="389" t="str">
        <f t="shared" si="35"/>
        <v/>
      </c>
      <c r="AX99" s="67" t="str">
        <f t="shared" ref="AX99:BH99" si="112">Z99</f>
        <v>Ms Trang</v>
      </c>
      <c r="AY99" s="67" t="str">
        <f t="shared" si="112"/>
        <v>R&amp;D</v>
      </c>
      <c r="AZ99" s="67" t="str">
        <f t="shared" si="112"/>
        <v>P2</v>
      </c>
      <c r="BA99" s="67" t="str">
        <f t="shared" si="112"/>
        <v>Đang thực hiện</v>
      </c>
      <c r="BB99" s="398">
        <f t="shared" si="112"/>
        <v>0</v>
      </c>
      <c r="BC99" s="358">
        <f t="shared" si="112"/>
        <v>46305</v>
      </c>
      <c r="BD99" s="187">
        <f t="shared" si="112"/>
        <v>50</v>
      </c>
      <c r="BE99" s="104">
        <f t="shared" si="112"/>
        <v>48</v>
      </c>
      <c r="BF99" s="389">
        <f t="shared" si="112"/>
        <v>48</v>
      </c>
      <c r="BG99" s="389" t="str">
        <f t="shared" si="112"/>
        <v>🟢 Theo kế hoạch</v>
      </c>
      <c r="BH99" s="67" t="str">
        <f t="shared" si="112"/>
        <v>Thiếu tham số phân bổ</v>
      </c>
      <c r="BI99" s="389" t="str">
        <f t="array" ref="BI99">IF($X99="","",SWITCH($W99,3,IFERROR(INDEX('Lớp 3 - Công việc chính'!$AF$14:$AF$73,MATCH($X99,'Lớp 3 - Công việc chính'!$I$14:$I$73,0)),""),4,IFERROR(INDEX('Lớp 4 - Danh mục'!$AI$14:$AI$132,MATCH($X99,'Lớp 4 - Danh mục'!$I$14:$I$132,0)),""),5,IFERROR(INDEX('Lớp 5 - Phân công'!$AJ$14:$AJ$262,MATCH($X99,'Lớp 5 - Phân công'!$I$14:$I$262,0)),""),6,IFERROR(INDEX('Lớp 6 - Chi tiết'!$AM$14:$AM$267,MATCH($X99,'Lớp 6 - Chi tiết'!$I$14:$I$267,0)),""),""))</f>
        <v/>
      </c>
      <c r="BJ99" s="389" t="str">
        <f t="array" ref="BJ99">IF($X99="","",SWITCH($W99,3,IFERROR(INDEX('Lớp 3 - Công việc chính'!$AR$14:$AR$73,MATCH($X99,'Lớp 3 - Công việc chính'!$I$14:$I$73,0)),""),4,IFERROR(INDEX('Lớp 4 - Danh mục'!$AU$14:$AU$132,MATCH($X99,'Lớp 4 - Danh mục'!$I$14:$I$132,0)),""),5,IFERROR(INDEX('Lớp 5 - Phân công'!$AV$14:$AV$262,MATCH($X99,'Lớp 5 - Phân công'!$I$14:$I$262,0)),""),6,IFERROR(INDEX('Lớp 6 - Chi tiết'!$AY$14:$AY$267,MATCH($X99,'Lớp 6 - Chi tiết'!$I$14:$I$267,0)),""),""))</f>
        <v>Thiếu tham số phân bổ</v>
      </c>
    </row>
    <row r="100" ht="15.75" customHeight="1">
      <c r="A100" s="294" t="str">
        <f t="shared" si="12"/>
        <v>    ├─ ▓ L4  15.05  Quy hoạch thông tin SP &amp; truy xuất thông tin</v>
      </c>
      <c r="B100" s="301" t="str">
        <f t="shared" si="13"/>
        <v>Ms Trang</v>
      </c>
      <c r="C100" s="301" t="str">
        <f t="shared" si="14"/>
        <v>R&amp;D</v>
      </c>
      <c r="D100" s="301" t="str">
        <f t="shared" si="15"/>
        <v>P2</v>
      </c>
      <c r="E100" s="301" t="str">
        <f t="shared" si="16"/>
        <v>Đang thực hiện</v>
      </c>
      <c r="F100" s="317">
        <f t="shared" si="17"/>
        <v>0</v>
      </c>
      <c r="G100" s="323">
        <f t="shared" si="18"/>
        <v>46326</v>
      </c>
      <c r="H100" s="327">
        <f t="shared" si="19"/>
        <v>68</v>
      </c>
      <c r="I100" s="327">
        <f t="shared" si="20"/>
        <v>40</v>
      </c>
      <c r="J100" s="301" t="str">
        <f t="shared" si="21"/>
        <v>🟢 Theo kế hoạch</v>
      </c>
      <c r="K100" s="301" t="str">
        <f t="shared" si="22"/>
        <v>Thiếu tham số phân bổ</v>
      </c>
      <c r="L100" s="344" t="str">
        <f t="array" ref="L100">IF($T100="","",LET(m,MATCH($T100,$AS$24:$AS$700,0),lvl,INDEX($W$24:$W$700,m),id,INDEX($X$24:$X$700,m),SWITCH(lvl,3,"Lớp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mục!A25</v>
      </c>
      <c r="M100" s="351" t="str">
        <f t="shared" si="23"/>
        <v/>
      </c>
      <c r="N100" s="356" t="str">
        <f t="shared" si="24"/>
        <v>Thiếu tham số phân bổ</v>
      </c>
      <c r="O100" s="358"/>
      <c r="P100" s="360"/>
      <c r="Q100" s="360"/>
      <c r="R100" s="67"/>
      <c r="S100" s="67"/>
      <c r="T100" s="67" t="str">
        <f>IFERROR(__xludf.DUMMYFUNCTION("""COMPUTED_VALUE"""),"15.05")</f>
        <v>15.05</v>
      </c>
      <c r="U100" s="389" t="str">
        <f>IF('Lớp 4 - Danh mục'!I30="","",'Lớp 4 - Danh mục'!J30&amp;"|"&amp;'Lớp 4 - Danh mục'!I30)</f>
        <v>HHL3RD02|HHL4RD17</v>
      </c>
      <c r="V100" s="389" t="str">
        <f>IF('Lớp 4 - Danh mục'!I30="","","   ├─ "&amp;'Lớp 4 - Danh mục'!O30)</f>
        <v>   ├─ Tổng hợp TT SP OEM theo NCC (đầy đủ trường dữ liệu)</v>
      </c>
      <c r="W100" s="389">
        <f>IF('Lớp 4 - Danh mục'!I30="","",4)</f>
        <v>4</v>
      </c>
      <c r="X100" s="67" t="str">
        <f>'Lớp 4 - Danh mục'!I30</f>
        <v>HHL4RD17</v>
      </c>
      <c r="Y100" s="67" t="str">
        <f>'Lớp 4 - Danh mục'!J30</f>
        <v>HHL3RD02</v>
      </c>
      <c r="Z100" s="67" t="str">
        <f>'Lớp 4 - Danh mục'!Z30</f>
        <v>Ms Trang</v>
      </c>
      <c r="AA100" s="67" t="str">
        <f>'Lớp 4 - Danh mục'!X30</f>
        <v>R&amp;D</v>
      </c>
      <c r="AB100" s="67" t="str">
        <f>'Lớp 4 - Danh mục'!AB30</f>
        <v>P2</v>
      </c>
      <c r="AC100" s="67" t="str">
        <f>'Lớp 4 - Danh mục'!AA30</f>
        <v>Đang thực hiện</v>
      </c>
      <c r="AD100" s="398">
        <f>'Lớp 4 - Danh mục'!AF30</f>
        <v>0</v>
      </c>
      <c r="AE100" s="358">
        <f>'Lớp 4 - Danh mục'!AD30</f>
        <v>46254</v>
      </c>
      <c r="AF100" s="187">
        <f>'Lớp 4 - Danh mục'!AG30</f>
        <v>8</v>
      </c>
      <c r="AG100" s="104">
        <f>'Lớp 4 - Danh mục'!AH30</f>
        <v>40</v>
      </c>
      <c r="AH100" s="389">
        <f t="shared" si="27"/>
        <v>40</v>
      </c>
      <c r="AI100" s="389" t="str">
        <f t="shared" si="37"/>
        <v>🟢 Theo kế hoạch</v>
      </c>
      <c r="AJ100" s="67" t="str">
        <f>'Lớp 4 - Danh mục'!AK30</f>
        <v>Thiếu tham số phân bổ</v>
      </c>
      <c r="AS100" s="389" t="str">
        <f t="shared" si="97"/>
        <v>05.01</v>
      </c>
      <c r="AT100" s="389" t="str">
        <f t="shared" si="32"/>
        <v/>
      </c>
      <c r="AU100" s="389" t="str">
        <f t="shared" si="33"/>
        <v>Tổng hợp TT SP OEM theo NCC (đầy đủ trường dữ liệu)</v>
      </c>
      <c r="AV100" s="389" t="str">
        <f t="shared" si="34"/>
        <v/>
      </c>
      <c r="AW100" s="389" t="str">
        <f t="shared" si="35"/>
        <v/>
      </c>
      <c r="AX100" s="67" t="str">
        <f t="shared" ref="AX100:BH100" si="113">Z100</f>
        <v>Ms Trang</v>
      </c>
      <c r="AY100" s="67" t="str">
        <f t="shared" si="113"/>
        <v>R&amp;D</v>
      </c>
      <c r="AZ100" s="67" t="str">
        <f t="shared" si="113"/>
        <v>P2</v>
      </c>
      <c r="BA100" s="67" t="str">
        <f t="shared" si="113"/>
        <v>Đang thực hiện</v>
      </c>
      <c r="BB100" s="398">
        <f t="shared" si="113"/>
        <v>0</v>
      </c>
      <c r="BC100" s="358">
        <f t="shared" si="113"/>
        <v>46254</v>
      </c>
      <c r="BD100" s="187">
        <f t="shared" si="113"/>
        <v>8</v>
      </c>
      <c r="BE100" s="104">
        <f t="shared" si="113"/>
        <v>40</v>
      </c>
      <c r="BF100" s="389">
        <f t="shared" si="113"/>
        <v>40</v>
      </c>
      <c r="BG100" s="389" t="str">
        <f t="shared" si="113"/>
        <v>🟢 Theo kế hoạch</v>
      </c>
      <c r="BH100" s="67" t="str">
        <f t="shared" si="113"/>
        <v>Thiếu tham số phân bổ</v>
      </c>
      <c r="BI100" s="389" t="str">
        <f t="array" ref="BI100">IF($X100="","",SWITCH($W100,3,IFERROR(INDEX('Lớp 3 - Công việc chính'!$AF$14:$AF$73,MATCH($X100,'Lớp 3 - Công việc chính'!$I$14:$I$73,0)),""),4,IFERROR(INDEX('Lớp 4 - Danh mục'!$AI$14:$AI$132,MATCH($X100,'Lớp 4 - Danh mục'!$I$14:$I$132,0)),""),5,IFERROR(INDEX('Lớp 5 - Phân công'!$AJ$14:$AJ$262,MATCH($X100,'Lớp 5 - Phân công'!$I$14:$I$262,0)),""),6,IFERROR(INDEX('Lớp 6 - Chi tiết'!$AM$14:$AM$267,MATCH($X100,'Lớp 6 - Chi tiết'!$I$14:$I$267,0)),""),""))</f>
        <v/>
      </c>
      <c r="BJ100" s="389" t="str">
        <f t="array" ref="BJ100">IF($X100="","",SWITCH($W100,3,IFERROR(INDEX('Lớp 3 - Công việc chính'!$AR$14:$AR$73,MATCH($X100,'Lớp 3 - Công việc chính'!$I$14:$I$73,0)),""),4,IFERROR(INDEX('Lớp 4 - Danh mục'!$AU$14:$AU$132,MATCH($X100,'Lớp 4 - Danh mục'!$I$14:$I$132,0)),""),5,IFERROR(INDEX('Lớp 5 - Phân công'!$AV$14:$AV$262,MATCH($X100,'Lớp 5 - Phân công'!$I$14:$I$262,0)),""),6,IFERROR(INDEX('Lớp 6 - Chi tiết'!$AY$14:$AY$267,MATCH($X100,'Lớp 6 - Chi tiết'!$I$14:$I$267,0)),""),""))</f>
        <v>Thiếu tham số phân bổ</v>
      </c>
    </row>
    <row r="101" ht="15.75" customHeight="1">
      <c r="A101" s="294" t="str">
        <f t="shared" si="12"/>
        <v>    ├─ ▓ L4  15.06  Xây dựng Bộ quy tắc &amp; ngưỡng điều tiết cung ứng hàng hóa</v>
      </c>
      <c r="B101" s="301" t="str">
        <f t="shared" si="13"/>
        <v>Ms Trang</v>
      </c>
      <c r="C101" s="301" t="str">
        <f t="shared" si="14"/>
        <v>R&amp;D</v>
      </c>
      <c r="D101" s="301" t="str">
        <f t="shared" si="15"/>
        <v>P2</v>
      </c>
      <c r="E101" s="301" t="str">
        <f t="shared" si="16"/>
        <v>Đang thực hiện</v>
      </c>
      <c r="F101" s="317">
        <f t="shared" si="17"/>
        <v>0</v>
      </c>
      <c r="G101" s="323">
        <f t="shared" si="18"/>
        <v>46356</v>
      </c>
      <c r="H101" s="327">
        <f t="shared" si="19"/>
        <v>93</v>
      </c>
      <c r="I101" s="327">
        <f t="shared" si="20"/>
        <v>40</v>
      </c>
      <c r="J101" s="301" t="str">
        <f t="shared" si="21"/>
        <v>🟢 Theo kế hoạch</v>
      </c>
      <c r="K101" s="301" t="str">
        <f t="shared" si="22"/>
        <v>Thiếu tham số phân bổ</v>
      </c>
      <c r="L101" s="344" t="str">
        <f t="array" ref="L101">IF($T101="","",LET(m,MATCH($T101,$AS$24:$AS$700,0),lvl,INDEX($W$24:$W$700,m),id,INDEX($X$24:$X$700,m),SWITCH(lvl,3,"Lớp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mục!A35</v>
      </c>
      <c r="M101" s="351" t="str">
        <f t="shared" si="23"/>
        <v/>
      </c>
      <c r="N101" s="356" t="str">
        <f t="shared" si="24"/>
        <v>Thiếu tham số phân bổ</v>
      </c>
      <c r="O101" s="358"/>
      <c r="P101" s="360"/>
      <c r="Q101" s="360"/>
      <c r="R101" s="67"/>
      <c r="S101" s="67"/>
      <c r="T101" s="67" t="str">
        <f>IFERROR(__xludf.DUMMYFUNCTION("""COMPUTED_VALUE"""),"15.06")</f>
        <v>15.06</v>
      </c>
      <c r="U101" s="389" t="str">
        <f>IF('Lớp 4 - Danh mục'!I31="","",'Lớp 4 - Danh mục'!J31&amp;"|"&amp;'Lớp 4 - Danh mục'!I31)</f>
        <v>HHL3RD01|HHL4RD18</v>
      </c>
      <c r="V101" s="389" t="str">
        <f>IF('Lớp 4 - Danh mục'!I31="","","   ├─ "&amp;'Lớp 4 - Danh mục'!O31)</f>
        <v>   ├─ Chốt kế hoạch KSTT &amp; KH</v>
      </c>
      <c r="W101" s="389">
        <f>IF('Lớp 4 - Danh mục'!I31="","",4)</f>
        <v>4</v>
      </c>
      <c r="X101" s="67" t="str">
        <f>'Lớp 4 - Danh mục'!I31</f>
        <v>HHL4RD18</v>
      </c>
      <c r="Y101" s="67" t="str">
        <f>'Lớp 4 - Danh mục'!J31</f>
        <v>HHL3RD01</v>
      </c>
      <c r="Z101" s="67" t="str">
        <f>'Lớp 4 - Danh mục'!Z31</f>
        <v>Ms Trang</v>
      </c>
      <c r="AA101" s="67" t="str">
        <f>'Lớp 4 - Danh mục'!X31</f>
        <v>R&amp;D</v>
      </c>
      <c r="AB101" s="67" t="str">
        <f>'Lớp 4 - Danh mục'!AB31</f>
        <v>P2</v>
      </c>
      <c r="AC101" s="67" t="str">
        <f>'Lớp 4 - Danh mục'!AA31</f>
        <v>Đang thực hiện</v>
      </c>
      <c r="AD101" s="398">
        <f>'Lớp 4 - Danh mục'!AF31</f>
        <v>0</v>
      </c>
      <c r="AE101" s="358">
        <f>'Lớp 4 - Danh mục'!AD31</f>
        <v>46295</v>
      </c>
      <c r="AF101" s="187">
        <f>'Lớp 4 - Danh mục'!AG31</f>
        <v>41</v>
      </c>
      <c r="AG101" s="104">
        <f>'Lớp 4 - Danh mục'!AH31</f>
        <v>32</v>
      </c>
      <c r="AH101" s="389">
        <f t="shared" si="27"/>
        <v>32</v>
      </c>
      <c r="AI101" s="389" t="str">
        <f t="shared" si="37"/>
        <v>🟢 Theo kế hoạch</v>
      </c>
      <c r="AJ101" s="67" t="str">
        <f>'Lớp 4 - Danh mục'!AK31</f>
        <v>Thiếu tham số phân bổ</v>
      </c>
      <c r="AS101" s="389" t="str">
        <f t="shared" si="97"/>
        <v>04.04</v>
      </c>
      <c r="AT101" s="389" t="str">
        <f t="shared" si="32"/>
        <v/>
      </c>
      <c r="AU101" s="389" t="str">
        <f t="shared" si="33"/>
        <v>Chốt kế hoạch KSTT &amp; KH</v>
      </c>
      <c r="AV101" s="389" t="str">
        <f t="shared" si="34"/>
        <v/>
      </c>
      <c r="AW101" s="389" t="str">
        <f t="shared" si="35"/>
        <v/>
      </c>
      <c r="AX101" s="67" t="str">
        <f t="shared" ref="AX101:BH101" si="114">Z101</f>
        <v>Ms Trang</v>
      </c>
      <c r="AY101" s="67" t="str">
        <f t="shared" si="114"/>
        <v>R&amp;D</v>
      </c>
      <c r="AZ101" s="67" t="str">
        <f t="shared" si="114"/>
        <v>P2</v>
      </c>
      <c r="BA101" s="67" t="str">
        <f t="shared" si="114"/>
        <v>Đang thực hiện</v>
      </c>
      <c r="BB101" s="398">
        <f t="shared" si="114"/>
        <v>0</v>
      </c>
      <c r="BC101" s="358">
        <f t="shared" si="114"/>
        <v>46295</v>
      </c>
      <c r="BD101" s="187">
        <f t="shared" si="114"/>
        <v>41</v>
      </c>
      <c r="BE101" s="104">
        <f t="shared" si="114"/>
        <v>32</v>
      </c>
      <c r="BF101" s="389">
        <f t="shared" si="114"/>
        <v>32</v>
      </c>
      <c r="BG101" s="389" t="str">
        <f t="shared" si="114"/>
        <v>🟢 Theo kế hoạch</v>
      </c>
      <c r="BH101" s="67" t="str">
        <f t="shared" si="114"/>
        <v>Thiếu tham số phân bổ</v>
      </c>
      <c r="BI101" s="389" t="str">
        <f t="array" ref="BI101">IF($X101="","",SWITCH($W101,3,IFERROR(INDEX('Lớp 3 - Công việc chính'!$AF$14:$AF$73,MATCH($X101,'Lớp 3 - Công việc chính'!$I$14:$I$73,0)),""),4,IFERROR(INDEX('Lớp 4 - Danh mục'!$AI$14:$AI$132,MATCH($X101,'Lớp 4 - Danh mục'!$I$14:$I$132,0)),""),5,IFERROR(INDEX('Lớp 5 - Phân công'!$AJ$14:$AJ$262,MATCH($X101,'Lớp 5 - Phân công'!$I$14:$I$262,0)),""),6,IFERROR(INDEX('Lớp 6 - Chi tiết'!$AM$14:$AM$267,MATCH($X101,'Lớp 6 - Chi tiết'!$I$14:$I$267,0)),""),""))</f>
        <v/>
      </c>
      <c r="BJ101" s="389" t="str">
        <f t="array" ref="BJ101">IF($X101="","",SWITCH($W101,3,IFERROR(INDEX('Lớp 3 - Công việc chính'!$AR$14:$AR$73,MATCH($X101,'Lớp 3 - Công việc chính'!$I$14:$I$73,0)),""),4,IFERROR(INDEX('Lớp 4 - Danh mục'!$AU$14:$AU$132,MATCH($X101,'Lớp 4 - Danh mục'!$I$14:$I$132,0)),""),5,IFERROR(INDEX('Lớp 5 - Phân công'!$AV$14:$AV$262,MATCH($X101,'Lớp 5 - Phân công'!$I$14:$I$262,0)),""),6,IFERROR(INDEX('Lớp 6 - Chi tiết'!$AY$14:$AY$267,MATCH($X101,'Lớp 6 - Chi tiết'!$I$14:$I$267,0)),""),""))</f>
        <v>Thiếu tham số phân bổ</v>
      </c>
    </row>
    <row r="102" ht="15.75" customHeight="1">
      <c r="A102" s="294" t="str">
        <f t="shared" si="12"/>
        <v>    ├─ ▓ L4  15.07  Số hoá BC theo dõi SP hàng bán theo kênh</v>
      </c>
      <c r="B102" s="301" t="str">
        <f t="shared" si="13"/>
        <v>Ms Trang</v>
      </c>
      <c r="C102" s="301" t="str">
        <f t="shared" si="14"/>
        <v>R&amp;D</v>
      </c>
      <c r="D102" s="301" t="str">
        <f t="shared" si="15"/>
        <v>P2</v>
      </c>
      <c r="E102" s="301" t="str">
        <f t="shared" si="16"/>
        <v>Đang thực hiện</v>
      </c>
      <c r="F102" s="317">
        <f t="shared" si="17"/>
        <v>0</v>
      </c>
      <c r="G102" s="323">
        <f t="shared" si="18"/>
        <v>46371</v>
      </c>
      <c r="H102" s="327">
        <f t="shared" si="19"/>
        <v>106</v>
      </c>
      <c r="I102" s="327">
        <f t="shared" si="20"/>
        <v>40</v>
      </c>
      <c r="J102" s="301" t="str">
        <f t="shared" si="21"/>
        <v>🟢 Theo kế hoạch</v>
      </c>
      <c r="K102" s="301" t="str">
        <f t="shared" si="22"/>
        <v>Thiếu tham số phân bổ</v>
      </c>
      <c r="L102" s="344" t="str">
        <f t="array" ref="L102">IF($T102="","",LET(m,MATCH($T102,$AS$24:$AS$700,0),lvl,INDEX($W$24:$W$700,m),id,INDEX($X$24:$X$700,m),SWITCH(lvl,3,"Lớp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mục!A36</v>
      </c>
      <c r="M102" s="351" t="str">
        <f t="shared" si="23"/>
        <v/>
      </c>
      <c r="N102" s="356" t="str">
        <f t="shared" si="24"/>
        <v>Thiếu tham số phân bổ</v>
      </c>
      <c r="O102" s="358"/>
      <c r="P102" s="360"/>
      <c r="Q102" s="360"/>
      <c r="R102" s="67"/>
      <c r="S102" s="67"/>
      <c r="T102" s="67" t="str">
        <f>IFERROR(__xludf.DUMMYFUNCTION("""COMPUTED_VALUE"""),"15.07")</f>
        <v>15.07</v>
      </c>
      <c r="U102" s="389" t="str">
        <f>IF('Lớp 4 - Danh mục'!I32="","",'Lớp 4 - Danh mục'!J32&amp;"|"&amp;'Lớp 4 - Danh mục'!I32)</f>
        <v>HHL3RD02|HHL4RD19</v>
      </c>
      <c r="V102" s="389" t="str">
        <f>IF('Lớp 4 - Danh mục'!I32="","","   ├─ "&amp;'Lớp 4 - Danh mục'!O32)</f>
        <v>   ├─ TH &amp; BC đánh giá hiệu quả của SP OEM từ 2022 đến nay</v>
      </c>
      <c r="W102" s="389">
        <f>IF('Lớp 4 - Danh mục'!I32="","",4)</f>
        <v>4</v>
      </c>
      <c r="X102" s="67" t="str">
        <f>'Lớp 4 - Danh mục'!I32</f>
        <v>HHL4RD19</v>
      </c>
      <c r="Y102" s="67" t="str">
        <f>'Lớp 4 - Danh mục'!J32</f>
        <v>HHL3RD02</v>
      </c>
      <c r="Z102" s="67" t="str">
        <f>'Lớp 4 - Danh mục'!Z32</f>
        <v>Ms Trang</v>
      </c>
      <c r="AA102" s="67" t="str">
        <f>'Lớp 4 - Danh mục'!X32</f>
        <v>R&amp;D</v>
      </c>
      <c r="AB102" s="67" t="str">
        <f>'Lớp 4 - Danh mục'!AB32</f>
        <v>P2</v>
      </c>
      <c r="AC102" s="67" t="str">
        <f>'Lớp 4 - Danh mục'!AA32</f>
        <v>Đang thực hiện</v>
      </c>
      <c r="AD102" s="398">
        <f>'Lớp 4 - Danh mục'!AF32</f>
        <v>0</v>
      </c>
      <c r="AE102" s="358">
        <f>'Lớp 4 - Danh mục'!AD32</f>
        <v>46244</v>
      </c>
      <c r="AF102" s="187">
        <f>'Lớp 4 - Danh mục'!AG32</f>
        <v>-1</v>
      </c>
      <c r="AG102" s="104">
        <f>'Lớp 4 - Danh mục'!AH32</f>
        <v>40</v>
      </c>
      <c r="AH102" s="389">
        <f t="shared" si="27"/>
        <v>40</v>
      </c>
      <c r="AI102" s="389" t="str">
        <f t="shared" si="37"/>
        <v>🔴 Quá hạn</v>
      </c>
      <c r="AJ102" s="67" t="str">
        <f>'Lớp 4 - Danh mục'!AK32</f>
        <v>Thiếu tham số phân bổ</v>
      </c>
      <c r="AS102" s="389" t="str">
        <f t="shared" si="97"/>
        <v>05.02</v>
      </c>
      <c r="AT102" s="389" t="str">
        <f t="shared" si="32"/>
        <v/>
      </c>
      <c r="AU102" s="389" t="str">
        <f t="shared" si="33"/>
        <v>TH &amp; BC đánh giá hiệu quả của SP OEM từ 2022 đến nay</v>
      </c>
      <c r="AV102" s="389" t="str">
        <f t="shared" si="34"/>
        <v/>
      </c>
      <c r="AW102" s="389" t="str">
        <f t="shared" si="35"/>
        <v/>
      </c>
      <c r="AX102" s="67" t="str">
        <f t="shared" ref="AX102:BH102" si="115">Z102</f>
        <v>Ms Trang</v>
      </c>
      <c r="AY102" s="67" t="str">
        <f t="shared" si="115"/>
        <v>R&amp;D</v>
      </c>
      <c r="AZ102" s="67" t="str">
        <f t="shared" si="115"/>
        <v>P2</v>
      </c>
      <c r="BA102" s="67" t="str">
        <f t="shared" si="115"/>
        <v>Đang thực hiện</v>
      </c>
      <c r="BB102" s="398">
        <f t="shared" si="115"/>
        <v>0</v>
      </c>
      <c r="BC102" s="358">
        <f t="shared" si="115"/>
        <v>46244</v>
      </c>
      <c r="BD102" s="187">
        <f t="shared" si="115"/>
        <v>-1</v>
      </c>
      <c r="BE102" s="104">
        <f t="shared" si="115"/>
        <v>40</v>
      </c>
      <c r="BF102" s="389">
        <f t="shared" si="115"/>
        <v>40</v>
      </c>
      <c r="BG102" s="389" t="str">
        <f t="shared" si="115"/>
        <v>🔴 Quá hạn</v>
      </c>
      <c r="BH102" s="67" t="str">
        <f t="shared" si="115"/>
        <v>Thiếu tham số phân bổ</v>
      </c>
      <c r="BI102" s="389" t="str">
        <f t="array" ref="BI102">IF($X102="","",SWITCH($W102,3,IFERROR(INDEX('Lớp 3 - Công việc chính'!$AF$14:$AF$73,MATCH($X102,'Lớp 3 - Công việc chính'!$I$14:$I$73,0)),""),4,IFERROR(INDEX('Lớp 4 - Danh mục'!$AI$14:$AI$132,MATCH($X102,'Lớp 4 - Danh mục'!$I$14:$I$132,0)),""),5,IFERROR(INDEX('Lớp 5 - Phân công'!$AJ$14:$AJ$262,MATCH($X102,'Lớp 5 - Phân công'!$I$14:$I$262,0)),""),6,IFERROR(INDEX('Lớp 6 - Chi tiết'!$AM$14:$AM$267,MATCH($X102,'Lớp 6 - Chi tiết'!$I$14:$I$267,0)),""),""))</f>
        <v/>
      </c>
      <c r="BJ102" s="389" t="str">
        <f t="array" ref="BJ102">IF($X102="","",SWITCH($W102,3,IFERROR(INDEX('Lớp 3 - Công việc chính'!$AR$14:$AR$73,MATCH($X102,'Lớp 3 - Công việc chính'!$I$14:$I$73,0)),""),4,IFERROR(INDEX('Lớp 4 - Danh mục'!$AU$14:$AU$132,MATCH($X102,'Lớp 4 - Danh mục'!$I$14:$I$132,0)),""),5,IFERROR(INDEX('Lớp 5 - Phân công'!$AV$14:$AV$262,MATCH($X102,'Lớp 5 - Phân công'!$I$14:$I$262,0)),""),6,IFERROR(INDEX('Lớp 6 - Chi tiết'!$AY$14:$AY$267,MATCH($X102,'Lớp 6 - Chi tiết'!$I$14:$I$267,0)),""),""))</f>
        <v>Thiếu tham số phân bổ</v>
      </c>
    </row>
    <row r="103" ht="15.75" customHeight="1">
      <c r="A103" s="294" t="str">
        <f t="shared" si="12"/>
        <v>▓▓ L3  17  SỐ HOÁ DL QUẢN TRỊ ALL BOC &amp; ALL PB</v>
      </c>
      <c r="B103" s="301" t="str">
        <f t="shared" si="13"/>
        <v>Ms Trang</v>
      </c>
      <c r="C103" s="301" t="str">
        <f t="shared" si="14"/>
        <v>Dữ liệu điều hành</v>
      </c>
      <c r="D103" s="301" t="str">
        <f t="shared" si="15"/>
        <v>P3</v>
      </c>
      <c r="E103" s="301" t="str">
        <f t="shared" si="16"/>
        <v>Chưa bắt đầu</v>
      </c>
      <c r="F103" s="317">
        <f t="shared" si="17"/>
        <v>0</v>
      </c>
      <c r="G103" s="323" t="str">
        <f t="shared" si="18"/>
        <v/>
      </c>
      <c r="H103" s="327" t="str">
        <f t="shared" si="19"/>
        <v/>
      </c>
      <c r="I103" s="327">
        <f t="shared" si="20"/>
        <v>240</v>
      </c>
      <c r="J103" s="301" t="str">
        <f t="shared" si="21"/>
        <v>🔵 Chưa có hạn</v>
      </c>
      <c r="K103" s="301" t="str">
        <f t="shared" si="22"/>
        <v>Thiếu tham số phân bổ</v>
      </c>
      <c r="L103" s="344" t="str">
        <f t="array" ref="L103">IF($T103="","",LET(m,MATCH($T103,$AS$24:$AS$700,0),lvl,INDEX($W$24:$W$700,m),id,INDEX($X$24:$X$700,m),SWITCH(lvl,3,"Lớp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chính!A30</v>
      </c>
      <c r="M103" s="351" t="str">
        <f t="shared" si="23"/>
        <v/>
      </c>
      <c r="N103" s="356" t="str">
        <f t="shared" si="24"/>
        <v>Thiếu tham số phân bổ</v>
      </c>
      <c r="O103" s="358"/>
      <c r="P103" s="360"/>
      <c r="Q103" s="360"/>
      <c r="R103" s="67"/>
      <c r="S103" s="67"/>
      <c r="T103" s="67" t="str">
        <f>IFERROR(__xludf.DUMMYFUNCTION("""COMPUTED_VALUE"""),"17")</f>
        <v>17</v>
      </c>
      <c r="U103" s="389" t="str">
        <f>IF('Lớp 4 - Danh mục'!I33="","",'Lớp 4 - Danh mục'!J33&amp;"|"&amp;'Lớp 4 - Danh mục'!I33)</f>
        <v>HHL3RD01|HHL4RD20</v>
      </c>
      <c r="V103" s="389" t="str">
        <f>IF('Lớp 4 - Danh mục'!I33="","","   ├─ "&amp;'Lớp 4 - Danh mục'!O33)</f>
        <v>   ├─ Đánh giá QHSP 2026, các vđ cần khắc phục</v>
      </c>
      <c r="W103" s="389">
        <f>IF('Lớp 4 - Danh mục'!I33="","",4)</f>
        <v>4</v>
      </c>
      <c r="X103" s="67" t="str">
        <f>'Lớp 4 - Danh mục'!I33</f>
        <v>HHL4RD20</v>
      </c>
      <c r="Y103" s="67" t="str">
        <f>'Lớp 4 - Danh mục'!J33</f>
        <v>HHL3RD01</v>
      </c>
      <c r="Z103" s="67" t="str">
        <f>'Lớp 4 - Danh mục'!Z33</f>
        <v>Ms Trang</v>
      </c>
      <c r="AA103" s="67" t="str">
        <f>'Lớp 4 - Danh mục'!X33</f>
        <v>R&amp;D</v>
      </c>
      <c r="AB103" s="67" t="str">
        <f>'Lớp 4 - Danh mục'!AB33</f>
        <v>P4</v>
      </c>
      <c r="AC103" s="67" t="str">
        <f>'Lớp 4 - Danh mục'!AA33</f>
        <v>Đang thực hiện</v>
      </c>
      <c r="AD103" s="398">
        <f>'Lớp 4 - Danh mục'!AF33</f>
        <v>0</v>
      </c>
      <c r="AE103" s="358">
        <f>'Lớp 4 - Danh mục'!AD33</f>
        <v>46295</v>
      </c>
      <c r="AF103" s="187">
        <f>'Lớp 4 - Danh mục'!AG33</f>
        <v>41</v>
      </c>
      <c r="AG103" s="104">
        <f>'Lớp 4 - Danh mục'!AH33</f>
        <v>40</v>
      </c>
      <c r="AH103" s="389">
        <f t="shared" si="27"/>
        <v>40</v>
      </c>
      <c r="AI103" s="389" t="str">
        <f t="shared" si="37"/>
        <v>🟢 Theo kế hoạch</v>
      </c>
      <c r="AJ103" s="67" t="str">
        <f>'Lớp 4 - Danh mục'!AK33</f>
        <v>Thiếu tham số phân bổ</v>
      </c>
      <c r="AS103" s="389" t="str">
        <f t="shared" si="97"/>
        <v>04.05</v>
      </c>
      <c r="AT103" s="389" t="str">
        <f t="shared" si="32"/>
        <v/>
      </c>
      <c r="AU103" s="389" t="str">
        <f t="shared" si="33"/>
        <v>Đánh giá QHSP 2026, các vđ cần khắc phục</v>
      </c>
      <c r="AV103" s="389" t="str">
        <f t="shared" si="34"/>
        <v/>
      </c>
      <c r="AW103" s="389" t="str">
        <f t="shared" si="35"/>
        <v/>
      </c>
      <c r="AX103" s="67" t="str">
        <f t="shared" ref="AX103:BH103" si="116">Z103</f>
        <v>Ms Trang</v>
      </c>
      <c r="AY103" s="67" t="str">
        <f t="shared" si="116"/>
        <v>R&amp;D</v>
      </c>
      <c r="AZ103" s="67" t="str">
        <f t="shared" si="116"/>
        <v>P4</v>
      </c>
      <c r="BA103" s="67" t="str">
        <f t="shared" si="116"/>
        <v>Đang thực hiện</v>
      </c>
      <c r="BB103" s="398">
        <f t="shared" si="116"/>
        <v>0</v>
      </c>
      <c r="BC103" s="358">
        <f t="shared" si="116"/>
        <v>46295</v>
      </c>
      <c r="BD103" s="187">
        <f t="shared" si="116"/>
        <v>41</v>
      </c>
      <c r="BE103" s="104">
        <f t="shared" si="116"/>
        <v>40</v>
      </c>
      <c r="BF103" s="389">
        <f t="shared" si="116"/>
        <v>40</v>
      </c>
      <c r="BG103" s="389" t="str">
        <f t="shared" si="116"/>
        <v>🟢 Theo kế hoạch</v>
      </c>
      <c r="BH103" s="67" t="str">
        <f t="shared" si="116"/>
        <v>Thiếu tham số phân bổ</v>
      </c>
      <c r="BI103" s="389" t="str">
        <f t="array" ref="BI103">IF($X103="","",SWITCH($W103,3,IFERROR(INDEX('Lớp 3 - Công việc chính'!$AF$14:$AF$73,MATCH($X103,'Lớp 3 - Công việc chính'!$I$14:$I$73,0)),""),4,IFERROR(INDEX('Lớp 4 - Danh mục'!$AI$14:$AI$132,MATCH($X103,'Lớp 4 - Danh mục'!$I$14:$I$132,0)),""),5,IFERROR(INDEX('Lớp 5 - Phân công'!$AJ$14:$AJ$262,MATCH($X103,'Lớp 5 - Phân công'!$I$14:$I$262,0)),""),6,IFERROR(INDEX('Lớp 6 - Chi tiết'!$AM$14:$AM$267,MATCH($X103,'Lớp 6 - Chi tiết'!$I$14:$I$267,0)),""),""))</f>
        <v/>
      </c>
      <c r="BJ103" s="389" t="str">
        <f t="array" ref="BJ103">IF($X103="","",SWITCH($W103,3,IFERROR(INDEX('Lớp 3 - Công việc chính'!$AR$14:$AR$73,MATCH($X103,'Lớp 3 - Công việc chính'!$I$14:$I$73,0)),""),4,IFERROR(INDEX('Lớp 4 - Danh mục'!$AU$14:$AU$132,MATCH($X103,'Lớp 4 - Danh mục'!$I$14:$I$132,0)),""),5,IFERROR(INDEX('Lớp 5 - Phân công'!$AV$14:$AV$262,MATCH($X103,'Lớp 5 - Phân công'!$I$14:$I$262,0)),""),6,IFERROR(INDEX('Lớp 6 - Chi tiết'!$AY$14:$AY$267,MATCH($X103,'Lớp 6 - Chi tiết'!$I$14:$I$267,0)),""),""))</f>
        <v>Thiếu tham số phân bổ</v>
      </c>
    </row>
    <row r="104" ht="15.75" customHeight="1">
      <c r="A104" s="294" t="str">
        <f t="shared" si="12"/>
        <v>▓▓ L3  18  XDHT NGƯỠNG ĐIỀU TIẾT &amp; CUNG ỨNG HÀNG HOÁ</v>
      </c>
      <c r="B104" s="301" t="str">
        <f t="shared" si="13"/>
        <v>Ms Trang</v>
      </c>
      <c r="C104" s="301" t="str">
        <f t="shared" si="14"/>
        <v>Dữ liệu điều hành</v>
      </c>
      <c r="D104" s="301" t="str">
        <f t="shared" si="15"/>
        <v>P3</v>
      </c>
      <c r="E104" s="301" t="str">
        <f t="shared" si="16"/>
        <v>Chưa bắt đầu</v>
      </c>
      <c r="F104" s="317">
        <f t="shared" si="17"/>
        <v>0</v>
      </c>
      <c r="G104" s="323">
        <f t="shared" si="18"/>
        <v>46310</v>
      </c>
      <c r="H104" s="327" t="str">
        <f t="shared" si="19"/>
        <v/>
      </c>
      <c r="I104" s="327">
        <f t="shared" si="20"/>
        <v>160</v>
      </c>
      <c r="J104" s="301" t="str">
        <f t="shared" si="21"/>
        <v>🟢 Theo kế hoạch</v>
      </c>
      <c r="K104" s="301" t="str">
        <f t="shared" si="22"/>
        <v>Chưa tính tải</v>
      </c>
      <c r="L104" s="344" t="str">
        <f t="array" ref="L104">IF($T104="","",LET(m,MATCH($T104,$AS$24:$AS$700,0),lvl,INDEX($W$24:$W$700,m),id,INDEX($X$24:$X$700,m),SWITCH(lvl,3,"Lớp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chính!A31</v>
      </c>
      <c r="M104" s="351" t="str">
        <f t="shared" si="23"/>
        <v/>
      </c>
      <c r="N104" s="356" t="str">
        <f t="shared" si="24"/>
        <v>Theo dõi phân bổ tại Lớp 4</v>
      </c>
      <c r="O104" s="358"/>
      <c r="P104" s="360"/>
      <c r="Q104" s="360"/>
      <c r="R104" s="67"/>
      <c r="S104" s="67"/>
      <c r="T104" s="67" t="str">
        <f>IFERROR(__xludf.DUMMYFUNCTION("""COMPUTED_VALUE"""),"18")</f>
        <v>18</v>
      </c>
      <c r="U104" s="389" t="str">
        <f>IF('Lớp 4 - Danh mục'!I34="","",'Lớp 4 - Danh mục'!J34&amp;"|"&amp;'Lớp 4 - Danh mục'!I34)</f>
        <v>HHL3RD01|HHL4RD21</v>
      </c>
      <c r="V104" s="389" t="str">
        <f>IF('Lớp 4 - Danh mục'!I34="","","   ├─ "&amp;'Lớp 4 - Danh mục'!O34)</f>
        <v>   ├─ Đào tạo nội bộ cútomer Insight phục vụ NC &amp; PTSP</v>
      </c>
      <c r="W104" s="389">
        <f>IF('Lớp 4 - Danh mục'!I34="","",4)</f>
        <v>4</v>
      </c>
      <c r="X104" s="67" t="str">
        <f>'Lớp 4 - Danh mục'!I34</f>
        <v>HHL4RD21</v>
      </c>
      <c r="Y104" s="67" t="str">
        <f>'Lớp 4 - Danh mục'!J34</f>
        <v>HHL3RD01</v>
      </c>
      <c r="Z104" s="67" t="str">
        <f>'Lớp 4 - Danh mục'!Z34</f>
        <v>Ms Trang</v>
      </c>
      <c r="AA104" s="67" t="str">
        <f>'Lớp 4 - Danh mục'!X34</f>
        <v>R&amp;D</v>
      </c>
      <c r="AB104" s="67" t="str">
        <f>'Lớp 4 - Danh mục'!AB34</f>
        <v>P2</v>
      </c>
      <c r="AC104" s="67" t="str">
        <f>'Lớp 4 - Danh mục'!AA34</f>
        <v>Đang thực hiện</v>
      </c>
      <c r="AD104" s="398">
        <f>'Lớp 4 - Danh mục'!AF34</f>
        <v>0</v>
      </c>
      <c r="AE104" s="358">
        <f>'Lớp 4 - Danh mục'!AD34</f>
        <v>46305</v>
      </c>
      <c r="AF104" s="187">
        <f>'Lớp 4 - Danh mục'!AG34</f>
        <v>50</v>
      </c>
      <c r="AG104" s="104">
        <f>'Lớp 4 - Danh mục'!AH34</f>
        <v>40</v>
      </c>
      <c r="AH104" s="389">
        <f t="shared" si="27"/>
        <v>40</v>
      </c>
      <c r="AI104" s="389" t="str">
        <f t="shared" si="37"/>
        <v>🟢 Theo kế hoạch</v>
      </c>
      <c r="AJ104" s="67" t="str">
        <f>'Lớp 4 - Danh mục'!AK34</f>
        <v>Thiếu tham số phân bổ</v>
      </c>
      <c r="AS104" s="389" t="str">
        <f t="shared" si="97"/>
        <v>04.06</v>
      </c>
      <c r="AT104" s="389" t="str">
        <f t="shared" si="32"/>
        <v/>
      </c>
      <c r="AU104" s="389" t="str">
        <f t="shared" si="33"/>
        <v>Đào tạo nội bộ cútomer Insight phục vụ NC &amp; PTSP</v>
      </c>
      <c r="AV104" s="389" t="str">
        <f t="shared" si="34"/>
        <v/>
      </c>
      <c r="AW104" s="389" t="str">
        <f t="shared" si="35"/>
        <v/>
      </c>
      <c r="AX104" s="67" t="str">
        <f t="shared" ref="AX104:BH104" si="117">Z104</f>
        <v>Ms Trang</v>
      </c>
      <c r="AY104" s="67" t="str">
        <f t="shared" si="117"/>
        <v>R&amp;D</v>
      </c>
      <c r="AZ104" s="67" t="str">
        <f t="shared" si="117"/>
        <v>P2</v>
      </c>
      <c r="BA104" s="67" t="str">
        <f t="shared" si="117"/>
        <v>Đang thực hiện</v>
      </c>
      <c r="BB104" s="398">
        <f t="shared" si="117"/>
        <v>0</v>
      </c>
      <c r="BC104" s="358">
        <f t="shared" si="117"/>
        <v>46305</v>
      </c>
      <c r="BD104" s="187">
        <f t="shared" si="117"/>
        <v>50</v>
      </c>
      <c r="BE104" s="104">
        <f t="shared" si="117"/>
        <v>40</v>
      </c>
      <c r="BF104" s="389">
        <f t="shared" si="117"/>
        <v>40</v>
      </c>
      <c r="BG104" s="389" t="str">
        <f t="shared" si="117"/>
        <v>🟢 Theo kế hoạch</v>
      </c>
      <c r="BH104" s="67" t="str">
        <f t="shared" si="117"/>
        <v>Thiếu tham số phân bổ</v>
      </c>
      <c r="BI104" s="389" t="str">
        <f t="array" ref="BI104">IF($X104="","",SWITCH($W104,3,IFERROR(INDEX('Lớp 3 - Công việc chính'!$AF$14:$AF$73,MATCH($X104,'Lớp 3 - Công việc chính'!$I$14:$I$73,0)),""),4,IFERROR(INDEX('Lớp 4 - Danh mục'!$AI$14:$AI$132,MATCH($X104,'Lớp 4 - Danh mục'!$I$14:$I$132,0)),""),5,IFERROR(INDEX('Lớp 5 - Phân công'!$AJ$14:$AJ$262,MATCH($X104,'Lớp 5 - Phân công'!$I$14:$I$262,0)),""),6,IFERROR(INDEX('Lớp 6 - Chi tiết'!$AM$14:$AM$267,MATCH($X104,'Lớp 6 - Chi tiết'!$I$14:$I$267,0)),""),""))</f>
        <v/>
      </c>
      <c r="BJ104" s="389" t="str">
        <f t="array" ref="BJ104">IF($X104="","",SWITCH($W104,3,IFERROR(INDEX('Lớp 3 - Công việc chính'!$AR$14:$AR$73,MATCH($X104,'Lớp 3 - Công việc chính'!$I$14:$I$73,0)),""),4,IFERROR(INDEX('Lớp 4 - Danh mục'!$AU$14:$AU$132,MATCH($X104,'Lớp 4 - Danh mục'!$I$14:$I$132,0)),""),5,IFERROR(INDEX('Lớp 5 - Phân công'!$AV$14:$AV$262,MATCH($X104,'Lớp 5 - Phân công'!$I$14:$I$262,0)),""),6,IFERROR(INDEX('Lớp 6 - Chi tiết'!$AY$14:$AY$267,MATCH($X104,'Lớp 6 - Chi tiết'!$I$14:$I$267,0)),""),""))</f>
        <v>Thiếu tham số phân bổ</v>
      </c>
    </row>
    <row r="105" ht="15.75" customHeight="1">
      <c r="A105" s="294" t="str">
        <f t="shared" si="12"/>
        <v>    ├─ ▓ L4  18.01  BC về NLSX &amp; cung ứng hàng hoá</v>
      </c>
      <c r="B105" s="301" t="str">
        <f t="shared" si="13"/>
        <v>Em Đại</v>
      </c>
      <c r="C105" s="301" t="str">
        <f t="shared" si="14"/>
        <v>Dữ liệu điều hành</v>
      </c>
      <c r="D105" s="301" t="str">
        <f t="shared" si="15"/>
        <v>P2</v>
      </c>
      <c r="E105" s="301" t="str">
        <f t="shared" si="16"/>
        <v>Chưa bắt đầu</v>
      </c>
      <c r="F105" s="317">
        <f t="shared" si="17"/>
        <v>0</v>
      </c>
      <c r="G105" s="323">
        <f t="shared" si="18"/>
        <v>46310</v>
      </c>
      <c r="H105" s="327">
        <f t="shared" si="19"/>
        <v>54</v>
      </c>
      <c r="I105" s="327">
        <f t="shared" si="20"/>
        <v>160</v>
      </c>
      <c r="J105" s="301" t="str">
        <f t="shared" si="21"/>
        <v>🟢 Theo kế hoạch</v>
      </c>
      <c r="K105" s="301" t="str">
        <f t="shared" si="22"/>
        <v>Thiếu tham số phân bổ</v>
      </c>
      <c r="L105" s="344" t="str">
        <f t="array" ref="L105">IF($T105="","",LET(m,MATCH($T105,$AS$24:$AS$700,0),lvl,INDEX($W$24:$W$700,m),id,INDEX($X$24:$X$700,m),SWITCH(lvl,3,"Lớp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mục!A46</v>
      </c>
      <c r="M105" s="351" t="str">
        <f t="shared" si="23"/>
        <v/>
      </c>
      <c r="N105" s="356" t="str">
        <f t="shared" si="24"/>
        <v>Thiếu tham số phân bổ</v>
      </c>
      <c r="O105" s="358"/>
      <c r="P105" s="360"/>
      <c r="Q105" s="360"/>
      <c r="R105" s="67"/>
      <c r="S105" s="67"/>
      <c r="T105" s="67" t="str">
        <f>IFERROR(__xludf.DUMMYFUNCTION("""COMPUTED_VALUE"""),"18.01")</f>
        <v>18.01</v>
      </c>
      <c r="U105" s="389" t="str">
        <f>IF('Lớp 4 - Danh mục'!I35="","",'Lớp 4 - Danh mục'!J35&amp;"|"&amp;'Lớp 4 - Danh mục'!I35)</f>
        <v>HHL3RD12|HHL4RD22</v>
      </c>
      <c r="V105" s="389" t="str">
        <f>IF('Lớp 4 - Danh mục'!I35="","","   ├─ "&amp;'Lớp 4 - Danh mục'!O35)</f>
        <v>   ├─ Xây dựng Bộ quy tắc &amp; ngưỡng điều tiết cung ứng hàng hóa</v>
      </c>
      <c r="W105" s="389">
        <f>IF('Lớp 4 - Danh mục'!I35="","",4)</f>
        <v>4</v>
      </c>
      <c r="X105" s="67" t="str">
        <f>'Lớp 4 - Danh mục'!I35</f>
        <v>HHL4RD22</v>
      </c>
      <c r="Y105" s="67" t="str">
        <f>'Lớp 4 - Danh mục'!J35</f>
        <v>HHL3RD12</v>
      </c>
      <c r="Z105" s="67" t="str">
        <f>'Lớp 4 - Danh mục'!Z35</f>
        <v>Ms Trang</v>
      </c>
      <c r="AA105" s="67" t="str">
        <f>'Lớp 4 - Danh mục'!X35</f>
        <v>R&amp;D</v>
      </c>
      <c r="AB105" s="67" t="str">
        <f>'Lớp 4 - Danh mục'!AB35</f>
        <v>P2</v>
      </c>
      <c r="AC105" s="67" t="str">
        <f>'Lớp 4 - Danh mục'!AA35</f>
        <v>Đang thực hiện</v>
      </c>
      <c r="AD105" s="398">
        <f>'Lớp 4 - Danh mục'!AF35</f>
        <v>0</v>
      </c>
      <c r="AE105" s="358">
        <f>'Lớp 4 - Danh mục'!AD35</f>
        <v>46356</v>
      </c>
      <c r="AF105" s="187">
        <f>'Lớp 4 - Danh mục'!AG35</f>
        <v>93</v>
      </c>
      <c r="AG105" s="104">
        <f>'Lớp 4 - Danh mục'!AH35</f>
        <v>40</v>
      </c>
      <c r="AH105" s="389">
        <f t="shared" si="27"/>
        <v>40</v>
      </c>
      <c r="AI105" s="389" t="str">
        <f t="shared" si="37"/>
        <v>🟢 Theo kế hoạch</v>
      </c>
      <c r="AJ105" s="67" t="str">
        <f>'Lớp 4 - Danh mục'!AK35</f>
        <v>Thiếu tham số phân bổ</v>
      </c>
      <c r="AS105" s="389" t="str">
        <f t="shared" si="97"/>
        <v>15.06</v>
      </c>
      <c r="AT105" s="389" t="str">
        <f t="shared" si="32"/>
        <v/>
      </c>
      <c r="AU105" s="389" t="str">
        <f t="shared" si="33"/>
        <v>Xây dựng Bộ quy tắc &amp; ngưỡng điều tiết cung ứng hàng hóa</v>
      </c>
      <c r="AV105" s="389" t="str">
        <f t="shared" si="34"/>
        <v/>
      </c>
      <c r="AW105" s="389" t="str">
        <f t="shared" si="35"/>
        <v/>
      </c>
      <c r="AX105" s="67" t="str">
        <f t="shared" ref="AX105:BH105" si="118">Z105</f>
        <v>Ms Trang</v>
      </c>
      <c r="AY105" s="67" t="str">
        <f t="shared" si="118"/>
        <v>R&amp;D</v>
      </c>
      <c r="AZ105" s="67" t="str">
        <f t="shared" si="118"/>
        <v>P2</v>
      </c>
      <c r="BA105" s="67" t="str">
        <f t="shared" si="118"/>
        <v>Đang thực hiện</v>
      </c>
      <c r="BB105" s="398">
        <f t="shared" si="118"/>
        <v>0</v>
      </c>
      <c r="BC105" s="358">
        <f t="shared" si="118"/>
        <v>46356</v>
      </c>
      <c r="BD105" s="187">
        <f t="shared" si="118"/>
        <v>93</v>
      </c>
      <c r="BE105" s="104">
        <f t="shared" si="118"/>
        <v>40</v>
      </c>
      <c r="BF105" s="389">
        <f t="shared" si="118"/>
        <v>40</v>
      </c>
      <c r="BG105" s="389" t="str">
        <f t="shared" si="118"/>
        <v>🟢 Theo kế hoạch</v>
      </c>
      <c r="BH105" s="67" t="str">
        <f t="shared" si="118"/>
        <v>Thiếu tham số phân bổ</v>
      </c>
      <c r="BI105" s="389" t="str">
        <f t="array" ref="BI105">IF($X105="","",SWITCH($W105,3,IFERROR(INDEX('Lớp 3 - Công việc chính'!$AF$14:$AF$73,MATCH($X105,'Lớp 3 - Công việc chính'!$I$14:$I$73,0)),""),4,IFERROR(INDEX('Lớp 4 - Danh mục'!$AI$14:$AI$132,MATCH($X105,'Lớp 4 - Danh mục'!$I$14:$I$132,0)),""),5,IFERROR(INDEX('Lớp 5 - Phân công'!$AJ$14:$AJ$262,MATCH($X105,'Lớp 5 - Phân công'!$I$14:$I$262,0)),""),6,IFERROR(INDEX('Lớp 6 - Chi tiết'!$AM$14:$AM$267,MATCH($X105,'Lớp 6 - Chi tiết'!$I$14:$I$267,0)),""),""))</f>
        <v/>
      </c>
      <c r="BJ105" s="389" t="str">
        <f t="array" ref="BJ105">IF($X105="","",SWITCH($W105,3,IFERROR(INDEX('Lớp 3 - Công việc chính'!$AR$14:$AR$73,MATCH($X105,'Lớp 3 - Công việc chính'!$I$14:$I$73,0)),""),4,IFERROR(INDEX('Lớp 4 - Danh mục'!$AU$14:$AU$132,MATCH($X105,'Lớp 4 - Danh mục'!$I$14:$I$132,0)),""),5,IFERROR(INDEX('Lớp 5 - Phân công'!$AV$14:$AV$262,MATCH($X105,'Lớp 5 - Phân công'!$I$14:$I$262,0)),""),6,IFERROR(INDEX('Lớp 6 - Chi tiết'!$AY$14:$AY$267,MATCH($X105,'Lớp 6 - Chi tiết'!$I$14:$I$267,0)),""),""))</f>
        <v>Thiếu tham số phân bổ</v>
      </c>
    </row>
    <row r="106" ht="15.75" customHeight="1">
      <c r="A106" s="294" t="str">
        <f t="shared" si="12"/>
        <v>▓▓ L3  20  PHÁT TRIỂN HT BC TỰ ĐỘNG ĐỊNH KỲ</v>
      </c>
      <c r="B106" s="301" t="str">
        <f t="shared" si="13"/>
        <v>Ms Trang</v>
      </c>
      <c r="C106" s="301" t="str">
        <f t="shared" si="14"/>
        <v>Dữ liệu điều hành</v>
      </c>
      <c r="D106" s="301" t="str">
        <f t="shared" si="15"/>
        <v>P1</v>
      </c>
      <c r="E106" s="301" t="str">
        <f t="shared" si="16"/>
        <v>Chưa bắt đầu</v>
      </c>
      <c r="F106" s="317">
        <f t="shared" si="17"/>
        <v>0</v>
      </c>
      <c r="G106" s="323">
        <f t="shared" si="18"/>
        <v>46265</v>
      </c>
      <c r="H106" s="327">
        <f t="shared" si="19"/>
        <v>17</v>
      </c>
      <c r="I106" s="327">
        <f t="shared" si="20"/>
        <v>200</v>
      </c>
      <c r="J106" s="301" t="str">
        <f t="shared" si="21"/>
        <v>🟣 P1 trọng yếu</v>
      </c>
      <c r="K106" s="301" t="str">
        <f t="shared" si="22"/>
        <v>Thiếu tham số phân bổ</v>
      </c>
      <c r="L106" s="344" t="str">
        <f t="array" ref="L106">IF($T106="","",LET(m,MATCH($T106,$AS$24:$AS$700,0),lvl,INDEX($W$24:$W$700,m),id,INDEX($X$24:$X$700,m),SWITCH(lvl,3,"Lớp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chính!A33</v>
      </c>
      <c r="M106" s="351" t="str">
        <f t="shared" si="23"/>
        <v/>
      </c>
      <c r="N106" s="356" t="str">
        <f t="shared" si="24"/>
        <v>Thiếu tham số phân bổ</v>
      </c>
      <c r="O106" s="358"/>
      <c r="P106" s="360"/>
      <c r="Q106" s="360"/>
      <c r="R106" s="67"/>
      <c r="S106" s="67"/>
      <c r="T106" s="67" t="str">
        <f>IFERROR(__xludf.DUMMYFUNCTION("""COMPUTED_VALUE"""),"20")</f>
        <v>20</v>
      </c>
      <c r="U106" s="389" t="str">
        <f>IF('Lớp 4 - Danh mục'!I36="","",'Lớp 4 - Danh mục'!J36&amp;"|"&amp;'Lớp 4 - Danh mục'!I36)</f>
        <v>HHL3RD12|HHL4RD23</v>
      </c>
      <c r="V106" s="389" t="str">
        <f>IF('Lớp 4 - Danh mục'!I36="","","   ├─ "&amp;'Lớp 4 - Danh mục'!O36)</f>
        <v>   ├─ Số hoá BC theo dõi SP hàng bán theo kênh</v>
      </c>
      <c r="W106" s="389">
        <f>IF('Lớp 4 - Danh mục'!I36="","",4)</f>
        <v>4</v>
      </c>
      <c r="X106" s="67" t="str">
        <f>'Lớp 4 - Danh mục'!I36</f>
        <v>HHL4RD23</v>
      </c>
      <c r="Y106" s="67" t="str">
        <f>'Lớp 4 - Danh mục'!J36</f>
        <v>HHL3RD12</v>
      </c>
      <c r="Z106" s="67" t="str">
        <f>'Lớp 4 - Danh mục'!Z36</f>
        <v>Ms Trang</v>
      </c>
      <c r="AA106" s="67" t="str">
        <f>'Lớp 4 - Danh mục'!X36</f>
        <v>R&amp;D</v>
      </c>
      <c r="AB106" s="67" t="str">
        <f>'Lớp 4 - Danh mục'!AB36</f>
        <v>P2</v>
      </c>
      <c r="AC106" s="67" t="str">
        <f>'Lớp 4 - Danh mục'!AA36</f>
        <v>Đang thực hiện</v>
      </c>
      <c r="AD106" s="398">
        <f>'Lớp 4 - Danh mục'!AF36</f>
        <v>0</v>
      </c>
      <c r="AE106" s="358">
        <f>'Lớp 4 - Danh mục'!AD36</f>
        <v>46371</v>
      </c>
      <c r="AF106" s="187">
        <f>'Lớp 4 - Danh mục'!AG36</f>
        <v>106</v>
      </c>
      <c r="AG106" s="104">
        <f>'Lớp 4 - Danh mục'!AH36</f>
        <v>40</v>
      </c>
      <c r="AH106" s="389">
        <f t="shared" si="27"/>
        <v>40</v>
      </c>
      <c r="AI106" s="389" t="str">
        <f t="shared" si="37"/>
        <v>🟢 Theo kế hoạch</v>
      </c>
      <c r="AJ106" s="67" t="str">
        <f>'Lớp 4 - Danh mục'!AK36</f>
        <v>Thiếu tham số phân bổ</v>
      </c>
      <c r="AS106" s="389" t="str">
        <f t="shared" si="97"/>
        <v>15.07</v>
      </c>
      <c r="AT106" s="389" t="str">
        <f t="shared" si="32"/>
        <v/>
      </c>
      <c r="AU106" s="389" t="str">
        <f t="shared" si="33"/>
        <v>Số hoá BC theo dõi SP hàng bán theo kênh</v>
      </c>
      <c r="AV106" s="389" t="str">
        <f t="shared" si="34"/>
        <v/>
      </c>
      <c r="AW106" s="389" t="str">
        <f t="shared" si="35"/>
        <v/>
      </c>
      <c r="AX106" s="67" t="str">
        <f t="shared" ref="AX106:BH106" si="119">Z106</f>
        <v>Ms Trang</v>
      </c>
      <c r="AY106" s="67" t="str">
        <f t="shared" si="119"/>
        <v>R&amp;D</v>
      </c>
      <c r="AZ106" s="67" t="str">
        <f t="shared" si="119"/>
        <v>P2</v>
      </c>
      <c r="BA106" s="67" t="str">
        <f t="shared" si="119"/>
        <v>Đang thực hiện</v>
      </c>
      <c r="BB106" s="398">
        <f t="shared" si="119"/>
        <v>0</v>
      </c>
      <c r="BC106" s="358">
        <f t="shared" si="119"/>
        <v>46371</v>
      </c>
      <c r="BD106" s="187">
        <f t="shared" si="119"/>
        <v>106</v>
      </c>
      <c r="BE106" s="104">
        <f t="shared" si="119"/>
        <v>40</v>
      </c>
      <c r="BF106" s="389">
        <f t="shared" si="119"/>
        <v>40</v>
      </c>
      <c r="BG106" s="389" t="str">
        <f t="shared" si="119"/>
        <v>🟢 Theo kế hoạch</v>
      </c>
      <c r="BH106" s="67" t="str">
        <f t="shared" si="119"/>
        <v>Thiếu tham số phân bổ</v>
      </c>
      <c r="BI106" s="389" t="str">
        <f t="array" ref="BI106">IF($X106="","",SWITCH($W106,3,IFERROR(INDEX('Lớp 3 - Công việc chính'!$AF$14:$AF$73,MATCH($X106,'Lớp 3 - Công việc chính'!$I$14:$I$73,0)),""),4,IFERROR(INDEX('Lớp 4 - Danh mục'!$AI$14:$AI$132,MATCH($X106,'Lớp 4 - Danh mục'!$I$14:$I$132,0)),""),5,IFERROR(INDEX('Lớp 5 - Phân công'!$AJ$14:$AJ$262,MATCH($X106,'Lớp 5 - Phân công'!$I$14:$I$262,0)),""),6,IFERROR(INDEX('Lớp 6 - Chi tiết'!$AM$14:$AM$267,MATCH($X106,'Lớp 6 - Chi tiết'!$I$14:$I$267,0)),""),""))</f>
        <v/>
      </c>
      <c r="BJ106" s="389" t="str">
        <f t="array" ref="BJ106">IF($X106="","",SWITCH($W106,3,IFERROR(INDEX('Lớp 3 - Công việc chính'!$AR$14:$AR$73,MATCH($X106,'Lớp 3 - Công việc chính'!$I$14:$I$73,0)),""),4,IFERROR(INDEX('Lớp 4 - Danh mục'!$AU$14:$AU$132,MATCH($X106,'Lớp 4 - Danh mục'!$I$14:$I$132,0)),""),5,IFERROR(INDEX('Lớp 5 - Phân công'!$AV$14:$AV$262,MATCH($X106,'Lớp 5 - Phân công'!$I$14:$I$262,0)),""),6,IFERROR(INDEX('Lớp 6 - Chi tiết'!$AY$14:$AY$267,MATCH($X106,'Lớp 6 - Chi tiết'!$I$14:$I$267,0)),""),""))</f>
        <v>Thiếu tham số phân bổ</v>
      </c>
    </row>
    <row r="107" ht="15.75" customHeight="1">
      <c r="A107" s="294" t="str">
        <f t="shared" si="12"/>
        <v>▓▓ L3  21  XDHT QUẢN LÝ NCC</v>
      </c>
      <c r="B107" s="301" t="str">
        <f t="shared" si="13"/>
        <v>Ms Trang</v>
      </c>
      <c r="C107" s="301" t="str">
        <f t="shared" si="14"/>
        <v>Dữ liệu điều hành</v>
      </c>
      <c r="D107" s="301" t="str">
        <f t="shared" si="15"/>
        <v>P2</v>
      </c>
      <c r="E107" s="301" t="str">
        <f t="shared" si="16"/>
        <v>Chưa bắt đầu</v>
      </c>
      <c r="F107" s="317">
        <f t="shared" si="17"/>
        <v>0</v>
      </c>
      <c r="G107" s="323">
        <f t="shared" si="18"/>
        <v>46265</v>
      </c>
      <c r="H107" s="327">
        <f t="shared" si="19"/>
        <v>17</v>
      </c>
      <c r="I107" s="327">
        <f t="shared" si="20"/>
        <v>240</v>
      </c>
      <c r="J107" s="301" t="str">
        <f t="shared" si="21"/>
        <v>🟢 Theo kế hoạch</v>
      </c>
      <c r="K107" s="301" t="str">
        <f t="shared" si="22"/>
        <v>Theo dõi tải tại Lớp 4</v>
      </c>
      <c r="L107" s="344" t="str">
        <f t="array" ref="L107">IF($T107="","",LET(m,MATCH($T107,$AS$24:$AS$700,0),lvl,INDEX($W$24:$W$700,m),id,INDEX($X$24:$X$700,m),SWITCH(lvl,3,"Lớp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chính!A34</v>
      </c>
      <c r="M107" s="351" t="str">
        <f t="shared" si="23"/>
        <v/>
      </c>
      <c r="N107" s="356" t="str">
        <f t="shared" si="24"/>
        <v>Theo dõi phân bổ tại Lớp 4</v>
      </c>
      <c r="O107" s="358"/>
      <c r="P107" s="360"/>
      <c r="Q107" s="360"/>
      <c r="R107" s="67"/>
      <c r="S107" s="67"/>
      <c r="T107" s="67" t="str">
        <f>IFERROR(__xludf.DUMMYFUNCTION("""COMPUTED_VALUE"""),"21")</f>
        <v>21</v>
      </c>
      <c r="U107" s="389" t="str">
        <f>IF('Lớp 4 - Danh mục'!I37="","",'Lớp 4 - Danh mục'!J37&amp;"|"&amp;'Lớp 4 - Danh mục'!I37)</f>
        <v>HHL3RD02|HHL4RD24</v>
      </c>
      <c r="V107" s="389" t="str">
        <f>IF('Lớp 4 - Danh mục'!I37="","","   ├─ "&amp;'Lớp 4 - Danh mục'!O37)</f>
        <v>   ├─ Tổ chức hệ thống Soursing hàng OEM có CO trong nước</v>
      </c>
      <c r="W107" s="389">
        <f>IF('Lớp 4 - Danh mục'!I37="","",4)</f>
        <v>4</v>
      </c>
      <c r="X107" s="67" t="str">
        <f>'Lớp 4 - Danh mục'!I37</f>
        <v>HHL4RD24</v>
      </c>
      <c r="Y107" s="67" t="str">
        <f>'Lớp 4 - Danh mục'!J37</f>
        <v>HHL3RD02</v>
      </c>
      <c r="Z107" s="67" t="str">
        <f>'Lớp 4 - Danh mục'!Z37</f>
        <v>Ms Trang</v>
      </c>
      <c r="AA107" s="67" t="str">
        <f>'Lớp 4 - Danh mục'!X37</f>
        <v>R&amp;D</v>
      </c>
      <c r="AB107" s="67" t="str">
        <f>'Lớp 4 - Danh mục'!AB37</f>
        <v>P2</v>
      </c>
      <c r="AC107" s="67" t="str">
        <f>'Lớp 4 - Danh mục'!AA37</f>
        <v>Đang thực hiện</v>
      </c>
      <c r="AD107" s="398">
        <f>'Lớp 4 - Danh mục'!AF37</f>
        <v>0</v>
      </c>
      <c r="AE107" s="358">
        <f>'Lớp 4 - Danh mục'!AD37</f>
        <v>46274</v>
      </c>
      <c r="AF107" s="187">
        <f>'Lớp 4 - Danh mục'!AG37</f>
        <v>23</v>
      </c>
      <c r="AG107" s="104">
        <f>'Lớp 4 - Danh mục'!AH37</f>
        <v>40</v>
      </c>
      <c r="AH107" s="389">
        <f t="shared" si="27"/>
        <v>40</v>
      </c>
      <c r="AI107" s="389" t="str">
        <f t="shared" si="37"/>
        <v>🟢 Theo kế hoạch</v>
      </c>
      <c r="AJ107" s="67" t="str">
        <f>'Lớp 4 - Danh mục'!AK37</f>
        <v>Thiếu tham số phân bổ</v>
      </c>
      <c r="AS107" s="389" t="str">
        <f t="shared" si="97"/>
        <v>05.03</v>
      </c>
      <c r="AT107" s="389" t="str">
        <f t="shared" si="32"/>
        <v/>
      </c>
      <c r="AU107" s="389" t="str">
        <f t="shared" si="33"/>
        <v>Tổ chức hệ thống Soursing hàng OEM có CO trong nước</v>
      </c>
      <c r="AV107" s="389" t="str">
        <f t="shared" si="34"/>
        <v/>
      </c>
      <c r="AW107" s="389" t="str">
        <f t="shared" si="35"/>
        <v/>
      </c>
      <c r="AX107" s="67" t="str">
        <f t="shared" ref="AX107:BH107" si="120">Z107</f>
        <v>Ms Trang</v>
      </c>
      <c r="AY107" s="67" t="str">
        <f t="shared" si="120"/>
        <v>R&amp;D</v>
      </c>
      <c r="AZ107" s="67" t="str">
        <f t="shared" si="120"/>
        <v>P2</v>
      </c>
      <c r="BA107" s="67" t="str">
        <f t="shared" si="120"/>
        <v>Đang thực hiện</v>
      </c>
      <c r="BB107" s="398">
        <f t="shared" si="120"/>
        <v>0</v>
      </c>
      <c r="BC107" s="358">
        <f t="shared" si="120"/>
        <v>46274</v>
      </c>
      <c r="BD107" s="187">
        <f t="shared" si="120"/>
        <v>23</v>
      </c>
      <c r="BE107" s="104">
        <f t="shared" si="120"/>
        <v>40</v>
      </c>
      <c r="BF107" s="389">
        <f t="shared" si="120"/>
        <v>40</v>
      </c>
      <c r="BG107" s="389" t="str">
        <f t="shared" si="120"/>
        <v>🟢 Theo kế hoạch</v>
      </c>
      <c r="BH107" s="67" t="str">
        <f t="shared" si="120"/>
        <v>Thiếu tham số phân bổ</v>
      </c>
      <c r="BI107" s="389" t="str">
        <f t="array" ref="BI107">IF($X107="","",SWITCH($W107,3,IFERROR(INDEX('Lớp 3 - Công việc chính'!$AF$14:$AF$73,MATCH($X107,'Lớp 3 - Công việc chính'!$I$14:$I$73,0)),""),4,IFERROR(INDEX('Lớp 4 - Danh mục'!$AI$14:$AI$132,MATCH($X107,'Lớp 4 - Danh mục'!$I$14:$I$132,0)),""),5,IFERROR(INDEX('Lớp 5 - Phân công'!$AJ$14:$AJ$262,MATCH($X107,'Lớp 5 - Phân công'!$I$14:$I$262,0)),""),6,IFERROR(INDEX('Lớp 6 - Chi tiết'!$AM$14:$AM$267,MATCH($X107,'Lớp 6 - Chi tiết'!$I$14:$I$267,0)),""),""))</f>
        <v/>
      </c>
      <c r="BJ107" s="389" t="str">
        <f t="array" ref="BJ107">IF($X107="","",SWITCH($W107,3,IFERROR(INDEX('Lớp 3 - Công việc chính'!$AR$14:$AR$73,MATCH($X107,'Lớp 3 - Công việc chính'!$I$14:$I$73,0)),""),4,IFERROR(INDEX('Lớp 4 - Danh mục'!$AU$14:$AU$132,MATCH($X107,'Lớp 4 - Danh mục'!$I$14:$I$132,0)),""),5,IFERROR(INDEX('Lớp 5 - Phân công'!$AV$14:$AV$262,MATCH($X107,'Lớp 5 - Phân công'!$I$14:$I$262,0)),""),6,IFERROR(INDEX('Lớp 6 - Chi tiết'!$AY$14:$AY$267,MATCH($X107,'Lớp 6 - Chi tiết'!$I$14:$I$267,0)),""),""))</f>
        <v>Thiếu tham số phân bổ</v>
      </c>
    </row>
    <row r="108" ht="15.75" customHeight="1">
      <c r="A108" s="294" t="str">
        <f t="shared" si="12"/>
        <v>    ├─ ▓ L4  21.01  Xây dựng hệ thống quản lý nhà cung cấp</v>
      </c>
      <c r="B108" s="301" t="str">
        <f t="shared" si="13"/>
        <v>Em Đại</v>
      </c>
      <c r="C108" s="301" t="str">
        <f t="shared" si="14"/>
        <v>Dữ liệu điều hành</v>
      </c>
      <c r="D108" s="301" t="str">
        <f t="shared" si="15"/>
        <v>P2</v>
      </c>
      <c r="E108" s="301" t="str">
        <f t="shared" si="16"/>
        <v>Chưa bắt đầu</v>
      </c>
      <c r="F108" s="317">
        <f t="shared" si="17"/>
        <v>0</v>
      </c>
      <c r="G108" s="323">
        <f t="shared" si="18"/>
        <v>46264</v>
      </c>
      <c r="H108" s="327">
        <f t="shared" si="19"/>
        <v>16</v>
      </c>
      <c r="I108" s="327">
        <f t="shared" si="20"/>
        <v>240</v>
      </c>
      <c r="J108" s="301" t="str">
        <f t="shared" si="21"/>
        <v>🟢 Theo kế hoạch</v>
      </c>
      <c r="K108" s="301" t="str">
        <f t="shared" si="22"/>
        <v>Thiếu tham số phân bổ</v>
      </c>
      <c r="L108" s="344" t="str">
        <f t="array" ref="L108">IF($T108="","",LET(m,MATCH($T108,$AS$24:$AS$700,0),lvl,INDEX($W$24:$W$700,m),id,INDEX($X$24:$X$700,m),SWITCH(lvl,3,"Lớp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mục!A42</v>
      </c>
      <c r="M108" s="351" t="str">
        <f t="shared" si="23"/>
        <v/>
      </c>
      <c r="N108" s="356" t="str">
        <f t="shared" si="24"/>
        <v>Thiếu tham số phân bổ</v>
      </c>
      <c r="O108" s="358"/>
      <c r="P108" s="360"/>
      <c r="Q108" s="360"/>
      <c r="R108" s="67"/>
      <c r="S108" s="67"/>
      <c r="T108" s="67" t="str">
        <f>IFERROR(__xludf.DUMMYFUNCTION("""COMPUTED_VALUE"""),"21.01")</f>
        <v>21.01</v>
      </c>
      <c r="U108" s="389" t="str">
        <f>IF('Lớp 4 - Danh mục'!I38="","",'Lớp 4 - Danh mục'!J38&amp;"|"&amp;'Lớp 4 - Danh mục'!I38)</f>
        <v>HHL3DL08|HHL4DL08</v>
      </c>
      <c r="V108" s="389" t="str">
        <f>IF('Lớp 4 - Danh mục'!I38="","","   ├─ "&amp;'Lớp 4 - Danh mục'!O38)</f>
        <v>   ├─ XD phần mềm tính contenr hàng hoá xuất khẩu </v>
      </c>
      <c r="W108" s="389">
        <f>IF('Lớp 4 - Danh mục'!I38="","",4)</f>
        <v>4</v>
      </c>
      <c r="X108" s="67" t="str">
        <f>'Lớp 4 - Danh mục'!I38</f>
        <v>HHL4DL08</v>
      </c>
      <c r="Y108" s="67" t="str">
        <f>'Lớp 4 - Danh mục'!J38</f>
        <v>HHL3DL08</v>
      </c>
      <c r="Z108" s="67" t="str">
        <f>'Lớp 4 - Danh mục'!Z38</f>
        <v>Em Đại</v>
      </c>
      <c r="AA108" s="67" t="str">
        <f>'Lớp 4 - Danh mục'!X38</f>
        <v>Dữ liệu điều hành</v>
      </c>
      <c r="AB108" s="67" t="str">
        <f>'Lớp 4 - Danh mục'!AB38</f>
        <v>P3</v>
      </c>
      <c r="AC108" s="67" t="str">
        <f>'Lớp 4 - Danh mục'!AA38</f>
        <v>Chưa bắt đầu</v>
      </c>
      <c r="AD108" s="398">
        <f>'Lớp 4 - Danh mục'!AF38</f>
        <v>0</v>
      </c>
      <c r="AE108" s="358">
        <f>'Lớp 4 - Danh mục'!AD38</f>
        <v>46236</v>
      </c>
      <c r="AF108" s="187">
        <f>'Lớp 4 - Danh mục'!AG38</f>
        <v>-7</v>
      </c>
      <c r="AG108" s="104">
        <f>'Lớp 4 - Danh mục'!AH38</f>
        <v>120</v>
      </c>
      <c r="AH108" s="389">
        <f t="shared" si="27"/>
        <v>120</v>
      </c>
      <c r="AI108" s="389" t="str">
        <f t="shared" si="37"/>
        <v>🔴 Quá hạn</v>
      </c>
      <c r="AJ108" s="67" t="str">
        <f>'Lớp 4 - Danh mục'!AK38</f>
        <v>Thiếu tham số phân bổ</v>
      </c>
      <c r="AS108" s="389" t="str">
        <f t="shared" si="97"/>
        <v>23.01</v>
      </c>
      <c r="AT108" s="389" t="str">
        <f t="shared" si="32"/>
        <v/>
      </c>
      <c r="AU108" s="389" t="str">
        <f t="shared" si="33"/>
        <v>XD phần mềm tính contenr hàng hoá xuất khẩu</v>
      </c>
      <c r="AV108" s="389" t="str">
        <f t="shared" si="34"/>
        <v/>
      </c>
      <c r="AW108" s="389" t="str">
        <f t="shared" si="35"/>
        <v/>
      </c>
      <c r="AX108" s="67" t="str">
        <f t="shared" ref="AX108:BH108" si="121">Z108</f>
        <v>Em Đại</v>
      </c>
      <c r="AY108" s="67" t="str">
        <f t="shared" si="121"/>
        <v>Dữ liệu điều hành</v>
      </c>
      <c r="AZ108" s="67" t="str">
        <f t="shared" si="121"/>
        <v>P3</v>
      </c>
      <c r="BA108" s="67" t="str">
        <f t="shared" si="121"/>
        <v>Chưa bắt đầu</v>
      </c>
      <c r="BB108" s="398">
        <f t="shared" si="121"/>
        <v>0</v>
      </c>
      <c r="BC108" s="358">
        <f t="shared" si="121"/>
        <v>46236</v>
      </c>
      <c r="BD108" s="187">
        <f t="shared" si="121"/>
        <v>-7</v>
      </c>
      <c r="BE108" s="104">
        <f t="shared" si="121"/>
        <v>120</v>
      </c>
      <c r="BF108" s="389">
        <f t="shared" si="121"/>
        <v>120</v>
      </c>
      <c r="BG108" s="389" t="str">
        <f t="shared" si="121"/>
        <v>🔴 Quá hạn</v>
      </c>
      <c r="BH108" s="67" t="str">
        <f t="shared" si="121"/>
        <v>Thiếu tham số phân bổ</v>
      </c>
      <c r="BI108" s="389" t="str">
        <f t="array" ref="BI108">IF($X108="","",SWITCH($W108,3,IFERROR(INDEX('Lớp 3 - Công việc chính'!$AF$14:$AF$73,MATCH($X108,'Lớp 3 - Công việc chính'!$I$14:$I$73,0)),""),4,IFERROR(INDEX('Lớp 4 - Danh mục'!$AI$14:$AI$132,MATCH($X108,'Lớp 4 - Danh mục'!$I$14:$I$132,0)),""),5,IFERROR(INDEX('Lớp 5 - Phân công'!$AJ$14:$AJ$262,MATCH($X108,'Lớp 5 - Phân công'!$I$14:$I$262,0)),""),6,IFERROR(INDEX('Lớp 6 - Chi tiết'!$AM$14:$AM$267,MATCH($X108,'Lớp 6 - Chi tiết'!$I$14:$I$267,0)),""),""))</f>
        <v/>
      </c>
      <c r="BJ108" s="389" t="str">
        <f t="array" ref="BJ108">IF($X108="","",SWITCH($W108,3,IFERROR(INDEX('Lớp 3 - Công việc chính'!$AR$14:$AR$73,MATCH($X108,'Lớp 3 - Công việc chính'!$I$14:$I$73,0)),""),4,IFERROR(INDEX('Lớp 4 - Danh mục'!$AU$14:$AU$132,MATCH($X108,'Lớp 4 - Danh mục'!$I$14:$I$132,0)),""),5,IFERROR(INDEX('Lớp 5 - Phân công'!$AV$14:$AV$262,MATCH($X108,'Lớp 5 - Phân công'!$I$14:$I$262,0)),""),6,IFERROR(INDEX('Lớp 6 - Chi tiết'!$AY$14:$AY$267,MATCH($X108,'Lớp 6 - Chi tiết'!$I$14:$I$267,0)),""),""))</f>
        <v>Thiếu tham số phân bổ</v>
      </c>
    </row>
    <row r="109" ht="15.75" customHeight="1">
      <c r="A109" s="294" t="str">
        <f t="shared" si="12"/>
        <v>▓▓ L3  22  TRUY XUẤT &amp; XỬ LÝ DL PHÁT SINH THEO YÊU CẦU</v>
      </c>
      <c r="B109" s="301" t="str">
        <f t="shared" si="13"/>
        <v>Em Đại</v>
      </c>
      <c r="C109" s="301" t="str">
        <f t="shared" si="14"/>
        <v>Dữ liệu điều hành</v>
      </c>
      <c r="D109" s="301" t="str">
        <f t="shared" si="15"/>
        <v>P3</v>
      </c>
      <c r="E109" s="301" t="str">
        <f t="shared" si="16"/>
        <v>Chưa bắt đầu</v>
      </c>
      <c r="F109" s="317">
        <f t="shared" si="17"/>
        <v>0</v>
      </c>
      <c r="G109" s="323" t="str">
        <f t="shared" si="18"/>
        <v/>
      </c>
      <c r="H109" s="327" t="str">
        <f t="shared" si="19"/>
        <v/>
      </c>
      <c r="I109" s="327">
        <f t="shared" si="20"/>
        <v>120</v>
      </c>
      <c r="J109" s="301" t="str">
        <f t="shared" si="21"/>
        <v>🔵 Chưa có hạn</v>
      </c>
      <c r="K109" s="301" t="str">
        <f t="shared" si="22"/>
        <v>Thiếu tham số phân bổ</v>
      </c>
      <c r="L109" s="344" t="str">
        <f t="array" ref="L109">IF($T109="","",LET(m,MATCH($T109,$AS$24:$AS$700,0),lvl,INDEX($W$24:$W$700,m),id,INDEX($X$24:$X$700,m),SWITCH(lvl,3,"Lớp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chính!A35</v>
      </c>
      <c r="M109" s="351" t="str">
        <f t="shared" si="23"/>
        <v/>
      </c>
      <c r="N109" s="356" t="str">
        <f t="shared" si="24"/>
        <v>Thiếu tham số phân bổ</v>
      </c>
      <c r="O109" s="358"/>
      <c r="P109" s="360"/>
      <c r="Q109" s="360"/>
      <c r="R109" s="67"/>
      <c r="S109" s="67"/>
      <c r="T109" s="67" t="str">
        <f>IFERROR(__xludf.DUMMYFUNCTION("""COMPUTED_VALUE"""),"22")</f>
        <v>22</v>
      </c>
      <c r="U109" s="389" t="str">
        <f>IF('Lớp 4 - Danh mục'!I39="","",'Lớp 4 - Danh mục'!J39&amp;"|"&amp;'Lớp 4 - Danh mục'!I39)</f>
        <v>HHL3DL09|HHL4DL09</v>
      </c>
      <c r="V109" s="389" t="str">
        <f>IF('Lớp 4 - Danh mục'!I39="","","   ├─ "&amp;'Lớp 4 - Danh mục'!O39)</f>
        <v>   ├─ Hỗ trợ phòng KT  ( ct, tính lương, ....) </v>
      </c>
      <c r="W109" s="389">
        <f>IF('Lớp 4 - Danh mục'!I39="","",4)</f>
        <v>4</v>
      </c>
      <c r="X109" s="67" t="str">
        <f>'Lớp 4 - Danh mục'!I39</f>
        <v>HHL4DL09</v>
      </c>
      <c r="Y109" s="67" t="str">
        <f>'Lớp 4 - Danh mục'!J39</f>
        <v>HHL3DL09</v>
      </c>
      <c r="Z109" s="67" t="str">
        <f>'Lớp 4 - Danh mục'!Z39</f>
        <v>Em Đại</v>
      </c>
      <c r="AA109" s="67" t="str">
        <f>'Lớp 4 - Danh mục'!X39</f>
        <v>Dữ liệu điều hành</v>
      </c>
      <c r="AB109" s="67" t="str">
        <f>'Lớp 4 - Danh mục'!AB39</f>
        <v>P3</v>
      </c>
      <c r="AC109" s="67" t="str">
        <f>'Lớp 4 - Danh mục'!AA39</f>
        <v>Chưa bắt đầu</v>
      </c>
      <c r="AD109" s="398">
        <f>'Lớp 4 - Danh mục'!AF39</f>
        <v>0</v>
      </c>
      <c r="AE109" s="358" t="str">
        <f>'Lớp 4 - Danh mục'!AD39</f>
        <v/>
      </c>
      <c r="AF109" s="187" t="str">
        <f>'Lớp 4 - Danh mục'!AG39</f>
        <v/>
      </c>
      <c r="AG109" s="104">
        <f>'Lớp 4 - Danh mục'!AH39</f>
        <v>60</v>
      </c>
      <c r="AH109" s="389">
        <f t="shared" si="27"/>
        <v>60</v>
      </c>
      <c r="AI109" s="389" t="str">
        <f t="shared" si="37"/>
        <v>🔵 Chưa có hạn</v>
      </c>
      <c r="AJ109" s="67" t="str">
        <f>'Lớp 4 - Danh mục'!AK39</f>
        <v>Thiếu tham số phân bổ</v>
      </c>
      <c r="AS109" s="389" t="str">
        <f t="shared" si="97"/>
        <v>24.01</v>
      </c>
      <c r="AT109" s="389" t="str">
        <f t="shared" si="32"/>
        <v/>
      </c>
      <c r="AU109" s="389" t="str">
        <f t="shared" si="33"/>
        <v>Hỗ trợ phòng KT ( ct, tính lương, ....)</v>
      </c>
      <c r="AV109" s="389" t="str">
        <f t="shared" si="34"/>
        <v/>
      </c>
      <c r="AW109" s="389" t="str">
        <f t="shared" si="35"/>
        <v/>
      </c>
      <c r="AX109" s="67" t="str">
        <f t="shared" ref="AX109:BH109" si="122">Z109</f>
        <v>Em Đại</v>
      </c>
      <c r="AY109" s="67" t="str">
        <f t="shared" si="122"/>
        <v>Dữ liệu điều hành</v>
      </c>
      <c r="AZ109" s="67" t="str">
        <f t="shared" si="122"/>
        <v>P3</v>
      </c>
      <c r="BA109" s="67" t="str">
        <f t="shared" si="122"/>
        <v>Chưa bắt đầu</v>
      </c>
      <c r="BB109" s="398">
        <f t="shared" si="122"/>
        <v>0</v>
      </c>
      <c r="BC109" s="358" t="str">
        <f t="shared" si="122"/>
        <v/>
      </c>
      <c r="BD109" s="187" t="str">
        <f t="shared" si="122"/>
        <v/>
      </c>
      <c r="BE109" s="104">
        <f t="shared" si="122"/>
        <v>60</v>
      </c>
      <c r="BF109" s="389">
        <f t="shared" si="122"/>
        <v>60</v>
      </c>
      <c r="BG109" s="389" t="str">
        <f t="shared" si="122"/>
        <v>🔵 Chưa có hạn</v>
      </c>
      <c r="BH109" s="67" t="str">
        <f t="shared" si="122"/>
        <v>Thiếu tham số phân bổ</v>
      </c>
      <c r="BI109" s="389" t="str">
        <f t="array" ref="BI109">IF($X109="","",SWITCH($W109,3,IFERROR(INDEX('Lớp 3 - Công việc chính'!$AF$14:$AF$73,MATCH($X109,'Lớp 3 - Công việc chính'!$I$14:$I$73,0)),""),4,IFERROR(INDEX('Lớp 4 - Danh mục'!$AI$14:$AI$132,MATCH($X109,'Lớp 4 - Danh mục'!$I$14:$I$132,0)),""),5,IFERROR(INDEX('Lớp 5 - Phân công'!$AJ$14:$AJ$262,MATCH($X109,'Lớp 5 - Phân công'!$I$14:$I$262,0)),""),6,IFERROR(INDEX('Lớp 6 - Chi tiết'!$AM$14:$AM$267,MATCH($X109,'Lớp 6 - Chi tiết'!$I$14:$I$267,0)),""),""))</f>
        <v/>
      </c>
      <c r="BJ109" s="389" t="str">
        <f t="array" ref="BJ109">IF($X109="","",SWITCH($W109,3,IFERROR(INDEX('Lớp 3 - Công việc chính'!$AR$14:$AR$73,MATCH($X109,'Lớp 3 - Công việc chính'!$I$14:$I$73,0)),""),4,IFERROR(INDEX('Lớp 4 - Danh mục'!$AU$14:$AU$132,MATCH($X109,'Lớp 4 - Danh mục'!$I$14:$I$132,0)),""),5,IFERROR(INDEX('Lớp 5 - Phân công'!$AV$14:$AV$262,MATCH($X109,'Lớp 5 - Phân công'!$I$14:$I$262,0)),""),6,IFERROR(INDEX('Lớp 6 - Chi tiết'!$AY$14:$AY$267,MATCH($X109,'Lớp 6 - Chi tiết'!$I$14:$I$267,0)),""),""))</f>
        <v>Thiếu tham số phân bổ</v>
      </c>
    </row>
    <row r="110" ht="15.75" customHeight="1">
      <c r="A110" s="294" t="str">
        <f t="shared" si="12"/>
        <v>▓▓ L3  23  XDHT XẾP HÀNG LÊN CONTAINER PHỤC VỤ XK</v>
      </c>
      <c r="B110" s="301" t="str">
        <f t="shared" si="13"/>
        <v>Em Đại</v>
      </c>
      <c r="C110" s="301" t="str">
        <f t="shared" si="14"/>
        <v>Dữ liệu điều hành</v>
      </c>
      <c r="D110" s="301" t="str">
        <f t="shared" si="15"/>
        <v>P3</v>
      </c>
      <c r="E110" s="301" t="str">
        <f t="shared" si="16"/>
        <v>Chưa bắt đầu</v>
      </c>
      <c r="F110" s="317">
        <f t="shared" si="17"/>
        <v>0</v>
      </c>
      <c r="G110" s="323">
        <f t="shared" si="18"/>
        <v>46264</v>
      </c>
      <c r="H110" s="327">
        <f t="shared" si="19"/>
        <v>16</v>
      </c>
      <c r="I110" s="327">
        <f t="shared" si="20"/>
        <v>120</v>
      </c>
      <c r="J110" s="301" t="str">
        <f t="shared" si="21"/>
        <v>🟢 Theo kế hoạch</v>
      </c>
      <c r="K110" s="301" t="str">
        <f t="shared" si="22"/>
        <v>Theo dõi tải tại Lớp 4</v>
      </c>
      <c r="L110" s="344" t="str">
        <f t="array" ref="L110">IF($T110="","",LET(m,MATCH($T110,$AS$24:$AS$700,0),lvl,INDEX($W$24:$W$700,m),id,INDEX($X$24:$X$700,m),SWITCH(lvl,3,"Lớp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chính!A36</v>
      </c>
      <c r="M110" s="351" t="str">
        <f t="shared" si="23"/>
        <v/>
      </c>
      <c r="N110" s="356" t="str">
        <f t="shared" si="24"/>
        <v>Theo dõi phân bổ tại Lớp 4</v>
      </c>
      <c r="O110" s="358"/>
      <c r="P110" s="360"/>
      <c r="Q110" s="360"/>
      <c r="R110" s="67"/>
      <c r="S110" s="67"/>
      <c r="T110" s="67" t="str">
        <f>IFERROR(__xludf.DUMMYFUNCTION("""COMPUTED_VALUE"""),"23")</f>
        <v>23</v>
      </c>
      <c r="U110" s="389" t="str">
        <f>IF('Lớp 4 - Danh mục'!I40="","",'Lớp 4 - Danh mục'!J40&amp;"|"&amp;'Lớp 4 - Danh mục'!I40)</f>
        <v>HHL3DL09|HHL4DL10</v>
      </c>
      <c r="V110" s="389" t="str">
        <f>IF('Lớp 4 - Danh mục'!I40="","","   ├─ "&amp;'Lớp 4 - Danh mục'!O40)</f>
        <v>   ├─ Đối chiếu truy xuất DL DMS với anh Mạnh </v>
      </c>
      <c r="W110" s="389">
        <f>IF('Lớp 4 - Danh mục'!I40="","",4)</f>
        <v>4</v>
      </c>
      <c r="X110" s="67" t="str">
        <f>'Lớp 4 - Danh mục'!I40</f>
        <v>HHL4DL10</v>
      </c>
      <c r="Y110" s="67" t="str">
        <f>'Lớp 4 - Danh mục'!J40</f>
        <v>HHL3DL09</v>
      </c>
      <c r="Z110" s="67" t="str">
        <f>'Lớp 4 - Danh mục'!Z40</f>
        <v>Em Đại</v>
      </c>
      <c r="AA110" s="67" t="str">
        <f>'Lớp 4 - Danh mục'!X40</f>
        <v>Dữ liệu điều hành</v>
      </c>
      <c r="AB110" s="67" t="str">
        <f>'Lớp 4 - Danh mục'!AB40</f>
        <v>P3</v>
      </c>
      <c r="AC110" s="67" t="str">
        <f>'Lớp 4 - Danh mục'!AA40</f>
        <v>Chưa bắt đầu</v>
      </c>
      <c r="AD110" s="398">
        <f>'Lớp 4 - Danh mục'!AF40</f>
        <v>0</v>
      </c>
      <c r="AE110" s="358">
        <f>'Lớp 4 - Danh mục'!AD40</f>
        <v>46280</v>
      </c>
      <c r="AF110" s="187">
        <f>'Lớp 4 - Danh mục'!AG40</f>
        <v>28</v>
      </c>
      <c r="AG110" s="104">
        <f>'Lớp 4 - Danh mục'!AH40</f>
        <v>60</v>
      </c>
      <c r="AH110" s="389">
        <f t="shared" si="27"/>
        <v>60</v>
      </c>
      <c r="AI110" s="389" t="str">
        <f t="shared" si="37"/>
        <v>🟢 Theo kế hoạch</v>
      </c>
      <c r="AJ110" s="67" t="str">
        <f>'Lớp 4 - Danh mục'!AK40</f>
        <v>Thiếu tham số phân bổ</v>
      </c>
      <c r="AS110" s="389" t="str">
        <f t="shared" si="97"/>
        <v>24.02</v>
      </c>
      <c r="AT110" s="389" t="str">
        <f t="shared" si="32"/>
        <v/>
      </c>
      <c r="AU110" s="389" t="str">
        <f t="shared" si="33"/>
        <v>Đối chiếu truy xuất DL DMS với anh Mạnh</v>
      </c>
      <c r="AV110" s="389" t="str">
        <f t="shared" si="34"/>
        <v/>
      </c>
      <c r="AW110" s="389" t="str">
        <f t="shared" si="35"/>
        <v/>
      </c>
      <c r="AX110" s="67" t="str">
        <f t="shared" ref="AX110:BH110" si="123">Z110</f>
        <v>Em Đại</v>
      </c>
      <c r="AY110" s="67" t="str">
        <f t="shared" si="123"/>
        <v>Dữ liệu điều hành</v>
      </c>
      <c r="AZ110" s="67" t="str">
        <f t="shared" si="123"/>
        <v>P3</v>
      </c>
      <c r="BA110" s="67" t="str">
        <f t="shared" si="123"/>
        <v>Chưa bắt đầu</v>
      </c>
      <c r="BB110" s="398">
        <f t="shared" si="123"/>
        <v>0</v>
      </c>
      <c r="BC110" s="358">
        <f t="shared" si="123"/>
        <v>46280</v>
      </c>
      <c r="BD110" s="187">
        <f t="shared" si="123"/>
        <v>28</v>
      </c>
      <c r="BE110" s="104">
        <f t="shared" si="123"/>
        <v>60</v>
      </c>
      <c r="BF110" s="389">
        <f t="shared" si="123"/>
        <v>60</v>
      </c>
      <c r="BG110" s="389" t="str">
        <f t="shared" si="123"/>
        <v>🟢 Theo kế hoạch</v>
      </c>
      <c r="BH110" s="67" t="str">
        <f t="shared" si="123"/>
        <v>Thiếu tham số phân bổ</v>
      </c>
      <c r="BI110" s="389" t="str">
        <f t="array" ref="BI110">IF($X110="","",SWITCH($W110,3,IFERROR(INDEX('Lớp 3 - Công việc chính'!$AF$14:$AF$73,MATCH($X110,'Lớp 3 - Công việc chính'!$I$14:$I$73,0)),""),4,IFERROR(INDEX('Lớp 4 - Danh mục'!$AI$14:$AI$132,MATCH($X110,'Lớp 4 - Danh mục'!$I$14:$I$132,0)),""),5,IFERROR(INDEX('Lớp 5 - Phân công'!$AJ$14:$AJ$262,MATCH($X110,'Lớp 5 - Phân công'!$I$14:$I$262,0)),""),6,IFERROR(INDEX('Lớp 6 - Chi tiết'!$AM$14:$AM$267,MATCH($X110,'Lớp 6 - Chi tiết'!$I$14:$I$267,0)),""),""))</f>
        <v/>
      </c>
      <c r="BJ110" s="389" t="str">
        <f t="array" ref="BJ110">IF($X110="","",SWITCH($W110,3,IFERROR(INDEX('Lớp 3 - Công việc chính'!$AR$14:$AR$73,MATCH($X110,'Lớp 3 - Công việc chính'!$I$14:$I$73,0)),""),4,IFERROR(INDEX('Lớp 4 - Danh mục'!$AU$14:$AU$132,MATCH($X110,'Lớp 4 - Danh mục'!$I$14:$I$132,0)),""),5,IFERROR(INDEX('Lớp 5 - Phân công'!$AV$14:$AV$262,MATCH($X110,'Lớp 5 - Phân công'!$I$14:$I$262,0)),""),6,IFERROR(INDEX('Lớp 6 - Chi tiết'!$AY$14:$AY$267,MATCH($X110,'Lớp 6 - Chi tiết'!$I$14:$I$267,0)),""),""))</f>
        <v>Thiếu tham số phân bổ</v>
      </c>
    </row>
    <row r="111" ht="15.75" customHeight="1">
      <c r="A111" s="294" t="str">
        <f t="shared" si="12"/>
        <v>    ├─ ▓ L4  23.01  XD phần mềm tính contenr hàng hoá xuất khẩu</v>
      </c>
      <c r="B111" s="301" t="str">
        <f t="shared" si="13"/>
        <v>Em Đại</v>
      </c>
      <c r="C111" s="301" t="str">
        <f t="shared" si="14"/>
        <v>Dữ liệu điều hành</v>
      </c>
      <c r="D111" s="301" t="str">
        <f t="shared" si="15"/>
        <v>P3</v>
      </c>
      <c r="E111" s="301" t="str">
        <f t="shared" si="16"/>
        <v>Chưa bắt đầu</v>
      </c>
      <c r="F111" s="317">
        <f t="shared" si="17"/>
        <v>0</v>
      </c>
      <c r="G111" s="323">
        <f t="shared" si="18"/>
        <v>46236</v>
      </c>
      <c r="H111" s="327">
        <f t="shared" si="19"/>
        <v>-7</v>
      </c>
      <c r="I111" s="327">
        <f t="shared" si="20"/>
        <v>120</v>
      </c>
      <c r="J111" s="301" t="str">
        <f t="shared" si="21"/>
        <v>🔴 Quá hạn</v>
      </c>
      <c r="K111" s="301" t="str">
        <f t="shared" si="22"/>
        <v>Thiếu tham số phân bổ</v>
      </c>
      <c r="L111" s="344" t="str">
        <f t="array" ref="L111">IF($T111="","",LET(m,MATCH($T111,$AS$24:$AS$700,0),lvl,INDEX($W$24:$W$700,m),id,INDEX($X$24:$X$700,m),SWITCH(lvl,3,"Lớp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mục!A38</v>
      </c>
      <c r="M111" s="351" t="str">
        <f t="shared" si="23"/>
        <v/>
      </c>
      <c r="N111" s="356" t="str">
        <f t="shared" si="24"/>
        <v>Thiếu tham số phân bổ</v>
      </c>
      <c r="O111" s="358"/>
      <c r="P111" s="360"/>
      <c r="Q111" s="360"/>
      <c r="R111" s="67"/>
      <c r="S111" s="67"/>
      <c r="T111" s="67" t="str">
        <f>IFERROR(__xludf.DUMMYFUNCTION("""COMPUTED_VALUE"""),"23.01")</f>
        <v>23.01</v>
      </c>
      <c r="U111" s="389" t="str">
        <f>IF('Lớp 4 - Danh mục'!I41="","",'Lớp 4 - Danh mục'!J41&amp;"|"&amp;'Lớp 4 - Danh mục'!I41)</f>
        <v>HHL3DL09|HHL4DL11</v>
      </c>
      <c r="V111" s="389" t="str">
        <f>IF('Lớp 4 - Danh mục'!I41="","","   ├─ "&amp;'Lớp 4 - Danh mục'!O41)</f>
        <v>   ├─ XDHT cảnh báo </v>
      </c>
      <c r="W111" s="389">
        <f>IF('Lớp 4 - Danh mục'!I41="","",4)</f>
        <v>4</v>
      </c>
      <c r="X111" s="67" t="str">
        <f>'Lớp 4 - Danh mục'!I41</f>
        <v>HHL4DL11</v>
      </c>
      <c r="Y111" s="67" t="str">
        <f>'Lớp 4 - Danh mục'!J41</f>
        <v>HHL3DL09</v>
      </c>
      <c r="Z111" s="67" t="str">
        <f>'Lớp 4 - Danh mục'!Z41</f>
        <v>Em Đại</v>
      </c>
      <c r="AA111" s="67" t="str">
        <f>'Lớp 4 - Danh mục'!X41</f>
        <v>Dữ liệu điều hành</v>
      </c>
      <c r="AB111" s="67" t="str">
        <f>'Lớp 4 - Danh mục'!AB41</f>
        <v>P2</v>
      </c>
      <c r="AC111" s="67" t="str">
        <f>'Lớp 4 - Danh mục'!AA41</f>
        <v>Chưa bắt đầu</v>
      </c>
      <c r="AD111" s="398">
        <f>'Lớp 4 - Danh mục'!AF41</f>
        <v>0</v>
      </c>
      <c r="AE111" s="358">
        <f>'Lớp 4 - Danh mục'!AD41</f>
        <v>46237</v>
      </c>
      <c r="AF111" s="187">
        <f>'Lớp 4 - Danh mục'!AG41</f>
        <v>-7</v>
      </c>
      <c r="AG111" s="104">
        <f>'Lớp 4 - Danh mục'!AH41</f>
        <v>240</v>
      </c>
      <c r="AH111" s="389">
        <f t="shared" si="27"/>
        <v>240</v>
      </c>
      <c r="AI111" s="389" t="str">
        <f t="shared" si="37"/>
        <v>🔴 Quá hạn</v>
      </c>
      <c r="AJ111" s="67" t="str">
        <f>'Lớp 4 - Danh mục'!AK41</f>
        <v>Thiếu tham số phân bổ</v>
      </c>
      <c r="AS111" s="389" t="str">
        <f t="shared" si="97"/>
        <v>24.03</v>
      </c>
      <c r="AT111" s="389" t="str">
        <f t="shared" si="32"/>
        <v/>
      </c>
      <c r="AU111" s="389" t="str">
        <f t="shared" si="33"/>
        <v>XDHT cảnh báo</v>
      </c>
      <c r="AV111" s="389" t="str">
        <f t="shared" si="34"/>
        <v/>
      </c>
      <c r="AW111" s="389" t="str">
        <f t="shared" si="35"/>
        <v/>
      </c>
      <c r="AX111" s="67" t="str">
        <f t="shared" ref="AX111:BH111" si="124">Z111</f>
        <v>Em Đại</v>
      </c>
      <c r="AY111" s="67" t="str">
        <f t="shared" si="124"/>
        <v>Dữ liệu điều hành</v>
      </c>
      <c r="AZ111" s="67" t="str">
        <f t="shared" si="124"/>
        <v>P2</v>
      </c>
      <c r="BA111" s="67" t="str">
        <f t="shared" si="124"/>
        <v>Chưa bắt đầu</v>
      </c>
      <c r="BB111" s="398">
        <f t="shared" si="124"/>
        <v>0</v>
      </c>
      <c r="BC111" s="358">
        <f t="shared" si="124"/>
        <v>46237</v>
      </c>
      <c r="BD111" s="187">
        <f t="shared" si="124"/>
        <v>-7</v>
      </c>
      <c r="BE111" s="104">
        <f t="shared" si="124"/>
        <v>240</v>
      </c>
      <c r="BF111" s="389">
        <f t="shared" si="124"/>
        <v>240</v>
      </c>
      <c r="BG111" s="389" t="str">
        <f t="shared" si="124"/>
        <v>🔴 Quá hạn</v>
      </c>
      <c r="BH111" s="67" t="str">
        <f t="shared" si="124"/>
        <v>Thiếu tham số phân bổ</v>
      </c>
      <c r="BI111" s="389" t="str">
        <f t="array" ref="BI111">IF($X111="","",SWITCH($W111,3,IFERROR(INDEX('Lớp 3 - Công việc chính'!$AF$14:$AF$73,MATCH($X111,'Lớp 3 - Công việc chính'!$I$14:$I$73,0)),""),4,IFERROR(INDEX('Lớp 4 - Danh mục'!$AI$14:$AI$132,MATCH($X111,'Lớp 4 - Danh mục'!$I$14:$I$132,0)),""),5,IFERROR(INDEX('Lớp 5 - Phân công'!$AJ$14:$AJ$262,MATCH($X111,'Lớp 5 - Phân công'!$I$14:$I$262,0)),""),6,IFERROR(INDEX('Lớp 6 - Chi tiết'!$AM$14:$AM$267,MATCH($X111,'Lớp 6 - Chi tiết'!$I$14:$I$267,0)),""),""))</f>
        <v/>
      </c>
      <c r="BJ111" s="389" t="str">
        <f t="array" ref="BJ111">IF($X111="","",SWITCH($W111,3,IFERROR(INDEX('Lớp 3 - Công việc chính'!$AR$14:$AR$73,MATCH($X111,'Lớp 3 - Công việc chính'!$I$14:$I$73,0)),""),4,IFERROR(INDEX('Lớp 4 - Danh mục'!$AU$14:$AU$132,MATCH($X111,'Lớp 4 - Danh mục'!$I$14:$I$132,0)),""),5,IFERROR(INDEX('Lớp 5 - Phân công'!$AV$14:$AV$262,MATCH($X111,'Lớp 5 - Phân công'!$I$14:$I$262,0)),""),6,IFERROR(INDEX('Lớp 6 - Chi tiết'!$AY$14:$AY$267,MATCH($X111,'Lớp 6 - Chi tiết'!$I$14:$I$267,0)),""),""))</f>
        <v>Thiếu tham số phân bổ</v>
      </c>
    </row>
    <row r="112" ht="15.75" customHeight="1">
      <c r="A112" s="294" t="str">
        <f t="shared" si="12"/>
        <v>▓▓ L3  24  CÁC CV HỖ TRỢ KHÁC (CHO LĐ &amp; PB KHÁC)</v>
      </c>
      <c r="B112" s="301" t="str">
        <f t="shared" si="13"/>
        <v>Em Đại</v>
      </c>
      <c r="C112" s="301" t="str">
        <f t="shared" si="14"/>
        <v>Dữ liệu điều hành</v>
      </c>
      <c r="D112" s="301" t="str">
        <f t="shared" si="15"/>
        <v>P1</v>
      </c>
      <c r="E112" s="301" t="str">
        <f t="shared" si="16"/>
        <v>Chưa bắt đầu</v>
      </c>
      <c r="F112" s="317">
        <f t="shared" si="17"/>
        <v>0</v>
      </c>
      <c r="G112" s="323">
        <f t="shared" si="18"/>
        <v>46280</v>
      </c>
      <c r="H112" s="327" t="str">
        <f t="shared" si="19"/>
        <v/>
      </c>
      <c r="I112" s="327">
        <f t="shared" si="20"/>
        <v>360</v>
      </c>
      <c r="J112" s="301" t="str">
        <f t="shared" si="21"/>
        <v>🟣 P1 trọng yếu</v>
      </c>
      <c r="K112" s="301" t="str">
        <f t="shared" si="22"/>
        <v>Chưa tính tải</v>
      </c>
      <c r="L112" s="344" t="str">
        <f t="array" ref="L112">IF($T112="","",LET(m,MATCH($T112,$AS$24:$AS$700,0),lvl,INDEX($W$24:$W$700,m),id,INDEX($X$24:$X$700,m),SWITCH(lvl,3,"Lớp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chính!A37</v>
      </c>
      <c r="M112" s="351" t="str">
        <f t="shared" si="23"/>
        <v/>
      </c>
      <c r="N112" s="356" t="str">
        <f t="shared" si="24"/>
        <v>Theo dõi phân bổ tại Lớp 4</v>
      </c>
      <c r="O112" s="358"/>
      <c r="P112" s="360"/>
      <c r="Q112" s="360"/>
      <c r="R112" s="67"/>
      <c r="S112" s="67"/>
      <c r="T112" s="67" t="str">
        <f>IFERROR(__xludf.DUMMYFUNCTION("""COMPUTED_VALUE"""),"24")</f>
        <v>24</v>
      </c>
      <c r="U112" s="389" t="str">
        <f>IF('Lớp 4 - Danh mục'!I42="","",'Lớp 4 - Danh mục'!J42&amp;"|"&amp;'Lớp 4 - Danh mục'!I42)</f>
        <v>HHL3DL06|HHL4DL14</v>
      </c>
      <c r="V112" s="389" t="str">
        <f>IF('Lớp 4 - Danh mục'!I42="","","   ├─ "&amp;'Lớp 4 - Danh mục'!O42)</f>
        <v>   ├─ Xây dựng hệ thống quản lý nhà cung cấp</v>
      </c>
      <c r="W112" s="389">
        <f>IF('Lớp 4 - Danh mục'!I42="","",4)</f>
        <v>4</v>
      </c>
      <c r="X112" s="67" t="str">
        <f>'Lớp 4 - Danh mục'!I42</f>
        <v>HHL4DL14</v>
      </c>
      <c r="Y112" s="67" t="str">
        <f>'Lớp 4 - Danh mục'!J42</f>
        <v>HHL3DL06</v>
      </c>
      <c r="Z112" s="67" t="str">
        <f>'Lớp 4 - Danh mục'!Z42</f>
        <v>Em Đại</v>
      </c>
      <c r="AA112" s="67" t="str">
        <f>'Lớp 4 - Danh mục'!X42</f>
        <v>Dữ liệu điều hành</v>
      </c>
      <c r="AB112" s="67" t="str">
        <f>'Lớp 4 - Danh mục'!AB42</f>
        <v>P2</v>
      </c>
      <c r="AC112" s="67" t="str">
        <f>'Lớp 4 - Danh mục'!AA42</f>
        <v>Chưa bắt đầu</v>
      </c>
      <c r="AD112" s="398">
        <f>'Lớp 4 - Danh mục'!AF42</f>
        <v>0</v>
      </c>
      <c r="AE112" s="358">
        <f>'Lớp 4 - Danh mục'!AD42</f>
        <v>46264</v>
      </c>
      <c r="AF112" s="187">
        <f>'Lớp 4 - Danh mục'!AG42</f>
        <v>16</v>
      </c>
      <c r="AG112" s="104">
        <f>'Lớp 4 - Danh mục'!AH42</f>
        <v>240</v>
      </c>
      <c r="AH112" s="389">
        <f t="shared" si="27"/>
        <v>240</v>
      </c>
      <c r="AI112" s="389" t="str">
        <f t="shared" si="37"/>
        <v>🟢 Theo kế hoạch</v>
      </c>
      <c r="AJ112" s="67" t="str">
        <f>'Lớp 4 - Danh mục'!AK42</f>
        <v>Thiếu tham số phân bổ</v>
      </c>
      <c r="AS112" s="389" t="str">
        <f t="shared" si="97"/>
        <v>21.01</v>
      </c>
      <c r="AT112" s="389" t="str">
        <f t="shared" si="32"/>
        <v/>
      </c>
      <c r="AU112" s="389" t="str">
        <f t="shared" si="33"/>
        <v>Xây dựng hệ thống quản lý nhà cung cấp</v>
      </c>
      <c r="AV112" s="389" t="str">
        <f t="shared" si="34"/>
        <v/>
      </c>
      <c r="AW112" s="389" t="str">
        <f t="shared" si="35"/>
        <v/>
      </c>
      <c r="AX112" s="67" t="str">
        <f t="shared" ref="AX112:BH112" si="125">Z112</f>
        <v>Em Đại</v>
      </c>
      <c r="AY112" s="67" t="str">
        <f t="shared" si="125"/>
        <v>Dữ liệu điều hành</v>
      </c>
      <c r="AZ112" s="67" t="str">
        <f t="shared" si="125"/>
        <v>P2</v>
      </c>
      <c r="BA112" s="67" t="str">
        <f t="shared" si="125"/>
        <v>Chưa bắt đầu</v>
      </c>
      <c r="BB112" s="398">
        <f t="shared" si="125"/>
        <v>0</v>
      </c>
      <c r="BC112" s="358">
        <f t="shared" si="125"/>
        <v>46264</v>
      </c>
      <c r="BD112" s="187">
        <f t="shared" si="125"/>
        <v>16</v>
      </c>
      <c r="BE112" s="104">
        <f t="shared" si="125"/>
        <v>240</v>
      </c>
      <c r="BF112" s="389">
        <f t="shared" si="125"/>
        <v>240</v>
      </c>
      <c r="BG112" s="389" t="str">
        <f t="shared" si="125"/>
        <v>🟢 Theo kế hoạch</v>
      </c>
      <c r="BH112" s="67" t="str">
        <f t="shared" si="125"/>
        <v>Thiếu tham số phân bổ</v>
      </c>
      <c r="BI112" s="389" t="str">
        <f t="array" ref="BI112">IF($X112="","",SWITCH($W112,3,IFERROR(INDEX('Lớp 3 - Công việc chính'!$AF$14:$AF$73,MATCH($X112,'Lớp 3 - Công việc chính'!$I$14:$I$73,0)),""),4,IFERROR(INDEX('Lớp 4 - Danh mục'!$AI$14:$AI$132,MATCH($X112,'Lớp 4 - Danh mục'!$I$14:$I$132,0)),""),5,IFERROR(INDEX('Lớp 5 - Phân công'!$AJ$14:$AJ$262,MATCH($X112,'Lớp 5 - Phân công'!$I$14:$I$262,0)),""),6,IFERROR(INDEX('Lớp 6 - Chi tiết'!$AM$14:$AM$267,MATCH($X112,'Lớp 6 - Chi tiết'!$I$14:$I$267,0)),""),""))</f>
        <v/>
      </c>
      <c r="BJ112" s="389" t="str">
        <f t="array" ref="BJ112">IF($X112="","",SWITCH($W112,3,IFERROR(INDEX('Lớp 3 - Công việc chính'!$AR$14:$AR$73,MATCH($X112,'Lớp 3 - Công việc chính'!$I$14:$I$73,0)),""),4,IFERROR(INDEX('Lớp 4 - Danh mục'!$AU$14:$AU$132,MATCH($X112,'Lớp 4 - Danh mục'!$I$14:$I$132,0)),""),5,IFERROR(INDEX('Lớp 5 - Phân công'!$AV$14:$AV$262,MATCH($X112,'Lớp 5 - Phân công'!$I$14:$I$262,0)),""),6,IFERROR(INDEX('Lớp 6 - Chi tiết'!$AY$14:$AY$267,MATCH($X112,'Lớp 6 - Chi tiết'!$I$14:$I$267,0)),""),""))</f>
        <v>Thiếu tham số phân bổ</v>
      </c>
    </row>
    <row r="113" ht="15.75" customHeight="1">
      <c r="A113" s="294" t="str">
        <f t="shared" si="12"/>
        <v>    ├─ ▓ L4  24.01  Hỗ trợ phòng KT ( ct, tính lương, ....)</v>
      </c>
      <c r="B113" s="301" t="str">
        <f t="shared" si="13"/>
        <v>Em Đại</v>
      </c>
      <c r="C113" s="301" t="str">
        <f t="shared" si="14"/>
        <v>Dữ liệu điều hành</v>
      </c>
      <c r="D113" s="301" t="str">
        <f t="shared" si="15"/>
        <v>P3</v>
      </c>
      <c r="E113" s="301" t="str">
        <f t="shared" si="16"/>
        <v>Chưa bắt đầu</v>
      </c>
      <c r="F113" s="317">
        <f t="shared" si="17"/>
        <v>0</v>
      </c>
      <c r="G113" s="323" t="str">
        <f t="shared" si="18"/>
        <v/>
      </c>
      <c r="H113" s="327" t="str">
        <f t="shared" si="19"/>
        <v/>
      </c>
      <c r="I113" s="327">
        <f t="shared" si="20"/>
        <v>60</v>
      </c>
      <c r="J113" s="301" t="str">
        <f t="shared" si="21"/>
        <v>🔵 Chưa có hạn</v>
      </c>
      <c r="K113" s="301" t="str">
        <f t="shared" si="22"/>
        <v>Thiếu tham số phân bổ</v>
      </c>
      <c r="L113" s="344" t="str">
        <f t="array" ref="L113">IF($T113="","",LET(m,MATCH($T113,$AS$24:$AS$700,0),lvl,INDEX($W$24:$W$700,m),id,INDEX($X$24:$X$700,m),SWITCH(lvl,3,"Lớp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mục!A39</v>
      </c>
      <c r="M113" s="351" t="str">
        <f t="shared" si="23"/>
        <v/>
      </c>
      <c r="N113" s="356" t="str">
        <f t="shared" si="24"/>
        <v>Thiếu tham số phân bổ</v>
      </c>
      <c r="O113" s="358"/>
      <c r="P113" s="360"/>
      <c r="Q113" s="360"/>
      <c r="R113" s="67"/>
      <c r="S113" s="67"/>
      <c r="T113" s="67" t="str">
        <f>IFERROR(__xludf.DUMMYFUNCTION("""COMPUTED_VALUE"""),"24.01")</f>
        <v>24.01</v>
      </c>
      <c r="U113" s="389" t="str">
        <f>IF('Lớp 4 - Danh mục'!I43="","",'Lớp 4 - Danh mục'!J43&amp;"|"&amp;'Lớp 4 - Danh mục'!I43)</f>
        <v>#REF!</v>
      </c>
      <c r="V113" s="389" t="str">
        <f>IF('Lớp 4 - Danh mục'!I43="","","   ├─ "&amp;'Lớp 4 - Danh mục'!O43)</f>
        <v>#REF!</v>
      </c>
      <c r="W113" s="389" t="str">
        <f>IF('Lớp 4 - Danh mục'!I43="","",4)</f>
        <v>#REF!</v>
      </c>
      <c r="X113" s="67" t="str">
        <f>'Lớp 4 - Danh mục'!I43</f>
        <v>#REF!</v>
      </c>
      <c r="Y113" s="67" t="str">
        <f>'Lớp 4 - Danh mục'!J43</f>
        <v>#REF!</v>
      </c>
      <c r="Z113" s="67" t="str">
        <f>'Lớp 4 - Danh mục'!Z43</f>
        <v>#REF!</v>
      </c>
      <c r="AA113" s="67" t="str">
        <f>'Lớp 4 - Danh mục'!X43</f>
        <v/>
      </c>
      <c r="AB113" s="67" t="str">
        <f>'Lớp 4 - Danh mục'!AB43</f>
        <v>#REF!</v>
      </c>
      <c r="AC113" s="67" t="str">
        <f>'Lớp 4 - Danh mục'!AA43</f>
        <v>#REF!</v>
      </c>
      <c r="AD113" s="398" t="str">
        <f>'Lớp 4 - Danh mục'!AF43</f>
        <v>#REF!</v>
      </c>
      <c r="AE113" s="358" t="str">
        <f>'Lớp 4 - Danh mục'!AD43</f>
        <v>#REF!</v>
      </c>
      <c r="AF113" s="187" t="str">
        <f>'Lớp 4 - Danh mục'!AG43</f>
        <v>#REF!</v>
      </c>
      <c r="AG113" s="104" t="str">
        <f>'Lớp 4 - Danh mục'!AH43</f>
        <v>#REF!</v>
      </c>
      <c r="AH113" s="389" t="str">
        <f t="shared" si="27"/>
        <v>#REF!</v>
      </c>
      <c r="AI113" s="389" t="str">
        <f t="shared" si="37"/>
        <v>#REF!</v>
      </c>
      <c r="AJ113" s="67" t="str">
        <f>'Lớp 4 - Danh mục'!AK43</f>
        <v>#REF!</v>
      </c>
      <c r="AS113" s="389" t="str">
        <f t="shared" si="97"/>
        <v>#REF!</v>
      </c>
      <c r="AT113" s="389" t="str">
        <f t="shared" si="32"/>
        <v>#REF!</v>
      </c>
      <c r="AU113" s="389" t="str">
        <f t="shared" si="33"/>
        <v>#REF!</v>
      </c>
      <c r="AV113" s="389" t="str">
        <f t="shared" si="34"/>
        <v>#REF!</v>
      </c>
      <c r="AW113" s="389" t="str">
        <f t="shared" si="35"/>
        <v>#REF!</v>
      </c>
      <c r="AX113" s="67" t="str">
        <f t="shared" ref="AX113:BH113" si="126">Z113</f>
        <v>#REF!</v>
      </c>
      <c r="AY113" s="67" t="str">
        <f t="shared" si="126"/>
        <v/>
      </c>
      <c r="AZ113" s="67" t="str">
        <f t="shared" si="126"/>
        <v>#REF!</v>
      </c>
      <c r="BA113" s="67" t="str">
        <f t="shared" si="126"/>
        <v>#REF!</v>
      </c>
      <c r="BB113" s="398" t="str">
        <f t="shared" si="126"/>
        <v>#REF!</v>
      </c>
      <c r="BC113" s="358" t="str">
        <f t="shared" si="126"/>
        <v>#REF!</v>
      </c>
      <c r="BD113" s="187" t="str">
        <f t="shared" si="126"/>
        <v>#REF!</v>
      </c>
      <c r="BE113" s="104" t="str">
        <f t="shared" si="126"/>
        <v>#REF!</v>
      </c>
      <c r="BF113" s="389" t="str">
        <f t="shared" si="126"/>
        <v>#REF!</v>
      </c>
      <c r="BG113" s="389" t="str">
        <f t="shared" si="126"/>
        <v>#REF!</v>
      </c>
      <c r="BH113" s="67" t="str">
        <f t="shared" si="126"/>
        <v>#REF!</v>
      </c>
      <c r="BI113" s="389" t="str">
        <f t="array" ref="BI113">IF($X113="","",SWITCH($W113,3,IFERROR(INDEX('Lớp 3 - Công việc chính'!$AF$14:$AF$73,MATCH($X113,'Lớp 3 - Công việc chính'!$I$14:$I$73,0)),""),4,IFERROR(INDEX('Lớp 4 - Danh mục'!$AI$14:$AI$132,MATCH($X113,'Lớp 4 - Danh mục'!$I$14:$I$132,0)),""),5,IFERROR(INDEX('Lớp 5 - Phân công'!$AJ$14:$AJ$262,MATCH($X113,'Lớp 5 - Phân công'!$I$14:$I$262,0)),""),6,IFERROR(INDEX('Lớp 6 - Chi tiết'!$AM$14:$AM$267,MATCH($X113,'Lớp 6 - Chi tiết'!$I$14:$I$267,0)),""),""))</f>
        <v>#REF!</v>
      </c>
      <c r="BJ113" s="389" t="str">
        <f t="array" ref="BJ113">IF($X113="","",SWITCH($W113,3,IFERROR(INDEX('Lớp 3 - Công việc chính'!$AR$14:$AR$73,MATCH($X113,'Lớp 3 - Công việc chính'!$I$14:$I$73,0)),""),4,IFERROR(INDEX('Lớp 4 - Danh mục'!$AU$14:$AU$132,MATCH($X113,'Lớp 4 - Danh mục'!$I$14:$I$132,0)),""),5,IFERROR(INDEX('Lớp 5 - Phân công'!$AV$14:$AV$262,MATCH($X113,'Lớp 5 - Phân công'!$I$14:$I$262,0)),""),6,IFERROR(INDEX('Lớp 6 - Chi tiết'!$AY$14:$AY$267,MATCH($X113,'Lớp 6 - Chi tiết'!$I$14:$I$267,0)),""),""))</f>
        <v>#REF!</v>
      </c>
    </row>
    <row r="114" ht="15.75" customHeight="1">
      <c r="A114" s="294" t="str">
        <f t="shared" si="12"/>
        <v>    ├─ ▓ L4  24.02  Đối chiếu truy xuất DL DMS với anh Mạnh</v>
      </c>
      <c r="B114" s="301" t="str">
        <f t="shared" si="13"/>
        <v>Em Đại</v>
      </c>
      <c r="C114" s="301" t="str">
        <f t="shared" si="14"/>
        <v>Dữ liệu điều hành</v>
      </c>
      <c r="D114" s="301" t="str">
        <f t="shared" si="15"/>
        <v>P3</v>
      </c>
      <c r="E114" s="301" t="str">
        <f t="shared" si="16"/>
        <v>Chưa bắt đầu</v>
      </c>
      <c r="F114" s="317">
        <f t="shared" si="17"/>
        <v>0</v>
      </c>
      <c r="G114" s="323">
        <f t="shared" si="18"/>
        <v>46280</v>
      </c>
      <c r="H114" s="327">
        <f t="shared" si="19"/>
        <v>28</v>
      </c>
      <c r="I114" s="327">
        <f t="shared" si="20"/>
        <v>60</v>
      </c>
      <c r="J114" s="301" t="str">
        <f t="shared" si="21"/>
        <v>🟢 Theo kế hoạch</v>
      </c>
      <c r="K114" s="301" t="str">
        <f t="shared" si="22"/>
        <v>Thiếu tham số phân bổ</v>
      </c>
      <c r="L114" s="344" t="str">
        <f t="array" ref="L114">IF($T114="","",LET(m,MATCH($T114,$AS$24:$AS$700,0),lvl,INDEX($W$24:$W$700,m),id,INDEX($X$24:$X$700,m),SWITCH(lvl,3,"Lớp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mục!A40</v>
      </c>
      <c r="M114" s="351" t="str">
        <f t="shared" si="23"/>
        <v/>
      </c>
      <c r="N114" s="356" t="str">
        <f t="shared" si="24"/>
        <v>Thiếu tham số phân bổ</v>
      </c>
      <c r="O114" s="358"/>
      <c r="P114" s="360"/>
      <c r="Q114" s="360"/>
      <c r="R114" s="67"/>
      <c r="S114" s="67"/>
      <c r="T114" s="67" t="str">
        <f>IFERROR(__xludf.DUMMYFUNCTION("""COMPUTED_VALUE"""),"24.02")</f>
        <v>24.02</v>
      </c>
      <c r="U114" s="389" t="str">
        <f>IF('Lớp 4 - Danh mục'!I44="","",'Lớp 4 - Danh mục'!J44&amp;"|"&amp;'Lớp 4 - Danh mục'!I44)</f>
        <v>#REF!</v>
      </c>
      <c r="V114" s="389" t="str">
        <f>IF('Lớp 4 - Danh mục'!I44="","","   ├─ "&amp;'Lớp 4 - Danh mục'!O44)</f>
        <v>#REF!</v>
      </c>
      <c r="W114" s="389" t="str">
        <f>IF('Lớp 4 - Danh mục'!I44="","",4)</f>
        <v>#REF!</v>
      </c>
      <c r="X114" s="67" t="str">
        <f>'Lớp 4 - Danh mục'!I44</f>
        <v>#REF!</v>
      </c>
      <c r="Y114" s="67" t="str">
        <f>'Lớp 4 - Danh mục'!J44</f>
        <v>#REF!</v>
      </c>
      <c r="Z114" s="67" t="str">
        <f>'Lớp 4 - Danh mục'!Z44</f>
        <v>#REF!</v>
      </c>
      <c r="AA114" s="67" t="str">
        <f>'Lớp 4 - Danh mục'!X44</f>
        <v/>
      </c>
      <c r="AB114" s="67" t="str">
        <f>'Lớp 4 - Danh mục'!AB44</f>
        <v>#REF!</v>
      </c>
      <c r="AC114" s="67" t="str">
        <f>'Lớp 4 - Danh mục'!AA44</f>
        <v>#REF!</v>
      </c>
      <c r="AD114" s="398" t="str">
        <f>'Lớp 4 - Danh mục'!AF44</f>
        <v>#REF!</v>
      </c>
      <c r="AE114" s="358" t="str">
        <f>'Lớp 4 - Danh mục'!AD44</f>
        <v>#REF!</v>
      </c>
      <c r="AF114" s="187" t="str">
        <f>'Lớp 4 - Danh mục'!AG44</f>
        <v>#REF!</v>
      </c>
      <c r="AG114" s="104" t="str">
        <f>'Lớp 4 - Danh mục'!AH44</f>
        <v>#REF!</v>
      </c>
      <c r="AH114" s="389" t="str">
        <f t="shared" si="27"/>
        <v>#REF!</v>
      </c>
      <c r="AI114" s="389" t="str">
        <f t="shared" si="37"/>
        <v>#REF!</v>
      </c>
      <c r="AJ114" s="67" t="str">
        <f>'Lớp 4 - Danh mục'!AK44</f>
        <v>#REF!</v>
      </c>
      <c r="AS114" s="389" t="str">
        <f t="shared" si="97"/>
        <v>#REF!</v>
      </c>
      <c r="AT114" s="389" t="str">
        <f t="shared" si="32"/>
        <v>#REF!</v>
      </c>
      <c r="AU114" s="389" t="str">
        <f t="shared" si="33"/>
        <v>#REF!</v>
      </c>
      <c r="AV114" s="389" t="str">
        <f t="shared" si="34"/>
        <v>#REF!</v>
      </c>
      <c r="AW114" s="389" t="str">
        <f t="shared" si="35"/>
        <v>#REF!</v>
      </c>
      <c r="AX114" s="67" t="str">
        <f t="shared" ref="AX114:BH114" si="127">Z114</f>
        <v>#REF!</v>
      </c>
      <c r="AY114" s="67" t="str">
        <f t="shared" si="127"/>
        <v/>
      </c>
      <c r="AZ114" s="67" t="str">
        <f t="shared" si="127"/>
        <v>#REF!</v>
      </c>
      <c r="BA114" s="67" t="str">
        <f t="shared" si="127"/>
        <v>#REF!</v>
      </c>
      <c r="BB114" s="398" t="str">
        <f t="shared" si="127"/>
        <v>#REF!</v>
      </c>
      <c r="BC114" s="358" t="str">
        <f t="shared" si="127"/>
        <v>#REF!</v>
      </c>
      <c r="BD114" s="187" t="str">
        <f t="shared" si="127"/>
        <v>#REF!</v>
      </c>
      <c r="BE114" s="104" t="str">
        <f t="shared" si="127"/>
        <v>#REF!</v>
      </c>
      <c r="BF114" s="389" t="str">
        <f t="shared" si="127"/>
        <v>#REF!</v>
      </c>
      <c r="BG114" s="389" t="str">
        <f t="shared" si="127"/>
        <v>#REF!</v>
      </c>
      <c r="BH114" s="67" t="str">
        <f t="shared" si="127"/>
        <v>#REF!</v>
      </c>
      <c r="BI114" s="389" t="str">
        <f t="array" ref="BI114">IF($X114="","",SWITCH($W114,3,IFERROR(INDEX('Lớp 3 - Công việc chính'!$AF$14:$AF$73,MATCH($X114,'Lớp 3 - Công việc chính'!$I$14:$I$73,0)),""),4,IFERROR(INDEX('Lớp 4 - Danh mục'!$AI$14:$AI$132,MATCH($X114,'Lớp 4 - Danh mục'!$I$14:$I$132,0)),""),5,IFERROR(INDEX('Lớp 5 - Phân công'!$AJ$14:$AJ$262,MATCH($X114,'Lớp 5 - Phân công'!$I$14:$I$262,0)),""),6,IFERROR(INDEX('Lớp 6 - Chi tiết'!$AM$14:$AM$267,MATCH($X114,'Lớp 6 - Chi tiết'!$I$14:$I$267,0)),""),""))</f>
        <v>#REF!</v>
      </c>
      <c r="BJ114" s="389" t="str">
        <f t="array" ref="BJ114">IF($X114="","",SWITCH($W114,3,IFERROR(INDEX('Lớp 3 - Công việc chính'!$AR$14:$AR$73,MATCH($X114,'Lớp 3 - Công việc chính'!$I$14:$I$73,0)),""),4,IFERROR(INDEX('Lớp 4 - Danh mục'!$AU$14:$AU$132,MATCH($X114,'Lớp 4 - Danh mục'!$I$14:$I$132,0)),""),5,IFERROR(INDEX('Lớp 5 - Phân công'!$AV$14:$AV$262,MATCH($X114,'Lớp 5 - Phân công'!$I$14:$I$262,0)),""),6,IFERROR(INDEX('Lớp 6 - Chi tiết'!$AY$14:$AY$267,MATCH($X114,'Lớp 6 - Chi tiết'!$I$14:$I$267,0)),""),""))</f>
        <v>#REF!</v>
      </c>
    </row>
    <row r="115" ht="15.75" customHeight="1">
      <c r="A115" s="294" t="str">
        <f t="shared" si="12"/>
        <v>    ├─ ▓ L4  24.03  XDHT cảnh báo</v>
      </c>
      <c r="B115" s="301" t="str">
        <f t="shared" si="13"/>
        <v>Em Đại</v>
      </c>
      <c r="C115" s="301" t="str">
        <f t="shared" si="14"/>
        <v>Dữ liệu điều hành</v>
      </c>
      <c r="D115" s="301" t="str">
        <f t="shared" si="15"/>
        <v>P2</v>
      </c>
      <c r="E115" s="301" t="str">
        <f t="shared" si="16"/>
        <v>Chưa bắt đầu</v>
      </c>
      <c r="F115" s="317">
        <f t="shared" si="17"/>
        <v>0</v>
      </c>
      <c r="G115" s="323">
        <f t="shared" si="18"/>
        <v>46237</v>
      </c>
      <c r="H115" s="327">
        <f t="shared" si="19"/>
        <v>-7</v>
      </c>
      <c r="I115" s="327">
        <f t="shared" si="20"/>
        <v>240</v>
      </c>
      <c r="J115" s="301" t="str">
        <f t="shared" si="21"/>
        <v>🔴 Quá hạn</v>
      </c>
      <c r="K115" s="301" t="str">
        <f t="shared" si="22"/>
        <v>Thiếu tham số phân bổ</v>
      </c>
      <c r="L115" s="344" t="str">
        <f t="array" ref="L115">IF($T115="","",LET(m,MATCH($T115,$AS$24:$AS$700,0),lvl,INDEX($W$24:$W$700,m),id,INDEX($X$24:$X$700,m),SWITCH(lvl,3,"Lớp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4 - Danh mục!A41</v>
      </c>
      <c r="M115" s="351" t="str">
        <f t="shared" si="23"/>
        <v/>
      </c>
      <c r="N115" s="356" t="str">
        <f t="shared" si="24"/>
        <v>Thiếu tham số phân bổ</v>
      </c>
      <c r="O115" s="358"/>
      <c r="P115" s="360"/>
      <c r="Q115" s="360"/>
      <c r="R115" s="67"/>
      <c r="S115" s="67"/>
      <c r="T115" s="67" t="str">
        <f>IFERROR(__xludf.DUMMYFUNCTION("""COMPUTED_VALUE"""),"24.03")</f>
        <v>24.03</v>
      </c>
      <c r="U115" s="389" t="str">
        <f>IF('Lớp 4 - Danh mục'!I45="","",'Lớp 4 - Danh mục'!J45&amp;"|"&amp;'Lớp 4 - Danh mục'!I45)</f>
        <v>#REF!</v>
      </c>
      <c r="V115" s="389" t="str">
        <f>IF('Lớp 4 - Danh mục'!I45="","","   ├─ "&amp;'Lớp 4 - Danh mục'!O45)</f>
        <v>#REF!</v>
      </c>
      <c r="W115" s="389" t="str">
        <f>IF('Lớp 4 - Danh mục'!I45="","",4)</f>
        <v>#REF!</v>
      </c>
      <c r="X115" s="67" t="str">
        <f>'Lớp 4 - Danh mục'!I45</f>
        <v>#REF!</v>
      </c>
      <c r="Y115" s="67" t="str">
        <f>'Lớp 4 - Danh mục'!J45</f>
        <v>#REF!</v>
      </c>
      <c r="Z115" s="67" t="str">
        <f>'Lớp 4 - Danh mục'!Z45</f>
        <v>#REF!</v>
      </c>
      <c r="AA115" s="67" t="str">
        <f>'Lớp 4 - Danh mục'!X45</f>
        <v/>
      </c>
      <c r="AB115" s="67" t="str">
        <f>'Lớp 4 - Danh mục'!AB45</f>
        <v>#REF!</v>
      </c>
      <c r="AC115" s="67" t="str">
        <f>'Lớp 4 - Danh mục'!AA45</f>
        <v>#REF!</v>
      </c>
      <c r="AD115" s="398" t="str">
        <f>'Lớp 4 - Danh mục'!AF45</f>
        <v>#REF!</v>
      </c>
      <c r="AE115" s="358" t="str">
        <f>'Lớp 4 - Danh mục'!AD45</f>
        <v>#REF!</v>
      </c>
      <c r="AF115" s="187" t="str">
        <f>'Lớp 4 - Danh mục'!AG45</f>
        <v>#REF!</v>
      </c>
      <c r="AG115" s="104" t="str">
        <f>'Lớp 4 - Danh mục'!AH45</f>
        <v>#REF!</v>
      </c>
      <c r="AH115" s="389" t="str">
        <f t="shared" si="27"/>
        <v>#REF!</v>
      </c>
      <c r="AI115" s="389" t="str">
        <f t="shared" si="37"/>
        <v>#REF!</v>
      </c>
      <c r="AJ115" s="67" t="str">
        <f>'Lớp 4 - Danh mục'!AK45</f>
        <v>#REF!</v>
      </c>
      <c r="AS115" s="389" t="str">
        <f t="shared" si="97"/>
        <v>#REF!</v>
      </c>
      <c r="AT115" s="389" t="str">
        <f t="shared" si="32"/>
        <v>#REF!</v>
      </c>
      <c r="AU115" s="389" t="str">
        <f t="shared" si="33"/>
        <v>#REF!</v>
      </c>
      <c r="AV115" s="389" t="str">
        <f t="shared" si="34"/>
        <v>#REF!</v>
      </c>
      <c r="AW115" s="389" t="str">
        <f t="shared" si="35"/>
        <v>#REF!</v>
      </c>
      <c r="AX115" s="67" t="str">
        <f t="shared" ref="AX115:BH115" si="128">Z115</f>
        <v>#REF!</v>
      </c>
      <c r="AY115" s="67" t="str">
        <f t="shared" si="128"/>
        <v/>
      </c>
      <c r="AZ115" s="67" t="str">
        <f t="shared" si="128"/>
        <v>#REF!</v>
      </c>
      <c r="BA115" s="67" t="str">
        <f t="shared" si="128"/>
        <v>#REF!</v>
      </c>
      <c r="BB115" s="398" t="str">
        <f t="shared" si="128"/>
        <v>#REF!</v>
      </c>
      <c r="BC115" s="358" t="str">
        <f t="shared" si="128"/>
        <v>#REF!</v>
      </c>
      <c r="BD115" s="187" t="str">
        <f t="shared" si="128"/>
        <v>#REF!</v>
      </c>
      <c r="BE115" s="104" t="str">
        <f t="shared" si="128"/>
        <v>#REF!</v>
      </c>
      <c r="BF115" s="389" t="str">
        <f t="shared" si="128"/>
        <v>#REF!</v>
      </c>
      <c r="BG115" s="389" t="str">
        <f t="shared" si="128"/>
        <v>#REF!</v>
      </c>
      <c r="BH115" s="67" t="str">
        <f t="shared" si="128"/>
        <v>#REF!</v>
      </c>
      <c r="BI115" s="389" t="str">
        <f t="array" ref="BI115">IF($X115="","",SWITCH($W115,3,IFERROR(INDEX('Lớp 3 - Công việc chính'!$AF$14:$AF$73,MATCH($X115,'Lớp 3 - Công việc chính'!$I$14:$I$73,0)),""),4,IFERROR(INDEX('Lớp 4 - Danh mục'!$AI$14:$AI$132,MATCH($X115,'Lớp 4 - Danh mục'!$I$14:$I$132,0)),""),5,IFERROR(INDEX('Lớp 5 - Phân công'!$AJ$14:$AJ$262,MATCH($X115,'Lớp 5 - Phân công'!$I$14:$I$262,0)),""),6,IFERROR(INDEX('Lớp 6 - Chi tiết'!$AM$14:$AM$267,MATCH($X115,'Lớp 6 - Chi tiết'!$I$14:$I$267,0)),""),""))</f>
        <v>#REF!</v>
      </c>
      <c r="BJ115" s="389" t="str">
        <f t="array" ref="BJ115">IF($X115="","",SWITCH($W115,3,IFERROR(INDEX('Lớp 3 - Công việc chính'!$AR$14:$AR$73,MATCH($X115,'Lớp 3 - Công việc chính'!$I$14:$I$73,0)),""),4,IFERROR(INDEX('Lớp 4 - Danh mục'!$AU$14:$AU$132,MATCH($X115,'Lớp 4 - Danh mục'!$I$14:$I$132,0)),""),5,IFERROR(INDEX('Lớp 5 - Phân công'!$AV$14:$AV$262,MATCH($X115,'Lớp 5 - Phân công'!$I$14:$I$262,0)),""),6,IFERROR(INDEX('Lớp 6 - Chi tiết'!$AY$14:$AY$267,MATCH($X115,'Lớp 6 - Chi tiết'!$I$14:$I$267,0)),""),""))</f>
        <v>#REF!</v>
      </c>
    </row>
    <row r="116" ht="15.75" customHeight="1">
      <c r="A116" s="294" t="str">
        <f t="shared" si="12"/>
        <v>▓▓ L3  25  XÂY DỰNG HỆ THỐNG KIỂM SOÁT CHIẾT KHẤU</v>
      </c>
      <c r="B116" s="301" t="str">
        <f t="shared" si="13"/>
        <v>Em Đại</v>
      </c>
      <c r="C116" s="301" t="str">
        <f t="shared" si="14"/>
        <v>Dữ liệu điều hành</v>
      </c>
      <c r="D116" s="301" t="str">
        <f t="shared" si="15"/>
        <v>P3</v>
      </c>
      <c r="E116" s="301" t="str">
        <f t="shared" si="16"/>
        <v>Đã lên lịch</v>
      </c>
      <c r="F116" s="317" t="str">
        <f t="shared" si="17"/>
        <v/>
      </c>
      <c r="G116" s="323">
        <f t="shared" si="18"/>
        <v>46420</v>
      </c>
      <c r="H116" s="327">
        <f t="shared" si="19"/>
        <v>55</v>
      </c>
      <c r="I116" s="327" t="str">
        <f t="shared" si="20"/>
        <v/>
      </c>
      <c r="J116" s="301" t="str">
        <f t="shared" si="21"/>
        <v>🟢 Theo kế hoạch</v>
      </c>
      <c r="K116" s="301" t="str">
        <f t="shared" si="22"/>
        <v>Chưa nhập khối lượng</v>
      </c>
      <c r="L116" s="344" t="str">
        <f t="array" ref="L116">IF($T116="","",LET(m,MATCH($T116,$AS$24:$AS$700,0),lvl,INDEX($W$24:$W$700,m),id,INDEX($X$24:$X$700,m),SWITCH(lvl,3,"Lớp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chính!A38</v>
      </c>
      <c r="M116" s="351" t="str">
        <f t="shared" si="23"/>
        <v/>
      </c>
      <c r="N116" s="356" t="str">
        <f t="shared" si="24"/>
        <v>Thiếu tổng giờ</v>
      </c>
      <c r="O116" s="358"/>
      <c r="P116" s="360"/>
      <c r="Q116" s="360"/>
      <c r="R116" s="67"/>
      <c r="S116" s="67"/>
      <c r="T116" s="67" t="str">
        <f>IFERROR(__xludf.DUMMYFUNCTION("""COMPUTED_VALUE"""),"25")</f>
        <v>25</v>
      </c>
      <c r="U116" s="389" t="str">
        <f>IF('Lớp 4 - Danh mục'!I46="","",'Lớp 4 - Danh mục'!J46&amp;"|"&amp;'Lớp 4 - Danh mục'!I46)</f>
        <v>HHL3DL03|HHL4DL15</v>
      </c>
      <c r="V116" s="389" t="str">
        <f>IF('Lớp 4 - Danh mục'!I46="","","   ├─ "&amp;'Lớp 4 - Danh mục'!O46)</f>
        <v>   ├─ BC về NLSX &amp; cung ứng hàng hoá </v>
      </c>
      <c r="W116" s="389">
        <f>IF('Lớp 4 - Danh mục'!I46="","",4)</f>
        <v>4</v>
      </c>
      <c r="X116" s="67" t="str">
        <f>'Lớp 4 - Danh mục'!I46</f>
        <v>HHL4DL15</v>
      </c>
      <c r="Y116" s="67" t="str">
        <f>'Lớp 4 - Danh mục'!J46</f>
        <v>HHL3DL03</v>
      </c>
      <c r="Z116" s="67" t="str">
        <f>'Lớp 4 - Danh mục'!Z46</f>
        <v>Em Đại</v>
      </c>
      <c r="AA116" s="67" t="str">
        <f>'Lớp 4 - Danh mục'!X46</f>
        <v>Dữ liệu điều hành</v>
      </c>
      <c r="AB116" s="67" t="str">
        <f>'Lớp 4 - Danh mục'!AB46</f>
        <v>P2</v>
      </c>
      <c r="AC116" s="67" t="str">
        <f>'Lớp 4 - Danh mục'!AA46</f>
        <v>Chưa bắt đầu</v>
      </c>
      <c r="AD116" s="398">
        <f>'Lớp 4 - Danh mục'!AF46</f>
        <v>0</v>
      </c>
      <c r="AE116" s="358">
        <f>'Lớp 4 - Danh mục'!AD46</f>
        <v>46310</v>
      </c>
      <c r="AF116" s="187">
        <f>'Lớp 4 - Danh mục'!AG46</f>
        <v>54</v>
      </c>
      <c r="AG116" s="104">
        <f>'Lớp 4 - Danh mục'!AH46</f>
        <v>160</v>
      </c>
      <c r="AH116" s="389">
        <f t="shared" si="27"/>
        <v>160</v>
      </c>
      <c r="AI116" s="389" t="str">
        <f t="shared" si="37"/>
        <v>🟢 Theo kế hoạch</v>
      </c>
      <c r="AJ116" s="67" t="str">
        <f>'Lớp 4 - Danh mục'!AK46</f>
        <v>Thiếu tham số phân bổ</v>
      </c>
      <c r="AS116" s="389" t="str">
        <f t="shared" si="97"/>
        <v>18.01</v>
      </c>
      <c r="AT116" s="389" t="str">
        <f t="shared" si="32"/>
        <v/>
      </c>
      <c r="AU116" s="389" t="str">
        <f t="shared" si="33"/>
        <v>BC về NLSX &amp; cung ứng hàng hoá</v>
      </c>
      <c r="AV116" s="389" t="str">
        <f t="shared" si="34"/>
        <v/>
      </c>
      <c r="AW116" s="389" t="str">
        <f t="shared" si="35"/>
        <v/>
      </c>
      <c r="AX116" s="67" t="str">
        <f t="shared" ref="AX116:BH116" si="129">Z116</f>
        <v>Em Đại</v>
      </c>
      <c r="AY116" s="67" t="str">
        <f t="shared" si="129"/>
        <v>Dữ liệu điều hành</v>
      </c>
      <c r="AZ116" s="67" t="str">
        <f t="shared" si="129"/>
        <v>P2</v>
      </c>
      <c r="BA116" s="67" t="str">
        <f t="shared" si="129"/>
        <v>Chưa bắt đầu</v>
      </c>
      <c r="BB116" s="398">
        <f t="shared" si="129"/>
        <v>0</v>
      </c>
      <c r="BC116" s="358">
        <f t="shared" si="129"/>
        <v>46310</v>
      </c>
      <c r="BD116" s="187">
        <f t="shared" si="129"/>
        <v>54</v>
      </c>
      <c r="BE116" s="104">
        <f t="shared" si="129"/>
        <v>160</v>
      </c>
      <c r="BF116" s="389">
        <f t="shared" si="129"/>
        <v>160</v>
      </c>
      <c r="BG116" s="389" t="str">
        <f t="shared" si="129"/>
        <v>🟢 Theo kế hoạch</v>
      </c>
      <c r="BH116" s="67" t="str">
        <f t="shared" si="129"/>
        <v>Thiếu tham số phân bổ</v>
      </c>
      <c r="BI116" s="389" t="str">
        <f t="array" ref="BI116">IF($X116="","",SWITCH($W116,3,IFERROR(INDEX('Lớp 3 - Công việc chính'!$AF$14:$AF$73,MATCH($X116,'Lớp 3 - Công việc chính'!$I$14:$I$73,0)),""),4,IFERROR(INDEX('Lớp 4 - Danh mục'!$AI$14:$AI$132,MATCH($X116,'Lớp 4 - Danh mục'!$I$14:$I$132,0)),""),5,IFERROR(INDEX('Lớp 5 - Phân công'!$AJ$14:$AJ$262,MATCH($X116,'Lớp 5 - Phân công'!$I$14:$I$262,0)),""),6,IFERROR(INDEX('Lớp 6 - Chi tiết'!$AM$14:$AM$267,MATCH($X116,'Lớp 6 - Chi tiết'!$I$14:$I$267,0)),""),""))</f>
        <v/>
      </c>
      <c r="BJ116" s="389" t="str">
        <f t="array" ref="BJ116">IF($X116="","",SWITCH($W116,3,IFERROR(INDEX('Lớp 3 - Công việc chính'!$AR$14:$AR$73,MATCH($X116,'Lớp 3 - Công việc chính'!$I$14:$I$73,0)),""),4,IFERROR(INDEX('Lớp 4 - Danh mục'!$AU$14:$AU$132,MATCH($X116,'Lớp 4 - Danh mục'!$I$14:$I$132,0)),""),5,IFERROR(INDEX('Lớp 5 - Phân công'!$AV$14:$AV$262,MATCH($X116,'Lớp 5 - Phân công'!$I$14:$I$262,0)),""),6,IFERROR(INDEX('Lớp 6 - Chi tiết'!$AY$14:$AY$267,MATCH($X116,'Lớp 6 - Chi tiết'!$I$14:$I$267,0)),""),""))</f>
        <v>Thiếu tham số phân bổ</v>
      </c>
    </row>
    <row r="117" ht="15.75" customHeight="1">
      <c r="A117" s="294" t="str">
        <f t="shared" si="12"/>
        <v>▓▓ L3  26  XÂY DỰNG HỆ THỐNG TÍNH GIÁ &amp; BÁO GIÁ XUẤT KHẨU</v>
      </c>
      <c r="B117" s="301" t="str">
        <f t="shared" si="13"/>
        <v>Em Đại</v>
      </c>
      <c r="C117" s="301" t="str">
        <f t="shared" si="14"/>
        <v>Dữ liệu điều hành</v>
      </c>
      <c r="D117" s="301" t="str">
        <f t="shared" si="15"/>
        <v/>
      </c>
      <c r="E117" s="301" t="str">
        <f t="shared" si="16"/>
        <v>Đã lên lịch</v>
      </c>
      <c r="F117" s="317" t="str">
        <f t="shared" si="17"/>
        <v/>
      </c>
      <c r="G117" s="323">
        <f t="shared" si="18"/>
        <v>46388</v>
      </c>
      <c r="H117" s="327">
        <f t="shared" si="19"/>
        <v>28</v>
      </c>
      <c r="I117" s="327" t="str">
        <f t="shared" si="20"/>
        <v/>
      </c>
      <c r="J117" s="301" t="str">
        <f t="shared" si="21"/>
        <v>🟢 Theo kế hoạch</v>
      </c>
      <c r="K117" s="301" t="str">
        <f t="shared" si="22"/>
        <v>Chưa nhập khối lượng</v>
      </c>
      <c r="L117" s="344" t="str">
        <f t="array" ref="L117">IF($T117="","",LET(m,MATCH($T117,$AS$24:$AS$700,0),lvl,INDEX($W$24:$W$700,m),id,INDEX($X$24:$X$700,m),SWITCH(lvl,3,"Lớp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chính!A39</v>
      </c>
      <c r="M117" s="351" t="str">
        <f t="shared" si="23"/>
        <v/>
      </c>
      <c r="N117" s="356" t="str">
        <f t="shared" si="24"/>
        <v>Thiếu tổng giờ</v>
      </c>
      <c r="O117" s="358"/>
      <c r="P117" s="360"/>
      <c r="Q117" s="360"/>
      <c r="R117" s="67"/>
      <c r="S117" s="67"/>
      <c r="T117" s="67" t="str">
        <f>IFERROR(__xludf.DUMMYFUNCTION("""COMPUTED_VALUE"""),"26")</f>
        <v>26</v>
      </c>
      <c r="U117" s="389" t="str">
        <f>IF('Lớp 4 - Danh mục'!I14="","",'Lớp 4 - Danh mục'!J14&amp;"|"&amp;'Lớp 4 - Danh mục'!I14)</f>
        <v>HHL3CT03|HHL4DL01</v>
      </c>
      <c r="V117" s="389" t="str">
        <f>IF('Lớp 4 - Danh mục'!I14="","","   ├─ "&amp;'Lớp 4 - Danh mục'!O14)</f>
        <v>   ├─ Xác nhận công thức &amp; tạo HT tham số cho KH GT</v>
      </c>
      <c r="W117" s="389">
        <f>IF('Lớp 4 - Danh mục'!I14="","",4)</f>
        <v>4</v>
      </c>
      <c r="X117" s="67" t="str">
        <f>'Lớp 4 - Danh mục'!I14</f>
        <v>HHL4DL01</v>
      </c>
      <c r="Y117" s="67" t="str">
        <f>'Lớp 4 - Danh mục'!J14</f>
        <v>HHL3CT03</v>
      </c>
      <c r="Z117" s="67" t="str">
        <f>'Lớp 4 - Danh mục'!Z14</f>
        <v>Em Đại</v>
      </c>
      <c r="AA117" s="67" t="str">
        <f>'Lớp 4 - Danh mục'!X14</f>
        <v>Dữ liệu điều hành</v>
      </c>
      <c r="AB117" s="67" t="str">
        <f>'Lớp 4 - Danh mục'!AB14</f>
        <v>P1</v>
      </c>
      <c r="AC117" s="67" t="str">
        <f>'Lớp 4 - Danh mục'!AA14</f>
        <v>Chưa bắt đầu</v>
      </c>
      <c r="AD117" s="398">
        <f>'Lớp 4 - Danh mục'!AF14</f>
        <v>0</v>
      </c>
      <c r="AE117" s="358">
        <f>'Lớp 4 - Danh mục'!AD14</f>
        <v>46305</v>
      </c>
      <c r="AF117" s="187">
        <f>'Lớp 4 - Danh mục'!AG14</f>
        <v>50</v>
      </c>
      <c r="AG117" s="104">
        <f>'Lớp 4 - Danh mục'!AH14</f>
        <v>140</v>
      </c>
      <c r="AH117" s="389">
        <f t="shared" si="27"/>
        <v>140</v>
      </c>
      <c r="AI117" s="389" t="str">
        <f t="shared" si="37"/>
        <v>🟣 P1 trọng yếu</v>
      </c>
      <c r="AJ117" s="67" t="str">
        <f>'Lớp 4 - Danh mục'!AK14</f>
        <v>Theo dõi tải tại Lớp 5</v>
      </c>
      <c r="AS117" s="389" t="str">
        <f t="shared" si="97"/>
        <v>03.08</v>
      </c>
      <c r="AT117" s="389" t="str">
        <f t="shared" si="32"/>
        <v/>
      </c>
      <c r="AU117" s="389" t="str">
        <f t="shared" si="33"/>
        <v>Xác nhận công thức &amp; tạo HT tham số cho KH GT</v>
      </c>
      <c r="AV117" s="389" t="str">
        <f t="shared" si="34"/>
        <v/>
      </c>
      <c r="AW117" s="389" t="str">
        <f t="shared" si="35"/>
        <v/>
      </c>
      <c r="AX117" s="67" t="str">
        <f t="shared" ref="AX117:BH117" si="130">Z117</f>
        <v>Em Đại</v>
      </c>
      <c r="AY117" s="67" t="str">
        <f t="shared" si="130"/>
        <v>Dữ liệu điều hành</v>
      </c>
      <c r="AZ117" s="67" t="str">
        <f t="shared" si="130"/>
        <v>P1</v>
      </c>
      <c r="BA117" s="67" t="str">
        <f t="shared" si="130"/>
        <v>Chưa bắt đầu</v>
      </c>
      <c r="BB117" s="398">
        <f t="shared" si="130"/>
        <v>0</v>
      </c>
      <c r="BC117" s="358">
        <f t="shared" si="130"/>
        <v>46305</v>
      </c>
      <c r="BD117" s="187">
        <f t="shared" si="130"/>
        <v>50</v>
      </c>
      <c r="BE117" s="104">
        <f t="shared" si="130"/>
        <v>140</v>
      </c>
      <c r="BF117" s="389">
        <f t="shared" si="130"/>
        <v>140</v>
      </c>
      <c r="BG117" s="389" t="str">
        <f t="shared" si="130"/>
        <v>🟣 P1 trọng yếu</v>
      </c>
      <c r="BH117" s="67" t="str">
        <f t="shared" si="130"/>
        <v>Theo dõi tải tại Lớp 5</v>
      </c>
      <c r="BI117" s="389" t="str">
        <f t="array" ref="BI117">IF($X117="","",SWITCH($W117,3,IFERROR(INDEX('Lớp 3 - Công việc chính'!$AF$14:$AF$73,MATCH($X117,'Lớp 3 - Công việc chính'!$I$14:$I$73,0)),""),4,IFERROR(INDEX('Lớp 4 - Danh mục'!$AI$14:$AI$132,MATCH($X117,'Lớp 4 - Danh mục'!$I$14:$I$132,0)),""),5,IFERROR(INDEX('Lớp 5 - Phân công'!$AJ$14:$AJ$262,MATCH($X117,'Lớp 5 - Phân công'!$I$14:$I$262,0)),""),6,IFERROR(INDEX('Lớp 6 - Chi tiết'!$AM$14:$AM$267,MATCH($X117,'Lớp 6 - Chi tiết'!$I$14:$I$267,0)),""),""))</f>
        <v/>
      </c>
      <c r="BJ117" s="389" t="str">
        <f t="array" ref="BJ117">IF($X117="","",SWITCH($W117,3,IFERROR(INDEX('Lớp 3 - Công việc chính'!$AR$14:$AR$73,MATCH($X117,'Lớp 3 - Công việc chính'!$I$14:$I$73,0)),""),4,IFERROR(INDEX('Lớp 4 - Danh mục'!$AU$14:$AU$132,MATCH($X117,'Lớp 4 - Danh mục'!$I$14:$I$132,0)),""),5,IFERROR(INDEX('Lớp 5 - Phân công'!$AV$14:$AV$262,MATCH($X117,'Lớp 5 - Phân công'!$I$14:$I$262,0)),""),6,IFERROR(INDEX('Lớp 6 - Chi tiết'!$AY$14:$AY$267,MATCH($X117,'Lớp 6 - Chi tiết'!$I$14:$I$267,0)),""),""))</f>
        <v>Theo dõi phân bổ tại Lớp 5</v>
      </c>
    </row>
    <row r="118" ht="15.75" customHeight="1">
      <c r="A118" s="294" t="str">
        <f t="shared" si="12"/>
        <v>▓▓ L3  27  CĐS &amp; AI CÁC HOẠT ĐỘNG CỦA BOC</v>
      </c>
      <c r="B118" s="301" t="str">
        <f t="shared" si="13"/>
        <v>Em Đại</v>
      </c>
      <c r="C118" s="301" t="str">
        <f t="shared" si="14"/>
        <v>Dữ liệu điều hành</v>
      </c>
      <c r="D118" s="301" t="str">
        <f t="shared" si="15"/>
        <v/>
      </c>
      <c r="E118" s="301" t="str">
        <f t="shared" si="16"/>
        <v>Chưa lên lịch</v>
      </c>
      <c r="F118" s="317" t="str">
        <f t="shared" si="17"/>
        <v/>
      </c>
      <c r="G118" s="323" t="str">
        <f t="shared" si="18"/>
        <v/>
      </c>
      <c r="H118" s="327" t="str">
        <f t="shared" si="19"/>
        <v/>
      </c>
      <c r="I118" s="327" t="str">
        <f t="shared" si="20"/>
        <v/>
      </c>
      <c r="J118" s="301" t="str">
        <f t="shared" si="21"/>
        <v>🔵 Chưa có hạn</v>
      </c>
      <c r="K118" s="301" t="str">
        <f t="shared" si="22"/>
        <v>Theo dõi tải tại Lớp 4</v>
      </c>
      <c r="L118" s="344" t="str">
        <f t="array" ref="L118">IF($T118="","",LET(m,MATCH($T118,$AS$24:$AS$700,0),lvl,INDEX($W$24:$W$700,m),id,INDEX($X$24:$X$700,m),SWITCH(lvl,3,"Lớp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chính!A40</v>
      </c>
      <c r="M118" s="351" t="str">
        <f t="shared" si="23"/>
        <v/>
      </c>
      <c r="N118" s="356" t="str">
        <f t="shared" si="24"/>
        <v>Theo dõi phân bổ tại Lớp 4</v>
      </c>
      <c r="O118" s="358"/>
      <c r="P118" s="360"/>
      <c r="Q118" s="360"/>
      <c r="R118" s="67"/>
      <c r="S118" s="67"/>
      <c r="T118" s="67" t="str">
        <f>IFERROR(__xludf.DUMMYFUNCTION("""COMPUTED_VALUE"""),"27")</f>
        <v>27</v>
      </c>
      <c r="U118" s="389" t="str">
        <f>IF('Lớp 4 - Danh mục'!I15="","",'Lớp 4 - Danh mục'!J15&amp;"|"&amp;'Lớp 4 - Danh mục'!I15)</f>
        <v>HHL3CT03|HHL4DL02</v>
      </c>
      <c r="V118" s="389" t="str">
        <f>IF('Lớp 4 - Danh mục'!I15="","","   ├─ "&amp;'Lớp 4 - Danh mục'!O15)</f>
        <v>   ├─ Xây dựng công thức &amp; tạo HT tham số cho KH MT</v>
      </c>
      <c r="W118" s="389">
        <f>IF('Lớp 4 - Danh mục'!I15="","",4)</f>
        <v>4</v>
      </c>
      <c r="X118" s="67" t="str">
        <f>'Lớp 4 - Danh mục'!I15</f>
        <v>HHL4DL02</v>
      </c>
      <c r="Y118" s="67" t="str">
        <f>'Lớp 4 - Danh mục'!J15</f>
        <v>HHL3CT03</v>
      </c>
      <c r="Z118" s="67" t="str">
        <f>'Lớp 4 - Danh mục'!Z15</f>
        <v>Em Đại</v>
      </c>
      <c r="AA118" s="67" t="str">
        <f>'Lớp 4 - Danh mục'!X15</f>
        <v>Dữ liệu điều hành</v>
      </c>
      <c r="AB118" s="67" t="str">
        <f>'Lớp 4 - Danh mục'!AB15</f>
        <v>P1</v>
      </c>
      <c r="AC118" s="67" t="str">
        <f>'Lớp 4 - Danh mục'!AA15</f>
        <v>Chưa bắt đầu</v>
      </c>
      <c r="AD118" s="398">
        <f>'Lớp 4 - Danh mục'!AF15</f>
        <v>0</v>
      </c>
      <c r="AE118" s="358">
        <f>'Lớp 4 - Danh mục'!AD15</f>
        <v>46310</v>
      </c>
      <c r="AF118" s="187">
        <f>'Lớp 4 - Danh mục'!AG15</f>
        <v>54</v>
      </c>
      <c r="AG118" s="104">
        <f>'Lớp 4 - Danh mục'!AH15</f>
        <v>80</v>
      </c>
      <c r="AH118" s="389">
        <f t="shared" si="27"/>
        <v>80</v>
      </c>
      <c r="AI118" s="389" t="str">
        <f t="shared" si="37"/>
        <v>🟣 P1 trọng yếu</v>
      </c>
      <c r="AJ118" s="67" t="str">
        <f>'Lớp 4 - Danh mục'!AK15</f>
        <v>Theo dõi tải tại Lớp 5</v>
      </c>
      <c r="AS118" s="389" t="str">
        <f t="shared" si="97"/>
        <v>03.09</v>
      </c>
      <c r="AT118" s="389" t="str">
        <f t="shared" si="32"/>
        <v/>
      </c>
      <c r="AU118" s="389" t="str">
        <f t="shared" si="33"/>
        <v>Xây dựng công thức &amp; tạo HT tham số cho KH MT</v>
      </c>
      <c r="AV118" s="389" t="str">
        <f t="shared" si="34"/>
        <v/>
      </c>
      <c r="AW118" s="389" t="str">
        <f t="shared" si="35"/>
        <v/>
      </c>
      <c r="AX118" s="67" t="str">
        <f t="shared" ref="AX118:BH118" si="131">Z118</f>
        <v>Em Đại</v>
      </c>
      <c r="AY118" s="67" t="str">
        <f t="shared" si="131"/>
        <v>Dữ liệu điều hành</v>
      </c>
      <c r="AZ118" s="67" t="str">
        <f t="shared" si="131"/>
        <v>P1</v>
      </c>
      <c r="BA118" s="67" t="str">
        <f t="shared" si="131"/>
        <v>Chưa bắt đầu</v>
      </c>
      <c r="BB118" s="398">
        <f t="shared" si="131"/>
        <v>0</v>
      </c>
      <c r="BC118" s="358">
        <f t="shared" si="131"/>
        <v>46310</v>
      </c>
      <c r="BD118" s="187">
        <f t="shared" si="131"/>
        <v>54</v>
      </c>
      <c r="BE118" s="104">
        <f t="shared" si="131"/>
        <v>80</v>
      </c>
      <c r="BF118" s="389">
        <f t="shared" si="131"/>
        <v>80</v>
      </c>
      <c r="BG118" s="389" t="str">
        <f t="shared" si="131"/>
        <v>🟣 P1 trọng yếu</v>
      </c>
      <c r="BH118" s="67" t="str">
        <f t="shared" si="131"/>
        <v>Theo dõi tải tại Lớp 5</v>
      </c>
      <c r="BI118" s="389" t="str">
        <f t="array" ref="BI118">IF($X118="","",SWITCH($W118,3,IFERROR(INDEX('Lớp 3 - Công việc chính'!$AF$14:$AF$73,MATCH($X118,'Lớp 3 - Công việc chính'!$I$14:$I$73,0)),""),4,IFERROR(INDEX('Lớp 4 - Danh mục'!$AI$14:$AI$132,MATCH($X118,'Lớp 4 - Danh mục'!$I$14:$I$132,0)),""),5,IFERROR(INDEX('Lớp 5 - Phân công'!$AJ$14:$AJ$262,MATCH($X118,'Lớp 5 - Phân công'!$I$14:$I$262,0)),""),6,IFERROR(INDEX('Lớp 6 - Chi tiết'!$AM$14:$AM$267,MATCH($X118,'Lớp 6 - Chi tiết'!$I$14:$I$267,0)),""),""))</f>
        <v/>
      </c>
      <c r="BJ118" s="389" t="str">
        <f t="array" ref="BJ118">IF($X118="","",SWITCH($W118,3,IFERROR(INDEX('Lớp 3 - Công việc chính'!$AR$14:$AR$73,MATCH($X118,'Lớp 3 - Công việc chính'!$I$14:$I$73,0)),""),4,IFERROR(INDEX('Lớp 4 - Danh mục'!$AU$14:$AU$132,MATCH($X118,'Lớp 4 - Danh mục'!$I$14:$I$132,0)),""),5,IFERROR(INDEX('Lớp 5 - Phân công'!$AV$14:$AV$262,MATCH($X118,'Lớp 5 - Phân công'!$I$14:$I$262,0)),""),6,IFERROR(INDEX('Lớp 6 - Chi tiết'!$AY$14:$AY$267,MATCH($X118,'Lớp 6 - Chi tiết'!$I$14:$I$267,0)),""),""))</f>
        <v>Theo dõi phân bổ tại Lớp 5</v>
      </c>
    </row>
    <row r="119" ht="15.75" customHeight="1">
      <c r="A119" s="294" t="str">
        <f t="shared" si="12"/>
        <v>▓▓ L3  28  XD &amp; VẬN HÀNH HT CRM XK</v>
      </c>
      <c r="B119" s="301" t="str">
        <f t="shared" si="13"/>
        <v/>
      </c>
      <c r="C119" s="301" t="str">
        <f t="shared" si="14"/>
        <v>Dữ liệu điều hành</v>
      </c>
      <c r="D119" s="301" t="str">
        <f t="shared" si="15"/>
        <v>P1</v>
      </c>
      <c r="E119" s="301" t="str">
        <f t="shared" si="16"/>
        <v/>
      </c>
      <c r="F119" s="317">
        <f t="shared" si="17"/>
        <v>0</v>
      </c>
      <c r="G119" s="323">
        <f t="shared" si="18"/>
        <v>46231</v>
      </c>
      <c r="H119" s="327">
        <f t="shared" si="19"/>
        <v>-12</v>
      </c>
      <c r="I119" s="327" t="str">
        <f t="shared" si="20"/>
        <v/>
      </c>
      <c r="J119" s="301" t="str">
        <f t="shared" si="21"/>
        <v>🔴 Quá hạn</v>
      </c>
      <c r="K119" s="301" t="str">
        <f t="shared" si="22"/>
        <v>Chưa nhập khối lượng</v>
      </c>
      <c r="L119" s="344" t="str">
        <f t="array" ref="L119">IF($T119="","",LET(m,MATCH($T119,$AS$24:$AS$700,0),lvl,INDEX($W$24:$W$700,m),id,INDEX($X$24:$X$700,m),SWITCH(lvl,3,"Lớp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3 - Công việc chính!A41</v>
      </c>
      <c r="M119" s="351" t="str">
        <f t="shared" si="23"/>
        <v/>
      </c>
      <c r="N119" s="356" t="str">
        <f t="shared" si="24"/>
        <v>Thiếu tổng giờ</v>
      </c>
      <c r="O119" s="358"/>
      <c r="P119" s="360"/>
      <c r="Q119" s="360"/>
      <c r="R119" s="67"/>
      <c r="S119" s="67"/>
      <c r="T119" s="67" t="str">
        <f>IFERROR(__xludf.DUMMYFUNCTION("""COMPUTED_VALUE"""),"28")</f>
        <v>28</v>
      </c>
      <c r="U119" s="389" t="str">
        <f>IF('Lớp 4 - Danh mục'!I16="","",'Lớp 4 - Danh mục'!J16&amp;"|"&amp;'Lớp 4 - Danh mục'!I16)</f>
        <v>HHL3CT03|HHL4DL03</v>
      </c>
      <c r="V119" s="389" t="str">
        <f>IF('Lớp 4 - Danh mục'!I16="","","   ├─ "&amp;'Lớp 4 - Danh mục'!O16)</f>
        <v>   ├─ Xây dựng công thức &amp; tạo HT tham số cho KH B2B</v>
      </c>
      <c r="W119" s="389">
        <f>IF('Lớp 4 - Danh mục'!I16="","",4)</f>
        <v>4</v>
      </c>
      <c r="X119" s="67" t="str">
        <f>'Lớp 4 - Danh mục'!I16</f>
        <v>HHL4DL03</v>
      </c>
      <c r="Y119" s="67" t="str">
        <f>'Lớp 4 - Danh mục'!J16</f>
        <v>HHL3CT03</v>
      </c>
      <c r="Z119" s="67" t="str">
        <f>'Lớp 4 - Danh mục'!Z16</f>
        <v>Em Đại</v>
      </c>
      <c r="AA119" s="67" t="str">
        <f>'Lớp 4 - Danh mục'!X16</f>
        <v>Dữ liệu điều hành</v>
      </c>
      <c r="AB119" s="67" t="str">
        <f>'Lớp 4 - Danh mục'!AB16</f>
        <v>P1</v>
      </c>
      <c r="AC119" s="67" t="str">
        <f>'Lớp 4 - Danh mục'!AA16</f>
        <v>Chưa bắt đầu</v>
      </c>
      <c r="AD119" s="398">
        <f>'Lớp 4 - Danh mục'!AF16</f>
        <v>0</v>
      </c>
      <c r="AE119" s="358">
        <f>'Lớp 4 - Danh mục'!AD16</f>
        <v>46320</v>
      </c>
      <c r="AF119" s="187">
        <f>'Lớp 4 - Danh mục'!AG16</f>
        <v>62</v>
      </c>
      <c r="AG119" s="104">
        <f>'Lớp 4 - Danh mục'!AH16</f>
        <v>80</v>
      </c>
      <c r="AH119" s="389">
        <f t="shared" si="27"/>
        <v>80</v>
      </c>
      <c r="AI119" s="389" t="str">
        <f t="shared" si="37"/>
        <v>🟣 P1 trọng yếu</v>
      </c>
      <c r="AJ119" s="67" t="str">
        <f>'Lớp 4 - Danh mục'!AK16</f>
        <v>Theo dõi tải tại Lớp 5</v>
      </c>
      <c r="AS119" s="389" t="str">
        <f t="shared" si="97"/>
        <v>03.10</v>
      </c>
      <c r="AT119" s="389" t="str">
        <f t="shared" si="32"/>
        <v/>
      </c>
      <c r="AU119" s="389" t="str">
        <f t="shared" si="33"/>
        <v>Xây dựng công thức &amp; tạo HT tham số cho KH B2B</v>
      </c>
      <c r="AV119" s="389" t="str">
        <f t="shared" si="34"/>
        <v/>
      </c>
      <c r="AW119" s="389" t="str">
        <f t="shared" si="35"/>
        <v/>
      </c>
      <c r="AX119" s="67" t="str">
        <f t="shared" ref="AX119:BH119" si="132">Z119</f>
        <v>Em Đại</v>
      </c>
      <c r="AY119" s="67" t="str">
        <f t="shared" si="132"/>
        <v>Dữ liệu điều hành</v>
      </c>
      <c r="AZ119" s="67" t="str">
        <f t="shared" si="132"/>
        <v>P1</v>
      </c>
      <c r="BA119" s="67" t="str">
        <f t="shared" si="132"/>
        <v>Chưa bắt đầu</v>
      </c>
      <c r="BB119" s="398">
        <f t="shared" si="132"/>
        <v>0</v>
      </c>
      <c r="BC119" s="358">
        <f t="shared" si="132"/>
        <v>46320</v>
      </c>
      <c r="BD119" s="187">
        <f t="shared" si="132"/>
        <v>62</v>
      </c>
      <c r="BE119" s="104">
        <f t="shared" si="132"/>
        <v>80</v>
      </c>
      <c r="BF119" s="389">
        <f t="shared" si="132"/>
        <v>80</v>
      </c>
      <c r="BG119" s="389" t="str">
        <f t="shared" si="132"/>
        <v>🟣 P1 trọng yếu</v>
      </c>
      <c r="BH119" s="67" t="str">
        <f t="shared" si="132"/>
        <v>Theo dõi tải tại Lớp 5</v>
      </c>
      <c r="BI119" s="389" t="str">
        <f t="array" ref="BI119">IF($X119="","",SWITCH($W119,3,IFERROR(INDEX('Lớp 3 - Công việc chính'!$AF$14:$AF$73,MATCH($X119,'Lớp 3 - Công việc chính'!$I$14:$I$73,0)),""),4,IFERROR(INDEX('Lớp 4 - Danh mục'!$AI$14:$AI$132,MATCH($X119,'Lớp 4 - Danh mục'!$I$14:$I$132,0)),""),5,IFERROR(INDEX('Lớp 5 - Phân công'!$AJ$14:$AJ$262,MATCH($X119,'Lớp 5 - Phân công'!$I$14:$I$262,0)),""),6,IFERROR(INDEX('Lớp 6 - Chi tiết'!$AM$14:$AM$267,MATCH($X119,'Lớp 6 - Chi tiết'!$I$14:$I$267,0)),""),""))</f>
        <v/>
      </c>
      <c r="BJ119" s="389" t="str">
        <f t="array" ref="BJ119">IF($X119="","",SWITCH($W119,3,IFERROR(INDEX('Lớp 3 - Công việc chính'!$AR$14:$AR$73,MATCH($X119,'Lớp 3 - Công việc chính'!$I$14:$I$73,0)),""),4,IFERROR(INDEX('Lớp 4 - Danh mục'!$AU$14:$AU$132,MATCH($X119,'Lớp 4 - Danh mục'!$I$14:$I$132,0)),""),5,IFERROR(INDEX('Lớp 5 - Phân công'!$AV$14:$AV$262,MATCH($X119,'Lớp 5 - Phân công'!$I$14:$I$262,0)),""),6,IFERROR(INDEX('Lớp 6 - Chi tiết'!$AY$14:$AY$267,MATCH($X119,'Lớp 6 - Chi tiết'!$I$14:$I$267,0)),""),""))</f>
        <v>Theo dõi phân bổ tại Lớp 5</v>
      </c>
    </row>
    <row r="120" ht="15.75" customHeight="1">
      <c r="A120" s="294" t="str">
        <f t="shared" si="12"/>
        <v>        ├── ▒ L5  99.99.37  Báo cáo phân tích nội tại hiện trạng hàng HHa SX</v>
      </c>
      <c r="B120" s="301" t="str">
        <f t="shared" si="13"/>
        <v/>
      </c>
      <c r="C120" s="301" t="str">
        <f t="shared" si="14"/>
        <v/>
      </c>
      <c r="D120" s="301" t="str">
        <f t="shared" si="15"/>
        <v/>
      </c>
      <c r="E120" s="301" t="str">
        <f t="shared" si="16"/>
        <v/>
      </c>
      <c r="F120" s="317">
        <f t="shared" si="17"/>
        <v>0</v>
      </c>
      <c r="G120" s="323" t="str">
        <f t="shared" si="18"/>
        <v/>
      </c>
      <c r="H120" s="327" t="str">
        <f t="shared" si="19"/>
        <v/>
      </c>
      <c r="I120" s="327" t="str">
        <f t="shared" si="20"/>
        <v/>
      </c>
      <c r="J120" s="301" t="str">
        <f t="shared" si="21"/>
        <v>🔵 Chưa có hạn</v>
      </c>
      <c r="K120" s="301" t="str">
        <f t="shared" si="22"/>
        <v>Chưa nhập khối lượng</v>
      </c>
      <c r="L120" s="344" t="str">
        <f t="array" ref="L120">IF($T120="","",LET(m,MATCH($T120,$AS$24:$AS$700,0),lvl,INDEX($W$24:$W$700,m),id,INDEX($X$24:$X$700,m),SWITCH(lvl,3,"Lớp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công!A50</v>
      </c>
      <c r="M120" s="351" t="str">
        <f t="shared" si="23"/>
        <v/>
      </c>
      <c r="N120" s="356" t="str">
        <f t="shared" si="24"/>
        <v>Thiếu tổng giờ</v>
      </c>
      <c r="O120" s="358"/>
      <c r="P120" s="360"/>
      <c r="Q120" s="360"/>
      <c r="R120" s="67"/>
      <c r="S120" s="67"/>
      <c r="T120" s="67" t="str">
        <f>IFERROR(__xludf.DUMMYFUNCTION("""COMPUTED_VALUE"""),"99.99.37")</f>
        <v>99.99.37</v>
      </c>
      <c r="U120" s="389" t="str">
        <f>IF('Lớp 4 - Danh mục'!I17="","",'Lớp 4 - Danh mục'!J17&amp;"|"&amp;'Lớp 4 - Danh mục'!I17)</f>
        <v>HHL3CT03|HHL4DL04</v>
      </c>
      <c r="V120" s="389" t="str">
        <f>IF('Lớp 4 - Danh mục'!I17="","","   ├─ "&amp;'Lớp 4 - Danh mục'!O17)</f>
        <v>   ├─ Xây dựng công thức &amp; tạo HT tham số cho KH Online</v>
      </c>
      <c r="W120" s="389">
        <f>IF('Lớp 4 - Danh mục'!I17="","",4)</f>
        <v>4</v>
      </c>
      <c r="X120" s="67" t="str">
        <f>'Lớp 4 - Danh mục'!I17</f>
        <v>HHL4DL04</v>
      </c>
      <c r="Y120" s="67" t="str">
        <f>'Lớp 4 - Danh mục'!J17</f>
        <v>HHL3CT03</v>
      </c>
      <c r="Z120" s="67" t="str">
        <f>'Lớp 4 - Danh mục'!Z17</f>
        <v>Em Đại</v>
      </c>
      <c r="AA120" s="67" t="str">
        <f>'Lớp 4 - Danh mục'!X17</f>
        <v>Dữ liệu điều hành</v>
      </c>
      <c r="AB120" s="67" t="str">
        <f>'Lớp 4 - Danh mục'!AB17</f>
        <v>P1</v>
      </c>
      <c r="AC120" s="67" t="str">
        <f>'Lớp 4 - Danh mục'!AA17</f>
        <v>Chưa bắt đầu</v>
      </c>
      <c r="AD120" s="398">
        <f>'Lớp 4 - Danh mục'!AF17</f>
        <v>0</v>
      </c>
      <c r="AE120" s="358">
        <f>'Lớp 4 - Danh mục'!AD17</f>
        <v>46320</v>
      </c>
      <c r="AF120" s="187">
        <f>'Lớp 4 - Danh mục'!AG17</f>
        <v>62</v>
      </c>
      <c r="AG120" s="104">
        <f>'Lớp 4 - Danh mục'!AH17</f>
        <v>80</v>
      </c>
      <c r="AH120" s="389">
        <f t="shared" si="27"/>
        <v>80</v>
      </c>
      <c r="AI120" s="389" t="str">
        <f t="shared" si="37"/>
        <v>🟣 P1 trọng yếu</v>
      </c>
      <c r="AJ120" s="67" t="str">
        <f>'Lớp 4 - Danh mục'!AK17</f>
        <v>Theo dõi tải tại Lớp 5</v>
      </c>
      <c r="AS120" s="389" t="str">
        <f t="shared" si="97"/>
        <v>03.11</v>
      </c>
      <c r="AT120" s="389" t="str">
        <f t="shared" si="32"/>
        <v/>
      </c>
      <c r="AU120" s="389" t="str">
        <f t="shared" si="33"/>
        <v>Xây dựng công thức &amp; tạo HT tham số cho KH Online</v>
      </c>
      <c r="AV120" s="389" t="str">
        <f t="shared" si="34"/>
        <v/>
      </c>
      <c r="AW120" s="389" t="str">
        <f t="shared" si="35"/>
        <v/>
      </c>
      <c r="AX120" s="67" t="str">
        <f t="shared" ref="AX120:BH120" si="133">Z120</f>
        <v>Em Đại</v>
      </c>
      <c r="AY120" s="67" t="str">
        <f t="shared" si="133"/>
        <v>Dữ liệu điều hành</v>
      </c>
      <c r="AZ120" s="67" t="str">
        <f t="shared" si="133"/>
        <v>P1</v>
      </c>
      <c r="BA120" s="67" t="str">
        <f t="shared" si="133"/>
        <v>Chưa bắt đầu</v>
      </c>
      <c r="BB120" s="398">
        <f t="shared" si="133"/>
        <v>0</v>
      </c>
      <c r="BC120" s="358">
        <f t="shared" si="133"/>
        <v>46320</v>
      </c>
      <c r="BD120" s="187">
        <f t="shared" si="133"/>
        <v>62</v>
      </c>
      <c r="BE120" s="104">
        <f t="shared" si="133"/>
        <v>80</v>
      </c>
      <c r="BF120" s="389">
        <f t="shared" si="133"/>
        <v>80</v>
      </c>
      <c r="BG120" s="389" t="str">
        <f t="shared" si="133"/>
        <v>🟣 P1 trọng yếu</v>
      </c>
      <c r="BH120" s="67" t="str">
        <f t="shared" si="133"/>
        <v>Theo dõi tải tại Lớp 5</v>
      </c>
      <c r="BI120" s="389" t="str">
        <f t="array" ref="BI120">IF($X120="","",SWITCH($W120,3,IFERROR(INDEX('Lớp 3 - Công việc chính'!$AF$14:$AF$73,MATCH($X120,'Lớp 3 - Công việc chính'!$I$14:$I$73,0)),""),4,IFERROR(INDEX('Lớp 4 - Danh mục'!$AI$14:$AI$132,MATCH($X120,'Lớp 4 - Danh mục'!$I$14:$I$132,0)),""),5,IFERROR(INDEX('Lớp 5 - Phân công'!$AJ$14:$AJ$262,MATCH($X120,'Lớp 5 - Phân công'!$I$14:$I$262,0)),""),6,IFERROR(INDEX('Lớp 6 - Chi tiết'!$AM$14:$AM$267,MATCH($X120,'Lớp 6 - Chi tiết'!$I$14:$I$267,0)),""),""))</f>
        <v/>
      </c>
      <c r="BJ120" s="389" t="str">
        <f t="array" ref="BJ120">IF($X120="","",SWITCH($W120,3,IFERROR(INDEX('Lớp 3 - Công việc chính'!$AR$14:$AR$73,MATCH($X120,'Lớp 3 - Công việc chính'!$I$14:$I$73,0)),""),4,IFERROR(INDEX('Lớp 4 - Danh mục'!$AU$14:$AU$132,MATCH($X120,'Lớp 4 - Danh mục'!$I$14:$I$132,0)),""),5,IFERROR(INDEX('Lớp 5 - Phân công'!$AV$14:$AV$262,MATCH($X120,'Lớp 5 - Phân công'!$I$14:$I$262,0)),""),6,IFERROR(INDEX('Lớp 6 - Chi tiết'!$AY$14:$AY$267,MATCH($X120,'Lớp 6 - Chi tiết'!$I$14:$I$267,0)),""),""))</f>
        <v>Theo dõi phân bổ tại Lớp 5</v>
      </c>
    </row>
    <row r="121" ht="15.75" customHeight="1">
      <c r="A121" s="294" t="str">
        <f t="shared" si="12"/>
        <v>        ├── ▒ L5  99.99.38  Báo cáo phân tích NLSX</v>
      </c>
      <c r="B121" s="301" t="str">
        <f t="shared" si="13"/>
        <v/>
      </c>
      <c r="C121" s="301" t="str">
        <f t="shared" si="14"/>
        <v/>
      </c>
      <c r="D121" s="301" t="str">
        <f t="shared" si="15"/>
        <v/>
      </c>
      <c r="E121" s="301" t="str">
        <f t="shared" si="16"/>
        <v/>
      </c>
      <c r="F121" s="317">
        <f t="shared" si="17"/>
        <v>0</v>
      </c>
      <c r="G121" s="323" t="str">
        <f t="shared" si="18"/>
        <v/>
      </c>
      <c r="H121" s="327" t="str">
        <f t="shared" si="19"/>
        <v/>
      </c>
      <c r="I121" s="327" t="str">
        <f t="shared" si="20"/>
        <v/>
      </c>
      <c r="J121" s="301" t="str">
        <f t="shared" si="21"/>
        <v>🔵 Chưa có hạn</v>
      </c>
      <c r="K121" s="301" t="str">
        <f t="shared" si="22"/>
        <v>Chưa nhập khối lượng</v>
      </c>
      <c r="L121" s="344" t="str">
        <f t="array" ref="L121">IF($T121="","",LET(m,MATCH($T121,$AS$24:$AS$700,0),lvl,INDEX($W$24:$W$700,m),id,INDEX($X$24:$X$700,m),SWITCH(lvl,3,"Lớp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5 - Phân công!A51</v>
      </c>
      <c r="M121" s="351" t="str">
        <f t="shared" si="23"/>
        <v/>
      </c>
      <c r="N121" s="356" t="str">
        <f t="shared" si="24"/>
        <v>Thiếu tổng giờ</v>
      </c>
      <c r="O121" s="358"/>
      <c r="P121" s="360"/>
      <c r="Q121" s="360"/>
      <c r="R121" s="67"/>
      <c r="S121" s="67"/>
      <c r="T121" s="67" t="str">
        <f>IFERROR(__xludf.DUMMYFUNCTION("""COMPUTED_VALUE"""),"99.99.38")</f>
        <v>99.99.38</v>
      </c>
      <c r="U121" s="389" t="str">
        <f>IF('Lớp 4 - Danh mục'!I18="","",'Lớp 4 - Danh mục'!J18&amp;"|"&amp;'Lớp 4 - Danh mục'!I18)</f>
        <v>HHL3CT03|HHL4DL05</v>
      </c>
      <c r="V121" s="389" t="str">
        <f>IF('Lớp 4 - Danh mục'!I18="","","   ├─ "&amp;'Lớp 4 - Danh mục'!O18)</f>
        <v>   ├─ Xây dựng công thức &amp; tạo HT tham số cho KH XK</v>
      </c>
      <c r="W121" s="389">
        <f>IF('Lớp 4 - Danh mục'!I18="","",4)</f>
        <v>4</v>
      </c>
      <c r="X121" s="67" t="str">
        <f>'Lớp 4 - Danh mục'!I18</f>
        <v>HHL4DL05</v>
      </c>
      <c r="Y121" s="67" t="str">
        <f>'Lớp 4 - Danh mục'!J18</f>
        <v>HHL3CT03</v>
      </c>
      <c r="Z121" s="67" t="str">
        <f>'Lớp 4 - Danh mục'!Z18</f>
        <v>Em Đại</v>
      </c>
      <c r="AA121" s="67" t="str">
        <f>'Lớp 4 - Danh mục'!X18</f>
        <v>Dữ liệu điều hành</v>
      </c>
      <c r="AB121" s="67" t="str">
        <f>'Lớp 4 - Danh mục'!AB18</f>
        <v>P1</v>
      </c>
      <c r="AC121" s="67" t="str">
        <f>'Lớp 4 - Danh mục'!AA18</f>
        <v>Chưa bắt đầu</v>
      </c>
      <c r="AD121" s="398">
        <f>'Lớp 4 - Danh mục'!AF18</f>
        <v>0</v>
      </c>
      <c r="AE121" s="358">
        <f>'Lớp 4 - Danh mục'!AD18</f>
        <v>46320</v>
      </c>
      <c r="AF121" s="187">
        <f>'Lớp 4 - Danh mục'!AG18</f>
        <v>62</v>
      </c>
      <c r="AG121" s="104">
        <f>'Lớp 4 - Danh mục'!AH18</f>
        <v>80</v>
      </c>
      <c r="AH121" s="389">
        <f t="shared" si="27"/>
        <v>80</v>
      </c>
      <c r="AI121" s="389" t="str">
        <f t="shared" si="37"/>
        <v>🟣 P1 trọng yếu</v>
      </c>
      <c r="AJ121" s="67" t="str">
        <f>'Lớp 4 - Danh mục'!AK18</f>
        <v>Theo dõi tải tại Lớp 5</v>
      </c>
      <c r="AS121" s="389" t="str">
        <f t="shared" si="97"/>
        <v>03.12</v>
      </c>
      <c r="AT121" s="389" t="str">
        <f t="shared" si="32"/>
        <v/>
      </c>
      <c r="AU121" s="389" t="str">
        <f t="shared" si="33"/>
        <v>Xây dựng công thức &amp; tạo HT tham số cho KH XK</v>
      </c>
      <c r="AV121" s="389" t="str">
        <f t="shared" si="34"/>
        <v/>
      </c>
      <c r="AW121" s="389" t="str">
        <f t="shared" si="35"/>
        <v/>
      </c>
      <c r="AX121" s="67" t="str">
        <f t="shared" ref="AX121:BH121" si="134">Z121</f>
        <v>Em Đại</v>
      </c>
      <c r="AY121" s="67" t="str">
        <f t="shared" si="134"/>
        <v>Dữ liệu điều hành</v>
      </c>
      <c r="AZ121" s="67" t="str">
        <f t="shared" si="134"/>
        <v>P1</v>
      </c>
      <c r="BA121" s="67" t="str">
        <f t="shared" si="134"/>
        <v>Chưa bắt đầu</v>
      </c>
      <c r="BB121" s="398">
        <f t="shared" si="134"/>
        <v>0</v>
      </c>
      <c r="BC121" s="358">
        <f t="shared" si="134"/>
        <v>46320</v>
      </c>
      <c r="BD121" s="187">
        <f t="shared" si="134"/>
        <v>62</v>
      </c>
      <c r="BE121" s="104">
        <f t="shared" si="134"/>
        <v>80</v>
      </c>
      <c r="BF121" s="389">
        <f t="shared" si="134"/>
        <v>80</v>
      </c>
      <c r="BG121" s="389" t="str">
        <f t="shared" si="134"/>
        <v>🟣 P1 trọng yếu</v>
      </c>
      <c r="BH121" s="67" t="str">
        <f t="shared" si="134"/>
        <v>Theo dõi tải tại Lớp 5</v>
      </c>
      <c r="BI121" s="389" t="str">
        <f t="array" ref="BI121">IF($X121="","",SWITCH($W121,3,IFERROR(INDEX('Lớp 3 - Công việc chính'!$AF$14:$AF$73,MATCH($X121,'Lớp 3 - Công việc chính'!$I$14:$I$73,0)),""),4,IFERROR(INDEX('Lớp 4 - Danh mục'!$AI$14:$AI$132,MATCH($X121,'Lớp 4 - Danh mục'!$I$14:$I$132,0)),""),5,IFERROR(INDEX('Lớp 5 - Phân công'!$AJ$14:$AJ$262,MATCH($X121,'Lớp 5 - Phân công'!$I$14:$I$262,0)),""),6,IFERROR(INDEX('Lớp 6 - Chi tiết'!$AM$14:$AM$267,MATCH($X121,'Lớp 6 - Chi tiết'!$I$14:$I$267,0)),""),""))</f>
        <v/>
      </c>
      <c r="BJ121" s="389" t="str">
        <f t="array" ref="BJ121">IF($X121="","",SWITCH($W121,3,IFERROR(INDEX('Lớp 3 - Công việc chính'!$AR$14:$AR$73,MATCH($X121,'Lớp 3 - Công việc chính'!$I$14:$I$73,0)),""),4,IFERROR(INDEX('Lớp 4 - Danh mục'!$AU$14:$AU$132,MATCH($X121,'Lớp 4 - Danh mục'!$I$14:$I$132,0)),""),5,IFERROR(INDEX('Lớp 5 - Phân công'!$AV$14:$AV$262,MATCH($X121,'Lớp 5 - Phân công'!$I$14:$I$262,0)),""),6,IFERROR(INDEX('Lớp 6 - Chi tiết'!$AY$14:$AY$267,MATCH($X121,'Lớp 6 - Chi tiết'!$I$14:$I$267,0)),""),""))</f>
        <v>Theo dõi phân bổ tại Lớp 5</v>
      </c>
    </row>
    <row r="122" ht="15.75" customHeight="1">
      <c r="A122" s="294" t="str">
        <f t="shared" si="12"/>
        <v>            └─── ░ L6  99.99.99.01  Khảo sát thị phần tương đối tại các Vùng thị trường</v>
      </c>
      <c r="B122" s="301" t="str">
        <f t="shared" si="13"/>
        <v>Team PTSP</v>
      </c>
      <c r="C122" s="301" t="str">
        <f t="shared" si="14"/>
        <v/>
      </c>
      <c r="D122" s="301" t="str">
        <f t="shared" si="15"/>
        <v>P1</v>
      </c>
      <c r="E122" s="301" t="str">
        <f t="shared" si="16"/>
        <v>Đang thực hiện</v>
      </c>
      <c r="F122" s="317">
        <f t="shared" si="17"/>
        <v>0</v>
      </c>
      <c r="G122" s="323">
        <f t="shared" si="18"/>
        <v>46254</v>
      </c>
      <c r="H122" s="327">
        <f t="shared" si="19"/>
        <v>8</v>
      </c>
      <c r="I122" s="327" t="str">
        <f t="shared" si="20"/>
        <v/>
      </c>
      <c r="J122" s="301" t="str">
        <f t="shared" si="21"/>
        <v>🟣 P1 trọng yếu</v>
      </c>
      <c r="K122" s="301" t="str">
        <f t="shared" si="22"/>
        <v>Chưa nhập khối lượng</v>
      </c>
      <c r="L122" s="344" t="str">
        <f t="array" ref="L122">IF($T122="","",LET(m,MATCH($T122,$AS$24:$AS$700,0),lvl,INDEX($W$24:$W$700,m),id,INDEX($X$24:$X$700,m),SWITCH(lvl,3,"Lớp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6 - Chi tiết!A14</v>
      </c>
      <c r="M122" s="351" t="str">
        <f t="shared" si="23"/>
        <v/>
      </c>
      <c r="N122" s="356" t="str">
        <f t="shared" si="24"/>
        <v>Thiếu tổng giờ</v>
      </c>
      <c r="O122" s="358"/>
      <c r="P122" s="360"/>
      <c r="Q122" s="360"/>
      <c r="R122" s="67"/>
      <c r="S122" s="67"/>
      <c r="T122" s="67" t="str">
        <f>IFERROR(__xludf.DUMMYFUNCTION("""COMPUTED_VALUE"""),"99.99.99.01")</f>
        <v>99.99.99.01</v>
      </c>
      <c r="U122" s="389" t="str">
        <f>IF('Lớp 4 - Danh mục'!I19="","",'Lớp 4 - Danh mục'!J19&amp;"|"&amp;'Lớp 4 - Danh mục'!I19)</f>
        <v>HHL3CT03|HHL4DL06</v>
      </c>
      <c r="V122" s="389" t="str">
        <f>IF('Lớp 4 - Danh mục'!I19="","","   ├─ "&amp;'Lớp 4 - Danh mục'!O19)</f>
        <v>   ├─ Xây dựng công thức &amp; tạo HT tham số cho KH Showroom</v>
      </c>
      <c r="W122" s="389">
        <f>IF('Lớp 4 - Danh mục'!I19="","",4)</f>
        <v>4</v>
      </c>
      <c r="X122" s="67" t="str">
        <f>'Lớp 4 - Danh mục'!I19</f>
        <v>HHL4DL06</v>
      </c>
      <c r="Y122" s="67" t="str">
        <f>'Lớp 4 - Danh mục'!J19</f>
        <v>HHL3CT03</v>
      </c>
      <c r="Z122" s="67" t="str">
        <f>'Lớp 4 - Danh mục'!Z19</f>
        <v>Em Đại</v>
      </c>
      <c r="AA122" s="67" t="str">
        <f>'Lớp 4 - Danh mục'!X19</f>
        <v>Dữ liệu điều hành</v>
      </c>
      <c r="AB122" s="67" t="str">
        <f>'Lớp 4 - Danh mục'!AB19</f>
        <v>P1</v>
      </c>
      <c r="AC122" s="67" t="str">
        <f>'Lớp 4 - Danh mục'!AA19</f>
        <v>Chưa bắt đầu</v>
      </c>
      <c r="AD122" s="398">
        <f>'Lớp 4 - Danh mục'!AF19</f>
        <v>0</v>
      </c>
      <c r="AE122" s="358">
        <f>'Lớp 4 - Danh mục'!AD19</f>
        <v>46320</v>
      </c>
      <c r="AF122" s="187">
        <f>'Lớp 4 - Danh mục'!AG19</f>
        <v>62</v>
      </c>
      <c r="AG122" s="104">
        <f>'Lớp 4 - Danh mục'!AH19</f>
        <v>80</v>
      </c>
      <c r="AH122" s="389">
        <f t="shared" si="27"/>
        <v>80</v>
      </c>
      <c r="AI122" s="389" t="str">
        <f t="shared" si="37"/>
        <v>🟣 P1 trọng yếu</v>
      </c>
      <c r="AJ122" s="67" t="str">
        <f>'Lớp 4 - Danh mục'!AK19</f>
        <v>Theo dõi tải tại Lớp 5</v>
      </c>
      <c r="AS122" s="389" t="str">
        <f t="shared" si="97"/>
        <v>03.13</v>
      </c>
      <c r="AT122" s="389" t="str">
        <f t="shared" si="32"/>
        <v/>
      </c>
      <c r="AU122" s="389" t="str">
        <f t="shared" si="33"/>
        <v>Xây dựng công thức &amp; tạo HT tham số cho KH Showroom</v>
      </c>
      <c r="AV122" s="389" t="str">
        <f t="shared" si="34"/>
        <v/>
      </c>
      <c r="AW122" s="389" t="str">
        <f t="shared" si="35"/>
        <v/>
      </c>
      <c r="AX122" s="67" t="str">
        <f t="shared" ref="AX122:BH122" si="135">Z122</f>
        <v>Em Đại</v>
      </c>
      <c r="AY122" s="67" t="str">
        <f t="shared" si="135"/>
        <v>Dữ liệu điều hành</v>
      </c>
      <c r="AZ122" s="67" t="str">
        <f t="shared" si="135"/>
        <v>P1</v>
      </c>
      <c r="BA122" s="67" t="str">
        <f t="shared" si="135"/>
        <v>Chưa bắt đầu</v>
      </c>
      <c r="BB122" s="398">
        <f t="shared" si="135"/>
        <v>0</v>
      </c>
      <c r="BC122" s="358">
        <f t="shared" si="135"/>
        <v>46320</v>
      </c>
      <c r="BD122" s="187">
        <f t="shared" si="135"/>
        <v>62</v>
      </c>
      <c r="BE122" s="104">
        <f t="shared" si="135"/>
        <v>80</v>
      </c>
      <c r="BF122" s="389">
        <f t="shared" si="135"/>
        <v>80</v>
      </c>
      <c r="BG122" s="389" t="str">
        <f t="shared" si="135"/>
        <v>🟣 P1 trọng yếu</v>
      </c>
      <c r="BH122" s="67" t="str">
        <f t="shared" si="135"/>
        <v>Theo dõi tải tại Lớp 5</v>
      </c>
      <c r="BI122" s="389" t="str">
        <f t="array" ref="BI122">IF($X122="","",SWITCH($W122,3,IFERROR(INDEX('Lớp 3 - Công việc chính'!$AF$14:$AF$73,MATCH($X122,'Lớp 3 - Công việc chính'!$I$14:$I$73,0)),""),4,IFERROR(INDEX('Lớp 4 - Danh mục'!$AI$14:$AI$132,MATCH($X122,'Lớp 4 - Danh mục'!$I$14:$I$132,0)),""),5,IFERROR(INDEX('Lớp 5 - Phân công'!$AJ$14:$AJ$262,MATCH($X122,'Lớp 5 - Phân công'!$I$14:$I$262,0)),""),6,IFERROR(INDEX('Lớp 6 - Chi tiết'!$AM$14:$AM$267,MATCH($X122,'Lớp 6 - Chi tiết'!$I$14:$I$267,0)),""),""))</f>
        <v/>
      </c>
      <c r="BJ122" s="389" t="str">
        <f t="array" ref="BJ122">IF($X122="","",SWITCH($W122,3,IFERROR(INDEX('Lớp 3 - Công việc chính'!$AR$14:$AR$73,MATCH($X122,'Lớp 3 - Công việc chính'!$I$14:$I$73,0)),""),4,IFERROR(INDEX('Lớp 4 - Danh mục'!$AU$14:$AU$132,MATCH($X122,'Lớp 4 - Danh mục'!$I$14:$I$132,0)),""),5,IFERROR(INDEX('Lớp 5 - Phân công'!$AV$14:$AV$262,MATCH($X122,'Lớp 5 - Phân công'!$I$14:$I$262,0)),""),6,IFERROR(INDEX('Lớp 6 - Chi tiết'!$AY$14:$AY$267,MATCH($X122,'Lớp 6 - Chi tiết'!$I$14:$I$267,0)),""),""))</f>
        <v>Theo dõi phân bổ tại Lớp 5</v>
      </c>
    </row>
    <row r="123" ht="15.75" customHeight="1">
      <c r="A123" s="294" t="str">
        <f t="shared" si="12"/>
        <v>            └─── ░ L6  99.99.99.02  Phân tích tốc độ tăng trưởng 4 năm của danh mục sản phẩm</v>
      </c>
      <c r="B123" s="301" t="str">
        <f t="shared" si="13"/>
        <v>Em Đại</v>
      </c>
      <c r="C123" s="301" t="str">
        <f t="shared" si="14"/>
        <v/>
      </c>
      <c r="D123" s="301" t="str">
        <f t="shared" si="15"/>
        <v>P1</v>
      </c>
      <c r="E123" s="301" t="str">
        <f t="shared" si="16"/>
        <v>Đang thực hiện</v>
      </c>
      <c r="F123" s="317">
        <f t="shared" si="17"/>
        <v>0</v>
      </c>
      <c r="G123" s="323">
        <f t="shared" si="18"/>
        <v>46254</v>
      </c>
      <c r="H123" s="327">
        <f t="shared" si="19"/>
        <v>8</v>
      </c>
      <c r="I123" s="327" t="str">
        <f t="shared" si="20"/>
        <v/>
      </c>
      <c r="J123" s="301" t="str">
        <f t="shared" si="21"/>
        <v>🟣 P1 trọng yếu</v>
      </c>
      <c r="K123" s="301" t="str">
        <f t="shared" si="22"/>
        <v>Chưa nhập khối lượng</v>
      </c>
      <c r="L123" s="344" t="str">
        <f t="array" ref="L123">IF($T123="","",LET(m,MATCH($T123,$AS$24:$AS$700,0),lvl,INDEX($W$24:$W$700,m),id,INDEX($X$24:$X$700,m),SWITCH(lvl,3,"Lớp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6 - Chi tiết!A15</v>
      </c>
      <c r="M123" s="351" t="str">
        <f t="shared" si="23"/>
        <v/>
      </c>
      <c r="N123" s="356" t="str">
        <f t="shared" si="24"/>
        <v>Thiếu tổng giờ</v>
      </c>
      <c r="O123" s="358"/>
      <c r="P123" s="360"/>
      <c r="Q123" s="360"/>
      <c r="R123" s="67"/>
      <c r="S123" s="67"/>
      <c r="T123" s="67" t="str">
        <f>IFERROR(__xludf.DUMMYFUNCTION("""COMPUTED_VALUE"""),"99.99.99.02")</f>
        <v>99.99.99.02</v>
      </c>
      <c r="U123" s="389" t="str">
        <f>IF('Lớp 4 - Danh mục'!I20="","",'Lớp 4 - Danh mục'!J20&amp;"|"&amp;'Lớp 4 - Danh mục'!I20)</f>
        <v>HHL3CT03|HHL4DL07</v>
      </c>
      <c r="V123" s="389" t="str">
        <f>IF('Lớp 4 - Danh mục'!I20="","","   ├─ "&amp;'Lớp 4 - Danh mục'!O20)</f>
        <v>   ├─ Xây dựng phần mềm &amp; Chạy Topdown thử nghiệm</v>
      </c>
      <c r="W123" s="389">
        <f>IF('Lớp 4 - Danh mục'!I20="","",4)</f>
        <v>4</v>
      </c>
      <c r="X123" s="67" t="str">
        <f>'Lớp 4 - Danh mục'!I20</f>
        <v>HHL4DL07</v>
      </c>
      <c r="Y123" s="67" t="str">
        <f>'Lớp 4 - Danh mục'!J20</f>
        <v>HHL3CT03</v>
      </c>
      <c r="Z123" s="67" t="str">
        <f>'Lớp 4 - Danh mục'!Z20</f>
        <v>Em Đại</v>
      </c>
      <c r="AA123" s="67" t="str">
        <f>'Lớp 4 - Danh mục'!X20</f>
        <v>Dữ liệu điều hành</v>
      </c>
      <c r="AB123" s="67" t="str">
        <f>'Lớp 4 - Danh mục'!AB20</f>
        <v>P1</v>
      </c>
      <c r="AC123" s="67" t="str">
        <f>'Lớp 4 - Danh mục'!AA20</f>
        <v>Chưa bắt đầu</v>
      </c>
      <c r="AD123" s="398">
        <f>'Lớp 4 - Danh mục'!AF20</f>
        <v>0</v>
      </c>
      <c r="AE123" s="358">
        <f>'Lớp 4 - Danh mục'!AD20</f>
        <v>46331</v>
      </c>
      <c r="AF123" s="187">
        <f>'Lớp 4 - Danh mục'!AG20</f>
        <v>72</v>
      </c>
      <c r="AG123" s="104">
        <f>'Lớp 4 - Danh mục'!AH20</f>
        <v>80</v>
      </c>
      <c r="AH123" s="389">
        <f t="shared" si="27"/>
        <v>80</v>
      </c>
      <c r="AI123" s="389" t="str">
        <f t="shared" si="37"/>
        <v>🟣 P1 trọng yếu</v>
      </c>
      <c r="AJ123" s="67" t="str">
        <f>'Lớp 4 - Danh mục'!AK20</f>
        <v>Theo dõi tải tại Lớp 5</v>
      </c>
      <c r="AS123" s="389" t="str">
        <f t="shared" si="97"/>
        <v>03.14</v>
      </c>
      <c r="AT123" s="389" t="str">
        <f t="shared" si="32"/>
        <v/>
      </c>
      <c r="AU123" s="389" t="str">
        <f t="shared" si="33"/>
        <v>Xây dựng phần mềm &amp; Chạy Topdown thử nghiệm</v>
      </c>
      <c r="AV123" s="389" t="str">
        <f t="shared" si="34"/>
        <v/>
      </c>
      <c r="AW123" s="389" t="str">
        <f t="shared" si="35"/>
        <v/>
      </c>
      <c r="AX123" s="67" t="str">
        <f t="shared" ref="AX123:BH123" si="136">Z123</f>
        <v>Em Đại</v>
      </c>
      <c r="AY123" s="67" t="str">
        <f t="shared" si="136"/>
        <v>Dữ liệu điều hành</v>
      </c>
      <c r="AZ123" s="67" t="str">
        <f t="shared" si="136"/>
        <v>P1</v>
      </c>
      <c r="BA123" s="67" t="str">
        <f t="shared" si="136"/>
        <v>Chưa bắt đầu</v>
      </c>
      <c r="BB123" s="398">
        <f t="shared" si="136"/>
        <v>0</v>
      </c>
      <c r="BC123" s="358">
        <f t="shared" si="136"/>
        <v>46331</v>
      </c>
      <c r="BD123" s="187">
        <f t="shared" si="136"/>
        <v>72</v>
      </c>
      <c r="BE123" s="104">
        <f t="shared" si="136"/>
        <v>80</v>
      </c>
      <c r="BF123" s="389">
        <f t="shared" si="136"/>
        <v>80</v>
      </c>
      <c r="BG123" s="389" t="str">
        <f t="shared" si="136"/>
        <v>🟣 P1 trọng yếu</v>
      </c>
      <c r="BH123" s="67" t="str">
        <f t="shared" si="136"/>
        <v>Theo dõi tải tại Lớp 5</v>
      </c>
      <c r="BI123" s="389" t="str">
        <f t="array" ref="BI123">IF($X123="","",SWITCH($W123,3,IFERROR(INDEX('Lớp 3 - Công việc chính'!$AF$14:$AF$73,MATCH($X123,'Lớp 3 - Công việc chính'!$I$14:$I$73,0)),""),4,IFERROR(INDEX('Lớp 4 - Danh mục'!$AI$14:$AI$132,MATCH($X123,'Lớp 4 - Danh mục'!$I$14:$I$132,0)),""),5,IFERROR(INDEX('Lớp 5 - Phân công'!$AJ$14:$AJ$262,MATCH($X123,'Lớp 5 - Phân công'!$I$14:$I$262,0)),""),6,IFERROR(INDEX('Lớp 6 - Chi tiết'!$AM$14:$AM$267,MATCH($X123,'Lớp 6 - Chi tiết'!$I$14:$I$267,0)),""),""))</f>
        <v/>
      </c>
      <c r="BJ123" s="389" t="str">
        <f t="array" ref="BJ123">IF($X123="","",SWITCH($W123,3,IFERROR(INDEX('Lớp 3 - Công việc chính'!$AR$14:$AR$73,MATCH($X123,'Lớp 3 - Công việc chính'!$I$14:$I$73,0)),""),4,IFERROR(INDEX('Lớp 4 - Danh mục'!$AU$14:$AU$132,MATCH($X123,'Lớp 4 - Danh mục'!$I$14:$I$132,0)),""),5,IFERROR(INDEX('Lớp 5 - Phân công'!$AV$14:$AV$262,MATCH($X123,'Lớp 5 - Phân công'!$I$14:$I$262,0)),""),6,IFERROR(INDEX('Lớp 6 - Chi tiết'!$AY$14:$AY$267,MATCH($X123,'Lớp 6 - Chi tiết'!$I$14:$I$267,0)),""),""))</f>
        <v>Theo dõi phân bổ tại Lớp 5</v>
      </c>
    </row>
    <row r="124" ht="15.75" customHeight="1">
      <c r="A124" s="294" t="str">
        <f t="shared" si="12"/>
        <v>            └─── ░ L6  99.99.99.03  Kiểm tra khả năng đáp ứng của CADS về mở trường thông tin mới phân loại sản phẩm</v>
      </c>
      <c r="B124" s="301" t="str">
        <f t="shared" si="13"/>
        <v>Thu Trang</v>
      </c>
      <c r="C124" s="301" t="str">
        <f t="shared" si="14"/>
        <v/>
      </c>
      <c r="D124" s="301" t="str">
        <f t="shared" si="15"/>
        <v>P1</v>
      </c>
      <c r="E124" s="301" t="str">
        <f t="shared" si="16"/>
        <v>Hoàn thành</v>
      </c>
      <c r="F124" s="317">
        <f t="shared" si="17"/>
        <v>1</v>
      </c>
      <c r="G124" s="323">
        <f t="shared" si="18"/>
        <v>46239</v>
      </c>
      <c r="H124" s="327">
        <f t="shared" si="19"/>
        <v>0</v>
      </c>
      <c r="I124" s="327" t="str">
        <f t="shared" si="20"/>
        <v/>
      </c>
      <c r="J124" s="301" t="str">
        <f t="shared" si="21"/>
        <v>🟢 Hoàn thành</v>
      </c>
      <c r="K124" s="301" t="str">
        <f t="shared" si="22"/>
        <v>Hoàn thành</v>
      </c>
      <c r="L124" s="344" t="str">
        <f t="array" ref="L124">IF($T124="","",LET(m,MATCH($T124,$AS$24:$AS$700,0),lvl,INDEX($W$24:$W$700,m),id,INDEX($X$24:$X$700,m),SWITCH(lvl,3,"Lớp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6 - Chi tiết!A16</v>
      </c>
      <c r="M124" s="351" t="str">
        <f t="shared" si="23"/>
        <v/>
      </c>
      <c r="N124" s="356" t="str">
        <f t="shared" si="24"/>
        <v>Hoàn thành</v>
      </c>
      <c r="O124" s="358"/>
      <c r="P124" s="360"/>
      <c r="Q124" s="360"/>
      <c r="R124" s="67"/>
      <c r="S124" s="67"/>
      <c r="T124" s="67" t="str">
        <f>IFERROR(__xludf.DUMMYFUNCTION("""COMPUTED_VALUE"""),"99.99.99.03")</f>
        <v>99.99.99.03</v>
      </c>
      <c r="U124" s="389" t="str">
        <f>IF('Lớp 4 - Danh mục'!I54="","",'Lớp 4 - Danh mục'!J54&amp;"|"&amp;'Lớp 4 - Danh mục'!I54)</f>
        <v/>
      </c>
      <c r="V124" s="389" t="str">
        <f>IF('Lớp 4 - Danh mục'!I54="","","   ├─ "&amp;'Lớp 4 - Danh mục'!O54)</f>
        <v/>
      </c>
      <c r="W124" s="389" t="str">
        <f>IF('Lớp 4 - Danh mục'!I54="","",4)</f>
        <v/>
      </c>
      <c r="X124" s="67" t="str">
        <f>'Lớp 4 - Danh mục'!I54</f>
        <v/>
      </c>
      <c r="Y124" s="67" t="str">
        <f>'Lớp 4 - Danh mục'!J54</f>
        <v/>
      </c>
      <c r="Z124" s="67" t="str">
        <f>'Lớp 4 - Danh mục'!Z54</f>
        <v/>
      </c>
      <c r="AA124" s="67" t="str">
        <f>'Lớp 4 - Danh mục'!X54</f>
        <v/>
      </c>
      <c r="AB124" s="67" t="str">
        <f>'Lớp 4 - Danh mục'!AB54</f>
        <v/>
      </c>
      <c r="AC124" s="67" t="str">
        <f>'Lớp 4 - Danh mục'!AA54</f>
        <v/>
      </c>
      <c r="AD124" s="398" t="str">
        <f>'Lớp 4 - Danh mục'!AF54</f>
        <v/>
      </c>
      <c r="AE124" s="358" t="str">
        <f>'Lớp 4 - Danh mục'!AD54</f>
        <v/>
      </c>
      <c r="AF124" s="187" t="str">
        <f>'Lớp 4 - Danh mục'!AG54</f>
        <v/>
      </c>
      <c r="AG124" s="104" t="str">
        <f>'Lớp 4 - Danh mục'!AH54</f>
        <v/>
      </c>
      <c r="AH124" s="389" t="str">
        <f t="shared" si="27"/>
        <v/>
      </c>
      <c r="AI124" s="389" t="str">
        <f t="shared" si="37"/>
        <v>🔵 Chưa có hạn</v>
      </c>
      <c r="AJ124" s="67" t="str">
        <f>'Lớp 4 - Danh mục'!AK54</f>
        <v/>
      </c>
      <c r="AS124" s="389" t="str">
        <f t="shared" si="97"/>
        <v/>
      </c>
      <c r="AT124" s="389" t="str">
        <f t="shared" si="32"/>
        <v/>
      </c>
      <c r="AU124" s="389" t="str">
        <f t="shared" si="33"/>
        <v/>
      </c>
      <c r="AV124" s="389" t="str">
        <f t="shared" si="34"/>
        <v/>
      </c>
      <c r="AW124" s="389" t="str">
        <f t="shared" si="35"/>
        <v/>
      </c>
      <c r="AX124" s="67" t="str">
        <f t="shared" ref="AX124:BH124" si="137">Z124</f>
        <v/>
      </c>
      <c r="AY124" s="67" t="str">
        <f t="shared" si="137"/>
        <v/>
      </c>
      <c r="AZ124" s="67" t="str">
        <f t="shared" si="137"/>
        <v/>
      </c>
      <c r="BA124" s="67" t="str">
        <f t="shared" si="137"/>
        <v/>
      </c>
      <c r="BB124" s="398" t="str">
        <f t="shared" si="137"/>
        <v/>
      </c>
      <c r="BC124" s="358" t="str">
        <f t="shared" si="137"/>
        <v/>
      </c>
      <c r="BD124" s="187" t="str">
        <f t="shared" si="137"/>
        <v/>
      </c>
      <c r="BE124" s="104" t="str">
        <f t="shared" si="137"/>
        <v/>
      </c>
      <c r="BF124" s="389" t="str">
        <f t="shared" si="137"/>
        <v/>
      </c>
      <c r="BG124" s="389" t="str">
        <f t="shared" si="137"/>
        <v>🔵 Chưa có hạn</v>
      </c>
      <c r="BH124" s="67" t="str">
        <f t="shared" si="137"/>
        <v/>
      </c>
      <c r="BI124" s="389" t="str">
        <f t="array" ref="BI124">IF($X124="","",SWITCH($W124,3,IFERROR(INDEX('Lớp 3 - Công việc chính'!$AF$14:$AF$73,MATCH($X124,'Lớp 3 - Công việc chính'!$I$14:$I$73,0)),""),4,IFERROR(INDEX('Lớp 4 - Danh mục'!$AI$14:$AI$132,MATCH($X124,'Lớp 4 - Danh mục'!$I$14:$I$132,0)),""),5,IFERROR(INDEX('Lớp 5 - Phân công'!$AJ$14:$AJ$262,MATCH($X124,'Lớp 5 - Phân công'!$I$14:$I$262,0)),""),6,IFERROR(INDEX('Lớp 6 - Chi tiết'!$AM$14:$AM$267,MATCH($X124,'Lớp 6 - Chi tiết'!$I$14:$I$267,0)),""),""))</f>
        <v/>
      </c>
      <c r="BJ124" s="389" t="str">
        <f t="array" ref="BJ124">IF($X124="","",SWITCH($W124,3,IFERROR(INDEX('Lớp 3 - Công việc chính'!$AR$14:$AR$73,MATCH($X124,'Lớp 3 - Công việc chính'!$I$14:$I$73,0)),""),4,IFERROR(INDEX('Lớp 4 - Danh mục'!$AU$14:$AU$132,MATCH($X124,'Lớp 4 - Danh mục'!$I$14:$I$132,0)),""),5,IFERROR(INDEX('Lớp 5 - Phân công'!$AV$14:$AV$262,MATCH($X124,'Lớp 5 - Phân công'!$I$14:$I$262,0)),""),6,IFERROR(INDEX('Lớp 6 - Chi tiết'!$AY$14:$AY$267,MATCH($X124,'Lớp 6 - Chi tiết'!$I$14:$I$267,0)),""),""))</f>
        <v/>
      </c>
    </row>
    <row r="125" ht="15.75" customHeight="1">
      <c r="A125" s="294" t="str">
        <f t="shared" si="12"/>
        <v>            └─── ░ L6  99.99.99.04  Báo cáo phân loại sản phẩm + hiển thị thông tin trên CADS</v>
      </c>
      <c r="B125" s="301" t="str">
        <f t="shared" si="13"/>
        <v>Team PTSP</v>
      </c>
      <c r="C125" s="301" t="str">
        <f t="shared" si="14"/>
        <v/>
      </c>
      <c r="D125" s="301" t="str">
        <f t="shared" si="15"/>
        <v>P1</v>
      </c>
      <c r="E125" s="301" t="str">
        <f t="shared" si="16"/>
        <v>Đã lên lịch</v>
      </c>
      <c r="F125" s="317">
        <f t="shared" si="17"/>
        <v>0</v>
      </c>
      <c r="G125" s="323">
        <f t="shared" si="18"/>
        <v>46264</v>
      </c>
      <c r="H125" s="327">
        <f t="shared" si="19"/>
        <v>9</v>
      </c>
      <c r="I125" s="327" t="str">
        <f t="shared" si="20"/>
        <v/>
      </c>
      <c r="J125" s="301" t="str">
        <f t="shared" si="21"/>
        <v>🟣 P1 trọng yếu</v>
      </c>
      <c r="K125" s="301" t="str">
        <f t="shared" si="22"/>
        <v>Chưa nhập khối lượng</v>
      </c>
      <c r="L125" s="344" t="str">
        <f t="array" ref="L125">IF($T125="","",LET(m,MATCH($T125,$AS$24:$AS$700,0),lvl,INDEX($W$24:$W$700,m),id,INDEX($X$24:$X$700,m),SWITCH(lvl,3,"Lớp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Lớp 6 - Chi tiết!A17</v>
      </c>
      <c r="M125" s="351" t="str">
        <f t="shared" si="23"/>
        <v/>
      </c>
      <c r="N125" s="356" t="str">
        <f t="shared" si="24"/>
        <v>Thiếu tổng giờ</v>
      </c>
      <c r="O125" s="358"/>
      <c r="P125" s="360"/>
      <c r="Q125" s="360"/>
      <c r="R125" s="67"/>
      <c r="S125" s="67"/>
      <c r="T125" s="67" t="str">
        <f>IFERROR(__xludf.DUMMYFUNCTION("""COMPUTED_VALUE"""),"99.99.99.04")</f>
        <v>99.99.99.04</v>
      </c>
      <c r="U125" s="389" t="str">
        <f>IF('Lớp 4 - Danh mục'!I55="","",'Lớp 4 - Danh mục'!J55&amp;"|"&amp;'Lớp 4 - Danh mục'!I55)</f>
        <v/>
      </c>
      <c r="V125" s="389" t="str">
        <f>IF('Lớp 4 - Danh mục'!I55="","","   ├─ "&amp;'Lớp 4 - Danh mục'!O55)</f>
        <v/>
      </c>
      <c r="W125" s="389" t="str">
        <f>IF('Lớp 4 - Danh mục'!I55="","",4)</f>
        <v/>
      </c>
      <c r="X125" s="67" t="str">
        <f>'Lớp 4 - Danh mục'!I55</f>
        <v/>
      </c>
      <c r="Y125" s="67" t="str">
        <f>'Lớp 4 - Danh mục'!J55</f>
        <v/>
      </c>
      <c r="Z125" s="67" t="str">
        <f>'Lớp 4 - Danh mục'!Z55</f>
        <v/>
      </c>
      <c r="AA125" s="67" t="str">
        <f>'Lớp 4 - Danh mục'!X55</f>
        <v/>
      </c>
      <c r="AB125" s="67" t="str">
        <f>'Lớp 4 - Danh mục'!AB55</f>
        <v/>
      </c>
      <c r="AC125" s="67" t="str">
        <f>'Lớp 4 - Danh mục'!AA55</f>
        <v/>
      </c>
      <c r="AD125" s="398" t="str">
        <f>'Lớp 4 - Danh mục'!AF55</f>
        <v/>
      </c>
      <c r="AE125" s="358" t="str">
        <f>'Lớp 4 - Danh mục'!AD55</f>
        <v/>
      </c>
      <c r="AF125" s="187" t="str">
        <f>'Lớp 4 - Danh mục'!AG55</f>
        <v/>
      </c>
      <c r="AG125" s="104" t="str">
        <f>'Lớp 4 - Danh mục'!AH55</f>
        <v/>
      </c>
      <c r="AH125" s="389" t="str">
        <f t="shared" si="27"/>
        <v/>
      </c>
      <c r="AI125" s="389" t="str">
        <f t="shared" si="37"/>
        <v>🔵 Chưa có hạn</v>
      </c>
      <c r="AJ125" s="67" t="str">
        <f>'Lớp 4 - Danh mục'!AK55</f>
        <v/>
      </c>
      <c r="AS125" s="389" t="str">
        <f t="shared" si="97"/>
        <v/>
      </c>
      <c r="AT125" s="389" t="str">
        <f t="shared" si="32"/>
        <v/>
      </c>
      <c r="AU125" s="389" t="str">
        <f t="shared" si="33"/>
        <v/>
      </c>
      <c r="AV125" s="389" t="str">
        <f t="shared" si="34"/>
        <v/>
      </c>
      <c r="AW125" s="389" t="str">
        <f t="shared" si="35"/>
        <v/>
      </c>
      <c r="AX125" s="67" t="str">
        <f t="shared" ref="AX125:BH125" si="138">Z125</f>
        <v/>
      </c>
      <c r="AY125" s="67" t="str">
        <f t="shared" si="138"/>
        <v/>
      </c>
      <c r="AZ125" s="67" t="str">
        <f t="shared" si="138"/>
        <v/>
      </c>
      <c r="BA125" s="67" t="str">
        <f t="shared" si="138"/>
        <v/>
      </c>
      <c r="BB125" s="398" t="str">
        <f t="shared" si="138"/>
        <v/>
      </c>
      <c r="BC125" s="358" t="str">
        <f t="shared" si="138"/>
        <v/>
      </c>
      <c r="BD125" s="187" t="str">
        <f t="shared" si="138"/>
        <v/>
      </c>
      <c r="BE125" s="104" t="str">
        <f t="shared" si="138"/>
        <v/>
      </c>
      <c r="BF125" s="389" t="str">
        <f t="shared" si="138"/>
        <v/>
      </c>
      <c r="BG125" s="389" t="str">
        <f t="shared" si="138"/>
        <v>🔵 Chưa có hạn</v>
      </c>
      <c r="BH125" s="67" t="str">
        <f t="shared" si="138"/>
        <v/>
      </c>
      <c r="BI125" s="389" t="str">
        <f t="array" ref="BI125">IF($X125="","",SWITCH($W125,3,IFERROR(INDEX('Lớp 3 - Công việc chính'!$AF$14:$AF$73,MATCH($X125,'Lớp 3 - Công việc chính'!$I$14:$I$73,0)),""),4,IFERROR(INDEX('Lớp 4 - Danh mục'!$AI$14:$AI$132,MATCH($X125,'Lớp 4 - Danh mục'!$I$14:$I$132,0)),""),5,IFERROR(INDEX('Lớp 5 - Phân công'!$AJ$14:$AJ$262,MATCH($X125,'Lớp 5 - Phân công'!$I$14:$I$262,0)),""),6,IFERROR(INDEX('Lớp 6 - Chi tiết'!$AM$14:$AM$267,MATCH($X125,'Lớp 6 - Chi tiết'!$I$14:$I$267,0)),""),""))</f>
        <v/>
      </c>
      <c r="BJ125" s="389" t="str">
        <f t="array" ref="BJ125">IF($X125="","",SWITCH($W125,3,IFERROR(INDEX('Lớp 3 - Công việc chính'!$AR$14:$AR$73,MATCH($X125,'Lớp 3 - Công việc chính'!$I$14:$I$73,0)),""),4,IFERROR(INDEX('Lớp 4 - Danh mục'!$AU$14:$AU$132,MATCH($X125,'Lớp 4 - Danh mục'!$I$14:$I$132,0)),""),5,IFERROR(INDEX('Lớp 5 - Phân công'!$AV$14:$AV$262,MATCH($X125,'Lớp 5 - Phân công'!$I$14:$I$262,0)),""),6,IFERROR(INDEX('Lớp 6 - Chi tiết'!$AY$14:$AY$267,MATCH($X125,'Lớp 6 - Chi tiết'!$I$14:$I$267,0)),""),""))</f>
        <v/>
      </c>
    </row>
    <row r="126" ht="15.75" customHeight="1">
      <c r="A126" s="294" t="str">
        <f t="shared" si="12"/>
        <v/>
      </c>
      <c r="B126" s="301" t="str">
        <f t="shared" si="13"/>
        <v/>
      </c>
      <c r="C126" s="301" t="str">
        <f t="shared" si="14"/>
        <v/>
      </c>
      <c r="D126" s="301" t="str">
        <f t="shared" si="15"/>
        <v/>
      </c>
      <c r="E126" s="301" t="str">
        <f t="shared" si="16"/>
        <v/>
      </c>
      <c r="F126" s="317" t="str">
        <f t="shared" si="17"/>
        <v/>
      </c>
      <c r="G126" s="323" t="str">
        <f t="shared" si="18"/>
        <v/>
      </c>
      <c r="H126" s="327" t="str">
        <f t="shared" si="19"/>
        <v/>
      </c>
      <c r="I126" s="327" t="str">
        <f t="shared" si="20"/>
        <v/>
      </c>
      <c r="J126" s="301" t="str">
        <f t="shared" si="21"/>
        <v/>
      </c>
      <c r="K126" s="301" t="str">
        <f t="shared" si="22"/>
        <v/>
      </c>
      <c r="L126" s="344" t="str">
        <f t="array" ref="L126">IF($T126="","",LET(m,MATCH($T126,$AS$24:$AS$700,0),lvl,INDEX($W$24:$W$700,m),id,INDEX($X$24:$X$700,m),SWITCH(lvl,3,"Lớp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26" s="351" t="str">
        <f t="shared" si="23"/>
        <v/>
      </c>
      <c r="N126" s="356" t="str">
        <f t="shared" si="24"/>
        <v/>
      </c>
      <c r="O126" s="358"/>
      <c r="P126" s="360"/>
      <c r="Q126" s="360"/>
      <c r="R126" s="67"/>
      <c r="S126" s="67"/>
      <c r="T126" s="67"/>
      <c r="U126" s="389" t="str">
        <f>IF('Lớp 4 - Danh mục'!I56="","",'Lớp 4 - Danh mục'!J56&amp;"|"&amp;'Lớp 4 - Danh mục'!I56)</f>
        <v/>
      </c>
      <c r="V126" s="389" t="str">
        <f>IF('Lớp 4 - Danh mục'!I56="","","   ├─ "&amp;'Lớp 4 - Danh mục'!O56)</f>
        <v/>
      </c>
      <c r="W126" s="389" t="str">
        <f>IF('Lớp 4 - Danh mục'!I56="","",4)</f>
        <v/>
      </c>
      <c r="X126" s="67" t="str">
        <f>'Lớp 4 - Danh mục'!I56</f>
        <v/>
      </c>
      <c r="Y126" s="67" t="str">
        <f>'Lớp 4 - Danh mục'!J56</f>
        <v/>
      </c>
      <c r="Z126" s="67" t="str">
        <f>'Lớp 4 - Danh mục'!Z56</f>
        <v/>
      </c>
      <c r="AA126" s="67" t="str">
        <f>'Lớp 4 - Danh mục'!X56</f>
        <v/>
      </c>
      <c r="AB126" s="67" t="str">
        <f>'Lớp 4 - Danh mục'!AB56</f>
        <v/>
      </c>
      <c r="AC126" s="67" t="str">
        <f>'Lớp 4 - Danh mục'!AA56</f>
        <v/>
      </c>
      <c r="AD126" s="398" t="str">
        <f>'Lớp 4 - Danh mục'!AF56</f>
        <v/>
      </c>
      <c r="AE126" s="358" t="str">
        <f>'Lớp 4 - Danh mục'!AD56</f>
        <v/>
      </c>
      <c r="AF126" s="187" t="str">
        <f>'Lớp 4 - Danh mục'!AG56</f>
        <v/>
      </c>
      <c r="AG126" s="104" t="str">
        <f>'Lớp 4 - Danh mục'!AH56</f>
        <v/>
      </c>
      <c r="AH126" s="389" t="str">
        <f t="shared" si="27"/>
        <v/>
      </c>
      <c r="AI126" s="389" t="str">
        <f t="shared" si="37"/>
        <v>🔵 Chưa có hạn</v>
      </c>
      <c r="AJ126" s="67" t="str">
        <f>'Lớp 4 - Danh mục'!AK56</f>
        <v/>
      </c>
      <c r="AS126" s="389" t="str">
        <f t="shared" si="97"/>
        <v/>
      </c>
      <c r="AT126" s="389" t="str">
        <f t="shared" si="32"/>
        <v/>
      </c>
      <c r="AU126" s="389" t="str">
        <f t="shared" si="33"/>
        <v/>
      </c>
      <c r="AV126" s="389" t="str">
        <f t="shared" si="34"/>
        <v/>
      </c>
      <c r="AW126" s="389" t="str">
        <f t="shared" si="35"/>
        <v/>
      </c>
      <c r="AX126" s="67" t="str">
        <f t="shared" ref="AX126:BH126" si="139">Z126</f>
        <v/>
      </c>
      <c r="AY126" s="67" t="str">
        <f t="shared" si="139"/>
        <v/>
      </c>
      <c r="AZ126" s="67" t="str">
        <f t="shared" si="139"/>
        <v/>
      </c>
      <c r="BA126" s="67" t="str">
        <f t="shared" si="139"/>
        <v/>
      </c>
      <c r="BB126" s="398" t="str">
        <f t="shared" si="139"/>
        <v/>
      </c>
      <c r="BC126" s="358" t="str">
        <f t="shared" si="139"/>
        <v/>
      </c>
      <c r="BD126" s="187" t="str">
        <f t="shared" si="139"/>
        <v/>
      </c>
      <c r="BE126" s="104" t="str">
        <f t="shared" si="139"/>
        <v/>
      </c>
      <c r="BF126" s="389" t="str">
        <f t="shared" si="139"/>
        <v/>
      </c>
      <c r="BG126" s="389" t="str">
        <f t="shared" si="139"/>
        <v>🔵 Chưa có hạn</v>
      </c>
      <c r="BH126" s="67" t="str">
        <f t="shared" si="139"/>
        <v/>
      </c>
      <c r="BI126" s="389" t="str">
        <f t="array" ref="BI126">IF($X126="","",SWITCH($W126,3,IFERROR(INDEX('Lớp 3 - Công việc chính'!$AF$14:$AF$73,MATCH($X126,'Lớp 3 - Công việc chính'!$I$14:$I$73,0)),""),4,IFERROR(INDEX('Lớp 4 - Danh mục'!$AI$14:$AI$132,MATCH($X126,'Lớp 4 - Danh mục'!$I$14:$I$132,0)),""),5,IFERROR(INDEX('Lớp 5 - Phân công'!$AJ$14:$AJ$262,MATCH($X126,'Lớp 5 - Phân công'!$I$14:$I$262,0)),""),6,IFERROR(INDEX('Lớp 6 - Chi tiết'!$AM$14:$AM$267,MATCH($X126,'Lớp 6 - Chi tiết'!$I$14:$I$267,0)),""),""))</f>
        <v/>
      </c>
      <c r="BJ126" s="389" t="str">
        <f t="array" ref="BJ126">IF($X126="","",SWITCH($W126,3,IFERROR(INDEX('Lớp 3 - Công việc chính'!$AR$14:$AR$73,MATCH($X126,'Lớp 3 - Công việc chính'!$I$14:$I$73,0)),""),4,IFERROR(INDEX('Lớp 4 - Danh mục'!$AU$14:$AU$132,MATCH($X126,'Lớp 4 - Danh mục'!$I$14:$I$132,0)),""),5,IFERROR(INDEX('Lớp 5 - Phân công'!$AV$14:$AV$262,MATCH($X126,'Lớp 5 - Phân công'!$I$14:$I$262,0)),""),6,IFERROR(INDEX('Lớp 6 - Chi tiết'!$AY$14:$AY$267,MATCH($X126,'Lớp 6 - Chi tiết'!$I$14:$I$267,0)),""),""))</f>
        <v/>
      </c>
    </row>
    <row r="127" ht="15.75" customHeight="1">
      <c r="A127" s="294" t="str">
        <f t="shared" si="12"/>
        <v/>
      </c>
      <c r="B127" s="301" t="str">
        <f t="shared" si="13"/>
        <v/>
      </c>
      <c r="C127" s="301" t="str">
        <f t="shared" si="14"/>
        <v/>
      </c>
      <c r="D127" s="301" t="str">
        <f t="shared" si="15"/>
        <v/>
      </c>
      <c r="E127" s="301" t="str">
        <f t="shared" si="16"/>
        <v/>
      </c>
      <c r="F127" s="317" t="str">
        <f t="shared" si="17"/>
        <v/>
      </c>
      <c r="G127" s="323" t="str">
        <f t="shared" si="18"/>
        <v/>
      </c>
      <c r="H127" s="327" t="str">
        <f t="shared" si="19"/>
        <v/>
      </c>
      <c r="I127" s="327" t="str">
        <f t="shared" si="20"/>
        <v/>
      </c>
      <c r="J127" s="301" t="str">
        <f t="shared" si="21"/>
        <v/>
      </c>
      <c r="K127" s="301" t="str">
        <f t="shared" si="22"/>
        <v/>
      </c>
      <c r="L127" s="344" t="str">
        <f t="array" ref="L127">IF($T127="","",LET(m,MATCH($T127,$AS$24:$AS$700,0),lvl,INDEX($W$24:$W$700,m),id,INDEX($X$24:$X$700,m),SWITCH(lvl,3,"Lớp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27" s="351" t="str">
        <f t="shared" si="23"/>
        <v/>
      </c>
      <c r="N127" s="356" t="str">
        <f t="shared" si="24"/>
        <v/>
      </c>
      <c r="O127" s="358"/>
      <c r="P127" s="360"/>
      <c r="Q127" s="360"/>
      <c r="R127" s="67"/>
      <c r="S127" s="67"/>
      <c r="T127" s="67"/>
      <c r="U127" s="389" t="str">
        <f>IF('Lớp 4 - Danh mục'!I57="","",'Lớp 4 - Danh mục'!J57&amp;"|"&amp;'Lớp 4 - Danh mục'!I57)</f>
        <v/>
      </c>
      <c r="V127" s="389" t="str">
        <f>IF('Lớp 4 - Danh mục'!I57="","","   ├─ "&amp;'Lớp 4 - Danh mục'!O57)</f>
        <v/>
      </c>
      <c r="W127" s="389" t="str">
        <f>IF('Lớp 4 - Danh mục'!I57="","",4)</f>
        <v/>
      </c>
      <c r="X127" s="67" t="str">
        <f>'Lớp 4 - Danh mục'!I57</f>
        <v/>
      </c>
      <c r="Y127" s="67" t="str">
        <f>'Lớp 4 - Danh mục'!J57</f>
        <v/>
      </c>
      <c r="Z127" s="67" t="str">
        <f>'Lớp 4 - Danh mục'!Z57</f>
        <v/>
      </c>
      <c r="AA127" s="67" t="str">
        <f>'Lớp 4 - Danh mục'!X57</f>
        <v/>
      </c>
      <c r="AB127" s="67" t="str">
        <f>'Lớp 4 - Danh mục'!AB57</f>
        <v/>
      </c>
      <c r="AC127" s="67" t="str">
        <f>'Lớp 4 - Danh mục'!AA57</f>
        <v/>
      </c>
      <c r="AD127" s="398" t="str">
        <f>'Lớp 4 - Danh mục'!AF57</f>
        <v/>
      </c>
      <c r="AE127" s="358" t="str">
        <f>'Lớp 4 - Danh mục'!AD57</f>
        <v/>
      </c>
      <c r="AF127" s="187" t="str">
        <f>'Lớp 4 - Danh mục'!AG57</f>
        <v/>
      </c>
      <c r="AG127" s="104" t="str">
        <f>'Lớp 4 - Danh mục'!AH57</f>
        <v/>
      </c>
      <c r="AH127" s="389" t="str">
        <f t="shared" si="27"/>
        <v/>
      </c>
      <c r="AI127" s="389" t="str">
        <f t="shared" si="37"/>
        <v>🔵 Chưa có hạn</v>
      </c>
      <c r="AJ127" s="67" t="str">
        <f>'Lớp 4 - Danh mục'!AK57</f>
        <v/>
      </c>
      <c r="AS127" s="389" t="str">
        <f t="shared" si="97"/>
        <v/>
      </c>
      <c r="AT127" s="389" t="str">
        <f t="shared" si="32"/>
        <v/>
      </c>
      <c r="AU127" s="389" t="str">
        <f t="shared" si="33"/>
        <v/>
      </c>
      <c r="AV127" s="389" t="str">
        <f t="shared" si="34"/>
        <v/>
      </c>
      <c r="AW127" s="389" t="str">
        <f t="shared" si="35"/>
        <v/>
      </c>
      <c r="AX127" s="67" t="str">
        <f t="shared" ref="AX127:BH127" si="140">Z127</f>
        <v/>
      </c>
      <c r="AY127" s="67" t="str">
        <f t="shared" si="140"/>
        <v/>
      </c>
      <c r="AZ127" s="67" t="str">
        <f t="shared" si="140"/>
        <v/>
      </c>
      <c r="BA127" s="67" t="str">
        <f t="shared" si="140"/>
        <v/>
      </c>
      <c r="BB127" s="398" t="str">
        <f t="shared" si="140"/>
        <v/>
      </c>
      <c r="BC127" s="358" t="str">
        <f t="shared" si="140"/>
        <v/>
      </c>
      <c r="BD127" s="187" t="str">
        <f t="shared" si="140"/>
        <v/>
      </c>
      <c r="BE127" s="104" t="str">
        <f t="shared" si="140"/>
        <v/>
      </c>
      <c r="BF127" s="389" t="str">
        <f t="shared" si="140"/>
        <v/>
      </c>
      <c r="BG127" s="389" t="str">
        <f t="shared" si="140"/>
        <v>🔵 Chưa có hạn</v>
      </c>
      <c r="BH127" s="67" t="str">
        <f t="shared" si="140"/>
        <v/>
      </c>
      <c r="BI127" s="389" t="str">
        <f t="array" ref="BI127">IF($X127="","",SWITCH($W127,3,IFERROR(INDEX('Lớp 3 - Công việc chính'!$AF$14:$AF$73,MATCH($X127,'Lớp 3 - Công việc chính'!$I$14:$I$73,0)),""),4,IFERROR(INDEX('Lớp 4 - Danh mục'!$AI$14:$AI$132,MATCH($X127,'Lớp 4 - Danh mục'!$I$14:$I$132,0)),""),5,IFERROR(INDEX('Lớp 5 - Phân công'!$AJ$14:$AJ$262,MATCH($X127,'Lớp 5 - Phân công'!$I$14:$I$262,0)),""),6,IFERROR(INDEX('Lớp 6 - Chi tiết'!$AM$14:$AM$267,MATCH($X127,'Lớp 6 - Chi tiết'!$I$14:$I$267,0)),""),""))</f>
        <v/>
      </c>
      <c r="BJ127" s="389" t="str">
        <f t="array" ref="BJ127">IF($X127="","",SWITCH($W127,3,IFERROR(INDEX('Lớp 3 - Công việc chính'!$AR$14:$AR$73,MATCH($X127,'Lớp 3 - Công việc chính'!$I$14:$I$73,0)),""),4,IFERROR(INDEX('Lớp 4 - Danh mục'!$AU$14:$AU$132,MATCH($X127,'Lớp 4 - Danh mục'!$I$14:$I$132,0)),""),5,IFERROR(INDEX('Lớp 5 - Phân công'!$AV$14:$AV$262,MATCH($X127,'Lớp 5 - Phân công'!$I$14:$I$262,0)),""),6,IFERROR(INDEX('Lớp 6 - Chi tiết'!$AY$14:$AY$267,MATCH($X127,'Lớp 6 - Chi tiết'!$I$14:$I$267,0)),""),""))</f>
        <v/>
      </c>
    </row>
    <row r="128" ht="15.75" customHeight="1">
      <c r="A128" s="294" t="str">
        <f t="shared" si="12"/>
        <v/>
      </c>
      <c r="B128" s="301" t="str">
        <f t="shared" si="13"/>
        <v/>
      </c>
      <c r="C128" s="301" t="str">
        <f t="shared" si="14"/>
        <v/>
      </c>
      <c r="D128" s="301" t="str">
        <f t="shared" si="15"/>
        <v/>
      </c>
      <c r="E128" s="301" t="str">
        <f t="shared" si="16"/>
        <v/>
      </c>
      <c r="F128" s="317" t="str">
        <f t="shared" si="17"/>
        <v/>
      </c>
      <c r="G128" s="323" t="str">
        <f t="shared" si="18"/>
        <v/>
      </c>
      <c r="H128" s="327" t="str">
        <f t="shared" si="19"/>
        <v/>
      </c>
      <c r="I128" s="327" t="str">
        <f t="shared" si="20"/>
        <v/>
      </c>
      <c r="J128" s="301" t="str">
        <f t="shared" si="21"/>
        <v/>
      </c>
      <c r="K128" s="301" t="str">
        <f t="shared" si="22"/>
        <v/>
      </c>
      <c r="L128" s="344" t="str">
        <f t="array" ref="L128">IF($T128="","",LET(m,MATCH($T128,$AS$24:$AS$700,0),lvl,INDEX($W$24:$W$700,m),id,INDEX($X$24:$X$700,m),SWITCH(lvl,3,"Lớp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28" s="351" t="str">
        <f t="shared" si="23"/>
        <v/>
      </c>
      <c r="N128" s="356" t="str">
        <f t="shared" si="24"/>
        <v/>
      </c>
      <c r="O128" s="358"/>
      <c r="P128" s="360"/>
      <c r="Q128" s="360"/>
      <c r="R128" s="67"/>
      <c r="S128" s="67"/>
      <c r="T128" s="67"/>
      <c r="U128" s="389" t="str">
        <f>IF('Lớp 4 - Danh mục'!I58="","",'Lớp 4 - Danh mục'!J58&amp;"|"&amp;'Lớp 4 - Danh mục'!I58)</f>
        <v/>
      </c>
      <c r="V128" s="389" t="str">
        <f>IF('Lớp 4 - Danh mục'!I58="","","   ├─ "&amp;'Lớp 4 - Danh mục'!O58)</f>
        <v/>
      </c>
      <c r="W128" s="389" t="str">
        <f>IF('Lớp 4 - Danh mục'!I58="","",4)</f>
        <v/>
      </c>
      <c r="X128" s="67" t="str">
        <f>'Lớp 4 - Danh mục'!I58</f>
        <v/>
      </c>
      <c r="Y128" s="67" t="str">
        <f>'Lớp 4 - Danh mục'!J58</f>
        <v/>
      </c>
      <c r="Z128" s="67" t="str">
        <f>'Lớp 4 - Danh mục'!Z58</f>
        <v/>
      </c>
      <c r="AA128" s="67" t="str">
        <f>'Lớp 4 - Danh mục'!X58</f>
        <v/>
      </c>
      <c r="AB128" s="67" t="str">
        <f>'Lớp 4 - Danh mục'!AB58</f>
        <v/>
      </c>
      <c r="AC128" s="67" t="str">
        <f>'Lớp 4 - Danh mục'!AA58</f>
        <v/>
      </c>
      <c r="AD128" s="398" t="str">
        <f>'Lớp 4 - Danh mục'!AF58</f>
        <v/>
      </c>
      <c r="AE128" s="358" t="str">
        <f>'Lớp 4 - Danh mục'!AD58</f>
        <v/>
      </c>
      <c r="AF128" s="187" t="str">
        <f>'Lớp 4 - Danh mục'!AG58</f>
        <v/>
      </c>
      <c r="AG128" s="104" t="str">
        <f>'Lớp 4 - Danh mục'!AH58</f>
        <v/>
      </c>
      <c r="AH128" s="389" t="str">
        <f t="shared" si="27"/>
        <v/>
      </c>
      <c r="AI128" s="389" t="str">
        <f t="shared" si="37"/>
        <v>🔵 Chưa có hạn</v>
      </c>
      <c r="AJ128" s="67" t="str">
        <f>'Lớp 4 - Danh mục'!AK58</f>
        <v/>
      </c>
      <c r="AS128" s="389" t="str">
        <f t="shared" si="97"/>
        <v/>
      </c>
      <c r="AT128" s="389" t="str">
        <f t="shared" si="32"/>
        <v/>
      </c>
      <c r="AU128" s="389" t="str">
        <f t="shared" si="33"/>
        <v/>
      </c>
      <c r="AV128" s="389" t="str">
        <f t="shared" si="34"/>
        <v/>
      </c>
      <c r="AW128" s="389" t="str">
        <f t="shared" si="35"/>
        <v/>
      </c>
      <c r="AX128" s="67" t="str">
        <f t="shared" ref="AX128:BH128" si="141">Z128</f>
        <v/>
      </c>
      <c r="AY128" s="67" t="str">
        <f t="shared" si="141"/>
        <v/>
      </c>
      <c r="AZ128" s="67" t="str">
        <f t="shared" si="141"/>
        <v/>
      </c>
      <c r="BA128" s="67" t="str">
        <f t="shared" si="141"/>
        <v/>
      </c>
      <c r="BB128" s="398" t="str">
        <f t="shared" si="141"/>
        <v/>
      </c>
      <c r="BC128" s="358" t="str">
        <f t="shared" si="141"/>
        <v/>
      </c>
      <c r="BD128" s="187" t="str">
        <f t="shared" si="141"/>
        <v/>
      </c>
      <c r="BE128" s="104" t="str">
        <f t="shared" si="141"/>
        <v/>
      </c>
      <c r="BF128" s="389" t="str">
        <f t="shared" si="141"/>
        <v/>
      </c>
      <c r="BG128" s="389" t="str">
        <f t="shared" si="141"/>
        <v>🔵 Chưa có hạn</v>
      </c>
      <c r="BH128" s="67" t="str">
        <f t="shared" si="141"/>
        <v/>
      </c>
      <c r="BI128" s="389" t="str">
        <f t="array" ref="BI128">IF($X128="","",SWITCH($W128,3,IFERROR(INDEX('Lớp 3 - Công việc chính'!$AF$14:$AF$73,MATCH($X128,'Lớp 3 - Công việc chính'!$I$14:$I$73,0)),""),4,IFERROR(INDEX('Lớp 4 - Danh mục'!$AI$14:$AI$132,MATCH($X128,'Lớp 4 - Danh mục'!$I$14:$I$132,0)),""),5,IFERROR(INDEX('Lớp 5 - Phân công'!$AJ$14:$AJ$262,MATCH($X128,'Lớp 5 - Phân công'!$I$14:$I$262,0)),""),6,IFERROR(INDEX('Lớp 6 - Chi tiết'!$AM$14:$AM$267,MATCH($X128,'Lớp 6 - Chi tiết'!$I$14:$I$267,0)),""),""))</f>
        <v/>
      </c>
      <c r="BJ128" s="389" t="str">
        <f t="array" ref="BJ128">IF($X128="","",SWITCH($W128,3,IFERROR(INDEX('Lớp 3 - Công việc chính'!$AR$14:$AR$73,MATCH($X128,'Lớp 3 - Công việc chính'!$I$14:$I$73,0)),""),4,IFERROR(INDEX('Lớp 4 - Danh mục'!$AU$14:$AU$132,MATCH($X128,'Lớp 4 - Danh mục'!$I$14:$I$132,0)),""),5,IFERROR(INDEX('Lớp 5 - Phân công'!$AV$14:$AV$262,MATCH($X128,'Lớp 5 - Phân công'!$I$14:$I$262,0)),""),6,IFERROR(INDEX('Lớp 6 - Chi tiết'!$AY$14:$AY$267,MATCH($X128,'Lớp 6 - Chi tiết'!$I$14:$I$267,0)),""),""))</f>
        <v/>
      </c>
    </row>
    <row r="129" ht="15.75" customHeight="1">
      <c r="A129" s="294" t="str">
        <f t="shared" si="12"/>
        <v/>
      </c>
      <c r="B129" s="301" t="str">
        <f t="shared" si="13"/>
        <v/>
      </c>
      <c r="C129" s="301" t="str">
        <f t="shared" si="14"/>
        <v/>
      </c>
      <c r="D129" s="301" t="str">
        <f t="shared" si="15"/>
        <v/>
      </c>
      <c r="E129" s="301" t="str">
        <f t="shared" si="16"/>
        <v/>
      </c>
      <c r="F129" s="317" t="str">
        <f t="shared" si="17"/>
        <v/>
      </c>
      <c r="G129" s="323" t="str">
        <f t="shared" si="18"/>
        <v/>
      </c>
      <c r="H129" s="327" t="str">
        <f t="shared" si="19"/>
        <v/>
      </c>
      <c r="I129" s="327" t="str">
        <f t="shared" si="20"/>
        <v/>
      </c>
      <c r="J129" s="301" t="str">
        <f t="shared" si="21"/>
        <v/>
      </c>
      <c r="K129" s="301" t="str">
        <f t="shared" si="22"/>
        <v/>
      </c>
      <c r="L129" s="344" t="str">
        <f t="array" ref="L129">IF($T129="","",LET(m,MATCH($T129,$AS$24:$AS$700,0),lvl,INDEX($W$24:$W$700,m),id,INDEX($X$24:$X$700,m),SWITCH(lvl,3,"Lớp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29" s="351" t="str">
        <f t="shared" si="23"/>
        <v/>
      </c>
      <c r="N129" s="356" t="str">
        <f t="shared" si="24"/>
        <v/>
      </c>
      <c r="O129" s="358"/>
      <c r="P129" s="360"/>
      <c r="Q129" s="360"/>
      <c r="R129" s="67"/>
      <c r="S129" s="67"/>
      <c r="T129" s="67"/>
      <c r="U129" s="389" t="str">
        <f>IF('Lớp 4 - Danh mục'!I59="","",'Lớp 4 - Danh mục'!J59&amp;"|"&amp;'Lớp 4 - Danh mục'!I59)</f>
        <v/>
      </c>
      <c r="V129" s="389" t="str">
        <f>IF('Lớp 4 - Danh mục'!I59="","","   ├─ "&amp;'Lớp 4 - Danh mục'!O59)</f>
        <v/>
      </c>
      <c r="W129" s="389" t="str">
        <f>IF('Lớp 4 - Danh mục'!I59="","",4)</f>
        <v/>
      </c>
      <c r="X129" s="67" t="str">
        <f>'Lớp 4 - Danh mục'!I59</f>
        <v/>
      </c>
      <c r="Y129" s="67" t="str">
        <f>'Lớp 4 - Danh mục'!J59</f>
        <v/>
      </c>
      <c r="Z129" s="67" t="str">
        <f>'Lớp 4 - Danh mục'!Z59</f>
        <v/>
      </c>
      <c r="AA129" s="67" t="str">
        <f>'Lớp 4 - Danh mục'!X59</f>
        <v/>
      </c>
      <c r="AB129" s="67" t="str">
        <f>'Lớp 4 - Danh mục'!AB59</f>
        <v/>
      </c>
      <c r="AC129" s="67" t="str">
        <f>'Lớp 4 - Danh mục'!AA59</f>
        <v/>
      </c>
      <c r="AD129" s="398" t="str">
        <f>'Lớp 4 - Danh mục'!AF59</f>
        <v/>
      </c>
      <c r="AE129" s="358" t="str">
        <f>'Lớp 4 - Danh mục'!AD59</f>
        <v/>
      </c>
      <c r="AF129" s="187" t="str">
        <f>'Lớp 4 - Danh mục'!AG59</f>
        <v/>
      </c>
      <c r="AG129" s="104" t="str">
        <f>'Lớp 4 - Danh mục'!AH59</f>
        <v/>
      </c>
      <c r="AH129" s="389" t="str">
        <f t="shared" si="27"/>
        <v/>
      </c>
      <c r="AI129" s="389" t="str">
        <f t="shared" si="37"/>
        <v>🔵 Chưa có hạn</v>
      </c>
      <c r="AJ129" s="67" t="str">
        <f>'Lớp 4 - Danh mục'!AK59</f>
        <v/>
      </c>
      <c r="AS129" s="389" t="str">
        <f t="shared" si="97"/>
        <v/>
      </c>
      <c r="AT129" s="389" t="str">
        <f t="shared" si="32"/>
        <v/>
      </c>
      <c r="AU129" s="389" t="str">
        <f t="shared" si="33"/>
        <v/>
      </c>
      <c r="AV129" s="389" t="str">
        <f t="shared" si="34"/>
        <v/>
      </c>
      <c r="AW129" s="389" t="str">
        <f t="shared" si="35"/>
        <v/>
      </c>
      <c r="AX129" s="67" t="str">
        <f t="shared" ref="AX129:BH129" si="142">Z129</f>
        <v/>
      </c>
      <c r="AY129" s="67" t="str">
        <f t="shared" si="142"/>
        <v/>
      </c>
      <c r="AZ129" s="67" t="str">
        <f t="shared" si="142"/>
        <v/>
      </c>
      <c r="BA129" s="67" t="str">
        <f t="shared" si="142"/>
        <v/>
      </c>
      <c r="BB129" s="398" t="str">
        <f t="shared" si="142"/>
        <v/>
      </c>
      <c r="BC129" s="358" t="str">
        <f t="shared" si="142"/>
        <v/>
      </c>
      <c r="BD129" s="187" t="str">
        <f t="shared" si="142"/>
        <v/>
      </c>
      <c r="BE129" s="104" t="str">
        <f t="shared" si="142"/>
        <v/>
      </c>
      <c r="BF129" s="389" t="str">
        <f t="shared" si="142"/>
        <v/>
      </c>
      <c r="BG129" s="389" t="str">
        <f t="shared" si="142"/>
        <v>🔵 Chưa có hạn</v>
      </c>
      <c r="BH129" s="67" t="str">
        <f t="shared" si="142"/>
        <v/>
      </c>
      <c r="BI129" s="389" t="str">
        <f t="array" ref="BI129">IF($X129="","",SWITCH($W129,3,IFERROR(INDEX('Lớp 3 - Công việc chính'!$AF$14:$AF$73,MATCH($X129,'Lớp 3 - Công việc chính'!$I$14:$I$73,0)),""),4,IFERROR(INDEX('Lớp 4 - Danh mục'!$AI$14:$AI$132,MATCH($X129,'Lớp 4 - Danh mục'!$I$14:$I$132,0)),""),5,IFERROR(INDEX('Lớp 5 - Phân công'!$AJ$14:$AJ$262,MATCH($X129,'Lớp 5 - Phân công'!$I$14:$I$262,0)),""),6,IFERROR(INDEX('Lớp 6 - Chi tiết'!$AM$14:$AM$267,MATCH($X129,'Lớp 6 - Chi tiết'!$I$14:$I$267,0)),""),""))</f>
        <v/>
      </c>
      <c r="BJ129" s="389" t="str">
        <f t="array" ref="BJ129">IF($X129="","",SWITCH($W129,3,IFERROR(INDEX('Lớp 3 - Công việc chính'!$AR$14:$AR$73,MATCH($X129,'Lớp 3 - Công việc chính'!$I$14:$I$73,0)),""),4,IFERROR(INDEX('Lớp 4 - Danh mục'!$AU$14:$AU$132,MATCH($X129,'Lớp 4 - Danh mục'!$I$14:$I$132,0)),""),5,IFERROR(INDEX('Lớp 5 - Phân công'!$AV$14:$AV$262,MATCH($X129,'Lớp 5 - Phân công'!$I$14:$I$262,0)),""),6,IFERROR(INDEX('Lớp 6 - Chi tiết'!$AY$14:$AY$267,MATCH($X129,'Lớp 6 - Chi tiết'!$I$14:$I$267,0)),""),""))</f>
        <v/>
      </c>
    </row>
    <row r="130" ht="15.75" customHeight="1">
      <c r="A130" s="294" t="str">
        <f t="shared" si="12"/>
        <v/>
      </c>
      <c r="B130" s="301" t="str">
        <f t="shared" si="13"/>
        <v/>
      </c>
      <c r="C130" s="301" t="str">
        <f t="shared" si="14"/>
        <v/>
      </c>
      <c r="D130" s="301" t="str">
        <f t="shared" si="15"/>
        <v/>
      </c>
      <c r="E130" s="301" t="str">
        <f t="shared" si="16"/>
        <v/>
      </c>
      <c r="F130" s="317" t="str">
        <f t="shared" si="17"/>
        <v/>
      </c>
      <c r="G130" s="323" t="str">
        <f t="shared" si="18"/>
        <v/>
      </c>
      <c r="H130" s="327" t="str">
        <f t="shared" si="19"/>
        <v/>
      </c>
      <c r="I130" s="327" t="str">
        <f t="shared" si="20"/>
        <v/>
      </c>
      <c r="J130" s="301" t="str">
        <f t="shared" si="21"/>
        <v/>
      </c>
      <c r="K130" s="301" t="str">
        <f t="shared" si="22"/>
        <v/>
      </c>
      <c r="L130" s="344" t="str">
        <f t="array" ref="L130">IF($T130="","",LET(m,MATCH($T130,$AS$24:$AS$700,0),lvl,INDEX($W$24:$W$700,m),id,INDEX($X$24:$X$700,m),SWITCH(lvl,3,"Lớp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0" s="351" t="str">
        <f t="shared" si="23"/>
        <v/>
      </c>
      <c r="N130" s="356" t="str">
        <f t="shared" si="24"/>
        <v/>
      </c>
      <c r="O130" s="358"/>
      <c r="P130" s="360"/>
      <c r="Q130" s="360"/>
      <c r="R130" s="67"/>
      <c r="S130" s="67"/>
      <c r="T130" s="67"/>
      <c r="U130" s="389" t="str">
        <f>IF('Lớp 4 - Danh mục'!I60="","",'Lớp 4 - Danh mục'!J60&amp;"|"&amp;'Lớp 4 - Danh mục'!I60)</f>
        <v/>
      </c>
      <c r="V130" s="389" t="str">
        <f>IF('Lớp 4 - Danh mục'!I60="","","   ├─ "&amp;'Lớp 4 - Danh mục'!O60)</f>
        <v/>
      </c>
      <c r="W130" s="389" t="str">
        <f>IF('Lớp 4 - Danh mục'!I60="","",4)</f>
        <v/>
      </c>
      <c r="X130" s="67" t="str">
        <f>'Lớp 4 - Danh mục'!I60</f>
        <v/>
      </c>
      <c r="Y130" s="67" t="str">
        <f>'Lớp 4 - Danh mục'!J60</f>
        <v/>
      </c>
      <c r="Z130" s="67" t="str">
        <f>'Lớp 4 - Danh mục'!Z60</f>
        <v/>
      </c>
      <c r="AA130" s="67" t="str">
        <f>'Lớp 4 - Danh mục'!X60</f>
        <v/>
      </c>
      <c r="AB130" s="67" t="str">
        <f>'Lớp 4 - Danh mục'!AB60</f>
        <v/>
      </c>
      <c r="AC130" s="67" t="str">
        <f>'Lớp 4 - Danh mục'!AA60</f>
        <v/>
      </c>
      <c r="AD130" s="398" t="str">
        <f>'Lớp 4 - Danh mục'!AF60</f>
        <v/>
      </c>
      <c r="AE130" s="358" t="str">
        <f>'Lớp 4 - Danh mục'!AD60</f>
        <v/>
      </c>
      <c r="AF130" s="187" t="str">
        <f>'Lớp 4 - Danh mục'!AG60</f>
        <v/>
      </c>
      <c r="AG130" s="104" t="str">
        <f>'Lớp 4 - Danh mục'!AH60</f>
        <v/>
      </c>
      <c r="AH130" s="389" t="str">
        <f t="shared" si="27"/>
        <v/>
      </c>
      <c r="AI130" s="389" t="str">
        <f t="shared" si="37"/>
        <v>🔵 Chưa có hạn</v>
      </c>
      <c r="AJ130" s="67" t="str">
        <f>'Lớp 4 - Danh mục'!AK60</f>
        <v/>
      </c>
      <c r="AS130" s="389" t="str">
        <f t="shared" si="97"/>
        <v/>
      </c>
      <c r="AT130" s="389" t="str">
        <f t="shared" si="32"/>
        <v/>
      </c>
      <c r="AU130" s="389" t="str">
        <f t="shared" si="33"/>
        <v/>
      </c>
      <c r="AV130" s="389" t="str">
        <f t="shared" si="34"/>
        <v/>
      </c>
      <c r="AW130" s="389" t="str">
        <f t="shared" si="35"/>
        <v/>
      </c>
      <c r="AX130" s="67" t="str">
        <f t="shared" ref="AX130:BH130" si="143">Z130</f>
        <v/>
      </c>
      <c r="AY130" s="67" t="str">
        <f t="shared" si="143"/>
        <v/>
      </c>
      <c r="AZ130" s="67" t="str">
        <f t="shared" si="143"/>
        <v/>
      </c>
      <c r="BA130" s="67" t="str">
        <f t="shared" si="143"/>
        <v/>
      </c>
      <c r="BB130" s="398" t="str">
        <f t="shared" si="143"/>
        <v/>
      </c>
      <c r="BC130" s="358" t="str">
        <f t="shared" si="143"/>
        <v/>
      </c>
      <c r="BD130" s="187" t="str">
        <f t="shared" si="143"/>
        <v/>
      </c>
      <c r="BE130" s="104" t="str">
        <f t="shared" si="143"/>
        <v/>
      </c>
      <c r="BF130" s="389" t="str">
        <f t="shared" si="143"/>
        <v/>
      </c>
      <c r="BG130" s="389" t="str">
        <f t="shared" si="143"/>
        <v>🔵 Chưa có hạn</v>
      </c>
      <c r="BH130" s="67" t="str">
        <f t="shared" si="143"/>
        <v/>
      </c>
      <c r="BI130" s="389" t="str">
        <f t="array" ref="BI130">IF($X130="","",SWITCH($W130,3,IFERROR(INDEX('Lớp 3 - Công việc chính'!$AF$14:$AF$73,MATCH($X130,'Lớp 3 - Công việc chính'!$I$14:$I$73,0)),""),4,IFERROR(INDEX('Lớp 4 - Danh mục'!$AI$14:$AI$132,MATCH($X130,'Lớp 4 - Danh mục'!$I$14:$I$132,0)),""),5,IFERROR(INDEX('Lớp 5 - Phân công'!$AJ$14:$AJ$262,MATCH($X130,'Lớp 5 - Phân công'!$I$14:$I$262,0)),""),6,IFERROR(INDEX('Lớp 6 - Chi tiết'!$AM$14:$AM$267,MATCH($X130,'Lớp 6 - Chi tiết'!$I$14:$I$267,0)),""),""))</f>
        <v/>
      </c>
      <c r="BJ130" s="389" t="str">
        <f t="array" ref="BJ130">IF($X130="","",SWITCH($W130,3,IFERROR(INDEX('Lớp 3 - Công việc chính'!$AR$14:$AR$73,MATCH($X130,'Lớp 3 - Công việc chính'!$I$14:$I$73,0)),""),4,IFERROR(INDEX('Lớp 4 - Danh mục'!$AU$14:$AU$132,MATCH($X130,'Lớp 4 - Danh mục'!$I$14:$I$132,0)),""),5,IFERROR(INDEX('Lớp 5 - Phân công'!$AV$14:$AV$262,MATCH($X130,'Lớp 5 - Phân công'!$I$14:$I$262,0)),""),6,IFERROR(INDEX('Lớp 6 - Chi tiết'!$AY$14:$AY$267,MATCH($X130,'Lớp 6 - Chi tiết'!$I$14:$I$267,0)),""),""))</f>
        <v/>
      </c>
    </row>
    <row r="131" ht="15.75" customHeight="1">
      <c r="A131" s="294" t="str">
        <f t="shared" si="12"/>
        <v/>
      </c>
      <c r="B131" s="301" t="str">
        <f t="shared" si="13"/>
        <v/>
      </c>
      <c r="C131" s="301" t="str">
        <f t="shared" si="14"/>
        <v/>
      </c>
      <c r="D131" s="301" t="str">
        <f t="shared" si="15"/>
        <v/>
      </c>
      <c r="E131" s="301" t="str">
        <f t="shared" si="16"/>
        <v/>
      </c>
      <c r="F131" s="317" t="str">
        <f t="shared" si="17"/>
        <v/>
      </c>
      <c r="G131" s="323" t="str">
        <f t="shared" si="18"/>
        <v/>
      </c>
      <c r="H131" s="327" t="str">
        <f t="shared" si="19"/>
        <v/>
      </c>
      <c r="I131" s="327" t="str">
        <f t="shared" si="20"/>
        <v/>
      </c>
      <c r="J131" s="301" t="str">
        <f t="shared" si="21"/>
        <v/>
      </c>
      <c r="K131" s="301" t="str">
        <f t="shared" si="22"/>
        <v/>
      </c>
      <c r="L131" s="344" t="str">
        <f t="array" ref="L131">IF($T131="","",LET(m,MATCH($T131,$AS$24:$AS$700,0),lvl,INDEX($W$24:$W$700,m),id,INDEX($X$24:$X$700,m),SWITCH(lvl,3,"Lớp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1" s="351" t="str">
        <f t="shared" si="23"/>
        <v/>
      </c>
      <c r="N131" s="356" t="str">
        <f t="shared" si="24"/>
        <v/>
      </c>
      <c r="O131" s="358"/>
      <c r="P131" s="360"/>
      <c r="Q131" s="360"/>
      <c r="R131" s="67"/>
      <c r="S131" s="67"/>
      <c r="T131" s="67"/>
      <c r="U131" s="389" t="str">
        <f>IF('Lớp 4 - Danh mục'!I61="","",'Lớp 4 - Danh mục'!J61&amp;"|"&amp;'Lớp 4 - Danh mục'!I61)</f>
        <v/>
      </c>
      <c r="V131" s="389" t="str">
        <f>IF('Lớp 4 - Danh mục'!I61="","","   ├─ "&amp;'Lớp 4 - Danh mục'!O61)</f>
        <v/>
      </c>
      <c r="W131" s="389" t="str">
        <f>IF('Lớp 4 - Danh mục'!I61="","",4)</f>
        <v/>
      </c>
      <c r="X131" s="67" t="str">
        <f>'Lớp 4 - Danh mục'!I61</f>
        <v/>
      </c>
      <c r="Y131" s="67" t="str">
        <f>'Lớp 4 - Danh mục'!J61</f>
        <v/>
      </c>
      <c r="Z131" s="67" t="str">
        <f>'Lớp 4 - Danh mục'!Z61</f>
        <v/>
      </c>
      <c r="AA131" s="67" t="str">
        <f>'Lớp 4 - Danh mục'!X61</f>
        <v/>
      </c>
      <c r="AB131" s="67" t="str">
        <f>'Lớp 4 - Danh mục'!AB61</f>
        <v/>
      </c>
      <c r="AC131" s="67" t="str">
        <f>'Lớp 4 - Danh mục'!AA61</f>
        <v/>
      </c>
      <c r="AD131" s="398" t="str">
        <f>'Lớp 4 - Danh mục'!AF61</f>
        <v/>
      </c>
      <c r="AE131" s="358" t="str">
        <f>'Lớp 4 - Danh mục'!AD61</f>
        <v/>
      </c>
      <c r="AF131" s="187" t="str">
        <f>'Lớp 4 - Danh mục'!AG61</f>
        <v/>
      </c>
      <c r="AG131" s="104" t="str">
        <f>'Lớp 4 - Danh mục'!AH61</f>
        <v/>
      </c>
      <c r="AH131" s="389" t="str">
        <f t="shared" si="27"/>
        <v/>
      </c>
      <c r="AI131" s="389" t="str">
        <f t="shared" si="37"/>
        <v>🔵 Chưa có hạn</v>
      </c>
      <c r="AJ131" s="67" t="str">
        <f>'Lớp 4 - Danh mục'!AK61</f>
        <v/>
      </c>
      <c r="AS131" s="389" t="str">
        <f t="shared" si="97"/>
        <v/>
      </c>
      <c r="AT131" s="389" t="str">
        <f t="shared" si="32"/>
        <v/>
      </c>
      <c r="AU131" s="389" t="str">
        <f t="shared" si="33"/>
        <v/>
      </c>
      <c r="AV131" s="389" t="str">
        <f t="shared" si="34"/>
        <v/>
      </c>
      <c r="AW131" s="389" t="str">
        <f t="shared" si="35"/>
        <v/>
      </c>
      <c r="AX131" s="67" t="str">
        <f t="shared" ref="AX131:BH131" si="144">Z131</f>
        <v/>
      </c>
      <c r="AY131" s="67" t="str">
        <f t="shared" si="144"/>
        <v/>
      </c>
      <c r="AZ131" s="67" t="str">
        <f t="shared" si="144"/>
        <v/>
      </c>
      <c r="BA131" s="67" t="str">
        <f t="shared" si="144"/>
        <v/>
      </c>
      <c r="BB131" s="398" t="str">
        <f t="shared" si="144"/>
        <v/>
      </c>
      <c r="BC131" s="358" t="str">
        <f t="shared" si="144"/>
        <v/>
      </c>
      <c r="BD131" s="187" t="str">
        <f t="shared" si="144"/>
        <v/>
      </c>
      <c r="BE131" s="104" t="str">
        <f t="shared" si="144"/>
        <v/>
      </c>
      <c r="BF131" s="389" t="str">
        <f t="shared" si="144"/>
        <v/>
      </c>
      <c r="BG131" s="389" t="str">
        <f t="shared" si="144"/>
        <v>🔵 Chưa có hạn</v>
      </c>
      <c r="BH131" s="67" t="str">
        <f t="shared" si="144"/>
        <v/>
      </c>
      <c r="BI131" s="389" t="str">
        <f t="array" ref="BI131">IF($X131="","",SWITCH($W131,3,IFERROR(INDEX('Lớp 3 - Công việc chính'!$AF$14:$AF$73,MATCH($X131,'Lớp 3 - Công việc chính'!$I$14:$I$73,0)),""),4,IFERROR(INDEX('Lớp 4 - Danh mục'!$AI$14:$AI$132,MATCH($X131,'Lớp 4 - Danh mục'!$I$14:$I$132,0)),""),5,IFERROR(INDEX('Lớp 5 - Phân công'!$AJ$14:$AJ$262,MATCH($X131,'Lớp 5 - Phân công'!$I$14:$I$262,0)),""),6,IFERROR(INDEX('Lớp 6 - Chi tiết'!$AM$14:$AM$267,MATCH($X131,'Lớp 6 - Chi tiết'!$I$14:$I$267,0)),""),""))</f>
        <v/>
      </c>
      <c r="BJ131" s="389" t="str">
        <f t="array" ref="BJ131">IF($X131="","",SWITCH($W131,3,IFERROR(INDEX('Lớp 3 - Công việc chính'!$AR$14:$AR$73,MATCH($X131,'Lớp 3 - Công việc chính'!$I$14:$I$73,0)),""),4,IFERROR(INDEX('Lớp 4 - Danh mục'!$AU$14:$AU$132,MATCH($X131,'Lớp 4 - Danh mục'!$I$14:$I$132,0)),""),5,IFERROR(INDEX('Lớp 5 - Phân công'!$AV$14:$AV$262,MATCH($X131,'Lớp 5 - Phân công'!$I$14:$I$262,0)),""),6,IFERROR(INDEX('Lớp 6 - Chi tiết'!$AY$14:$AY$267,MATCH($X131,'Lớp 6 - Chi tiết'!$I$14:$I$267,0)),""),""))</f>
        <v/>
      </c>
    </row>
    <row r="132" ht="15.75" customHeight="1">
      <c r="A132" s="294" t="str">
        <f t="shared" si="12"/>
        <v/>
      </c>
      <c r="B132" s="301" t="str">
        <f t="shared" si="13"/>
        <v/>
      </c>
      <c r="C132" s="301" t="str">
        <f t="shared" si="14"/>
        <v/>
      </c>
      <c r="D132" s="301" t="str">
        <f t="shared" si="15"/>
        <v/>
      </c>
      <c r="E132" s="301" t="str">
        <f t="shared" si="16"/>
        <v/>
      </c>
      <c r="F132" s="317" t="str">
        <f t="shared" si="17"/>
        <v/>
      </c>
      <c r="G132" s="323" t="str">
        <f t="shared" si="18"/>
        <v/>
      </c>
      <c r="H132" s="327" t="str">
        <f t="shared" si="19"/>
        <v/>
      </c>
      <c r="I132" s="327" t="str">
        <f t="shared" si="20"/>
        <v/>
      </c>
      <c r="J132" s="301" t="str">
        <f t="shared" si="21"/>
        <v/>
      </c>
      <c r="K132" s="301" t="str">
        <f t="shared" si="22"/>
        <v/>
      </c>
      <c r="L132" s="344" t="str">
        <f t="array" ref="L132">IF($T132="","",LET(m,MATCH($T132,$AS$24:$AS$700,0),lvl,INDEX($W$24:$W$700,m),id,INDEX($X$24:$X$700,m),SWITCH(lvl,3,"Lớp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2" s="351" t="str">
        <f t="shared" si="23"/>
        <v/>
      </c>
      <c r="N132" s="356" t="str">
        <f t="shared" si="24"/>
        <v/>
      </c>
      <c r="O132" s="358"/>
      <c r="P132" s="360"/>
      <c r="Q132" s="360"/>
      <c r="R132" s="67"/>
      <c r="S132" s="67"/>
      <c r="T132" s="67"/>
      <c r="U132" s="389" t="str">
        <f>IF('Lớp 4 - Danh mục'!I62="","",'Lớp 4 - Danh mục'!J62&amp;"|"&amp;'Lớp 4 - Danh mục'!I62)</f>
        <v/>
      </c>
      <c r="V132" s="389" t="str">
        <f>IF('Lớp 4 - Danh mục'!I62="","","   ├─ "&amp;'Lớp 4 - Danh mục'!O62)</f>
        <v/>
      </c>
      <c r="W132" s="389" t="str">
        <f>IF('Lớp 4 - Danh mục'!I62="","",4)</f>
        <v/>
      </c>
      <c r="X132" s="67" t="str">
        <f>'Lớp 4 - Danh mục'!I62</f>
        <v/>
      </c>
      <c r="Y132" s="67" t="str">
        <f>'Lớp 4 - Danh mục'!J62</f>
        <v/>
      </c>
      <c r="Z132" s="67" t="str">
        <f>'Lớp 4 - Danh mục'!Z62</f>
        <v/>
      </c>
      <c r="AA132" s="67" t="str">
        <f>'Lớp 4 - Danh mục'!X62</f>
        <v/>
      </c>
      <c r="AB132" s="67" t="str">
        <f>'Lớp 4 - Danh mục'!AB62</f>
        <v/>
      </c>
      <c r="AC132" s="67" t="str">
        <f>'Lớp 4 - Danh mục'!AA62</f>
        <v/>
      </c>
      <c r="AD132" s="398" t="str">
        <f>'Lớp 4 - Danh mục'!AF62</f>
        <v/>
      </c>
      <c r="AE132" s="358" t="str">
        <f>'Lớp 4 - Danh mục'!AD62</f>
        <v/>
      </c>
      <c r="AF132" s="187" t="str">
        <f>'Lớp 4 - Danh mục'!AG62</f>
        <v/>
      </c>
      <c r="AG132" s="104" t="str">
        <f>'Lớp 4 - Danh mục'!AH62</f>
        <v/>
      </c>
      <c r="AH132" s="389" t="str">
        <f t="shared" si="27"/>
        <v/>
      </c>
      <c r="AI132" s="389" t="str">
        <f t="shared" si="37"/>
        <v>🔵 Chưa có hạn</v>
      </c>
      <c r="AJ132" s="67" t="str">
        <f>'Lớp 4 - Danh mục'!AK62</f>
        <v/>
      </c>
      <c r="AS132" s="389" t="str">
        <f t="shared" si="97"/>
        <v/>
      </c>
      <c r="AT132" s="389" t="str">
        <f t="shared" si="32"/>
        <v/>
      </c>
      <c r="AU132" s="389" t="str">
        <f t="shared" si="33"/>
        <v/>
      </c>
      <c r="AV132" s="389" t="str">
        <f t="shared" si="34"/>
        <v/>
      </c>
      <c r="AW132" s="389" t="str">
        <f t="shared" si="35"/>
        <v/>
      </c>
      <c r="AX132" s="67" t="str">
        <f t="shared" ref="AX132:BH132" si="145">Z132</f>
        <v/>
      </c>
      <c r="AY132" s="67" t="str">
        <f t="shared" si="145"/>
        <v/>
      </c>
      <c r="AZ132" s="67" t="str">
        <f t="shared" si="145"/>
        <v/>
      </c>
      <c r="BA132" s="67" t="str">
        <f t="shared" si="145"/>
        <v/>
      </c>
      <c r="BB132" s="398" t="str">
        <f t="shared" si="145"/>
        <v/>
      </c>
      <c r="BC132" s="358" t="str">
        <f t="shared" si="145"/>
        <v/>
      </c>
      <c r="BD132" s="187" t="str">
        <f t="shared" si="145"/>
        <v/>
      </c>
      <c r="BE132" s="104" t="str">
        <f t="shared" si="145"/>
        <v/>
      </c>
      <c r="BF132" s="389" t="str">
        <f t="shared" si="145"/>
        <v/>
      </c>
      <c r="BG132" s="389" t="str">
        <f t="shared" si="145"/>
        <v>🔵 Chưa có hạn</v>
      </c>
      <c r="BH132" s="67" t="str">
        <f t="shared" si="145"/>
        <v/>
      </c>
      <c r="BI132" s="389" t="str">
        <f t="array" ref="BI132">IF($X132="","",SWITCH($W132,3,IFERROR(INDEX('Lớp 3 - Công việc chính'!$AF$14:$AF$73,MATCH($X132,'Lớp 3 - Công việc chính'!$I$14:$I$73,0)),""),4,IFERROR(INDEX('Lớp 4 - Danh mục'!$AI$14:$AI$132,MATCH($X132,'Lớp 4 - Danh mục'!$I$14:$I$132,0)),""),5,IFERROR(INDEX('Lớp 5 - Phân công'!$AJ$14:$AJ$262,MATCH($X132,'Lớp 5 - Phân công'!$I$14:$I$262,0)),""),6,IFERROR(INDEX('Lớp 6 - Chi tiết'!$AM$14:$AM$267,MATCH($X132,'Lớp 6 - Chi tiết'!$I$14:$I$267,0)),""),""))</f>
        <v/>
      </c>
      <c r="BJ132" s="389" t="str">
        <f t="array" ref="BJ132">IF($X132="","",SWITCH($W132,3,IFERROR(INDEX('Lớp 3 - Công việc chính'!$AR$14:$AR$73,MATCH($X132,'Lớp 3 - Công việc chính'!$I$14:$I$73,0)),""),4,IFERROR(INDEX('Lớp 4 - Danh mục'!$AU$14:$AU$132,MATCH($X132,'Lớp 4 - Danh mục'!$I$14:$I$132,0)),""),5,IFERROR(INDEX('Lớp 5 - Phân công'!$AV$14:$AV$262,MATCH($X132,'Lớp 5 - Phân công'!$I$14:$I$262,0)),""),6,IFERROR(INDEX('Lớp 6 - Chi tiết'!$AY$14:$AY$267,MATCH($X132,'Lớp 6 - Chi tiết'!$I$14:$I$267,0)),""),""))</f>
        <v/>
      </c>
    </row>
    <row r="133" ht="15.75" customHeight="1">
      <c r="A133" s="294" t="str">
        <f t="shared" si="12"/>
        <v/>
      </c>
      <c r="B133" s="301" t="str">
        <f t="shared" si="13"/>
        <v/>
      </c>
      <c r="C133" s="301" t="str">
        <f t="shared" si="14"/>
        <v/>
      </c>
      <c r="D133" s="301" t="str">
        <f t="shared" si="15"/>
        <v/>
      </c>
      <c r="E133" s="301" t="str">
        <f t="shared" si="16"/>
        <v/>
      </c>
      <c r="F133" s="317" t="str">
        <f t="shared" si="17"/>
        <v/>
      </c>
      <c r="G133" s="323" t="str">
        <f t="shared" si="18"/>
        <v/>
      </c>
      <c r="H133" s="327" t="str">
        <f t="shared" si="19"/>
        <v/>
      </c>
      <c r="I133" s="327" t="str">
        <f t="shared" si="20"/>
        <v/>
      </c>
      <c r="J133" s="301" t="str">
        <f t="shared" si="21"/>
        <v/>
      </c>
      <c r="K133" s="301" t="str">
        <f t="shared" si="22"/>
        <v/>
      </c>
      <c r="L133" s="344" t="str">
        <f t="array" ref="L133">IF($T133="","",LET(m,MATCH($T133,$AS$24:$AS$700,0),lvl,INDEX($W$24:$W$700,m),id,INDEX($X$24:$X$700,m),SWITCH(lvl,3,"Lớp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3" s="351" t="str">
        <f t="shared" si="23"/>
        <v/>
      </c>
      <c r="N133" s="356" t="str">
        <f t="shared" si="24"/>
        <v/>
      </c>
      <c r="O133" s="358"/>
      <c r="P133" s="360"/>
      <c r="Q133" s="360"/>
      <c r="R133" s="67"/>
      <c r="S133" s="67"/>
      <c r="T133" s="67"/>
      <c r="U133" s="389" t="str">
        <f>IF('Lớp 4 - Danh mục'!I63="","",'Lớp 4 - Danh mục'!J63&amp;"|"&amp;'Lớp 4 - Danh mục'!I63)</f>
        <v/>
      </c>
      <c r="V133" s="389" t="str">
        <f>IF('Lớp 4 - Danh mục'!I63="","","   ├─ "&amp;'Lớp 4 - Danh mục'!O63)</f>
        <v/>
      </c>
      <c r="W133" s="389" t="str">
        <f>IF('Lớp 4 - Danh mục'!I63="","",4)</f>
        <v/>
      </c>
      <c r="X133" s="67" t="str">
        <f>'Lớp 4 - Danh mục'!I63</f>
        <v/>
      </c>
      <c r="Y133" s="67" t="str">
        <f>'Lớp 4 - Danh mục'!J63</f>
        <v/>
      </c>
      <c r="Z133" s="67" t="str">
        <f>'Lớp 4 - Danh mục'!Z63</f>
        <v/>
      </c>
      <c r="AA133" s="67" t="str">
        <f>'Lớp 4 - Danh mục'!X63</f>
        <v/>
      </c>
      <c r="AB133" s="67" t="str">
        <f>'Lớp 4 - Danh mục'!AB63</f>
        <v/>
      </c>
      <c r="AC133" s="67" t="str">
        <f>'Lớp 4 - Danh mục'!AA63</f>
        <v/>
      </c>
      <c r="AD133" s="398" t="str">
        <f>'Lớp 4 - Danh mục'!AF63</f>
        <v/>
      </c>
      <c r="AE133" s="358" t="str">
        <f>'Lớp 4 - Danh mục'!AD63</f>
        <v/>
      </c>
      <c r="AF133" s="187" t="str">
        <f>'Lớp 4 - Danh mục'!AG63</f>
        <v/>
      </c>
      <c r="AG133" s="104" t="str">
        <f>'Lớp 4 - Danh mục'!AH63</f>
        <v/>
      </c>
      <c r="AH133" s="389" t="str">
        <f t="shared" si="27"/>
        <v/>
      </c>
      <c r="AI133" s="389" t="str">
        <f t="shared" si="37"/>
        <v>🔵 Chưa có hạn</v>
      </c>
      <c r="AJ133" s="67" t="str">
        <f>'Lớp 4 - Danh mục'!AK63</f>
        <v/>
      </c>
      <c r="AS133" s="389" t="str">
        <f t="shared" si="97"/>
        <v/>
      </c>
      <c r="AT133" s="389" t="str">
        <f t="shared" si="32"/>
        <v/>
      </c>
      <c r="AU133" s="389" t="str">
        <f t="shared" si="33"/>
        <v/>
      </c>
      <c r="AV133" s="389" t="str">
        <f t="shared" si="34"/>
        <v/>
      </c>
      <c r="AW133" s="389" t="str">
        <f t="shared" si="35"/>
        <v/>
      </c>
      <c r="AX133" s="67" t="str">
        <f t="shared" ref="AX133:BH133" si="146">Z133</f>
        <v/>
      </c>
      <c r="AY133" s="67" t="str">
        <f t="shared" si="146"/>
        <v/>
      </c>
      <c r="AZ133" s="67" t="str">
        <f t="shared" si="146"/>
        <v/>
      </c>
      <c r="BA133" s="67" t="str">
        <f t="shared" si="146"/>
        <v/>
      </c>
      <c r="BB133" s="398" t="str">
        <f t="shared" si="146"/>
        <v/>
      </c>
      <c r="BC133" s="358" t="str">
        <f t="shared" si="146"/>
        <v/>
      </c>
      <c r="BD133" s="187" t="str">
        <f t="shared" si="146"/>
        <v/>
      </c>
      <c r="BE133" s="104" t="str">
        <f t="shared" si="146"/>
        <v/>
      </c>
      <c r="BF133" s="389" t="str">
        <f t="shared" si="146"/>
        <v/>
      </c>
      <c r="BG133" s="389" t="str">
        <f t="shared" si="146"/>
        <v>🔵 Chưa có hạn</v>
      </c>
      <c r="BH133" s="67" t="str">
        <f t="shared" si="146"/>
        <v/>
      </c>
      <c r="BI133" s="389" t="str">
        <f t="array" ref="BI133">IF($X133="","",SWITCH($W133,3,IFERROR(INDEX('Lớp 3 - Công việc chính'!$AF$14:$AF$73,MATCH($X133,'Lớp 3 - Công việc chính'!$I$14:$I$73,0)),""),4,IFERROR(INDEX('Lớp 4 - Danh mục'!$AI$14:$AI$132,MATCH($X133,'Lớp 4 - Danh mục'!$I$14:$I$132,0)),""),5,IFERROR(INDEX('Lớp 5 - Phân công'!$AJ$14:$AJ$262,MATCH($X133,'Lớp 5 - Phân công'!$I$14:$I$262,0)),""),6,IFERROR(INDEX('Lớp 6 - Chi tiết'!$AM$14:$AM$267,MATCH($X133,'Lớp 6 - Chi tiết'!$I$14:$I$267,0)),""),""))</f>
        <v/>
      </c>
      <c r="BJ133" s="389" t="str">
        <f t="array" ref="BJ133">IF($X133="","",SWITCH($W133,3,IFERROR(INDEX('Lớp 3 - Công việc chính'!$AR$14:$AR$73,MATCH($X133,'Lớp 3 - Công việc chính'!$I$14:$I$73,0)),""),4,IFERROR(INDEX('Lớp 4 - Danh mục'!$AU$14:$AU$132,MATCH($X133,'Lớp 4 - Danh mục'!$I$14:$I$132,0)),""),5,IFERROR(INDEX('Lớp 5 - Phân công'!$AV$14:$AV$262,MATCH($X133,'Lớp 5 - Phân công'!$I$14:$I$262,0)),""),6,IFERROR(INDEX('Lớp 6 - Chi tiết'!$AY$14:$AY$267,MATCH($X133,'Lớp 6 - Chi tiết'!$I$14:$I$267,0)),""),""))</f>
        <v/>
      </c>
    </row>
    <row r="134" ht="15.75" customHeight="1">
      <c r="A134" s="294" t="str">
        <f t="shared" si="12"/>
        <v/>
      </c>
      <c r="B134" s="301" t="str">
        <f t="shared" si="13"/>
        <v/>
      </c>
      <c r="C134" s="301" t="str">
        <f t="shared" si="14"/>
        <v/>
      </c>
      <c r="D134" s="301" t="str">
        <f t="shared" si="15"/>
        <v/>
      </c>
      <c r="E134" s="301" t="str">
        <f t="shared" si="16"/>
        <v/>
      </c>
      <c r="F134" s="317" t="str">
        <f t="shared" si="17"/>
        <v/>
      </c>
      <c r="G134" s="323" t="str">
        <f t="shared" si="18"/>
        <v/>
      </c>
      <c r="H134" s="327" t="str">
        <f t="shared" si="19"/>
        <v/>
      </c>
      <c r="I134" s="327" t="str">
        <f t="shared" si="20"/>
        <v/>
      </c>
      <c r="J134" s="301" t="str">
        <f t="shared" si="21"/>
        <v/>
      </c>
      <c r="K134" s="301" t="str">
        <f t="shared" si="22"/>
        <v/>
      </c>
      <c r="L134" s="344" t="str">
        <f t="array" ref="L134">IF($T134="","",LET(m,MATCH($T134,$AS$24:$AS$700,0),lvl,INDEX($W$24:$W$700,m),id,INDEX($X$24:$X$700,m),SWITCH(lvl,3,"Lớp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4" s="351" t="str">
        <f t="shared" si="23"/>
        <v/>
      </c>
      <c r="N134" s="356" t="str">
        <f t="shared" si="24"/>
        <v/>
      </c>
      <c r="O134" s="358"/>
      <c r="P134" s="360"/>
      <c r="Q134" s="360"/>
      <c r="R134" s="67"/>
      <c r="S134" s="67"/>
      <c r="T134" s="67"/>
      <c r="U134" s="389" t="str">
        <f>IF('Lớp 4 - Danh mục'!I64="","",'Lớp 4 - Danh mục'!J64&amp;"|"&amp;'Lớp 4 - Danh mục'!I64)</f>
        <v/>
      </c>
      <c r="V134" s="389" t="str">
        <f>IF('Lớp 4 - Danh mục'!I64="","","   ├─ "&amp;'Lớp 4 - Danh mục'!O64)</f>
        <v/>
      </c>
      <c r="W134" s="389" t="str">
        <f>IF('Lớp 4 - Danh mục'!I64="","",4)</f>
        <v/>
      </c>
      <c r="X134" s="67" t="str">
        <f>'Lớp 4 - Danh mục'!I64</f>
        <v/>
      </c>
      <c r="Y134" s="67" t="str">
        <f>'Lớp 4 - Danh mục'!J64</f>
        <v/>
      </c>
      <c r="Z134" s="67" t="str">
        <f>'Lớp 4 - Danh mục'!Z64</f>
        <v/>
      </c>
      <c r="AA134" s="67" t="str">
        <f>'Lớp 4 - Danh mục'!X64</f>
        <v/>
      </c>
      <c r="AB134" s="67" t="str">
        <f>'Lớp 4 - Danh mục'!AB64</f>
        <v/>
      </c>
      <c r="AC134" s="67" t="str">
        <f>'Lớp 4 - Danh mục'!AA64</f>
        <v/>
      </c>
      <c r="AD134" s="398" t="str">
        <f>'Lớp 4 - Danh mục'!AF64</f>
        <v/>
      </c>
      <c r="AE134" s="358" t="str">
        <f>'Lớp 4 - Danh mục'!AD64</f>
        <v/>
      </c>
      <c r="AF134" s="187" t="str">
        <f>'Lớp 4 - Danh mục'!AG64</f>
        <v/>
      </c>
      <c r="AG134" s="104" t="str">
        <f>'Lớp 4 - Danh mục'!AH64</f>
        <v/>
      </c>
      <c r="AH134" s="389" t="str">
        <f t="shared" si="27"/>
        <v/>
      </c>
      <c r="AI134" s="389" t="str">
        <f t="shared" si="37"/>
        <v>🔵 Chưa có hạn</v>
      </c>
      <c r="AJ134" s="67" t="str">
        <f>'Lớp 4 - Danh mục'!AK64</f>
        <v/>
      </c>
      <c r="AS134" s="389" t="str">
        <f t="shared" si="97"/>
        <v/>
      </c>
      <c r="AT134" s="389" t="str">
        <f t="shared" si="32"/>
        <v/>
      </c>
      <c r="AU134" s="389" t="str">
        <f t="shared" si="33"/>
        <v/>
      </c>
      <c r="AV134" s="389" t="str">
        <f t="shared" si="34"/>
        <v/>
      </c>
      <c r="AW134" s="389" t="str">
        <f t="shared" si="35"/>
        <v/>
      </c>
      <c r="AX134" s="67" t="str">
        <f t="shared" ref="AX134:BH134" si="147">Z134</f>
        <v/>
      </c>
      <c r="AY134" s="67" t="str">
        <f t="shared" si="147"/>
        <v/>
      </c>
      <c r="AZ134" s="67" t="str">
        <f t="shared" si="147"/>
        <v/>
      </c>
      <c r="BA134" s="67" t="str">
        <f t="shared" si="147"/>
        <v/>
      </c>
      <c r="BB134" s="398" t="str">
        <f t="shared" si="147"/>
        <v/>
      </c>
      <c r="BC134" s="358" t="str">
        <f t="shared" si="147"/>
        <v/>
      </c>
      <c r="BD134" s="187" t="str">
        <f t="shared" si="147"/>
        <v/>
      </c>
      <c r="BE134" s="104" t="str">
        <f t="shared" si="147"/>
        <v/>
      </c>
      <c r="BF134" s="389" t="str">
        <f t="shared" si="147"/>
        <v/>
      </c>
      <c r="BG134" s="389" t="str">
        <f t="shared" si="147"/>
        <v>🔵 Chưa có hạn</v>
      </c>
      <c r="BH134" s="67" t="str">
        <f t="shared" si="147"/>
        <v/>
      </c>
      <c r="BI134" s="389" t="str">
        <f t="array" ref="BI134">IF($X134="","",SWITCH($W134,3,IFERROR(INDEX('Lớp 3 - Công việc chính'!$AF$14:$AF$73,MATCH($X134,'Lớp 3 - Công việc chính'!$I$14:$I$73,0)),""),4,IFERROR(INDEX('Lớp 4 - Danh mục'!$AI$14:$AI$132,MATCH($X134,'Lớp 4 - Danh mục'!$I$14:$I$132,0)),""),5,IFERROR(INDEX('Lớp 5 - Phân công'!$AJ$14:$AJ$262,MATCH($X134,'Lớp 5 - Phân công'!$I$14:$I$262,0)),""),6,IFERROR(INDEX('Lớp 6 - Chi tiết'!$AM$14:$AM$267,MATCH($X134,'Lớp 6 - Chi tiết'!$I$14:$I$267,0)),""),""))</f>
        <v/>
      </c>
      <c r="BJ134" s="389" t="str">
        <f t="array" ref="BJ134">IF($X134="","",SWITCH($W134,3,IFERROR(INDEX('Lớp 3 - Công việc chính'!$AR$14:$AR$73,MATCH($X134,'Lớp 3 - Công việc chính'!$I$14:$I$73,0)),""),4,IFERROR(INDEX('Lớp 4 - Danh mục'!$AU$14:$AU$132,MATCH($X134,'Lớp 4 - Danh mục'!$I$14:$I$132,0)),""),5,IFERROR(INDEX('Lớp 5 - Phân công'!$AV$14:$AV$262,MATCH($X134,'Lớp 5 - Phân công'!$I$14:$I$262,0)),""),6,IFERROR(INDEX('Lớp 6 - Chi tiết'!$AY$14:$AY$267,MATCH($X134,'Lớp 6 - Chi tiết'!$I$14:$I$267,0)),""),""))</f>
        <v/>
      </c>
    </row>
    <row r="135" ht="15.75" customHeight="1">
      <c r="A135" s="294" t="str">
        <f t="shared" si="12"/>
        <v/>
      </c>
      <c r="B135" s="301" t="str">
        <f t="shared" si="13"/>
        <v/>
      </c>
      <c r="C135" s="301" t="str">
        <f t="shared" si="14"/>
        <v/>
      </c>
      <c r="D135" s="301" t="str">
        <f t="shared" si="15"/>
        <v/>
      </c>
      <c r="E135" s="301" t="str">
        <f t="shared" si="16"/>
        <v/>
      </c>
      <c r="F135" s="317" t="str">
        <f t="shared" si="17"/>
        <v/>
      </c>
      <c r="G135" s="323" t="str">
        <f t="shared" si="18"/>
        <v/>
      </c>
      <c r="H135" s="327" t="str">
        <f t="shared" si="19"/>
        <v/>
      </c>
      <c r="I135" s="327" t="str">
        <f t="shared" si="20"/>
        <v/>
      </c>
      <c r="J135" s="301" t="str">
        <f t="shared" si="21"/>
        <v/>
      </c>
      <c r="K135" s="301" t="str">
        <f t="shared" si="22"/>
        <v/>
      </c>
      <c r="L135" s="344" t="str">
        <f t="array" ref="L135">IF($T135="","",LET(m,MATCH($T135,$AS$24:$AS$700,0),lvl,INDEX($W$24:$W$700,m),id,INDEX($X$24:$X$700,m),SWITCH(lvl,3,"Lớp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5" s="351" t="str">
        <f t="shared" si="23"/>
        <v/>
      </c>
      <c r="N135" s="356" t="str">
        <f t="shared" si="24"/>
        <v/>
      </c>
      <c r="O135" s="358"/>
      <c r="P135" s="360"/>
      <c r="Q135" s="360"/>
      <c r="R135" s="67"/>
      <c r="S135" s="67"/>
      <c r="T135" s="67"/>
      <c r="U135" s="389" t="str">
        <f>IF('Lớp 4 - Danh mục'!I65="","",'Lớp 4 - Danh mục'!J65&amp;"|"&amp;'Lớp 4 - Danh mục'!I65)</f>
        <v/>
      </c>
      <c r="V135" s="389" t="str">
        <f>IF('Lớp 4 - Danh mục'!I65="","","   ├─ "&amp;'Lớp 4 - Danh mục'!O65)</f>
        <v/>
      </c>
      <c r="W135" s="389" t="str">
        <f>IF('Lớp 4 - Danh mục'!I65="","",4)</f>
        <v/>
      </c>
      <c r="X135" s="67" t="str">
        <f>'Lớp 4 - Danh mục'!I65</f>
        <v/>
      </c>
      <c r="Y135" s="67" t="str">
        <f>'Lớp 4 - Danh mục'!J65</f>
        <v/>
      </c>
      <c r="Z135" s="67" t="str">
        <f>'Lớp 4 - Danh mục'!Z65</f>
        <v/>
      </c>
      <c r="AA135" s="67" t="str">
        <f>'Lớp 4 - Danh mục'!X65</f>
        <v/>
      </c>
      <c r="AB135" s="67" t="str">
        <f>'Lớp 4 - Danh mục'!AB65</f>
        <v/>
      </c>
      <c r="AC135" s="67" t="str">
        <f>'Lớp 4 - Danh mục'!AA65</f>
        <v/>
      </c>
      <c r="AD135" s="398" t="str">
        <f>'Lớp 4 - Danh mục'!AF65</f>
        <v/>
      </c>
      <c r="AE135" s="358" t="str">
        <f>'Lớp 4 - Danh mục'!AD65</f>
        <v/>
      </c>
      <c r="AF135" s="187" t="str">
        <f>'Lớp 4 - Danh mục'!AG65</f>
        <v/>
      </c>
      <c r="AG135" s="104" t="str">
        <f>'Lớp 4 - Danh mục'!AH65</f>
        <v/>
      </c>
      <c r="AH135" s="389" t="str">
        <f t="shared" si="27"/>
        <v/>
      </c>
      <c r="AI135" s="389" t="str">
        <f t="shared" si="37"/>
        <v>🔵 Chưa có hạn</v>
      </c>
      <c r="AJ135" s="67" t="str">
        <f>'Lớp 4 - Danh mục'!AK65</f>
        <v/>
      </c>
      <c r="AS135" s="389" t="str">
        <f t="shared" si="97"/>
        <v/>
      </c>
      <c r="AT135" s="389" t="str">
        <f t="shared" si="32"/>
        <v/>
      </c>
      <c r="AU135" s="389" t="str">
        <f t="shared" si="33"/>
        <v/>
      </c>
      <c r="AV135" s="389" t="str">
        <f t="shared" si="34"/>
        <v/>
      </c>
      <c r="AW135" s="389" t="str">
        <f t="shared" si="35"/>
        <v/>
      </c>
      <c r="AX135" s="67" t="str">
        <f t="shared" ref="AX135:BH135" si="148">Z135</f>
        <v/>
      </c>
      <c r="AY135" s="67" t="str">
        <f t="shared" si="148"/>
        <v/>
      </c>
      <c r="AZ135" s="67" t="str">
        <f t="shared" si="148"/>
        <v/>
      </c>
      <c r="BA135" s="67" t="str">
        <f t="shared" si="148"/>
        <v/>
      </c>
      <c r="BB135" s="398" t="str">
        <f t="shared" si="148"/>
        <v/>
      </c>
      <c r="BC135" s="358" t="str">
        <f t="shared" si="148"/>
        <v/>
      </c>
      <c r="BD135" s="187" t="str">
        <f t="shared" si="148"/>
        <v/>
      </c>
      <c r="BE135" s="104" t="str">
        <f t="shared" si="148"/>
        <v/>
      </c>
      <c r="BF135" s="389" t="str">
        <f t="shared" si="148"/>
        <v/>
      </c>
      <c r="BG135" s="389" t="str">
        <f t="shared" si="148"/>
        <v>🔵 Chưa có hạn</v>
      </c>
      <c r="BH135" s="67" t="str">
        <f t="shared" si="148"/>
        <v/>
      </c>
      <c r="BI135" s="389" t="str">
        <f t="array" ref="BI135">IF($X135="","",SWITCH($W135,3,IFERROR(INDEX('Lớp 3 - Công việc chính'!$AF$14:$AF$73,MATCH($X135,'Lớp 3 - Công việc chính'!$I$14:$I$73,0)),""),4,IFERROR(INDEX('Lớp 4 - Danh mục'!$AI$14:$AI$132,MATCH($X135,'Lớp 4 - Danh mục'!$I$14:$I$132,0)),""),5,IFERROR(INDEX('Lớp 5 - Phân công'!$AJ$14:$AJ$262,MATCH($X135,'Lớp 5 - Phân công'!$I$14:$I$262,0)),""),6,IFERROR(INDEX('Lớp 6 - Chi tiết'!$AM$14:$AM$267,MATCH($X135,'Lớp 6 - Chi tiết'!$I$14:$I$267,0)),""),""))</f>
        <v/>
      </c>
      <c r="BJ135" s="389" t="str">
        <f t="array" ref="BJ135">IF($X135="","",SWITCH($W135,3,IFERROR(INDEX('Lớp 3 - Công việc chính'!$AR$14:$AR$73,MATCH($X135,'Lớp 3 - Công việc chính'!$I$14:$I$73,0)),""),4,IFERROR(INDEX('Lớp 4 - Danh mục'!$AU$14:$AU$132,MATCH($X135,'Lớp 4 - Danh mục'!$I$14:$I$132,0)),""),5,IFERROR(INDEX('Lớp 5 - Phân công'!$AV$14:$AV$262,MATCH($X135,'Lớp 5 - Phân công'!$I$14:$I$262,0)),""),6,IFERROR(INDEX('Lớp 6 - Chi tiết'!$AY$14:$AY$267,MATCH($X135,'Lớp 6 - Chi tiết'!$I$14:$I$267,0)),""),""))</f>
        <v/>
      </c>
    </row>
    <row r="136" ht="15.75" customHeight="1">
      <c r="A136" s="294" t="str">
        <f t="shared" si="12"/>
        <v/>
      </c>
      <c r="B136" s="301" t="str">
        <f t="shared" si="13"/>
        <v/>
      </c>
      <c r="C136" s="301" t="str">
        <f t="shared" si="14"/>
        <v/>
      </c>
      <c r="D136" s="301" t="str">
        <f t="shared" si="15"/>
        <v/>
      </c>
      <c r="E136" s="301" t="str">
        <f t="shared" si="16"/>
        <v/>
      </c>
      <c r="F136" s="317" t="str">
        <f t="shared" si="17"/>
        <v/>
      </c>
      <c r="G136" s="323" t="str">
        <f t="shared" si="18"/>
        <v/>
      </c>
      <c r="H136" s="327" t="str">
        <f t="shared" si="19"/>
        <v/>
      </c>
      <c r="I136" s="327" t="str">
        <f t="shared" si="20"/>
        <v/>
      </c>
      <c r="J136" s="301" t="str">
        <f t="shared" si="21"/>
        <v/>
      </c>
      <c r="K136" s="301" t="str">
        <f t="shared" si="22"/>
        <v/>
      </c>
      <c r="L136" s="344" t="str">
        <f t="array" ref="L136">IF($T136="","",LET(m,MATCH($T136,$AS$24:$AS$700,0),lvl,INDEX($W$24:$W$700,m),id,INDEX($X$24:$X$700,m),SWITCH(lvl,3,"Lớp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6" s="351" t="str">
        <f t="shared" si="23"/>
        <v/>
      </c>
      <c r="N136" s="356" t="str">
        <f t="shared" si="24"/>
        <v/>
      </c>
      <c r="O136" s="358"/>
      <c r="P136" s="360"/>
      <c r="Q136" s="360"/>
      <c r="R136" s="67"/>
      <c r="S136" s="67"/>
      <c r="T136" s="67"/>
      <c r="U136" s="389" t="str">
        <f>IF('Lớp 4 - Danh mục'!I66="","",'Lớp 4 - Danh mục'!J66&amp;"|"&amp;'Lớp 4 - Danh mục'!I66)</f>
        <v/>
      </c>
      <c r="V136" s="389" t="str">
        <f>IF('Lớp 4 - Danh mục'!I66="","","   ├─ "&amp;'Lớp 4 - Danh mục'!O66)</f>
        <v/>
      </c>
      <c r="W136" s="389" t="str">
        <f>IF('Lớp 4 - Danh mục'!I66="","",4)</f>
        <v/>
      </c>
      <c r="X136" s="67" t="str">
        <f>'Lớp 4 - Danh mục'!I66</f>
        <v/>
      </c>
      <c r="Y136" s="67" t="str">
        <f>'Lớp 4 - Danh mục'!J66</f>
        <v/>
      </c>
      <c r="Z136" s="67" t="str">
        <f>'Lớp 4 - Danh mục'!Z66</f>
        <v/>
      </c>
      <c r="AA136" s="67" t="str">
        <f>'Lớp 4 - Danh mục'!X66</f>
        <v/>
      </c>
      <c r="AB136" s="67" t="str">
        <f>'Lớp 4 - Danh mục'!AB66</f>
        <v/>
      </c>
      <c r="AC136" s="67" t="str">
        <f>'Lớp 4 - Danh mục'!AA66</f>
        <v/>
      </c>
      <c r="AD136" s="398" t="str">
        <f>'Lớp 4 - Danh mục'!AF66</f>
        <v/>
      </c>
      <c r="AE136" s="358" t="str">
        <f>'Lớp 4 - Danh mục'!AD66</f>
        <v/>
      </c>
      <c r="AF136" s="187" t="str">
        <f>'Lớp 4 - Danh mục'!AG66</f>
        <v/>
      </c>
      <c r="AG136" s="104" t="str">
        <f>'Lớp 4 - Danh mục'!AH66</f>
        <v/>
      </c>
      <c r="AH136" s="389" t="str">
        <f t="shared" si="27"/>
        <v/>
      </c>
      <c r="AI136" s="389" t="str">
        <f t="shared" si="37"/>
        <v>🔵 Chưa có hạn</v>
      </c>
      <c r="AJ136" s="67" t="str">
        <f>'Lớp 4 - Danh mục'!AK66</f>
        <v/>
      </c>
      <c r="AS136" s="389" t="str">
        <f t="shared" si="97"/>
        <v/>
      </c>
      <c r="AT136" s="389" t="str">
        <f t="shared" si="32"/>
        <v/>
      </c>
      <c r="AU136" s="389" t="str">
        <f t="shared" si="33"/>
        <v/>
      </c>
      <c r="AV136" s="389" t="str">
        <f t="shared" si="34"/>
        <v/>
      </c>
      <c r="AW136" s="389" t="str">
        <f t="shared" si="35"/>
        <v/>
      </c>
      <c r="AX136" s="67" t="str">
        <f t="shared" ref="AX136:BH136" si="149">Z136</f>
        <v/>
      </c>
      <c r="AY136" s="67" t="str">
        <f t="shared" si="149"/>
        <v/>
      </c>
      <c r="AZ136" s="67" t="str">
        <f t="shared" si="149"/>
        <v/>
      </c>
      <c r="BA136" s="67" t="str">
        <f t="shared" si="149"/>
        <v/>
      </c>
      <c r="BB136" s="398" t="str">
        <f t="shared" si="149"/>
        <v/>
      </c>
      <c r="BC136" s="358" t="str">
        <f t="shared" si="149"/>
        <v/>
      </c>
      <c r="BD136" s="187" t="str">
        <f t="shared" si="149"/>
        <v/>
      </c>
      <c r="BE136" s="104" t="str">
        <f t="shared" si="149"/>
        <v/>
      </c>
      <c r="BF136" s="389" t="str">
        <f t="shared" si="149"/>
        <v/>
      </c>
      <c r="BG136" s="389" t="str">
        <f t="shared" si="149"/>
        <v>🔵 Chưa có hạn</v>
      </c>
      <c r="BH136" s="67" t="str">
        <f t="shared" si="149"/>
        <v/>
      </c>
      <c r="BI136" s="389" t="str">
        <f t="array" ref="BI136">IF($X136="","",SWITCH($W136,3,IFERROR(INDEX('Lớp 3 - Công việc chính'!$AF$14:$AF$73,MATCH($X136,'Lớp 3 - Công việc chính'!$I$14:$I$73,0)),""),4,IFERROR(INDEX('Lớp 4 - Danh mục'!$AI$14:$AI$132,MATCH($X136,'Lớp 4 - Danh mục'!$I$14:$I$132,0)),""),5,IFERROR(INDEX('Lớp 5 - Phân công'!$AJ$14:$AJ$262,MATCH($X136,'Lớp 5 - Phân công'!$I$14:$I$262,0)),""),6,IFERROR(INDEX('Lớp 6 - Chi tiết'!$AM$14:$AM$267,MATCH($X136,'Lớp 6 - Chi tiết'!$I$14:$I$267,0)),""),""))</f>
        <v/>
      </c>
      <c r="BJ136" s="389" t="str">
        <f t="array" ref="BJ136">IF($X136="","",SWITCH($W136,3,IFERROR(INDEX('Lớp 3 - Công việc chính'!$AR$14:$AR$73,MATCH($X136,'Lớp 3 - Công việc chính'!$I$14:$I$73,0)),""),4,IFERROR(INDEX('Lớp 4 - Danh mục'!$AU$14:$AU$132,MATCH($X136,'Lớp 4 - Danh mục'!$I$14:$I$132,0)),""),5,IFERROR(INDEX('Lớp 5 - Phân công'!$AV$14:$AV$262,MATCH($X136,'Lớp 5 - Phân công'!$I$14:$I$262,0)),""),6,IFERROR(INDEX('Lớp 6 - Chi tiết'!$AY$14:$AY$267,MATCH($X136,'Lớp 6 - Chi tiết'!$I$14:$I$267,0)),""),""))</f>
        <v/>
      </c>
    </row>
    <row r="137" ht="15.75" customHeight="1">
      <c r="A137" s="294" t="str">
        <f t="shared" si="12"/>
        <v/>
      </c>
      <c r="B137" s="301" t="str">
        <f t="shared" si="13"/>
        <v/>
      </c>
      <c r="C137" s="301" t="str">
        <f t="shared" si="14"/>
        <v/>
      </c>
      <c r="D137" s="301" t="str">
        <f t="shared" si="15"/>
        <v/>
      </c>
      <c r="E137" s="301" t="str">
        <f t="shared" si="16"/>
        <v/>
      </c>
      <c r="F137" s="317" t="str">
        <f t="shared" si="17"/>
        <v/>
      </c>
      <c r="G137" s="323" t="str">
        <f t="shared" si="18"/>
        <v/>
      </c>
      <c r="H137" s="327" t="str">
        <f t="shared" si="19"/>
        <v/>
      </c>
      <c r="I137" s="327" t="str">
        <f t="shared" si="20"/>
        <v/>
      </c>
      <c r="J137" s="301" t="str">
        <f t="shared" si="21"/>
        <v/>
      </c>
      <c r="K137" s="301" t="str">
        <f t="shared" si="22"/>
        <v/>
      </c>
      <c r="L137" s="344" t="str">
        <f t="array" ref="L137">IF($T137="","",LET(m,MATCH($T137,$AS$24:$AS$700,0),lvl,INDEX($W$24:$W$700,m),id,INDEX($X$24:$X$700,m),SWITCH(lvl,3,"Lớp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7" s="351" t="str">
        <f t="shared" si="23"/>
        <v/>
      </c>
      <c r="N137" s="356" t="str">
        <f t="shared" si="24"/>
        <v/>
      </c>
      <c r="O137" s="358"/>
      <c r="P137" s="360"/>
      <c r="Q137" s="360"/>
      <c r="R137" s="67"/>
      <c r="S137" s="67"/>
      <c r="T137" s="67"/>
      <c r="U137" s="389" t="str">
        <f>IF('Lớp 4 - Danh mục'!I67="","",'Lớp 4 - Danh mục'!J67&amp;"|"&amp;'Lớp 4 - Danh mục'!I67)</f>
        <v/>
      </c>
      <c r="V137" s="389" t="str">
        <f>IF('Lớp 4 - Danh mục'!I67="","","   ├─ "&amp;'Lớp 4 - Danh mục'!O67)</f>
        <v/>
      </c>
      <c r="W137" s="389" t="str">
        <f>IF('Lớp 4 - Danh mục'!I67="","",4)</f>
        <v/>
      </c>
      <c r="X137" s="67" t="str">
        <f>'Lớp 4 - Danh mục'!I67</f>
        <v/>
      </c>
      <c r="Y137" s="67" t="str">
        <f>'Lớp 4 - Danh mục'!J67</f>
        <v/>
      </c>
      <c r="Z137" s="67" t="str">
        <f>'Lớp 4 - Danh mục'!Z67</f>
        <v/>
      </c>
      <c r="AA137" s="67" t="str">
        <f>'Lớp 4 - Danh mục'!X67</f>
        <v/>
      </c>
      <c r="AB137" s="67" t="str">
        <f>'Lớp 4 - Danh mục'!AB67</f>
        <v/>
      </c>
      <c r="AC137" s="67" t="str">
        <f>'Lớp 4 - Danh mục'!AA67</f>
        <v/>
      </c>
      <c r="AD137" s="398" t="str">
        <f>'Lớp 4 - Danh mục'!AF67</f>
        <v/>
      </c>
      <c r="AE137" s="358" t="str">
        <f>'Lớp 4 - Danh mục'!AD67</f>
        <v/>
      </c>
      <c r="AF137" s="187" t="str">
        <f>'Lớp 4 - Danh mục'!AG67</f>
        <v/>
      </c>
      <c r="AG137" s="104" t="str">
        <f>'Lớp 4 - Danh mục'!AH67</f>
        <v/>
      </c>
      <c r="AH137" s="389" t="str">
        <f t="shared" si="27"/>
        <v/>
      </c>
      <c r="AI137" s="389" t="str">
        <f t="shared" si="37"/>
        <v>🔵 Chưa có hạn</v>
      </c>
      <c r="AJ137" s="67" t="str">
        <f>'Lớp 4 - Danh mục'!AK67</f>
        <v/>
      </c>
      <c r="AS137" s="389" t="str">
        <f t="shared" si="97"/>
        <v/>
      </c>
      <c r="AT137" s="389" t="str">
        <f t="shared" si="32"/>
        <v/>
      </c>
      <c r="AU137" s="389" t="str">
        <f t="shared" si="33"/>
        <v/>
      </c>
      <c r="AV137" s="389" t="str">
        <f t="shared" si="34"/>
        <v/>
      </c>
      <c r="AW137" s="389" t="str">
        <f t="shared" si="35"/>
        <v/>
      </c>
      <c r="AX137" s="67" t="str">
        <f t="shared" ref="AX137:BH137" si="150">Z137</f>
        <v/>
      </c>
      <c r="AY137" s="67" t="str">
        <f t="shared" si="150"/>
        <v/>
      </c>
      <c r="AZ137" s="67" t="str">
        <f t="shared" si="150"/>
        <v/>
      </c>
      <c r="BA137" s="67" t="str">
        <f t="shared" si="150"/>
        <v/>
      </c>
      <c r="BB137" s="398" t="str">
        <f t="shared" si="150"/>
        <v/>
      </c>
      <c r="BC137" s="358" t="str">
        <f t="shared" si="150"/>
        <v/>
      </c>
      <c r="BD137" s="187" t="str">
        <f t="shared" si="150"/>
        <v/>
      </c>
      <c r="BE137" s="104" t="str">
        <f t="shared" si="150"/>
        <v/>
      </c>
      <c r="BF137" s="389" t="str">
        <f t="shared" si="150"/>
        <v/>
      </c>
      <c r="BG137" s="389" t="str">
        <f t="shared" si="150"/>
        <v>🔵 Chưa có hạn</v>
      </c>
      <c r="BH137" s="67" t="str">
        <f t="shared" si="150"/>
        <v/>
      </c>
      <c r="BI137" s="389" t="str">
        <f t="array" ref="BI137">IF($X137="","",SWITCH($W137,3,IFERROR(INDEX('Lớp 3 - Công việc chính'!$AF$14:$AF$73,MATCH($X137,'Lớp 3 - Công việc chính'!$I$14:$I$73,0)),""),4,IFERROR(INDEX('Lớp 4 - Danh mục'!$AI$14:$AI$132,MATCH($X137,'Lớp 4 - Danh mục'!$I$14:$I$132,0)),""),5,IFERROR(INDEX('Lớp 5 - Phân công'!$AJ$14:$AJ$262,MATCH($X137,'Lớp 5 - Phân công'!$I$14:$I$262,0)),""),6,IFERROR(INDEX('Lớp 6 - Chi tiết'!$AM$14:$AM$267,MATCH($X137,'Lớp 6 - Chi tiết'!$I$14:$I$267,0)),""),""))</f>
        <v/>
      </c>
      <c r="BJ137" s="389" t="str">
        <f t="array" ref="BJ137">IF($X137="","",SWITCH($W137,3,IFERROR(INDEX('Lớp 3 - Công việc chính'!$AR$14:$AR$73,MATCH($X137,'Lớp 3 - Công việc chính'!$I$14:$I$73,0)),""),4,IFERROR(INDEX('Lớp 4 - Danh mục'!$AU$14:$AU$132,MATCH($X137,'Lớp 4 - Danh mục'!$I$14:$I$132,0)),""),5,IFERROR(INDEX('Lớp 5 - Phân công'!$AV$14:$AV$262,MATCH($X137,'Lớp 5 - Phân công'!$I$14:$I$262,0)),""),6,IFERROR(INDEX('Lớp 6 - Chi tiết'!$AY$14:$AY$267,MATCH($X137,'Lớp 6 - Chi tiết'!$I$14:$I$267,0)),""),""))</f>
        <v/>
      </c>
    </row>
    <row r="138" ht="15.75" customHeight="1">
      <c r="A138" s="294" t="str">
        <f t="shared" si="12"/>
        <v/>
      </c>
      <c r="B138" s="301" t="str">
        <f t="shared" si="13"/>
        <v/>
      </c>
      <c r="C138" s="301" t="str">
        <f t="shared" si="14"/>
        <v/>
      </c>
      <c r="D138" s="301" t="str">
        <f t="shared" si="15"/>
        <v/>
      </c>
      <c r="E138" s="301" t="str">
        <f t="shared" si="16"/>
        <v/>
      </c>
      <c r="F138" s="317" t="str">
        <f t="shared" si="17"/>
        <v/>
      </c>
      <c r="G138" s="323" t="str">
        <f t="shared" si="18"/>
        <v/>
      </c>
      <c r="H138" s="327" t="str">
        <f t="shared" si="19"/>
        <v/>
      </c>
      <c r="I138" s="327" t="str">
        <f t="shared" si="20"/>
        <v/>
      </c>
      <c r="J138" s="301" t="str">
        <f t="shared" si="21"/>
        <v/>
      </c>
      <c r="K138" s="301" t="str">
        <f t="shared" si="22"/>
        <v/>
      </c>
      <c r="L138" s="344" t="str">
        <f t="array" ref="L138">IF($T138="","",LET(m,MATCH($T138,$AS$24:$AS$700,0),lvl,INDEX($W$24:$W$700,m),id,INDEX($X$24:$X$700,m),SWITCH(lvl,3,"Lớp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8" s="351" t="str">
        <f t="shared" si="23"/>
        <v/>
      </c>
      <c r="N138" s="356" t="str">
        <f t="shared" si="24"/>
        <v/>
      </c>
      <c r="O138" s="358"/>
      <c r="P138" s="360"/>
      <c r="Q138" s="360"/>
      <c r="R138" s="67"/>
      <c r="S138" s="67"/>
      <c r="T138" s="67"/>
      <c r="U138" s="389" t="str">
        <f>IF('Lớp 4 - Danh mục'!I68="","",'Lớp 4 - Danh mục'!J68&amp;"|"&amp;'Lớp 4 - Danh mục'!I68)</f>
        <v/>
      </c>
      <c r="V138" s="389" t="str">
        <f>IF('Lớp 4 - Danh mục'!I68="","","   ├─ "&amp;'Lớp 4 - Danh mục'!O68)</f>
        <v/>
      </c>
      <c r="W138" s="389" t="str">
        <f>IF('Lớp 4 - Danh mục'!I68="","",4)</f>
        <v/>
      </c>
      <c r="X138" s="67" t="str">
        <f>'Lớp 4 - Danh mục'!I68</f>
        <v/>
      </c>
      <c r="Y138" s="67" t="str">
        <f>'Lớp 4 - Danh mục'!J68</f>
        <v/>
      </c>
      <c r="Z138" s="67" t="str">
        <f>'Lớp 4 - Danh mục'!Z68</f>
        <v/>
      </c>
      <c r="AA138" s="67" t="str">
        <f>'Lớp 4 - Danh mục'!X68</f>
        <v/>
      </c>
      <c r="AB138" s="67" t="str">
        <f>'Lớp 4 - Danh mục'!AB68</f>
        <v/>
      </c>
      <c r="AC138" s="67" t="str">
        <f>'Lớp 4 - Danh mục'!AA68</f>
        <v/>
      </c>
      <c r="AD138" s="398" t="str">
        <f>'Lớp 4 - Danh mục'!AF68</f>
        <v/>
      </c>
      <c r="AE138" s="358" t="str">
        <f>'Lớp 4 - Danh mục'!AD68</f>
        <v/>
      </c>
      <c r="AF138" s="187" t="str">
        <f>'Lớp 4 - Danh mục'!AG68</f>
        <v/>
      </c>
      <c r="AG138" s="104" t="str">
        <f>'Lớp 4 - Danh mục'!AH68</f>
        <v/>
      </c>
      <c r="AH138" s="389" t="str">
        <f t="shared" si="27"/>
        <v/>
      </c>
      <c r="AI138" s="389" t="str">
        <f t="shared" si="37"/>
        <v>🔵 Chưa có hạn</v>
      </c>
      <c r="AJ138" s="67" t="str">
        <f>'Lớp 4 - Danh mục'!AK68</f>
        <v/>
      </c>
      <c r="AS138" s="389" t="str">
        <f t="shared" si="97"/>
        <v/>
      </c>
      <c r="AT138" s="389" t="str">
        <f t="shared" si="32"/>
        <v/>
      </c>
      <c r="AU138" s="389" t="str">
        <f t="shared" si="33"/>
        <v/>
      </c>
      <c r="AV138" s="389" t="str">
        <f t="shared" si="34"/>
        <v/>
      </c>
      <c r="AW138" s="389" t="str">
        <f t="shared" si="35"/>
        <v/>
      </c>
      <c r="AX138" s="67" t="str">
        <f t="shared" ref="AX138:BH138" si="151">Z138</f>
        <v/>
      </c>
      <c r="AY138" s="67" t="str">
        <f t="shared" si="151"/>
        <v/>
      </c>
      <c r="AZ138" s="67" t="str">
        <f t="shared" si="151"/>
        <v/>
      </c>
      <c r="BA138" s="67" t="str">
        <f t="shared" si="151"/>
        <v/>
      </c>
      <c r="BB138" s="398" t="str">
        <f t="shared" si="151"/>
        <v/>
      </c>
      <c r="BC138" s="358" t="str">
        <f t="shared" si="151"/>
        <v/>
      </c>
      <c r="BD138" s="187" t="str">
        <f t="shared" si="151"/>
        <v/>
      </c>
      <c r="BE138" s="104" t="str">
        <f t="shared" si="151"/>
        <v/>
      </c>
      <c r="BF138" s="389" t="str">
        <f t="shared" si="151"/>
        <v/>
      </c>
      <c r="BG138" s="389" t="str">
        <f t="shared" si="151"/>
        <v>🔵 Chưa có hạn</v>
      </c>
      <c r="BH138" s="67" t="str">
        <f t="shared" si="151"/>
        <v/>
      </c>
      <c r="BI138" s="389" t="str">
        <f t="array" ref="BI138">IF($X138="","",SWITCH($W138,3,IFERROR(INDEX('Lớp 3 - Công việc chính'!$AF$14:$AF$73,MATCH($X138,'Lớp 3 - Công việc chính'!$I$14:$I$73,0)),""),4,IFERROR(INDEX('Lớp 4 - Danh mục'!$AI$14:$AI$132,MATCH($X138,'Lớp 4 - Danh mục'!$I$14:$I$132,0)),""),5,IFERROR(INDEX('Lớp 5 - Phân công'!$AJ$14:$AJ$262,MATCH($X138,'Lớp 5 - Phân công'!$I$14:$I$262,0)),""),6,IFERROR(INDEX('Lớp 6 - Chi tiết'!$AM$14:$AM$267,MATCH($X138,'Lớp 6 - Chi tiết'!$I$14:$I$267,0)),""),""))</f>
        <v/>
      </c>
      <c r="BJ138" s="389" t="str">
        <f t="array" ref="BJ138">IF($X138="","",SWITCH($W138,3,IFERROR(INDEX('Lớp 3 - Công việc chính'!$AR$14:$AR$73,MATCH($X138,'Lớp 3 - Công việc chính'!$I$14:$I$73,0)),""),4,IFERROR(INDEX('Lớp 4 - Danh mục'!$AU$14:$AU$132,MATCH($X138,'Lớp 4 - Danh mục'!$I$14:$I$132,0)),""),5,IFERROR(INDEX('Lớp 5 - Phân công'!$AV$14:$AV$262,MATCH($X138,'Lớp 5 - Phân công'!$I$14:$I$262,0)),""),6,IFERROR(INDEX('Lớp 6 - Chi tiết'!$AY$14:$AY$267,MATCH($X138,'Lớp 6 - Chi tiết'!$I$14:$I$267,0)),""),""))</f>
        <v/>
      </c>
    </row>
    <row r="139" ht="15.75" customHeight="1">
      <c r="A139" s="294" t="str">
        <f t="shared" si="12"/>
        <v/>
      </c>
      <c r="B139" s="301" t="str">
        <f t="shared" si="13"/>
        <v/>
      </c>
      <c r="C139" s="301" t="str">
        <f t="shared" si="14"/>
        <v/>
      </c>
      <c r="D139" s="301" t="str">
        <f t="shared" si="15"/>
        <v/>
      </c>
      <c r="E139" s="301" t="str">
        <f t="shared" si="16"/>
        <v/>
      </c>
      <c r="F139" s="317" t="str">
        <f t="shared" si="17"/>
        <v/>
      </c>
      <c r="G139" s="323" t="str">
        <f t="shared" si="18"/>
        <v/>
      </c>
      <c r="H139" s="327" t="str">
        <f t="shared" si="19"/>
        <v/>
      </c>
      <c r="I139" s="327" t="str">
        <f t="shared" si="20"/>
        <v/>
      </c>
      <c r="J139" s="301" t="str">
        <f t="shared" si="21"/>
        <v/>
      </c>
      <c r="K139" s="301" t="str">
        <f t="shared" si="22"/>
        <v/>
      </c>
      <c r="L139" s="344" t="str">
        <f t="array" ref="L139">IF($T139="","",LET(m,MATCH($T139,$AS$24:$AS$700,0),lvl,INDEX($W$24:$W$700,m),id,INDEX($X$24:$X$700,m),SWITCH(lvl,3,"Lớp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39" s="351" t="str">
        <f t="shared" si="23"/>
        <v/>
      </c>
      <c r="N139" s="356" t="str">
        <f t="shared" si="24"/>
        <v/>
      </c>
      <c r="O139" s="358"/>
      <c r="P139" s="360"/>
      <c r="Q139" s="360"/>
      <c r="R139" s="67"/>
      <c r="S139" s="67"/>
      <c r="T139" s="67"/>
      <c r="U139" s="389" t="str">
        <f>IF('Lớp 4 - Danh mục'!I69="","",'Lớp 4 - Danh mục'!J69&amp;"|"&amp;'Lớp 4 - Danh mục'!I69)</f>
        <v/>
      </c>
      <c r="V139" s="389" t="str">
        <f>IF('Lớp 4 - Danh mục'!I69="","","   ├─ "&amp;'Lớp 4 - Danh mục'!O69)</f>
        <v/>
      </c>
      <c r="W139" s="389" t="str">
        <f>IF('Lớp 4 - Danh mục'!I69="","",4)</f>
        <v/>
      </c>
      <c r="X139" s="67" t="str">
        <f>'Lớp 4 - Danh mục'!I69</f>
        <v/>
      </c>
      <c r="Y139" s="67" t="str">
        <f>'Lớp 4 - Danh mục'!J69</f>
        <v/>
      </c>
      <c r="Z139" s="67" t="str">
        <f>'Lớp 4 - Danh mục'!Z69</f>
        <v/>
      </c>
      <c r="AA139" s="67" t="str">
        <f>'Lớp 4 - Danh mục'!X69</f>
        <v/>
      </c>
      <c r="AB139" s="67" t="str">
        <f>'Lớp 4 - Danh mục'!AB69</f>
        <v/>
      </c>
      <c r="AC139" s="67" t="str">
        <f>'Lớp 4 - Danh mục'!AA69</f>
        <v/>
      </c>
      <c r="AD139" s="398" t="str">
        <f>'Lớp 4 - Danh mục'!AF69</f>
        <v/>
      </c>
      <c r="AE139" s="358" t="str">
        <f>'Lớp 4 - Danh mục'!AD69</f>
        <v/>
      </c>
      <c r="AF139" s="187" t="str">
        <f>'Lớp 4 - Danh mục'!AG69</f>
        <v/>
      </c>
      <c r="AG139" s="104" t="str">
        <f>'Lớp 4 - Danh mục'!AH69</f>
        <v/>
      </c>
      <c r="AH139" s="389" t="str">
        <f t="shared" si="27"/>
        <v/>
      </c>
      <c r="AI139" s="389" t="str">
        <f t="shared" si="37"/>
        <v>🔵 Chưa có hạn</v>
      </c>
      <c r="AJ139" s="67" t="str">
        <f>'Lớp 4 - Danh mục'!AK69</f>
        <v/>
      </c>
      <c r="AS139" s="389" t="str">
        <f t="shared" si="97"/>
        <v/>
      </c>
      <c r="AT139" s="389" t="str">
        <f t="shared" si="32"/>
        <v/>
      </c>
      <c r="AU139" s="389" t="str">
        <f t="shared" si="33"/>
        <v/>
      </c>
      <c r="AV139" s="389" t="str">
        <f t="shared" si="34"/>
        <v/>
      </c>
      <c r="AW139" s="389" t="str">
        <f t="shared" si="35"/>
        <v/>
      </c>
      <c r="AX139" s="67" t="str">
        <f t="shared" ref="AX139:BH139" si="152">Z139</f>
        <v/>
      </c>
      <c r="AY139" s="67" t="str">
        <f t="shared" si="152"/>
        <v/>
      </c>
      <c r="AZ139" s="67" t="str">
        <f t="shared" si="152"/>
        <v/>
      </c>
      <c r="BA139" s="67" t="str">
        <f t="shared" si="152"/>
        <v/>
      </c>
      <c r="BB139" s="398" t="str">
        <f t="shared" si="152"/>
        <v/>
      </c>
      <c r="BC139" s="358" t="str">
        <f t="shared" si="152"/>
        <v/>
      </c>
      <c r="BD139" s="187" t="str">
        <f t="shared" si="152"/>
        <v/>
      </c>
      <c r="BE139" s="104" t="str">
        <f t="shared" si="152"/>
        <v/>
      </c>
      <c r="BF139" s="389" t="str">
        <f t="shared" si="152"/>
        <v/>
      </c>
      <c r="BG139" s="389" t="str">
        <f t="shared" si="152"/>
        <v>🔵 Chưa có hạn</v>
      </c>
      <c r="BH139" s="67" t="str">
        <f t="shared" si="152"/>
        <v/>
      </c>
      <c r="BI139" s="389" t="str">
        <f t="array" ref="BI139">IF($X139="","",SWITCH($W139,3,IFERROR(INDEX('Lớp 3 - Công việc chính'!$AF$14:$AF$73,MATCH($X139,'Lớp 3 - Công việc chính'!$I$14:$I$73,0)),""),4,IFERROR(INDEX('Lớp 4 - Danh mục'!$AI$14:$AI$132,MATCH($X139,'Lớp 4 - Danh mục'!$I$14:$I$132,0)),""),5,IFERROR(INDEX('Lớp 5 - Phân công'!$AJ$14:$AJ$262,MATCH($X139,'Lớp 5 - Phân công'!$I$14:$I$262,0)),""),6,IFERROR(INDEX('Lớp 6 - Chi tiết'!$AM$14:$AM$267,MATCH($X139,'Lớp 6 - Chi tiết'!$I$14:$I$267,0)),""),""))</f>
        <v/>
      </c>
      <c r="BJ139" s="389" t="str">
        <f t="array" ref="BJ139">IF($X139="","",SWITCH($W139,3,IFERROR(INDEX('Lớp 3 - Công việc chính'!$AR$14:$AR$73,MATCH($X139,'Lớp 3 - Công việc chính'!$I$14:$I$73,0)),""),4,IFERROR(INDEX('Lớp 4 - Danh mục'!$AU$14:$AU$132,MATCH($X139,'Lớp 4 - Danh mục'!$I$14:$I$132,0)),""),5,IFERROR(INDEX('Lớp 5 - Phân công'!$AV$14:$AV$262,MATCH($X139,'Lớp 5 - Phân công'!$I$14:$I$262,0)),""),6,IFERROR(INDEX('Lớp 6 - Chi tiết'!$AY$14:$AY$267,MATCH($X139,'Lớp 6 - Chi tiết'!$I$14:$I$267,0)),""),""))</f>
        <v/>
      </c>
    </row>
    <row r="140" ht="15.75" customHeight="1">
      <c r="A140" s="294" t="str">
        <f t="shared" si="12"/>
        <v/>
      </c>
      <c r="B140" s="301" t="str">
        <f t="shared" si="13"/>
        <v/>
      </c>
      <c r="C140" s="301" t="str">
        <f t="shared" si="14"/>
        <v/>
      </c>
      <c r="D140" s="301" t="str">
        <f t="shared" si="15"/>
        <v/>
      </c>
      <c r="E140" s="301" t="str">
        <f t="shared" si="16"/>
        <v/>
      </c>
      <c r="F140" s="317" t="str">
        <f t="shared" si="17"/>
        <v/>
      </c>
      <c r="G140" s="323" t="str">
        <f t="shared" si="18"/>
        <v/>
      </c>
      <c r="H140" s="327" t="str">
        <f t="shared" si="19"/>
        <v/>
      </c>
      <c r="I140" s="327" t="str">
        <f t="shared" si="20"/>
        <v/>
      </c>
      <c r="J140" s="301" t="str">
        <f t="shared" si="21"/>
        <v/>
      </c>
      <c r="K140" s="301" t="str">
        <f t="shared" si="22"/>
        <v/>
      </c>
      <c r="L140" s="344" t="str">
        <f t="array" ref="L140">IF($T140="","",LET(m,MATCH($T140,$AS$24:$AS$700,0),lvl,INDEX($W$24:$W$700,m),id,INDEX($X$24:$X$700,m),SWITCH(lvl,3,"Lớp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0" s="351" t="str">
        <f t="shared" si="23"/>
        <v/>
      </c>
      <c r="N140" s="356" t="str">
        <f t="shared" si="24"/>
        <v/>
      </c>
      <c r="O140" s="358"/>
      <c r="P140" s="360"/>
      <c r="Q140" s="360"/>
      <c r="R140" s="67"/>
      <c r="S140" s="67"/>
      <c r="T140" s="67"/>
      <c r="U140" s="389" t="str">
        <f>IF('Lớp 4 - Danh mục'!I70="","",'Lớp 4 - Danh mục'!J70&amp;"|"&amp;'Lớp 4 - Danh mục'!I70)</f>
        <v/>
      </c>
      <c r="V140" s="389" t="str">
        <f>IF('Lớp 4 - Danh mục'!I70="","","   ├─ "&amp;'Lớp 4 - Danh mục'!O70)</f>
        <v/>
      </c>
      <c r="W140" s="389" t="str">
        <f>IF('Lớp 4 - Danh mục'!I70="","",4)</f>
        <v/>
      </c>
      <c r="X140" s="67" t="str">
        <f>'Lớp 4 - Danh mục'!I70</f>
        <v/>
      </c>
      <c r="Y140" s="67" t="str">
        <f>'Lớp 4 - Danh mục'!J70</f>
        <v/>
      </c>
      <c r="Z140" s="67" t="str">
        <f>'Lớp 4 - Danh mục'!Z70</f>
        <v/>
      </c>
      <c r="AA140" s="67" t="str">
        <f>'Lớp 4 - Danh mục'!X70</f>
        <v/>
      </c>
      <c r="AB140" s="67" t="str">
        <f>'Lớp 4 - Danh mục'!AB70</f>
        <v/>
      </c>
      <c r="AC140" s="67" t="str">
        <f>'Lớp 4 - Danh mục'!AA70</f>
        <v/>
      </c>
      <c r="AD140" s="398" t="str">
        <f>'Lớp 4 - Danh mục'!AF70</f>
        <v/>
      </c>
      <c r="AE140" s="358" t="str">
        <f>'Lớp 4 - Danh mục'!AD70</f>
        <v/>
      </c>
      <c r="AF140" s="187" t="str">
        <f>'Lớp 4 - Danh mục'!AG70</f>
        <v/>
      </c>
      <c r="AG140" s="104" t="str">
        <f>'Lớp 4 - Danh mục'!AH70</f>
        <v/>
      </c>
      <c r="AH140" s="389" t="str">
        <f t="shared" si="27"/>
        <v/>
      </c>
      <c r="AI140" s="389" t="str">
        <f t="shared" si="37"/>
        <v>🔵 Chưa có hạn</v>
      </c>
      <c r="AJ140" s="67" t="str">
        <f>'Lớp 4 - Danh mục'!AK70</f>
        <v/>
      </c>
      <c r="AS140" s="389" t="str">
        <f t="shared" si="97"/>
        <v/>
      </c>
      <c r="AT140" s="389" t="str">
        <f t="shared" si="32"/>
        <v/>
      </c>
      <c r="AU140" s="389" t="str">
        <f t="shared" si="33"/>
        <v/>
      </c>
      <c r="AV140" s="389" t="str">
        <f t="shared" si="34"/>
        <v/>
      </c>
      <c r="AW140" s="389" t="str">
        <f t="shared" si="35"/>
        <v/>
      </c>
      <c r="AX140" s="67" t="str">
        <f t="shared" ref="AX140:BH140" si="153">Z140</f>
        <v/>
      </c>
      <c r="AY140" s="67" t="str">
        <f t="shared" si="153"/>
        <v/>
      </c>
      <c r="AZ140" s="67" t="str">
        <f t="shared" si="153"/>
        <v/>
      </c>
      <c r="BA140" s="67" t="str">
        <f t="shared" si="153"/>
        <v/>
      </c>
      <c r="BB140" s="398" t="str">
        <f t="shared" si="153"/>
        <v/>
      </c>
      <c r="BC140" s="358" t="str">
        <f t="shared" si="153"/>
        <v/>
      </c>
      <c r="BD140" s="187" t="str">
        <f t="shared" si="153"/>
        <v/>
      </c>
      <c r="BE140" s="104" t="str">
        <f t="shared" si="153"/>
        <v/>
      </c>
      <c r="BF140" s="389" t="str">
        <f t="shared" si="153"/>
        <v/>
      </c>
      <c r="BG140" s="389" t="str">
        <f t="shared" si="153"/>
        <v>🔵 Chưa có hạn</v>
      </c>
      <c r="BH140" s="67" t="str">
        <f t="shared" si="153"/>
        <v/>
      </c>
      <c r="BI140" s="389" t="str">
        <f t="array" ref="BI140">IF($X140="","",SWITCH($W140,3,IFERROR(INDEX('Lớp 3 - Công việc chính'!$AF$14:$AF$73,MATCH($X140,'Lớp 3 - Công việc chính'!$I$14:$I$73,0)),""),4,IFERROR(INDEX('Lớp 4 - Danh mục'!$AI$14:$AI$132,MATCH($X140,'Lớp 4 - Danh mục'!$I$14:$I$132,0)),""),5,IFERROR(INDEX('Lớp 5 - Phân công'!$AJ$14:$AJ$262,MATCH($X140,'Lớp 5 - Phân công'!$I$14:$I$262,0)),""),6,IFERROR(INDEX('Lớp 6 - Chi tiết'!$AM$14:$AM$267,MATCH($X140,'Lớp 6 - Chi tiết'!$I$14:$I$267,0)),""),""))</f>
        <v/>
      </c>
      <c r="BJ140" s="389" t="str">
        <f t="array" ref="BJ140">IF($X140="","",SWITCH($W140,3,IFERROR(INDEX('Lớp 3 - Công việc chính'!$AR$14:$AR$73,MATCH($X140,'Lớp 3 - Công việc chính'!$I$14:$I$73,0)),""),4,IFERROR(INDEX('Lớp 4 - Danh mục'!$AU$14:$AU$132,MATCH($X140,'Lớp 4 - Danh mục'!$I$14:$I$132,0)),""),5,IFERROR(INDEX('Lớp 5 - Phân công'!$AV$14:$AV$262,MATCH($X140,'Lớp 5 - Phân công'!$I$14:$I$262,0)),""),6,IFERROR(INDEX('Lớp 6 - Chi tiết'!$AY$14:$AY$267,MATCH($X140,'Lớp 6 - Chi tiết'!$I$14:$I$267,0)),""),""))</f>
        <v/>
      </c>
    </row>
    <row r="141" ht="15.75" customHeight="1">
      <c r="A141" s="294" t="str">
        <f t="shared" si="12"/>
        <v/>
      </c>
      <c r="B141" s="301" t="str">
        <f t="shared" si="13"/>
        <v/>
      </c>
      <c r="C141" s="301" t="str">
        <f t="shared" si="14"/>
        <v/>
      </c>
      <c r="D141" s="301" t="str">
        <f t="shared" si="15"/>
        <v/>
      </c>
      <c r="E141" s="301" t="str">
        <f t="shared" si="16"/>
        <v/>
      </c>
      <c r="F141" s="317" t="str">
        <f t="shared" si="17"/>
        <v/>
      </c>
      <c r="G141" s="323" t="str">
        <f t="shared" si="18"/>
        <v/>
      </c>
      <c r="H141" s="327" t="str">
        <f t="shared" si="19"/>
        <v/>
      </c>
      <c r="I141" s="327" t="str">
        <f t="shared" si="20"/>
        <v/>
      </c>
      <c r="J141" s="301" t="str">
        <f t="shared" si="21"/>
        <v/>
      </c>
      <c r="K141" s="301" t="str">
        <f t="shared" si="22"/>
        <v/>
      </c>
      <c r="L141" s="344" t="str">
        <f t="array" ref="L141">IF($T141="","",LET(m,MATCH($T141,$AS$24:$AS$700,0),lvl,INDEX($W$24:$W$700,m),id,INDEX($X$24:$X$700,m),SWITCH(lvl,3,"Lớp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1" s="351" t="str">
        <f t="shared" si="23"/>
        <v/>
      </c>
      <c r="N141" s="356" t="str">
        <f t="shared" si="24"/>
        <v/>
      </c>
      <c r="O141" s="358"/>
      <c r="P141" s="360"/>
      <c r="Q141" s="360"/>
      <c r="R141" s="67"/>
      <c r="S141" s="67"/>
      <c r="T141" s="67"/>
      <c r="U141" s="389" t="str">
        <f>IF('Lớp 4 - Danh mục'!I71="","",'Lớp 4 - Danh mục'!J71&amp;"|"&amp;'Lớp 4 - Danh mục'!I71)</f>
        <v/>
      </c>
      <c r="V141" s="389" t="str">
        <f>IF('Lớp 4 - Danh mục'!I71="","","   ├─ "&amp;'Lớp 4 - Danh mục'!O71)</f>
        <v/>
      </c>
      <c r="W141" s="389" t="str">
        <f>IF('Lớp 4 - Danh mục'!I71="","",4)</f>
        <v/>
      </c>
      <c r="X141" s="67" t="str">
        <f>'Lớp 4 - Danh mục'!I71</f>
        <v/>
      </c>
      <c r="Y141" s="67" t="str">
        <f>'Lớp 4 - Danh mục'!J71</f>
        <v/>
      </c>
      <c r="Z141" s="67" t="str">
        <f>'Lớp 4 - Danh mục'!Z71</f>
        <v/>
      </c>
      <c r="AA141" s="67" t="str">
        <f>'Lớp 4 - Danh mục'!X71</f>
        <v/>
      </c>
      <c r="AB141" s="67" t="str">
        <f>'Lớp 4 - Danh mục'!AB71</f>
        <v/>
      </c>
      <c r="AC141" s="67" t="str">
        <f>'Lớp 4 - Danh mục'!AA71</f>
        <v/>
      </c>
      <c r="AD141" s="398" t="str">
        <f>'Lớp 4 - Danh mục'!AF71</f>
        <v/>
      </c>
      <c r="AE141" s="358" t="str">
        <f>'Lớp 4 - Danh mục'!AD71</f>
        <v/>
      </c>
      <c r="AF141" s="187" t="str">
        <f>'Lớp 4 - Danh mục'!AG71</f>
        <v/>
      </c>
      <c r="AG141" s="104" t="str">
        <f>'Lớp 4 - Danh mục'!AH71</f>
        <v/>
      </c>
      <c r="AH141" s="389" t="str">
        <f t="shared" si="27"/>
        <v/>
      </c>
      <c r="AI141" s="389" t="str">
        <f t="shared" si="37"/>
        <v>🔵 Chưa có hạn</v>
      </c>
      <c r="AJ141" s="67" t="str">
        <f>'Lớp 4 - Danh mục'!AK71</f>
        <v/>
      </c>
      <c r="AS141" s="389" t="str">
        <f t="shared" si="97"/>
        <v/>
      </c>
      <c r="AT141" s="389" t="str">
        <f t="shared" si="32"/>
        <v/>
      </c>
      <c r="AU141" s="389" t="str">
        <f t="shared" si="33"/>
        <v/>
      </c>
      <c r="AV141" s="389" t="str">
        <f t="shared" si="34"/>
        <v/>
      </c>
      <c r="AW141" s="389" t="str">
        <f t="shared" si="35"/>
        <v/>
      </c>
      <c r="AX141" s="67" t="str">
        <f t="shared" ref="AX141:BH141" si="154">Z141</f>
        <v/>
      </c>
      <c r="AY141" s="67" t="str">
        <f t="shared" si="154"/>
        <v/>
      </c>
      <c r="AZ141" s="67" t="str">
        <f t="shared" si="154"/>
        <v/>
      </c>
      <c r="BA141" s="67" t="str">
        <f t="shared" si="154"/>
        <v/>
      </c>
      <c r="BB141" s="398" t="str">
        <f t="shared" si="154"/>
        <v/>
      </c>
      <c r="BC141" s="358" t="str">
        <f t="shared" si="154"/>
        <v/>
      </c>
      <c r="BD141" s="187" t="str">
        <f t="shared" si="154"/>
        <v/>
      </c>
      <c r="BE141" s="104" t="str">
        <f t="shared" si="154"/>
        <v/>
      </c>
      <c r="BF141" s="389" t="str">
        <f t="shared" si="154"/>
        <v/>
      </c>
      <c r="BG141" s="389" t="str">
        <f t="shared" si="154"/>
        <v>🔵 Chưa có hạn</v>
      </c>
      <c r="BH141" s="67" t="str">
        <f t="shared" si="154"/>
        <v/>
      </c>
      <c r="BI141" s="389" t="str">
        <f t="array" ref="BI141">IF($X141="","",SWITCH($W141,3,IFERROR(INDEX('Lớp 3 - Công việc chính'!$AF$14:$AF$73,MATCH($X141,'Lớp 3 - Công việc chính'!$I$14:$I$73,0)),""),4,IFERROR(INDEX('Lớp 4 - Danh mục'!$AI$14:$AI$132,MATCH($X141,'Lớp 4 - Danh mục'!$I$14:$I$132,0)),""),5,IFERROR(INDEX('Lớp 5 - Phân công'!$AJ$14:$AJ$262,MATCH($X141,'Lớp 5 - Phân công'!$I$14:$I$262,0)),""),6,IFERROR(INDEX('Lớp 6 - Chi tiết'!$AM$14:$AM$267,MATCH($X141,'Lớp 6 - Chi tiết'!$I$14:$I$267,0)),""),""))</f>
        <v/>
      </c>
      <c r="BJ141" s="389" t="str">
        <f t="array" ref="BJ141">IF($X141="","",SWITCH($W141,3,IFERROR(INDEX('Lớp 3 - Công việc chính'!$AR$14:$AR$73,MATCH($X141,'Lớp 3 - Công việc chính'!$I$14:$I$73,0)),""),4,IFERROR(INDEX('Lớp 4 - Danh mục'!$AU$14:$AU$132,MATCH($X141,'Lớp 4 - Danh mục'!$I$14:$I$132,0)),""),5,IFERROR(INDEX('Lớp 5 - Phân công'!$AV$14:$AV$262,MATCH($X141,'Lớp 5 - Phân công'!$I$14:$I$262,0)),""),6,IFERROR(INDEX('Lớp 6 - Chi tiết'!$AY$14:$AY$267,MATCH($X141,'Lớp 6 - Chi tiết'!$I$14:$I$267,0)),""),""))</f>
        <v/>
      </c>
    </row>
    <row r="142" ht="15.75" customHeight="1">
      <c r="A142" s="294" t="str">
        <f t="shared" si="12"/>
        <v/>
      </c>
      <c r="B142" s="301" t="str">
        <f t="shared" si="13"/>
        <v/>
      </c>
      <c r="C142" s="301" t="str">
        <f t="shared" si="14"/>
        <v/>
      </c>
      <c r="D142" s="301" t="str">
        <f t="shared" si="15"/>
        <v/>
      </c>
      <c r="E142" s="301" t="str">
        <f t="shared" si="16"/>
        <v/>
      </c>
      <c r="F142" s="317" t="str">
        <f t="shared" si="17"/>
        <v/>
      </c>
      <c r="G142" s="323" t="str">
        <f t="shared" si="18"/>
        <v/>
      </c>
      <c r="H142" s="327" t="str">
        <f t="shared" si="19"/>
        <v/>
      </c>
      <c r="I142" s="327" t="str">
        <f t="shared" si="20"/>
        <v/>
      </c>
      <c r="J142" s="301" t="str">
        <f t="shared" si="21"/>
        <v/>
      </c>
      <c r="K142" s="301" t="str">
        <f t="shared" si="22"/>
        <v/>
      </c>
      <c r="L142" s="344" t="str">
        <f t="array" ref="L142">IF($T142="","",LET(m,MATCH($T142,$AS$24:$AS$700,0),lvl,INDEX($W$24:$W$700,m),id,INDEX($X$24:$X$700,m),SWITCH(lvl,3,"Lớp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2" s="351" t="str">
        <f t="shared" si="23"/>
        <v/>
      </c>
      <c r="N142" s="356" t="str">
        <f t="shared" si="24"/>
        <v/>
      </c>
      <c r="O142" s="358"/>
      <c r="P142" s="360"/>
      <c r="Q142" s="360"/>
      <c r="R142" s="67"/>
      <c r="S142" s="67"/>
      <c r="T142" s="67"/>
      <c r="U142" s="389" t="str">
        <f>IF('Lớp 4 - Danh mục'!I72="","",'Lớp 4 - Danh mục'!J72&amp;"|"&amp;'Lớp 4 - Danh mục'!I72)</f>
        <v/>
      </c>
      <c r="V142" s="389" t="str">
        <f>IF('Lớp 4 - Danh mục'!I72="","","   ├─ "&amp;'Lớp 4 - Danh mục'!O72)</f>
        <v/>
      </c>
      <c r="W142" s="389" t="str">
        <f>IF('Lớp 4 - Danh mục'!I72="","",4)</f>
        <v/>
      </c>
      <c r="X142" s="67" t="str">
        <f>'Lớp 4 - Danh mục'!I72</f>
        <v/>
      </c>
      <c r="Y142" s="67" t="str">
        <f>'Lớp 4 - Danh mục'!J72</f>
        <v/>
      </c>
      <c r="Z142" s="67" t="str">
        <f>'Lớp 4 - Danh mục'!Z72</f>
        <v/>
      </c>
      <c r="AA142" s="67" t="str">
        <f>'Lớp 4 - Danh mục'!X72</f>
        <v/>
      </c>
      <c r="AB142" s="67" t="str">
        <f>'Lớp 4 - Danh mục'!AB72</f>
        <v/>
      </c>
      <c r="AC142" s="67" t="str">
        <f>'Lớp 4 - Danh mục'!AA72</f>
        <v/>
      </c>
      <c r="AD142" s="398" t="str">
        <f>'Lớp 4 - Danh mục'!AF72</f>
        <v/>
      </c>
      <c r="AE142" s="358" t="str">
        <f>'Lớp 4 - Danh mục'!AD72</f>
        <v/>
      </c>
      <c r="AF142" s="187" t="str">
        <f>'Lớp 4 - Danh mục'!AG72</f>
        <v/>
      </c>
      <c r="AG142" s="104" t="str">
        <f>'Lớp 4 - Danh mục'!AH72</f>
        <v/>
      </c>
      <c r="AH142" s="389" t="str">
        <f t="shared" si="27"/>
        <v/>
      </c>
      <c r="AI142" s="389" t="str">
        <f t="shared" si="37"/>
        <v>🔵 Chưa có hạn</v>
      </c>
      <c r="AJ142" s="67" t="str">
        <f>'Lớp 4 - Danh mục'!AK72</f>
        <v/>
      </c>
      <c r="AS142" s="389" t="str">
        <f t="shared" si="97"/>
        <v/>
      </c>
      <c r="AT142" s="389" t="str">
        <f t="shared" si="32"/>
        <v/>
      </c>
      <c r="AU142" s="389" t="str">
        <f t="shared" si="33"/>
        <v/>
      </c>
      <c r="AV142" s="389" t="str">
        <f t="shared" si="34"/>
        <v/>
      </c>
      <c r="AW142" s="389" t="str">
        <f t="shared" si="35"/>
        <v/>
      </c>
      <c r="AX142" s="67" t="str">
        <f t="shared" ref="AX142:BH142" si="155">Z142</f>
        <v/>
      </c>
      <c r="AY142" s="67" t="str">
        <f t="shared" si="155"/>
        <v/>
      </c>
      <c r="AZ142" s="67" t="str">
        <f t="shared" si="155"/>
        <v/>
      </c>
      <c r="BA142" s="67" t="str">
        <f t="shared" si="155"/>
        <v/>
      </c>
      <c r="BB142" s="398" t="str">
        <f t="shared" si="155"/>
        <v/>
      </c>
      <c r="BC142" s="358" t="str">
        <f t="shared" si="155"/>
        <v/>
      </c>
      <c r="BD142" s="187" t="str">
        <f t="shared" si="155"/>
        <v/>
      </c>
      <c r="BE142" s="104" t="str">
        <f t="shared" si="155"/>
        <v/>
      </c>
      <c r="BF142" s="389" t="str">
        <f t="shared" si="155"/>
        <v/>
      </c>
      <c r="BG142" s="389" t="str">
        <f t="shared" si="155"/>
        <v>🔵 Chưa có hạn</v>
      </c>
      <c r="BH142" s="67" t="str">
        <f t="shared" si="155"/>
        <v/>
      </c>
      <c r="BI142" s="389" t="str">
        <f t="array" ref="BI142">IF($X142="","",SWITCH($W142,3,IFERROR(INDEX('Lớp 3 - Công việc chính'!$AF$14:$AF$73,MATCH($X142,'Lớp 3 - Công việc chính'!$I$14:$I$73,0)),""),4,IFERROR(INDEX('Lớp 4 - Danh mục'!$AI$14:$AI$132,MATCH($X142,'Lớp 4 - Danh mục'!$I$14:$I$132,0)),""),5,IFERROR(INDEX('Lớp 5 - Phân công'!$AJ$14:$AJ$262,MATCH($X142,'Lớp 5 - Phân công'!$I$14:$I$262,0)),""),6,IFERROR(INDEX('Lớp 6 - Chi tiết'!$AM$14:$AM$267,MATCH($X142,'Lớp 6 - Chi tiết'!$I$14:$I$267,0)),""),""))</f>
        <v/>
      </c>
      <c r="BJ142" s="389" t="str">
        <f t="array" ref="BJ142">IF($X142="","",SWITCH($W142,3,IFERROR(INDEX('Lớp 3 - Công việc chính'!$AR$14:$AR$73,MATCH($X142,'Lớp 3 - Công việc chính'!$I$14:$I$73,0)),""),4,IFERROR(INDEX('Lớp 4 - Danh mục'!$AU$14:$AU$132,MATCH($X142,'Lớp 4 - Danh mục'!$I$14:$I$132,0)),""),5,IFERROR(INDEX('Lớp 5 - Phân công'!$AV$14:$AV$262,MATCH($X142,'Lớp 5 - Phân công'!$I$14:$I$262,0)),""),6,IFERROR(INDEX('Lớp 6 - Chi tiết'!$AY$14:$AY$267,MATCH($X142,'Lớp 6 - Chi tiết'!$I$14:$I$267,0)),""),""))</f>
        <v/>
      </c>
    </row>
    <row r="143" ht="15.75" customHeight="1">
      <c r="A143" s="294" t="str">
        <f t="shared" si="12"/>
        <v/>
      </c>
      <c r="B143" s="301" t="str">
        <f t="shared" si="13"/>
        <v/>
      </c>
      <c r="C143" s="301" t="str">
        <f t="shared" si="14"/>
        <v/>
      </c>
      <c r="D143" s="301" t="str">
        <f t="shared" si="15"/>
        <v/>
      </c>
      <c r="E143" s="301" t="str">
        <f t="shared" si="16"/>
        <v/>
      </c>
      <c r="F143" s="317" t="str">
        <f t="shared" si="17"/>
        <v/>
      </c>
      <c r="G143" s="323" t="str">
        <f t="shared" si="18"/>
        <v/>
      </c>
      <c r="H143" s="327" t="str">
        <f t="shared" si="19"/>
        <v/>
      </c>
      <c r="I143" s="327" t="str">
        <f t="shared" si="20"/>
        <v/>
      </c>
      <c r="J143" s="301" t="str">
        <f t="shared" si="21"/>
        <v/>
      </c>
      <c r="K143" s="301" t="str">
        <f t="shared" si="22"/>
        <v/>
      </c>
      <c r="L143" s="344" t="str">
        <f t="array" ref="L143">IF($T143="","",LET(m,MATCH($T143,$AS$24:$AS$700,0),lvl,INDEX($W$24:$W$700,m),id,INDEX($X$24:$X$700,m),SWITCH(lvl,3,"Lớp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3" s="351" t="str">
        <f t="shared" si="23"/>
        <v/>
      </c>
      <c r="N143" s="356" t="str">
        <f t="shared" si="24"/>
        <v/>
      </c>
      <c r="O143" s="358"/>
      <c r="P143" s="360"/>
      <c r="Q143" s="360"/>
      <c r="R143" s="67"/>
      <c r="S143" s="67"/>
      <c r="T143" s="67"/>
      <c r="U143" s="389" t="str">
        <f>IF('Lớp 4 - Danh mục'!I73="","",'Lớp 4 - Danh mục'!J73&amp;"|"&amp;'Lớp 4 - Danh mục'!I73)</f>
        <v/>
      </c>
      <c r="V143" s="389" t="str">
        <f>IF('Lớp 4 - Danh mục'!I73="","","   ├─ "&amp;'Lớp 4 - Danh mục'!O73)</f>
        <v/>
      </c>
      <c r="W143" s="389" t="str">
        <f>IF('Lớp 4 - Danh mục'!I73="","",4)</f>
        <v/>
      </c>
      <c r="X143" s="67" t="str">
        <f>'Lớp 4 - Danh mục'!I73</f>
        <v/>
      </c>
      <c r="Y143" s="67" t="str">
        <f>'Lớp 4 - Danh mục'!J73</f>
        <v/>
      </c>
      <c r="Z143" s="67" t="str">
        <f>'Lớp 4 - Danh mục'!Z73</f>
        <v/>
      </c>
      <c r="AA143" s="67" t="str">
        <f>'Lớp 4 - Danh mục'!X73</f>
        <v/>
      </c>
      <c r="AB143" s="67" t="str">
        <f>'Lớp 4 - Danh mục'!AB73</f>
        <v/>
      </c>
      <c r="AC143" s="67" t="str">
        <f>'Lớp 4 - Danh mục'!AA73</f>
        <v/>
      </c>
      <c r="AD143" s="398" t="str">
        <f>'Lớp 4 - Danh mục'!AF73</f>
        <v/>
      </c>
      <c r="AE143" s="358" t="str">
        <f>'Lớp 4 - Danh mục'!AD73</f>
        <v/>
      </c>
      <c r="AF143" s="187" t="str">
        <f>'Lớp 4 - Danh mục'!AG73</f>
        <v/>
      </c>
      <c r="AG143" s="104" t="str">
        <f>'Lớp 4 - Danh mục'!AH73</f>
        <v/>
      </c>
      <c r="AH143" s="389" t="str">
        <f t="shared" si="27"/>
        <v/>
      </c>
      <c r="AI143" s="389" t="str">
        <f t="shared" si="37"/>
        <v>🔵 Chưa có hạn</v>
      </c>
      <c r="AJ143" s="67" t="str">
        <f>'Lớp 4 - Danh mục'!AK73</f>
        <v/>
      </c>
      <c r="AS143" s="389" t="str">
        <f t="shared" si="97"/>
        <v/>
      </c>
      <c r="AT143" s="389" t="str">
        <f t="shared" si="32"/>
        <v/>
      </c>
      <c r="AU143" s="389" t="str">
        <f t="shared" si="33"/>
        <v/>
      </c>
      <c r="AV143" s="389" t="str">
        <f t="shared" si="34"/>
        <v/>
      </c>
      <c r="AW143" s="389" t="str">
        <f t="shared" si="35"/>
        <v/>
      </c>
      <c r="AX143" s="67" t="str">
        <f t="shared" ref="AX143:BH143" si="156">Z143</f>
        <v/>
      </c>
      <c r="AY143" s="67" t="str">
        <f t="shared" si="156"/>
        <v/>
      </c>
      <c r="AZ143" s="67" t="str">
        <f t="shared" si="156"/>
        <v/>
      </c>
      <c r="BA143" s="67" t="str">
        <f t="shared" si="156"/>
        <v/>
      </c>
      <c r="BB143" s="398" t="str">
        <f t="shared" si="156"/>
        <v/>
      </c>
      <c r="BC143" s="358" t="str">
        <f t="shared" si="156"/>
        <v/>
      </c>
      <c r="BD143" s="187" t="str">
        <f t="shared" si="156"/>
        <v/>
      </c>
      <c r="BE143" s="104" t="str">
        <f t="shared" si="156"/>
        <v/>
      </c>
      <c r="BF143" s="389" t="str">
        <f t="shared" si="156"/>
        <v/>
      </c>
      <c r="BG143" s="389" t="str">
        <f t="shared" si="156"/>
        <v>🔵 Chưa có hạn</v>
      </c>
      <c r="BH143" s="67" t="str">
        <f t="shared" si="156"/>
        <v/>
      </c>
      <c r="BI143" s="389" t="str">
        <f t="array" ref="BI143">IF($X143="","",SWITCH($W143,3,IFERROR(INDEX('Lớp 3 - Công việc chính'!$AF$14:$AF$73,MATCH($X143,'Lớp 3 - Công việc chính'!$I$14:$I$73,0)),""),4,IFERROR(INDEX('Lớp 4 - Danh mục'!$AI$14:$AI$132,MATCH($X143,'Lớp 4 - Danh mục'!$I$14:$I$132,0)),""),5,IFERROR(INDEX('Lớp 5 - Phân công'!$AJ$14:$AJ$262,MATCH($X143,'Lớp 5 - Phân công'!$I$14:$I$262,0)),""),6,IFERROR(INDEX('Lớp 6 - Chi tiết'!$AM$14:$AM$267,MATCH($X143,'Lớp 6 - Chi tiết'!$I$14:$I$267,0)),""),""))</f>
        <v/>
      </c>
      <c r="BJ143" s="389" t="str">
        <f t="array" ref="BJ143">IF($X143="","",SWITCH($W143,3,IFERROR(INDEX('Lớp 3 - Công việc chính'!$AR$14:$AR$73,MATCH($X143,'Lớp 3 - Công việc chính'!$I$14:$I$73,0)),""),4,IFERROR(INDEX('Lớp 4 - Danh mục'!$AU$14:$AU$132,MATCH($X143,'Lớp 4 - Danh mục'!$I$14:$I$132,0)),""),5,IFERROR(INDEX('Lớp 5 - Phân công'!$AV$14:$AV$262,MATCH($X143,'Lớp 5 - Phân công'!$I$14:$I$262,0)),""),6,IFERROR(INDEX('Lớp 6 - Chi tiết'!$AY$14:$AY$267,MATCH($X143,'Lớp 6 - Chi tiết'!$I$14:$I$267,0)),""),""))</f>
        <v/>
      </c>
    </row>
    <row r="144" ht="15.75" customHeight="1">
      <c r="A144" s="294" t="str">
        <f t="shared" si="12"/>
        <v/>
      </c>
      <c r="B144" s="301" t="str">
        <f t="shared" si="13"/>
        <v/>
      </c>
      <c r="C144" s="301" t="str">
        <f t="shared" si="14"/>
        <v/>
      </c>
      <c r="D144" s="301" t="str">
        <f t="shared" si="15"/>
        <v/>
      </c>
      <c r="E144" s="301" t="str">
        <f t="shared" si="16"/>
        <v/>
      </c>
      <c r="F144" s="317" t="str">
        <f t="shared" si="17"/>
        <v/>
      </c>
      <c r="G144" s="323" t="str">
        <f t="shared" si="18"/>
        <v/>
      </c>
      <c r="H144" s="327" t="str">
        <f t="shared" si="19"/>
        <v/>
      </c>
      <c r="I144" s="327" t="str">
        <f t="shared" si="20"/>
        <v/>
      </c>
      <c r="J144" s="301" t="str">
        <f t="shared" si="21"/>
        <v/>
      </c>
      <c r="K144" s="301" t="str">
        <f t="shared" si="22"/>
        <v/>
      </c>
      <c r="L144" s="344" t="str">
        <f t="array" ref="L144">IF($T144="","",LET(m,MATCH($T144,$AS$24:$AS$700,0),lvl,INDEX($W$24:$W$700,m),id,INDEX($X$24:$X$700,m),SWITCH(lvl,3,"Lớp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4" s="351" t="str">
        <f t="shared" si="23"/>
        <v/>
      </c>
      <c r="N144" s="356" t="str">
        <f t="shared" si="24"/>
        <v/>
      </c>
      <c r="O144" s="358"/>
      <c r="P144" s="360"/>
      <c r="Q144" s="360"/>
      <c r="R144" s="67"/>
      <c r="S144" s="67"/>
      <c r="T144" s="67"/>
      <c r="U144" s="389" t="str">
        <f>IF('Lớp 4 - Danh mục'!I74="","",'Lớp 4 - Danh mục'!J74&amp;"|"&amp;'Lớp 4 - Danh mục'!I74)</f>
        <v/>
      </c>
      <c r="V144" s="389" t="str">
        <f>IF('Lớp 4 - Danh mục'!I74="","","   ├─ "&amp;'Lớp 4 - Danh mục'!O74)</f>
        <v/>
      </c>
      <c r="W144" s="389" t="str">
        <f>IF('Lớp 4 - Danh mục'!I74="","",4)</f>
        <v/>
      </c>
      <c r="X144" s="67" t="str">
        <f>'Lớp 4 - Danh mục'!I74</f>
        <v/>
      </c>
      <c r="Y144" s="67" t="str">
        <f>'Lớp 4 - Danh mục'!J74</f>
        <v/>
      </c>
      <c r="Z144" s="67" t="str">
        <f>'Lớp 4 - Danh mục'!Z74</f>
        <v/>
      </c>
      <c r="AA144" s="67" t="str">
        <f>'Lớp 4 - Danh mục'!X74</f>
        <v/>
      </c>
      <c r="AB144" s="67" t="str">
        <f>'Lớp 4 - Danh mục'!AB74</f>
        <v/>
      </c>
      <c r="AC144" s="67" t="str">
        <f>'Lớp 4 - Danh mục'!AA74</f>
        <v/>
      </c>
      <c r="AD144" s="398" t="str">
        <f>'Lớp 4 - Danh mục'!AF74</f>
        <v/>
      </c>
      <c r="AE144" s="358" t="str">
        <f>'Lớp 4 - Danh mục'!AD74</f>
        <v/>
      </c>
      <c r="AF144" s="187" t="str">
        <f>'Lớp 4 - Danh mục'!AG74</f>
        <v/>
      </c>
      <c r="AG144" s="104" t="str">
        <f>'Lớp 4 - Danh mục'!AH74</f>
        <v/>
      </c>
      <c r="AH144" s="389" t="str">
        <f t="shared" si="27"/>
        <v/>
      </c>
      <c r="AI144" s="389" t="str">
        <f t="shared" si="37"/>
        <v>🔵 Chưa có hạn</v>
      </c>
      <c r="AJ144" s="67" t="str">
        <f>'Lớp 4 - Danh mục'!AK74</f>
        <v/>
      </c>
      <c r="AS144" s="389" t="str">
        <f t="shared" si="97"/>
        <v/>
      </c>
      <c r="AT144" s="389" t="str">
        <f t="shared" si="32"/>
        <v/>
      </c>
      <c r="AU144" s="389" t="str">
        <f t="shared" si="33"/>
        <v/>
      </c>
      <c r="AV144" s="389" t="str">
        <f t="shared" si="34"/>
        <v/>
      </c>
      <c r="AW144" s="389" t="str">
        <f t="shared" si="35"/>
        <v/>
      </c>
      <c r="AX144" s="67" t="str">
        <f t="shared" ref="AX144:BH144" si="157">Z144</f>
        <v/>
      </c>
      <c r="AY144" s="67" t="str">
        <f t="shared" si="157"/>
        <v/>
      </c>
      <c r="AZ144" s="67" t="str">
        <f t="shared" si="157"/>
        <v/>
      </c>
      <c r="BA144" s="67" t="str">
        <f t="shared" si="157"/>
        <v/>
      </c>
      <c r="BB144" s="398" t="str">
        <f t="shared" si="157"/>
        <v/>
      </c>
      <c r="BC144" s="358" t="str">
        <f t="shared" si="157"/>
        <v/>
      </c>
      <c r="BD144" s="187" t="str">
        <f t="shared" si="157"/>
        <v/>
      </c>
      <c r="BE144" s="104" t="str">
        <f t="shared" si="157"/>
        <v/>
      </c>
      <c r="BF144" s="389" t="str">
        <f t="shared" si="157"/>
        <v/>
      </c>
      <c r="BG144" s="389" t="str">
        <f t="shared" si="157"/>
        <v>🔵 Chưa có hạn</v>
      </c>
      <c r="BH144" s="67" t="str">
        <f t="shared" si="157"/>
        <v/>
      </c>
      <c r="BI144" s="389" t="str">
        <f t="array" ref="BI144">IF($X144="","",SWITCH($W144,3,IFERROR(INDEX('Lớp 3 - Công việc chính'!$AF$14:$AF$73,MATCH($X144,'Lớp 3 - Công việc chính'!$I$14:$I$73,0)),""),4,IFERROR(INDEX('Lớp 4 - Danh mục'!$AI$14:$AI$132,MATCH($X144,'Lớp 4 - Danh mục'!$I$14:$I$132,0)),""),5,IFERROR(INDEX('Lớp 5 - Phân công'!$AJ$14:$AJ$262,MATCH($X144,'Lớp 5 - Phân công'!$I$14:$I$262,0)),""),6,IFERROR(INDEX('Lớp 6 - Chi tiết'!$AM$14:$AM$267,MATCH($X144,'Lớp 6 - Chi tiết'!$I$14:$I$267,0)),""),""))</f>
        <v/>
      </c>
      <c r="BJ144" s="389" t="str">
        <f t="array" ref="BJ144">IF($X144="","",SWITCH($W144,3,IFERROR(INDEX('Lớp 3 - Công việc chính'!$AR$14:$AR$73,MATCH($X144,'Lớp 3 - Công việc chính'!$I$14:$I$73,0)),""),4,IFERROR(INDEX('Lớp 4 - Danh mục'!$AU$14:$AU$132,MATCH($X144,'Lớp 4 - Danh mục'!$I$14:$I$132,0)),""),5,IFERROR(INDEX('Lớp 5 - Phân công'!$AV$14:$AV$262,MATCH($X144,'Lớp 5 - Phân công'!$I$14:$I$262,0)),""),6,IFERROR(INDEX('Lớp 6 - Chi tiết'!$AY$14:$AY$267,MATCH($X144,'Lớp 6 - Chi tiết'!$I$14:$I$267,0)),""),""))</f>
        <v/>
      </c>
    </row>
    <row r="145" ht="15.75" customHeight="1">
      <c r="A145" s="294" t="str">
        <f t="shared" si="12"/>
        <v/>
      </c>
      <c r="B145" s="301" t="str">
        <f t="shared" si="13"/>
        <v/>
      </c>
      <c r="C145" s="301" t="str">
        <f t="shared" si="14"/>
        <v/>
      </c>
      <c r="D145" s="301" t="str">
        <f t="shared" si="15"/>
        <v/>
      </c>
      <c r="E145" s="301" t="str">
        <f t="shared" si="16"/>
        <v/>
      </c>
      <c r="F145" s="317" t="str">
        <f t="shared" si="17"/>
        <v/>
      </c>
      <c r="G145" s="323" t="str">
        <f t="shared" si="18"/>
        <v/>
      </c>
      <c r="H145" s="327" t="str">
        <f t="shared" si="19"/>
        <v/>
      </c>
      <c r="I145" s="327" t="str">
        <f t="shared" si="20"/>
        <v/>
      </c>
      <c r="J145" s="301" t="str">
        <f t="shared" si="21"/>
        <v/>
      </c>
      <c r="K145" s="301" t="str">
        <f t="shared" si="22"/>
        <v/>
      </c>
      <c r="L145" s="344" t="str">
        <f t="array" ref="L145">IF($T145="","",LET(m,MATCH($T145,$AS$24:$AS$700,0),lvl,INDEX($W$24:$W$700,m),id,INDEX($X$24:$X$700,m),SWITCH(lvl,3,"Lớp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5" s="351" t="str">
        <f t="shared" si="23"/>
        <v/>
      </c>
      <c r="N145" s="356" t="str">
        <f t="shared" si="24"/>
        <v/>
      </c>
      <c r="O145" s="358"/>
      <c r="P145" s="360"/>
      <c r="Q145" s="360"/>
      <c r="R145" s="67"/>
      <c r="S145" s="67"/>
      <c r="T145" s="67"/>
      <c r="U145" s="389" t="str">
        <f>IF('Lớp 4 - Danh mục'!I75="","",'Lớp 4 - Danh mục'!J75&amp;"|"&amp;'Lớp 4 - Danh mục'!I75)</f>
        <v/>
      </c>
      <c r="V145" s="389" t="str">
        <f>IF('Lớp 4 - Danh mục'!I75="","","   ├─ "&amp;'Lớp 4 - Danh mục'!O75)</f>
        <v/>
      </c>
      <c r="W145" s="389" t="str">
        <f>IF('Lớp 4 - Danh mục'!I75="","",4)</f>
        <v/>
      </c>
      <c r="X145" s="67" t="str">
        <f>'Lớp 4 - Danh mục'!I75</f>
        <v/>
      </c>
      <c r="Y145" s="67" t="str">
        <f>'Lớp 4 - Danh mục'!J75</f>
        <v/>
      </c>
      <c r="Z145" s="67" t="str">
        <f>'Lớp 4 - Danh mục'!Z75</f>
        <v/>
      </c>
      <c r="AA145" s="67" t="str">
        <f>'Lớp 4 - Danh mục'!X75</f>
        <v/>
      </c>
      <c r="AB145" s="67" t="str">
        <f>'Lớp 4 - Danh mục'!AB75</f>
        <v/>
      </c>
      <c r="AC145" s="67" t="str">
        <f>'Lớp 4 - Danh mục'!AA75</f>
        <v/>
      </c>
      <c r="AD145" s="398" t="str">
        <f>'Lớp 4 - Danh mục'!AF75</f>
        <v/>
      </c>
      <c r="AE145" s="358" t="str">
        <f>'Lớp 4 - Danh mục'!AD75</f>
        <v/>
      </c>
      <c r="AF145" s="187" t="str">
        <f>'Lớp 4 - Danh mục'!AG75</f>
        <v/>
      </c>
      <c r="AG145" s="104" t="str">
        <f>'Lớp 4 - Danh mục'!AH75</f>
        <v/>
      </c>
      <c r="AH145" s="389" t="str">
        <f t="shared" si="27"/>
        <v/>
      </c>
      <c r="AI145" s="389" t="str">
        <f t="shared" si="37"/>
        <v>🔵 Chưa có hạn</v>
      </c>
      <c r="AJ145" s="67" t="str">
        <f>'Lớp 4 - Danh mục'!AK75</f>
        <v/>
      </c>
      <c r="AS145" s="389" t="str">
        <f t="shared" si="97"/>
        <v/>
      </c>
      <c r="AT145" s="389" t="str">
        <f t="shared" si="32"/>
        <v/>
      </c>
      <c r="AU145" s="389" t="str">
        <f t="shared" si="33"/>
        <v/>
      </c>
      <c r="AV145" s="389" t="str">
        <f t="shared" si="34"/>
        <v/>
      </c>
      <c r="AW145" s="389" t="str">
        <f t="shared" si="35"/>
        <v/>
      </c>
      <c r="AX145" s="67" t="str">
        <f t="shared" ref="AX145:BH145" si="158">Z145</f>
        <v/>
      </c>
      <c r="AY145" s="67" t="str">
        <f t="shared" si="158"/>
        <v/>
      </c>
      <c r="AZ145" s="67" t="str">
        <f t="shared" si="158"/>
        <v/>
      </c>
      <c r="BA145" s="67" t="str">
        <f t="shared" si="158"/>
        <v/>
      </c>
      <c r="BB145" s="398" t="str">
        <f t="shared" si="158"/>
        <v/>
      </c>
      <c r="BC145" s="358" t="str">
        <f t="shared" si="158"/>
        <v/>
      </c>
      <c r="BD145" s="187" t="str">
        <f t="shared" si="158"/>
        <v/>
      </c>
      <c r="BE145" s="104" t="str">
        <f t="shared" si="158"/>
        <v/>
      </c>
      <c r="BF145" s="389" t="str">
        <f t="shared" si="158"/>
        <v/>
      </c>
      <c r="BG145" s="389" t="str">
        <f t="shared" si="158"/>
        <v>🔵 Chưa có hạn</v>
      </c>
      <c r="BH145" s="67" t="str">
        <f t="shared" si="158"/>
        <v/>
      </c>
      <c r="BI145" s="389" t="str">
        <f t="array" ref="BI145">IF($X145="","",SWITCH($W145,3,IFERROR(INDEX('Lớp 3 - Công việc chính'!$AF$14:$AF$73,MATCH($X145,'Lớp 3 - Công việc chính'!$I$14:$I$73,0)),""),4,IFERROR(INDEX('Lớp 4 - Danh mục'!$AI$14:$AI$132,MATCH($X145,'Lớp 4 - Danh mục'!$I$14:$I$132,0)),""),5,IFERROR(INDEX('Lớp 5 - Phân công'!$AJ$14:$AJ$262,MATCH($X145,'Lớp 5 - Phân công'!$I$14:$I$262,0)),""),6,IFERROR(INDEX('Lớp 6 - Chi tiết'!$AM$14:$AM$267,MATCH($X145,'Lớp 6 - Chi tiết'!$I$14:$I$267,0)),""),""))</f>
        <v/>
      </c>
      <c r="BJ145" s="389" t="str">
        <f t="array" ref="BJ145">IF($X145="","",SWITCH($W145,3,IFERROR(INDEX('Lớp 3 - Công việc chính'!$AR$14:$AR$73,MATCH($X145,'Lớp 3 - Công việc chính'!$I$14:$I$73,0)),""),4,IFERROR(INDEX('Lớp 4 - Danh mục'!$AU$14:$AU$132,MATCH($X145,'Lớp 4 - Danh mục'!$I$14:$I$132,0)),""),5,IFERROR(INDEX('Lớp 5 - Phân công'!$AV$14:$AV$262,MATCH($X145,'Lớp 5 - Phân công'!$I$14:$I$262,0)),""),6,IFERROR(INDEX('Lớp 6 - Chi tiết'!$AY$14:$AY$267,MATCH($X145,'Lớp 6 - Chi tiết'!$I$14:$I$267,0)),""),""))</f>
        <v/>
      </c>
    </row>
    <row r="146" ht="15.75" customHeight="1">
      <c r="A146" s="294" t="str">
        <f t="shared" si="12"/>
        <v/>
      </c>
      <c r="B146" s="301" t="str">
        <f t="shared" si="13"/>
        <v/>
      </c>
      <c r="C146" s="301" t="str">
        <f t="shared" si="14"/>
        <v/>
      </c>
      <c r="D146" s="301" t="str">
        <f t="shared" si="15"/>
        <v/>
      </c>
      <c r="E146" s="301" t="str">
        <f t="shared" si="16"/>
        <v/>
      </c>
      <c r="F146" s="317" t="str">
        <f t="shared" si="17"/>
        <v/>
      </c>
      <c r="G146" s="323" t="str">
        <f t="shared" si="18"/>
        <v/>
      </c>
      <c r="H146" s="327" t="str">
        <f t="shared" si="19"/>
        <v/>
      </c>
      <c r="I146" s="327" t="str">
        <f t="shared" si="20"/>
        <v/>
      </c>
      <c r="J146" s="301" t="str">
        <f t="shared" si="21"/>
        <v/>
      </c>
      <c r="K146" s="301" t="str">
        <f t="shared" si="22"/>
        <v/>
      </c>
      <c r="L146" s="344" t="str">
        <f t="array" ref="L146">IF($T146="","",LET(m,MATCH($T146,$AS$24:$AS$700,0),lvl,INDEX($W$24:$W$700,m),id,INDEX($X$24:$X$700,m),SWITCH(lvl,3,"Lớp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6" s="351" t="str">
        <f t="shared" si="23"/>
        <v/>
      </c>
      <c r="N146" s="356" t="str">
        <f t="shared" si="24"/>
        <v/>
      </c>
      <c r="O146" s="358"/>
      <c r="P146" s="360"/>
      <c r="Q146" s="360"/>
      <c r="R146" s="67"/>
      <c r="S146" s="67"/>
      <c r="T146" s="67"/>
      <c r="U146" s="389" t="str">
        <f>IF('Lớp 4 - Danh mục'!I76="","",'Lớp 4 - Danh mục'!J76&amp;"|"&amp;'Lớp 4 - Danh mục'!I76)</f>
        <v/>
      </c>
      <c r="V146" s="389" t="str">
        <f>IF('Lớp 4 - Danh mục'!I76="","","   ├─ "&amp;'Lớp 4 - Danh mục'!O76)</f>
        <v/>
      </c>
      <c r="W146" s="389" t="str">
        <f>IF('Lớp 4 - Danh mục'!I76="","",4)</f>
        <v/>
      </c>
      <c r="X146" s="67" t="str">
        <f>'Lớp 4 - Danh mục'!I76</f>
        <v/>
      </c>
      <c r="Y146" s="67" t="str">
        <f>'Lớp 4 - Danh mục'!J76</f>
        <v/>
      </c>
      <c r="Z146" s="67" t="str">
        <f>'Lớp 4 - Danh mục'!Z76</f>
        <v/>
      </c>
      <c r="AA146" s="67" t="str">
        <f>'Lớp 4 - Danh mục'!X76</f>
        <v/>
      </c>
      <c r="AB146" s="67" t="str">
        <f>'Lớp 4 - Danh mục'!AB76</f>
        <v/>
      </c>
      <c r="AC146" s="67" t="str">
        <f>'Lớp 4 - Danh mục'!AA76</f>
        <v/>
      </c>
      <c r="AD146" s="398" t="str">
        <f>'Lớp 4 - Danh mục'!AF76</f>
        <v/>
      </c>
      <c r="AE146" s="358" t="str">
        <f>'Lớp 4 - Danh mục'!AD76</f>
        <v/>
      </c>
      <c r="AF146" s="187" t="str">
        <f>'Lớp 4 - Danh mục'!AG76</f>
        <v/>
      </c>
      <c r="AG146" s="104" t="str">
        <f>'Lớp 4 - Danh mục'!AH76</f>
        <v/>
      </c>
      <c r="AH146" s="389" t="str">
        <f t="shared" si="27"/>
        <v/>
      </c>
      <c r="AI146" s="389" t="str">
        <f t="shared" si="37"/>
        <v>🔵 Chưa có hạn</v>
      </c>
      <c r="AJ146" s="67" t="str">
        <f>'Lớp 4 - Danh mục'!AK76</f>
        <v/>
      </c>
      <c r="AS146" s="389" t="str">
        <f t="shared" si="97"/>
        <v/>
      </c>
      <c r="AT146" s="389" t="str">
        <f t="shared" si="32"/>
        <v/>
      </c>
      <c r="AU146" s="389" t="str">
        <f t="shared" si="33"/>
        <v/>
      </c>
      <c r="AV146" s="389" t="str">
        <f t="shared" si="34"/>
        <v/>
      </c>
      <c r="AW146" s="389" t="str">
        <f t="shared" si="35"/>
        <v/>
      </c>
      <c r="AX146" s="67" t="str">
        <f t="shared" ref="AX146:BH146" si="159">Z146</f>
        <v/>
      </c>
      <c r="AY146" s="67" t="str">
        <f t="shared" si="159"/>
        <v/>
      </c>
      <c r="AZ146" s="67" t="str">
        <f t="shared" si="159"/>
        <v/>
      </c>
      <c r="BA146" s="67" t="str">
        <f t="shared" si="159"/>
        <v/>
      </c>
      <c r="BB146" s="398" t="str">
        <f t="shared" si="159"/>
        <v/>
      </c>
      <c r="BC146" s="358" t="str">
        <f t="shared" si="159"/>
        <v/>
      </c>
      <c r="BD146" s="187" t="str">
        <f t="shared" si="159"/>
        <v/>
      </c>
      <c r="BE146" s="104" t="str">
        <f t="shared" si="159"/>
        <v/>
      </c>
      <c r="BF146" s="389" t="str">
        <f t="shared" si="159"/>
        <v/>
      </c>
      <c r="BG146" s="389" t="str">
        <f t="shared" si="159"/>
        <v>🔵 Chưa có hạn</v>
      </c>
      <c r="BH146" s="67" t="str">
        <f t="shared" si="159"/>
        <v/>
      </c>
      <c r="BI146" s="389" t="str">
        <f t="array" ref="BI146">IF($X146="","",SWITCH($W146,3,IFERROR(INDEX('Lớp 3 - Công việc chính'!$AF$14:$AF$73,MATCH($X146,'Lớp 3 - Công việc chính'!$I$14:$I$73,0)),""),4,IFERROR(INDEX('Lớp 4 - Danh mục'!$AI$14:$AI$132,MATCH($X146,'Lớp 4 - Danh mục'!$I$14:$I$132,0)),""),5,IFERROR(INDEX('Lớp 5 - Phân công'!$AJ$14:$AJ$262,MATCH($X146,'Lớp 5 - Phân công'!$I$14:$I$262,0)),""),6,IFERROR(INDEX('Lớp 6 - Chi tiết'!$AM$14:$AM$267,MATCH($X146,'Lớp 6 - Chi tiết'!$I$14:$I$267,0)),""),""))</f>
        <v/>
      </c>
      <c r="BJ146" s="389" t="str">
        <f t="array" ref="BJ146">IF($X146="","",SWITCH($W146,3,IFERROR(INDEX('Lớp 3 - Công việc chính'!$AR$14:$AR$73,MATCH($X146,'Lớp 3 - Công việc chính'!$I$14:$I$73,0)),""),4,IFERROR(INDEX('Lớp 4 - Danh mục'!$AU$14:$AU$132,MATCH($X146,'Lớp 4 - Danh mục'!$I$14:$I$132,0)),""),5,IFERROR(INDEX('Lớp 5 - Phân công'!$AV$14:$AV$262,MATCH($X146,'Lớp 5 - Phân công'!$I$14:$I$262,0)),""),6,IFERROR(INDEX('Lớp 6 - Chi tiết'!$AY$14:$AY$267,MATCH($X146,'Lớp 6 - Chi tiết'!$I$14:$I$267,0)),""),""))</f>
        <v/>
      </c>
    </row>
    <row r="147" ht="15.75" customHeight="1">
      <c r="A147" s="294" t="str">
        <f t="shared" si="12"/>
        <v/>
      </c>
      <c r="B147" s="301" t="str">
        <f t="shared" si="13"/>
        <v/>
      </c>
      <c r="C147" s="301" t="str">
        <f t="shared" si="14"/>
        <v/>
      </c>
      <c r="D147" s="301" t="str">
        <f t="shared" si="15"/>
        <v/>
      </c>
      <c r="E147" s="301" t="str">
        <f t="shared" si="16"/>
        <v/>
      </c>
      <c r="F147" s="317" t="str">
        <f t="shared" si="17"/>
        <v/>
      </c>
      <c r="G147" s="323" t="str">
        <f t="shared" si="18"/>
        <v/>
      </c>
      <c r="H147" s="327" t="str">
        <f t="shared" si="19"/>
        <v/>
      </c>
      <c r="I147" s="327" t="str">
        <f t="shared" si="20"/>
        <v/>
      </c>
      <c r="J147" s="301" t="str">
        <f t="shared" si="21"/>
        <v/>
      </c>
      <c r="K147" s="301" t="str">
        <f t="shared" si="22"/>
        <v/>
      </c>
      <c r="L147" s="344" t="str">
        <f t="array" ref="L147">IF($T147="","",LET(m,MATCH($T147,$AS$24:$AS$700,0),lvl,INDEX($W$24:$W$700,m),id,INDEX($X$24:$X$700,m),SWITCH(lvl,3,"Lớp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7" s="351" t="str">
        <f t="shared" si="23"/>
        <v/>
      </c>
      <c r="N147" s="356" t="str">
        <f t="shared" si="24"/>
        <v/>
      </c>
      <c r="O147" s="358"/>
      <c r="P147" s="360"/>
      <c r="Q147" s="360"/>
      <c r="R147" s="67"/>
      <c r="S147" s="67"/>
      <c r="T147" s="67"/>
      <c r="U147" s="389" t="str">
        <f>IF('Lớp 4 - Danh mục'!I77="","",'Lớp 4 - Danh mục'!J77&amp;"|"&amp;'Lớp 4 - Danh mục'!I77)</f>
        <v/>
      </c>
      <c r="V147" s="389" t="str">
        <f>IF('Lớp 4 - Danh mục'!I77="","","   ├─ "&amp;'Lớp 4 - Danh mục'!O77)</f>
        <v/>
      </c>
      <c r="W147" s="389" t="str">
        <f>IF('Lớp 4 - Danh mục'!I77="","",4)</f>
        <v/>
      </c>
      <c r="X147" s="67" t="str">
        <f>'Lớp 4 - Danh mục'!I77</f>
        <v/>
      </c>
      <c r="Y147" s="67" t="str">
        <f>'Lớp 4 - Danh mục'!J77</f>
        <v/>
      </c>
      <c r="Z147" s="67" t="str">
        <f>'Lớp 4 - Danh mục'!Z77</f>
        <v/>
      </c>
      <c r="AA147" s="67" t="str">
        <f>'Lớp 4 - Danh mục'!X77</f>
        <v/>
      </c>
      <c r="AB147" s="67" t="str">
        <f>'Lớp 4 - Danh mục'!AB77</f>
        <v/>
      </c>
      <c r="AC147" s="67" t="str">
        <f>'Lớp 4 - Danh mục'!AA77</f>
        <v/>
      </c>
      <c r="AD147" s="398" t="str">
        <f>'Lớp 4 - Danh mục'!AF77</f>
        <v/>
      </c>
      <c r="AE147" s="358" t="str">
        <f>'Lớp 4 - Danh mục'!AD77</f>
        <v/>
      </c>
      <c r="AF147" s="187" t="str">
        <f>'Lớp 4 - Danh mục'!AG77</f>
        <v/>
      </c>
      <c r="AG147" s="104" t="str">
        <f>'Lớp 4 - Danh mục'!AH77</f>
        <v/>
      </c>
      <c r="AH147" s="389" t="str">
        <f t="shared" si="27"/>
        <v/>
      </c>
      <c r="AI147" s="389" t="str">
        <f t="shared" si="37"/>
        <v>🔵 Chưa có hạn</v>
      </c>
      <c r="AJ147" s="67" t="str">
        <f>'Lớp 4 - Danh mục'!AK77</f>
        <v/>
      </c>
      <c r="AS147" s="389" t="str">
        <f t="shared" si="97"/>
        <v/>
      </c>
      <c r="AT147" s="389" t="str">
        <f t="shared" si="32"/>
        <v/>
      </c>
      <c r="AU147" s="389" t="str">
        <f t="shared" si="33"/>
        <v/>
      </c>
      <c r="AV147" s="389" t="str">
        <f t="shared" si="34"/>
        <v/>
      </c>
      <c r="AW147" s="389" t="str">
        <f t="shared" si="35"/>
        <v/>
      </c>
      <c r="AX147" s="67" t="str">
        <f t="shared" ref="AX147:BH147" si="160">Z147</f>
        <v/>
      </c>
      <c r="AY147" s="67" t="str">
        <f t="shared" si="160"/>
        <v/>
      </c>
      <c r="AZ147" s="67" t="str">
        <f t="shared" si="160"/>
        <v/>
      </c>
      <c r="BA147" s="67" t="str">
        <f t="shared" si="160"/>
        <v/>
      </c>
      <c r="BB147" s="398" t="str">
        <f t="shared" si="160"/>
        <v/>
      </c>
      <c r="BC147" s="358" t="str">
        <f t="shared" si="160"/>
        <v/>
      </c>
      <c r="BD147" s="187" t="str">
        <f t="shared" si="160"/>
        <v/>
      </c>
      <c r="BE147" s="104" t="str">
        <f t="shared" si="160"/>
        <v/>
      </c>
      <c r="BF147" s="389" t="str">
        <f t="shared" si="160"/>
        <v/>
      </c>
      <c r="BG147" s="389" t="str">
        <f t="shared" si="160"/>
        <v>🔵 Chưa có hạn</v>
      </c>
      <c r="BH147" s="67" t="str">
        <f t="shared" si="160"/>
        <v/>
      </c>
      <c r="BI147" s="389" t="str">
        <f t="array" ref="BI147">IF($X147="","",SWITCH($W147,3,IFERROR(INDEX('Lớp 3 - Công việc chính'!$AF$14:$AF$73,MATCH($X147,'Lớp 3 - Công việc chính'!$I$14:$I$73,0)),""),4,IFERROR(INDEX('Lớp 4 - Danh mục'!$AI$14:$AI$132,MATCH($X147,'Lớp 4 - Danh mục'!$I$14:$I$132,0)),""),5,IFERROR(INDEX('Lớp 5 - Phân công'!$AJ$14:$AJ$262,MATCH($X147,'Lớp 5 - Phân công'!$I$14:$I$262,0)),""),6,IFERROR(INDEX('Lớp 6 - Chi tiết'!$AM$14:$AM$267,MATCH($X147,'Lớp 6 - Chi tiết'!$I$14:$I$267,0)),""),""))</f>
        <v/>
      </c>
      <c r="BJ147" s="389" t="str">
        <f t="array" ref="BJ147">IF($X147="","",SWITCH($W147,3,IFERROR(INDEX('Lớp 3 - Công việc chính'!$AR$14:$AR$73,MATCH($X147,'Lớp 3 - Công việc chính'!$I$14:$I$73,0)),""),4,IFERROR(INDEX('Lớp 4 - Danh mục'!$AU$14:$AU$132,MATCH($X147,'Lớp 4 - Danh mục'!$I$14:$I$132,0)),""),5,IFERROR(INDEX('Lớp 5 - Phân công'!$AV$14:$AV$262,MATCH($X147,'Lớp 5 - Phân công'!$I$14:$I$262,0)),""),6,IFERROR(INDEX('Lớp 6 - Chi tiết'!$AY$14:$AY$267,MATCH($X147,'Lớp 6 - Chi tiết'!$I$14:$I$267,0)),""),""))</f>
        <v/>
      </c>
    </row>
    <row r="148" ht="15.75" customHeight="1">
      <c r="A148" s="294" t="str">
        <f t="shared" si="12"/>
        <v/>
      </c>
      <c r="B148" s="301" t="str">
        <f t="shared" si="13"/>
        <v/>
      </c>
      <c r="C148" s="301" t="str">
        <f t="shared" si="14"/>
        <v/>
      </c>
      <c r="D148" s="301" t="str">
        <f t="shared" si="15"/>
        <v/>
      </c>
      <c r="E148" s="301" t="str">
        <f t="shared" si="16"/>
        <v/>
      </c>
      <c r="F148" s="317" t="str">
        <f t="shared" si="17"/>
        <v/>
      </c>
      <c r="G148" s="323" t="str">
        <f t="shared" si="18"/>
        <v/>
      </c>
      <c r="H148" s="327" t="str">
        <f t="shared" si="19"/>
        <v/>
      </c>
      <c r="I148" s="327" t="str">
        <f t="shared" si="20"/>
        <v/>
      </c>
      <c r="J148" s="301" t="str">
        <f t="shared" si="21"/>
        <v/>
      </c>
      <c r="K148" s="301" t="str">
        <f t="shared" si="22"/>
        <v/>
      </c>
      <c r="L148" s="344" t="str">
        <f t="array" ref="L148">IF($T148="","",LET(m,MATCH($T148,$AS$24:$AS$700,0),lvl,INDEX($W$24:$W$700,m),id,INDEX($X$24:$X$700,m),SWITCH(lvl,3,"Lớp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8" s="351" t="str">
        <f t="shared" si="23"/>
        <v/>
      </c>
      <c r="N148" s="356" t="str">
        <f t="shared" si="24"/>
        <v/>
      </c>
      <c r="O148" s="358"/>
      <c r="P148" s="360"/>
      <c r="Q148" s="360"/>
      <c r="R148" s="67"/>
      <c r="S148" s="67"/>
      <c r="T148" s="67"/>
      <c r="U148" s="389" t="str">
        <f>IF('Lớp 4 - Danh mục'!I78="","",'Lớp 4 - Danh mục'!J78&amp;"|"&amp;'Lớp 4 - Danh mục'!I78)</f>
        <v/>
      </c>
      <c r="V148" s="389" t="str">
        <f>IF('Lớp 4 - Danh mục'!I78="","","   ├─ "&amp;'Lớp 4 - Danh mục'!O78)</f>
        <v/>
      </c>
      <c r="W148" s="389" t="str">
        <f>IF('Lớp 4 - Danh mục'!I78="","",4)</f>
        <v/>
      </c>
      <c r="X148" s="67" t="str">
        <f>'Lớp 4 - Danh mục'!I78</f>
        <v/>
      </c>
      <c r="Y148" s="67" t="str">
        <f>'Lớp 4 - Danh mục'!J78</f>
        <v/>
      </c>
      <c r="Z148" s="67" t="str">
        <f>'Lớp 4 - Danh mục'!Z78</f>
        <v/>
      </c>
      <c r="AA148" s="67" t="str">
        <f>'Lớp 4 - Danh mục'!X78</f>
        <v/>
      </c>
      <c r="AB148" s="67" t="str">
        <f>'Lớp 4 - Danh mục'!AB78</f>
        <v/>
      </c>
      <c r="AC148" s="67" t="str">
        <f>'Lớp 4 - Danh mục'!AA78</f>
        <v/>
      </c>
      <c r="AD148" s="398" t="str">
        <f>'Lớp 4 - Danh mục'!AF78</f>
        <v/>
      </c>
      <c r="AE148" s="358" t="str">
        <f>'Lớp 4 - Danh mục'!AD78</f>
        <v/>
      </c>
      <c r="AF148" s="187" t="str">
        <f>'Lớp 4 - Danh mục'!AG78</f>
        <v/>
      </c>
      <c r="AG148" s="104" t="str">
        <f>'Lớp 4 - Danh mục'!AH78</f>
        <v/>
      </c>
      <c r="AH148" s="389" t="str">
        <f t="shared" si="27"/>
        <v/>
      </c>
      <c r="AI148" s="389" t="str">
        <f t="shared" si="37"/>
        <v>🔵 Chưa có hạn</v>
      </c>
      <c r="AJ148" s="67" t="str">
        <f>'Lớp 4 - Danh mục'!AK78</f>
        <v/>
      </c>
      <c r="AS148" s="389" t="str">
        <f t="shared" si="97"/>
        <v/>
      </c>
      <c r="AT148" s="389" t="str">
        <f t="shared" si="32"/>
        <v/>
      </c>
      <c r="AU148" s="389" t="str">
        <f t="shared" si="33"/>
        <v/>
      </c>
      <c r="AV148" s="389" t="str">
        <f t="shared" si="34"/>
        <v/>
      </c>
      <c r="AW148" s="389" t="str">
        <f t="shared" si="35"/>
        <v/>
      </c>
      <c r="AX148" s="67" t="str">
        <f t="shared" ref="AX148:BH148" si="161">Z148</f>
        <v/>
      </c>
      <c r="AY148" s="67" t="str">
        <f t="shared" si="161"/>
        <v/>
      </c>
      <c r="AZ148" s="67" t="str">
        <f t="shared" si="161"/>
        <v/>
      </c>
      <c r="BA148" s="67" t="str">
        <f t="shared" si="161"/>
        <v/>
      </c>
      <c r="BB148" s="398" t="str">
        <f t="shared" si="161"/>
        <v/>
      </c>
      <c r="BC148" s="358" t="str">
        <f t="shared" si="161"/>
        <v/>
      </c>
      <c r="BD148" s="187" t="str">
        <f t="shared" si="161"/>
        <v/>
      </c>
      <c r="BE148" s="104" t="str">
        <f t="shared" si="161"/>
        <v/>
      </c>
      <c r="BF148" s="389" t="str">
        <f t="shared" si="161"/>
        <v/>
      </c>
      <c r="BG148" s="389" t="str">
        <f t="shared" si="161"/>
        <v>🔵 Chưa có hạn</v>
      </c>
      <c r="BH148" s="67" t="str">
        <f t="shared" si="161"/>
        <v/>
      </c>
      <c r="BI148" s="389" t="str">
        <f t="array" ref="BI148">IF($X148="","",SWITCH($W148,3,IFERROR(INDEX('Lớp 3 - Công việc chính'!$AF$14:$AF$73,MATCH($X148,'Lớp 3 - Công việc chính'!$I$14:$I$73,0)),""),4,IFERROR(INDEX('Lớp 4 - Danh mục'!$AI$14:$AI$132,MATCH($X148,'Lớp 4 - Danh mục'!$I$14:$I$132,0)),""),5,IFERROR(INDEX('Lớp 5 - Phân công'!$AJ$14:$AJ$262,MATCH($X148,'Lớp 5 - Phân công'!$I$14:$I$262,0)),""),6,IFERROR(INDEX('Lớp 6 - Chi tiết'!$AM$14:$AM$267,MATCH($X148,'Lớp 6 - Chi tiết'!$I$14:$I$267,0)),""),""))</f>
        <v/>
      </c>
      <c r="BJ148" s="389" t="str">
        <f t="array" ref="BJ148">IF($X148="","",SWITCH($W148,3,IFERROR(INDEX('Lớp 3 - Công việc chính'!$AR$14:$AR$73,MATCH($X148,'Lớp 3 - Công việc chính'!$I$14:$I$73,0)),""),4,IFERROR(INDEX('Lớp 4 - Danh mục'!$AU$14:$AU$132,MATCH($X148,'Lớp 4 - Danh mục'!$I$14:$I$132,0)),""),5,IFERROR(INDEX('Lớp 5 - Phân công'!$AV$14:$AV$262,MATCH($X148,'Lớp 5 - Phân công'!$I$14:$I$262,0)),""),6,IFERROR(INDEX('Lớp 6 - Chi tiết'!$AY$14:$AY$267,MATCH($X148,'Lớp 6 - Chi tiết'!$I$14:$I$267,0)),""),""))</f>
        <v/>
      </c>
    </row>
    <row r="149" ht="15.75" customHeight="1">
      <c r="A149" s="294" t="str">
        <f t="shared" si="12"/>
        <v/>
      </c>
      <c r="B149" s="301" t="str">
        <f t="shared" si="13"/>
        <v/>
      </c>
      <c r="C149" s="301" t="str">
        <f t="shared" si="14"/>
        <v/>
      </c>
      <c r="D149" s="301" t="str">
        <f t="shared" si="15"/>
        <v/>
      </c>
      <c r="E149" s="301" t="str">
        <f t="shared" si="16"/>
        <v/>
      </c>
      <c r="F149" s="317" t="str">
        <f t="shared" si="17"/>
        <v/>
      </c>
      <c r="G149" s="323" t="str">
        <f t="shared" si="18"/>
        <v/>
      </c>
      <c r="H149" s="327" t="str">
        <f t="shared" si="19"/>
        <v/>
      </c>
      <c r="I149" s="327" t="str">
        <f t="shared" si="20"/>
        <v/>
      </c>
      <c r="J149" s="301" t="str">
        <f t="shared" si="21"/>
        <v/>
      </c>
      <c r="K149" s="301" t="str">
        <f t="shared" si="22"/>
        <v/>
      </c>
      <c r="L149" s="344" t="str">
        <f t="array" ref="L149">IF($T149="","",LET(m,MATCH($T149,$AS$24:$AS$700,0),lvl,INDEX($W$24:$W$700,m),id,INDEX($X$24:$X$700,m),SWITCH(lvl,3,"Lớp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49" s="351" t="str">
        <f t="shared" si="23"/>
        <v/>
      </c>
      <c r="N149" s="356" t="str">
        <f t="shared" si="24"/>
        <v/>
      </c>
      <c r="O149" s="358"/>
      <c r="P149" s="360"/>
      <c r="Q149" s="360"/>
      <c r="R149" s="67"/>
      <c r="S149" s="67"/>
      <c r="T149" s="67"/>
      <c r="U149" s="389" t="str">
        <f>IF('Lớp 4 - Danh mục'!I79="","",'Lớp 4 - Danh mục'!J79&amp;"|"&amp;'Lớp 4 - Danh mục'!I79)</f>
        <v/>
      </c>
      <c r="V149" s="389" t="str">
        <f>IF('Lớp 4 - Danh mục'!I79="","","   ├─ "&amp;'Lớp 4 - Danh mục'!O79)</f>
        <v/>
      </c>
      <c r="W149" s="389" t="str">
        <f>IF('Lớp 4 - Danh mục'!I79="","",4)</f>
        <v/>
      </c>
      <c r="X149" s="67" t="str">
        <f>'Lớp 4 - Danh mục'!I79</f>
        <v/>
      </c>
      <c r="Y149" s="67" t="str">
        <f>'Lớp 4 - Danh mục'!J79</f>
        <v/>
      </c>
      <c r="Z149" s="67" t="str">
        <f>'Lớp 4 - Danh mục'!Z79</f>
        <v/>
      </c>
      <c r="AA149" s="67" t="str">
        <f>'Lớp 4 - Danh mục'!X79</f>
        <v/>
      </c>
      <c r="AB149" s="67" t="str">
        <f>'Lớp 4 - Danh mục'!AB79</f>
        <v/>
      </c>
      <c r="AC149" s="67" t="str">
        <f>'Lớp 4 - Danh mục'!AA79</f>
        <v/>
      </c>
      <c r="AD149" s="398" t="str">
        <f>'Lớp 4 - Danh mục'!AF79</f>
        <v/>
      </c>
      <c r="AE149" s="358" t="str">
        <f>'Lớp 4 - Danh mục'!AD79</f>
        <v/>
      </c>
      <c r="AF149" s="187" t="str">
        <f>'Lớp 4 - Danh mục'!AG79</f>
        <v/>
      </c>
      <c r="AG149" s="104" t="str">
        <f>'Lớp 4 - Danh mục'!AH79</f>
        <v/>
      </c>
      <c r="AH149" s="389" t="str">
        <f t="shared" si="27"/>
        <v/>
      </c>
      <c r="AI149" s="389" t="str">
        <f t="shared" si="37"/>
        <v>🔵 Chưa có hạn</v>
      </c>
      <c r="AJ149" s="67" t="str">
        <f>'Lớp 4 - Danh mục'!AK79</f>
        <v/>
      </c>
      <c r="AS149" s="389" t="str">
        <f t="shared" si="97"/>
        <v/>
      </c>
      <c r="AT149" s="389" t="str">
        <f t="shared" si="32"/>
        <v/>
      </c>
      <c r="AU149" s="389" t="str">
        <f t="shared" si="33"/>
        <v/>
      </c>
      <c r="AV149" s="389" t="str">
        <f t="shared" si="34"/>
        <v/>
      </c>
      <c r="AW149" s="389" t="str">
        <f t="shared" si="35"/>
        <v/>
      </c>
      <c r="AX149" s="67" t="str">
        <f t="shared" ref="AX149:BH149" si="162">Z149</f>
        <v/>
      </c>
      <c r="AY149" s="67" t="str">
        <f t="shared" si="162"/>
        <v/>
      </c>
      <c r="AZ149" s="67" t="str">
        <f t="shared" si="162"/>
        <v/>
      </c>
      <c r="BA149" s="67" t="str">
        <f t="shared" si="162"/>
        <v/>
      </c>
      <c r="BB149" s="398" t="str">
        <f t="shared" si="162"/>
        <v/>
      </c>
      <c r="BC149" s="358" t="str">
        <f t="shared" si="162"/>
        <v/>
      </c>
      <c r="BD149" s="187" t="str">
        <f t="shared" si="162"/>
        <v/>
      </c>
      <c r="BE149" s="104" t="str">
        <f t="shared" si="162"/>
        <v/>
      </c>
      <c r="BF149" s="389" t="str">
        <f t="shared" si="162"/>
        <v/>
      </c>
      <c r="BG149" s="389" t="str">
        <f t="shared" si="162"/>
        <v>🔵 Chưa có hạn</v>
      </c>
      <c r="BH149" s="67" t="str">
        <f t="shared" si="162"/>
        <v/>
      </c>
      <c r="BI149" s="389" t="str">
        <f t="array" ref="BI149">IF($X149="","",SWITCH($W149,3,IFERROR(INDEX('Lớp 3 - Công việc chính'!$AF$14:$AF$73,MATCH($X149,'Lớp 3 - Công việc chính'!$I$14:$I$73,0)),""),4,IFERROR(INDEX('Lớp 4 - Danh mục'!$AI$14:$AI$132,MATCH($X149,'Lớp 4 - Danh mục'!$I$14:$I$132,0)),""),5,IFERROR(INDEX('Lớp 5 - Phân công'!$AJ$14:$AJ$262,MATCH($X149,'Lớp 5 - Phân công'!$I$14:$I$262,0)),""),6,IFERROR(INDEX('Lớp 6 - Chi tiết'!$AM$14:$AM$267,MATCH($X149,'Lớp 6 - Chi tiết'!$I$14:$I$267,0)),""),""))</f>
        <v/>
      </c>
      <c r="BJ149" s="389" t="str">
        <f t="array" ref="BJ149">IF($X149="","",SWITCH($W149,3,IFERROR(INDEX('Lớp 3 - Công việc chính'!$AR$14:$AR$73,MATCH($X149,'Lớp 3 - Công việc chính'!$I$14:$I$73,0)),""),4,IFERROR(INDEX('Lớp 4 - Danh mục'!$AU$14:$AU$132,MATCH($X149,'Lớp 4 - Danh mục'!$I$14:$I$132,0)),""),5,IFERROR(INDEX('Lớp 5 - Phân công'!$AV$14:$AV$262,MATCH($X149,'Lớp 5 - Phân công'!$I$14:$I$262,0)),""),6,IFERROR(INDEX('Lớp 6 - Chi tiết'!$AY$14:$AY$267,MATCH($X149,'Lớp 6 - Chi tiết'!$I$14:$I$267,0)),""),""))</f>
        <v/>
      </c>
    </row>
    <row r="150" ht="15.75" customHeight="1">
      <c r="A150" s="294" t="str">
        <f t="shared" si="12"/>
        <v/>
      </c>
      <c r="B150" s="301" t="str">
        <f t="shared" si="13"/>
        <v/>
      </c>
      <c r="C150" s="301" t="str">
        <f t="shared" si="14"/>
        <v/>
      </c>
      <c r="D150" s="301" t="str">
        <f t="shared" si="15"/>
        <v/>
      </c>
      <c r="E150" s="301" t="str">
        <f t="shared" si="16"/>
        <v/>
      </c>
      <c r="F150" s="317" t="str">
        <f t="shared" si="17"/>
        <v/>
      </c>
      <c r="G150" s="323" t="str">
        <f t="shared" si="18"/>
        <v/>
      </c>
      <c r="H150" s="327" t="str">
        <f t="shared" si="19"/>
        <v/>
      </c>
      <c r="I150" s="327" t="str">
        <f t="shared" si="20"/>
        <v/>
      </c>
      <c r="J150" s="301" t="str">
        <f t="shared" si="21"/>
        <v/>
      </c>
      <c r="K150" s="301" t="str">
        <f t="shared" si="22"/>
        <v/>
      </c>
      <c r="L150" s="344" t="str">
        <f t="array" ref="L150">IF($T150="","",LET(m,MATCH($T150,$AS$24:$AS$700,0),lvl,INDEX($W$24:$W$700,m),id,INDEX($X$24:$X$700,m),SWITCH(lvl,3,"Lớp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0" s="351" t="str">
        <f t="shared" si="23"/>
        <v/>
      </c>
      <c r="N150" s="356" t="str">
        <f t="shared" si="24"/>
        <v/>
      </c>
      <c r="O150" s="358"/>
      <c r="P150" s="360"/>
      <c r="Q150" s="360"/>
      <c r="R150" s="67"/>
      <c r="S150" s="67"/>
      <c r="T150" s="67"/>
      <c r="U150" s="389" t="str">
        <f>IF('Lớp 4 - Danh mục'!I80="","",'Lớp 4 - Danh mục'!J80&amp;"|"&amp;'Lớp 4 - Danh mục'!I80)</f>
        <v/>
      </c>
      <c r="V150" s="389" t="str">
        <f>IF('Lớp 4 - Danh mục'!I80="","","   ├─ "&amp;'Lớp 4 - Danh mục'!O80)</f>
        <v/>
      </c>
      <c r="W150" s="389" t="str">
        <f>IF('Lớp 4 - Danh mục'!I80="","",4)</f>
        <v/>
      </c>
      <c r="X150" s="67" t="str">
        <f>'Lớp 4 - Danh mục'!I80</f>
        <v/>
      </c>
      <c r="Y150" s="67" t="str">
        <f>'Lớp 4 - Danh mục'!J80</f>
        <v/>
      </c>
      <c r="Z150" s="67" t="str">
        <f>'Lớp 4 - Danh mục'!Z80</f>
        <v/>
      </c>
      <c r="AA150" s="67" t="str">
        <f>'Lớp 4 - Danh mục'!X80</f>
        <v/>
      </c>
      <c r="AB150" s="67" t="str">
        <f>'Lớp 4 - Danh mục'!AB80</f>
        <v/>
      </c>
      <c r="AC150" s="67" t="str">
        <f>'Lớp 4 - Danh mục'!AA80</f>
        <v/>
      </c>
      <c r="AD150" s="398" t="str">
        <f>'Lớp 4 - Danh mục'!AF80</f>
        <v/>
      </c>
      <c r="AE150" s="358" t="str">
        <f>'Lớp 4 - Danh mục'!AD80</f>
        <v/>
      </c>
      <c r="AF150" s="187" t="str">
        <f>'Lớp 4 - Danh mục'!AG80</f>
        <v/>
      </c>
      <c r="AG150" s="104" t="str">
        <f>'Lớp 4 - Danh mục'!AH80</f>
        <v/>
      </c>
      <c r="AH150" s="389" t="str">
        <f t="shared" si="27"/>
        <v/>
      </c>
      <c r="AI150" s="389" t="str">
        <f t="shared" si="37"/>
        <v>🔵 Chưa có hạn</v>
      </c>
      <c r="AJ150" s="67" t="str">
        <f>'Lớp 4 - Danh mục'!AK80</f>
        <v/>
      </c>
      <c r="AS150" s="389" t="str">
        <f t="shared" si="97"/>
        <v/>
      </c>
      <c r="AT150" s="389" t="str">
        <f t="shared" si="32"/>
        <v/>
      </c>
      <c r="AU150" s="389" t="str">
        <f t="shared" si="33"/>
        <v/>
      </c>
      <c r="AV150" s="389" t="str">
        <f t="shared" si="34"/>
        <v/>
      </c>
      <c r="AW150" s="389" t="str">
        <f t="shared" si="35"/>
        <v/>
      </c>
      <c r="AX150" s="67" t="str">
        <f t="shared" ref="AX150:BH150" si="163">Z150</f>
        <v/>
      </c>
      <c r="AY150" s="67" t="str">
        <f t="shared" si="163"/>
        <v/>
      </c>
      <c r="AZ150" s="67" t="str">
        <f t="shared" si="163"/>
        <v/>
      </c>
      <c r="BA150" s="67" t="str">
        <f t="shared" si="163"/>
        <v/>
      </c>
      <c r="BB150" s="398" t="str">
        <f t="shared" si="163"/>
        <v/>
      </c>
      <c r="BC150" s="358" t="str">
        <f t="shared" si="163"/>
        <v/>
      </c>
      <c r="BD150" s="187" t="str">
        <f t="shared" si="163"/>
        <v/>
      </c>
      <c r="BE150" s="104" t="str">
        <f t="shared" si="163"/>
        <v/>
      </c>
      <c r="BF150" s="389" t="str">
        <f t="shared" si="163"/>
        <v/>
      </c>
      <c r="BG150" s="389" t="str">
        <f t="shared" si="163"/>
        <v>🔵 Chưa có hạn</v>
      </c>
      <c r="BH150" s="67" t="str">
        <f t="shared" si="163"/>
        <v/>
      </c>
      <c r="BI150" s="389" t="str">
        <f t="array" ref="BI150">IF($X150="","",SWITCH($W150,3,IFERROR(INDEX('Lớp 3 - Công việc chính'!$AF$14:$AF$73,MATCH($X150,'Lớp 3 - Công việc chính'!$I$14:$I$73,0)),""),4,IFERROR(INDEX('Lớp 4 - Danh mục'!$AI$14:$AI$132,MATCH($X150,'Lớp 4 - Danh mục'!$I$14:$I$132,0)),""),5,IFERROR(INDEX('Lớp 5 - Phân công'!$AJ$14:$AJ$262,MATCH($X150,'Lớp 5 - Phân công'!$I$14:$I$262,0)),""),6,IFERROR(INDEX('Lớp 6 - Chi tiết'!$AM$14:$AM$267,MATCH($X150,'Lớp 6 - Chi tiết'!$I$14:$I$267,0)),""),""))</f>
        <v/>
      </c>
      <c r="BJ150" s="389" t="str">
        <f t="array" ref="BJ150">IF($X150="","",SWITCH($W150,3,IFERROR(INDEX('Lớp 3 - Công việc chính'!$AR$14:$AR$73,MATCH($X150,'Lớp 3 - Công việc chính'!$I$14:$I$73,0)),""),4,IFERROR(INDEX('Lớp 4 - Danh mục'!$AU$14:$AU$132,MATCH($X150,'Lớp 4 - Danh mục'!$I$14:$I$132,0)),""),5,IFERROR(INDEX('Lớp 5 - Phân công'!$AV$14:$AV$262,MATCH($X150,'Lớp 5 - Phân công'!$I$14:$I$262,0)),""),6,IFERROR(INDEX('Lớp 6 - Chi tiết'!$AY$14:$AY$267,MATCH($X150,'Lớp 6 - Chi tiết'!$I$14:$I$267,0)),""),""))</f>
        <v/>
      </c>
    </row>
    <row r="151" ht="15.75" customHeight="1">
      <c r="A151" s="294" t="str">
        <f t="shared" si="12"/>
        <v/>
      </c>
      <c r="B151" s="301" t="str">
        <f t="shared" si="13"/>
        <v/>
      </c>
      <c r="C151" s="301" t="str">
        <f t="shared" si="14"/>
        <v/>
      </c>
      <c r="D151" s="301" t="str">
        <f t="shared" si="15"/>
        <v/>
      </c>
      <c r="E151" s="301" t="str">
        <f t="shared" si="16"/>
        <v/>
      </c>
      <c r="F151" s="317" t="str">
        <f t="shared" si="17"/>
        <v/>
      </c>
      <c r="G151" s="323" t="str">
        <f t="shared" si="18"/>
        <v/>
      </c>
      <c r="H151" s="327" t="str">
        <f t="shared" si="19"/>
        <v/>
      </c>
      <c r="I151" s="327" t="str">
        <f t="shared" si="20"/>
        <v/>
      </c>
      <c r="J151" s="301" t="str">
        <f t="shared" si="21"/>
        <v/>
      </c>
      <c r="K151" s="301" t="str">
        <f t="shared" si="22"/>
        <v/>
      </c>
      <c r="L151" s="344" t="str">
        <f t="array" ref="L151">IF($T151="","",LET(m,MATCH($T151,$AS$24:$AS$700,0),lvl,INDEX($W$24:$W$700,m),id,INDEX($X$24:$X$700,m),SWITCH(lvl,3,"Lớp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1" s="351" t="str">
        <f t="shared" si="23"/>
        <v/>
      </c>
      <c r="N151" s="356" t="str">
        <f t="shared" si="24"/>
        <v/>
      </c>
      <c r="O151" s="358"/>
      <c r="P151" s="360"/>
      <c r="Q151" s="360"/>
      <c r="R151" s="67"/>
      <c r="S151" s="67"/>
      <c r="T151" s="67"/>
      <c r="U151" s="389" t="str">
        <f>IF('Lớp 4 - Danh mục'!I81="","",'Lớp 4 - Danh mục'!J81&amp;"|"&amp;'Lớp 4 - Danh mục'!I81)</f>
        <v/>
      </c>
      <c r="V151" s="389" t="str">
        <f>IF('Lớp 4 - Danh mục'!I81="","","   ├─ "&amp;'Lớp 4 - Danh mục'!O81)</f>
        <v/>
      </c>
      <c r="W151" s="389" t="str">
        <f>IF('Lớp 4 - Danh mục'!I81="","",4)</f>
        <v/>
      </c>
      <c r="X151" s="67" t="str">
        <f>'Lớp 4 - Danh mục'!I81</f>
        <v/>
      </c>
      <c r="Y151" s="67" t="str">
        <f>'Lớp 4 - Danh mục'!J81</f>
        <v/>
      </c>
      <c r="Z151" s="67" t="str">
        <f>'Lớp 4 - Danh mục'!Z81</f>
        <v/>
      </c>
      <c r="AA151" s="67" t="str">
        <f>'Lớp 4 - Danh mục'!X81</f>
        <v/>
      </c>
      <c r="AB151" s="67" t="str">
        <f>'Lớp 4 - Danh mục'!AB81</f>
        <v/>
      </c>
      <c r="AC151" s="67" t="str">
        <f>'Lớp 4 - Danh mục'!AA81</f>
        <v/>
      </c>
      <c r="AD151" s="398" t="str">
        <f>'Lớp 4 - Danh mục'!AF81</f>
        <v/>
      </c>
      <c r="AE151" s="358" t="str">
        <f>'Lớp 4 - Danh mục'!AD81</f>
        <v/>
      </c>
      <c r="AF151" s="187" t="str">
        <f>'Lớp 4 - Danh mục'!AG81</f>
        <v/>
      </c>
      <c r="AG151" s="104" t="str">
        <f>'Lớp 4 - Danh mục'!AH81</f>
        <v/>
      </c>
      <c r="AH151" s="389" t="str">
        <f t="shared" si="27"/>
        <v/>
      </c>
      <c r="AI151" s="389" t="str">
        <f t="shared" si="37"/>
        <v>🔵 Chưa có hạn</v>
      </c>
      <c r="AJ151" s="67" t="str">
        <f>'Lớp 4 - Danh mục'!AK81</f>
        <v/>
      </c>
      <c r="AS151" s="389" t="str">
        <f t="shared" si="97"/>
        <v/>
      </c>
      <c r="AT151" s="389" t="str">
        <f t="shared" si="32"/>
        <v/>
      </c>
      <c r="AU151" s="389" t="str">
        <f t="shared" si="33"/>
        <v/>
      </c>
      <c r="AV151" s="389" t="str">
        <f t="shared" si="34"/>
        <v/>
      </c>
      <c r="AW151" s="389" t="str">
        <f t="shared" si="35"/>
        <v/>
      </c>
      <c r="AX151" s="67" t="str">
        <f t="shared" ref="AX151:BH151" si="164">Z151</f>
        <v/>
      </c>
      <c r="AY151" s="67" t="str">
        <f t="shared" si="164"/>
        <v/>
      </c>
      <c r="AZ151" s="67" t="str">
        <f t="shared" si="164"/>
        <v/>
      </c>
      <c r="BA151" s="67" t="str">
        <f t="shared" si="164"/>
        <v/>
      </c>
      <c r="BB151" s="398" t="str">
        <f t="shared" si="164"/>
        <v/>
      </c>
      <c r="BC151" s="358" t="str">
        <f t="shared" si="164"/>
        <v/>
      </c>
      <c r="BD151" s="187" t="str">
        <f t="shared" si="164"/>
        <v/>
      </c>
      <c r="BE151" s="104" t="str">
        <f t="shared" si="164"/>
        <v/>
      </c>
      <c r="BF151" s="389" t="str">
        <f t="shared" si="164"/>
        <v/>
      </c>
      <c r="BG151" s="389" t="str">
        <f t="shared" si="164"/>
        <v>🔵 Chưa có hạn</v>
      </c>
      <c r="BH151" s="67" t="str">
        <f t="shared" si="164"/>
        <v/>
      </c>
      <c r="BI151" s="389" t="str">
        <f t="array" ref="BI151">IF($X151="","",SWITCH($W151,3,IFERROR(INDEX('Lớp 3 - Công việc chính'!$AF$14:$AF$73,MATCH($X151,'Lớp 3 - Công việc chính'!$I$14:$I$73,0)),""),4,IFERROR(INDEX('Lớp 4 - Danh mục'!$AI$14:$AI$132,MATCH($X151,'Lớp 4 - Danh mục'!$I$14:$I$132,0)),""),5,IFERROR(INDEX('Lớp 5 - Phân công'!$AJ$14:$AJ$262,MATCH($X151,'Lớp 5 - Phân công'!$I$14:$I$262,0)),""),6,IFERROR(INDEX('Lớp 6 - Chi tiết'!$AM$14:$AM$267,MATCH($X151,'Lớp 6 - Chi tiết'!$I$14:$I$267,0)),""),""))</f>
        <v/>
      </c>
      <c r="BJ151" s="389" t="str">
        <f t="array" ref="BJ151">IF($X151="","",SWITCH($W151,3,IFERROR(INDEX('Lớp 3 - Công việc chính'!$AR$14:$AR$73,MATCH($X151,'Lớp 3 - Công việc chính'!$I$14:$I$73,0)),""),4,IFERROR(INDEX('Lớp 4 - Danh mục'!$AU$14:$AU$132,MATCH($X151,'Lớp 4 - Danh mục'!$I$14:$I$132,0)),""),5,IFERROR(INDEX('Lớp 5 - Phân công'!$AV$14:$AV$262,MATCH($X151,'Lớp 5 - Phân công'!$I$14:$I$262,0)),""),6,IFERROR(INDEX('Lớp 6 - Chi tiết'!$AY$14:$AY$267,MATCH($X151,'Lớp 6 - Chi tiết'!$I$14:$I$267,0)),""),""))</f>
        <v/>
      </c>
    </row>
    <row r="152" ht="15.75" customHeight="1">
      <c r="A152" s="294" t="str">
        <f t="shared" si="12"/>
        <v/>
      </c>
      <c r="B152" s="301" t="str">
        <f t="shared" si="13"/>
        <v/>
      </c>
      <c r="C152" s="301" t="str">
        <f t="shared" si="14"/>
        <v/>
      </c>
      <c r="D152" s="301" t="str">
        <f t="shared" si="15"/>
        <v/>
      </c>
      <c r="E152" s="301" t="str">
        <f t="shared" si="16"/>
        <v/>
      </c>
      <c r="F152" s="317" t="str">
        <f t="shared" si="17"/>
        <v/>
      </c>
      <c r="G152" s="323" t="str">
        <f t="shared" si="18"/>
        <v/>
      </c>
      <c r="H152" s="327" t="str">
        <f t="shared" si="19"/>
        <v/>
      </c>
      <c r="I152" s="327" t="str">
        <f t="shared" si="20"/>
        <v/>
      </c>
      <c r="J152" s="301" t="str">
        <f t="shared" si="21"/>
        <v/>
      </c>
      <c r="K152" s="301" t="str">
        <f t="shared" si="22"/>
        <v/>
      </c>
      <c r="L152" s="344" t="str">
        <f t="array" ref="L152">IF($T152="","",LET(m,MATCH($T152,$AS$24:$AS$700,0),lvl,INDEX($W$24:$W$700,m),id,INDEX($X$24:$X$700,m),SWITCH(lvl,3,"Lớp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2" s="351" t="str">
        <f t="shared" si="23"/>
        <v/>
      </c>
      <c r="N152" s="356" t="str">
        <f t="shared" si="24"/>
        <v/>
      </c>
      <c r="O152" s="358"/>
      <c r="P152" s="360"/>
      <c r="Q152" s="360"/>
      <c r="R152" s="67"/>
      <c r="S152" s="67"/>
      <c r="T152" s="67"/>
      <c r="U152" s="389" t="str">
        <f>IF('Lớp 4 - Danh mục'!I82="","",'Lớp 4 - Danh mục'!J82&amp;"|"&amp;'Lớp 4 - Danh mục'!I82)</f>
        <v/>
      </c>
      <c r="V152" s="389" t="str">
        <f>IF('Lớp 4 - Danh mục'!I82="","","   ├─ "&amp;'Lớp 4 - Danh mục'!O82)</f>
        <v/>
      </c>
      <c r="W152" s="389" t="str">
        <f>IF('Lớp 4 - Danh mục'!I82="","",4)</f>
        <v/>
      </c>
      <c r="X152" s="67" t="str">
        <f>'Lớp 4 - Danh mục'!I82</f>
        <v/>
      </c>
      <c r="Y152" s="67" t="str">
        <f>'Lớp 4 - Danh mục'!J82</f>
        <v/>
      </c>
      <c r="Z152" s="67" t="str">
        <f>'Lớp 4 - Danh mục'!Z82</f>
        <v/>
      </c>
      <c r="AA152" s="67" t="str">
        <f>'Lớp 4 - Danh mục'!X82</f>
        <v/>
      </c>
      <c r="AB152" s="67" t="str">
        <f>'Lớp 4 - Danh mục'!AB82</f>
        <v/>
      </c>
      <c r="AC152" s="67" t="str">
        <f>'Lớp 4 - Danh mục'!AA82</f>
        <v/>
      </c>
      <c r="AD152" s="398" t="str">
        <f>'Lớp 4 - Danh mục'!AF82</f>
        <v/>
      </c>
      <c r="AE152" s="358" t="str">
        <f>'Lớp 4 - Danh mục'!AD82</f>
        <v/>
      </c>
      <c r="AF152" s="187" t="str">
        <f>'Lớp 4 - Danh mục'!AG82</f>
        <v/>
      </c>
      <c r="AG152" s="104" t="str">
        <f>'Lớp 4 - Danh mục'!AH82</f>
        <v/>
      </c>
      <c r="AH152" s="389" t="str">
        <f t="shared" si="27"/>
        <v/>
      </c>
      <c r="AI152" s="389" t="str">
        <f t="shared" si="37"/>
        <v>🔵 Chưa có hạn</v>
      </c>
      <c r="AJ152" s="67" t="str">
        <f>'Lớp 4 - Danh mục'!AK82</f>
        <v/>
      </c>
      <c r="AS152" s="389" t="str">
        <f t="shared" si="97"/>
        <v/>
      </c>
      <c r="AT152" s="389" t="str">
        <f t="shared" si="32"/>
        <v/>
      </c>
      <c r="AU152" s="389" t="str">
        <f t="shared" si="33"/>
        <v/>
      </c>
      <c r="AV152" s="389" t="str">
        <f t="shared" si="34"/>
        <v/>
      </c>
      <c r="AW152" s="389" t="str">
        <f t="shared" si="35"/>
        <v/>
      </c>
      <c r="AX152" s="67" t="str">
        <f t="shared" ref="AX152:BH152" si="165">Z152</f>
        <v/>
      </c>
      <c r="AY152" s="67" t="str">
        <f t="shared" si="165"/>
        <v/>
      </c>
      <c r="AZ152" s="67" t="str">
        <f t="shared" si="165"/>
        <v/>
      </c>
      <c r="BA152" s="67" t="str">
        <f t="shared" si="165"/>
        <v/>
      </c>
      <c r="BB152" s="398" t="str">
        <f t="shared" si="165"/>
        <v/>
      </c>
      <c r="BC152" s="358" t="str">
        <f t="shared" si="165"/>
        <v/>
      </c>
      <c r="BD152" s="187" t="str">
        <f t="shared" si="165"/>
        <v/>
      </c>
      <c r="BE152" s="104" t="str">
        <f t="shared" si="165"/>
        <v/>
      </c>
      <c r="BF152" s="389" t="str">
        <f t="shared" si="165"/>
        <v/>
      </c>
      <c r="BG152" s="389" t="str">
        <f t="shared" si="165"/>
        <v>🔵 Chưa có hạn</v>
      </c>
      <c r="BH152" s="67" t="str">
        <f t="shared" si="165"/>
        <v/>
      </c>
      <c r="BI152" s="389" t="str">
        <f t="array" ref="BI152">IF($X152="","",SWITCH($W152,3,IFERROR(INDEX('Lớp 3 - Công việc chính'!$AF$14:$AF$73,MATCH($X152,'Lớp 3 - Công việc chính'!$I$14:$I$73,0)),""),4,IFERROR(INDEX('Lớp 4 - Danh mục'!$AI$14:$AI$132,MATCH($X152,'Lớp 4 - Danh mục'!$I$14:$I$132,0)),""),5,IFERROR(INDEX('Lớp 5 - Phân công'!$AJ$14:$AJ$262,MATCH($X152,'Lớp 5 - Phân công'!$I$14:$I$262,0)),""),6,IFERROR(INDEX('Lớp 6 - Chi tiết'!$AM$14:$AM$267,MATCH($X152,'Lớp 6 - Chi tiết'!$I$14:$I$267,0)),""),""))</f>
        <v/>
      </c>
      <c r="BJ152" s="389" t="str">
        <f t="array" ref="BJ152">IF($X152="","",SWITCH($W152,3,IFERROR(INDEX('Lớp 3 - Công việc chính'!$AR$14:$AR$73,MATCH($X152,'Lớp 3 - Công việc chính'!$I$14:$I$73,0)),""),4,IFERROR(INDEX('Lớp 4 - Danh mục'!$AU$14:$AU$132,MATCH($X152,'Lớp 4 - Danh mục'!$I$14:$I$132,0)),""),5,IFERROR(INDEX('Lớp 5 - Phân công'!$AV$14:$AV$262,MATCH($X152,'Lớp 5 - Phân công'!$I$14:$I$262,0)),""),6,IFERROR(INDEX('Lớp 6 - Chi tiết'!$AY$14:$AY$267,MATCH($X152,'Lớp 6 - Chi tiết'!$I$14:$I$267,0)),""),""))</f>
        <v/>
      </c>
    </row>
    <row r="153" ht="15.75" customHeight="1">
      <c r="A153" s="294" t="str">
        <f t="shared" si="12"/>
        <v/>
      </c>
      <c r="B153" s="301" t="str">
        <f t="shared" si="13"/>
        <v/>
      </c>
      <c r="C153" s="301" t="str">
        <f t="shared" si="14"/>
        <v/>
      </c>
      <c r="D153" s="301" t="str">
        <f t="shared" si="15"/>
        <v/>
      </c>
      <c r="E153" s="301" t="str">
        <f t="shared" si="16"/>
        <v/>
      </c>
      <c r="F153" s="317" t="str">
        <f t="shared" si="17"/>
        <v/>
      </c>
      <c r="G153" s="323" t="str">
        <f t="shared" si="18"/>
        <v/>
      </c>
      <c r="H153" s="327" t="str">
        <f t="shared" si="19"/>
        <v/>
      </c>
      <c r="I153" s="327" t="str">
        <f t="shared" si="20"/>
        <v/>
      </c>
      <c r="J153" s="301" t="str">
        <f t="shared" si="21"/>
        <v/>
      </c>
      <c r="K153" s="301" t="str">
        <f t="shared" si="22"/>
        <v/>
      </c>
      <c r="L153" s="344" t="str">
        <f t="array" ref="L153">IF($T153="","",LET(m,MATCH($T153,$AS$24:$AS$700,0),lvl,INDEX($W$24:$W$700,m),id,INDEX($X$24:$X$700,m),SWITCH(lvl,3,"Lớp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3" s="351" t="str">
        <f t="shared" si="23"/>
        <v/>
      </c>
      <c r="N153" s="356" t="str">
        <f t="shared" si="24"/>
        <v/>
      </c>
      <c r="O153" s="358"/>
      <c r="P153" s="360"/>
      <c r="Q153" s="360"/>
      <c r="R153" s="67"/>
      <c r="S153" s="67"/>
      <c r="T153" s="67"/>
      <c r="U153" s="389" t="str">
        <f>IF('Lớp 4 - Danh mục'!I83="","",'Lớp 4 - Danh mục'!J83&amp;"|"&amp;'Lớp 4 - Danh mục'!I83)</f>
        <v/>
      </c>
      <c r="V153" s="389" t="str">
        <f>IF('Lớp 4 - Danh mục'!I83="","","   ├─ "&amp;'Lớp 4 - Danh mục'!O83)</f>
        <v/>
      </c>
      <c r="W153" s="389" t="str">
        <f>IF('Lớp 4 - Danh mục'!I83="","",4)</f>
        <v/>
      </c>
      <c r="X153" s="67" t="str">
        <f>'Lớp 4 - Danh mục'!I83</f>
        <v/>
      </c>
      <c r="Y153" s="67" t="str">
        <f>'Lớp 4 - Danh mục'!J83</f>
        <v/>
      </c>
      <c r="Z153" s="67" t="str">
        <f>'Lớp 4 - Danh mục'!Z83</f>
        <v/>
      </c>
      <c r="AA153" s="67" t="str">
        <f>'Lớp 4 - Danh mục'!X83</f>
        <v/>
      </c>
      <c r="AB153" s="67" t="str">
        <f>'Lớp 4 - Danh mục'!AB83</f>
        <v/>
      </c>
      <c r="AC153" s="67" t="str">
        <f>'Lớp 4 - Danh mục'!AA83</f>
        <v/>
      </c>
      <c r="AD153" s="398" t="str">
        <f>'Lớp 4 - Danh mục'!AF83</f>
        <v/>
      </c>
      <c r="AE153" s="358" t="str">
        <f>'Lớp 4 - Danh mục'!AD83</f>
        <v/>
      </c>
      <c r="AF153" s="187" t="str">
        <f>'Lớp 4 - Danh mục'!AG83</f>
        <v/>
      </c>
      <c r="AG153" s="104" t="str">
        <f>'Lớp 4 - Danh mục'!AH83</f>
        <v/>
      </c>
      <c r="AH153" s="389" t="str">
        <f t="shared" si="27"/>
        <v/>
      </c>
      <c r="AI153" s="389" t="str">
        <f t="shared" si="37"/>
        <v>🔵 Chưa có hạn</v>
      </c>
      <c r="AJ153" s="67" t="str">
        <f>'Lớp 4 - Danh mục'!AK83</f>
        <v/>
      </c>
      <c r="AS153" s="389" t="str">
        <f t="shared" si="97"/>
        <v/>
      </c>
      <c r="AT153" s="389" t="str">
        <f t="shared" si="32"/>
        <v/>
      </c>
      <c r="AU153" s="389" t="str">
        <f t="shared" si="33"/>
        <v/>
      </c>
      <c r="AV153" s="389" t="str">
        <f t="shared" si="34"/>
        <v/>
      </c>
      <c r="AW153" s="389" t="str">
        <f t="shared" si="35"/>
        <v/>
      </c>
      <c r="AX153" s="67" t="str">
        <f t="shared" ref="AX153:BH153" si="166">Z153</f>
        <v/>
      </c>
      <c r="AY153" s="67" t="str">
        <f t="shared" si="166"/>
        <v/>
      </c>
      <c r="AZ153" s="67" t="str">
        <f t="shared" si="166"/>
        <v/>
      </c>
      <c r="BA153" s="67" t="str">
        <f t="shared" si="166"/>
        <v/>
      </c>
      <c r="BB153" s="398" t="str">
        <f t="shared" si="166"/>
        <v/>
      </c>
      <c r="BC153" s="358" t="str">
        <f t="shared" si="166"/>
        <v/>
      </c>
      <c r="BD153" s="187" t="str">
        <f t="shared" si="166"/>
        <v/>
      </c>
      <c r="BE153" s="104" t="str">
        <f t="shared" si="166"/>
        <v/>
      </c>
      <c r="BF153" s="389" t="str">
        <f t="shared" si="166"/>
        <v/>
      </c>
      <c r="BG153" s="389" t="str">
        <f t="shared" si="166"/>
        <v>🔵 Chưa có hạn</v>
      </c>
      <c r="BH153" s="67" t="str">
        <f t="shared" si="166"/>
        <v/>
      </c>
      <c r="BI153" s="389" t="str">
        <f t="array" ref="BI153">IF($X153="","",SWITCH($W153,3,IFERROR(INDEX('Lớp 3 - Công việc chính'!$AF$14:$AF$73,MATCH($X153,'Lớp 3 - Công việc chính'!$I$14:$I$73,0)),""),4,IFERROR(INDEX('Lớp 4 - Danh mục'!$AI$14:$AI$132,MATCH($X153,'Lớp 4 - Danh mục'!$I$14:$I$132,0)),""),5,IFERROR(INDEX('Lớp 5 - Phân công'!$AJ$14:$AJ$262,MATCH($X153,'Lớp 5 - Phân công'!$I$14:$I$262,0)),""),6,IFERROR(INDEX('Lớp 6 - Chi tiết'!$AM$14:$AM$267,MATCH($X153,'Lớp 6 - Chi tiết'!$I$14:$I$267,0)),""),""))</f>
        <v/>
      </c>
      <c r="BJ153" s="389" t="str">
        <f t="array" ref="BJ153">IF($X153="","",SWITCH($W153,3,IFERROR(INDEX('Lớp 3 - Công việc chính'!$AR$14:$AR$73,MATCH($X153,'Lớp 3 - Công việc chính'!$I$14:$I$73,0)),""),4,IFERROR(INDEX('Lớp 4 - Danh mục'!$AU$14:$AU$132,MATCH($X153,'Lớp 4 - Danh mục'!$I$14:$I$132,0)),""),5,IFERROR(INDEX('Lớp 5 - Phân công'!$AV$14:$AV$262,MATCH($X153,'Lớp 5 - Phân công'!$I$14:$I$262,0)),""),6,IFERROR(INDEX('Lớp 6 - Chi tiết'!$AY$14:$AY$267,MATCH($X153,'Lớp 6 - Chi tiết'!$I$14:$I$267,0)),""),""))</f>
        <v/>
      </c>
    </row>
    <row r="154" ht="15.75" customHeight="1">
      <c r="A154" s="294" t="str">
        <f t="shared" si="12"/>
        <v/>
      </c>
      <c r="B154" s="301" t="str">
        <f t="shared" si="13"/>
        <v/>
      </c>
      <c r="C154" s="301" t="str">
        <f t="shared" si="14"/>
        <v/>
      </c>
      <c r="D154" s="301" t="str">
        <f t="shared" si="15"/>
        <v/>
      </c>
      <c r="E154" s="301" t="str">
        <f t="shared" si="16"/>
        <v/>
      </c>
      <c r="F154" s="317" t="str">
        <f t="shared" si="17"/>
        <v/>
      </c>
      <c r="G154" s="323" t="str">
        <f t="shared" si="18"/>
        <v/>
      </c>
      <c r="H154" s="327" t="str">
        <f t="shared" si="19"/>
        <v/>
      </c>
      <c r="I154" s="327" t="str">
        <f t="shared" si="20"/>
        <v/>
      </c>
      <c r="J154" s="301" t="str">
        <f t="shared" si="21"/>
        <v/>
      </c>
      <c r="K154" s="301" t="str">
        <f t="shared" si="22"/>
        <v/>
      </c>
      <c r="L154" s="344" t="str">
        <f t="array" ref="L154">IF($T154="","",LET(m,MATCH($T154,$AS$24:$AS$700,0),lvl,INDEX($W$24:$W$700,m),id,INDEX($X$24:$X$700,m),SWITCH(lvl,3,"Lớp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4" s="351" t="str">
        <f t="shared" si="23"/>
        <v/>
      </c>
      <c r="N154" s="356" t="str">
        <f t="shared" si="24"/>
        <v/>
      </c>
      <c r="O154" s="358"/>
      <c r="P154" s="360"/>
      <c r="Q154" s="360"/>
      <c r="R154" s="67"/>
      <c r="S154" s="67"/>
      <c r="T154" s="67"/>
      <c r="U154" s="389" t="str">
        <f>IF('Lớp 4 - Danh mục'!I84="","",'Lớp 4 - Danh mục'!J84&amp;"|"&amp;'Lớp 4 - Danh mục'!I84)</f>
        <v/>
      </c>
      <c r="V154" s="389" t="str">
        <f>IF('Lớp 4 - Danh mục'!I84="","","   ├─ "&amp;'Lớp 4 - Danh mục'!O84)</f>
        <v/>
      </c>
      <c r="W154" s="389" t="str">
        <f>IF('Lớp 4 - Danh mục'!I84="","",4)</f>
        <v/>
      </c>
      <c r="X154" s="67" t="str">
        <f>'Lớp 4 - Danh mục'!I84</f>
        <v/>
      </c>
      <c r="Y154" s="67" t="str">
        <f>'Lớp 4 - Danh mục'!J84</f>
        <v/>
      </c>
      <c r="Z154" s="67" t="str">
        <f>'Lớp 4 - Danh mục'!Z84</f>
        <v/>
      </c>
      <c r="AA154" s="67" t="str">
        <f>'Lớp 4 - Danh mục'!X84</f>
        <v/>
      </c>
      <c r="AB154" s="67" t="str">
        <f>'Lớp 4 - Danh mục'!AB84</f>
        <v/>
      </c>
      <c r="AC154" s="67" t="str">
        <f>'Lớp 4 - Danh mục'!AA84</f>
        <v/>
      </c>
      <c r="AD154" s="398" t="str">
        <f>'Lớp 4 - Danh mục'!AF84</f>
        <v/>
      </c>
      <c r="AE154" s="358" t="str">
        <f>'Lớp 4 - Danh mục'!AD84</f>
        <v/>
      </c>
      <c r="AF154" s="187" t="str">
        <f>'Lớp 4 - Danh mục'!AG84</f>
        <v/>
      </c>
      <c r="AG154" s="104" t="str">
        <f>'Lớp 4 - Danh mục'!AH84</f>
        <v/>
      </c>
      <c r="AH154" s="389" t="str">
        <f t="shared" si="27"/>
        <v/>
      </c>
      <c r="AI154" s="389" t="str">
        <f t="shared" si="37"/>
        <v>🔵 Chưa có hạn</v>
      </c>
      <c r="AJ154" s="67" t="str">
        <f>'Lớp 4 - Danh mục'!AK84</f>
        <v/>
      </c>
      <c r="AS154" s="389" t="str">
        <f t="shared" si="97"/>
        <v/>
      </c>
      <c r="AT154" s="389" t="str">
        <f t="shared" si="32"/>
        <v/>
      </c>
      <c r="AU154" s="389" t="str">
        <f t="shared" si="33"/>
        <v/>
      </c>
      <c r="AV154" s="389" t="str">
        <f t="shared" si="34"/>
        <v/>
      </c>
      <c r="AW154" s="389" t="str">
        <f t="shared" si="35"/>
        <v/>
      </c>
      <c r="AX154" s="67" t="str">
        <f t="shared" ref="AX154:BH154" si="167">Z154</f>
        <v/>
      </c>
      <c r="AY154" s="67" t="str">
        <f t="shared" si="167"/>
        <v/>
      </c>
      <c r="AZ154" s="67" t="str">
        <f t="shared" si="167"/>
        <v/>
      </c>
      <c r="BA154" s="67" t="str">
        <f t="shared" si="167"/>
        <v/>
      </c>
      <c r="BB154" s="398" t="str">
        <f t="shared" si="167"/>
        <v/>
      </c>
      <c r="BC154" s="358" t="str">
        <f t="shared" si="167"/>
        <v/>
      </c>
      <c r="BD154" s="187" t="str">
        <f t="shared" si="167"/>
        <v/>
      </c>
      <c r="BE154" s="104" t="str">
        <f t="shared" si="167"/>
        <v/>
      </c>
      <c r="BF154" s="389" t="str">
        <f t="shared" si="167"/>
        <v/>
      </c>
      <c r="BG154" s="389" t="str">
        <f t="shared" si="167"/>
        <v>🔵 Chưa có hạn</v>
      </c>
      <c r="BH154" s="67" t="str">
        <f t="shared" si="167"/>
        <v/>
      </c>
      <c r="BI154" s="389" t="str">
        <f t="array" ref="BI154">IF($X154="","",SWITCH($W154,3,IFERROR(INDEX('Lớp 3 - Công việc chính'!$AF$14:$AF$73,MATCH($X154,'Lớp 3 - Công việc chính'!$I$14:$I$73,0)),""),4,IFERROR(INDEX('Lớp 4 - Danh mục'!$AI$14:$AI$132,MATCH($X154,'Lớp 4 - Danh mục'!$I$14:$I$132,0)),""),5,IFERROR(INDEX('Lớp 5 - Phân công'!$AJ$14:$AJ$262,MATCH($X154,'Lớp 5 - Phân công'!$I$14:$I$262,0)),""),6,IFERROR(INDEX('Lớp 6 - Chi tiết'!$AM$14:$AM$267,MATCH($X154,'Lớp 6 - Chi tiết'!$I$14:$I$267,0)),""),""))</f>
        <v/>
      </c>
      <c r="BJ154" s="389" t="str">
        <f t="array" ref="BJ154">IF($X154="","",SWITCH($W154,3,IFERROR(INDEX('Lớp 3 - Công việc chính'!$AR$14:$AR$73,MATCH($X154,'Lớp 3 - Công việc chính'!$I$14:$I$73,0)),""),4,IFERROR(INDEX('Lớp 4 - Danh mục'!$AU$14:$AU$132,MATCH($X154,'Lớp 4 - Danh mục'!$I$14:$I$132,0)),""),5,IFERROR(INDEX('Lớp 5 - Phân công'!$AV$14:$AV$262,MATCH($X154,'Lớp 5 - Phân công'!$I$14:$I$262,0)),""),6,IFERROR(INDEX('Lớp 6 - Chi tiết'!$AY$14:$AY$267,MATCH($X154,'Lớp 6 - Chi tiết'!$I$14:$I$267,0)),""),""))</f>
        <v/>
      </c>
    </row>
    <row r="155" ht="15.75" customHeight="1">
      <c r="A155" s="294" t="str">
        <f t="shared" si="12"/>
        <v/>
      </c>
      <c r="B155" s="301" t="str">
        <f t="shared" si="13"/>
        <v/>
      </c>
      <c r="C155" s="301" t="str">
        <f t="shared" si="14"/>
        <v/>
      </c>
      <c r="D155" s="301" t="str">
        <f t="shared" si="15"/>
        <v/>
      </c>
      <c r="E155" s="301" t="str">
        <f t="shared" si="16"/>
        <v/>
      </c>
      <c r="F155" s="317" t="str">
        <f t="shared" si="17"/>
        <v/>
      </c>
      <c r="G155" s="323" t="str">
        <f t="shared" si="18"/>
        <v/>
      </c>
      <c r="H155" s="327" t="str">
        <f t="shared" si="19"/>
        <v/>
      </c>
      <c r="I155" s="327" t="str">
        <f t="shared" si="20"/>
        <v/>
      </c>
      <c r="J155" s="301" t="str">
        <f t="shared" si="21"/>
        <v/>
      </c>
      <c r="K155" s="301" t="str">
        <f t="shared" si="22"/>
        <v/>
      </c>
      <c r="L155" s="344" t="str">
        <f t="array" ref="L155">IF($T155="","",LET(m,MATCH($T155,$AS$24:$AS$700,0),lvl,INDEX($W$24:$W$700,m),id,INDEX($X$24:$X$700,m),SWITCH(lvl,3,"Lớp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5" s="351" t="str">
        <f t="shared" si="23"/>
        <v/>
      </c>
      <c r="N155" s="356" t="str">
        <f t="shared" si="24"/>
        <v/>
      </c>
      <c r="O155" s="358"/>
      <c r="P155" s="360"/>
      <c r="Q155" s="360"/>
      <c r="R155" s="67"/>
      <c r="S155" s="67"/>
      <c r="T155" s="67"/>
      <c r="U155" s="389" t="str">
        <f>IF('Lớp 4 - Danh mục'!I85="","",'Lớp 4 - Danh mục'!J85&amp;"|"&amp;'Lớp 4 - Danh mục'!I85)</f>
        <v/>
      </c>
      <c r="V155" s="389" t="str">
        <f>IF('Lớp 4 - Danh mục'!I85="","","   ├─ "&amp;'Lớp 4 - Danh mục'!O85)</f>
        <v/>
      </c>
      <c r="W155" s="389" t="str">
        <f>IF('Lớp 4 - Danh mục'!I85="","",4)</f>
        <v/>
      </c>
      <c r="X155" s="67" t="str">
        <f>'Lớp 4 - Danh mục'!I85</f>
        <v/>
      </c>
      <c r="Y155" s="67" t="str">
        <f>'Lớp 4 - Danh mục'!J85</f>
        <v/>
      </c>
      <c r="Z155" s="67" t="str">
        <f>'Lớp 4 - Danh mục'!Z85</f>
        <v/>
      </c>
      <c r="AA155" s="67" t="str">
        <f>'Lớp 4 - Danh mục'!X85</f>
        <v/>
      </c>
      <c r="AB155" s="67" t="str">
        <f>'Lớp 4 - Danh mục'!AB85</f>
        <v/>
      </c>
      <c r="AC155" s="67" t="str">
        <f>'Lớp 4 - Danh mục'!AA85</f>
        <v/>
      </c>
      <c r="AD155" s="398" t="str">
        <f>'Lớp 4 - Danh mục'!AF85</f>
        <v/>
      </c>
      <c r="AE155" s="358" t="str">
        <f>'Lớp 4 - Danh mục'!AD85</f>
        <v/>
      </c>
      <c r="AF155" s="187" t="str">
        <f>'Lớp 4 - Danh mục'!AG85</f>
        <v/>
      </c>
      <c r="AG155" s="104" t="str">
        <f>'Lớp 4 - Danh mục'!AH85</f>
        <v/>
      </c>
      <c r="AH155" s="389" t="str">
        <f t="shared" si="27"/>
        <v/>
      </c>
      <c r="AI155" s="389" t="str">
        <f t="shared" si="37"/>
        <v>🔵 Chưa có hạn</v>
      </c>
      <c r="AJ155" s="67" t="str">
        <f>'Lớp 4 - Danh mục'!AK85</f>
        <v/>
      </c>
      <c r="AS155" s="389" t="str">
        <f t="shared" si="97"/>
        <v/>
      </c>
      <c r="AT155" s="389" t="str">
        <f t="shared" si="32"/>
        <v/>
      </c>
      <c r="AU155" s="389" t="str">
        <f t="shared" si="33"/>
        <v/>
      </c>
      <c r="AV155" s="389" t="str">
        <f t="shared" si="34"/>
        <v/>
      </c>
      <c r="AW155" s="389" t="str">
        <f t="shared" si="35"/>
        <v/>
      </c>
      <c r="AX155" s="67" t="str">
        <f t="shared" ref="AX155:BH155" si="168">Z155</f>
        <v/>
      </c>
      <c r="AY155" s="67" t="str">
        <f t="shared" si="168"/>
        <v/>
      </c>
      <c r="AZ155" s="67" t="str">
        <f t="shared" si="168"/>
        <v/>
      </c>
      <c r="BA155" s="67" t="str">
        <f t="shared" si="168"/>
        <v/>
      </c>
      <c r="BB155" s="398" t="str">
        <f t="shared" si="168"/>
        <v/>
      </c>
      <c r="BC155" s="358" t="str">
        <f t="shared" si="168"/>
        <v/>
      </c>
      <c r="BD155" s="187" t="str">
        <f t="shared" si="168"/>
        <v/>
      </c>
      <c r="BE155" s="104" t="str">
        <f t="shared" si="168"/>
        <v/>
      </c>
      <c r="BF155" s="389" t="str">
        <f t="shared" si="168"/>
        <v/>
      </c>
      <c r="BG155" s="389" t="str">
        <f t="shared" si="168"/>
        <v>🔵 Chưa có hạn</v>
      </c>
      <c r="BH155" s="67" t="str">
        <f t="shared" si="168"/>
        <v/>
      </c>
      <c r="BI155" s="389" t="str">
        <f t="array" ref="BI155">IF($X155="","",SWITCH($W155,3,IFERROR(INDEX('Lớp 3 - Công việc chính'!$AF$14:$AF$73,MATCH($X155,'Lớp 3 - Công việc chính'!$I$14:$I$73,0)),""),4,IFERROR(INDEX('Lớp 4 - Danh mục'!$AI$14:$AI$132,MATCH($X155,'Lớp 4 - Danh mục'!$I$14:$I$132,0)),""),5,IFERROR(INDEX('Lớp 5 - Phân công'!$AJ$14:$AJ$262,MATCH($X155,'Lớp 5 - Phân công'!$I$14:$I$262,0)),""),6,IFERROR(INDEX('Lớp 6 - Chi tiết'!$AM$14:$AM$267,MATCH($X155,'Lớp 6 - Chi tiết'!$I$14:$I$267,0)),""),""))</f>
        <v/>
      </c>
      <c r="BJ155" s="389" t="str">
        <f t="array" ref="BJ155">IF($X155="","",SWITCH($W155,3,IFERROR(INDEX('Lớp 3 - Công việc chính'!$AR$14:$AR$73,MATCH($X155,'Lớp 3 - Công việc chính'!$I$14:$I$73,0)),""),4,IFERROR(INDEX('Lớp 4 - Danh mục'!$AU$14:$AU$132,MATCH($X155,'Lớp 4 - Danh mục'!$I$14:$I$132,0)),""),5,IFERROR(INDEX('Lớp 5 - Phân công'!$AV$14:$AV$262,MATCH($X155,'Lớp 5 - Phân công'!$I$14:$I$262,0)),""),6,IFERROR(INDEX('Lớp 6 - Chi tiết'!$AY$14:$AY$267,MATCH($X155,'Lớp 6 - Chi tiết'!$I$14:$I$267,0)),""),""))</f>
        <v/>
      </c>
    </row>
    <row r="156" ht="15.75" customHeight="1">
      <c r="A156" s="294" t="str">
        <f t="shared" si="12"/>
        <v/>
      </c>
      <c r="B156" s="301" t="str">
        <f t="shared" si="13"/>
        <v/>
      </c>
      <c r="C156" s="301" t="str">
        <f t="shared" si="14"/>
        <v/>
      </c>
      <c r="D156" s="301" t="str">
        <f t="shared" si="15"/>
        <v/>
      </c>
      <c r="E156" s="301" t="str">
        <f t="shared" si="16"/>
        <v/>
      </c>
      <c r="F156" s="317" t="str">
        <f t="shared" si="17"/>
        <v/>
      </c>
      <c r="G156" s="323" t="str">
        <f t="shared" si="18"/>
        <v/>
      </c>
      <c r="H156" s="327" t="str">
        <f t="shared" si="19"/>
        <v/>
      </c>
      <c r="I156" s="327" t="str">
        <f t="shared" si="20"/>
        <v/>
      </c>
      <c r="J156" s="301" t="str">
        <f t="shared" si="21"/>
        <v/>
      </c>
      <c r="K156" s="301" t="str">
        <f t="shared" si="22"/>
        <v/>
      </c>
      <c r="L156" s="344" t="str">
        <f t="array" ref="L156">IF($T156="","",LET(m,MATCH($T156,$AS$24:$AS$700,0),lvl,INDEX($W$24:$W$700,m),id,INDEX($X$24:$X$700,m),SWITCH(lvl,3,"Lớp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6" s="351" t="str">
        <f t="shared" si="23"/>
        <v/>
      </c>
      <c r="N156" s="356" t="str">
        <f t="shared" si="24"/>
        <v/>
      </c>
      <c r="O156" s="358"/>
      <c r="P156" s="360"/>
      <c r="Q156" s="360"/>
      <c r="R156" s="67"/>
      <c r="S156" s="67"/>
      <c r="T156" s="67"/>
      <c r="U156" s="389" t="str">
        <f>IF('Lớp 4 - Danh mục'!I86="","",'Lớp 4 - Danh mục'!J86&amp;"|"&amp;'Lớp 4 - Danh mục'!I86)</f>
        <v/>
      </c>
      <c r="V156" s="389" t="str">
        <f>IF('Lớp 4 - Danh mục'!I86="","","   ├─ "&amp;'Lớp 4 - Danh mục'!O86)</f>
        <v/>
      </c>
      <c r="W156" s="389" t="str">
        <f>IF('Lớp 4 - Danh mục'!I86="","",4)</f>
        <v/>
      </c>
      <c r="X156" s="67" t="str">
        <f>'Lớp 4 - Danh mục'!I86</f>
        <v/>
      </c>
      <c r="Y156" s="67" t="str">
        <f>'Lớp 4 - Danh mục'!J86</f>
        <v/>
      </c>
      <c r="Z156" s="67" t="str">
        <f>'Lớp 4 - Danh mục'!Z86</f>
        <v/>
      </c>
      <c r="AA156" s="67" t="str">
        <f>'Lớp 4 - Danh mục'!X86</f>
        <v/>
      </c>
      <c r="AB156" s="67" t="str">
        <f>'Lớp 4 - Danh mục'!AB86</f>
        <v/>
      </c>
      <c r="AC156" s="67" t="str">
        <f>'Lớp 4 - Danh mục'!AA86</f>
        <v/>
      </c>
      <c r="AD156" s="398" t="str">
        <f>'Lớp 4 - Danh mục'!AF86</f>
        <v/>
      </c>
      <c r="AE156" s="358" t="str">
        <f>'Lớp 4 - Danh mục'!AD86</f>
        <v/>
      </c>
      <c r="AF156" s="187" t="str">
        <f>'Lớp 4 - Danh mục'!AG86</f>
        <v/>
      </c>
      <c r="AG156" s="104" t="str">
        <f>'Lớp 4 - Danh mục'!AH86</f>
        <v/>
      </c>
      <c r="AH156" s="389" t="str">
        <f t="shared" si="27"/>
        <v/>
      </c>
      <c r="AI156" s="389" t="str">
        <f t="shared" si="37"/>
        <v>🔵 Chưa có hạn</v>
      </c>
      <c r="AJ156" s="67" t="str">
        <f>'Lớp 4 - Danh mục'!AK86</f>
        <v/>
      </c>
      <c r="AS156" s="389" t="str">
        <f t="shared" si="97"/>
        <v/>
      </c>
      <c r="AT156" s="389" t="str">
        <f t="shared" si="32"/>
        <v/>
      </c>
      <c r="AU156" s="389" t="str">
        <f t="shared" si="33"/>
        <v/>
      </c>
      <c r="AV156" s="389" t="str">
        <f t="shared" si="34"/>
        <v/>
      </c>
      <c r="AW156" s="389" t="str">
        <f t="shared" si="35"/>
        <v/>
      </c>
      <c r="AX156" s="67" t="str">
        <f t="shared" ref="AX156:BH156" si="169">Z156</f>
        <v/>
      </c>
      <c r="AY156" s="67" t="str">
        <f t="shared" si="169"/>
        <v/>
      </c>
      <c r="AZ156" s="67" t="str">
        <f t="shared" si="169"/>
        <v/>
      </c>
      <c r="BA156" s="67" t="str">
        <f t="shared" si="169"/>
        <v/>
      </c>
      <c r="BB156" s="398" t="str">
        <f t="shared" si="169"/>
        <v/>
      </c>
      <c r="BC156" s="358" t="str">
        <f t="shared" si="169"/>
        <v/>
      </c>
      <c r="BD156" s="187" t="str">
        <f t="shared" si="169"/>
        <v/>
      </c>
      <c r="BE156" s="104" t="str">
        <f t="shared" si="169"/>
        <v/>
      </c>
      <c r="BF156" s="389" t="str">
        <f t="shared" si="169"/>
        <v/>
      </c>
      <c r="BG156" s="389" t="str">
        <f t="shared" si="169"/>
        <v>🔵 Chưa có hạn</v>
      </c>
      <c r="BH156" s="67" t="str">
        <f t="shared" si="169"/>
        <v/>
      </c>
      <c r="BI156" s="389" t="str">
        <f t="array" ref="BI156">IF($X156="","",SWITCH($W156,3,IFERROR(INDEX('Lớp 3 - Công việc chính'!$AF$14:$AF$73,MATCH($X156,'Lớp 3 - Công việc chính'!$I$14:$I$73,0)),""),4,IFERROR(INDEX('Lớp 4 - Danh mục'!$AI$14:$AI$132,MATCH($X156,'Lớp 4 - Danh mục'!$I$14:$I$132,0)),""),5,IFERROR(INDEX('Lớp 5 - Phân công'!$AJ$14:$AJ$262,MATCH($X156,'Lớp 5 - Phân công'!$I$14:$I$262,0)),""),6,IFERROR(INDEX('Lớp 6 - Chi tiết'!$AM$14:$AM$267,MATCH($X156,'Lớp 6 - Chi tiết'!$I$14:$I$267,0)),""),""))</f>
        <v/>
      </c>
      <c r="BJ156" s="389" t="str">
        <f t="array" ref="BJ156">IF($X156="","",SWITCH($W156,3,IFERROR(INDEX('Lớp 3 - Công việc chính'!$AR$14:$AR$73,MATCH($X156,'Lớp 3 - Công việc chính'!$I$14:$I$73,0)),""),4,IFERROR(INDEX('Lớp 4 - Danh mục'!$AU$14:$AU$132,MATCH($X156,'Lớp 4 - Danh mục'!$I$14:$I$132,0)),""),5,IFERROR(INDEX('Lớp 5 - Phân công'!$AV$14:$AV$262,MATCH($X156,'Lớp 5 - Phân công'!$I$14:$I$262,0)),""),6,IFERROR(INDEX('Lớp 6 - Chi tiết'!$AY$14:$AY$267,MATCH($X156,'Lớp 6 - Chi tiết'!$I$14:$I$267,0)),""),""))</f>
        <v/>
      </c>
    </row>
    <row r="157" ht="15.75" customHeight="1">
      <c r="A157" s="294" t="str">
        <f t="shared" si="12"/>
        <v/>
      </c>
      <c r="B157" s="301" t="str">
        <f t="shared" si="13"/>
        <v/>
      </c>
      <c r="C157" s="301" t="str">
        <f t="shared" si="14"/>
        <v/>
      </c>
      <c r="D157" s="301" t="str">
        <f t="shared" si="15"/>
        <v/>
      </c>
      <c r="E157" s="301" t="str">
        <f t="shared" si="16"/>
        <v/>
      </c>
      <c r="F157" s="317" t="str">
        <f t="shared" si="17"/>
        <v/>
      </c>
      <c r="G157" s="323" t="str">
        <f t="shared" si="18"/>
        <v/>
      </c>
      <c r="H157" s="327" t="str">
        <f t="shared" si="19"/>
        <v/>
      </c>
      <c r="I157" s="327" t="str">
        <f t="shared" si="20"/>
        <v/>
      </c>
      <c r="J157" s="301" t="str">
        <f t="shared" si="21"/>
        <v/>
      </c>
      <c r="K157" s="301" t="str">
        <f t="shared" si="22"/>
        <v/>
      </c>
      <c r="L157" s="344" t="str">
        <f t="array" ref="L157">IF($T157="","",LET(m,MATCH($T157,$AS$24:$AS$700,0),lvl,INDEX($W$24:$W$700,m),id,INDEX($X$24:$X$700,m),SWITCH(lvl,3,"Lớp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7" s="351" t="str">
        <f t="shared" si="23"/>
        <v/>
      </c>
      <c r="N157" s="356" t="str">
        <f t="shared" si="24"/>
        <v/>
      </c>
      <c r="O157" s="358"/>
      <c r="P157" s="360"/>
      <c r="Q157" s="360"/>
      <c r="R157" s="67"/>
      <c r="S157" s="67"/>
      <c r="T157" s="67"/>
      <c r="U157" s="389" t="str">
        <f>IF('Lớp 4 - Danh mục'!I87="","",'Lớp 4 - Danh mục'!J87&amp;"|"&amp;'Lớp 4 - Danh mục'!I87)</f>
        <v/>
      </c>
      <c r="V157" s="389" t="str">
        <f>IF('Lớp 4 - Danh mục'!I87="","","   ├─ "&amp;'Lớp 4 - Danh mục'!O87)</f>
        <v/>
      </c>
      <c r="W157" s="389" t="str">
        <f>IF('Lớp 4 - Danh mục'!I87="","",4)</f>
        <v/>
      </c>
      <c r="X157" s="67" t="str">
        <f>'Lớp 4 - Danh mục'!I87</f>
        <v/>
      </c>
      <c r="Y157" s="67" t="str">
        <f>'Lớp 4 - Danh mục'!J87</f>
        <v/>
      </c>
      <c r="Z157" s="67" t="str">
        <f>'Lớp 4 - Danh mục'!Z87</f>
        <v/>
      </c>
      <c r="AA157" s="67" t="str">
        <f>'Lớp 4 - Danh mục'!X87</f>
        <v/>
      </c>
      <c r="AB157" s="67" t="str">
        <f>'Lớp 4 - Danh mục'!AB87</f>
        <v/>
      </c>
      <c r="AC157" s="67" t="str">
        <f>'Lớp 4 - Danh mục'!AA87</f>
        <v/>
      </c>
      <c r="AD157" s="398" t="str">
        <f>'Lớp 4 - Danh mục'!AF87</f>
        <v/>
      </c>
      <c r="AE157" s="358" t="str">
        <f>'Lớp 4 - Danh mục'!AD87</f>
        <v/>
      </c>
      <c r="AF157" s="187" t="str">
        <f>'Lớp 4 - Danh mục'!AG87</f>
        <v/>
      </c>
      <c r="AG157" s="104" t="str">
        <f>'Lớp 4 - Danh mục'!AH87</f>
        <v/>
      </c>
      <c r="AH157" s="389" t="str">
        <f t="shared" si="27"/>
        <v/>
      </c>
      <c r="AI157" s="389" t="str">
        <f t="shared" si="37"/>
        <v>🔵 Chưa có hạn</v>
      </c>
      <c r="AJ157" s="67" t="str">
        <f>'Lớp 4 - Danh mục'!AK87</f>
        <v/>
      </c>
      <c r="AS157" s="389" t="str">
        <f t="shared" si="97"/>
        <v/>
      </c>
      <c r="AT157" s="389" t="str">
        <f t="shared" si="32"/>
        <v/>
      </c>
      <c r="AU157" s="389" t="str">
        <f t="shared" si="33"/>
        <v/>
      </c>
      <c r="AV157" s="389" t="str">
        <f t="shared" si="34"/>
        <v/>
      </c>
      <c r="AW157" s="389" t="str">
        <f t="shared" si="35"/>
        <v/>
      </c>
      <c r="AX157" s="67" t="str">
        <f t="shared" ref="AX157:BH157" si="170">Z157</f>
        <v/>
      </c>
      <c r="AY157" s="67" t="str">
        <f t="shared" si="170"/>
        <v/>
      </c>
      <c r="AZ157" s="67" t="str">
        <f t="shared" si="170"/>
        <v/>
      </c>
      <c r="BA157" s="67" t="str">
        <f t="shared" si="170"/>
        <v/>
      </c>
      <c r="BB157" s="398" t="str">
        <f t="shared" si="170"/>
        <v/>
      </c>
      <c r="BC157" s="358" t="str">
        <f t="shared" si="170"/>
        <v/>
      </c>
      <c r="BD157" s="187" t="str">
        <f t="shared" si="170"/>
        <v/>
      </c>
      <c r="BE157" s="104" t="str">
        <f t="shared" si="170"/>
        <v/>
      </c>
      <c r="BF157" s="389" t="str">
        <f t="shared" si="170"/>
        <v/>
      </c>
      <c r="BG157" s="389" t="str">
        <f t="shared" si="170"/>
        <v>🔵 Chưa có hạn</v>
      </c>
      <c r="BH157" s="67" t="str">
        <f t="shared" si="170"/>
        <v/>
      </c>
      <c r="BI157" s="389" t="str">
        <f t="array" ref="BI157">IF($X157="","",SWITCH($W157,3,IFERROR(INDEX('Lớp 3 - Công việc chính'!$AF$14:$AF$73,MATCH($X157,'Lớp 3 - Công việc chính'!$I$14:$I$73,0)),""),4,IFERROR(INDEX('Lớp 4 - Danh mục'!$AI$14:$AI$132,MATCH($X157,'Lớp 4 - Danh mục'!$I$14:$I$132,0)),""),5,IFERROR(INDEX('Lớp 5 - Phân công'!$AJ$14:$AJ$262,MATCH($X157,'Lớp 5 - Phân công'!$I$14:$I$262,0)),""),6,IFERROR(INDEX('Lớp 6 - Chi tiết'!$AM$14:$AM$267,MATCH($X157,'Lớp 6 - Chi tiết'!$I$14:$I$267,0)),""),""))</f>
        <v/>
      </c>
      <c r="BJ157" s="389" t="str">
        <f t="array" ref="BJ157">IF($X157="","",SWITCH($W157,3,IFERROR(INDEX('Lớp 3 - Công việc chính'!$AR$14:$AR$73,MATCH($X157,'Lớp 3 - Công việc chính'!$I$14:$I$73,0)),""),4,IFERROR(INDEX('Lớp 4 - Danh mục'!$AU$14:$AU$132,MATCH($X157,'Lớp 4 - Danh mục'!$I$14:$I$132,0)),""),5,IFERROR(INDEX('Lớp 5 - Phân công'!$AV$14:$AV$262,MATCH($X157,'Lớp 5 - Phân công'!$I$14:$I$262,0)),""),6,IFERROR(INDEX('Lớp 6 - Chi tiết'!$AY$14:$AY$267,MATCH($X157,'Lớp 6 - Chi tiết'!$I$14:$I$267,0)),""),""))</f>
        <v/>
      </c>
    </row>
    <row r="158" ht="15.75" customHeight="1">
      <c r="A158" s="294" t="str">
        <f t="shared" si="12"/>
        <v/>
      </c>
      <c r="B158" s="301" t="str">
        <f t="shared" si="13"/>
        <v/>
      </c>
      <c r="C158" s="301" t="str">
        <f t="shared" si="14"/>
        <v/>
      </c>
      <c r="D158" s="301" t="str">
        <f t="shared" si="15"/>
        <v/>
      </c>
      <c r="E158" s="301" t="str">
        <f t="shared" si="16"/>
        <v/>
      </c>
      <c r="F158" s="317" t="str">
        <f t="shared" si="17"/>
        <v/>
      </c>
      <c r="G158" s="323" t="str">
        <f t="shared" si="18"/>
        <v/>
      </c>
      <c r="H158" s="327" t="str">
        <f t="shared" si="19"/>
        <v/>
      </c>
      <c r="I158" s="327" t="str">
        <f t="shared" si="20"/>
        <v/>
      </c>
      <c r="J158" s="301" t="str">
        <f t="shared" si="21"/>
        <v/>
      </c>
      <c r="K158" s="301" t="str">
        <f t="shared" si="22"/>
        <v/>
      </c>
      <c r="L158" s="344" t="str">
        <f t="array" ref="L158">IF($T158="","",LET(m,MATCH($T158,$AS$24:$AS$700,0),lvl,INDEX($W$24:$W$700,m),id,INDEX($X$24:$X$700,m),SWITCH(lvl,3,"Lớp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8" s="351" t="str">
        <f t="shared" si="23"/>
        <v/>
      </c>
      <c r="N158" s="356" t="str">
        <f t="shared" si="24"/>
        <v/>
      </c>
      <c r="O158" s="358"/>
      <c r="P158" s="360"/>
      <c r="Q158" s="360"/>
      <c r="R158" s="67"/>
      <c r="S158" s="67"/>
      <c r="T158" s="67"/>
      <c r="U158" s="389" t="str">
        <f>IF('Lớp 4 - Danh mục'!I88="","",'Lớp 4 - Danh mục'!J88&amp;"|"&amp;'Lớp 4 - Danh mục'!I88)</f>
        <v/>
      </c>
      <c r="V158" s="389" t="str">
        <f>IF('Lớp 4 - Danh mục'!I88="","","   ├─ "&amp;'Lớp 4 - Danh mục'!O88)</f>
        <v/>
      </c>
      <c r="W158" s="389" t="str">
        <f>IF('Lớp 4 - Danh mục'!I88="","",4)</f>
        <v/>
      </c>
      <c r="X158" s="67" t="str">
        <f>'Lớp 4 - Danh mục'!I88</f>
        <v/>
      </c>
      <c r="Y158" s="67" t="str">
        <f>'Lớp 4 - Danh mục'!J88</f>
        <v/>
      </c>
      <c r="Z158" s="67" t="str">
        <f>'Lớp 4 - Danh mục'!Z88</f>
        <v/>
      </c>
      <c r="AA158" s="67" t="str">
        <f>'Lớp 4 - Danh mục'!X88</f>
        <v/>
      </c>
      <c r="AB158" s="67" t="str">
        <f>'Lớp 4 - Danh mục'!AB88</f>
        <v/>
      </c>
      <c r="AC158" s="67" t="str">
        <f>'Lớp 4 - Danh mục'!AA88</f>
        <v/>
      </c>
      <c r="AD158" s="398" t="str">
        <f>'Lớp 4 - Danh mục'!AF88</f>
        <v/>
      </c>
      <c r="AE158" s="358" t="str">
        <f>'Lớp 4 - Danh mục'!AD88</f>
        <v/>
      </c>
      <c r="AF158" s="187" t="str">
        <f>'Lớp 4 - Danh mục'!AG88</f>
        <v/>
      </c>
      <c r="AG158" s="104" t="str">
        <f>'Lớp 4 - Danh mục'!AH88</f>
        <v/>
      </c>
      <c r="AH158" s="389" t="str">
        <f t="shared" si="27"/>
        <v/>
      </c>
      <c r="AI158" s="389" t="str">
        <f t="shared" si="37"/>
        <v>🔵 Chưa có hạn</v>
      </c>
      <c r="AJ158" s="67" t="str">
        <f>'Lớp 4 - Danh mục'!AK88</f>
        <v/>
      </c>
      <c r="AS158" s="389" t="str">
        <f t="shared" si="97"/>
        <v/>
      </c>
      <c r="AT158" s="389" t="str">
        <f t="shared" si="32"/>
        <v/>
      </c>
      <c r="AU158" s="389" t="str">
        <f t="shared" si="33"/>
        <v/>
      </c>
      <c r="AV158" s="389" t="str">
        <f t="shared" si="34"/>
        <v/>
      </c>
      <c r="AW158" s="389" t="str">
        <f t="shared" si="35"/>
        <v/>
      </c>
      <c r="AX158" s="67" t="str">
        <f t="shared" ref="AX158:BH158" si="171">Z158</f>
        <v/>
      </c>
      <c r="AY158" s="67" t="str">
        <f t="shared" si="171"/>
        <v/>
      </c>
      <c r="AZ158" s="67" t="str">
        <f t="shared" si="171"/>
        <v/>
      </c>
      <c r="BA158" s="67" t="str">
        <f t="shared" si="171"/>
        <v/>
      </c>
      <c r="BB158" s="398" t="str">
        <f t="shared" si="171"/>
        <v/>
      </c>
      <c r="BC158" s="358" t="str">
        <f t="shared" si="171"/>
        <v/>
      </c>
      <c r="BD158" s="187" t="str">
        <f t="shared" si="171"/>
        <v/>
      </c>
      <c r="BE158" s="104" t="str">
        <f t="shared" si="171"/>
        <v/>
      </c>
      <c r="BF158" s="389" t="str">
        <f t="shared" si="171"/>
        <v/>
      </c>
      <c r="BG158" s="389" t="str">
        <f t="shared" si="171"/>
        <v>🔵 Chưa có hạn</v>
      </c>
      <c r="BH158" s="67" t="str">
        <f t="shared" si="171"/>
        <v/>
      </c>
      <c r="BI158" s="389" t="str">
        <f t="array" ref="BI158">IF($X158="","",SWITCH($W158,3,IFERROR(INDEX('Lớp 3 - Công việc chính'!$AF$14:$AF$73,MATCH($X158,'Lớp 3 - Công việc chính'!$I$14:$I$73,0)),""),4,IFERROR(INDEX('Lớp 4 - Danh mục'!$AI$14:$AI$132,MATCH($X158,'Lớp 4 - Danh mục'!$I$14:$I$132,0)),""),5,IFERROR(INDEX('Lớp 5 - Phân công'!$AJ$14:$AJ$262,MATCH($X158,'Lớp 5 - Phân công'!$I$14:$I$262,0)),""),6,IFERROR(INDEX('Lớp 6 - Chi tiết'!$AM$14:$AM$267,MATCH($X158,'Lớp 6 - Chi tiết'!$I$14:$I$267,0)),""),""))</f>
        <v/>
      </c>
      <c r="BJ158" s="389" t="str">
        <f t="array" ref="BJ158">IF($X158="","",SWITCH($W158,3,IFERROR(INDEX('Lớp 3 - Công việc chính'!$AR$14:$AR$73,MATCH($X158,'Lớp 3 - Công việc chính'!$I$14:$I$73,0)),""),4,IFERROR(INDEX('Lớp 4 - Danh mục'!$AU$14:$AU$132,MATCH($X158,'Lớp 4 - Danh mục'!$I$14:$I$132,0)),""),5,IFERROR(INDEX('Lớp 5 - Phân công'!$AV$14:$AV$262,MATCH($X158,'Lớp 5 - Phân công'!$I$14:$I$262,0)),""),6,IFERROR(INDEX('Lớp 6 - Chi tiết'!$AY$14:$AY$267,MATCH($X158,'Lớp 6 - Chi tiết'!$I$14:$I$267,0)),""),""))</f>
        <v/>
      </c>
    </row>
    <row r="159" ht="15.75" customHeight="1">
      <c r="A159" s="294" t="str">
        <f t="shared" si="12"/>
        <v/>
      </c>
      <c r="B159" s="301" t="str">
        <f t="shared" si="13"/>
        <v/>
      </c>
      <c r="C159" s="301" t="str">
        <f t="shared" si="14"/>
        <v/>
      </c>
      <c r="D159" s="301" t="str">
        <f t="shared" si="15"/>
        <v/>
      </c>
      <c r="E159" s="301" t="str">
        <f t="shared" si="16"/>
        <v/>
      </c>
      <c r="F159" s="317" t="str">
        <f t="shared" si="17"/>
        <v/>
      </c>
      <c r="G159" s="323" t="str">
        <f t="shared" si="18"/>
        <v/>
      </c>
      <c r="H159" s="327" t="str">
        <f t="shared" si="19"/>
        <v/>
      </c>
      <c r="I159" s="327" t="str">
        <f t="shared" si="20"/>
        <v/>
      </c>
      <c r="J159" s="301" t="str">
        <f t="shared" si="21"/>
        <v/>
      </c>
      <c r="K159" s="301" t="str">
        <f t="shared" si="22"/>
        <v/>
      </c>
      <c r="L159" s="344" t="str">
        <f t="array" ref="L159">IF($T159="","",LET(m,MATCH($T159,$AS$24:$AS$700,0),lvl,INDEX($W$24:$W$700,m),id,INDEX($X$24:$X$700,m),SWITCH(lvl,3,"Lớp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59" s="351" t="str">
        <f t="shared" si="23"/>
        <v/>
      </c>
      <c r="N159" s="356" t="str">
        <f t="shared" si="24"/>
        <v/>
      </c>
      <c r="O159" s="358"/>
      <c r="P159" s="360"/>
      <c r="Q159" s="360"/>
      <c r="R159" s="67"/>
      <c r="S159" s="67"/>
      <c r="T159" s="67"/>
      <c r="U159" s="389" t="str">
        <f>IF('Lớp 4 - Danh mục'!I89="","",'Lớp 4 - Danh mục'!J89&amp;"|"&amp;'Lớp 4 - Danh mục'!I89)</f>
        <v/>
      </c>
      <c r="V159" s="389" t="str">
        <f>IF('Lớp 4 - Danh mục'!I89="","","   ├─ "&amp;'Lớp 4 - Danh mục'!O89)</f>
        <v/>
      </c>
      <c r="W159" s="389" t="str">
        <f>IF('Lớp 4 - Danh mục'!I89="","",4)</f>
        <v/>
      </c>
      <c r="X159" s="67" t="str">
        <f>'Lớp 4 - Danh mục'!I89</f>
        <v/>
      </c>
      <c r="Y159" s="67" t="str">
        <f>'Lớp 4 - Danh mục'!J89</f>
        <v/>
      </c>
      <c r="Z159" s="67" t="str">
        <f>'Lớp 4 - Danh mục'!Z89</f>
        <v/>
      </c>
      <c r="AA159" s="67" t="str">
        <f>'Lớp 4 - Danh mục'!X89</f>
        <v/>
      </c>
      <c r="AB159" s="67" t="str">
        <f>'Lớp 4 - Danh mục'!AB89</f>
        <v/>
      </c>
      <c r="AC159" s="67" t="str">
        <f>'Lớp 4 - Danh mục'!AA89</f>
        <v/>
      </c>
      <c r="AD159" s="398" t="str">
        <f>'Lớp 4 - Danh mục'!AF89</f>
        <v/>
      </c>
      <c r="AE159" s="358" t="str">
        <f>'Lớp 4 - Danh mục'!AD89</f>
        <v/>
      </c>
      <c r="AF159" s="187" t="str">
        <f>'Lớp 4 - Danh mục'!AG89</f>
        <v/>
      </c>
      <c r="AG159" s="104" t="str">
        <f>'Lớp 4 - Danh mục'!AH89</f>
        <v/>
      </c>
      <c r="AH159" s="389" t="str">
        <f t="shared" si="27"/>
        <v/>
      </c>
      <c r="AI159" s="389" t="str">
        <f t="shared" si="37"/>
        <v>🔵 Chưa có hạn</v>
      </c>
      <c r="AJ159" s="67" t="str">
        <f>'Lớp 4 - Danh mục'!AK89</f>
        <v/>
      </c>
      <c r="AS159" s="389" t="str">
        <f t="shared" si="97"/>
        <v/>
      </c>
      <c r="AT159" s="389" t="str">
        <f t="shared" si="32"/>
        <v/>
      </c>
      <c r="AU159" s="389" t="str">
        <f t="shared" si="33"/>
        <v/>
      </c>
      <c r="AV159" s="389" t="str">
        <f t="shared" si="34"/>
        <v/>
      </c>
      <c r="AW159" s="389" t="str">
        <f t="shared" si="35"/>
        <v/>
      </c>
      <c r="AX159" s="67" t="str">
        <f t="shared" ref="AX159:BH159" si="172">Z159</f>
        <v/>
      </c>
      <c r="AY159" s="67" t="str">
        <f t="shared" si="172"/>
        <v/>
      </c>
      <c r="AZ159" s="67" t="str">
        <f t="shared" si="172"/>
        <v/>
      </c>
      <c r="BA159" s="67" t="str">
        <f t="shared" si="172"/>
        <v/>
      </c>
      <c r="BB159" s="398" t="str">
        <f t="shared" si="172"/>
        <v/>
      </c>
      <c r="BC159" s="358" t="str">
        <f t="shared" si="172"/>
        <v/>
      </c>
      <c r="BD159" s="187" t="str">
        <f t="shared" si="172"/>
        <v/>
      </c>
      <c r="BE159" s="104" t="str">
        <f t="shared" si="172"/>
        <v/>
      </c>
      <c r="BF159" s="389" t="str">
        <f t="shared" si="172"/>
        <v/>
      </c>
      <c r="BG159" s="389" t="str">
        <f t="shared" si="172"/>
        <v>🔵 Chưa có hạn</v>
      </c>
      <c r="BH159" s="67" t="str">
        <f t="shared" si="172"/>
        <v/>
      </c>
      <c r="BI159" s="389" t="str">
        <f t="array" ref="BI159">IF($X159="","",SWITCH($W159,3,IFERROR(INDEX('Lớp 3 - Công việc chính'!$AF$14:$AF$73,MATCH($X159,'Lớp 3 - Công việc chính'!$I$14:$I$73,0)),""),4,IFERROR(INDEX('Lớp 4 - Danh mục'!$AI$14:$AI$132,MATCH($X159,'Lớp 4 - Danh mục'!$I$14:$I$132,0)),""),5,IFERROR(INDEX('Lớp 5 - Phân công'!$AJ$14:$AJ$262,MATCH($X159,'Lớp 5 - Phân công'!$I$14:$I$262,0)),""),6,IFERROR(INDEX('Lớp 6 - Chi tiết'!$AM$14:$AM$267,MATCH($X159,'Lớp 6 - Chi tiết'!$I$14:$I$267,0)),""),""))</f>
        <v/>
      </c>
      <c r="BJ159" s="389" t="str">
        <f t="array" ref="BJ159">IF($X159="","",SWITCH($W159,3,IFERROR(INDEX('Lớp 3 - Công việc chính'!$AR$14:$AR$73,MATCH($X159,'Lớp 3 - Công việc chính'!$I$14:$I$73,0)),""),4,IFERROR(INDEX('Lớp 4 - Danh mục'!$AU$14:$AU$132,MATCH($X159,'Lớp 4 - Danh mục'!$I$14:$I$132,0)),""),5,IFERROR(INDEX('Lớp 5 - Phân công'!$AV$14:$AV$262,MATCH($X159,'Lớp 5 - Phân công'!$I$14:$I$262,0)),""),6,IFERROR(INDEX('Lớp 6 - Chi tiết'!$AY$14:$AY$267,MATCH($X159,'Lớp 6 - Chi tiết'!$I$14:$I$267,0)),""),""))</f>
        <v/>
      </c>
    </row>
    <row r="160" ht="15.75" customHeight="1">
      <c r="A160" s="294" t="str">
        <f t="shared" si="12"/>
        <v/>
      </c>
      <c r="B160" s="301" t="str">
        <f t="shared" si="13"/>
        <v/>
      </c>
      <c r="C160" s="301" t="str">
        <f t="shared" si="14"/>
        <v/>
      </c>
      <c r="D160" s="301" t="str">
        <f t="shared" si="15"/>
        <v/>
      </c>
      <c r="E160" s="301" t="str">
        <f t="shared" si="16"/>
        <v/>
      </c>
      <c r="F160" s="317" t="str">
        <f t="shared" si="17"/>
        <v/>
      </c>
      <c r="G160" s="323" t="str">
        <f t="shared" si="18"/>
        <v/>
      </c>
      <c r="H160" s="327" t="str">
        <f t="shared" si="19"/>
        <v/>
      </c>
      <c r="I160" s="327" t="str">
        <f t="shared" si="20"/>
        <v/>
      </c>
      <c r="J160" s="301" t="str">
        <f t="shared" si="21"/>
        <v/>
      </c>
      <c r="K160" s="301" t="str">
        <f t="shared" si="22"/>
        <v/>
      </c>
      <c r="L160" s="344" t="str">
        <f t="array" ref="L160">IF($T160="","",LET(m,MATCH($T160,$AS$24:$AS$700,0),lvl,INDEX($W$24:$W$700,m),id,INDEX($X$24:$X$700,m),SWITCH(lvl,3,"Lớp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0" s="351" t="str">
        <f t="shared" si="23"/>
        <v/>
      </c>
      <c r="N160" s="356" t="str">
        <f t="shared" si="24"/>
        <v/>
      </c>
      <c r="O160" s="358"/>
      <c r="P160" s="360"/>
      <c r="Q160" s="360"/>
      <c r="R160" s="67"/>
      <c r="S160" s="67"/>
      <c r="T160" s="67"/>
      <c r="U160" s="389" t="str">
        <f>IF('Lớp 4 - Danh mục'!I90="","",'Lớp 4 - Danh mục'!J90&amp;"|"&amp;'Lớp 4 - Danh mục'!I90)</f>
        <v/>
      </c>
      <c r="V160" s="389" t="str">
        <f>IF('Lớp 4 - Danh mục'!I90="","","   ├─ "&amp;'Lớp 4 - Danh mục'!O90)</f>
        <v/>
      </c>
      <c r="W160" s="389" t="str">
        <f>IF('Lớp 4 - Danh mục'!I90="","",4)</f>
        <v/>
      </c>
      <c r="X160" s="67" t="str">
        <f>'Lớp 4 - Danh mục'!I90</f>
        <v/>
      </c>
      <c r="Y160" s="67" t="str">
        <f>'Lớp 4 - Danh mục'!J90</f>
        <v/>
      </c>
      <c r="Z160" s="67" t="str">
        <f>'Lớp 4 - Danh mục'!Z90</f>
        <v/>
      </c>
      <c r="AA160" s="67" t="str">
        <f>'Lớp 4 - Danh mục'!X90</f>
        <v/>
      </c>
      <c r="AB160" s="67" t="str">
        <f>'Lớp 4 - Danh mục'!AB90</f>
        <v/>
      </c>
      <c r="AC160" s="67" t="str">
        <f>'Lớp 4 - Danh mục'!AA90</f>
        <v/>
      </c>
      <c r="AD160" s="398" t="str">
        <f>'Lớp 4 - Danh mục'!AF90</f>
        <v/>
      </c>
      <c r="AE160" s="358" t="str">
        <f>'Lớp 4 - Danh mục'!AD90</f>
        <v/>
      </c>
      <c r="AF160" s="187" t="str">
        <f>'Lớp 4 - Danh mục'!AG90</f>
        <v/>
      </c>
      <c r="AG160" s="104" t="str">
        <f>'Lớp 4 - Danh mục'!AH90</f>
        <v/>
      </c>
      <c r="AH160" s="389" t="str">
        <f t="shared" si="27"/>
        <v/>
      </c>
      <c r="AI160" s="389" t="str">
        <f t="shared" si="37"/>
        <v>🔵 Chưa có hạn</v>
      </c>
      <c r="AJ160" s="67" t="str">
        <f>'Lớp 4 - Danh mục'!AK90</f>
        <v/>
      </c>
      <c r="AS160" s="389" t="str">
        <f t="shared" si="97"/>
        <v/>
      </c>
      <c r="AT160" s="389" t="str">
        <f t="shared" si="32"/>
        <v/>
      </c>
      <c r="AU160" s="389" t="str">
        <f t="shared" si="33"/>
        <v/>
      </c>
      <c r="AV160" s="389" t="str">
        <f t="shared" si="34"/>
        <v/>
      </c>
      <c r="AW160" s="389" t="str">
        <f t="shared" si="35"/>
        <v/>
      </c>
      <c r="AX160" s="67" t="str">
        <f t="shared" ref="AX160:BH160" si="173">Z160</f>
        <v/>
      </c>
      <c r="AY160" s="67" t="str">
        <f t="shared" si="173"/>
        <v/>
      </c>
      <c r="AZ160" s="67" t="str">
        <f t="shared" si="173"/>
        <v/>
      </c>
      <c r="BA160" s="67" t="str">
        <f t="shared" si="173"/>
        <v/>
      </c>
      <c r="BB160" s="398" t="str">
        <f t="shared" si="173"/>
        <v/>
      </c>
      <c r="BC160" s="358" t="str">
        <f t="shared" si="173"/>
        <v/>
      </c>
      <c r="BD160" s="187" t="str">
        <f t="shared" si="173"/>
        <v/>
      </c>
      <c r="BE160" s="104" t="str">
        <f t="shared" si="173"/>
        <v/>
      </c>
      <c r="BF160" s="389" t="str">
        <f t="shared" si="173"/>
        <v/>
      </c>
      <c r="BG160" s="389" t="str">
        <f t="shared" si="173"/>
        <v>🔵 Chưa có hạn</v>
      </c>
      <c r="BH160" s="67" t="str">
        <f t="shared" si="173"/>
        <v/>
      </c>
      <c r="BI160" s="389" t="str">
        <f t="array" ref="BI160">IF($X160="","",SWITCH($W160,3,IFERROR(INDEX('Lớp 3 - Công việc chính'!$AF$14:$AF$73,MATCH($X160,'Lớp 3 - Công việc chính'!$I$14:$I$73,0)),""),4,IFERROR(INDEX('Lớp 4 - Danh mục'!$AI$14:$AI$132,MATCH($X160,'Lớp 4 - Danh mục'!$I$14:$I$132,0)),""),5,IFERROR(INDEX('Lớp 5 - Phân công'!$AJ$14:$AJ$262,MATCH($X160,'Lớp 5 - Phân công'!$I$14:$I$262,0)),""),6,IFERROR(INDEX('Lớp 6 - Chi tiết'!$AM$14:$AM$267,MATCH($X160,'Lớp 6 - Chi tiết'!$I$14:$I$267,0)),""),""))</f>
        <v/>
      </c>
      <c r="BJ160" s="389" t="str">
        <f t="array" ref="BJ160">IF($X160="","",SWITCH($W160,3,IFERROR(INDEX('Lớp 3 - Công việc chính'!$AR$14:$AR$73,MATCH($X160,'Lớp 3 - Công việc chính'!$I$14:$I$73,0)),""),4,IFERROR(INDEX('Lớp 4 - Danh mục'!$AU$14:$AU$132,MATCH($X160,'Lớp 4 - Danh mục'!$I$14:$I$132,0)),""),5,IFERROR(INDEX('Lớp 5 - Phân công'!$AV$14:$AV$262,MATCH($X160,'Lớp 5 - Phân công'!$I$14:$I$262,0)),""),6,IFERROR(INDEX('Lớp 6 - Chi tiết'!$AY$14:$AY$267,MATCH($X160,'Lớp 6 - Chi tiết'!$I$14:$I$267,0)),""),""))</f>
        <v/>
      </c>
    </row>
    <row r="161" ht="15.75" customHeight="1">
      <c r="A161" s="294" t="str">
        <f t="shared" si="12"/>
        <v/>
      </c>
      <c r="B161" s="301" t="str">
        <f t="shared" si="13"/>
        <v/>
      </c>
      <c r="C161" s="301" t="str">
        <f t="shared" si="14"/>
        <v/>
      </c>
      <c r="D161" s="301" t="str">
        <f t="shared" si="15"/>
        <v/>
      </c>
      <c r="E161" s="301" t="str">
        <f t="shared" si="16"/>
        <v/>
      </c>
      <c r="F161" s="317" t="str">
        <f t="shared" si="17"/>
        <v/>
      </c>
      <c r="G161" s="323" t="str">
        <f t="shared" si="18"/>
        <v/>
      </c>
      <c r="H161" s="327" t="str">
        <f t="shared" si="19"/>
        <v/>
      </c>
      <c r="I161" s="327" t="str">
        <f t="shared" si="20"/>
        <v/>
      </c>
      <c r="J161" s="301" t="str">
        <f t="shared" si="21"/>
        <v/>
      </c>
      <c r="K161" s="301" t="str">
        <f t="shared" si="22"/>
        <v/>
      </c>
      <c r="L161" s="344" t="str">
        <f t="array" ref="L161">IF($T161="","",LET(m,MATCH($T161,$AS$24:$AS$700,0),lvl,INDEX($W$24:$W$700,m),id,INDEX($X$24:$X$700,m),SWITCH(lvl,3,"Lớp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1" s="351" t="str">
        <f t="shared" si="23"/>
        <v/>
      </c>
      <c r="N161" s="356" t="str">
        <f t="shared" si="24"/>
        <v/>
      </c>
      <c r="O161" s="358"/>
      <c r="P161" s="360"/>
      <c r="Q161" s="360"/>
      <c r="R161" s="67"/>
      <c r="S161" s="67"/>
      <c r="T161" s="67"/>
      <c r="U161" s="389" t="str">
        <f>IF('Lớp 4 - Danh mục'!I91="","",'Lớp 4 - Danh mục'!J91&amp;"|"&amp;'Lớp 4 - Danh mục'!I91)</f>
        <v/>
      </c>
      <c r="V161" s="389" t="str">
        <f>IF('Lớp 4 - Danh mục'!I91="","","   ├─ "&amp;'Lớp 4 - Danh mục'!O91)</f>
        <v/>
      </c>
      <c r="W161" s="389" t="str">
        <f>IF('Lớp 4 - Danh mục'!I91="","",4)</f>
        <v/>
      </c>
      <c r="X161" s="67" t="str">
        <f>'Lớp 4 - Danh mục'!I91</f>
        <v/>
      </c>
      <c r="Y161" s="67" t="str">
        <f>'Lớp 4 - Danh mục'!J91</f>
        <v/>
      </c>
      <c r="Z161" s="67" t="str">
        <f>'Lớp 4 - Danh mục'!Z91</f>
        <v/>
      </c>
      <c r="AA161" s="67" t="str">
        <f>'Lớp 4 - Danh mục'!X91</f>
        <v/>
      </c>
      <c r="AB161" s="67" t="str">
        <f>'Lớp 4 - Danh mục'!AB91</f>
        <v/>
      </c>
      <c r="AC161" s="67" t="str">
        <f>'Lớp 4 - Danh mục'!AA91</f>
        <v/>
      </c>
      <c r="AD161" s="398" t="str">
        <f>'Lớp 4 - Danh mục'!AF91</f>
        <v/>
      </c>
      <c r="AE161" s="358" t="str">
        <f>'Lớp 4 - Danh mục'!AD91</f>
        <v/>
      </c>
      <c r="AF161" s="187" t="str">
        <f>'Lớp 4 - Danh mục'!AG91</f>
        <v/>
      </c>
      <c r="AG161" s="104" t="str">
        <f>'Lớp 4 - Danh mục'!AH91</f>
        <v/>
      </c>
      <c r="AH161" s="389" t="str">
        <f t="shared" si="27"/>
        <v/>
      </c>
      <c r="AI161" s="389" t="str">
        <f t="shared" si="37"/>
        <v>🔵 Chưa có hạn</v>
      </c>
      <c r="AJ161" s="67" t="str">
        <f>'Lớp 4 - Danh mục'!AK91</f>
        <v/>
      </c>
      <c r="AS161" s="389" t="str">
        <f t="shared" si="97"/>
        <v/>
      </c>
      <c r="AT161" s="389" t="str">
        <f t="shared" si="32"/>
        <v/>
      </c>
      <c r="AU161" s="389" t="str">
        <f t="shared" si="33"/>
        <v/>
      </c>
      <c r="AV161" s="389" t="str">
        <f t="shared" si="34"/>
        <v/>
      </c>
      <c r="AW161" s="389" t="str">
        <f t="shared" si="35"/>
        <v/>
      </c>
      <c r="AX161" s="67" t="str">
        <f t="shared" ref="AX161:BH161" si="174">Z161</f>
        <v/>
      </c>
      <c r="AY161" s="67" t="str">
        <f t="shared" si="174"/>
        <v/>
      </c>
      <c r="AZ161" s="67" t="str">
        <f t="shared" si="174"/>
        <v/>
      </c>
      <c r="BA161" s="67" t="str">
        <f t="shared" si="174"/>
        <v/>
      </c>
      <c r="BB161" s="398" t="str">
        <f t="shared" si="174"/>
        <v/>
      </c>
      <c r="BC161" s="358" t="str">
        <f t="shared" si="174"/>
        <v/>
      </c>
      <c r="BD161" s="187" t="str">
        <f t="shared" si="174"/>
        <v/>
      </c>
      <c r="BE161" s="104" t="str">
        <f t="shared" si="174"/>
        <v/>
      </c>
      <c r="BF161" s="389" t="str">
        <f t="shared" si="174"/>
        <v/>
      </c>
      <c r="BG161" s="389" t="str">
        <f t="shared" si="174"/>
        <v>🔵 Chưa có hạn</v>
      </c>
      <c r="BH161" s="67" t="str">
        <f t="shared" si="174"/>
        <v/>
      </c>
      <c r="BI161" s="389" t="str">
        <f t="array" ref="BI161">IF($X161="","",SWITCH($W161,3,IFERROR(INDEX('Lớp 3 - Công việc chính'!$AF$14:$AF$73,MATCH($X161,'Lớp 3 - Công việc chính'!$I$14:$I$73,0)),""),4,IFERROR(INDEX('Lớp 4 - Danh mục'!$AI$14:$AI$132,MATCH($X161,'Lớp 4 - Danh mục'!$I$14:$I$132,0)),""),5,IFERROR(INDEX('Lớp 5 - Phân công'!$AJ$14:$AJ$262,MATCH($X161,'Lớp 5 - Phân công'!$I$14:$I$262,0)),""),6,IFERROR(INDEX('Lớp 6 - Chi tiết'!$AM$14:$AM$267,MATCH($X161,'Lớp 6 - Chi tiết'!$I$14:$I$267,0)),""),""))</f>
        <v/>
      </c>
      <c r="BJ161" s="389" t="str">
        <f t="array" ref="BJ161">IF($X161="","",SWITCH($W161,3,IFERROR(INDEX('Lớp 3 - Công việc chính'!$AR$14:$AR$73,MATCH($X161,'Lớp 3 - Công việc chính'!$I$14:$I$73,0)),""),4,IFERROR(INDEX('Lớp 4 - Danh mục'!$AU$14:$AU$132,MATCH($X161,'Lớp 4 - Danh mục'!$I$14:$I$132,0)),""),5,IFERROR(INDEX('Lớp 5 - Phân công'!$AV$14:$AV$262,MATCH($X161,'Lớp 5 - Phân công'!$I$14:$I$262,0)),""),6,IFERROR(INDEX('Lớp 6 - Chi tiết'!$AY$14:$AY$267,MATCH($X161,'Lớp 6 - Chi tiết'!$I$14:$I$267,0)),""),""))</f>
        <v/>
      </c>
    </row>
    <row r="162" ht="15.75" customHeight="1">
      <c r="A162" s="294" t="str">
        <f t="shared" si="12"/>
        <v/>
      </c>
      <c r="B162" s="301" t="str">
        <f t="shared" si="13"/>
        <v/>
      </c>
      <c r="C162" s="301" t="str">
        <f t="shared" si="14"/>
        <v/>
      </c>
      <c r="D162" s="301" t="str">
        <f t="shared" si="15"/>
        <v/>
      </c>
      <c r="E162" s="301" t="str">
        <f t="shared" si="16"/>
        <v/>
      </c>
      <c r="F162" s="317" t="str">
        <f t="shared" si="17"/>
        <v/>
      </c>
      <c r="G162" s="323" t="str">
        <f t="shared" si="18"/>
        <v/>
      </c>
      <c r="H162" s="327" t="str">
        <f t="shared" si="19"/>
        <v/>
      </c>
      <c r="I162" s="327" t="str">
        <f t="shared" si="20"/>
        <v/>
      </c>
      <c r="J162" s="301" t="str">
        <f t="shared" si="21"/>
        <v/>
      </c>
      <c r="K162" s="301" t="str">
        <f t="shared" si="22"/>
        <v/>
      </c>
      <c r="L162" s="344" t="str">
        <f t="array" ref="L162">IF($T162="","",LET(m,MATCH($T162,$AS$24:$AS$700,0),lvl,INDEX($W$24:$W$700,m),id,INDEX($X$24:$X$700,m),SWITCH(lvl,3,"Lớp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2" s="351" t="str">
        <f t="shared" si="23"/>
        <v/>
      </c>
      <c r="N162" s="356" t="str">
        <f t="shared" si="24"/>
        <v/>
      </c>
      <c r="O162" s="358"/>
      <c r="P162" s="360"/>
      <c r="Q162" s="360"/>
      <c r="R162" s="67"/>
      <c r="S162" s="67"/>
      <c r="T162" s="67"/>
      <c r="U162" s="389" t="str">
        <f>IF('Lớp 4 - Danh mục'!I92="","",'Lớp 4 - Danh mục'!J92&amp;"|"&amp;'Lớp 4 - Danh mục'!I92)</f>
        <v/>
      </c>
      <c r="V162" s="389" t="str">
        <f>IF('Lớp 4 - Danh mục'!I92="","","   ├─ "&amp;'Lớp 4 - Danh mục'!O92)</f>
        <v/>
      </c>
      <c r="W162" s="389" t="str">
        <f>IF('Lớp 4 - Danh mục'!I92="","",4)</f>
        <v/>
      </c>
      <c r="X162" s="67" t="str">
        <f>'Lớp 4 - Danh mục'!I92</f>
        <v/>
      </c>
      <c r="Y162" s="67" t="str">
        <f>'Lớp 4 - Danh mục'!J92</f>
        <v/>
      </c>
      <c r="Z162" s="67" t="str">
        <f>'Lớp 4 - Danh mục'!Z92</f>
        <v/>
      </c>
      <c r="AA162" s="67" t="str">
        <f>'Lớp 4 - Danh mục'!X92</f>
        <v/>
      </c>
      <c r="AB162" s="67" t="str">
        <f>'Lớp 4 - Danh mục'!AB92</f>
        <v/>
      </c>
      <c r="AC162" s="67" t="str">
        <f>'Lớp 4 - Danh mục'!AA92</f>
        <v/>
      </c>
      <c r="AD162" s="398" t="str">
        <f>'Lớp 4 - Danh mục'!AF92</f>
        <v/>
      </c>
      <c r="AE162" s="358" t="str">
        <f>'Lớp 4 - Danh mục'!AD92</f>
        <v/>
      </c>
      <c r="AF162" s="187" t="str">
        <f>'Lớp 4 - Danh mục'!AG92</f>
        <v/>
      </c>
      <c r="AG162" s="104" t="str">
        <f>'Lớp 4 - Danh mục'!AH92</f>
        <v/>
      </c>
      <c r="AH162" s="389" t="str">
        <f t="shared" si="27"/>
        <v/>
      </c>
      <c r="AI162" s="389" t="str">
        <f t="shared" si="37"/>
        <v>🔵 Chưa có hạn</v>
      </c>
      <c r="AJ162" s="67" t="str">
        <f>'Lớp 4 - Danh mục'!AK92</f>
        <v/>
      </c>
      <c r="AS162" s="389" t="str">
        <f t="shared" si="97"/>
        <v/>
      </c>
      <c r="AT162" s="389" t="str">
        <f t="shared" si="32"/>
        <v/>
      </c>
      <c r="AU162" s="389" t="str">
        <f t="shared" si="33"/>
        <v/>
      </c>
      <c r="AV162" s="389" t="str">
        <f t="shared" si="34"/>
        <v/>
      </c>
      <c r="AW162" s="389" t="str">
        <f t="shared" si="35"/>
        <v/>
      </c>
      <c r="AX162" s="67" t="str">
        <f t="shared" ref="AX162:BH162" si="175">Z162</f>
        <v/>
      </c>
      <c r="AY162" s="67" t="str">
        <f t="shared" si="175"/>
        <v/>
      </c>
      <c r="AZ162" s="67" t="str">
        <f t="shared" si="175"/>
        <v/>
      </c>
      <c r="BA162" s="67" t="str">
        <f t="shared" si="175"/>
        <v/>
      </c>
      <c r="BB162" s="398" t="str">
        <f t="shared" si="175"/>
        <v/>
      </c>
      <c r="BC162" s="358" t="str">
        <f t="shared" si="175"/>
        <v/>
      </c>
      <c r="BD162" s="187" t="str">
        <f t="shared" si="175"/>
        <v/>
      </c>
      <c r="BE162" s="104" t="str">
        <f t="shared" si="175"/>
        <v/>
      </c>
      <c r="BF162" s="389" t="str">
        <f t="shared" si="175"/>
        <v/>
      </c>
      <c r="BG162" s="389" t="str">
        <f t="shared" si="175"/>
        <v>🔵 Chưa có hạn</v>
      </c>
      <c r="BH162" s="67" t="str">
        <f t="shared" si="175"/>
        <v/>
      </c>
      <c r="BI162" s="389" t="str">
        <f t="array" ref="BI162">IF($X162="","",SWITCH($W162,3,IFERROR(INDEX('Lớp 3 - Công việc chính'!$AF$14:$AF$73,MATCH($X162,'Lớp 3 - Công việc chính'!$I$14:$I$73,0)),""),4,IFERROR(INDEX('Lớp 4 - Danh mục'!$AI$14:$AI$132,MATCH($X162,'Lớp 4 - Danh mục'!$I$14:$I$132,0)),""),5,IFERROR(INDEX('Lớp 5 - Phân công'!$AJ$14:$AJ$262,MATCH($X162,'Lớp 5 - Phân công'!$I$14:$I$262,0)),""),6,IFERROR(INDEX('Lớp 6 - Chi tiết'!$AM$14:$AM$267,MATCH($X162,'Lớp 6 - Chi tiết'!$I$14:$I$267,0)),""),""))</f>
        <v/>
      </c>
      <c r="BJ162" s="389" t="str">
        <f t="array" ref="BJ162">IF($X162="","",SWITCH($W162,3,IFERROR(INDEX('Lớp 3 - Công việc chính'!$AR$14:$AR$73,MATCH($X162,'Lớp 3 - Công việc chính'!$I$14:$I$73,0)),""),4,IFERROR(INDEX('Lớp 4 - Danh mục'!$AU$14:$AU$132,MATCH($X162,'Lớp 4 - Danh mục'!$I$14:$I$132,0)),""),5,IFERROR(INDEX('Lớp 5 - Phân công'!$AV$14:$AV$262,MATCH($X162,'Lớp 5 - Phân công'!$I$14:$I$262,0)),""),6,IFERROR(INDEX('Lớp 6 - Chi tiết'!$AY$14:$AY$267,MATCH($X162,'Lớp 6 - Chi tiết'!$I$14:$I$267,0)),""),""))</f>
        <v/>
      </c>
    </row>
    <row r="163" ht="15.75" customHeight="1">
      <c r="A163" s="294" t="str">
        <f t="shared" si="12"/>
        <v/>
      </c>
      <c r="B163" s="301" t="str">
        <f t="shared" si="13"/>
        <v/>
      </c>
      <c r="C163" s="301" t="str">
        <f t="shared" si="14"/>
        <v/>
      </c>
      <c r="D163" s="301" t="str">
        <f t="shared" si="15"/>
        <v/>
      </c>
      <c r="E163" s="301" t="str">
        <f t="shared" si="16"/>
        <v/>
      </c>
      <c r="F163" s="317" t="str">
        <f t="shared" si="17"/>
        <v/>
      </c>
      <c r="G163" s="323" t="str">
        <f t="shared" si="18"/>
        <v/>
      </c>
      <c r="H163" s="327" t="str">
        <f t="shared" si="19"/>
        <v/>
      </c>
      <c r="I163" s="327" t="str">
        <f t="shared" si="20"/>
        <v/>
      </c>
      <c r="J163" s="301" t="str">
        <f t="shared" si="21"/>
        <v/>
      </c>
      <c r="K163" s="301" t="str">
        <f t="shared" si="22"/>
        <v/>
      </c>
      <c r="L163" s="344" t="str">
        <f t="array" ref="L163">IF($T163="","",LET(m,MATCH($T163,$AS$24:$AS$700,0),lvl,INDEX($W$24:$W$700,m),id,INDEX($X$24:$X$700,m),SWITCH(lvl,3,"Lớp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3" s="351" t="str">
        <f t="shared" si="23"/>
        <v/>
      </c>
      <c r="N163" s="356" t="str">
        <f t="shared" si="24"/>
        <v/>
      </c>
      <c r="O163" s="358"/>
      <c r="P163" s="360"/>
      <c r="Q163" s="360"/>
      <c r="R163" s="67"/>
      <c r="S163" s="67"/>
      <c r="T163" s="67"/>
      <c r="U163" s="389" t="str">
        <f>IF('Lớp 4 - Danh mục'!I93="","",'Lớp 4 - Danh mục'!J93&amp;"|"&amp;'Lớp 4 - Danh mục'!I93)</f>
        <v/>
      </c>
      <c r="V163" s="389" t="str">
        <f>IF('Lớp 4 - Danh mục'!I93="","","   ├─ "&amp;'Lớp 4 - Danh mục'!O93)</f>
        <v/>
      </c>
      <c r="W163" s="389" t="str">
        <f>IF('Lớp 4 - Danh mục'!I93="","",4)</f>
        <v/>
      </c>
      <c r="X163" s="67" t="str">
        <f>'Lớp 4 - Danh mục'!I93</f>
        <v/>
      </c>
      <c r="Y163" s="67" t="str">
        <f>'Lớp 4 - Danh mục'!J93</f>
        <v/>
      </c>
      <c r="Z163" s="67" t="str">
        <f>'Lớp 4 - Danh mục'!Z93</f>
        <v/>
      </c>
      <c r="AA163" s="67" t="str">
        <f>'Lớp 4 - Danh mục'!X93</f>
        <v/>
      </c>
      <c r="AB163" s="67" t="str">
        <f>'Lớp 4 - Danh mục'!AB93</f>
        <v/>
      </c>
      <c r="AC163" s="67" t="str">
        <f>'Lớp 4 - Danh mục'!AA93</f>
        <v/>
      </c>
      <c r="AD163" s="398" t="str">
        <f>'Lớp 4 - Danh mục'!AF93</f>
        <v/>
      </c>
      <c r="AE163" s="358" t="str">
        <f>'Lớp 4 - Danh mục'!AD93</f>
        <v/>
      </c>
      <c r="AF163" s="187" t="str">
        <f>'Lớp 4 - Danh mục'!AG93</f>
        <v/>
      </c>
      <c r="AG163" s="104" t="str">
        <f>'Lớp 4 - Danh mục'!AH93</f>
        <v/>
      </c>
      <c r="AH163" s="389" t="str">
        <f t="shared" si="27"/>
        <v/>
      </c>
      <c r="AI163" s="389" t="str">
        <f t="shared" si="37"/>
        <v>🔵 Chưa có hạn</v>
      </c>
      <c r="AJ163" s="67" t="str">
        <f>'Lớp 4 - Danh mục'!AK93</f>
        <v/>
      </c>
      <c r="AS163" s="389" t="str">
        <f t="shared" si="97"/>
        <v/>
      </c>
      <c r="AT163" s="389" t="str">
        <f t="shared" si="32"/>
        <v/>
      </c>
      <c r="AU163" s="389" t="str">
        <f t="shared" si="33"/>
        <v/>
      </c>
      <c r="AV163" s="389" t="str">
        <f t="shared" si="34"/>
        <v/>
      </c>
      <c r="AW163" s="389" t="str">
        <f t="shared" si="35"/>
        <v/>
      </c>
      <c r="AX163" s="67" t="str">
        <f t="shared" ref="AX163:BH163" si="176">Z163</f>
        <v/>
      </c>
      <c r="AY163" s="67" t="str">
        <f t="shared" si="176"/>
        <v/>
      </c>
      <c r="AZ163" s="67" t="str">
        <f t="shared" si="176"/>
        <v/>
      </c>
      <c r="BA163" s="67" t="str">
        <f t="shared" si="176"/>
        <v/>
      </c>
      <c r="BB163" s="398" t="str">
        <f t="shared" si="176"/>
        <v/>
      </c>
      <c r="BC163" s="358" t="str">
        <f t="shared" si="176"/>
        <v/>
      </c>
      <c r="BD163" s="187" t="str">
        <f t="shared" si="176"/>
        <v/>
      </c>
      <c r="BE163" s="104" t="str">
        <f t="shared" si="176"/>
        <v/>
      </c>
      <c r="BF163" s="389" t="str">
        <f t="shared" si="176"/>
        <v/>
      </c>
      <c r="BG163" s="389" t="str">
        <f t="shared" si="176"/>
        <v>🔵 Chưa có hạn</v>
      </c>
      <c r="BH163" s="67" t="str">
        <f t="shared" si="176"/>
        <v/>
      </c>
      <c r="BI163" s="389" t="str">
        <f t="array" ref="BI163">IF($X163="","",SWITCH($W163,3,IFERROR(INDEX('Lớp 3 - Công việc chính'!$AF$14:$AF$73,MATCH($X163,'Lớp 3 - Công việc chính'!$I$14:$I$73,0)),""),4,IFERROR(INDEX('Lớp 4 - Danh mục'!$AI$14:$AI$132,MATCH($X163,'Lớp 4 - Danh mục'!$I$14:$I$132,0)),""),5,IFERROR(INDEX('Lớp 5 - Phân công'!$AJ$14:$AJ$262,MATCH($X163,'Lớp 5 - Phân công'!$I$14:$I$262,0)),""),6,IFERROR(INDEX('Lớp 6 - Chi tiết'!$AM$14:$AM$267,MATCH($X163,'Lớp 6 - Chi tiết'!$I$14:$I$267,0)),""),""))</f>
        <v/>
      </c>
      <c r="BJ163" s="389" t="str">
        <f t="array" ref="BJ163">IF($X163="","",SWITCH($W163,3,IFERROR(INDEX('Lớp 3 - Công việc chính'!$AR$14:$AR$73,MATCH($X163,'Lớp 3 - Công việc chính'!$I$14:$I$73,0)),""),4,IFERROR(INDEX('Lớp 4 - Danh mục'!$AU$14:$AU$132,MATCH($X163,'Lớp 4 - Danh mục'!$I$14:$I$132,0)),""),5,IFERROR(INDEX('Lớp 5 - Phân công'!$AV$14:$AV$262,MATCH($X163,'Lớp 5 - Phân công'!$I$14:$I$262,0)),""),6,IFERROR(INDEX('Lớp 6 - Chi tiết'!$AY$14:$AY$267,MATCH($X163,'Lớp 6 - Chi tiết'!$I$14:$I$267,0)),""),""))</f>
        <v/>
      </c>
    </row>
    <row r="164" ht="15.75" customHeight="1">
      <c r="A164" s="294" t="str">
        <f t="shared" si="12"/>
        <v/>
      </c>
      <c r="B164" s="301" t="str">
        <f t="shared" si="13"/>
        <v/>
      </c>
      <c r="C164" s="301" t="str">
        <f t="shared" si="14"/>
        <v/>
      </c>
      <c r="D164" s="301" t="str">
        <f t="shared" si="15"/>
        <v/>
      </c>
      <c r="E164" s="301" t="str">
        <f t="shared" si="16"/>
        <v/>
      </c>
      <c r="F164" s="317" t="str">
        <f t="shared" si="17"/>
        <v/>
      </c>
      <c r="G164" s="323" t="str">
        <f t="shared" si="18"/>
        <v/>
      </c>
      <c r="H164" s="327" t="str">
        <f t="shared" si="19"/>
        <v/>
      </c>
      <c r="I164" s="327" t="str">
        <f t="shared" si="20"/>
        <v/>
      </c>
      <c r="J164" s="301" t="str">
        <f t="shared" si="21"/>
        <v/>
      </c>
      <c r="K164" s="301" t="str">
        <f t="shared" si="22"/>
        <v/>
      </c>
      <c r="L164" s="344" t="str">
        <f t="array" ref="L164">IF($T164="","",LET(m,MATCH($T164,$AS$24:$AS$700,0),lvl,INDEX($W$24:$W$700,m),id,INDEX($X$24:$X$700,m),SWITCH(lvl,3,"Lớp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4" s="351" t="str">
        <f t="shared" si="23"/>
        <v/>
      </c>
      <c r="N164" s="356" t="str">
        <f t="shared" si="24"/>
        <v/>
      </c>
      <c r="O164" s="358"/>
      <c r="P164" s="360"/>
      <c r="Q164" s="360"/>
      <c r="R164" s="67"/>
      <c r="S164" s="67"/>
      <c r="T164" s="67"/>
      <c r="U164" s="389" t="str">
        <f>IF('Lớp 4 - Danh mục'!I94="","",'Lớp 4 - Danh mục'!J94&amp;"|"&amp;'Lớp 4 - Danh mục'!I94)</f>
        <v/>
      </c>
      <c r="V164" s="389" t="str">
        <f>IF('Lớp 4 - Danh mục'!I94="","","   ├─ "&amp;'Lớp 4 - Danh mục'!O94)</f>
        <v/>
      </c>
      <c r="W164" s="389" t="str">
        <f>IF('Lớp 4 - Danh mục'!I94="","",4)</f>
        <v/>
      </c>
      <c r="X164" s="67" t="str">
        <f>'Lớp 4 - Danh mục'!I94</f>
        <v/>
      </c>
      <c r="Y164" s="67" t="str">
        <f>'Lớp 4 - Danh mục'!J94</f>
        <v/>
      </c>
      <c r="Z164" s="67" t="str">
        <f>'Lớp 4 - Danh mục'!Z94</f>
        <v/>
      </c>
      <c r="AA164" s="67" t="str">
        <f>'Lớp 4 - Danh mục'!X94</f>
        <v/>
      </c>
      <c r="AB164" s="67" t="str">
        <f>'Lớp 4 - Danh mục'!AB94</f>
        <v/>
      </c>
      <c r="AC164" s="67" t="str">
        <f>'Lớp 4 - Danh mục'!AA94</f>
        <v/>
      </c>
      <c r="AD164" s="398" t="str">
        <f>'Lớp 4 - Danh mục'!AF94</f>
        <v/>
      </c>
      <c r="AE164" s="358" t="str">
        <f>'Lớp 4 - Danh mục'!AD94</f>
        <v/>
      </c>
      <c r="AF164" s="187" t="str">
        <f>'Lớp 4 - Danh mục'!AG94</f>
        <v/>
      </c>
      <c r="AG164" s="104" t="str">
        <f>'Lớp 4 - Danh mục'!AH94</f>
        <v/>
      </c>
      <c r="AH164" s="389" t="str">
        <f t="shared" si="27"/>
        <v/>
      </c>
      <c r="AI164" s="389" t="str">
        <f t="shared" si="37"/>
        <v>🔵 Chưa có hạn</v>
      </c>
      <c r="AJ164" s="67" t="str">
        <f>'Lớp 4 - Danh mục'!AK94</f>
        <v/>
      </c>
      <c r="AS164" s="389" t="str">
        <f t="shared" si="97"/>
        <v/>
      </c>
      <c r="AT164" s="389" t="str">
        <f t="shared" si="32"/>
        <v/>
      </c>
      <c r="AU164" s="389" t="str">
        <f t="shared" si="33"/>
        <v/>
      </c>
      <c r="AV164" s="389" t="str">
        <f t="shared" si="34"/>
        <v/>
      </c>
      <c r="AW164" s="389" t="str">
        <f t="shared" si="35"/>
        <v/>
      </c>
      <c r="AX164" s="67" t="str">
        <f t="shared" ref="AX164:BH164" si="177">Z164</f>
        <v/>
      </c>
      <c r="AY164" s="67" t="str">
        <f t="shared" si="177"/>
        <v/>
      </c>
      <c r="AZ164" s="67" t="str">
        <f t="shared" si="177"/>
        <v/>
      </c>
      <c r="BA164" s="67" t="str">
        <f t="shared" si="177"/>
        <v/>
      </c>
      <c r="BB164" s="398" t="str">
        <f t="shared" si="177"/>
        <v/>
      </c>
      <c r="BC164" s="358" t="str">
        <f t="shared" si="177"/>
        <v/>
      </c>
      <c r="BD164" s="187" t="str">
        <f t="shared" si="177"/>
        <v/>
      </c>
      <c r="BE164" s="104" t="str">
        <f t="shared" si="177"/>
        <v/>
      </c>
      <c r="BF164" s="389" t="str">
        <f t="shared" si="177"/>
        <v/>
      </c>
      <c r="BG164" s="389" t="str">
        <f t="shared" si="177"/>
        <v>🔵 Chưa có hạn</v>
      </c>
      <c r="BH164" s="67" t="str">
        <f t="shared" si="177"/>
        <v/>
      </c>
      <c r="BI164" s="389" t="str">
        <f t="array" ref="BI164">IF($X164="","",SWITCH($W164,3,IFERROR(INDEX('Lớp 3 - Công việc chính'!$AF$14:$AF$73,MATCH($X164,'Lớp 3 - Công việc chính'!$I$14:$I$73,0)),""),4,IFERROR(INDEX('Lớp 4 - Danh mục'!$AI$14:$AI$132,MATCH($X164,'Lớp 4 - Danh mục'!$I$14:$I$132,0)),""),5,IFERROR(INDEX('Lớp 5 - Phân công'!$AJ$14:$AJ$262,MATCH($X164,'Lớp 5 - Phân công'!$I$14:$I$262,0)),""),6,IFERROR(INDEX('Lớp 6 - Chi tiết'!$AM$14:$AM$267,MATCH($X164,'Lớp 6 - Chi tiết'!$I$14:$I$267,0)),""),""))</f>
        <v/>
      </c>
      <c r="BJ164" s="389" t="str">
        <f t="array" ref="BJ164">IF($X164="","",SWITCH($W164,3,IFERROR(INDEX('Lớp 3 - Công việc chính'!$AR$14:$AR$73,MATCH($X164,'Lớp 3 - Công việc chính'!$I$14:$I$73,0)),""),4,IFERROR(INDEX('Lớp 4 - Danh mục'!$AU$14:$AU$132,MATCH($X164,'Lớp 4 - Danh mục'!$I$14:$I$132,0)),""),5,IFERROR(INDEX('Lớp 5 - Phân công'!$AV$14:$AV$262,MATCH($X164,'Lớp 5 - Phân công'!$I$14:$I$262,0)),""),6,IFERROR(INDEX('Lớp 6 - Chi tiết'!$AY$14:$AY$267,MATCH($X164,'Lớp 6 - Chi tiết'!$I$14:$I$267,0)),""),""))</f>
        <v/>
      </c>
    </row>
    <row r="165" ht="15.75" customHeight="1">
      <c r="A165" s="294" t="str">
        <f t="shared" si="12"/>
        <v/>
      </c>
      <c r="B165" s="301" t="str">
        <f t="shared" si="13"/>
        <v/>
      </c>
      <c r="C165" s="301" t="str">
        <f t="shared" si="14"/>
        <v/>
      </c>
      <c r="D165" s="301" t="str">
        <f t="shared" si="15"/>
        <v/>
      </c>
      <c r="E165" s="301" t="str">
        <f t="shared" si="16"/>
        <v/>
      </c>
      <c r="F165" s="317" t="str">
        <f t="shared" si="17"/>
        <v/>
      </c>
      <c r="G165" s="323" t="str">
        <f t="shared" si="18"/>
        <v/>
      </c>
      <c r="H165" s="327" t="str">
        <f t="shared" si="19"/>
        <v/>
      </c>
      <c r="I165" s="327" t="str">
        <f t="shared" si="20"/>
        <v/>
      </c>
      <c r="J165" s="301" t="str">
        <f t="shared" si="21"/>
        <v/>
      </c>
      <c r="K165" s="301" t="str">
        <f t="shared" si="22"/>
        <v/>
      </c>
      <c r="L165" s="344" t="str">
        <f t="array" ref="L165">IF($T165="","",LET(m,MATCH($T165,$AS$24:$AS$700,0),lvl,INDEX($W$24:$W$700,m),id,INDEX($X$24:$X$700,m),SWITCH(lvl,3,"Lớp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5" s="351" t="str">
        <f t="shared" si="23"/>
        <v/>
      </c>
      <c r="N165" s="356" t="str">
        <f t="shared" si="24"/>
        <v/>
      </c>
      <c r="O165" s="358"/>
      <c r="P165" s="360"/>
      <c r="Q165" s="360"/>
      <c r="R165" s="67"/>
      <c r="S165" s="67"/>
      <c r="T165" s="67"/>
      <c r="U165" s="389" t="str">
        <f>IF('Lớp 4 - Danh mục'!I95="","",'Lớp 4 - Danh mục'!J95&amp;"|"&amp;'Lớp 4 - Danh mục'!I95)</f>
        <v/>
      </c>
      <c r="V165" s="389" t="str">
        <f>IF('Lớp 4 - Danh mục'!I95="","","   ├─ "&amp;'Lớp 4 - Danh mục'!O95)</f>
        <v/>
      </c>
      <c r="W165" s="389" t="str">
        <f>IF('Lớp 4 - Danh mục'!I95="","",4)</f>
        <v/>
      </c>
      <c r="X165" s="67" t="str">
        <f>'Lớp 4 - Danh mục'!I95</f>
        <v/>
      </c>
      <c r="Y165" s="67" t="str">
        <f>'Lớp 4 - Danh mục'!J95</f>
        <v/>
      </c>
      <c r="Z165" s="67" t="str">
        <f>'Lớp 4 - Danh mục'!Z95</f>
        <v/>
      </c>
      <c r="AA165" s="67" t="str">
        <f>'Lớp 4 - Danh mục'!X95</f>
        <v/>
      </c>
      <c r="AB165" s="67" t="str">
        <f>'Lớp 4 - Danh mục'!AB95</f>
        <v/>
      </c>
      <c r="AC165" s="67" t="str">
        <f>'Lớp 4 - Danh mục'!AA95</f>
        <v/>
      </c>
      <c r="AD165" s="398" t="str">
        <f>'Lớp 4 - Danh mục'!AF95</f>
        <v/>
      </c>
      <c r="AE165" s="358" t="str">
        <f>'Lớp 4 - Danh mục'!AD95</f>
        <v/>
      </c>
      <c r="AF165" s="187" t="str">
        <f>'Lớp 4 - Danh mục'!AG95</f>
        <v/>
      </c>
      <c r="AG165" s="104" t="str">
        <f>'Lớp 4 - Danh mục'!AH95</f>
        <v/>
      </c>
      <c r="AH165" s="389" t="str">
        <f t="shared" si="27"/>
        <v/>
      </c>
      <c r="AI165" s="389" t="str">
        <f t="shared" si="37"/>
        <v>🔵 Chưa có hạn</v>
      </c>
      <c r="AJ165" s="67" t="str">
        <f>'Lớp 4 - Danh mục'!AK95</f>
        <v/>
      </c>
      <c r="AS165" s="389" t="str">
        <f t="shared" si="97"/>
        <v/>
      </c>
      <c r="AT165" s="389" t="str">
        <f t="shared" si="32"/>
        <v/>
      </c>
      <c r="AU165" s="389" t="str">
        <f t="shared" si="33"/>
        <v/>
      </c>
      <c r="AV165" s="389" t="str">
        <f t="shared" si="34"/>
        <v/>
      </c>
      <c r="AW165" s="389" t="str">
        <f t="shared" si="35"/>
        <v/>
      </c>
      <c r="AX165" s="67" t="str">
        <f t="shared" ref="AX165:BH165" si="178">Z165</f>
        <v/>
      </c>
      <c r="AY165" s="67" t="str">
        <f t="shared" si="178"/>
        <v/>
      </c>
      <c r="AZ165" s="67" t="str">
        <f t="shared" si="178"/>
        <v/>
      </c>
      <c r="BA165" s="67" t="str">
        <f t="shared" si="178"/>
        <v/>
      </c>
      <c r="BB165" s="398" t="str">
        <f t="shared" si="178"/>
        <v/>
      </c>
      <c r="BC165" s="358" t="str">
        <f t="shared" si="178"/>
        <v/>
      </c>
      <c r="BD165" s="187" t="str">
        <f t="shared" si="178"/>
        <v/>
      </c>
      <c r="BE165" s="104" t="str">
        <f t="shared" si="178"/>
        <v/>
      </c>
      <c r="BF165" s="389" t="str">
        <f t="shared" si="178"/>
        <v/>
      </c>
      <c r="BG165" s="389" t="str">
        <f t="shared" si="178"/>
        <v>🔵 Chưa có hạn</v>
      </c>
      <c r="BH165" s="67" t="str">
        <f t="shared" si="178"/>
        <v/>
      </c>
      <c r="BI165" s="389" t="str">
        <f t="array" ref="BI165">IF($X165="","",SWITCH($W165,3,IFERROR(INDEX('Lớp 3 - Công việc chính'!$AF$14:$AF$73,MATCH($X165,'Lớp 3 - Công việc chính'!$I$14:$I$73,0)),""),4,IFERROR(INDEX('Lớp 4 - Danh mục'!$AI$14:$AI$132,MATCH($X165,'Lớp 4 - Danh mục'!$I$14:$I$132,0)),""),5,IFERROR(INDEX('Lớp 5 - Phân công'!$AJ$14:$AJ$262,MATCH($X165,'Lớp 5 - Phân công'!$I$14:$I$262,0)),""),6,IFERROR(INDEX('Lớp 6 - Chi tiết'!$AM$14:$AM$267,MATCH($X165,'Lớp 6 - Chi tiết'!$I$14:$I$267,0)),""),""))</f>
        <v/>
      </c>
      <c r="BJ165" s="389" t="str">
        <f t="array" ref="BJ165">IF($X165="","",SWITCH($W165,3,IFERROR(INDEX('Lớp 3 - Công việc chính'!$AR$14:$AR$73,MATCH($X165,'Lớp 3 - Công việc chính'!$I$14:$I$73,0)),""),4,IFERROR(INDEX('Lớp 4 - Danh mục'!$AU$14:$AU$132,MATCH($X165,'Lớp 4 - Danh mục'!$I$14:$I$132,0)),""),5,IFERROR(INDEX('Lớp 5 - Phân công'!$AV$14:$AV$262,MATCH($X165,'Lớp 5 - Phân công'!$I$14:$I$262,0)),""),6,IFERROR(INDEX('Lớp 6 - Chi tiết'!$AY$14:$AY$267,MATCH($X165,'Lớp 6 - Chi tiết'!$I$14:$I$267,0)),""),""))</f>
        <v/>
      </c>
    </row>
    <row r="166" ht="15.75" customHeight="1">
      <c r="A166" s="294" t="str">
        <f t="shared" si="12"/>
        <v/>
      </c>
      <c r="B166" s="301" t="str">
        <f t="shared" si="13"/>
        <v/>
      </c>
      <c r="C166" s="301" t="str">
        <f t="shared" si="14"/>
        <v/>
      </c>
      <c r="D166" s="301" t="str">
        <f t="shared" si="15"/>
        <v/>
      </c>
      <c r="E166" s="301" t="str">
        <f t="shared" si="16"/>
        <v/>
      </c>
      <c r="F166" s="317" t="str">
        <f t="shared" si="17"/>
        <v/>
      </c>
      <c r="G166" s="323" t="str">
        <f t="shared" si="18"/>
        <v/>
      </c>
      <c r="H166" s="327" t="str">
        <f t="shared" si="19"/>
        <v/>
      </c>
      <c r="I166" s="327" t="str">
        <f t="shared" si="20"/>
        <v/>
      </c>
      <c r="J166" s="301" t="str">
        <f t="shared" si="21"/>
        <v/>
      </c>
      <c r="K166" s="301" t="str">
        <f t="shared" si="22"/>
        <v/>
      </c>
      <c r="L166" s="344" t="str">
        <f t="array" ref="L166">IF($T166="","",LET(m,MATCH($T166,$AS$24:$AS$700,0),lvl,INDEX($W$24:$W$700,m),id,INDEX($X$24:$X$700,m),SWITCH(lvl,3,"Lớp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6" s="351" t="str">
        <f t="shared" si="23"/>
        <v/>
      </c>
      <c r="N166" s="356" t="str">
        <f t="shared" si="24"/>
        <v/>
      </c>
      <c r="O166" s="358"/>
      <c r="P166" s="360"/>
      <c r="Q166" s="360"/>
      <c r="R166" s="67"/>
      <c r="S166" s="67"/>
      <c r="T166" s="67"/>
      <c r="U166" s="389" t="str">
        <f>IF('Lớp 4 - Danh mục'!I96="","",'Lớp 4 - Danh mục'!J96&amp;"|"&amp;'Lớp 4 - Danh mục'!I96)</f>
        <v/>
      </c>
      <c r="V166" s="389" t="str">
        <f>IF('Lớp 4 - Danh mục'!I96="","","   ├─ "&amp;'Lớp 4 - Danh mục'!O96)</f>
        <v/>
      </c>
      <c r="W166" s="389" t="str">
        <f>IF('Lớp 4 - Danh mục'!I96="","",4)</f>
        <v/>
      </c>
      <c r="X166" s="67" t="str">
        <f>'Lớp 4 - Danh mục'!I96</f>
        <v/>
      </c>
      <c r="Y166" s="67" t="str">
        <f>'Lớp 4 - Danh mục'!J96</f>
        <v/>
      </c>
      <c r="Z166" s="67" t="str">
        <f>'Lớp 4 - Danh mục'!Z96</f>
        <v/>
      </c>
      <c r="AA166" s="67" t="str">
        <f>'Lớp 4 - Danh mục'!X96</f>
        <v/>
      </c>
      <c r="AB166" s="67" t="str">
        <f>'Lớp 4 - Danh mục'!AB96</f>
        <v/>
      </c>
      <c r="AC166" s="67" t="str">
        <f>'Lớp 4 - Danh mục'!AA96</f>
        <v/>
      </c>
      <c r="AD166" s="398" t="str">
        <f>'Lớp 4 - Danh mục'!AF96</f>
        <v/>
      </c>
      <c r="AE166" s="358" t="str">
        <f>'Lớp 4 - Danh mục'!AD96</f>
        <v/>
      </c>
      <c r="AF166" s="187" t="str">
        <f>'Lớp 4 - Danh mục'!AG96</f>
        <v/>
      </c>
      <c r="AG166" s="104" t="str">
        <f>'Lớp 4 - Danh mục'!AH96</f>
        <v/>
      </c>
      <c r="AH166" s="389" t="str">
        <f t="shared" si="27"/>
        <v/>
      </c>
      <c r="AI166" s="389" t="str">
        <f t="shared" si="37"/>
        <v>🔵 Chưa có hạn</v>
      </c>
      <c r="AJ166" s="67" t="str">
        <f>'Lớp 4 - Danh mục'!AK96</f>
        <v/>
      </c>
      <c r="AS166" s="389" t="str">
        <f t="shared" si="97"/>
        <v/>
      </c>
      <c r="AT166" s="389" t="str">
        <f t="shared" si="32"/>
        <v/>
      </c>
      <c r="AU166" s="389" t="str">
        <f t="shared" si="33"/>
        <v/>
      </c>
      <c r="AV166" s="389" t="str">
        <f t="shared" si="34"/>
        <v/>
      </c>
      <c r="AW166" s="389" t="str">
        <f t="shared" si="35"/>
        <v/>
      </c>
      <c r="AX166" s="67" t="str">
        <f t="shared" ref="AX166:BH166" si="179">Z166</f>
        <v/>
      </c>
      <c r="AY166" s="67" t="str">
        <f t="shared" si="179"/>
        <v/>
      </c>
      <c r="AZ166" s="67" t="str">
        <f t="shared" si="179"/>
        <v/>
      </c>
      <c r="BA166" s="67" t="str">
        <f t="shared" si="179"/>
        <v/>
      </c>
      <c r="BB166" s="398" t="str">
        <f t="shared" si="179"/>
        <v/>
      </c>
      <c r="BC166" s="358" t="str">
        <f t="shared" si="179"/>
        <v/>
      </c>
      <c r="BD166" s="187" t="str">
        <f t="shared" si="179"/>
        <v/>
      </c>
      <c r="BE166" s="104" t="str">
        <f t="shared" si="179"/>
        <v/>
      </c>
      <c r="BF166" s="389" t="str">
        <f t="shared" si="179"/>
        <v/>
      </c>
      <c r="BG166" s="389" t="str">
        <f t="shared" si="179"/>
        <v>🔵 Chưa có hạn</v>
      </c>
      <c r="BH166" s="67" t="str">
        <f t="shared" si="179"/>
        <v/>
      </c>
      <c r="BI166" s="389" t="str">
        <f t="array" ref="BI166">IF($X166="","",SWITCH($W166,3,IFERROR(INDEX('Lớp 3 - Công việc chính'!$AF$14:$AF$73,MATCH($X166,'Lớp 3 - Công việc chính'!$I$14:$I$73,0)),""),4,IFERROR(INDEX('Lớp 4 - Danh mục'!$AI$14:$AI$132,MATCH($X166,'Lớp 4 - Danh mục'!$I$14:$I$132,0)),""),5,IFERROR(INDEX('Lớp 5 - Phân công'!$AJ$14:$AJ$262,MATCH($X166,'Lớp 5 - Phân công'!$I$14:$I$262,0)),""),6,IFERROR(INDEX('Lớp 6 - Chi tiết'!$AM$14:$AM$267,MATCH($X166,'Lớp 6 - Chi tiết'!$I$14:$I$267,0)),""),""))</f>
        <v/>
      </c>
      <c r="BJ166" s="389" t="str">
        <f t="array" ref="BJ166">IF($X166="","",SWITCH($W166,3,IFERROR(INDEX('Lớp 3 - Công việc chính'!$AR$14:$AR$73,MATCH($X166,'Lớp 3 - Công việc chính'!$I$14:$I$73,0)),""),4,IFERROR(INDEX('Lớp 4 - Danh mục'!$AU$14:$AU$132,MATCH($X166,'Lớp 4 - Danh mục'!$I$14:$I$132,0)),""),5,IFERROR(INDEX('Lớp 5 - Phân công'!$AV$14:$AV$262,MATCH($X166,'Lớp 5 - Phân công'!$I$14:$I$262,0)),""),6,IFERROR(INDEX('Lớp 6 - Chi tiết'!$AY$14:$AY$267,MATCH($X166,'Lớp 6 - Chi tiết'!$I$14:$I$267,0)),""),""))</f>
        <v/>
      </c>
    </row>
    <row r="167" ht="15.75" customHeight="1">
      <c r="A167" s="294" t="str">
        <f t="shared" si="12"/>
        <v/>
      </c>
      <c r="B167" s="301" t="str">
        <f t="shared" si="13"/>
        <v/>
      </c>
      <c r="C167" s="301" t="str">
        <f t="shared" si="14"/>
        <v/>
      </c>
      <c r="D167" s="301" t="str">
        <f t="shared" si="15"/>
        <v/>
      </c>
      <c r="E167" s="301" t="str">
        <f t="shared" si="16"/>
        <v/>
      </c>
      <c r="F167" s="317" t="str">
        <f t="shared" si="17"/>
        <v/>
      </c>
      <c r="G167" s="323" t="str">
        <f t="shared" si="18"/>
        <v/>
      </c>
      <c r="H167" s="327" t="str">
        <f t="shared" si="19"/>
        <v/>
      </c>
      <c r="I167" s="327" t="str">
        <f t="shared" si="20"/>
        <v/>
      </c>
      <c r="J167" s="301" t="str">
        <f t="shared" si="21"/>
        <v/>
      </c>
      <c r="K167" s="301" t="str">
        <f t="shared" si="22"/>
        <v/>
      </c>
      <c r="L167" s="344" t="str">
        <f t="array" ref="L167">IF($T167="","",LET(m,MATCH($T167,$AS$24:$AS$700,0),lvl,INDEX($W$24:$W$700,m),id,INDEX($X$24:$X$700,m),SWITCH(lvl,3,"Lớp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7" s="351" t="str">
        <f t="shared" si="23"/>
        <v/>
      </c>
      <c r="N167" s="356" t="str">
        <f t="shared" si="24"/>
        <v/>
      </c>
      <c r="O167" s="358"/>
      <c r="P167" s="360"/>
      <c r="Q167" s="360"/>
      <c r="R167" s="67"/>
      <c r="S167" s="67"/>
      <c r="T167" s="67"/>
      <c r="U167" s="389" t="str">
        <f>IF('Lớp 4 - Danh mục'!I97="","",'Lớp 4 - Danh mục'!J97&amp;"|"&amp;'Lớp 4 - Danh mục'!I97)</f>
        <v/>
      </c>
      <c r="V167" s="389" t="str">
        <f>IF('Lớp 4 - Danh mục'!I97="","","   ├─ "&amp;'Lớp 4 - Danh mục'!O97)</f>
        <v/>
      </c>
      <c r="W167" s="389" t="str">
        <f>IF('Lớp 4 - Danh mục'!I97="","",4)</f>
        <v/>
      </c>
      <c r="X167" s="67" t="str">
        <f>'Lớp 4 - Danh mục'!I97</f>
        <v/>
      </c>
      <c r="Y167" s="67" t="str">
        <f>'Lớp 4 - Danh mục'!J97</f>
        <v/>
      </c>
      <c r="Z167" s="67" t="str">
        <f>'Lớp 4 - Danh mục'!Z97</f>
        <v/>
      </c>
      <c r="AA167" s="67" t="str">
        <f>'Lớp 4 - Danh mục'!X97</f>
        <v/>
      </c>
      <c r="AB167" s="67" t="str">
        <f>'Lớp 4 - Danh mục'!AB97</f>
        <v/>
      </c>
      <c r="AC167" s="67" t="str">
        <f>'Lớp 4 - Danh mục'!AA97</f>
        <v/>
      </c>
      <c r="AD167" s="398" t="str">
        <f>'Lớp 4 - Danh mục'!AF97</f>
        <v/>
      </c>
      <c r="AE167" s="358" t="str">
        <f>'Lớp 4 - Danh mục'!AD97</f>
        <v/>
      </c>
      <c r="AF167" s="187" t="str">
        <f>'Lớp 4 - Danh mục'!AG97</f>
        <v/>
      </c>
      <c r="AG167" s="104" t="str">
        <f>'Lớp 4 - Danh mục'!AH97</f>
        <v/>
      </c>
      <c r="AH167" s="389" t="str">
        <f t="shared" si="27"/>
        <v/>
      </c>
      <c r="AI167" s="389" t="str">
        <f t="shared" si="37"/>
        <v>🔵 Chưa có hạn</v>
      </c>
      <c r="AJ167" s="67" t="str">
        <f>'Lớp 4 - Danh mục'!AK97</f>
        <v/>
      </c>
      <c r="AS167" s="389" t="str">
        <f t="shared" si="97"/>
        <v/>
      </c>
      <c r="AT167" s="389" t="str">
        <f t="shared" si="32"/>
        <v/>
      </c>
      <c r="AU167" s="389" t="str">
        <f t="shared" si="33"/>
        <v/>
      </c>
      <c r="AV167" s="389" t="str">
        <f t="shared" si="34"/>
        <v/>
      </c>
      <c r="AW167" s="389" t="str">
        <f t="shared" si="35"/>
        <v/>
      </c>
      <c r="AX167" s="67" t="str">
        <f t="shared" ref="AX167:BH167" si="180">Z167</f>
        <v/>
      </c>
      <c r="AY167" s="67" t="str">
        <f t="shared" si="180"/>
        <v/>
      </c>
      <c r="AZ167" s="67" t="str">
        <f t="shared" si="180"/>
        <v/>
      </c>
      <c r="BA167" s="67" t="str">
        <f t="shared" si="180"/>
        <v/>
      </c>
      <c r="BB167" s="398" t="str">
        <f t="shared" si="180"/>
        <v/>
      </c>
      <c r="BC167" s="358" t="str">
        <f t="shared" si="180"/>
        <v/>
      </c>
      <c r="BD167" s="187" t="str">
        <f t="shared" si="180"/>
        <v/>
      </c>
      <c r="BE167" s="104" t="str">
        <f t="shared" si="180"/>
        <v/>
      </c>
      <c r="BF167" s="389" t="str">
        <f t="shared" si="180"/>
        <v/>
      </c>
      <c r="BG167" s="389" t="str">
        <f t="shared" si="180"/>
        <v>🔵 Chưa có hạn</v>
      </c>
      <c r="BH167" s="67" t="str">
        <f t="shared" si="180"/>
        <v/>
      </c>
      <c r="BI167" s="389" t="str">
        <f t="array" ref="BI167">IF($X167="","",SWITCH($W167,3,IFERROR(INDEX('Lớp 3 - Công việc chính'!$AF$14:$AF$73,MATCH($X167,'Lớp 3 - Công việc chính'!$I$14:$I$73,0)),""),4,IFERROR(INDEX('Lớp 4 - Danh mục'!$AI$14:$AI$132,MATCH($X167,'Lớp 4 - Danh mục'!$I$14:$I$132,0)),""),5,IFERROR(INDEX('Lớp 5 - Phân công'!$AJ$14:$AJ$262,MATCH($X167,'Lớp 5 - Phân công'!$I$14:$I$262,0)),""),6,IFERROR(INDEX('Lớp 6 - Chi tiết'!$AM$14:$AM$267,MATCH($X167,'Lớp 6 - Chi tiết'!$I$14:$I$267,0)),""),""))</f>
        <v/>
      </c>
      <c r="BJ167" s="389" t="str">
        <f t="array" ref="BJ167">IF($X167="","",SWITCH($W167,3,IFERROR(INDEX('Lớp 3 - Công việc chính'!$AR$14:$AR$73,MATCH($X167,'Lớp 3 - Công việc chính'!$I$14:$I$73,0)),""),4,IFERROR(INDEX('Lớp 4 - Danh mục'!$AU$14:$AU$132,MATCH($X167,'Lớp 4 - Danh mục'!$I$14:$I$132,0)),""),5,IFERROR(INDEX('Lớp 5 - Phân công'!$AV$14:$AV$262,MATCH($X167,'Lớp 5 - Phân công'!$I$14:$I$262,0)),""),6,IFERROR(INDEX('Lớp 6 - Chi tiết'!$AY$14:$AY$267,MATCH($X167,'Lớp 6 - Chi tiết'!$I$14:$I$267,0)),""),""))</f>
        <v/>
      </c>
    </row>
    <row r="168" ht="15.75" customHeight="1">
      <c r="A168" s="294" t="str">
        <f t="shared" si="12"/>
        <v/>
      </c>
      <c r="B168" s="301" t="str">
        <f t="shared" si="13"/>
        <v/>
      </c>
      <c r="C168" s="301" t="str">
        <f t="shared" si="14"/>
        <v/>
      </c>
      <c r="D168" s="301" t="str">
        <f t="shared" si="15"/>
        <v/>
      </c>
      <c r="E168" s="301" t="str">
        <f t="shared" si="16"/>
        <v/>
      </c>
      <c r="F168" s="317" t="str">
        <f t="shared" si="17"/>
        <v/>
      </c>
      <c r="G168" s="323" t="str">
        <f t="shared" si="18"/>
        <v/>
      </c>
      <c r="H168" s="327" t="str">
        <f t="shared" si="19"/>
        <v/>
      </c>
      <c r="I168" s="327" t="str">
        <f t="shared" si="20"/>
        <v/>
      </c>
      <c r="J168" s="301" t="str">
        <f t="shared" si="21"/>
        <v/>
      </c>
      <c r="K168" s="301" t="str">
        <f t="shared" si="22"/>
        <v/>
      </c>
      <c r="L168" s="344" t="str">
        <f t="array" ref="L168">IF($T168="","",LET(m,MATCH($T168,$AS$24:$AS$700,0),lvl,INDEX($W$24:$W$700,m),id,INDEX($X$24:$X$700,m),SWITCH(lvl,3,"Lớp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8" s="351" t="str">
        <f t="shared" si="23"/>
        <v/>
      </c>
      <c r="N168" s="356" t="str">
        <f t="shared" si="24"/>
        <v/>
      </c>
      <c r="O168" s="358"/>
      <c r="P168" s="360"/>
      <c r="Q168" s="360"/>
      <c r="R168" s="67"/>
      <c r="S168" s="67"/>
      <c r="T168" s="67"/>
      <c r="U168" s="389" t="str">
        <f>IF('Lớp 4 - Danh mục'!I98="","",'Lớp 4 - Danh mục'!J98&amp;"|"&amp;'Lớp 4 - Danh mục'!I98)</f>
        <v/>
      </c>
      <c r="V168" s="389" t="str">
        <f>IF('Lớp 4 - Danh mục'!I98="","","   ├─ "&amp;'Lớp 4 - Danh mục'!O98)</f>
        <v/>
      </c>
      <c r="W168" s="389" t="str">
        <f>IF('Lớp 4 - Danh mục'!I98="","",4)</f>
        <v/>
      </c>
      <c r="X168" s="67" t="str">
        <f>'Lớp 4 - Danh mục'!I98</f>
        <v/>
      </c>
      <c r="Y168" s="67" t="str">
        <f>'Lớp 4 - Danh mục'!J98</f>
        <v/>
      </c>
      <c r="Z168" s="67" t="str">
        <f>'Lớp 4 - Danh mục'!Z98</f>
        <v/>
      </c>
      <c r="AA168" s="67" t="str">
        <f>'Lớp 4 - Danh mục'!X98</f>
        <v/>
      </c>
      <c r="AB168" s="67" t="str">
        <f>'Lớp 4 - Danh mục'!AB98</f>
        <v/>
      </c>
      <c r="AC168" s="67" t="str">
        <f>'Lớp 4 - Danh mục'!AA98</f>
        <v/>
      </c>
      <c r="AD168" s="398" t="str">
        <f>'Lớp 4 - Danh mục'!AF98</f>
        <v/>
      </c>
      <c r="AE168" s="358" t="str">
        <f>'Lớp 4 - Danh mục'!AD98</f>
        <v/>
      </c>
      <c r="AF168" s="187" t="str">
        <f>'Lớp 4 - Danh mục'!AG98</f>
        <v/>
      </c>
      <c r="AG168" s="104" t="str">
        <f>'Lớp 4 - Danh mục'!AH98</f>
        <v/>
      </c>
      <c r="AH168" s="389" t="str">
        <f t="shared" si="27"/>
        <v/>
      </c>
      <c r="AI168" s="389" t="str">
        <f t="shared" si="37"/>
        <v>🔵 Chưa có hạn</v>
      </c>
      <c r="AJ168" s="67" t="str">
        <f>'Lớp 4 - Danh mục'!AK98</f>
        <v/>
      </c>
      <c r="AS168" s="389" t="str">
        <f t="shared" si="97"/>
        <v/>
      </c>
      <c r="AT168" s="389" t="str">
        <f t="shared" si="32"/>
        <v/>
      </c>
      <c r="AU168" s="389" t="str">
        <f t="shared" si="33"/>
        <v/>
      </c>
      <c r="AV168" s="389" t="str">
        <f t="shared" si="34"/>
        <v/>
      </c>
      <c r="AW168" s="389" t="str">
        <f t="shared" si="35"/>
        <v/>
      </c>
      <c r="AX168" s="67" t="str">
        <f t="shared" ref="AX168:BH168" si="181">Z168</f>
        <v/>
      </c>
      <c r="AY168" s="67" t="str">
        <f t="shared" si="181"/>
        <v/>
      </c>
      <c r="AZ168" s="67" t="str">
        <f t="shared" si="181"/>
        <v/>
      </c>
      <c r="BA168" s="67" t="str">
        <f t="shared" si="181"/>
        <v/>
      </c>
      <c r="BB168" s="398" t="str">
        <f t="shared" si="181"/>
        <v/>
      </c>
      <c r="BC168" s="358" t="str">
        <f t="shared" si="181"/>
        <v/>
      </c>
      <c r="BD168" s="187" t="str">
        <f t="shared" si="181"/>
        <v/>
      </c>
      <c r="BE168" s="104" t="str">
        <f t="shared" si="181"/>
        <v/>
      </c>
      <c r="BF168" s="389" t="str">
        <f t="shared" si="181"/>
        <v/>
      </c>
      <c r="BG168" s="389" t="str">
        <f t="shared" si="181"/>
        <v>🔵 Chưa có hạn</v>
      </c>
      <c r="BH168" s="67" t="str">
        <f t="shared" si="181"/>
        <v/>
      </c>
      <c r="BI168" s="389" t="str">
        <f t="array" ref="BI168">IF($X168="","",SWITCH($W168,3,IFERROR(INDEX('Lớp 3 - Công việc chính'!$AF$14:$AF$73,MATCH($X168,'Lớp 3 - Công việc chính'!$I$14:$I$73,0)),""),4,IFERROR(INDEX('Lớp 4 - Danh mục'!$AI$14:$AI$132,MATCH($X168,'Lớp 4 - Danh mục'!$I$14:$I$132,0)),""),5,IFERROR(INDEX('Lớp 5 - Phân công'!$AJ$14:$AJ$262,MATCH($X168,'Lớp 5 - Phân công'!$I$14:$I$262,0)),""),6,IFERROR(INDEX('Lớp 6 - Chi tiết'!$AM$14:$AM$267,MATCH($X168,'Lớp 6 - Chi tiết'!$I$14:$I$267,0)),""),""))</f>
        <v/>
      </c>
      <c r="BJ168" s="389" t="str">
        <f t="array" ref="BJ168">IF($X168="","",SWITCH($W168,3,IFERROR(INDEX('Lớp 3 - Công việc chính'!$AR$14:$AR$73,MATCH($X168,'Lớp 3 - Công việc chính'!$I$14:$I$73,0)),""),4,IFERROR(INDEX('Lớp 4 - Danh mục'!$AU$14:$AU$132,MATCH($X168,'Lớp 4 - Danh mục'!$I$14:$I$132,0)),""),5,IFERROR(INDEX('Lớp 5 - Phân công'!$AV$14:$AV$262,MATCH($X168,'Lớp 5 - Phân công'!$I$14:$I$262,0)),""),6,IFERROR(INDEX('Lớp 6 - Chi tiết'!$AY$14:$AY$267,MATCH($X168,'Lớp 6 - Chi tiết'!$I$14:$I$267,0)),""),""))</f>
        <v/>
      </c>
    </row>
    <row r="169" ht="15.75" customHeight="1">
      <c r="A169" s="294" t="str">
        <f t="shared" si="12"/>
        <v/>
      </c>
      <c r="B169" s="301" t="str">
        <f t="shared" si="13"/>
        <v/>
      </c>
      <c r="C169" s="301" t="str">
        <f t="shared" si="14"/>
        <v/>
      </c>
      <c r="D169" s="301" t="str">
        <f t="shared" si="15"/>
        <v/>
      </c>
      <c r="E169" s="301" t="str">
        <f t="shared" si="16"/>
        <v/>
      </c>
      <c r="F169" s="317" t="str">
        <f t="shared" si="17"/>
        <v/>
      </c>
      <c r="G169" s="323" t="str">
        <f t="shared" si="18"/>
        <v/>
      </c>
      <c r="H169" s="327" t="str">
        <f t="shared" si="19"/>
        <v/>
      </c>
      <c r="I169" s="327" t="str">
        <f t="shared" si="20"/>
        <v/>
      </c>
      <c r="J169" s="301" t="str">
        <f t="shared" si="21"/>
        <v/>
      </c>
      <c r="K169" s="301" t="str">
        <f t="shared" si="22"/>
        <v/>
      </c>
      <c r="L169" s="344" t="str">
        <f t="array" ref="L169">IF($T169="","",LET(m,MATCH($T169,$AS$24:$AS$700,0),lvl,INDEX($W$24:$W$700,m),id,INDEX($X$24:$X$700,m),SWITCH(lvl,3,"Lớp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69" s="351" t="str">
        <f t="shared" si="23"/>
        <v/>
      </c>
      <c r="N169" s="356" t="str">
        <f t="shared" si="24"/>
        <v/>
      </c>
      <c r="O169" s="358"/>
      <c r="P169" s="360"/>
      <c r="Q169" s="360"/>
      <c r="R169" s="67"/>
      <c r="S169" s="67"/>
      <c r="T169" s="67"/>
      <c r="U169" s="389" t="str">
        <f>IF('Lớp 4 - Danh mục'!I99="","",'Lớp 4 - Danh mục'!J99&amp;"|"&amp;'Lớp 4 - Danh mục'!I99)</f>
        <v/>
      </c>
      <c r="V169" s="389" t="str">
        <f>IF('Lớp 4 - Danh mục'!I99="","","   ├─ "&amp;'Lớp 4 - Danh mục'!O99)</f>
        <v/>
      </c>
      <c r="W169" s="389" t="str">
        <f>IF('Lớp 4 - Danh mục'!I99="","",4)</f>
        <v/>
      </c>
      <c r="X169" s="67" t="str">
        <f>'Lớp 4 - Danh mục'!I99</f>
        <v/>
      </c>
      <c r="Y169" s="67" t="str">
        <f>'Lớp 4 - Danh mục'!J99</f>
        <v/>
      </c>
      <c r="Z169" s="67" t="str">
        <f>'Lớp 4 - Danh mục'!Z99</f>
        <v/>
      </c>
      <c r="AA169" s="67" t="str">
        <f>'Lớp 4 - Danh mục'!X99</f>
        <v/>
      </c>
      <c r="AB169" s="67" t="str">
        <f>'Lớp 4 - Danh mục'!AB99</f>
        <v/>
      </c>
      <c r="AC169" s="67" t="str">
        <f>'Lớp 4 - Danh mục'!AA99</f>
        <v/>
      </c>
      <c r="AD169" s="398" t="str">
        <f>'Lớp 4 - Danh mục'!AF99</f>
        <v/>
      </c>
      <c r="AE169" s="358" t="str">
        <f>'Lớp 4 - Danh mục'!AD99</f>
        <v/>
      </c>
      <c r="AF169" s="187" t="str">
        <f>'Lớp 4 - Danh mục'!AG99</f>
        <v/>
      </c>
      <c r="AG169" s="104" t="str">
        <f>'Lớp 4 - Danh mục'!AH99</f>
        <v/>
      </c>
      <c r="AH169" s="389" t="str">
        <f t="shared" si="27"/>
        <v/>
      </c>
      <c r="AI169" s="389" t="str">
        <f t="shared" si="37"/>
        <v>🔵 Chưa có hạn</v>
      </c>
      <c r="AJ169" s="67" t="str">
        <f>'Lớp 4 - Danh mục'!AK99</f>
        <v/>
      </c>
      <c r="AS169" s="389" t="str">
        <f t="shared" si="97"/>
        <v/>
      </c>
      <c r="AT169" s="389" t="str">
        <f t="shared" si="32"/>
        <v/>
      </c>
      <c r="AU169" s="389" t="str">
        <f t="shared" si="33"/>
        <v/>
      </c>
      <c r="AV169" s="389" t="str">
        <f t="shared" si="34"/>
        <v/>
      </c>
      <c r="AW169" s="389" t="str">
        <f t="shared" si="35"/>
        <v/>
      </c>
      <c r="AX169" s="67" t="str">
        <f t="shared" ref="AX169:BH169" si="182">Z169</f>
        <v/>
      </c>
      <c r="AY169" s="67" t="str">
        <f t="shared" si="182"/>
        <v/>
      </c>
      <c r="AZ169" s="67" t="str">
        <f t="shared" si="182"/>
        <v/>
      </c>
      <c r="BA169" s="67" t="str">
        <f t="shared" si="182"/>
        <v/>
      </c>
      <c r="BB169" s="398" t="str">
        <f t="shared" si="182"/>
        <v/>
      </c>
      <c r="BC169" s="358" t="str">
        <f t="shared" si="182"/>
        <v/>
      </c>
      <c r="BD169" s="187" t="str">
        <f t="shared" si="182"/>
        <v/>
      </c>
      <c r="BE169" s="104" t="str">
        <f t="shared" si="182"/>
        <v/>
      </c>
      <c r="BF169" s="389" t="str">
        <f t="shared" si="182"/>
        <v/>
      </c>
      <c r="BG169" s="389" t="str">
        <f t="shared" si="182"/>
        <v>🔵 Chưa có hạn</v>
      </c>
      <c r="BH169" s="67" t="str">
        <f t="shared" si="182"/>
        <v/>
      </c>
      <c r="BI169" s="389" t="str">
        <f t="array" ref="BI169">IF($X169="","",SWITCH($W169,3,IFERROR(INDEX('Lớp 3 - Công việc chính'!$AF$14:$AF$73,MATCH($X169,'Lớp 3 - Công việc chính'!$I$14:$I$73,0)),""),4,IFERROR(INDEX('Lớp 4 - Danh mục'!$AI$14:$AI$132,MATCH($X169,'Lớp 4 - Danh mục'!$I$14:$I$132,0)),""),5,IFERROR(INDEX('Lớp 5 - Phân công'!$AJ$14:$AJ$262,MATCH($X169,'Lớp 5 - Phân công'!$I$14:$I$262,0)),""),6,IFERROR(INDEX('Lớp 6 - Chi tiết'!$AM$14:$AM$267,MATCH($X169,'Lớp 6 - Chi tiết'!$I$14:$I$267,0)),""),""))</f>
        <v/>
      </c>
      <c r="BJ169" s="389" t="str">
        <f t="array" ref="BJ169">IF($X169="","",SWITCH($W169,3,IFERROR(INDEX('Lớp 3 - Công việc chính'!$AR$14:$AR$73,MATCH($X169,'Lớp 3 - Công việc chính'!$I$14:$I$73,0)),""),4,IFERROR(INDEX('Lớp 4 - Danh mục'!$AU$14:$AU$132,MATCH($X169,'Lớp 4 - Danh mục'!$I$14:$I$132,0)),""),5,IFERROR(INDEX('Lớp 5 - Phân công'!$AV$14:$AV$262,MATCH($X169,'Lớp 5 - Phân công'!$I$14:$I$262,0)),""),6,IFERROR(INDEX('Lớp 6 - Chi tiết'!$AY$14:$AY$267,MATCH($X169,'Lớp 6 - Chi tiết'!$I$14:$I$267,0)),""),""))</f>
        <v/>
      </c>
    </row>
    <row r="170" ht="15.75" customHeight="1">
      <c r="A170" s="294" t="str">
        <f t="shared" si="12"/>
        <v/>
      </c>
      <c r="B170" s="301" t="str">
        <f t="shared" si="13"/>
        <v/>
      </c>
      <c r="C170" s="301" t="str">
        <f t="shared" si="14"/>
        <v/>
      </c>
      <c r="D170" s="301" t="str">
        <f t="shared" si="15"/>
        <v/>
      </c>
      <c r="E170" s="301" t="str">
        <f t="shared" si="16"/>
        <v/>
      </c>
      <c r="F170" s="317" t="str">
        <f t="shared" si="17"/>
        <v/>
      </c>
      <c r="G170" s="323" t="str">
        <f t="shared" si="18"/>
        <v/>
      </c>
      <c r="H170" s="327" t="str">
        <f t="shared" si="19"/>
        <v/>
      </c>
      <c r="I170" s="327" t="str">
        <f t="shared" si="20"/>
        <v/>
      </c>
      <c r="J170" s="301" t="str">
        <f t="shared" si="21"/>
        <v/>
      </c>
      <c r="K170" s="301" t="str">
        <f t="shared" si="22"/>
        <v/>
      </c>
      <c r="L170" s="344" t="str">
        <f t="array" ref="L170">IF($T170="","",LET(m,MATCH($T170,$AS$24:$AS$700,0),lvl,INDEX($W$24:$W$700,m),id,INDEX($X$24:$X$700,m),SWITCH(lvl,3,"Lớp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0" s="351" t="str">
        <f t="shared" si="23"/>
        <v/>
      </c>
      <c r="N170" s="356" t="str">
        <f t="shared" si="24"/>
        <v/>
      </c>
      <c r="O170" s="358"/>
      <c r="P170" s="360"/>
      <c r="Q170" s="360"/>
      <c r="R170" s="67"/>
      <c r="S170" s="67"/>
      <c r="T170" s="67"/>
      <c r="U170" s="389" t="str">
        <f>IF('Lớp 4 - Danh mục'!I100="","",'Lớp 4 - Danh mục'!J100&amp;"|"&amp;'Lớp 4 - Danh mục'!I100)</f>
        <v/>
      </c>
      <c r="V170" s="389" t="str">
        <f>IF('Lớp 4 - Danh mục'!I100="","","   ├─ "&amp;'Lớp 4 - Danh mục'!O100)</f>
        <v/>
      </c>
      <c r="W170" s="389" t="str">
        <f>IF('Lớp 4 - Danh mục'!I100="","",4)</f>
        <v/>
      </c>
      <c r="X170" s="67" t="str">
        <f>'Lớp 4 - Danh mục'!I100</f>
        <v/>
      </c>
      <c r="Y170" s="67" t="str">
        <f>'Lớp 4 - Danh mục'!J100</f>
        <v/>
      </c>
      <c r="Z170" s="67" t="str">
        <f>'Lớp 4 - Danh mục'!Z100</f>
        <v/>
      </c>
      <c r="AA170" s="67" t="str">
        <f>'Lớp 4 - Danh mục'!X100</f>
        <v/>
      </c>
      <c r="AB170" s="67" t="str">
        <f>'Lớp 4 - Danh mục'!AB100</f>
        <v/>
      </c>
      <c r="AC170" s="67" t="str">
        <f>'Lớp 4 - Danh mục'!AA100</f>
        <v/>
      </c>
      <c r="AD170" s="398" t="str">
        <f>'Lớp 4 - Danh mục'!AF100</f>
        <v/>
      </c>
      <c r="AE170" s="358" t="str">
        <f>'Lớp 4 - Danh mục'!AD100</f>
        <v/>
      </c>
      <c r="AF170" s="187" t="str">
        <f>'Lớp 4 - Danh mục'!AG100</f>
        <v/>
      </c>
      <c r="AG170" s="104" t="str">
        <f>'Lớp 4 - Danh mục'!AH100</f>
        <v/>
      </c>
      <c r="AH170" s="389" t="str">
        <f t="shared" si="27"/>
        <v/>
      </c>
      <c r="AI170" s="389" t="str">
        <f t="shared" si="37"/>
        <v>🔵 Chưa có hạn</v>
      </c>
      <c r="AJ170" s="67" t="str">
        <f>'Lớp 4 - Danh mục'!AK100</f>
        <v/>
      </c>
      <c r="AS170" s="389" t="str">
        <f t="shared" si="97"/>
        <v/>
      </c>
      <c r="AT170" s="389" t="str">
        <f t="shared" si="32"/>
        <v/>
      </c>
      <c r="AU170" s="389" t="str">
        <f t="shared" si="33"/>
        <v/>
      </c>
      <c r="AV170" s="389" t="str">
        <f t="shared" si="34"/>
        <v/>
      </c>
      <c r="AW170" s="389" t="str">
        <f t="shared" si="35"/>
        <v/>
      </c>
      <c r="AX170" s="67" t="str">
        <f t="shared" ref="AX170:BH170" si="183">Z170</f>
        <v/>
      </c>
      <c r="AY170" s="67" t="str">
        <f t="shared" si="183"/>
        <v/>
      </c>
      <c r="AZ170" s="67" t="str">
        <f t="shared" si="183"/>
        <v/>
      </c>
      <c r="BA170" s="67" t="str">
        <f t="shared" si="183"/>
        <v/>
      </c>
      <c r="BB170" s="398" t="str">
        <f t="shared" si="183"/>
        <v/>
      </c>
      <c r="BC170" s="358" t="str">
        <f t="shared" si="183"/>
        <v/>
      </c>
      <c r="BD170" s="187" t="str">
        <f t="shared" si="183"/>
        <v/>
      </c>
      <c r="BE170" s="104" t="str">
        <f t="shared" si="183"/>
        <v/>
      </c>
      <c r="BF170" s="389" t="str">
        <f t="shared" si="183"/>
        <v/>
      </c>
      <c r="BG170" s="389" t="str">
        <f t="shared" si="183"/>
        <v>🔵 Chưa có hạn</v>
      </c>
      <c r="BH170" s="67" t="str">
        <f t="shared" si="183"/>
        <v/>
      </c>
      <c r="BI170" s="389" t="str">
        <f t="array" ref="BI170">IF($X170="","",SWITCH($W170,3,IFERROR(INDEX('Lớp 3 - Công việc chính'!$AF$14:$AF$73,MATCH($X170,'Lớp 3 - Công việc chính'!$I$14:$I$73,0)),""),4,IFERROR(INDEX('Lớp 4 - Danh mục'!$AI$14:$AI$132,MATCH($X170,'Lớp 4 - Danh mục'!$I$14:$I$132,0)),""),5,IFERROR(INDEX('Lớp 5 - Phân công'!$AJ$14:$AJ$262,MATCH($X170,'Lớp 5 - Phân công'!$I$14:$I$262,0)),""),6,IFERROR(INDEX('Lớp 6 - Chi tiết'!$AM$14:$AM$267,MATCH($X170,'Lớp 6 - Chi tiết'!$I$14:$I$267,0)),""),""))</f>
        <v/>
      </c>
      <c r="BJ170" s="389" t="str">
        <f t="array" ref="BJ170">IF($X170="","",SWITCH($W170,3,IFERROR(INDEX('Lớp 3 - Công việc chính'!$AR$14:$AR$73,MATCH($X170,'Lớp 3 - Công việc chính'!$I$14:$I$73,0)),""),4,IFERROR(INDEX('Lớp 4 - Danh mục'!$AU$14:$AU$132,MATCH($X170,'Lớp 4 - Danh mục'!$I$14:$I$132,0)),""),5,IFERROR(INDEX('Lớp 5 - Phân công'!$AV$14:$AV$262,MATCH($X170,'Lớp 5 - Phân công'!$I$14:$I$262,0)),""),6,IFERROR(INDEX('Lớp 6 - Chi tiết'!$AY$14:$AY$267,MATCH($X170,'Lớp 6 - Chi tiết'!$I$14:$I$267,0)),""),""))</f>
        <v/>
      </c>
    </row>
    <row r="171" ht="15.75" customHeight="1">
      <c r="A171" s="294" t="str">
        <f t="shared" si="12"/>
        <v/>
      </c>
      <c r="B171" s="301" t="str">
        <f t="shared" si="13"/>
        <v/>
      </c>
      <c r="C171" s="301" t="str">
        <f t="shared" si="14"/>
        <v/>
      </c>
      <c r="D171" s="301" t="str">
        <f t="shared" si="15"/>
        <v/>
      </c>
      <c r="E171" s="301" t="str">
        <f t="shared" si="16"/>
        <v/>
      </c>
      <c r="F171" s="317" t="str">
        <f t="shared" si="17"/>
        <v/>
      </c>
      <c r="G171" s="323" t="str">
        <f t="shared" si="18"/>
        <v/>
      </c>
      <c r="H171" s="327" t="str">
        <f t="shared" si="19"/>
        <v/>
      </c>
      <c r="I171" s="327" t="str">
        <f t="shared" si="20"/>
        <v/>
      </c>
      <c r="J171" s="301" t="str">
        <f t="shared" si="21"/>
        <v/>
      </c>
      <c r="K171" s="301" t="str">
        <f t="shared" si="22"/>
        <v/>
      </c>
      <c r="L171" s="344" t="str">
        <f t="array" ref="L171">IF($T171="","",LET(m,MATCH($T171,$AS$24:$AS$700,0),lvl,INDEX($W$24:$W$700,m),id,INDEX($X$24:$X$700,m),SWITCH(lvl,3,"Lớp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1" s="351" t="str">
        <f t="shared" si="23"/>
        <v/>
      </c>
      <c r="N171" s="356" t="str">
        <f t="shared" si="24"/>
        <v/>
      </c>
      <c r="O171" s="358"/>
      <c r="P171" s="360"/>
      <c r="Q171" s="360"/>
      <c r="R171" s="67"/>
      <c r="S171" s="67"/>
      <c r="T171" s="67"/>
      <c r="U171" s="389" t="str">
        <f>IF('Lớp 4 - Danh mục'!I101="","",'Lớp 4 - Danh mục'!J101&amp;"|"&amp;'Lớp 4 - Danh mục'!I101)</f>
        <v/>
      </c>
      <c r="V171" s="389" t="str">
        <f>IF('Lớp 4 - Danh mục'!I101="","","   ├─ "&amp;'Lớp 4 - Danh mục'!O101)</f>
        <v/>
      </c>
      <c r="W171" s="389" t="str">
        <f>IF('Lớp 4 - Danh mục'!I101="","",4)</f>
        <v/>
      </c>
      <c r="X171" s="67" t="str">
        <f>'Lớp 4 - Danh mục'!I101</f>
        <v/>
      </c>
      <c r="Y171" s="67" t="str">
        <f>'Lớp 4 - Danh mục'!J101</f>
        <v/>
      </c>
      <c r="Z171" s="67" t="str">
        <f>'Lớp 4 - Danh mục'!Z101</f>
        <v/>
      </c>
      <c r="AA171" s="67" t="str">
        <f>'Lớp 4 - Danh mục'!X101</f>
        <v/>
      </c>
      <c r="AB171" s="67" t="str">
        <f>'Lớp 4 - Danh mục'!AB101</f>
        <v/>
      </c>
      <c r="AC171" s="67" t="str">
        <f>'Lớp 4 - Danh mục'!AA101</f>
        <v/>
      </c>
      <c r="AD171" s="398" t="str">
        <f>'Lớp 4 - Danh mục'!AF101</f>
        <v/>
      </c>
      <c r="AE171" s="358" t="str">
        <f>'Lớp 4 - Danh mục'!AD101</f>
        <v/>
      </c>
      <c r="AF171" s="187" t="str">
        <f>'Lớp 4 - Danh mục'!AG101</f>
        <v/>
      </c>
      <c r="AG171" s="104" t="str">
        <f>'Lớp 4 - Danh mục'!AH101</f>
        <v/>
      </c>
      <c r="AH171" s="389" t="str">
        <f t="shared" si="27"/>
        <v/>
      </c>
      <c r="AI171" s="389" t="str">
        <f t="shared" si="37"/>
        <v>🔵 Chưa có hạn</v>
      </c>
      <c r="AJ171" s="67" t="str">
        <f>'Lớp 4 - Danh mục'!AK101</f>
        <v/>
      </c>
      <c r="AS171" s="389" t="str">
        <f t="shared" si="97"/>
        <v/>
      </c>
      <c r="AT171" s="389" t="str">
        <f t="shared" si="32"/>
        <v/>
      </c>
      <c r="AU171" s="389" t="str">
        <f t="shared" si="33"/>
        <v/>
      </c>
      <c r="AV171" s="389" t="str">
        <f t="shared" si="34"/>
        <v/>
      </c>
      <c r="AW171" s="389" t="str">
        <f t="shared" si="35"/>
        <v/>
      </c>
      <c r="AX171" s="67" t="str">
        <f t="shared" ref="AX171:BH171" si="184">Z171</f>
        <v/>
      </c>
      <c r="AY171" s="67" t="str">
        <f t="shared" si="184"/>
        <v/>
      </c>
      <c r="AZ171" s="67" t="str">
        <f t="shared" si="184"/>
        <v/>
      </c>
      <c r="BA171" s="67" t="str">
        <f t="shared" si="184"/>
        <v/>
      </c>
      <c r="BB171" s="398" t="str">
        <f t="shared" si="184"/>
        <v/>
      </c>
      <c r="BC171" s="358" t="str">
        <f t="shared" si="184"/>
        <v/>
      </c>
      <c r="BD171" s="187" t="str">
        <f t="shared" si="184"/>
        <v/>
      </c>
      <c r="BE171" s="104" t="str">
        <f t="shared" si="184"/>
        <v/>
      </c>
      <c r="BF171" s="389" t="str">
        <f t="shared" si="184"/>
        <v/>
      </c>
      <c r="BG171" s="389" t="str">
        <f t="shared" si="184"/>
        <v>🔵 Chưa có hạn</v>
      </c>
      <c r="BH171" s="67" t="str">
        <f t="shared" si="184"/>
        <v/>
      </c>
      <c r="BI171" s="389" t="str">
        <f t="array" ref="BI171">IF($X171="","",SWITCH($W171,3,IFERROR(INDEX('Lớp 3 - Công việc chính'!$AF$14:$AF$73,MATCH($X171,'Lớp 3 - Công việc chính'!$I$14:$I$73,0)),""),4,IFERROR(INDEX('Lớp 4 - Danh mục'!$AI$14:$AI$132,MATCH($X171,'Lớp 4 - Danh mục'!$I$14:$I$132,0)),""),5,IFERROR(INDEX('Lớp 5 - Phân công'!$AJ$14:$AJ$262,MATCH($X171,'Lớp 5 - Phân công'!$I$14:$I$262,0)),""),6,IFERROR(INDEX('Lớp 6 - Chi tiết'!$AM$14:$AM$267,MATCH($X171,'Lớp 6 - Chi tiết'!$I$14:$I$267,0)),""),""))</f>
        <v/>
      </c>
      <c r="BJ171" s="389" t="str">
        <f t="array" ref="BJ171">IF($X171="","",SWITCH($W171,3,IFERROR(INDEX('Lớp 3 - Công việc chính'!$AR$14:$AR$73,MATCH($X171,'Lớp 3 - Công việc chính'!$I$14:$I$73,0)),""),4,IFERROR(INDEX('Lớp 4 - Danh mục'!$AU$14:$AU$132,MATCH($X171,'Lớp 4 - Danh mục'!$I$14:$I$132,0)),""),5,IFERROR(INDEX('Lớp 5 - Phân công'!$AV$14:$AV$262,MATCH($X171,'Lớp 5 - Phân công'!$I$14:$I$262,0)),""),6,IFERROR(INDEX('Lớp 6 - Chi tiết'!$AY$14:$AY$267,MATCH($X171,'Lớp 6 - Chi tiết'!$I$14:$I$267,0)),""),""))</f>
        <v/>
      </c>
    </row>
    <row r="172" ht="15.75" customHeight="1">
      <c r="A172" s="294" t="str">
        <f t="shared" si="12"/>
        <v/>
      </c>
      <c r="B172" s="301" t="str">
        <f t="shared" si="13"/>
        <v/>
      </c>
      <c r="C172" s="301" t="str">
        <f t="shared" si="14"/>
        <v/>
      </c>
      <c r="D172" s="301" t="str">
        <f t="shared" si="15"/>
        <v/>
      </c>
      <c r="E172" s="301" t="str">
        <f t="shared" si="16"/>
        <v/>
      </c>
      <c r="F172" s="317" t="str">
        <f t="shared" si="17"/>
        <v/>
      </c>
      <c r="G172" s="323" t="str">
        <f t="shared" si="18"/>
        <v/>
      </c>
      <c r="H172" s="327" t="str">
        <f t="shared" si="19"/>
        <v/>
      </c>
      <c r="I172" s="327" t="str">
        <f t="shared" si="20"/>
        <v/>
      </c>
      <c r="J172" s="301" t="str">
        <f t="shared" si="21"/>
        <v/>
      </c>
      <c r="K172" s="301" t="str">
        <f t="shared" si="22"/>
        <v/>
      </c>
      <c r="L172" s="344" t="str">
        <f t="array" ref="L172">IF($T172="","",LET(m,MATCH($T172,$AS$24:$AS$700,0),lvl,INDEX($W$24:$W$700,m),id,INDEX($X$24:$X$700,m),SWITCH(lvl,3,"Lớp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2" s="351" t="str">
        <f t="shared" si="23"/>
        <v/>
      </c>
      <c r="N172" s="356" t="str">
        <f t="shared" si="24"/>
        <v/>
      </c>
      <c r="O172" s="358"/>
      <c r="P172" s="360"/>
      <c r="Q172" s="360"/>
      <c r="R172" s="67"/>
      <c r="S172" s="67"/>
      <c r="T172" s="67"/>
      <c r="U172" s="389" t="str">
        <f>IF('Lớp 4 - Danh mục'!I102="","",'Lớp 4 - Danh mục'!J102&amp;"|"&amp;'Lớp 4 - Danh mục'!I102)</f>
        <v/>
      </c>
      <c r="V172" s="389" t="str">
        <f>IF('Lớp 4 - Danh mục'!I102="","","   ├─ "&amp;'Lớp 4 - Danh mục'!O102)</f>
        <v/>
      </c>
      <c r="W172" s="389" t="str">
        <f>IF('Lớp 4 - Danh mục'!I102="","",4)</f>
        <v/>
      </c>
      <c r="X172" s="67" t="str">
        <f>'Lớp 4 - Danh mục'!I102</f>
        <v/>
      </c>
      <c r="Y172" s="67" t="str">
        <f>'Lớp 4 - Danh mục'!J102</f>
        <v/>
      </c>
      <c r="Z172" s="67" t="str">
        <f>'Lớp 4 - Danh mục'!Z102</f>
        <v/>
      </c>
      <c r="AA172" s="67" t="str">
        <f>'Lớp 4 - Danh mục'!X102</f>
        <v/>
      </c>
      <c r="AB172" s="67" t="str">
        <f>'Lớp 4 - Danh mục'!AB102</f>
        <v/>
      </c>
      <c r="AC172" s="67" t="str">
        <f>'Lớp 4 - Danh mục'!AA102</f>
        <v/>
      </c>
      <c r="AD172" s="398" t="str">
        <f>'Lớp 4 - Danh mục'!AF102</f>
        <v/>
      </c>
      <c r="AE172" s="358" t="str">
        <f>'Lớp 4 - Danh mục'!AD102</f>
        <v/>
      </c>
      <c r="AF172" s="187" t="str">
        <f>'Lớp 4 - Danh mục'!AG102</f>
        <v/>
      </c>
      <c r="AG172" s="104" t="str">
        <f>'Lớp 4 - Danh mục'!AH102</f>
        <v/>
      </c>
      <c r="AH172" s="389" t="str">
        <f t="shared" si="27"/>
        <v/>
      </c>
      <c r="AI172" s="389" t="str">
        <f t="shared" si="37"/>
        <v>🔵 Chưa có hạn</v>
      </c>
      <c r="AJ172" s="67" t="str">
        <f>'Lớp 4 - Danh mục'!AK102</f>
        <v/>
      </c>
      <c r="AS172" s="389" t="str">
        <f t="shared" si="97"/>
        <v/>
      </c>
      <c r="AT172" s="389" t="str">
        <f t="shared" si="32"/>
        <v/>
      </c>
      <c r="AU172" s="389" t="str">
        <f t="shared" si="33"/>
        <v/>
      </c>
      <c r="AV172" s="389" t="str">
        <f t="shared" si="34"/>
        <v/>
      </c>
      <c r="AW172" s="389" t="str">
        <f t="shared" si="35"/>
        <v/>
      </c>
      <c r="AX172" s="67" t="str">
        <f t="shared" ref="AX172:BH172" si="185">Z172</f>
        <v/>
      </c>
      <c r="AY172" s="67" t="str">
        <f t="shared" si="185"/>
        <v/>
      </c>
      <c r="AZ172" s="67" t="str">
        <f t="shared" si="185"/>
        <v/>
      </c>
      <c r="BA172" s="67" t="str">
        <f t="shared" si="185"/>
        <v/>
      </c>
      <c r="BB172" s="398" t="str">
        <f t="shared" si="185"/>
        <v/>
      </c>
      <c r="BC172" s="358" t="str">
        <f t="shared" si="185"/>
        <v/>
      </c>
      <c r="BD172" s="187" t="str">
        <f t="shared" si="185"/>
        <v/>
      </c>
      <c r="BE172" s="104" t="str">
        <f t="shared" si="185"/>
        <v/>
      </c>
      <c r="BF172" s="389" t="str">
        <f t="shared" si="185"/>
        <v/>
      </c>
      <c r="BG172" s="389" t="str">
        <f t="shared" si="185"/>
        <v>🔵 Chưa có hạn</v>
      </c>
      <c r="BH172" s="67" t="str">
        <f t="shared" si="185"/>
        <v/>
      </c>
      <c r="BI172" s="389" t="str">
        <f t="array" ref="BI172">IF($X172="","",SWITCH($W172,3,IFERROR(INDEX('Lớp 3 - Công việc chính'!$AF$14:$AF$73,MATCH($X172,'Lớp 3 - Công việc chính'!$I$14:$I$73,0)),""),4,IFERROR(INDEX('Lớp 4 - Danh mục'!$AI$14:$AI$132,MATCH($X172,'Lớp 4 - Danh mục'!$I$14:$I$132,0)),""),5,IFERROR(INDEX('Lớp 5 - Phân công'!$AJ$14:$AJ$262,MATCH($X172,'Lớp 5 - Phân công'!$I$14:$I$262,0)),""),6,IFERROR(INDEX('Lớp 6 - Chi tiết'!$AM$14:$AM$267,MATCH($X172,'Lớp 6 - Chi tiết'!$I$14:$I$267,0)),""),""))</f>
        <v/>
      </c>
      <c r="BJ172" s="389" t="str">
        <f t="array" ref="BJ172">IF($X172="","",SWITCH($W172,3,IFERROR(INDEX('Lớp 3 - Công việc chính'!$AR$14:$AR$73,MATCH($X172,'Lớp 3 - Công việc chính'!$I$14:$I$73,0)),""),4,IFERROR(INDEX('Lớp 4 - Danh mục'!$AU$14:$AU$132,MATCH($X172,'Lớp 4 - Danh mục'!$I$14:$I$132,0)),""),5,IFERROR(INDEX('Lớp 5 - Phân công'!$AV$14:$AV$262,MATCH($X172,'Lớp 5 - Phân công'!$I$14:$I$262,0)),""),6,IFERROR(INDEX('Lớp 6 - Chi tiết'!$AY$14:$AY$267,MATCH($X172,'Lớp 6 - Chi tiết'!$I$14:$I$267,0)),""),""))</f>
        <v/>
      </c>
    </row>
    <row r="173" ht="15.75" customHeight="1">
      <c r="A173" s="294" t="str">
        <f t="shared" si="12"/>
        <v/>
      </c>
      <c r="B173" s="301" t="str">
        <f t="shared" si="13"/>
        <v/>
      </c>
      <c r="C173" s="301" t="str">
        <f t="shared" si="14"/>
        <v/>
      </c>
      <c r="D173" s="301" t="str">
        <f t="shared" si="15"/>
        <v/>
      </c>
      <c r="E173" s="301" t="str">
        <f t="shared" si="16"/>
        <v/>
      </c>
      <c r="F173" s="317" t="str">
        <f t="shared" si="17"/>
        <v/>
      </c>
      <c r="G173" s="323" t="str">
        <f t="shared" si="18"/>
        <v/>
      </c>
      <c r="H173" s="327" t="str">
        <f t="shared" si="19"/>
        <v/>
      </c>
      <c r="I173" s="327" t="str">
        <f t="shared" si="20"/>
        <v/>
      </c>
      <c r="J173" s="301" t="str">
        <f t="shared" si="21"/>
        <v/>
      </c>
      <c r="K173" s="301" t="str">
        <f t="shared" si="22"/>
        <v/>
      </c>
      <c r="L173" s="344" t="str">
        <f t="array" ref="L173">IF($T173="","",LET(m,MATCH($T173,$AS$24:$AS$700,0),lvl,INDEX($W$24:$W$700,m),id,INDEX($X$24:$X$700,m),SWITCH(lvl,3,"Lớp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3" s="351" t="str">
        <f t="shared" si="23"/>
        <v/>
      </c>
      <c r="N173" s="356" t="str">
        <f t="shared" si="24"/>
        <v/>
      </c>
      <c r="O173" s="358"/>
      <c r="P173" s="360"/>
      <c r="Q173" s="360"/>
      <c r="R173" s="67"/>
      <c r="S173" s="67"/>
      <c r="T173" s="67"/>
      <c r="U173" s="389" t="str">
        <f>IF('Lớp 4 - Danh mục'!I103="","",'Lớp 4 - Danh mục'!J103&amp;"|"&amp;'Lớp 4 - Danh mục'!I103)</f>
        <v/>
      </c>
      <c r="V173" s="389" t="str">
        <f>IF('Lớp 4 - Danh mục'!I103="","","   ├─ "&amp;'Lớp 4 - Danh mục'!O103)</f>
        <v/>
      </c>
      <c r="W173" s="389" t="str">
        <f>IF('Lớp 4 - Danh mục'!I103="","",4)</f>
        <v/>
      </c>
      <c r="X173" s="67" t="str">
        <f>'Lớp 4 - Danh mục'!I103</f>
        <v/>
      </c>
      <c r="Y173" s="67" t="str">
        <f>'Lớp 4 - Danh mục'!J103</f>
        <v/>
      </c>
      <c r="Z173" s="67" t="str">
        <f>'Lớp 4 - Danh mục'!Z103</f>
        <v/>
      </c>
      <c r="AA173" s="67" t="str">
        <f>'Lớp 4 - Danh mục'!X103</f>
        <v/>
      </c>
      <c r="AB173" s="67" t="str">
        <f>'Lớp 4 - Danh mục'!AB103</f>
        <v/>
      </c>
      <c r="AC173" s="67" t="str">
        <f>'Lớp 4 - Danh mục'!AA103</f>
        <v/>
      </c>
      <c r="AD173" s="398" t="str">
        <f>'Lớp 4 - Danh mục'!AF103</f>
        <v/>
      </c>
      <c r="AE173" s="358" t="str">
        <f>'Lớp 4 - Danh mục'!AD103</f>
        <v/>
      </c>
      <c r="AF173" s="187" t="str">
        <f>'Lớp 4 - Danh mục'!AG103</f>
        <v/>
      </c>
      <c r="AG173" s="104" t="str">
        <f>'Lớp 4 - Danh mục'!AH103</f>
        <v/>
      </c>
      <c r="AH173" s="389" t="str">
        <f t="shared" si="27"/>
        <v/>
      </c>
      <c r="AI173" s="389" t="str">
        <f t="shared" si="37"/>
        <v>🔵 Chưa có hạn</v>
      </c>
      <c r="AJ173" s="67" t="str">
        <f>'Lớp 4 - Danh mục'!AK103</f>
        <v/>
      </c>
      <c r="AS173" s="389" t="str">
        <f t="shared" si="97"/>
        <v/>
      </c>
      <c r="AT173" s="389" t="str">
        <f t="shared" si="32"/>
        <v/>
      </c>
      <c r="AU173" s="389" t="str">
        <f t="shared" si="33"/>
        <v/>
      </c>
      <c r="AV173" s="389" t="str">
        <f t="shared" si="34"/>
        <v/>
      </c>
      <c r="AW173" s="389" t="str">
        <f t="shared" si="35"/>
        <v/>
      </c>
      <c r="AX173" s="67" t="str">
        <f t="shared" ref="AX173:BH173" si="186">Z173</f>
        <v/>
      </c>
      <c r="AY173" s="67" t="str">
        <f t="shared" si="186"/>
        <v/>
      </c>
      <c r="AZ173" s="67" t="str">
        <f t="shared" si="186"/>
        <v/>
      </c>
      <c r="BA173" s="67" t="str">
        <f t="shared" si="186"/>
        <v/>
      </c>
      <c r="BB173" s="398" t="str">
        <f t="shared" si="186"/>
        <v/>
      </c>
      <c r="BC173" s="358" t="str">
        <f t="shared" si="186"/>
        <v/>
      </c>
      <c r="BD173" s="187" t="str">
        <f t="shared" si="186"/>
        <v/>
      </c>
      <c r="BE173" s="104" t="str">
        <f t="shared" si="186"/>
        <v/>
      </c>
      <c r="BF173" s="389" t="str">
        <f t="shared" si="186"/>
        <v/>
      </c>
      <c r="BG173" s="389" t="str">
        <f t="shared" si="186"/>
        <v>🔵 Chưa có hạn</v>
      </c>
      <c r="BH173" s="67" t="str">
        <f t="shared" si="186"/>
        <v/>
      </c>
      <c r="BI173" s="389" t="str">
        <f t="array" ref="BI173">IF($X173="","",SWITCH($W173,3,IFERROR(INDEX('Lớp 3 - Công việc chính'!$AF$14:$AF$73,MATCH($X173,'Lớp 3 - Công việc chính'!$I$14:$I$73,0)),""),4,IFERROR(INDEX('Lớp 4 - Danh mục'!$AI$14:$AI$132,MATCH($X173,'Lớp 4 - Danh mục'!$I$14:$I$132,0)),""),5,IFERROR(INDEX('Lớp 5 - Phân công'!$AJ$14:$AJ$262,MATCH($X173,'Lớp 5 - Phân công'!$I$14:$I$262,0)),""),6,IFERROR(INDEX('Lớp 6 - Chi tiết'!$AM$14:$AM$267,MATCH($X173,'Lớp 6 - Chi tiết'!$I$14:$I$267,0)),""),""))</f>
        <v/>
      </c>
      <c r="BJ173" s="389" t="str">
        <f t="array" ref="BJ173">IF($X173="","",SWITCH($W173,3,IFERROR(INDEX('Lớp 3 - Công việc chính'!$AR$14:$AR$73,MATCH($X173,'Lớp 3 - Công việc chính'!$I$14:$I$73,0)),""),4,IFERROR(INDEX('Lớp 4 - Danh mục'!$AU$14:$AU$132,MATCH($X173,'Lớp 4 - Danh mục'!$I$14:$I$132,0)),""),5,IFERROR(INDEX('Lớp 5 - Phân công'!$AV$14:$AV$262,MATCH($X173,'Lớp 5 - Phân công'!$I$14:$I$262,0)),""),6,IFERROR(INDEX('Lớp 6 - Chi tiết'!$AY$14:$AY$267,MATCH($X173,'Lớp 6 - Chi tiết'!$I$14:$I$267,0)),""),""))</f>
        <v/>
      </c>
    </row>
    <row r="174" ht="15.75" customHeight="1">
      <c r="A174" s="294" t="str">
        <f t="shared" si="12"/>
        <v/>
      </c>
      <c r="B174" s="301" t="str">
        <f t="shared" si="13"/>
        <v/>
      </c>
      <c r="C174" s="301" t="str">
        <f t="shared" si="14"/>
        <v/>
      </c>
      <c r="D174" s="301" t="str">
        <f t="shared" si="15"/>
        <v/>
      </c>
      <c r="E174" s="301" t="str">
        <f t="shared" si="16"/>
        <v/>
      </c>
      <c r="F174" s="317" t="str">
        <f t="shared" si="17"/>
        <v/>
      </c>
      <c r="G174" s="323" t="str">
        <f t="shared" si="18"/>
        <v/>
      </c>
      <c r="H174" s="327" t="str">
        <f t="shared" si="19"/>
        <v/>
      </c>
      <c r="I174" s="327" t="str">
        <f t="shared" si="20"/>
        <v/>
      </c>
      <c r="J174" s="301" t="str">
        <f t="shared" si="21"/>
        <v/>
      </c>
      <c r="K174" s="301" t="str">
        <f t="shared" si="22"/>
        <v/>
      </c>
      <c r="L174" s="344" t="str">
        <f t="array" ref="L174">IF($T174="","",LET(m,MATCH($T174,$AS$24:$AS$700,0),lvl,INDEX($W$24:$W$700,m),id,INDEX($X$24:$X$700,m),SWITCH(lvl,3,"Lớp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4" s="351" t="str">
        <f t="shared" si="23"/>
        <v/>
      </c>
      <c r="N174" s="356" t="str">
        <f t="shared" si="24"/>
        <v/>
      </c>
      <c r="O174" s="358"/>
      <c r="P174" s="360"/>
      <c r="Q174" s="360"/>
      <c r="R174" s="67"/>
      <c r="S174" s="67"/>
      <c r="T174" s="67"/>
      <c r="U174" s="389" t="str">
        <f>IF('Lớp 4 - Danh mục'!I104="","",'Lớp 4 - Danh mục'!J104&amp;"|"&amp;'Lớp 4 - Danh mục'!I104)</f>
        <v/>
      </c>
      <c r="V174" s="389" t="str">
        <f>IF('Lớp 4 - Danh mục'!I104="","","   ├─ "&amp;'Lớp 4 - Danh mục'!O104)</f>
        <v/>
      </c>
      <c r="W174" s="389" t="str">
        <f>IF('Lớp 4 - Danh mục'!I104="","",4)</f>
        <v/>
      </c>
      <c r="X174" s="67" t="str">
        <f>'Lớp 4 - Danh mục'!I104</f>
        <v/>
      </c>
      <c r="Y174" s="67" t="str">
        <f>'Lớp 4 - Danh mục'!J104</f>
        <v/>
      </c>
      <c r="Z174" s="67" t="str">
        <f>'Lớp 4 - Danh mục'!Z104</f>
        <v/>
      </c>
      <c r="AA174" s="67" t="str">
        <f>'Lớp 4 - Danh mục'!X104</f>
        <v/>
      </c>
      <c r="AB174" s="67" t="str">
        <f>'Lớp 4 - Danh mục'!AB104</f>
        <v/>
      </c>
      <c r="AC174" s="67" t="str">
        <f>'Lớp 4 - Danh mục'!AA104</f>
        <v/>
      </c>
      <c r="AD174" s="398" t="str">
        <f>'Lớp 4 - Danh mục'!AF104</f>
        <v/>
      </c>
      <c r="AE174" s="358" t="str">
        <f>'Lớp 4 - Danh mục'!AD104</f>
        <v/>
      </c>
      <c r="AF174" s="187" t="str">
        <f>'Lớp 4 - Danh mục'!AG104</f>
        <v/>
      </c>
      <c r="AG174" s="104" t="str">
        <f>'Lớp 4 - Danh mục'!AH104</f>
        <v/>
      </c>
      <c r="AH174" s="389" t="str">
        <f t="shared" si="27"/>
        <v/>
      </c>
      <c r="AI174" s="389" t="str">
        <f t="shared" si="37"/>
        <v>🔵 Chưa có hạn</v>
      </c>
      <c r="AJ174" s="67" t="str">
        <f>'Lớp 4 - Danh mục'!AK104</f>
        <v/>
      </c>
      <c r="AS174" s="389" t="str">
        <f t="shared" si="97"/>
        <v/>
      </c>
      <c r="AT174" s="389" t="str">
        <f t="shared" si="32"/>
        <v/>
      </c>
      <c r="AU174" s="389" t="str">
        <f t="shared" si="33"/>
        <v/>
      </c>
      <c r="AV174" s="389" t="str">
        <f t="shared" si="34"/>
        <v/>
      </c>
      <c r="AW174" s="389" t="str">
        <f t="shared" si="35"/>
        <v/>
      </c>
      <c r="AX174" s="67" t="str">
        <f t="shared" ref="AX174:BH174" si="187">Z174</f>
        <v/>
      </c>
      <c r="AY174" s="67" t="str">
        <f t="shared" si="187"/>
        <v/>
      </c>
      <c r="AZ174" s="67" t="str">
        <f t="shared" si="187"/>
        <v/>
      </c>
      <c r="BA174" s="67" t="str">
        <f t="shared" si="187"/>
        <v/>
      </c>
      <c r="BB174" s="398" t="str">
        <f t="shared" si="187"/>
        <v/>
      </c>
      <c r="BC174" s="358" t="str">
        <f t="shared" si="187"/>
        <v/>
      </c>
      <c r="BD174" s="187" t="str">
        <f t="shared" si="187"/>
        <v/>
      </c>
      <c r="BE174" s="104" t="str">
        <f t="shared" si="187"/>
        <v/>
      </c>
      <c r="BF174" s="389" t="str">
        <f t="shared" si="187"/>
        <v/>
      </c>
      <c r="BG174" s="389" t="str">
        <f t="shared" si="187"/>
        <v>🔵 Chưa có hạn</v>
      </c>
      <c r="BH174" s="67" t="str">
        <f t="shared" si="187"/>
        <v/>
      </c>
      <c r="BI174" s="389" t="str">
        <f t="array" ref="BI174">IF($X174="","",SWITCH($W174,3,IFERROR(INDEX('Lớp 3 - Công việc chính'!$AF$14:$AF$73,MATCH($X174,'Lớp 3 - Công việc chính'!$I$14:$I$73,0)),""),4,IFERROR(INDEX('Lớp 4 - Danh mục'!$AI$14:$AI$132,MATCH($X174,'Lớp 4 - Danh mục'!$I$14:$I$132,0)),""),5,IFERROR(INDEX('Lớp 5 - Phân công'!$AJ$14:$AJ$262,MATCH($X174,'Lớp 5 - Phân công'!$I$14:$I$262,0)),""),6,IFERROR(INDEX('Lớp 6 - Chi tiết'!$AM$14:$AM$267,MATCH($X174,'Lớp 6 - Chi tiết'!$I$14:$I$267,0)),""),""))</f>
        <v/>
      </c>
      <c r="BJ174" s="389" t="str">
        <f t="array" ref="BJ174">IF($X174="","",SWITCH($W174,3,IFERROR(INDEX('Lớp 3 - Công việc chính'!$AR$14:$AR$73,MATCH($X174,'Lớp 3 - Công việc chính'!$I$14:$I$73,0)),""),4,IFERROR(INDEX('Lớp 4 - Danh mục'!$AU$14:$AU$132,MATCH($X174,'Lớp 4 - Danh mục'!$I$14:$I$132,0)),""),5,IFERROR(INDEX('Lớp 5 - Phân công'!$AV$14:$AV$262,MATCH($X174,'Lớp 5 - Phân công'!$I$14:$I$262,0)),""),6,IFERROR(INDEX('Lớp 6 - Chi tiết'!$AY$14:$AY$267,MATCH($X174,'Lớp 6 - Chi tiết'!$I$14:$I$267,0)),""),""))</f>
        <v/>
      </c>
    </row>
    <row r="175" ht="15.75" customHeight="1">
      <c r="A175" s="294" t="str">
        <f t="shared" si="12"/>
        <v/>
      </c>
      <c r="B175" s="301" t="str">
        <f t="shared" si="13"/>
        <v/>
      </c>
      <c r="C175" s="301" t="str">
        <f t="shared" si="14"/>
        <v/>
      </c>
      <c r="D175" s="301" t="str">
        <f t="shared" si="15"/>
        <v/>
      </c>
      <c r="E175" s="301" t="str">
        <f t="shared" si="16"/>
        <v/>
      </c>
      <c r="F175" s="317" t="str">
        <f t="shared" si="17"/>
        <v/>
      </c>
      <c r="G175" s="323" t="str">
        <f t="shared" si="18"/>
        <v/>
      </c>
      <c r="H175" s="327" t="str">
        <f t="shared" si="19"/>
        <v/>
      </c>
      <c r="I175" s="327" t="str">
        <f t="shared" si="20"/>
        <v/>
      </c>
      <c r="J175" s="301" t="str">
        <f t="shared" si="21"/>
        <v/>
      </c>
      <c r="K175" s="301" t="str">
        <f t="shared" si="22"/>
        <v/>
      </c>
      <c r="L175" s="344" t="str">
        <f t="array" ref="L175">IF($T175="","",LET(m,MATCH($T175,$AS$24:$AS$700,0),lvl,INDEX($W$24:$W$700,m),id,INDEX($X$24:$X$700,m),SWITCH(lvl,3,"Lớp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5" s="351" t="str">
        <f t="shared" si="23"/>
        <v/>
      </c>
      <c r="N175" s="356" t="str">
        <f t="shared" si="24"/>
        <v/>
      </c>
      <c r="O175" s="358"/>
      <c r="P175" s="360"/>
      <c r="Q175" s="360"/>
      <c r="R175" s="67"/>
      <c r="S175" s="67"/>
      <c r="T175" s="67"/>
      <c r="U175" s="389" t="str">
        <f>IF('Lớp 4 - Danh mục'!I105="","",'Lớp 4 - Danh mục'!J105&amp;"|"&amp;'Lớp 4 - Danh mục'!I105)</f>
        <v/>
      </c>
      <c r="V175" s="389" t="str">
        <f>IF('Lớp 4 - Danh mục'!I105="","","   ├─ "&amp;'Lớp 4 - Danh mục'!O105)</f>
        <v/>
      </c>
      <c r="W175" s="389" t="str">
        <f>IF('Lớp 4 - Danh mục'!I105="","",4)</f>
        <v/>
      </c>
      <c r="X175" s="67" t="str">
        <f>'Lớp 4 - Danh mục'!I105</f>
        <v/>
      </c>
      <c r="Y175" s="67" t="str">
        <f>'Lớp 4 - Danh mục'!J105</f>
        <v/>
      </c>
      <c r="Z175" s="67" t="str">
        <f>'Lớp 4 - Danh mục'!Z105</f>
        <v/>
      </c>
      <c r="AA175" s="67" t="str">
        <f>'Lớp 4 - Danh mục'!X105</f>
        <v/>
      </c>
      <c r="AB175" s="67" t="str">
        <f>'Lớp 4 - Danh mục'!AB105</f>
        <v/>
      </c>
      <c r="AC175" s="67" t="str">
        <f>'Lớp 4 - Danh mục'!AA105</f>
        <v/>
      </c>
      <c r="AD175" s="398" t="str">
        <f>'Lớp 4 - Danh mục'!AF105</f>
        <v/>
      </c>
      <c r="AE175" s="358" t="str">
        <f>'Lớp 4 - Danh mục'!AD105</f>
        <v/>
      </c>
      <c r="AF175" s="187" t="str">
        <f>'Lớp 4 - Danh mục'!AG105</f>
        <v/>
      </c>
      <c r="AG175" s="104" t="str">
        <f>'Lớp 4 - Danh mục'!AH105</f>
        <v/>
      </c>
      <c r="AH175" s="389" t="str">
        <f t="shared" si="27"/>
        <v/>
      </c>
      <c r="AI175" s="389" t="str">
        <f t="shared" si="37"/>
        <v>🔵 Chưa có hạn</v>
      </c>
      <c r="AJ175" s="67" t="str">
        <f>'Lớp 4 - Danh mục'!AK105</f>
        <v/>
      </c>
      <c r="AS175" s="389" t="str">
        <f t="shared" si="97"/>
        <v/>
      </c>
      <c r="AT175" s="389" t="str">
        <f t="shared" si="32"/>
        <v/>
      </c>
      <c r="AU175" s="389" t="str">
        <f t="shared" si="33"/>
        <v/>
      </c>
      <c r="AV175" s="389" t="str">
        <f t="shared" si="34"/>
        <v/>
      </c>
      <c r="AW175" s="389" t="str">
        <f t="shared" si="35"/>
        <v/>
      </c>
      <c r="AX175" s="67" t="str">
        <f t="shared" ref="AX175:BH175" si="188">Z175</f>
        <v/>
      </c>
      <c r="AY175" s="67" t="str">
        <f t="shared" si="188"/>
        <v/>
      </c>
      <c r="AZ175" s="67" t="str">
        <f t="shared" si="188"/>
        <v/>
      </c>
      <c r="BA175" s="67" t="str">
        <f t="shared" si="188"/>
        <v/>
      </c>
      <c r="BB175" s="398" t="str">
        <f t="shared" si="188"/>
        <v/>
      </c>
      <c r="BC175" s="358" t="str">
        <f t="shared" si="188"/>
        <v/>
      </c>
      <c r="BD175" s="187" t="str">
        <f t="shared" si="188"/>
        <v/>
      </c>
      <c r="BE175" s="104" t="str">
        <f t="shared" si="188"/>
        <v/>
      </c>
      <c r="BF175" s="389" t="str">
        <f t="shared" si="188"/>
        <v/>
      </c>
      <c r="BG175" s="389" t="str">
        <f t="shared" si="188"/>
        <v>🔵 Chưa có hạn</v>
      </c>
      <c r="BH175" s="67" t="str">
        <f t="shared" si="188"/>
        <v/>
      </c>
      <c r="BI175" s="389" t="str">
        <f t="array" ref="BI175">IF($X175="","",SWITCH($W175,3,IFERROR(INDEX('Lớp 3 - Công việc chính'!$AF$14:$AF$73,MATCH($X175,'Lớp 3 - Công việc chính'!$I$14:$I$73,0)),""),4,IFERROR(INDEX('Lớp 4 - Danh mục'!$AI$14:$AI$132,MATCH($X175,'Lớp 4 - Danh mục'!$I$14:$I$132,0)),""),5,IFERROR(INDEX('Lớp 5 - Phân công'!$AJ$14:$AJ$262,MATCH($X175,'Lớp 5 - Phân công'!$I$14:$I$262,0)),""),6,IFERROR(INDEX('Lớp 6 - Chi tiết'!$AM$14:$AM$267,MATCH($X175,'Lớp 6 - Chi tiết'!$I$14:$I$267,0)),""),""))</f>
        <v/>
      </c>
      <c r="BJ175" s="389" t="str">
        <f t="array" ref="BJ175">IF($X175="","",SWITCH($W175,3,IFERROR(INDEX('Lớp 3 - Công việc chính'!$AR$14:$AR$73,MATCH($X175,'Lớp 3 - Công việc chính'!$I$14:$I$73,0)),""),4,IFERROR(INDEX('Lớp 4 - Danh mục'!$AU$14:$AU$132,MATCH($X175,'Lớp 4 - Danh mục'!$I$14:$I$132,0)),""),5,IFERROR(INDEX('Lớp 5 - Phân công'!$AV$14:$AV$262,MATCH($X175,'Lớp 5 - Phân công'!$I$14:$I$262,0)),""),6,IFERROR(INDEX('Lớp 6 - Chi tiết'!$AY$14:$AY$267,MATCH($X175,'Lớp 6 - Chi tiết'!$I$14:$I$267,0)),""),""))</f>
        <v/>
      </c>
    </row>
    <row r="176" ht="15.75" customHeight="1">
      <c r="A176" s="294" t="str">
        <f t="shared" si="12"/>
        <v/>
      </c>
      <c r="B176" s="301" t="str">
        <f t="shared" si="13"/>
        <v/>
      </c>
      <c r="C176" s="301" t="str">
        <f t="shared" si="14"/>
        <v/>
      </c>
      <c r="D176" s="301" t="str">
        <f t="shared" si="15"/>
        <v/>
      </c>
      <c r="E176" s="301" t="str">
        <f t="shared" si="16"/>
        <v/>
      </c>
      <c r="F176" s="317" t="str">
        <f t="shared" si="17"/>
        <v/>
      </c>
      <c r="G176" s="323" t="str">
        <f t="shared" si="18"/>
        <v/>
      </c>
      <c r="H176" s="327" t="str">
        <f t="shared" si="19"/>
        <v/>
      </c>
      <c r="I176" s="327" t="str">
        <f t="shared" si="20"/>
        <v/>
      </c>
      <c r="J176" s="301" t="str">
        <f t="shared" si="21"/>
        <v/>
      </c>
      <c r="K176" s="301" t="str">
        <f t="shared" si="22"/>
        <v/>
      </c>
      <c r="L176" s="344" t="str">
        <f t="array" ref="L176">IF($T176="","",LET(m,MATCH($T176,$AS$24:$AS$700,0),lvl,INDEX($W$24:$W$700,m),id,INDEX($X$24:$X$700,m),SWITCH(lvl,3,"Lớp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6" s="351" t="str">
        <f t="shared" si="23"/>
        <v/>
      </c>
      <c r="N176" s="356" t="str">
        <f t="shared" si="24"/>
        <v/>
      </c>
      <c r="O176" s="358"/>
      <c r="P176" s="360"/>
      <c r="Q176" s="360"/>
      <c r="R176" s="67"/>
      <c r="S176" s="67"/>
      <c r="T176" s="67"/>
      <c r="U176" s="389" t="str">
        <f>IF('Lớp 4 - Danh mục'!I106="","",'Lớp 4 - Danh mục'!J106&amp;"|"&amp;'Lớp 4 - Danh mục'!I106)</f>
        <v/>
      </c>
      <c r="V176" s="389" t="str">
        <f>IF('Lớp 4 - Danh mục'!I106="","","   ├─ "&amp;'Lớp 4 - Danh mục'!O106)</f>
        <v/>
      </c>
      <c r="W176" s="389" t="str">
        <f>IF('Lớp 4 - Danh mục'!I106="","",4)</f>
        <v/>
      </c>
      <c r="X176" s="67" t="str">
        <f>'Lớp 4 - Danh mục'!I106</f>
        <v/>
      </c>
      <c r="Y176" s="67" t="str">
        <f>'Lớp 4 - Danh mục'!J106</f>
        <v/>
      </c>
      <c r="Z176" s="67" t="str">
        <f>'Lớp 4 - Danh mục'!Z106</f>
        <v/>
      </c>
      <c r="AA176" s="67" t="str">
        <f>'Lớp 4 - Danh mục'!X106</f>
        <v/>
      </c>
      <c r="AB176" s="67" t="str">
        <f>'Lớp 4 - Danh mục'!AB106</f>
        <v/>
      </c>
      <c r="AC176" s="67" t="str">
        <f>'Lớp 4 - Danh mục'!AA106</f>
        <v/>
      </c>
      <c r="AD176" s="398" t="str">
        <f>'Lớp 4 - Danh mục'!AF106</f>
        <v/>
      </c>
      <c r="AE176" s="358" t="str">
        <f>'Lớp 4 - Danh mục'!AD106</f>
        <v/>
      </c>
      <c r="AF176" s="187" t="str">
        <f>'Lớp 4 - Danh mục'!AG106</f>
        <v/>
      </c>
      <c r="AG176" s="104" t="str">
        <f>'Lớp 4 - Danh mục'!AH106</f>
        <v/>
      </c>
      <c r="AH176" s="389" t="str">
        <f t="shared" si="27"/>
        <v/>
      </c>
      <c r="AI176" s="389" t="str">
        <f t="shared" si="37"/>
        <v>🔵 Chưa có hạn</v>
      </c>
      <c r="AJ176" s="67" t="str">
        <f>'Lớp 4 - Danh mục'!AK106</f>
        <v/>
      </c>
      <c r="AS176" s="389" t="str">
        <f t="shared" si="97"/>
        <v/>
      </c>
      <c r="AT176" s="389" t="str">
        <f t="shared" si="32"/>
        <v/>
      </c>
      <c r="AU176" s="389" t="str">
        <f t="shared" si="33"/>
        <v/>
      </c>
      <c r="AV176" s="389" t="str">
        <f t="shared" si="34"/>
        <v/>
      </c>
      <c r="AW176" s="389" t="str">
        <f t="shared" si="35"/>
        <v/>
      </c>
      <c r="AX176" s="67" t="str">
        <f t="shared" ref="AX176:BH176" si="189">Z176</f>
        <v/>
      </c>
      <c r="AY176" s="67" t="str">
        <f t="shared" si="189"/>
        <v/>
      </c>
      <c r="AZ176" s="67" t="str">
        <f t="shared" si="189"/>
        <v/>
      </c>
      <c r="BA176" s="67" t="str">
        <f t="shared" si="189"/>
        <v/>
      </c>
      <c r="BB176" s="398" t="str">
        <f t="shared" si="189"/>
        <v/>
      </c>
      <c r="BC176" s="358" t="str">
        <f t="shared" si="189"/>
        <v/>
      </c>
      <c r="BD176" s="187" t="str">
        <f t="shared" si="189"/>
        <v/>
      </c>
      <c r="BE176" s="104" t="str">
        <f t="shared" si="189"/>
        <v/>
      </c>
      <c r="BF176" s="389" t="str">
        <f t="shared" si="189"/>
        <v/>
      </c>
      <c r="BG176" s="389" t="str">
        <f t="shared" si="189"/>
        <v>🔵 Chưa có hạn</v>
      </c>
      <c r="BH176" s="67" t="str">
        <f t="shared" si="189"/>
        <v/>
      </c>
      <c r="BI176" s="389" t="str">
        <f t="array" ref="BI176">IF($X176="","",SWITCH($W176,3,IFERROR(INDEX('Lớp 3 - Công việc chính'!$AF$14:$AF$73,MATCH($X176,'Lớp 3 - Công việc chính'!$I$14:$I$73,0)),""),4,IFERROR(INDEX('Lớp 4 - Danh mục'!$AI$14:$AI$132,MATCH($X176,'Lớp 4 - Danh mục'!$I$14:$I$132,0)),""),5,IFERROR(INDEX('Lớp 5 - Phân công'!$AJ$14:$AJ$262,MATCH($X176,'Lớp 5 - Phân công'!$I$14:$I$262,0)),""),6,IFERROR(INDEX('Lớp 6 - Chi tiết'!$AM$14:$AM$267,MATCH($X176,'Lớp 6 - Chi tiết'!$I$14:$I$267,0)),""),""))</f>
        <v/>
      </c>
      <c r="BJ176" s="389" t="str">
        <f t="array" ref="BJ176">IF($X176="","",SWITCH($W176,3,IFERROR(INDEX('Lớp 3 - Công việc chính'!$AR$14:$AR$73,MATCH($X176,'Lớp 3 - Công việc chính'!$I$14:$I$73,0)),""),4,IFERROR(INDEX('Lớp 4 - Danh mục'!$AU$14:$AU$132,MATCH($X176,'Lớp 4 - Danh mục'!$I$14:$I$132,0)),""),5,IFERROR(INDEX('Lớp 5 - Phân công'!$AV$14:$AV$262,MATCH($X176,'Lớp 5 - Phân công'!$I$14:$I$262,0)),""),6,IFERROR(INDEX('Lớp 6 - Chi tiết'!$AY$14:$AY$267,MATCH($X176,'Lớp 6 - Chi tiết'!$I$14:$I$267,0)),""),""))</f>
        <v/>
      </c>
    </row>
    <row r="177" ht="15.75" customHeight="1">
      <c r="A177" s="294" t="str">
        <f t="shared" si="12"/>
        <v/>
      </c>
      <c r="B177" s="301" t="str">
        <f t="shared" si="13"/>
        <v/>
      </c>
      <c r="C177" s="301" t="str">
        <f t="shared" si="14"/>
        <v/>
      </c>
      <c r="D177" s="301" t="str">
        <f t="shared" si="15"/>
        <v/>
      </c>
      <c r="E177" s="301" t="str">
        <f t="shared" si="16"/>
        <v/>
      </c>
      <c r="F177" s="317" t="str">
        <f t="shared" si="17"/>
        <v/>
      </c>
      <c r="G177" s="323" t="str">
        <f t="shared" si="18"/>
        <v/>
      </c>
      <c r="H177" s="327" t="str">
        <f t="shared" si="19"/>
        <v/>
      </c>
      <c r="I177" s="327" t="str">
        <f t="shared" si="20"/>
        <v/>
      </c>
      <c r="J177" s="301" t="str">
        <f t="shared" si="21"/>
        <v/>
      </c>
      <c r="K177" s="301" t="str">
        <f t="shared" si="22"/>
        <v/>
      </c>
      <c r="L177" s="344" t="str">
        <f t="array" ref="L177">IF($T177="","",LET(m,MATCH($T177,$AS$24:$AS$700,0),lvl,INDEX($W$24:$W$700,m),id,INDEX($X$24:$X$700,m),SWITCH(lvl,3,"Lớp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7" s="351" t="str">
        <f t="shared" si="23"/>
        <v/>
      </c>
      <c r="N177" s="356" t="str">
        <f t="shared" si="24"/>
        <v/>
      </c>
      <c r="O177" s="358"/>
      <c r="P177" s="360"/>
      <c r="Q177" s="360"/>
      <c r="R177" s="67"/>
      <c r="S177" s="67"/>
      <c r="T177" s="67"/>
      <c r="U177" s="389" t="str">
        <f>IF('Lớp 4 - Danh mục'!I107="","",'Lớp 4 - Danh mục'!J107&amp;"|"&amp;'Lớp 4 - Danh mục'!I107)</f>
        <v/>
      </c>
      <c r="V177" s="389" t="str">
        <f>IF('Lớp 4 - Danh mục'!I107="","","   ├─ "&amp;'Lớp 4 - Danh mục'!O107)</f>
        <v/>
      </c>
      <c r="W177" s="389" t="str">
        <f>IF('Lớp 4 - Danh mục'!I107="","",4)</f>
        <v/>
      </c>
      <c r="X177" s="67" t="str">
        <f>'Lớp 4 - Danh mục'!I107</f>
        <v/>
      </c>
      <c r="Y177" s="67" t="str">
        <f>'Lớp 4 - Danh mục'!J107</f>
        <v/>
      </c>
      <c r="Z177" s="67" t="str">
        <f>'Lớp 4 - Danh mục'!Z107</f>
        <v/>
      </c>
      <c r="AA177" s="67" t="str">
        <f>'Lớp 4 - Danh mục'!X107</f>
        <v/>
      </c>
      <c r="AB177" s="67" t="str">
        <f>'Lớp 4 - Danh mục'!AB107</f>
        <v/>
      </c>
      <c r="AC177" s="67" t="str">
        <f>'Lớp 4 - Danh mục'!AA107</f>
        <v/>
      </c>
      <c r="AD177" s="398" t="str">
        <f>'Lớp 4 - Danh mục'!AF107</f>
        <v/>
      </c>
      <c r="AE177" s="358" t="str">
        <f>'Lớp 4 - Danh mục'!AD107</f>
        <v/>
      </c>
      <c r="AF177" s="187" t="str">
        <f>'Lớp 4 - Danh mục'!AG107</f>
        <v/>
      </c>
      <c r="AG177" s="104" t="str">
        <f>'Lớp 4 - Danh mục'!AH107</f>
        <v/>
      </c>
      <c r="AH177" s="389" t="str">
        <f t="shared" si="27"/>
        <v/>
      </c>
      <c r="AI177" s="389" t="str">
        <f t="shared" si="37"/>
        <v>🔵 Chưa có hạn</v>
      </c>
      <c r="AJ177" s="67" t="str">
        <f>'Lớp 4 - Danh mục'!AK107</f>
        <v/>
      </c>
      <c r="AS177" s="389" t="str">
        <f t="shared" si="97"/>
        <v/>
      </c>
      <c r="AT177" s="389" t="str">
        <f t="shared" si="32"/>
        <v/>
      </c>
      <c r="AU177" s="389" t="str">
        <f t="shared" si="33"/>
        <v/>
      </c>
      <c r="AV177" s="389" t="str">
        <f t="shared" si="34"/>
        <v/>
      </c>
      <c r="AW177" s="389" t="str">
        <f t="shared" si="35"/>
        <v/>
      </c>
      <c r="AX177" s="67" t="str">
        <f t="shared" ref="AX177:BH177" si="190">Z177</f>
        <v/>
      </c>
      <c r="AY177" s="67" t="str">
        <f t="shared" si="190"/>
        <v/>
      </c>
      <c r="AZ177" s="67" t="str">
        <f t="shared" si="190"/>
        <v/>
      </c>
      <c r="BA177" s="67" t="str">
        <f t="shared" si="190"/>
        <v/>
      </c>
      <c r="BB177" s="398" t="str">
        <f t="shared" si="190"/>
        <v/>
      </c>
      <c r="BC177" s="358" t="str">
        <f t="shared" si="190"/>
        <v/>
      </c>
      <c r="BD177" s="187" t="str">
        <f t="shared" si="190"/>
        <v/>
      </c>
      <c r="BE177" s="104" t="str">
        <f t="shared" si="190"/>
        <v/>
      </c>
      <c r="BF177" s="389" t="str">
        <f t="shared" si="190"/>
        <v/>
      </c>
      <c r="BG177" s="389" t="str">
        <f t="shared" si="190"/>
        <v>🔵 Chưa có hạn</v>
      </c>
      <c r="BH177" s="67" t="str">
        <f t="shared" si="190"/>
        <v/>
      </c>
      <c r="BI177" s="389" t="str">
        <f t="array" ref="BI177">IF($X177="","",SWITCH($W177,3,IFERROR(INDEX('Lớp 3 - Công việc chính'!$AF$14:$AF$73,MATCH($X177,'Lớp 3 - Công việc chính'!$I$14:$I$73,0)),""),4,IFERROR(INDEX('Lớp 4 - Danh mục'!$AI$14:$AI$132,MATCH($X177,'Lớp 4 - Danh mục'!$I$14:$I$132,0)),""),5,IFERROR(INDEX('Lớp 5 - Phân công'!$AJ$14:$AJ$262,MATCH($X177,'Lớp 5 - Phân công'!$I$14:$I$262,0)),""),6,IFERROR(INDEX('Lớp 6 - Chi tiết'!$AM$14:$AM$267,MATCH($X177,'Lớp 6 - Chi tiết'!$I$14:$I$267,0)),""),""))</f>
        <v/>
      </c>
      <c r="BJ177" s="389" t="str">
        <f t="array" ref="BJ177">IF($X177="","",SWITCH($W177,3,IFERROR(INDEX('Lớp 3 - Công việc chính'!$AR$14:$AR$73,MATCH($X177,'Lớp 3 - Công việc chính'!$I$14:$I$73,0)),""),4,IFERROR(INDEX('Lớp 4 - Danh mục'!$AU$14:$AU$132,MATCH($X177,'Lớp 4 - Danh mục'!$I$14:$I$132,0)),""),5,IFERROR(INDEX('Lớp 5 - Phân công'!$AV$14:$AV$262,MATCH($X177,'Lớp 5 - Phân công'!$I$14:$I$262,0)),""),6,IFERROR(INDEX('Lớp 6 - Chi tiết'!$AY$14:$AY$267,MATCH($X177,'Lớp 6 - Chi tiết'!$I$14:$I$267,0)),""),""))</f>
        <v/>
      </c>
    </row>
    <row r="178" ht="15.75" customHeight="1">
      <c r="A178" s="294" t="str">
        <f t="shared" si="12"/>
        <v/>
      </c>
      <c r="B178" s="301" t="str">
        <f t="shared" si="13"/>
        <v/>
      </c>
      <c r="C178" s="301" t="str">
        <f t="shared" si="14"/>
        <v/>
      </c>
      <c r="D178" s="301" t="str">
        <f t="shared" si="15"/>
        <v/>
      </c>
      <c r="E178" s="301" t="str">
        <f t="shared" si="16"/>
        <v/>
      </c>
      <c r="F178" s="317" t="str">
        <f t="shared" si="17"/>
        <v/>
      </c>
      <c r="G178" s="323" t="str">
        <f t="shared" si="18"/>
        <v/>
      </c>
      <c r="H178" s="327" t="str">
        <f t="shared" si="19"/>
        <v/>
      </c>
      <c r="I178" s="327" t="str">
        <f t="shared" si="20"/>
        <v/>
      </c>
      <c r="J178" s="301" t="str">
        <f t="shared" si="21"/>
        <v/>
      </c>
      <c r="K178" s="301" t="str">
        <f t="shared" si="22"/>
        <v/>
      </c>
      <c r="L178" s="344" t="str">
        <f t="array" ref="L178">IF($T178="","",LET(m,MATCH($T178,$AS$24:$AS$700,0),lvl,INDEX($W$24:$W$700,m),id,INDEX($X$24:$X$700,m),SWITCH(lvl,3,"Lớp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8" s="351" t="str">
        <f t="shared" si="23"/>
        <v/>
      </c>
      <c r="N178" s="356" t="str">
        <f t="shared" si="24"/>
        <v/>
      </c>
      <c r="O178" s="358"/>
      <c r="P178" s="360"/>
      <c r="Q178" s="360"/>
      <c r="R178" s="67"/>
      <c r="S178" s="67"/>
      <c r="T178" s="67"/>
      <c r="U178" s="389" t="str">
        <f>IF('Lớp 4 - Danh mục'!I108="","",'Lớp 4 - Danh mục'!J108&amp;"|"&amp;'Lớp 4 - Danh mục'!I108)</f>
        <v/>
      </c>
      <c r="V178" s="389" t="str">
        <f>IF('Lớp 4 - Danh mục'!I108="","","   ├─ "&amp;'Lớp 4 - Danh mục'!O108)</f>
        <v/>
      </c>
      <c r="W178" s="389" t="str">
        <f>IF('Lớp 4 - Danh mục'!I108="","",4)</f>
        <v/>
      </c>
      <c r="X178" s="67" t="str">
        <f>'Lớp 4 - Danh mục'!I108</f>
        <v/>
      </c>
      <c r="Y178" s="67" t="str">
        <f>'Lớp 4 - Danh mục'!J108</f>
        <v/>
      </c>
      <c r="Z178" s="67" t="str">
        <f>'Lớp 4 - Danh mục'!Z108</f>
        <v/>
      </c>
      <c r="AA178" s="67" t="str">
        <f>'Lớp 4 - Danh mục'!X108</f>
        <v/>
      </c>
      <c r="AB178" s="67" t="str">
        <f>'Lớp 4 - Danh mục'!AB108</f>
        <v/>
      </c>
      <c r="AC178" s="67" t="str">
        <f>'Lớp 4 - Danh mục'!AA108</f>
        <v/>
      </c>
      <c r="AD178" s="398" t="str">
        <f>'Lớp 4 - Danh mục'!AF108</f>
        <v/>
      </c>
      <c r="AE178" s="358" t="str">
        <f>'Lớp 4 - Danh mục'!AD108</f>
        <v/>
      </c>
      <c r="AF178" s="187" t="str">
        <f>'Lớp 4 - Danh mục'!AG108</f>
        <v/>
      </c>
      <c r="AG178" s="104" t="str">
        <f>'Lớp 4 - Danh mục'!AH108</f>
        <v/>
      </c>
      <c r="AH178" s="389" t="str">
        <f t="shared" si="27"/>
        <v/>
      </c>
      <c r="AI178" s="389" t="str">
        <f t="shared" si="37"/>
        <v>🔵 Chưa có hạn</v>
      </c>
      <c r="AJ178" s="67" t="str">
        <f>'Lớp 4 - Danh mục'!AK108</f>
        <v/>
      </c>
      <c r="AS178" s="389" t="str">
        <f t="shared" si="97"/>
        <v/>
      </c>
      <c r="AT178" s="389" t="str">
        <f t="shared" si="32"/>
        <v/>
      </c>
      <c r="AU178" s="389" t="str">
        <f t="shared" si="33"/>
        <v/>
      </c>
      <c r="AV178" s="389" t="str">
        <f t="shared" si="34"/>
        <v/>
      </c>
      <c r="AW178" s="389" t="str">
        <f t="shared" si="35"/>
        <v/>
      </c>
      <c r="AX178" s="67" t="str">
        <f t="shared" ref="AX178:BH178" si="191">Z178</f>
        <v/>
      </c>
      <c r="AY178" s="67" t="str">
        <f t="shared" si="191"/>
        <v/>
      </c>
      <c r="AZ178" s="67" t="str">
        <f t="shared" si="191"/>
        <v/>
      </c>
      <c r="BA178" s="67" t="str">
        <f t="shared" si="191"/>
        <v/>
      </c>
      <c r="BB178" s="398" t="str">
        <f t="shared" si="191"/>
        <v/>
      </c>
      <c r="BC178" s="358" t="str">
        <f t="shared" si="191"/>
        <v/>
      </c>
      <c r="BD178" s="187" t="str">
        <f t="shared" si="191"/>
        <v/>
      </c>
      <c r="BE178" s="104" t="str">
        <f t="shared" si="191"/>
        <v/>
      </c>
      <c r="BF178" s="389" t="str">
        <f t="shared" si="191"/>
        <v/>
      </c>
      <c r="BG178" s="389" t="str">
        <f t="shared" si="191"/>
        <v>🔵 Chưa có hạn</v>
      </c>
      <c r="BH178" s="67" t="str">
        <f t="shared" si="191"/>
        <v/>
      </c>
      <c r="BI178" s="389" t="str">
        <f t="array" ref="BI178">IF($X178="","",SWITCH($W178,3,IFERROR(INDEX('Lớp 3 - Công việc chính'!$AF$14:$AF$73,MATCH($X178,'Lớp 3 - Công việc chính'!$I$14:$I$73,0)),""),4,IFERROR(INDEX('Lớp 4 - Danh mục'!$AI$14:$AI$132,MATCH($X178,'Lớp 4 - Danh mục'!$I$14:$I$132,0)),""),5,IFERROR(INDEX('Lớp 5 - Phân công'!$AJ$14:$AJ$262,MATCH($X178,'Lớp 5 - Phân công'!$I$14:$I$262,0)),""),6,IFERROR(INDEX('Lớp 6 - Chi tiết'!$AM$14:$AM$267,MATCH($X178,'Lớp 6 - Chi tiết'!$I$14:$I$267,0)),""),""))</f>
        <v/>
      </c>
      <c r="BJ178" s="389" t="str">
        <f t="array" ref="BJ178">IF($X178="","",SWITCH($W178,3,IFERROR(INDEX('Lớp 3 - Công việc chính'!$AR$14:$AR$73,MATCH($X178,'Lớp 3 - Công việc chính'!$I$14:$I$73,0)),""),4,IFERROR(INDEX('Lớp 4 - Danh mục'!$AU$14:$AU$132,MATCH($X178,'Lớp 4 - Danh mục'!$I$14:$I$132,0)),""),5,IFERROR(INDEX('Lớp 5 - Phân công'!$AV$14:$AV$262,MATCH($X178,'Lớp 5 - Phân công'!$I$14:$I$262,0)),""),6,IFERROR(INDEX('Lớp 6 - Chi tiết'!$AY$14:$AY$267,MATCH($X178,'Lớp 6 - Chi tiết'!$I$14:$I$267,0)),""),""))</f>
        <v/>
      </c>
    </row>
    <row r="179" ht="15.75" customHeight="1">
      <c r="A179" s="294" t="str">
        <f t="shared" si="12"/>
        <v/>
      </c>
      <c r="B179" s="301" t="str">
        <f t="shared" si="13"/>
        <v/>
      </c>
      <c r="C179" s="301" t="str">
        <f t="shared" si="14"/>
        <v/>
      </c>
      <c r="D179" s="301" t="str">
        <f t="shared" si="15"/>
        <v/>
      </c>
      <c r="E179" s="301" t="str">
        <f t="shared" si="16"/>
        <v/>
      </c>
      <c r="F179" s="317" t="str">
        <f t="shared" si="17"/>
        <v/>
      </c>
      <c r="G179" s="323" t="str">
        <f t="shared" si="18"/>
        <v/>
      </c>
      <c r="H179" s="327" t="str">
        <f t="shared" si="19"/>
        <v/>
      </c>
      <c r="I179" s="327" t="str">
        <f t="shared" si="20"/>
        <v/>
      </c>
      <c r="J179" s="301" t="str">
        <f t="shared" si="21"/>
        <v/>
      </c>
      <c r="K179" s="301" t="str">
        <f t="shared" si="22"/>
        <v/>
      </c>
      <c r="L179" s="344" t="str">
        <f t="array" ref="L179">IF($T179="","",LET(m,MATCH($T179,$AS$24:$AS$700,0),lvl,INDEX($W$24:$W$700,m),id,INDEX($X$24:$X$700,m),SWITCH(lvl,3,"Lớp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79" s="351" t="str">
        <f t="shared" si="23"/>
        <v/>
      </c>
      <c r="N179" s="356" t="str">
        <f t="shared" si="24"/>
        <v/>
      </c>
      <c r="O179" s="358"/>
      <c r="P179" s="360"/>
      <c r="Q179" s="360"/>
      <c r="R179" s="67"/>
      <c r="S179" s="67"/>
      <c r="T179" s="67"/>
      <c r="U179" s="389" t="str">
        <f>IF('Lớp 4 - Danh mục'!I109="","",'Lớp 4 - Danh mục'!J109&amp;"|"&amp;'Lớp 4 - Danh mục'!I109)</f>
        <v/>
      </c>
      <c r="V179" s="389" t="str">
        <f>IF('Lớp 4 - Danh mục'!I109="","","   ├─ "&amp;'Lớp 4 - Danh mục'!O109)</f>
        <v/>
      </c>
      <c r="W179" s="389" t="str">
        <f>IF('Lớp 4 - Danh mục'!I109="","",4)</f>
        <v/>
      </c>
      <c r="X179" s="67" t="str">
        <f>'Lớp 4 - Danh mục'!I109</f>
        <v/>
      </c>
      <c r="Y179" s="67" t="str">
        <f>'Lớp 4 - Danh mục'!J109</f>
        <v/>
      </c>
      <c r="Z179" s="67" t="str">
        <f>'Lớp 4 - Danh mục'!Z109</f>
        <v/>
      </c>
      <c r="AA179" s="67" t="str">
        <f>'Lớp 4 - Danh mục'!X109</f>
        <v/>
      </c>
      <c r="AB179" s="67" t="str">
        <f>'Lớp 4 - Danh mục'!AB109</f>
        <v/>
      </c>
      <c r="AC179" s="67" t="str">
        <f>'Lớp 4 - Danh mục'!AA109</f>
        <v/>
      </c>
      <c r="AD179" s="398" t="str">
        <f>'Lớp 4 - Danh mục'!AF109</f>
        <v/>
      </c>
      <c r="AE179" s="358" t="str">
        <f>'Lớp 4 - Danh mục'!AD109</f>
        <v/>
      </c>
      <c r="AF179" s="187" t="str">
        <f>'Lớp 4 - Danh mục'!AG109</f>
        <v/>
      </c>
      <c r="AG179" s="104" t="str">
        <f>'Lớp 4 - Danh mục'!AH109</f>
        <v/>
      </c>
      <c r="AH179" s="389" t="str">
        <f t="shared" si="27"/>
        <v/>
      </c>
      <c r="AI179" s="389" t="str">
        <f t="shared" si="37"/>
        <v>🔵 Chưa có hạn</v>
      </c>
      <c r="AJ179" s="67" t="str">
        <f>'Lớp 4 - Danh mục'!AK109</f>
        <v/>
      </c>
      <c r="AS179" s="389" t="str">
        <f t="shared" si="97"/>
        <v/>
      </c>
      <c r="AT179" s="389" t="str">
        <f t="shared" si="32"/>
        <v/>
      </c>
      <c r="AU179" s="389" t="str">
        <f t="shared" si="33"/>
        <v/>
      </c>
      <c r="AV179" s="389" t="str">
        <f t="shared" si="34"/>
        <v/>
      </c>
      <c r="AW179" s="389" t="str">
        <f t="shared" si="35"/>
        <v/>
      </c>
      <c r="AX179" s="67" t="str">
        <f t="shared" ref="AX179:BH179" si="192">Z179</f>
        <v/>
      </c>
      <c r="AY179" s="67" t="str">
        <f t="shared" si="192"/>
        <v/>
      </c>
      <c r="AZ179" s="67" t="str">
        <f t="shared" si="192"/>
        <v/>
      </c>
      <c r="BA179" s="67" t="str">
        <f t="shared" si="192"/>
        <v/>
      </c>
      <c r="BB179" s="398" t="str">
        <f t="shared" si="192"/>
        <v/>
      </c>
      <c r="BC179" s="358" t="str">
        <f t="shared" si="192"/>
        <v/>
      </c>
      <c r="BD179" s="187" t="str">
        <f t="shared" si="192"/>
        <v/>
      </c>
      <c r="BE179" s="104" t="str">
        <f t="shared" si="192"/>
        <v/>
      </c>
      <c r="BF179" s="389" t="str">
        <f t="shared" si="192"/>
        <v/>
      </c>
      <c r="BG179" s="389" t="str">
        <f t="shared" si="192"/>
        <v>🔵 Chưa có hạn</v>
      </c>
      <c r="BH179" s="67" t="str">
        <f t="shared" si="192"/>
        <v/>
      </c>
      <c r="BI179" s="389" t="str">
        <f t="array" ref="BI179">IF($X179="","",SWITCH($W179,3,IFERROR(INDEX('Lớp 3 - Công việc chính'!$AF$14:$AF$73,MATCH($X179,'Lớp 3 - Công việc chính'!$I$14:$I$73,0)),""),4,IFERROR(INDEX('Lớp 4 - Danh mục'!$AI$14:$AI$132,MATCH($X179,'Lớp 4 - Danh mục'!$I$14:$I$132,0)),""),5,IFERROR(INDEX('Lớp 5 - Phân công'!$AJ$14:$AJ$262,MATCH($X179,'Lớp 5 - Phân công'!$I$14:$I$262,0)),""),6,IFERROR(INDEX('Lớp 6 - Chi tiết'!$AM$14:$AM$267,MATCH($X179,'Lớp 6 - Chi tiết'!$I$14:$I$267,0)),""),""))</f>
        <v/>
      </c>
      <c r="BJ179" s="389" t="str">
        <f t="array" ref="BJ179">IF($X179="","",SWITCH($W179,3,IFERROR(INDEX('Lớp 3 - Công việc chính'!$AR$14:$AR$73,MATCH($X179,'Lớp 3 - Công việc chính'!$I$14:$I$73,0)),""),4,IFERROR(INDEX('Lớp 4 - Danh mục'!$AU$14:$AU$132,MATCH($X179,'Lớp 4 - Danh mục'!$I$14:$I$132,0)),""),5,IFERROR(INDEX('Lớp 5 - Phân công'!$AV$14:$AV$262,MATCH($X179,'Lớp 5 - Phân công'!$I$14:$I$262,0)),""),6,IFERROR(INDEX('Lớp 6 - Chi tiết'!$AY$14:$AY$267,MATCH($X179,'Lớp 6 - Chi tiết'!$I$14:$I$267,0)),""),""))</f>
        <v/>
      </c>
    </row>
    <row r="180" ht="15.75" customHeight="1">
      <c r="A180" s="294" t="str">
        <f t="shared" si="12"/>
        <v/>
      </c>
      <c r="B180" s="301" t="str">
        <f t="shared" si="13"/>
        <v/>
      </c>
      <c r="C180" s="301" t="str">
        <f t="shared" si="14"/>
        <v/>
      </c>
      <c r="D180" s="301" t="str">
        <f t="shared" si="15"/>
        <v/>
      </c>
      <c r="E180" s="301" t="str">
        <f t="shared" si="16"/>
        <v/>
      </c>
      <c r="F180" s="317" t="str">
        <f t="shared" si="17"/>
        <v/>
      </c>
      <c r="G180" s="323" t="str">
        <f t="shared" si="18"/>
        <v/>
      </c>
      <c r="H180" s="327" t="str">
        <f t="shared" si="19"/>
        <v/>
      </c>
      <c r="I180" s="327" t="str">
        <f t="shared" si="20"/>
        <v/>
      </c>
      <c r="J180" s="301" t="str">
        <f t="shared" si="21"/>
        <v/>
      </c>
      <c r="K180" s="301" t="str">
        <f t="shared" si="22"/>
        <v/>
      </c>
      <c r="L180" s="344" t="str">
        <f t="array" ref="L180">IF($T180="","",LET(m,MATCH($T180,$AS$24:$AS$700,0),lvl,INDEX($W$24:$W$700,m),id,INDEX($X$24:$X$700,m),SWITCH(lvl,3,"Lớp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0" s="351" t="str">
        <f t="shared" si="23"/>
        <v/>
      </c>
      <c r="N180" s="356" t="str">
        <f t="shared" si="24"/>
        <v/>
      </c>
      <c r="O180" s="358"/>
      <c r="P180" s="360"/>
      <c r="Q180" s="360"/>
      <c r="R180" s="67"/>
      <c r="S180" s="67"/>
      <c r="T180" s="67"/>
      <c r="U180" s="389" t="str">
        <f>IF('Lớp 4 - Danh mục'!I110="","",'Lớp 4 - Danh mục'!J110&amp;"|"&amp;'Lớp 4 - Danh mục'!I110)</f>
        <v/>
      </c>
      <c r="V180" s="389" t="str">
        <f>IF('Lớp 4 - Danh mục'!I110="","","   ├─ "&amp;'Lớp 4 - Danh mục'!O110)</f>
        <v/>
      </c>
      <c r="W180" s="389" t="str">
        <f>IF('Lớp 4 - Danh mục'!I110="","",4)</f>
        <v/>
      </c>
      <c r="X180" s="67" t="str">
        <f>'Lớp 4 - Danh mục'!I110</f>
        <v/>
      </c>
      <c r="Y180" s="67" t="str">
        <f>'Lớp 4 - Danh mục'!J110</f>
        <v/>
      </c>
      <c r="Z180" s="67" t="str">
        <f>'Lớp 4 - Danh mục'!Z110</f>
        <v/>
      </c>
      <c r="AA180" s="67" t="str">
        <f>'Lớp 4 - Danh mục'!X110</f>
        <v/>
      </c>
      <c r="AB180" s="67" t="str">
        <f>'Lớp 4 - Danh mục'!AB110</f>
        <v/>
      </c>
      <c r="AC180" s="67" t="str">
        <f>'Lớp 4 - Danh mục'!AA110</f>
        <v/>
      </c>
      <c r="AD180" s="398" t="str">
        <f>'Lớp 4 - Danh mục'!AF110</f>
        <v/>
      </c>
      <c r="AE180" s="358" t="str">
        <f>'Lớp 4 - Danh mục'!AD110</f>
        <v/>
      </c>
      <c r="AF180" s="187" t="str">
        <f>'Lớp 4 - Danh mục'!AG110</f>
        <v/>
      </c>
      <c r="AG180" s="104" t="str">
        <f>'Lớp 4 - Danh mục'!AH110</f>
        <v/>
      </c>
      <c r="AH180" s="389" t="str">
        <f t="shared" si="27"/>
        <v/>
      </c>
      <c r="AI180" s="389" t="str">
        <f t="shared" si="37"/>
        <v>🔵 Chưa có hạn</v>
      </c>
      <c r="AJ180" s="67" t="str">
        <f>'Lớp 4 - Danh mục'!AK110</f>
        <v/>
      </c>
      <c r="AS180" s="389" t="str">
        <f t="shared" si="97"/>
        <v/>
      </c>
      <c r="AT180" s="389" t="str">
        <f t="shared" si="32"/>
        <v/>
      </c>
      <c r="AU180" s="389" t="str">
        <f t="shared" si="33"/>
        <v/>
      </c>
      <c r="AV180" s="389" t="str">
        <f t="shared" si="34"/>
        <v/>
      </c>
      <c r="AW180" s="389" t="str">
        <f t="shared" si="35"/>
        <v/>
      </c>
      <c r="AX180" s="67" t="str">
        <f t="shared" ref="AX180:BH180" si="193">Z180</f>
        <v/>
      </c>
      <c r="AY180" s="67" t="str">
        <f t="shared" si="193"/>
        <v/>
      </c>
      <c r="AZ180" s="67" t="str">
        <f t="shared" si="193"/>
        <v/>
      </c>
      <c r="BA180" s="67" t="str">
        <f t="shared" si="193"/>
        <v/>
      </c>
      <c r="BB180" s="398" t="str">
        <f t="shared" si="193"/>
        <v/>
      </c>
      <c r="BC180" s="358" t="str">
        <f t="shared" si="193"/>
        <v/>
      </c>
      <c r="BD180" s="187" t="str">
        <f t="shared" si="193"/>
        <v/>
      </c>
      <c r="BE180" s="104" t="str">
        <f t="shared" si="193"/>
        <v/>
      </c>
      <c r="BF180" s="389" t="str">
        <f t="shared" si="193"/>
        <v/>
      </c>
      <c r="BG180" s="389" t="str">
        <f t="shared" si="193"/>
        <v>🔵 Chưa có hạn</v>
      </c>
      <c r="BH180" s="67" t="str">
        <f t="shared" si="193"/>
        <v/>
      </c>
      <c r="BI180" s="389" t="str">
        <f t="array" ref="BI180">IF($X180="","",SWITCH($W180,3,IFERROR(INDEX('Lớp 3 - Công việc chính'!$AF$14:$AF$73,MATCH($X180,'Lớp 3 - Công việc chính'!$I$14:$I$73,0)),""),4,IFERROR(INDEX('Lớp 4 - Danh mục'!$AI$14:$AI$132,MATCH($X180,'Lớp 4 - Danh mục'!$I$14:$I$132,0)),""),5,IFERROR(INDEX('Lớp 5 - Phân công'!$AJ$14:$AJ$262,MATCH($X180,'Lớp 5 - Phân công'!$I$14:$I$262,0)),""),6,IFERROR(INDEX('Lớp 6 - Chi tiết'!$AM$14:$AM$267,MATCH($X180,'Lớp 6 - Chi tiết'!$I$14:$I$267,0)),""),""))</f>
        <v/>
      </c>
      <c r="BJ180" s="389" t="str">
        <f t="array" ref="BJ180">IF($X180="","",SWITCH($W180,3,IFERROR(INDEX('Lớp 3 - Công việc chính'!$AR$14:$AR$73,MATCH($X180,'Lớp 3 - Công việc chính'!$I$14:$I$73,0)),""),4,IFERROR(INDEX('Lớp 4 - Danh mục'!$AU$14:$AU$132,MATCH($X180,'Lớp 4 - Danh mục'!$I$14:$I$132,0)),""),5,IFERROR(INDEX('Lớp 5 - Phân công'!$AV$14:$AV$262,MATCH($X180,'Lớp 5 - Phân công'!$I$14:$I$262,0)),""),6,IFERROR(INDEX('Lớp 6 - Chi tiết'!$AY$14:$AY$267,MATCH($X180,'Lớp 6 - Chi tiết'!$I$14:$I$267,0)),""),""))</f>
        <v/>
      </c>
    </row>
    <row r="181" ht="15.75" customHeight="1">
      <c r="A181" s="294" t="str">
        <f t="shared" si="12"/>
        <v/>
      </c>
      <c r="B181" s="301" t="str">
        <f t="shared" si="13"/>
        <v/>
      </c>
      <c r="C181" s="301" t="str">
        <f t="shared" si="14"/>
        <v/>
      </c>
      <c r="D181" s="301" t="str">
        <f t="shared" si="15"/>
        <v/>
      </c>
      <c r="E181" s="301" t="str">
        <f t="shared" si="16"/>
        <v/>
      </c>
      <c r="F181" s="317" t="str">
        <f t="shared" si="17"/>
        <v/>
      </c>
      <c r="G181" s="323" t="str">
        <f t="shared" si="18"/>
        <v/>
      </c>
      <c r="H181" s="327" t="str">
        <f t="shared" si="19"/>
        <v/>
      </c>
      <c r="I181" s="327" t="str">
        <f t="shared" si="20"/>
        <v/>
      </c>
      <c r="J181" s="301" t="str">
        <f t="shared" si="21"/>
        <v/>
      </c>
      <c r="K181" s="301" t="str">
        <f t="shared" si="22"/>
        <v/>
      </c>
      <c r="L181" s="344" t="str">
        <f t="array" ref="L181">IF($T181="","",LET(m,MATCH($T181,$AS$24:$AS$700,0),lvl,INDEX($W$24:$W$700,m),id,INDEX($X$24:$X$700,m),SWITCH(lvl,3,"Lớp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1" s="351" t="str">
        <f t="shared" si="23"/>
        <v/>
      </c>
      <c r="N181" s="356" t="str">
        <f t="shared" si="24"/>
        <v/>
      </c>
      <c r="O181" s="358"/>
      <c r="P181" s="360"/>
      <c r="Q181" s="360"/>
      <c r="R181" s="67"/>
      <c r="S181" s="67"/>
      <c r="T181" s="67"/>
      <c r="U181" s="389" t="str">
        <f>IF('Lớp 4 - Danh mục'!I111="","",'Lớp 4 - Danh mục'!J111&amp;"|"&amp;'Lớp 4 - Danh mục'!I111)</f>
        <v/>
      </c>
      <c r="V181" s="389" t="str">
        <f>IF('Lớp 4 - Danh mục'!I111="","","   ├─ "&amp;'Lớp 4 - Danh mục'!O111)</f>
        <v/>
      </c>
      <c r="W181" s="389" t="str">
        <f>IF('Lớp 4 - Danh mục'!I111="","",4)</f>
        <v/>
      </c>
      <c r="X181" s="67" t="str">
        <f>'Lớp 4 - Danh mục'!I111</f>
        <v/>
      </c>
      <c r="Y181" s="67" t="str">
        <f>'Lớp 4 - Danh mục'!J111</f>
        <v/>
      </c>
      <c r="Z181" s="67" t="str">
        <f>'Lớp 4 - Danh mục'!Z111</f>
        <v/>
      </c>
      <c r="AA181" s="67" t="str">
        <f>'Lớp 4 - Danh mục'!X111</f>
        <v/>
      </c>
      <c r="AB181" s="67" t="str">
        <f>'Lớp 4 - Danh mục'!AB111</f>
        <v/>
      </c>
      <c r="AC181" s="67" t="str">
        <f>'Lớp 4 - Danh mục'!AA111</f>
        <v/>
      </c>
      <c r="AD181" s="398" t="str">
        <f>'Lớp 4 - Danh mục'!AF111</f>
        <v/>
      </c>
      <c r="AE181" s="358" t="str">
        <f>'Lớp 4 - Danh mục'!AD111</f>
        <v/>
      </c>
      <c r="AF181" s="187" t="str">
        <f>'Lớp 4 - Danh mục'!AG111</f>
        <v/>
      </c>
      <c r="AG181" s="104" t="str">
        <f>'Lớp 4 - Danh mục'!AH111</f>
        <v/>
      </c>
      <c r="AH181" s="389" t="str">
        <f t="shared" si="27"/>
        <v/>
      </c>
      <c r="AI181" s="389" t="str">
        <f t="shared" si="37"/>
        <v>🔵 Chưa có hạn</v>
      </c>
      <c r="AJ181" s="67" t="str">
        <f>'Lớp 4 - Danh mục'!AK111</f>
        <v/>
      </c>
      <c r="AS181" s="389" t="str">
        <f t="shared" si="97"/>
        <v/>
      </c>
      <c r="AT181" s="389" t="str">
        <f t="shared" si="32"/>
        <v/>
      </c>
      <c r="AU181" s="389" t="str">
        <f t="shared" si="33"/>
        <v/>
      </c>
      <c r="AV181" s="389" t="str">
        <f t="shared" si="34"/>
        <v/>
      </c>
      <c r="AW181" s="389" t="str">
        <f t="shared" si="35"/>
        <v/>
      </c>
      <c r="AX181" s="67" t="str">
        <f t="shared" ref="AX181:BH181" si="194">Z181</f>
        <v/>
      </c>
      <c r="AY181" s="67" t="str">
        <f t="shared" si="194"/>
        <v/>
      </c>
      <c r="AZ181" s="67" t="str">
        <f t="shared" si="194"/>
        <v/>
      </c>
      <c r="BA181" s="67" t="str">
        <f t="shared" si="194"/>
        <v/>
      </c>
      <c r="BB181" s="398" t="str">
        <f t="shared" si="194"/>
        <v/>
      </c>
      <c r="BC181" s="358" t="str">
        <f t="shared" si="194"/>
        <v/>
      </c>
      <c r="BD181" s="187" t="str">
        <f t="shared" si="194"/>
        <v/>
      </c>
      <c r="BE181" s="104" t="str">
        <f t="shared" si="194"/>
        <v/>
      </c>
      <c r="BF181" s="389" t="str">
        <f t="shared" si="194"/>
        <v/>
      </c>
      <c r="BG181" s="389" t="str">
        <f t="shared" si="194"/>
        <v>🔵 Chưa có hạn</v>
      </c>
      <c r="BH181" s="67" t="str">
        <f t="shared" si="194"/>
        <v/>
      </c>
      <c r="BI181" s="389" t="str">
        <f t="array" ref="BI181">IF($X181="","",SWITCH($W181,3,IFERROR(INDEX('Lớp 3 - Công việc chính'!$AF$14:$AF$73,MATCH($X181,'Lớp 3 - Công việc chính'!$I$14:$I$73,0)),""),4,IFERROR(INDEX('Lớp 4 - Danh mục'!$AI$14:$AI$132,MATCH($X181,'Lớp 4 - Danh mục'!$I$14:$I$132,0)),""),5,IFERROR(INDEX('Lớp 5 - Phân công'!$AJ$14:$AJ$262,MATCH($X181,'Lớp 5 - Phân công'!$I$14:$I$262,0)),""),6,IFERROR(INDEX('Lớp 6 - Chi tiết'!$AM$14:$AM$267,MATCH($X181,'Lớp 6 - Chi tiết'!$I$14:$I$267,0)),""),""))</f>
        <v/>
      </c>
      <c r="BJ181" s="389" t="str">
        <f t="array" ref="BJ181">IF($X181="","",SWITCH($W181,3,IFERROR(INDEX('Lớp 3 - Công việc chính'!$AR$14:$AR$73,MATCH($X181,'Lớp 3 - Công việc chính'!$I$14:$I$73,0)),""),4,IFERROR(INDEX('Lớp 4 - Danh mục'!$AU$14:$AU$132,MATCH($X181,'Lớp 4 - Danh mục'!$I$14:$I$132,0)),""),5,IFERROR(INDEX('Lớp 5 - Phân công'!$AV$14:$AV$262,MATCH($X181,'Lớp 5 - Phân công'!$I$14:$I$262,0)),""),6,IFERROR(INDEX('Lớp 6 - Chi tiết'!$AY$14:$AY$267,MATCH($X181,'Lớp 6 - Chi tiết'!$I$14:$I$267,0)),""),""))</f>
        <v/>
      </c>
    </row>
    <row r="182" ht="15.75" customHeight="1">
      <c r="A182" s="294" t="str">
        <f t="shared" si="12"/>
        <v/>
      </c>
      <c r="B182" s="301" t="str">
        <f t="shared" si="13"/>
        <v/>
      </c>
      <c r="C182" s="301" t="str">
        <f t="shared" si="14"/>
        <v/>
      </c>
      <c r="D182" s="301" t="str">
        <f t="shared" si="15"/>
        <v/>
      </c>
      <c r="E182" s="301" t="str">
        <f t="shared" si="16"/>
        <v/>
      </c>
      <c r="F182" s="317" t="str">
        <f t="shared" si="17"/>
        <v/>
      </c>
      <c r="G182" s="323" t="str">
        <f t="shared" si="18"/>
        <v/>
      </c>
      <c r="H182" s="327" t="str">
        <f t="shared" si="19"/>
        <v/>
      </c>
      <c r="I182" s="327" t="str">
        <f t="shared" si="20"/>
        <v/>
      </c>
      <c r="J182" s="301" t="str">
        <f t="shared" si="21"/>
        <v/>
      </c>
      <c r="K182" s="301" t="str">
        <f t="shared" si="22"/>
        <v/>
      </c>
      <c r="L182" s="344" t="str">
        <f t="array" ref="L182">IF($T182="","",LET(m,MATCH($T182,$AS$24:$AS$700,0),lvl,INDEX($W$24:$W$700,m),id,INDEX($X$24:$X$700,m),SWITCH(lvl,3,"Lớp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2" s="351" t="str">
        <f t="shared" si="23"/>
        <v/>
      </c>
      <c r="N182" s="356" t="str">
        <f t="shared" si="24"/>
        <v/>
      </c>
      <c r="O182" s="358"/>
      <c r="P182" s="360"/>
      <c r="Q182" s="360"/>
      <c r="R182" s="67"/>
      <c r="S182" s="67"/>
      <c r="T182" s="67"/>
      <c r="U182" s="389" t="str">
        <f>IF('Lớp 4 - Danh mục'!I112="","",'Lớp 4 - Danh mục'!J112&amp;"|"&amp;'Lớp 4 - Danh mục'!I112)</f>
        <v/>
      </c>
      <c r="V182" s="389" t="str">
        <f>IF('Lớp 4 - Danh mục'!I112="","","   ├─ "&amp;'Lớp 4 - Danh mục'!O112)</f>
        <v/>
      </c>
      <c r="W182" s="389" t="str">
        <f>IF('Lớp 4 - Danh mục'!I112="","",4)</f>
        <v/>
      </c>
      <c r="X182" s="67" t="str">
        <f>'Lớp 4 - Danh mục'!I112</f>
        <v/>
      </c>
      <c r="Y182" s="67" t="str">
        <f>'Lớp 4 - Danh mục'!J112</f>
        <v/>
      </c>
      <c r="Z182" s="67" t="str">
        <f>'Lớp 4 - Danh mục'!Z112</f>
        <v/>
      </c>
      <c r="AA182" s="67" t="str">
        <f>'Lớp 4 - Danh mục'!X112</f>
        <v/>
      </c>
      <c r="AB182" s="67" t="str">
        <f>'Lớp 4 - Danh mục'!AB112</f>
        <v/>
      </c>
      <c r="AC182" s="67" t="str">
        <f>'Lớp 4 - Danh mục'!AA112</f>
        <v/>
      </c>
      <c r="AD182" s="398" t="str">
        <f>'Lớp 4 - Danh mục'!AF112</f>
        <v/>
      </c>
      <c r="AE182" s="358" t="str">
        <f>'Lớp 4 - Danh mục'!AD112</f>
        <v/>
      </c>
      <c r="AF182" s="187" t="str">
        <f>'Lớp 4 - Danh mục'!AG112</f>
        <v/>
      </c>
      <c r="AG182" s="104" t="str">
        <f>'Lớp 4 - Danh mục'!AH112</f>
        <v/>
      </c>
      <c r="AH182" s="389" t="str">
        <f t="shared" si="27"/>
        <v/>
      </c>
      <c r="AI182" s="389" t="str">
        <f t="shared" si="37"/>
        <v>🔵 Chưa có hạn</v>
      </c>
      <c r="AJ182" s="67" t="str">
        <f>'Lớp 4 - Danh mục'!AK112</f>
        <v/>
      </c>
      <c r="AS182" s="389" t="str">
        <f t="shared" si="97"/>
        <v/>
      </c>
      <c r="AT182" s="389" t="str">
        <f t="shared" si="32"/>
        <v/>
      </c>
      <c r="AU182" s="389" t="str">
        <f t="shared" si="33"/>
        <v/>
      </c>
      <c r="AV182" s="389" t="str">
        <f t="shared" si="34"/>
        <v/>
      </c>
      <c r="AW182" s="389" t="str">
        <f t="shared" si="35"/>
        <v/>
      </c>
      <c r="AX182" s="67" t="str">
        <f t="shared" ref="AX182:BH182" si="195">Z182</f>
        <v/>
      </c>
      <c r="AY182" s="67" t="str">
        <f t="shared" si="195"/>
        <v/>
      </c>
      <c r="AZ182" s="67" t="str">
        <f t="shared" si="195"/>
        <v/>
      </c>
      <c r="BA182" s="67" t="str">
        <f t="shared" si="195"/>
        <v/>
      </c>
      <c r="BB182" s="398" t="str">
        <f t="shared" si="195"/>
        <v/>
      </c>
      <c r="BC182" s="358" t="str">
        <f t="shared" si="195"/>
        <v/>
      </c>
      <c r="BD182" s="187" t="str">
        <f t="shared" si="195"/>
        <v/>
      </c>
      <c r="BE182" s="104" t="str">
        <f t="shared" si="195"/>
        <v/>
      </c>
      <c r="BF182" s="389" t="str">
        <f t="shared" si="195"/>
        <v/>
      </c>
      <c r="BG182" s="389" t="str">
        <f t="shared" si="195"/>
        <v>🔵 Chưa có hạn</v>
      </c>
      <c r="BH182" s="67" t="str">
        <f t="shared" si="195"/>
        <v/>
      </c>
      <c r="BI182" s="389" t="str">
        <f t="array" ref="BI182">IF($X182="","",SWITCH($W182,3,IFERROR(INDEX('Lớp 3 - Công việc chính'!$AF$14:$AF$73,MATCH($X182,'Lớp 3 - Công việc chính'!$I$14:$I$73,0)),""),4,IFERROR(INDEX('Lớp 4 - Danh mục'!$AI$14:$AI$132,MATCH($X182,'Lớp 4 - Danh mục'!$I$14:$I$132,0)),""),5,IFERROR(INDEX('Lớp 5 - Phân công'!$AJ$14:$AJ$262,MATCH($X182,'Lớp 5 - Phân công'!$I$14:$I$262,0)),""),6,IFERROR(INDEX('Lớp 6 - Chi tiết'!$AM$14:$AM$267,MATCH($X182,'Lớp 6 - Chi tiết'!$I$14:$I$267,0)),""),""))</f>
        <v/>
      </c>
      <c r="BJ182" s="389" t="str">
        <f t="array" ref="BJ182">IF($X182="","",SWITCH($W182,3,IFERROR(INDEX('Lớp 3 - Công việc chính'!$AR$14:$AR$73,MATCH($X182,'Lớp 3 - Công việc chính'!$I$14:$I$73,0)),""),4,IFERROR(INDEX('Lớp 4 - Danh mục'!$AU$14:$AU$132,MATCH($X182,'Lớp 4 - Danh mục'!$I$14:$I$132,0)),""),5,IFERROR(INDEX('Lớp 5 - Phân công'!$AV$14:$AV$262,MATCH($X182,'Lớp 5 - Phân công'!$I$14:$I$262,0)),""),6,IFERROR(INDEX('Lớp 6 - Chi tiết'!$AY$14:$AY$267,MATCH($X182,'Lớp 6 - Chi tiết'!$I$14:$I$267,0)),""),""))</f>
        <v/>
      </c>
    </row>
    <row r="183" ht="15.75" customHeight="1">
      <c r="A183" s="294" t="str">
        <f t="shared" si="12"/>
        <v/>
      </c>
      <c r="B183" s="301" t="str">
        <f t="shared" si="13"/>
        <v/>
      </c>
      <c r="C183" s="301" t="str">
        <f t="shared" si="14"/>
        <v/>
      </c>
      <c r="D183" s="301" t="str">
        <f t="shared" si="15"/>
        <v/>
      </c>
      <c r="E183" s="301" t="str">
        <f t="shared" si="16"/>
        <v/>
      </c>
      <c r="F183" s="317" t="str">
        <f t="shared" si="17"/>
        <v/>
      </c>
      <c r="G183" s="323" t="str">
        <f t="shared" si="18"/>
        <v/>
      </c>
      <c r="H183" s="327" t="str">
        <f t="shared" si="19"/>
        <v/>
      </c>
      <c r="I183" s="327" t="str">
        <f t="shared" si="20"/>
        <v/>
      </c>
      <c r="J183" s="301" t="str">
        <f t="shared" si="21"/>
        <v/>
      </c>
      <c r="K183" s="301" t="str">
        <f t="shared" si="22"/>
        <v/>
      </c>
      <c r="L183" s="344" t="str">
        <f t="array" ref="L183">IF($T183="","",LET(m,MATCH($T183,$AS$24:$AS$700,0),lvl,INDEX($W$24:$W$700,m),id,INDEX($X$24:$X$700,m),SWITCH(lvl,3,"Lớp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3" s="351" t="str">
        <f t="shared" si="23"/>
        <v/>
      </c>
      <c r="N183" s="356" t="str">
        <f t="shared" si="24"/>
        <v/>
      </c>
      <c r="O183" s="358"/>
      <c r="P183" s="360"/>
      <c r="Q183" s="360"/>
      <c r="R183" s="67"/>
      <c r="S183" s="67"/>
      <c r="T183" s="67"/>
      <c r="U183" s="389" t="str">
        <f>IF('Lớp 4 - Danh mục'!I113="","",'Lớp 4 - Danh mục'!J113&amp;"|"&amp;'Lớp 4 - Danh mục'!I113)</f>
        <v/>
      </c>
      <c r="V183" s="389" t="str">
        <f>IF('Lớp 4 - Danh mục'!I113="","","   ├─ "&amp;'Lớp 4 - Danh mục'!O113)</f>
        <v/>
      </c>
      <c r="W183" s="389" t="str">
        <f>IF('Lớp 4 - Danh mục'!I113="","",4)</f>
        <v/>
      </c>
      <c r="X183" s="67" t="str">
        <f>'Lớp 4 - Danh mục'!I113</f>
        <v/>
      </c>
      <c r="Y183" s="67" t="str">
        <f>'Lớp 4 - Danh mục'!J113</f>
        <v/>
      </c>
      <c r="Z183" s="67" t="str">
        <f>'Lớp 4 - Danh mục'!Z113</f>
        <v/>
      </c>
      <c r="AA183" s="67" t="str">
        <f>'Lớp 4 - Danh mục'!X113</f>
        <v/>
      </c>
      <c r="AB183" s="67" t="str">
        <f>'Lớp 4 - Danh mục'!AB113</f>
        <v/>
      </c>
      <c r="AC183" s="67" t="str">
        <f>'Lớp 4 - Danh mục'!AA113</f>
        <v/>
      </c>
      <c r="AD183" s="398" t="str">
        <f>'Lớp 4 - Danh mục'!AF113</f>
        <v/>
      </c>
      <c r="AE183" s="358" t="str">
        <f>'Lớp 4 - Danh mục'!AD113</f>
        <v/>
      </c>
      <c r="AF183" s="187" t="str">
        <f>'Lớp 4 - Danh mục'!AG113</f>
        <v/>
      </c>
      <c r="AG183" s="104" t="str">
        <f>'Lớp 4 - Danh mục'!AH113</f>
        <v/>
      </c>
      <c r="AH183" s="389" t="str">
        <f t="shared" si="27"/>
        <v/>
      </c>
      <c r="AI183" s="389" t="str">
        <f t="shared" si="37"/>
        <v>🔵 Chưa có hạn</v>
      </c>
      <c r="AJ183" s="67" t="str">
        <f>'Lớp 4 - Danh mục'!AK113</f>
        <v/>
      </c>
      <c r="AS183" s="389" t="str">
        <f t="shared" si="97"/>
        <v/>
      </c>
      <c r="AT183" s="389" t="str">
        <f t="shared" si="32"/>
        <v/>
      </c>
      <c r="AU183" s="389" t="str">
        <f t="shared" si="33"/>
        <v/>
      </c>
      <c r="AV183" s="389" t="str">
        <f t="shared" si="34"/>
        <v/>
      </c>
      <c r="AW183" s="389" t="str">
        <f t="shared" si="35"/>
        <v/>
      </c>
      <c r="AX183" s="67" t="str">
        <f t="shared" ref="AX183:BH183" si="196">Z183</f>
        <v/>
      </c>
      <c r="AY183" s="67" t="str">
        <f t="shared" si="196"/>
        <v/>
      </c>
      <c r="AZ183" s="67" t="str">
        <f t="shared" si="196"/>
        <v/>
      </c>
      <c r="BA183" s="67" t="str">
        <f t="shared" si="196"/>
        <v/>
      </c>
      <c r="BB183" s="398" t="str">
        <f t="shared" si="196"/>
        <v/>
      </c>
      <c r="BC183" s="358" t="str">
        <f t="shared" si="196"/>
        <v/>
      </c>
      <c r="BD183" s="187" t="str">
        <f t="shared" si="196"/>
        <v/>
      </c>
      <c r="BE183" s="104" t="str">
        <f t="shared" si="196"/>
        <v/>
      </c>
      <c r="BF183" s="389" t="str">
        <f t="shared" si="196"/>
        <v/>
      </c>
      <c r="BG183" s="389" t="str">
        <f t="shared" si="196"/>
        <v>🔵 Chưa có hạn</v>
      </c>
      <c r="BH183" s="67" t="str">
        <f t="shared" si="196"/>
        <v/>
      </c>
      <c r="BI183" s="389" t="str">
        <f t="array" ref="BI183">IF($X183="","",SWITCH($W183,3,IFERROR(INDEX('Lớp 3 - Công việc chính'!$AF$14:$AF$73,MATCH($X183,'Lớp 3 - Công việc chính'!$I$14:$I$73,0)),""),4,IFERROR(INDEX('Lớp 4 - Danh mục'!$AI$14:$AI$132,MATCH($X183,'Lớp 4 - Danh mục'!$I$14:$I$132,0)),""),5,IFERROR(INDEX('Lớp 5 - Phân công'!$AJ$14:$AJ$262,MATCH($X183,'Lớp 5 - Phân công'!$I$14:$I$262,0)),""),6,IFERROR(INDEX('Lớp 6 - Chi tiết'!$AM$14:$AM$267,MATCH($X183,'Lớp 6 - Chi tiết'!$I$14:$I$267,0)),""),""))</f>
        <v/>
      </c>
      <c r="BJ183" s="389" t="str">
        <f t="array" ref="BJ183">IF($X183="","",SWITCH($W183,3,IFERROR(INDEX('Lớp 3 - Công việc chính'!$AR$14:$AR$73,MATCH($X183,'Lớp 3 - Công việc chính'!$I$14:$I$73,0)),""),4,IFERROR(INDEX('Lớp 4 - Danh mục'!$AU$14:$AU$132,MATCH($X183,'Lớp 4 - Danh mục'!$I$14:$I$132,0)),""),5,IFERROR(INDEX('Lớp 5 - Phân công'!$AV$14:$AV$262,MATCH($X183,'Lớp 5 - Phân công'!$I$14:$I$262,0)),""),6,IFERROR(INDEX('Lớp 6 - Chi tiết'!$AY$14:$AY$267,MATCH($X183,'Lớp 6 - Chi tiết'!$I$14:$I$267,0)),""),""))</f>
        <v/>
      </c>
    </row>
    <row r="184" ht="15.75" customHeight="1">
      <c r="A184" s="294" t="str">
        <f t="shared" si="12"/>
        <v/>
      </c>
      <c r="B184" s="301" t="str">
        <f t="shared" si="13"/>
        <v/>
      </c>
      <c r="C184" s="301" t="str">
        <f t="shared" si="14"/>
        <v/>
      </c>
      <c r="D184" s="301" t="str">
        <f t="shared" si="15"/>
        <v/>
      </c>
      <c r="E184" s="301" t="str">
        <f t="shared" si="16"/>
        <v/>
      </c>
      <c r="F184" s="317" t="str">
        <f t="shared" si="17"/>
        <v/>
      </c>
      <c r="G184" s="323" t="str">
        <f t="shared" si="18"/>
        <v/>
      </c>
      <c r="H184" s="327" t="str">
        <f t="shared" si="19"/>
        <v/>
      </c>
      <c r="I184" s="327" t="str">
        <f t="shared" si="20"/>
        <v/>
      </c>
      <c r="J184" s="301" t="str">
        <f t="shared" si="21"/>
        <v/>
      </c>
      <c r="K184" s="301" t="str">
        <f t="shared" si="22"/>
        <v/>
      </c>
      <c r="L184" s="344" t="str">
        <f t="array" ref="L184">IF($T184="","",LET(m,MATCH($T184,$AS$24:$AS$700,0),lvl,INDEX($W$24:$W$700,m),id,INDEX($X$24:$X$700,m),SWITCH(lvl,3,"Lớp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4" s="351" t="str">
        <f t="shared" si="23"/>
        <v/>
      </c>
      <c r="N184" s="356" t="str">
        <f t="shared" si="24"/>
        <v/>
      </c>
      <c r="O184" s="358"/>
      <c r="P184" s="360"/>
      <c r="Q184" s="360"/>
      <c r="R184" s="67"/>
      <c r="S184" s="67"/>
      <c r="T184" s="67"/>
      <c r="U184" s="389" t="str">
        <f>IF('Lớp 4 - Danh mục'!I114="","",'Lớp 4 - Danh mục'!J114&amp;"|"&amp;'Lớp 4 - Danh mục'!I114)</f>
        <v/>
      </c>
      <c r="V184" s="389" t="str">
        <f>IF('Lớp 4 - Danh mục'!I114="","","   ├─ "&amp;'Lớp 4 - Danh mục'!O114)</f>
        <v/>
      </c>
      <c r="W184" s="389" t="str">
        <f>IF('Lớp 4 - Danh mục'!I114="","",4)</f>
        <v/>
      </c>
      <c r="X184" s="67" t="str">
        <f>'Lớp 4 - Danh mục'!I114</f>
        <v/>
      </c>
      <c r="Y184" s="67" t="str">
        <f>'Lớp 4 - Danh mục'!J114</f>
        <v/>
      </c>
      <c r="Z184" s="67" t="str">
        <f>'Lớp 4 - Danh mục'!Z114</f>
        <v/>
      </c>
      <c r="AA184" s="67" t="str">
        <f>'Lớp 4 - Danh mục'!X114</f>
        <v/>
      </c>
      <c r="AB184" s="67" t="str">
        <f>'Lớp 4 - Danh mục'!AB114</f>
        <v/>
      </c>
      <c r="AC184" s="67" t="str">
        <f>'Lớp 4 - Danh mục'!AA114</f>
        <v/>
      </c>
      <c r="AD184" s="398" t="str">
        <f>'Lớp 4 - Danh mục'!AF114</f>
        <v/>
      </c>
      <c r="AE184" s="358" t="str">
        <f>'Lớp 4 - Danh mục'!AD114</f>
        <v/>
      </c>
      <c r="AF184" s="187" t="str">
        <f>'Lớp 4 - Danh mục'!AG114</f>
        <v/>
      </c>
      <c r="AG184" s="104" t="str">
        <f>'Lớp 4 - Danh mục'!AH114</f>
        <v/>
      </c>
      <c r="AH184" s="389" t="str">
        <f t="shared" si="27"/>
        <v/>
      </c>
      <c r="AI184" s="389" t="str">
        <f t="shared" si="37"/>
        <v>🔵 Chưa có hạn</v>
      </c>
      <c r="AJ184" s="67" t="str">
        <f>'Lớp 4 - Danh mục'!AK114</f>
        <v/>
      </c>
      <c r="AS184" s="389" t="str">
        <f t="shared" si="97"/>
        <v/>
      </c>
      <c r="AT184" s="389" t="str">
        <f t="shared" si="32"/>
        <v/>
      </c>
      <c r="AU184" s="389" t="str">
        <f t="shared" si="33"/>
        <v/>
      </c>
      <c r="AV184" s="389" t="str">
        <f t="shared" si="34"/>
        <v/>
      </c>
      <c r="AW184" s="389" t="str">
        <f t="shared" si="35"/>
        <v/>
      </c>
      <c r="AX184" s="67" t="str">
        <f t="shared" ref="AX184:BH184" si="197">Z184</f>
        <v/>
      </c>
      <c r="AY184" s="67" t="str">
        <f t="shared" si="197"/>
        <v/>
      </c>
      <c r="AZ184" s="67" t="str">
        <f t="shared" si="197"/>
        <v/>
      </c>
      <c r="BA184" s="67" t="str">
        <f t="shared" si="197"/>
        <v/>
      </c>
      <c r="BB184" s="398" t="str">
        <f t="shared" si="197"/>
        <v/>
      </c>
      <c r="BC184" s="358" t="str">
        <f t="shared" si="197"/>
        <v/>
      </c>
      <c r="BD184" s="187" t="str">
        <f t="shared" si="197"/>
        <v/>
      </c>
      <c r="BE184" s="104" t="str">
        <f t="shared" si="197"/>
        <v/>
      </c>
      <c r="BF184" s="389" t="str">
        <f t="shared" si="197"/>
        <v/>
      </c>
      <c r="BG184" s="389" t="str">
        <f t="shared" si="197"/>
        <v>🔵 Chưa có hạn</v>
      </c>
      <c r="BH184" s="67" t="str">
        <f t="shared" si="197"/>
        <v/>
      </c>
      <c r="BI184" s="389" t="str">
        <f t="array" ref="BI184">IF($X184="","",SWITCH($W184,3,IFERROR(INDEX('Lớp 3 - Công việc chính'!$AF$14:$AF$73,MATCH($X184,'Lớp 3 - Công việc chính'!$I$14:$I$73,0)),""),4,IFERROR(INDEX('Lớp 4 - Danh mục'!$AI$14:$AI$132,MATCH($X184,'Lớp 4 - Danh mục'!$I$14:$I$132,0)),""),5,IFERROR(INDEX('Lớp 5 - Phân công'!$AJ$14:$AJ$262,MATCH($X184,'Lớp 5 - Phân công'!$I$14:$I$262,0)),""),6,IFERROR(INDEX('Lớp 6 - Chi tiết'!$AM$14:$AM$267,MATCH($X184,'Lớp 6 - Chi tiết'!$I$14:$I$267,0)),""),""))</f>
        <v/>
      </c>
      <c r="BJ184" s="389" t="str">
        <f t="array" ref="BJ184">IF($X184="","",SWITCH($W184,3,IFERROR(INDEX('Lớp 3 - Công việc chính'!$AR$14:$AR$73,MATCH($X184,'Lớp 3 - Công việc chính'!$I$14:$I$73,0)),""),4,IFERROR(INDEX('Lớp 4 - Danh mục'!$AU$14:$AU$132,MATCH($X184,'Lớp 4 - Danh mục'!$I$14:$I$132,0)),""),5,IFERROR(INDEX('Lớp 5 - Phân công'!$AV$14:$AV$262,MATCH($X184,'Lớp 5 - Phân công'!$I$14:$I$262,0)),""),6,IFERROR(INDEX('Lớp 6 - Chi tiết'!$AY$14:$AY$267,MATCH($X184,'Lớp 6 - Chi tiết'!$I$14:$I$267,0)),""),""))</f>
        <v/>
      </c>
    </row>
    <row r="185" ht="15.75" customHeight="1">
      <c r="A185" s="294" t="str">
        <f t="shared" si="12"/>
        <v/>
      </c>
      <c r="B185" s="301" t="str">
        <f t="shared" si="13"/>
        <v/>
      </c>
      <c r="C185" s="301" t="str">
        <f t="shared" si="14"/>
        <v/>
      </c>
      <c r="D185" s="301" t="str">
        <f t="shared" si="15"/>
        <v/>
      </c>
      <c r="E185" s="301" t="str">
        <f t="shared" si="16"/>
        <v/>
      </c>
      <c r="F185" s="317" t="str">
        <f t="shared" si="17"/>
        <v/>
      </c>
      <c r="G185" s="323" t="str">
        <f t="shared" si="18"/>
        <v/>
      </c>
      <c r="H185" s="327" t="str">
        <f t="shared" si="19"/>
        <v/>
      </c>
      <c r="I185" s="327" t="str">
        <f t="shared" si="20"/>
        <v/>
      </c>
      <c r="J185" s="301" t="str">
        <f t="shared" si="21"/>
        <v/>
      </c>
      <c r="K185" s="301" t="str">
        <f t="shared" si="22"/>
        <v/>
      </c>
      <c r="L185" s="344" t="str">
        <f t="array" ref="L185">IF($T185="","",LET(m,MATCH($T185,$AS$24:$AS$700,0),lvl,INDEX($W$24:$W$700,m),id,INDEX($X$24:$X$700,m),SWITCH(lvl,3,"Lớp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5" s="351" t="str">
        <f t="shared" si="23"/>
        <v/>
      </c>
      <c r="N185" s="356" t="str">
        <f t="shared" si="24"/>
        <v/>
      </c>
      <c r="O185" s="358"/>
      <c r="P185" s="360"/>
      <c r="Q185" s="360"/>
      <c r="R185" s="67"/>
      <c r="S185" s="67"/>
      <c r="T185" s="67"/>
      <c r="U185" s="389" t="str">
        <f>IF('Lớp 4 - Danh mục'!I115="","",'Lớp 4 - Danh mục'!J115&amp;"|"&amp;'Lớp 4 - Danh mục'!I115)</f>
        <v/>
      </c>
      <c r="V185" s="389" t="str">
        <f>IF('Lớp 4 - Danh mục'!I115="","","   ├─ "&amp;'Lớp 4 - Danh mục'!O115)</f>
        <v/>
      </c>
      <c r="W185" s="389" t="str">
        <f>IF('Lớp 4 - Danh mục'!I115="","",4)</f>
        <v/>
      </c>
      <c r="X185" s="67" t="str">
        <f>'Lớp 4 - Danh mục'!I115</f>
        <v/>
      </c>
      <c r="Y185" s="67" t="str">
        <f>'Lớp 4 - Danh mục'!J115</f>
        <v/>
      </c>
      <c r="Z185" s="67" t="str">
        <f>'Lớp 4 - Danh mục'!Z115</f>
        <v/>
      </c>
      <c r="AA185" s="67" t="str">
        <f>'Lớp 4 - Danh mục'!X115</f>
        <v/>
      </c>
      <c r="AB185" s="67" t="str">
        <f>'Lớp 4 - Danh mục'!AB115</f>
        <v/>
      </c>
      <c r="AC185" s="67" t="str">
        <f>'Lớp 4 - Danh mục'!AA115</f>
        <v/>
      </c>
      <c r="AD185" s="398" t="str">
        <f>'Lớp 4 - Danh mục'!AF115</f>
        <v/>
      </c>
      <c r="AE185" s="358" t="str">
        <f>'Lớp 4 - Danh mục'!AD115</f>
        <v/>
      </c>
      <c r="AF185" s="187" t="str">
        <f>'Lớp 4 - Danh mục'!AG115</f>
        <v/>
      </c>
      <c r="AG185" s="104" t="str">
        <f>'Lớp 4 - Danh mục'!AH115</f>
        <v/>
      </c>
      <c r="AH185" s="389" t="str">
        <f t="shared" si="27"/>
        <v/>
      </c>
      <c r="AI185" s="389" t="str">
        <f t="shared" si="37"/>
        <v>🔵 Chưa có hạn</v>
      </c>
      <c r="AJ185" s="67" t="str">
        <f>'Lớp 4 - Danh mục'!AK115</f>
        <v/>
      </c>
      <c r="AS185" s="389" t="str">
        <f t="shared" si="97"/>
        <v/>
      </c>
      <c r="AT185" s="389" t="str">
        <f t="shared" si="32"/>
        <v/>
      </c>
      <c r="AU185" s="389" t="str">
        <f t="shared" si="33"/>
        <v/>
      </c>
      <c r="AV185" s="389" t="str">
        <f t="shared" si="34"/>
        <v/>
      </c>
      <c r="AW185" s="389" t="str">
        <f t="shared" si="35"/>
        <v/>
      </c>
      <c r="AX185" s="67" t="str">
        <f t="shared" ref="AX185:BH185" si="198">Z185</f>
        <v/>
      </c>
      <c r="AY185" s="67" t="str">
        <f t="shared" si="198"/>
        <v/>
      </c>
      <c r="AZ185" s="67" t="str">
        <f t="shared" si="198"/>
        <v/>
      </c>
      <c r="BA185" s="67" t="str">
        <f t="shared" si="198"/>
        <v/>
      </c>
      <c r="BB185" s="398" t="str">
        <f t="shared" si="198"/>
        <v/>
      </c>
      <c r="BC185" s="358" t="str">
        <f t="shared" si="198"/>
        <v/>
      </c>
      <c r="BD185" s="187" t="str">
        <f t="shared" si="198"/>
        <v/>
      </c>
      <c r="BE185" s="104" t="str">
        <f t="shared" si="198"/>
        <v/>
      </c>
      <c r="BF185" s="389" t="str">
        <f t="shared" si="198"/>
        <v/>
      </c>
      <c r="BG185" s="389" t="str">
        <f t="shared" si="198"/>
        <v>🔵 Chưa có hạn</v>
      </c>
      <c r="BH185" s="67" t="str">
        <f t="shared" si="198"/>
        <v/>
      </c>
      <c r="BI185" s="389" t="str">
        <f t="array" ref="BI185">IF($X185="","",SWITCH($W185,3,IFERROR(INDEX('Lớp 3 - Công việc chính'!$AF$14:$AF$73,MATCH($X185,'Lớp 3 - Công việc chính'!$I$14:$I$73,0)),""),4,IFERROR(INDEX('Lớp 4 - Danh mục'!$AI$14:$AI$132,MATCH($X185,'Lớp 4 - Danh mục'!$I$14:$I$132,0)),""),5,IFERROR(INDEX('Lớp 5 - Phân công'!$AJ$14:$AJ$262,MATCH($X185,'Lớp 5 - Phân công'!$I$14:$I$262,0)),""),6,IFERROR(INDEX('Lớp 6 - Chi tiết'!$AM$14:$AM$267,MATCH($X185,'Lớp 6 - Chi tiết'!$I$14:$I$267,0)),""),""))</f>
        <v/>
      </c>
      <c r="BJ185" s="389" t="str">
        <f t="array" ref="BJ185">IF($X185="","",SWITCH($W185,3,IFERROR(INDEX('Lớp 3 - Công việc chính'!$AR$14:$AR$73,MATCH($X185,'Lớp 3 - Công việc chính'!$I$14:$I$73,0)),""),4,IFERROR(INDEX('Lớp 4 - Danh mục'!$AU$14:$AU$132,MATCH($X185,'Lớp 4 - Danh mục'!$I$14:$I$132,0)),""),5,IFERROR(INDEX('Lớp 5 - Phân công'!$AV$14:$AV$262,MATCH($X185,'Lớp 5 - Phân công'!$I$14:$I$262,0)),""),6,IFERROR(INDEX('Lớp 6 - Chi tiết'!$AY$14:$AY$267,MATCH($X185,'Lớp 6 - Chi tiết'!$I$14:$I$267,0)),""),""))</f>
        <v/>
      </c>
    </row>
    <row r="186" ht="15.75" customHeight="1">
      <c r="A186" s="294" t="str">
        <f t="shared" si="12"/>
        <v/>
      </c>
      <c r="B186" s="301" t="str">
        <f t="shared" si="13"/>
        <v/>
      </c>
      <c r="C186" s="301" t="str">
        <f t="shared" si="14"/>
        <v/>
      </c>
      <c r="D186" s="301" t="str">
        <f t="shared" si="15"/>
        <v/>
      </c>
      <c r="E186" s="301" t="str">
        <f t="shared" si="16"/>
        <v/>
      </c>
      <c r="F186" s="317" t="str">
        <f t="shared" si="17"/>
        <v/>
      </c>
      <c r="G186" s="323" t="str">
        <f t="shared" si="18"/>
        <v/>
      </c>
      <c r="H186" s="327" t="str">
        <f t="shared" si="19"/>
        <v/>
      </c>
      <c r="I186" s="327" t="str">
        <f t="shared" si="20"/>
        <v/>
      </c>
      <c r="J186" s="301" t="str">
        <f t="shared" si="21"/>
        <v/>
      </c>
      <c r="K186" s="301" t="str">
        <f t="shared" si="22"/>
        <v/>
      </c>
      <c r="L186" s="344" t="str">
        <f t="array" ref="L186">IF($T186="","",LET(m,MATCH($T186,$AS$24:$AS$700,0),lvl,INDEX($W$24:$W$700,m),id,INDEX($X$24:$X$700,m),SWITCH(lvl,3,"Lớp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6" s="351" t="str">
        <f t="shared" si="23"/>
        <v/>
      </c>
      <c r="N186" s="356" t="str">
        <f t="shared" si="24"/>
        <v/>
      </c>
      <c r="O186" s="358"/>
      <c r="P186" s="360"/>
      <c r="Q186" s="360"/>
      <c r="R186" s="67"/>
      <c r="S186" s="67"/>
      <c r="T186" s="67"/>
      <c r="U186" s="389" t="str">
        <f>IF('Lớp 4 - Danh mục'!I116="","",'Lớp 4 - Danh mục'!J116&amp;"|"&amp;'Lớp 4 - Danh mục'!I116)</f>
        <v/>
      </c>
      <c r="V186" s="389" t="str">
        <f>IF('Lớp 4 - Danh mục'!I116="","","   ├─ "&amp;'Lớp 4 - Danh mục'!O116)</f>
        <v/>
      </c>
      <c r="W186" s="389" t="str">
        <f>IF('Lớp 4 - Danh mục'!I116="","",4)</f>
        <v/>
      </c>
      <c r="X186" s="67" t="str">
        <f>'Lớp 4 - Danh mục'!I116</f>
        <v/>
      </c>
      <c r="Y186" s="67" t="str">
        <f>'Lớp 4 - Danh mục'!J116</f>
        <v/>
      </c>
      <c r="Z186" s="67" t="str">
        <f>'Lớp 4 - Danh mục'!Z116</f>
        <v/>
      </c>
      <c r="AA186" s="67" t="str">
        <f>'Lớp 4 - Danh mục'!X116</f>
        <v/>
      </c>
      <c r="AB186" s="67" t="str">
        <f>'Lớp 4 - Danh mục'!AB116</f>
        <v/>
      </c>
      <c r="AC186" s="67" t="str">
        <f>'Lớp 4 - Danh mục'!AA116</f>
        <v/>
      </c>
      <c r="AD186" s="398" t="str">
        <f>'Lớp 4 - Danh mục'!AF116</f>
        <v/>
      </c>
      <c r="AE186" s="358" t="str">
        <f>'Lớp 4 - Danh mục'!AD116</f>
        <v/>
      </c>
      <c r="AF186" s="187" t="str">
        <f>'Lớp 4 - Danh mục'!AG116</f>
        <v/>
      </c>
      <c r="AG186" s="104" t="str">
        <f>'Lớp 4 - Danh mục'!AH116</f>
        <v/>
      </c>
      <c r="AH186" s="389" t="str">
        <f t="shared" si="27"/>
        <v/>
      </c>
      <c r="AI186" s="389" t="str">
        <f t="shared" si="37"/>
        <v>🔵 Chưa có hạn</v>
      </c>
      <c r="AJ186" s="67" t="str">
        <f>'Lớp 4 - Danh mục'!AK116</f>
        <v/>
      </c>
      <c r="AS186" s="389" t="str">
        <f t="shared" si="97"/>
        <v/>
      </c>
      <c r="AT186" s="389" t="str">
        <f t="shared" si="32"/>
        <v/>
      </c>
      <c r="AU186" s="389" t="str">
        <f t="shared" si="33"/>
        <v/>
      </c>
      <c r="AV186" s="389" t="str">
        <f t="shared" si="34"/>
        <v/>
      </c>
      <c r="AW186" s="389" t="str">
        <f t="shared" si="35"/>
        <v/>
      </c>
      <c r="AX186" s="67" t="str">
        <f t="shared" ref="AX186:BH186" si="199">Z186</f>
        <v/>
      </c>
      <c r="AY186" s="67" t="str">
        <f t="shared" si="199"/>
        <v/>
      </c>
      <c r="AZ186" s="67" t="str">
        <f t="shared" si="199"/>
        <v/>
      </c>
      <c r="BA186" s="67" t="str">
        <f t="shared" si="199"/>
        <v/>
      </c>
      <c r="BB186" s="398" t="str">
        <f t="shared" si="199"/>
        <v/>
      </c>
      <c r="BC186" s="358" t="str">
        <f t="shared" si="199"/>
        <v/>
      </c>
      <c r="BD186" s="187" t="str">
        <f t="shared" si="199"/>
        <v/>
      </c>
      <c r="BE186" s="104" t="str">
        <f t="shared" si="199"/>
        <v/>
      </c>
      <c r="BF186" s="389" t="str">
        <f t="shared" si="199"/>
        <v/>
      </c>
      <c r="BG186" s="389" t="str">
        <f t="shared" si="199"/>
        <v>🔵 Chưa có hạn</v>
      </c>
      <c r="BH186" s="67" t="str">
        <f t="shared" si="199"/>
        <v/>
      </c>
      <c r="BI186" s="389" t="str">
        <f t="array" ref="BI186">IF($X186="","",SWITCH($W186,3,IFERROR(INDEX('Lớp 3 - Công việc chính'!$AF$14:$AF$73,MATCH($X186,'Lớp 3 - Công việc chính'!$I$14:$I$73,0)),""),4,IFERROR(INDEX('Lớp 4 - Danh mục'!$AI$14:$AI$132,MATCH($X186,'Lớp 4 - Danh mục'!$I$14:$I$132,0)),""),5,IFERROR(INDEX('Lớp 5 - Phân công'!$AJ$14:$AJ$262,MATCH($X186,'Lớp 5 - Phân công'!$I$14:$I$262,0)),""),6,IFERROR(INDEX('Lớp 6 - Chi tiết'!$AM$14:$AM$267,MATCH($X186,'Lớp 6 - Chi tiết'!$I$14:$I$267,0)),""),""))</f>
        <v/>
      </c>
      <c r="BJ186" s="389" t="str">
        <f t="array" ref="BJ186">IF($X186="","",SWITCH($W186,3,IFERROR(INDEX('Lớp 3 - Công việc chính'!$AR$14:$AR$73,MATCH($X186,'Lớp 3 - Công việc chính'!$I$14:$I$73,0)),""),4,IFERROR(INDEX('Lớp 4 - Danh mục'!$AU$14:$AU$132,MATCH($X186,'Lớp 4 - Danh mục'!$I$14:$I$132,0)),""),5,IFERROR(INDEX('Lớp 5 - Phân công'!$AV$14:$AV$262,MATCH($X186,'Lớp 5 - Phân công'!$I$14:$I$262,0)),""),6,IFERROR(INDEX('Lớp 6 - Chi tiết'!$AY$14:$AY$267,MATCH($X186,'Lớp 6 - Chi tiết'!$I$14:$I$267,0)),""),""))</f>
        <v/>
      </c>
    </row>
    <row r="187" ht="15.75" customHeight="1">
      <c r="A187" s="294" t="str">
        <f t="shared" si="12"/>
        <v/>
      </c>
      <c r="B187" s="301" t="str">
        <f t="shared" si="13"/>
        <v/>
      </c>
      <c r="C187" s="301" t="str">
        <f t="shared" si="14"/>
        <v/>
      </c>
      <c r="D187" s="301" t="str">
        <f t="shared" si="15"/>
        <v/>
      </c>
      <c r="E187" s="301" t="str">
        <f t="shared" si="16"/>
        <v/>
      </c>
      <c r="F187" s="317" t="str">
        <f t="shared" si="17"/>
        <v/>
      </c>
      <c r="G187" s="323" t="str">
        <f t="shared" si="18"/>
        <v/>
      </c>
      <c r="H187" s="327" t="str">
        <f t="shared" si="19"/>
        <v/>
      </c>
      <c r="I187" s="327" t="str">
        <f t="shared" si="20"/>
        <v/>
      </c>
      <c r="J187" s="301" t="str">
        <f t="shared" si="21"/>
        <v/>
      </c>
      <c r="K187" s="301" t="str">
        <f t="shared" si="22"/>
        <v/>
      </c>
      <c r="L187" s="344" t="str">
        <f t="array" ref="L187">IF($T187="","",LET(m,MATCH($T187,$AS$24:$AS$700,0),lvl,INDEX($W$24:$W$700,m),id,INDEX($X$24:$X$700,m),SWITCH(lvl,3,"Lớp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7" s="351" t="str">
        <f t="shared" si="23"/>
        <v/>
      </c>
      <c r="N187" s="356" t="str">
        <f t="shared" si="24"/>
        <v/>
      </c>
      <c r="O187" s="358"/>
      <c r="P187" s="360"/>
      <c r="Q187" s="360"/>
      <c r="R187" s="67"/>
      <c r="S187" s="67"/>
      <c r="T187" s="67"/>
      <c r="U187" s="389" t="str">
        <f>IF('Lớp 4 - Danh mục'!I117="","",'Lớp 4 - Danh mục'!J117&amp;"|"&amp;'Lớp 4 - Danh mục'!I117)</f>
        <v/>
      </c>
      <c r="V187" s="389" t="str">
        <f>IF('Lớp 4 - Danh mục'!I117="","","   ├─ "&amp;'Lớp 4 - Danh mục'!O117)</f>
        <v/>
      </c>
      <c r="W187" s="389" t="str">
        <f>IF('Lớp 4 - Danh mục'!I117="","",4)</f>
        <v/>
      </c>
      <c r="X187" s="67" t="str">
        <f>'Lớp 4 - Danh mục'!I117</f>
        <v/>
      </c>
      <c r="Y187" s="67" t="str">
        <f>'Lớp 4 - Danh mục'!J117</f>
        <v/>
      </c>
      <c r="Z187" s="67" t="str">
        <f>'Lớp 4 - Danh mục'!Z117</f>
        <v/>
      </c>
      <c r="AA187" s="67" t="str">
        <f>'Lớp 4 - Danh mục'!X117</f>
        <v/>
      </c>
      <c r="AB187" s="67" t="str">
        <f>'Lớp 4 - Danh mục'!AB117</f>
        <v/>
      </c>
      <c r="AC187" s="67" t="str">
        <f>'Lớp 4 - Danh mục'!AA117</f>
        <v/>
      </c>
      <c r="AD187" s="398" t="str">
        <f>'Lớp 4 - Danh mục'!AF117</f>
        <v/>
      </c>
      <c r="AE187" s="358" t="str">
        <f>'Lớp 4 - Danh mục'!AD117</f>
        <v/>
      </c>
      <c r="AF187" s="187" t="str">
        <f>'Lớp 4 - Danh mục'!AG117</f>
        <v/>
      </c>
      <c r="AG187" s="104" t="str">
        <f>'Lớp 4 - Danh mục'!AH117</f>
        <v/>
      </c>
      <c r="AH187" s="389" t="str">
        <f t="shared" si="27"/>
        <v/>
      </c>
      <c r="AI187" s="389" t="str">
        <f t="shared" si="37"/>
        <v>🔵 Chưa có hạn</v>
      </c>
      <c r="AJ187" s="67" t="str">
        <f>'Lớp 4 - Danh mục'!AK117</f>
        <v/>
      </c>
      <c r="AS187" s="389" t="str">
        <f t="shared" si="97"/>
        <v/>
      </c>
      <c r="AT187" s="389" t="str">
        <f t="shared" si="32"/>
        <v/>
      </c>
      <c r="AU187" s="389" t="str">
        <f t="shared" si="33"/>
        <v/>
      </c>
      <c r="AV187" s="389" t="str">
        <f t="shared" si="34"/>
        <v/>
      </c>
      <c r="AW187" s="389" t="str">
        <f t="shared" si="35"/>
        <v/>
      </c>
      <c r="AX187" s="67" t="str">
        <f t="shared" ref="AX187:BH187" si="200">Z187</f>
        <v/>
      </c>
      <c r="AY187" s="67" t="str">
        <f t="shared" si="200"/>
        <v/>
      </c>
      <c r="AZ187" s="67" t="str">
        <f t="shared" si="200"/>
        <v/>
      </c>
      <c r="BA187" s="67" t="str">
        <f t="shared" si="200"/>
        <v/>
      </c>
      <c r="BB187" s="398" t="str">
        <f t="shared" si="200"/>
        <v/>
      </c>
      <c r="BC187" s="358" t="str">
        <f t="shared" si="200"/>
        <v/>
      </c>
      <c r="BD187" s="187" t="str">
        <f t="shared" si="200"/>
        <v/>
      </c>
      <c r="BE187" s="104" t="str">
        <f t="shared" si="200"/>
        <v/>
      </c>
      <c r="BF187" s="389" t="str">
        <f t="shared" si="200"/>
        <v/>
      </c>
      <c r="BG187" s="389" t="str">
        <f t="shared" si="200"/>
        <v>🔵 Chưa có hạn</v>
      </c>
      <c r="BH187" s="67" t="str">
        <f t="shared" si="200"/>
        <v/>
      </c>
      <c r="BI187" s="389" t="str">
        <f t="array" ref="BI187">IF($X187="","",SWITCH($W187,3,IFERROR(INDEX('Lớp 3 - Công việc chính'!$AF$14:$AF$73,MATCH($X187,'Lớp 3 - Công việc chính'!$I$14:$I$73,0)),""),4,IFERROR(INDEX('Lớp 4 - Danh mục'!$AI$14:$AI$132,MATCH($X187,'Lớp 4 - Danh mục'!$I$14:$I$132,0)),""),5,IFERROR(INDEX('Lớp 5 - Phân công'!$AJ$14:$AJ$262,MATCH($X187,'Lớp 5 - Phân công'!$I$14:$I$262,0)),""),6,IFERROR(INDEX('Lớp 6 - Chi tiết'!$AM$14:$AM$267,MATCH($X187,'Lớp 6 - Chi tiết'!$I$14:$I$267,0)),""),""))</f>
        <v/>
      </c>
      <c r="BJ187" s="389" t="str">
        <f t="array" ref="BJ187">IF($X187="","",SWITCH($W187,3,IFERROR(INDEX('Lớp 3 - Công việc chính'!$AR$14:$AR$73,MATCH($X187,'Lớp 3 - Công việc chính'!$I$14:$I$73,0)),""),4,IFERROR(INDEX('Lớp 4 - Danh mục'!$AU$14:$AU$132,MATCH($X187,'Lớp 4 - Danh mục'!$I$14:$I$132,0)),""),5,IFERROR(INDEX('Lớp 5 - Phân công'!$AV$14:$AV$262,MATCH($X187,'Lớp 5 - Phân công'!$I$14:$I$262,0)),""),6,IFERROR(INDEX('Lớp 6 - Chi tiết'!$AY$14:$AY$267,MATCH($X187,'Lớp 6 - Chi tiết'!$I$14:$I$267,0)),""),""))</f>
        <v/>
      </c>
    </row>
    <row r="188" ht="15.75" customHeight="1">
      <c r="A188" s="294" t="str">
        <f t="shared" si="12"/>
        <v/>
      </c>
      <c r="B188" s="301" t="str">
        <f t="shared" si="13"/>
        <v/>
      </c>
      <c r="C188" s="301" t="str">
        <f t="shared" si="14"/>
        <v/>
      </c>
      <c r="D188" s="301" t="str">
        <f t="shared" si="15"/>
        <v/>
      </c>
      <c r="E188" s="301" t="str">
        <f t="shared" si="16"/>
        <v/>
      </c>
      <c r="F188" s="317" t="str">
        <f t="shared" si="17"/>
        <v/>
      </c>
      <c r="G188" s="323" t="str">
        <f t="shared" si="18"/>
        <v/>
      </c>
      <c r="H188" s="327" t="str">
        <f t="shared" si="19"/>
        <v/>
      </c>
      <c r="I188" s="327" t="str">
        <f t="shared" si="20"/>
        <v/>
      </c>
      <c r="J188" s="301" t="str">
        <f t="shared" si="21"/>
        <v/>
      </c>
      <c r="K188" s="301" t="str">
        <f t="shared" si="22"/>
        <v/>
      </c>
      <c r="L188" s="344" t="str">
        <f t="array" ref="L188">IF($T188="","",LET(m,MATCH($T188,$AS$24:$AS$700,0),lvl,INDEX($W$24:$W$700,m),id,INDEX($X$24:$X$700,m),SWITCH(lvl,3,"Lớp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8" s="351" t="str">
        <f t="shared" si="23"/>
        <v/>
      </c>
      <c r="N188" s="356" t="str">
        <f t="shared" si="24"/>
        <v/>
      </c>
      <c r="O188" s="358"/>
      <c r="P188" s="360"/>
      <c r="Q188" s="360"/>
      <c r="R188" s="67"/>
      <c r="S188" s="67"/>
      <c r="T188" s="67"/>
      <c r="U188" s="389" t="str">
        <f>IF('Lớp 4 - Danh mục'!I118="","",'Lớp 4 - Danh mục'!J118&amp;"|"&amp;'Lớp 4 - Danh mục'!I118)</f>
        <v/>
      </c>
      <c r="V188" s="389" t="str">
        <f>IF('Lớp 4 - Danh mục'!I118="","","   ├─ "&amp;'Lớp 4 - Danh mục'!O118)</f>
        <v/>
      </c>
      <c r="W188" s="389" t="str">
        <f>IF('Lớp 4 - Danh mục'!I118="","",4)</f>
        <v/>
      </c>
      <c r="X188" s="67" t="str">
        <f>'Lớp 4 - Danh mục'!I118</f>
        <v/>
      </c>
      <c r="Y188" s="67" t="str">
        <f>'Lớp 4 - Danh mục'!J118</f>
        <v/>
      </c>
      <c r="Z188" s="67" t="str">
        <f>'Lớp 4 - Danh mục'!Z118</f>
        <v/>
      </c>
      <c r="AA188" s="67" t="str">
        <f>'Lớp 4 - Danh mục'!X118</f>
        <v/>
      </c>
      <c r="AB188" s="67" t="str">
        <f>'Lớp 4 - Danh mục'!AB118</f>
        <v/>
      </c>
      <c r="AC188" s="67" t="str">
        <f>'Lớp 4 - Danh mục'!AA118</f>
        <v/>
      </c>
      <c r="AD188" s="398" t="str">
        <f>'Lớp 4 - Danh mục'!AF118</f>
        <v/>
      </c>
      <c r="AE188" s="358" t="str">
        <f>'Lớp 4 - Danh mục'!AD118</f>
        <v/>
      </c>
      <c r="AF188" s="187" t="str">
        <f>'Lớp 4 - Danh mục'!AG118</f>
        <v/>
      </c>
      <c r="AG188" s="104" t="str">
        <f>'Lớp 4 - Danh mục'!AH118</f>
        <v/>
      </c>
      <c r="AH188" s="389" t="str">
        <f t="shared" si="27"/>
        <v/>
      </c>
      <c r="AI188" s="389" t="str">
        <f t="shared" si="37"/>
        <v>🔵 Chưa có hạn</v>
      </c>
      <c r="AJ188" s="67" t="str">
        <f>'Lớp 4 - Danh mục'!AK118</f>
        <v/>
      </c>
      <c r="AS188" s="389" t="str">
        <f t="shared" si="97"/>
        <v/>
      </c>
      <c r="AT188" s="389" t="str">
        <f t="shared" si="32"/>
        <v/>
      </c>
      <c r="AU188" s="389" t="str">
        <f t="shared" si="33"/>
        <v/>
      </c>
      <c r="AV188" s="389" t="str">
        <f t="shared" si="34"/>
        <v/>
      </c>
      <c r="AW188" s="389" t="str">
        <f t="shared" si="35"/>
        <v/>
      </c>
      <c r="AX188" s="67" t="str">
        <f t="shared" ref="AX188:BH188" si="201">Z188</f>
        <v/>
      </c>
      <c r="AY188" s="67" t="str">
        <f t="shared" si="201"/>
        <v/>
      </c>
      <c r="AZ188" s="67" t="str">
        <f t="shared" si="201"/>
        <v/>
      </c>
      <c r="BA188" s="67" t="str">
        <f t="shared" si="201"/>
        <v/>
      </c>
      <c r="BB188" s="398" t="str">
        <f t="shared" si="201"/>
        <v/>
      </c>
      <c r="BC188" s="358" t="str">
        <f t="shared" si="201"/>
        <v/>
      </c>
      <c r="BD188" s="187" t="str">
        <f t="shared" si="201"/>
        <v/>
      </c>
      <c r="BE188" s="104" t="str">
        <f t="shared" si="201"/>
        <v/>
      </c>
      <c r="BF188" s="389" t="str">
        <f t="shared" si="201"/>
        <v/>
      </c>
      <c r="BG188" s="389" t="str">
        <f t="shared" si="201"/>
        <v>🔵 Chưa có hạn</v>
      </c>
      <c r="BH188" s="67" t="str">
        <f t="shared" si="201"/>
        <v/>
      </c>
      <c r="BI188" s="389" t="str">
        <f t="array" ref="BI188">IF($X188="","",SWITCH($W188,3,IFERROR(INDEX('Lớp 3 - Công việc chính'!$AF$14:$AF$73,MATCH($X188,'Lớp 3 - Công việc chính'!$I$14:$I$73,0)),""),4,IFERROR(INDEX('Lớp 4 - Danh mục'!$AI$14:$AI$132,MATCH($X188,'Lớp 4 - Danh mục'!$I$14:$I$132,0)),""),5,IFERROR(INDEX('Lớp 5 - Phân công'!$AJ$14:$AJ$262,MATCH($X188,'Lớp 5 - Phân công'!$I$14:$I$262,0)),""),6,IFERROR(INDEX('Lớp 6 - Chi tiết'!$AM$14:$AM$267,MATCH($X188,'Lớp 6 - Chi tiết'!$I$14:$I$267,0)),""),""))</f>
        <v/>
      </c>
      <c r="BJ188" s="389" t="str">
        <f t="array" ref="BJ188">IF($X188="","",SWITCH($W188,3,IFERROR(INDEX('Lớp 3 - Công việc chính'!$AR$14:$AR$73,MATCH($X188,'Lớp 3 - Công việc chính'!$I$14:$I$73,0)),""),4,IFERROR(INDEX('Lớp 4 - Danh mục'!$AU$14:$AU$132,MATCH($X188,'Lớp 4 - Danh mục'!$I$14:$I$132,0)),""),5,IFERROR(INDEX('Lớp 5 - Phân công'!$AV$14:$AV$262,MATCH($X188,'Lớp 5 - Phân công'!$I$14:$I$262,0)),""),6,IFERROR(INDEX('Lớp 6 - Chi tiết'!$AY$14:$AY$267,MATCH($X188,'Lớp 6 - Chi tiết'!$I$14:$I$267,0)),""),""))</f>
        <v/>
      </c>
    </row>
    <row r="189" ht="15.75" customHeight="1">
      <c r="A189" s="294" t="str">
        <f t="shared" si="12"/>
        <v/>
      </c>
      <c r="B189" s="301" t="str">
        <f t="shared" si="13"/>
        <v/>
      </c>
      <c r="C189" s="301" t="str">
        <f t="shared" si="14"/>
        <v/>
      </c>
      <c r="D189" s="301" t="str">
        <f t="shared" si="15"/>
        <v/>
      </c>
      <c r="E189" s="301" t="str">
        <f t="shared" si="16"/>
        <v/>
      </c>
      <c r="F189" s="317" t="str">
        <f t="shared" si="17"/>
        <v/>
      </c>
      <c r="G189" s="323" t="str">
        <f t="shared" si="18"/>
        <v/>
      </c>
      <c r="H189" s="327" t="str">
        <f t="shared" si="19"/>
        <v/>
      </c>
      <c r="I189" s="327" t="str">
        <f t="shared" si="20"/>
        <v/>
      </c>
      <c r="J189" s="301" t="str">
        <f t="shared" si="21"/>
        <v/>
      </c>
      <c r="K189" s="301" t="str">
        <f t="shared" si="22"/>
        <v/>
      </c>
      <c r="L189" s="344" t="str">
        <f t="array" ref="L189">IF($T189="","",LET(m,MATCH($T189,$AS$24:$AS$700,0),lvl,INDEX($W$24:$W$700,m),id,INDEX($X$24:$X$700,m),SWITCH(lvl,3,"Lớp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89" s="351" t="str">
        <f t="shared" si="23"/>
        <v/>
      </c>
      <c r="N189" s="356" t="str">
        <f t="shared" si="24"/>
        <v/>
      </c>
      <c r="O189" s="358"/>
      <c r="P189" s="360"/>
      <c r="Q189" s="360"/>
      <c r="R189" s="67"/>
      <c r="S189" s="67"/>
      <c r="T189" s="67"/>
      <c r="U189" s="389" t="str">
        <f>IF('Lớp 4 - Danh mục'!I119="","",'Lớp 4 - Danh mục'!J119&amp;"|"&amp;'Lớp 4 - Danh mục'!I119)</f>
        <v/>
      </c>
      <c r="V189" s="389" t="str">
        <f>IF('Lớp 4 - Danh mục'!I119="","","   ├─ "&amp;'Lớp 4 - Danh mục'!O119)</f>
        <v/>
      </c>
      <c r="W189" s="389" t="str">
        <f>IF('Lớp 4 - Danh mục'!I119="","",4)</f>
        <v/>
      </c>
      <c r="X189" s="67" t="str">
        <f>'Lớp 4 - Danh mục'!I119</f>
        <v/>
      </c>
      <c r="Y189" s="67" t="str">
        <f>'Lớp 4 - Danh mục'!J119</f>
        <v/>
      </c>
      <c r="Z189" s="67" t="str">
        <f>'Lớp 4 - Danh mục'!Z119</f>
        <v/>
      </c>
      <c r="AA189" s="67" t="str">
        <f>'Lớp 4 - Danh mục'!X119</f>
        <v/>
      </c>
      <c r="AB189" s="67" t="str">
        <f>'Lớp 4 - Danh mục'!AB119</f>
        <v/>
      </c>
      <c r="AC189" s="67" t="str">
        <f>'Lớp 4 - Danh mục'!AA119</f>
        <v/>
      </c>
      <c r="AD189" s="398" t="str">
        <f>'Lớp 4 - Danh mục'!AF119</f>
        <v/>
      </c>
      <c r="AE189" s="358" t="str">
        <f>'Lớp 4 - Danh mục'!AD119</f>
        <v/>
      </c>
      <c r="AF189" s="187" t="str">
        <f>'Lớp 4 - Danh mục'!AG119</f>
        <v/>
      </c>
      <c r="AG189" s="104" t="str">
        <f>'Lớp 4 - Danh mục'!AH119</f>
        <v/>
      </c>
      <c r="AH189" s="389" t="str">
        <f t="shared" si="27"/>
        <v/>
      </c>
      <c r="AI189" s="389" t="str">
        <f t="shared" si="37"/>
        <v>🔵 Chưa có hạn</v>
      </c>
      <c r="AJ189" s="67" t="str">
        <f>'Lớp 4 - Danh mục'!AK119</f>
        <v/>
      </c>
      <c r="AS189" s="389" t="str">
        <f t="shared" si="97"/>
        <v/>
      </c>
      <c r="AT189" s="389" t="str">
        <f t="shared" si="32"/>
        <v/>
      </c>
      <c r="AU189" s="389" t="str">
        <f t="shared" si="33"/>
        <v/>
      </c>
      <c r="AV189" s="389" t="str">
        <f t="shared" si="34"/>
        <v/>
      </c>
      <c r="AW189" s="389" t="str">
        <f t="shared" si="35"/>
        <v/>
      </c>
      <c r="AX189" s="67" t="str">
        <f t="shared" ref="AX189:BH189" si="202">Z189</f>
        <v/>
      </c>
      <c r="AY189" s="67" t="str">
        <f t="shared" si="202"/>
        <v/>
      </c>
      <c r="AZ189" s="67" t="str">
        <f t="shared" si="202"/>
        <v/>
      </c>
      <c r="BA189" s="67" t="str">
        <f t="shared" si="202"/>
        <v/>
      </c>
      <c r="BB189" s="398" t="str">
        <f t="shared" si="202"/>
        <v/>
      </c>
      <c r="BC189" s="358" t="str">
        <f t="shared" si="202"/>
        <v/>
      </c>
      <c r="BD189" s="187" t="str">
        <f t="shared" si="202"/>
        <v/>
      </c>
      <c r="BE189" s="104" t="str">
        <f t="shared" si="202"/>
        <v/>
      </c>
      <c r="BF189" s="389" t="str">
        <f t="shared" si="202"/>
        <v/>
      </c>
      <c r="BG189" s="389" t="str">
        <f t="shared" si="202"/>
        <v>🔵 Chưa có hạn</v>
      </c>
      <c r="BH189" s="67" t="str">
        <f t="shared" si="202"/>
        <v/>
      </c>
      <c r="BI189" s="389" t="str">
        <f t="array" ref="BI189">IF($X189="","",SWITCH($W189,3,IFERROR(INDEX('Lớp 3 - Công việc chính'!$AF$14:$AF$73,MATCH($X189,'Lớp 3 - Công việc chính'!$I$14:$I$73,0)),""),4,IFERROR(INDEX('Lớp 4 - Danh mục'!$AI$14:$AI$132,MATCH($X189,'Lớp 4 - Danh mục'!$I$14:$I$132,0)),""),5,IFERROR(INDEX('Lớp 5 - Phân công'!$AJ$14:$AJ$262,MATCH($X189,'Lớp 5 - Phân công'!$I$14:$I$262,0)),""),6,IFERROR(INDEX('Lớp 6 - Chi tiết'!$AM$14:$AM$267,MATCH($X189,'Lớp 6 - Chi tiết'!$I$14:$I$267,0)),""),""))</f>
        <v/>
      </c>
      <c r="BJ189" s="389" t="str">
        <f t="array" ref="BJ189">IF($X189="","",SWITCH($W189,3,IFERROR(INDEX('Lớp 3 - Công việc chính'!$AR$14:$AR$73,MATCH($X189,'Lớp 3 - Công việc chính'!$I$14:$I$73,0)),""),4,IFERROR(INDEX('Lớp 4 - Danh mục'!$AU$14:$AU$132,MATCH($X189,'Lớp 4 - Danh mục'!$I$14:$I$132,0)),""),5,IFERROR(INDEX('Lớp 5 - Phân công'!$AV$14:$AV$262,MATCH($X189,'Lớp 5 - Phân công'!$I$14:$I$262,0)),""),6,IFERROR(INDEX('Lớp 6 - Chi tiết'!$AY$14:$AY$267,MATCH($X189,'Lớp 6 - Chi tiết'!$I$14:$I$267,0)),""),""))</f>
        <v/>
      </c>
    </row>
    <row r="190" ht="15.75" customHeight="1">
      <c r="A190" s="294" t="str">
        <f t="shared" si="12"/>
        <v/>
      </c>
      <c r="B190" s="301" t="str">
        <f t="shared" si="13"/>
        <v/>
      </c>
      <c r="C190" s="301" t="str">
        <f t="shared" si="14"/>
        <v/>
      </c>
      <c r="D190" s="301" t="str">
        <f t="shared" si="15"/>
        <v/>
      </c>
      <c r="E190" s="301" t="str">
        <f t="shared" si="16"/>
        <v/>
      </c>
      <c r="F190" s="317" t="str">
        <f t="shared" si="17"/>
        <v/>
      </c>
      <c r="G190" s="323" t="str">
        <f t="shared" si="18"/>
        <v/>
      </c>
      <c r="H190" s="327" t="str">
        <f t="shared" si="19"/>
        <v/>
      </c>
      <c r="I190" s="327" t="str">
        <f t="shared" si="20"/>
        <v/>
      </c>
      <c r="J190" s="301" t="str">
        <f t="shared" si="21"/>
        <v/>
      </c>
      <c r="K190" s="301" t="str">
        <f t="shared" si="22"/>
        <v/>
      </c>
      <c r="L190" s="344" t="str">
        <f t="array" ref="L190">IF($T190="","",LET(m,MATCH($T190,$AS$24:$AS$700,0),lvl,INDEX($W$24:$W$700,m),id,INDEX($X$24:$X$700,m),SWITCH(lvl,3,"Lớp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0" s="351" t="str">
        <f t="shared" si="23"/>
        <v/>
      </c>
      <c r="N190" s="356" t="str">
        <f t="shared" si="24"/>
        <v/>
      </c>
      <c r="O190" s="358"/>
      <c r="P190" s="360"/>
      <c r="Q190" s="360"/>
      <c r="R190" s="67"/>
      <c r="S190" s="67"/>
      <c r="T190" s="67"/>
      <c r="U190" s="389" t="str">
        <f>IF('Lớp 4 - Danh mục'!I120="","",'Lớp 4 - Danh mục'!J120&amp;"|"&amp;'Lớp 4 - Danh mục'!I120)</f>
        <v/>
      </c>
      <c r="V190" s="389" t="str">
        <f>IF('Lớp 4 - Danh mục'!I120="","","   ├─ "&amp;'Lớp 4 - Danh mục'!O120)</f>
        <v/>
      </c>
      <c r="W190" s="389" t="str">
        <f>IF('Lớp 4 - Danh mục'!I120="","",4)</f>
        <v/>
      </c>
      <c r="X190" s="67" t="str">
        <f>'Lớp 4 - Danh mục'!I120</f>
        <v/>
      </c>
      <c r="Y190" s="67" t="str">
        <f>'Lớp 4 - Danh mục'!J120</f>
        <v/>
      </c>
      <c r="Z190" s="67" t="str">
        <f>'Lớp 4 - Danh mục'!Z120</f>
        <v/>
      </c>
      <c r="AA190" s="67" t="str">
        <f>'Lớp 4 - Danh mục'!X120</f>
        <v/>
      </c>
      <c r="AB190" s="67" t="str">
        <f>'Lớp 4 - Danh mục'!AB120</f>
        <v/>
      </c>
      <c r="AC190" s="67" t="str">
        <f>'Lớp 4 - Danh mục'!AA120</f>
        <v/>
      </c>
      <c r="AD190" s="398" t="str">
        <f>'Lớp 4 - Danh mục'!AF120</f>
        <v/>
      </c>
      <c r="AE190" s="358" t="str">
        <f>'Lớp 4 - Danh mục'!AD120</f>
        <v/>
      </c>
      <c r="AF190" s="187" t="str">
        <f>'Lớp 4 - Danh mục'!AG120</f>
        <v/>
      </c>
      <c r="AG190" s="104" t="str">
        <f>'Lớp 4 - Danh mục'!AH120</f>
        <v/>
      </c>
      <c r="AH190" s="389" t="str">
        <f t="shared" si="27"/>
        <v/>
      </c>
      <c r="AI190" s="389" t="str">
        <f t="shared" si="37"/>
        <v>🔵 Chưa có hạn</v>
      </c>
      <c r="AJ190" s="67" t="str">
        <f>'Lớp 4 - Danh mục'!AK120</f>
        <v/>
      </c>
      <c r="AS190" s="389" t="str">
        <f t="shared" si="97"/>
        <v/>
      </c>
      <c r="AT190" s="389" t="str">
        <f t="shared" si="32"/>
        <v/>
      </c>
      <c r="AU190" s="389" t="str">
        <f t="shared" si="33"/>
        <v/>
      </c>
      <c r="AV190" s="389" t="str">
        <f t="shared" si="34"/>
        <v/>
      </c>
      <c r="AW190" s="389" t="str">
        <f t="shared" si="35"/>
        <v/>
      </c>
      <c r="AX190" s="67" t="str">
        <f t="shared" ref="AX190:BH190" si="203">Z190</f>
        <v/>
      </c>
      <c r="AY190" s="67" t="str">
        <f t="shared" si="203"/>
        <v/>
      </c>
      <c r="AZ190" s="67" t="str">
        <f t="shared" si="203"/>
        <v/>
      </c>
      <c r="BA190" s="67" t="str">
        <f t="shared" si="203"/>
        <v/>
      </c>
      <c r="BB190" s="398" t="str">
        <f t="shared" si="203"/>
        <v/>
      </c>
      <c r="BC190" s="358" t="str">
        <f t="shared" si="203"/>
        <v/>
      </c>
      <c r="BD190" s="187" t="str">
        <f t="shared" si="203"/>
        <v/>
      </c>
      <c r="BE190" s="104" t="str">
        <f t="shared" si="203"/>
        <v/>
      </c>
      <c r="BF190" s="389" t="str">
        <f t="shared" si="203"/>
        <v/>
      </c>
      <c r="BG190" s="389" t="str">
        <f t="shared" si="203"/>
        <v>🔵 Chưa có hạn</v>
      </c>
      <c r="BH190" s="67" t="str">
        <f t="shared" si="203"/>
        <v/>
      </c>
      <c r="BI190" s="389" t="str">
        <f t="array" ref="BI190">IF($X190="","",SWITCH($W190,3,IFERROR(INDEX('Lớp 3 - Công việc chính'!$AF$14:$AF$73,MATCH($X190,'Lớp 3 - Công việc chính'!$I$14:$I$73,0)),""),4,IFERROR(INDEX('Lớp 4 - Danh mục'!$AI$14:$AI$132,MATCH($X190,'Lớp 4 - Danh mục'!$I$14:$I$132,0)),""),5,IFERROR(INDEX('Lớp 5 - Phân công'!$AJ$14:$AJ$262,MATCH($X190,'Lớp 5 - Phân công'!$I$14:$I$262,0)),""),6,IFERROR(INDEX('Lớp 6 - Chi tiết'!$AM$14:$AM$267,MATCH($X190,'Lớp 6 - Chi tiết'!$I$14:$I$267,0)),""),""))</f>
        <v/>
      </c>
      <c r="BJ190" s="389" t="str">
        <f t="array" ref="BJ190">IF($X190="","",SWITCH($W190,3,IFERROR(INDEX('Lớp 3 - Công việc chính'!$AR$14:$AR$73,MATCH($X190,'Lớp 3 - Công việc chính'!$I$14:$I$73,0)),""),4,IFERROR(INDEX('Lớp 4 - Danh mục'!$AU$14:$AU$132,MATCH($X190,'Lớp 4 - Danh mục'!$I$14:$I$132,0)),""),5,IFERROR(INDEX('Lớp 5 - Phân công'!$AV$14:$AV$262,MATCH($X190,'Lớp 5 - Phân công'!$I$14:$I$262,0)),""),6,IFERROR(INDEX('Lớp 6 - Chi tiết'!$AY$14:$AY$267,MATCH($X190,'Lớp 6 - Chi tiết'!$I$14:$I$267,0)),""),""))</f>
        <v/>
      </c>
    </row>
    <row r="191" ht="15.75" customHeight="1">
      <c r="A191" s="294" t="str">
        <f t="shared" si="12"/>
        <v/>
      </c>
      <c r="B191" s="301" t="str">
        <f t="shared" si="13"/>
        <v/>
      </c>
      <c r="C191" s="301" t="str">
        <f t="shared" si="14"/>
        <v/>
      </c>
      <c r="D191" s="301" t="str">
        <f t="shared" si="15"/>
        <v/>
      </c>
      <c r="E191" s="301" t="str">
        <f t="shared" si="16"/>
        <v/>
      </c>
      <c r="F191" s="317" t="str">
        <f t="shared" si="17"/>
        <v/>
      </c>
      <c r="G191" s="323" t="str">
        <f t="shared" si="18"/>
        <v/>
      </c>
      <c r="H191" s="327" t="str">
        <f t="shared" si="19"/>
        <v/>
      </c>
      <c r="I191" s="327" t="str">
        <f t="shared" si="20"/>
        <v/>
      </c>
      <c r="J191" s="301" t="str">
        <f t="shared" si="21"/>
        <v/>
      </c>
      <c r="K191" s="301" t="str">
        <f t="shared" si="22"/>
        <v/>
      </c>
      <c r="L191" s="344" t="str">
        <f t="array" ref="L191">IF($T191="","",LET(m,MATCH($T191,$AS$24:$AS$700,0),lvl,INDEX($W$24:$W$700,m),id,INDEX($X$24:$X$700,m),SWITCH(lvl,3,"Lớp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1" s="351" t="str">
        <f t="shared" si="23"/>
        <v/>
      </c>
      <c r="N191" s="356" t="str">
        <f t="shared" si="24"/>
        <v/>
      </c>
      <c r="O191" s="358"/>
      <c r="P191" s="360"/>
      <c r="Q191" s="360"/>
      <c r="R191" s="67"/>
      <c r="S191" s="67"/>
      <c r="T191" s="67"/>
      <c r="U191" s="389" t="str">
        <f>IF('Lớp 4 - Danh mục'!I121="","",'Lớp 4 - Danh mục'!J121&amp;"|"&amp;'Lớp 4 - Danh mục'!I121)</f>
        <v/>
      </c>
      <c r="V191" s="389" t="str">
        <f>IF('Lớp 4 - Danh mục'!I121="","","   ├─ "&amp;'Lớp 4 - Danh mục'!O121)</f>
        <v/>
      </c>
      <c r="W191" s="389" t="str">
        <f>IF('Lớp 4 - Danh mục'!I121="","",4)</f>
        <v/>
      </c>
      <c r="X191" s="67" t="str">
        <f>'Lớp 4 - Danh mục'!I121</f>
        <v/>
      </c>
      <c r="Y191" s="67" t="str">
        <f>'Lớp 4 - Danh mục'!J121</f>
        <v/>
      </c>
      <c r="Z191" s="67" t="str">
        <f>'Lớp 4 - Danh mục'!Z121</f>
        <v/>
      </c>
      <c r="AA191" s="67" t="str">
        <f>'Lớp 4 - Danh mục'!X121</f>
        <v/>
      </c>
      <c r="AB191" s="67" t="str">
        <f>'Lớp 4 - Danh mục'!AB121</f>
        <v/>
      </c>
      <c r="AC191" s="67" t="str">
        <f>'Lớp 4 - Danh mục'!AA121</f>
        <v/>
      </c>
      <c r="AD191" s="398" t="str">
        <f>'Lớp 4 - Danh mục'!AF121</f>
        <v/>
      </c>
      <c r="AE191" s="358" t="str">
        <f>'Lớp 4 - Danh mục'!AD121</f>
        <v/>
      </c>
      <c r="AF191" s="187" t="str">
        <f>'Lớp 4 - Danh mục'!AG121</f>
        <v/>
      </c>
      <c r="AG191" s="104" t="str">
        <f>'Lớp 4 - Danh mục'!AH121</f>
        <v/>
      </c>
      <c r="AH191" s="389" t="str">
        <f t="shared" si="27"/>
        <v/>
      </c>
      <c r="AI191" s="389" t="str">
        <f t="shared" si="37"/>
        <v>🔵 Chưa có hạn</v>
      </c>
      <c r="AJ191" s="67" t="str">
        <f>'Lớp 4 - Danh mục'!AK121</f>
        <v/>
      </c>
      <c r="AS191" s="389" t="str">
        <f t="shared" si="97"/>
        <v/>
      </c>
      <c r="AT191" s="389" t="str">
        <f t="shared" si="32"/>
        <v/>
      </c>
      <c r="AU191" s="389" t="str">
        <f t="shared" si="33"/>
        <v/>
      </c>
      <c r="AV191" s="389" t="str">
        <f t="shared" si="34"/>
        <v/>
      </c>
      <c r="AW191" s="389" t="str">
        <f t="shared" si="35"/>
        <v/>
      </c>
      <c r="AX191" s="67" t="str">
        <f t="shared" ref="AX191:BH191" si="204">Z191</f>
        <v/>
      </c>
      <c r="AY191" s="67" t="str">
        <f t="shared" si="204"/>
        <v/>
      </c>
      <c r="AZ191" s="67" t="str">
        <f t="shared" si="204"/>
        <v/>
      </c>
      <c r="BA191" s="67" t="str">
        <f t="shared" si="204"/>
        <v/>
      </c>
      <c r="BB191" s="398" t="str">
        <f t="shared" si="204"/>
        <v/>
      </c>
      <c r="BC191" s="358" t="str">
        <f t="shared" si="204"/>
        <v/>
      </c>
      <c r="BD191" s="187" t="str">
        <f t="shared" si="204"/>
        <v/>
      </c>
      <c r="BE191" s="104" t="str">
        <f t="shared" si="204"/>
        <v/>
      </c>
      <c r="BF191" s="389" t="str">
        <f t="shared" si="204"/>
        <v/>
      </c>
      <c r="BG191" s="389" t="str">
        <f t="shared" si="204"/>
        <v>🔵 Chưa có hạn</v>
      </c>
      <c r="BH191" s="67" t="str">
        <f t="shared" si="204"/>
        <v/>
      </c>
      <c r="BI191" s="389" t="str">
        <f t="array" ref="BI191">IF($X191="","",SWITCH($W191,3,IFERROR(INDEX('Lớp 3 - Công việc chính'!$AF$14:$AF$73,MATCH($X191,'Lớp 3 - Công việc chính'!$I$14:$I$73,0)),""),4,IFERROR(INDEX('Lớp 4 - Danh mục'!$AI$14:$AI$132,MATCH($X191,'Lớp 4 - Danh mục'!$I$14:$I$132,0)),""),5,IFERROR(INDEX('Lớp 5 - Phân công'!$AJ$14:$AJ$262,MATCH($X191,'Lớp 5 - Phân công'!$I$14:$I$262,0)),""),6,IFERROR(INDEX('Lớp 6 - Chi tiết'!$AM$14:$AM$267,MATCH($X191,'Lớp 6 - Chi tiết'!$I$14:$I$267,0)),""),""))</f>
        <v/>
      </c>
      <c r="BJ191" s="389" t="str">
        <f t="array" ref="BJ191">IF($X191="","",SWITCH($W191,3,IFERROR(INDEX('Lớp 3 - Công việc chính'!$AR$14:$AR$73,MATCH($X191,'Lớp 3 - Công việc chính'!$I$14:$I$73,0)),""),4,IFERROR(INDEX('Lớp 4 - Danh mục'!$AU$14:$AU$132,MATCH($X191,'Lớp 4 - Danh mục'!$I$14:$I$132,0)),""),5,IFERROR(INDEX('Lớp 5 - Phân công'!$AV$14:$AV$262,MATCH($X191,'Lớp 5 - Phân công'!$I$14:$I$262,0)),""),6,IFERROR(INDEX('Lớp 6 - Chi tiết'!$AY$14:$AY$267,MATCH($X191,'Lớp 6 - Chi tiết'!$I$14:$I$267,0)),""),""))</f>
        <v/>
      </c>
    </row>
    <row r="192" ht="15.75" customHeight="1">
      <c r="A192" s="294" t="str">
        <f t="shared" si="12"/>
        <v/>
      </c>
      <c r="B192" s="301" t="str">
        <f t="shared" si="13"/>
        <v/>
      </c>
      <c r="C192" s="301" t="str">
        <f t="shared" si="14"/>
        <v/>
      </c>
      <c r="D192" s="301" t="str">
        <f t="shared" si="15"/>
        <v/>
      </c>
      <c r="E192" s="301" t="str">
        <f t="shared" si="16"/>
        <v/>
      </c>
      <c r="F192" s="317" t="str">
        <f t="shared" si="17"/>
        <v/>
      </c>
      <c r="G192" s="323" t="str">
        <f t="shared" si="18"/>
        <v/>
      </c>
      <c r="H192" s="327" t="str">
        <f t="shared" si="19"/>
        <v/>
      </c>
      <c r="I192" s="327" t="str">
        <f t="shared" si="20"/>
        <v/>
      </c>
      <c r="J192" s="301" t="str">
        <f t="shared" si="21"/>
        <v/>
      </c>
      <c r="K192" s="301" t="str">
        <f t="shared" si="22"/>
        <v/>
      </c>
      <c r="L192" s="344" t="str">
        <f t="array" ref="L192">IF($T192="","",LET(m,MATCH($T192,$AS$24:$AS$700,0),lvl,INDEX($W$24:$W$700,m),id,INDEX($X$24:$X$700,m),SWITCH(lvl,3,"Lớp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2" s="351" t="str">
        <f t="shared" si="23"/>
        <v/>
      </c>
      <c r="N192" s="356" t="str">
        <f t="shared" si="24"/>
        <v/>
      </c>
      <c r="O192" s="358"/>
      <c r="P192" s="360"/>
      <c r="Q192" s="360"/>
      <c r="R192" s="67"/>
      <c r="S192" s="67"/>
      <c r="T192" s="67"/>
      <c r="U192" s="389" t="str">
        <f>IF('Lớp 4 - Danh mục'!I122="","",'Lớp 4 - Danh mục'!J122&amp;"|"&amp;'Lớp 4 - Danh mục'!I122)</f>
        <v/>
      </c>
      <c r="V192" s="389" t="str">
        <f>IF('Lớp 4 - Danh mục'!I122="","","   ├─ "&amp;'Lớp 4 - Danh mục'!O122)</f>
        <v/>
      </c>
      <c r="W192" s="389" t="str">
        <f>IF('Lớp 4 - Danh mục'!I122="","",4)</f>
        <v/>
      </c>
      <c r="X192" s="67" t="str">
        <f>'Lớp 4 - Danh mục'!I122</f>
        <v/>
      </c>
      <c r="Y192" s="67" t="str">
        <f>'Lớp 4 - Danh mục'!J122</f>
        <v/>
      </c>
      <c r="Z192" s="67" t="str">
        <f>'Lớp 4 - Danh mục'!Z122</f>
        <v/>
      </c>
      <c r="AA192" s="67" t="str">
        <f>'Lớp 4 - Danh mục'!X122</f>
        <v/>
      </c>
      <c r="AB192" s="67" t="str">
        <f>'Lớp 4 - Danh mục'!AB122</f>
        <v/>
      </c>
      <c r="AC192" s="67" t="str">
        <f>'Lớp 4 - Danh mục'!AA122</f>
        <v/>
      </c>
      <c r="AD192" s="398" t="str">
        <f>'Lớp 4 - Danh mục'!AF122</f>
        <v/>
      </c>
      <c r="AE192" s="358" t="str">
        <f>'Lớp 4 - Danh mục'!AD122</f>
        <v/>
      </c>
      <c r="AF192" s="187" t="str">
        <f>'Lớp 4 - Danh mục'!AG122</f>
        <v/>
      </c>
      <c r="AG192" s="104" t="str">
        <f>'Lớp 4 - Danh mục'!AH122</f>
        <v/>
      </c>
      <c r="AH192" s="389" t="str">
        <f t="shared" si="27"/>
        <v/>
      </c>
      <c r="AI192" s="389" t="str">
        <f t="shared" si="37"/>
        <v>🔵 Chưa có hạn</v>
      </c>
      <c r="AJ192" s="67" t="str">
        <f>'Lớp 4 - Danh mục'!AK122</f>
        <v/>
      </c>
      <c r="AS192" s="389" t="str">
        <f t="shared" si="97"/>
        <v/>
      </c>
      <c r="AT192" s="389" t="str">
        <f t="shared" si="32"/>
        <v/>
      </c>
      <c r="AU192" s="389" t="str">
        <f t="shared" si="33"/>
        <v/>
      </c>
      <c r="AV192" s="389" t="str">
        <f t="shared" si="34"/>
        <v/>
      </c>
      <c r="AW192" s="389" t="str">
        <f t="shared" si="35"/>
        <v/>
      </c>
      <c r="AX192" s="67" t="str">
        <f t="shared" ref="AX192:BH192" si="205">Z192</f>
        <v/>
      </c>
      <c r="AY192" s="67" t="str">
        <f t="shared" si="205"/>
        <v/>
      </c>
      <c r="AZ192" s="67" t="str">
        <f t="shared" si="205"/>
        <v/>
      </c>
      <c r="BA192" s="67" t="str">
        <f t="shared" si="205"/>
        <v/>
      </c>
      <c r="BB192" s="398" t="str">
        <f t="shared" si="205"/>
        <v/>
      </c>
      <c r="BC192" s="358" t="str">
        <f t="shared" si="205"/>
        <v/>
      </c>
      <c r="BD192" s="187" t="str">
        <f t="shared" si="205"/>
        <v/>
      </c>
      <c r="BE192" s="104" t="str">
        <f t="shared" si="205"/>
        <v/>
      </c>
      <c r="BF192" s="389" t="str">
        <f t="shared" si="205"/>
        <v/>
      </c>
      <c r="BG192" s="389" t="str">
        <f t="shared" si="205"/>
        <v>🔵 Chưa có hạn</v>
      </c>
      <c r="BH192" s="67" t="str">
        <f t="shared" si="205"/>
        <v/>
      </c>
      <c r="BI192" s="389" t="str">
        <f t="array" ref="BI192">IF($X192="","",SWITCH($W192,3,IFERROR(INDEX('Lớp 3 - Công việc chính'!$AF$14:$AF$73,MATCH($X192,'Lớp 3 - Công việc chính'!$I$14:$I$73,0)),""),4,IFERROR(INDEX('Lớp 4 - Danh mục'!$AI$14:$AI$132,MATCH($X192,'Lớp 4 - Danh mục'!$I$14:$I$132,0)),""),5,IFERROR(INDEX('Lớp 5 - Phân công'!$AJ$14:$AJ$262,MATCH($X192,'Lớp 5 - Phân công'!$I$14:$I$262,0)),""),6,IFERROR(INDEX('Lớp 6 - Chi tiết'!$AM$14:$AM$267,MATCH($X192,'Lớp 6 - Chi tiết'!$I$14:$I$267,0)),""),""))</f>
        <v/>
      </c>
      <c r="BJ192" s="389" t="str">
        <f t="array" ref="BJ192">IF($X192="","",SWITCH($W192,3,IFERROR(INDEX('Lớp 3 - Công việc chính'!$AR$14:$AR$73,MATCH($X192,'Lớp 3 - Công việc chính'!$I$14:$I$73,0)),""),4,IFERROR(INDEX('Lớp 4 - Danh mục'!$AU$14:$AU$132,MATCH($X192,'Lớp 4 - Danh mục'!$I$14:$I$132,0)),""),5,IFERROR(INDEX('Lớp 5 - Phân công'!$AV$14:$AV$262,MATCH($X192,'Lớp 5 - Phân công'!$I$14:$I$262,0)),""),6,IFERROR(INDEX('Lớp 6 - Chi tiết'!$AY$14:$AY$267,MATCH($X192,'Lớp 6 - Chi tiết'!$I$14:$I$267,0)),""),""))</f>
        <v/>
      </c>
    </row>
    <row r="193" ht="15.75" customHeight="1">
      <c r="A193" s="294" t="str">
        <f t="shared" si="12"/>
        <v/>
      </c>
      <c r="B193" s="301" t="str">
        <f t="shared" si="13"/>
        <v/>
      </c>
      <c r="C193" s="301" t="str">
        <f t="shared" si="14"/>
        <v/>
      </c>
      <c r="D193" s="301" t="str">
        <f t="shared" si="15"/>
        <v/>
      </c>
      <c r="E193" s="301" t="str">
        <f t="shared" si="16"/>
        <v/>
      </c>
      <c r="F193" s="317" t="str">
        <f t="shared" si="17"/>
        <v/>
      </c>
      <c r="G193" s="323" t="str">
        <f t="shared" si="18"/>
        <v/>
      </c>
      <c r="H193" s="327" t="str">
        <f t="shared" si="19"/>
        <v/>
      </c>
      <c r="I193" s="327" t="str">
        <f t="shared" si="20"/>
        <v/>
      </c>
      <c r="J193" s="301" t="str">
        <f t="shared" si="21"/>
        <v/>
      </c>
      <c r="K193" s="301" t="str">
        <f t="shared" si="22"/>
        <v/>
      </c>
      <c r="L193" s="344" t="str">
        <f t="array" ref="L193">IF($T193="","",LET(m,MATCH($T193,$AS$24:$AS$700,0),lvl,INDEX($W$24:$W$700,m),id,INDEX($X$24:$X$700,m),SWITCH(lvl,3,"Lớp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3" s="351" t="str">
        <f t="shared" si="23"/>
        <v/>
      </c>
      <c r="N193" s="356" t="str">
        <f t="shared" si="24"/>
        <v/>
      </c>
      <c r="O193" s="358"/>
      <c r="P193" s="360"/>
      <c r="Q193" s="360"/>
      <c r="R193" s="67"/>
      <c r="S193" s="67"/>
      <c r="T193" s="67"/>
      <c r="U193" s="389" t="str">
        <f>IF('Lớp 4 - Danh mục'!I123="","",'Lớp 4 - Danh mục'!J123&amp;"|"&amp;'Lớp 4 - Danh mục'!I123)</f>
        <v/>
      </c>
      <c r="V193" s="389" t="str">
        <f>IF('Lớp 4 - Danh mục'!I123="","","   ├─ "&amp;'Lớp 4 - Danh mục'!O123)</f>
        <v/>
      </c>
      <c r="W193" s="389" t="str">
        <f>IF('Lớp 4 - Danh mục'!I123="","",4)</f>
        <v/>
      </c>
      <c r="X193" s="67" t="str">
        <f>'Lớp 4 - Danh mục'!I123</f>
        <v/>
      </c>
      <c r="Y193" s="67" t="str">
        <f>'Lớp 4 - Danh mục'!J123</f>
        <v/>
      </c>
      <c r="Z193" s="67" t="str">
        <f>'Lớp 4 - Danh mục'!Z123</f>
        <v/>
      </c>
      <c r="AA193" s="67" t="str">
        <f>'Lớp 4 - Danh mục'!X123</f>
        <v/>
      </c>
      <c r="AB193" s="67" t="str">
        <f>'Lớp 4 - Danh mục'!AB123</f>
        <v/>
      </c>
      <c r="AC193" s="67" t="str">
        <f>'Lớp 4 - Danh mục'!AA123</f>
        <v/>
      </c>
      <c r="AD193" s="398" t="str">
        <f>'Lớp 4 - Danh mục'!AF123</f>
        <v/>
      </c>
      <c r="AE193" s="358" t="str">
        <f>'Lớp 4 - Danh mục'!AD123</f>
        <v/>
      </c>
      <c r="AF193" s="187" t="str">
        <f>'Lớp 4 - Danh mục'!AG123</f>
        <v/>
      </c>
      <c r="AG193" s="104" t="str">
        <f>'Lớp 4 - Danh mục'!AH123</f>
        <v/>
      </c>
      <c r="AH193" s="389" t="str">
        <f t="shared" si="27"/>
        <v/>
      </c>
      <c r="AI193" s="389" t="str">
        <f t="shared" si="37"/>
        <v>🔵 Chưa có hạn</v>
      </c>
      <c r="AJ193" s="67" t="str">
        <f>'Lớp 4 - Danh mục'!AK123</f>
        <v/>
      </c>
      <c r="AS193" s="389" t="str">
        <f t="shared" si="97"/>
        <v/>
      </c>
      <c r="AT193" s="389" t="str">
        <f t="shared" si="32"/>
        <v/>
      </c>
      <c r="AU193" s="389" t="str">
        <f t="shared" si="33"/>
        <v/>
      </c>
      <c r="AV193" s="389" t="str">
        <f t="shared" si="34"/>
        <v/>
      </c>
      <c r="AW193" s="389" t="str">
        <f t="shared" si="35"/>
        <v/>
      </c>
      <c r="AX193" s="67" t="str">
        <f t="shared" ref="AX193:BH193" si="206">Z193</f>
        <v/>
      </c>
      <c r="AY193" s="67" t="str">
        <f t="shared" si="206"/>
        <v/>
      </c>
      <c r="AZ193" s="67" t="str">
        <f t="shared" si="206"/>
        <v/>
      </c>
      <c r="BA193" s="67" t="str">
        <f t="shared" si="206"/>
        <v/>
      </c>
      <c r="BB193" s="398" t="str">
        <f t="shared" si="206"/>
        <v/>
      </c>
      <c r="BC193" s="358" t="str">
        <f t="shared" si="206"/>
        <v/>
      </c>
      <c r="BD193" s="187" t="str">
        <f t="shared" si="206"/>
        <v/>
      </c>
      <c r="BE193" s="104" t="str">
        <f t="shared" si="206"/>
        <v/>
      </c>
      <c r="BF193" s="389" t="str">
        <f t="shared" si="206"/>
        <v/>
      </c>
      <c r="BG193" s="389" t="str">
        <f t="shared" si="206"/>
        <v>🔵 Chưa có hạn</v>
      </c>
      <c r="BH193" s="67" t="str">
        <f t="shared" si="206"/>
        <v/>
      </c>
      <c r="BI193" s="389" t="str">
        <f t="array" ref="BI193">IF($X193="","",SWITCH($W193,3,IFERROR(INDEX('Lớp 3 - Công việc chính'!$AF$14:$AF$73,MATCH($X193,'Lớp 3 - Công việc chính'!$I$14:$I$73,0)),""),4,IFERROR(INDEX('Lớp 4 - Danh mục'!$AI$14:$AI$132,MATCH($X193,'Lớp 4 - Danh mục'!$I$14:$I$132,0)),""),5,IFERROR(INDEX('Lớp 5 - Phân công'!$AJ$14:$AJ$262,MATCH($X193,'Lớp 5 - Phân công'!$I$14:$I$262,0)),""),6,IFERROR(INDEX('Lớp 6 - Chi tiết'!$AM$14:$AM$267,MATCH($X193,'Lớp 6 - Chi tiết'!$I$14:$I$267,0)),""),""))</f>
        <v/>
      </c>
      <c r="BJ193" s="389" t="str">
        <f t="array" ref="BJ193">IF($X193="","",SWITCH($W193,3,IFERROR(INDEX('Lớp 3 - Công việc chính'!$AR$14:$AR$73,MATCH($X193,'Lớp 3 - Công việc chính'!$I$14:$I$73,0)),""),4,IFERROR(INDEX('Lớp 4 - Danh mục'!$AU$14:$AU$132,MATCH($X193,'Lớp 4 - Danh mục'!$I$14:$I$132,0)),""),5,IFERROR(INDEX('Lớp 5 - Phân công'!$AV$14:$AV$262,MATCH($X193,'Lớp 5 - Phân công'!$I$14:$I$262,0)),""),6,IFERROR(INDEX('Lớp 6 - Chi tiết'!$AY$14:$AY$267,MATCH($X193,'Lớp 6 - Chi tiết'!$I$14:$I$267,0)),""),""))</f>
        <v/>
      </c>
    </row>
    <row r="194" ht="15.75" customHeight="1">
      <c r="A194" s="294" t="str">
        <f t="shared" si="12"/>
        <v/>
      </c>
      <c r="B194" s="301" t="str">
        <f t="shared" si="13"/>
        <v/>
      </c>
      <c r="C194" s="301" t="str">
        <f t="shared" si="14"/>
        <v/>
      </c>
      <c r="D194" s="301" t="str">
        <f t="shared" si="15"/>
        <v/>
      </c>
      <c r="E194" s="301" t="str">
        <f t="shared" si="16"/>
        <v/>
      </c>
      <c r="F194" s="317" t="str">
        <f t="shared" si="17"/>
        <v/>
      </c>
      <c r="G194" s="323" t="str">
        <f t="shared" si="18"/>
        <v/>
      </c>
      <c r="H194" s="327" t="str">
        <f t="shared" si="19"/>
        <v/>
      </c>
      <c r="I194" s="327" t="str">
        <f t="shared" si="20"/>
        <v/>
      </c>
      <c r="J194" s="301" t="str">
        <f t="shared" si="21"/>
        <v/>
      </c>
      <c r="K194" s="301" t="str">
        <f t="shared" si="22"/>
        <v/>
      </c>
      <c r="L194" s="344" t="str">
        <f t="array" ref="L194">IF($T194="","",LET(m,MATCH($T194,$AS$24:$AS$700,0),lvl,INDEX($W$24:$W$700,m),id,INDEX($X$24:$X$700,m),SWITCH(lvl,3,"Lớp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4" s="351" t="str">
        <f t="shared" si="23"/>
        <v/>
      </c>
      <c r="N194" s="356" t="str">
        <f t="shared" si="24"/>
        <v/>
      </c>
      <c r="O194" s="358"/>
      <c r="P194" s="360"/>
      <c r="Q194" s="360"/>
      <c r="R194" s="67"/>
      <c r="S194" s="67"/>
      <c r="T194" s="67"/>
      <c r="U194" s="389" t="str">
        <f>IF('Lớp 4 - Danh mục'!I124="","",'Lớp 4 - Danh mục'!J124&amp;"|"&amp;'Lớp 4 - Danh mục'!I124)</f>
        <v/>
      </c>
      <c r="V194" s="389" t="str">
        <f>IF('Lớp 4 - Danh mục'!I124="","","   ├─ "&amp;'Lớp 4 - Danh mục'!O124)</f>
        <v/>
      </c>
      <c r="W194" s="389" t="str">
        <f>IF('Lớp 4 - Danh mục'!I124="","",4)</f>
        <v/>
      </c>
      <c r="X194" s="67" t="str">
        <f>'Lớp 4 - Danh mục'!I124</f>
        <v/>
      </c>
      <c r="Y194" s="67" t="str">
        <f>'Lớp 4 - Danh mục'!J124</f>
        <v/>
      </c>
      <c r="Z194" s="67" t="str">
        <f>'Lớp 4 - Danh mục'!Z124</f>
        <v/>
      </c>
      <c r="AA194" s="67" t="str">
        <f>'Lớp 4 - Danh mục'!X124</f>
        <v/>
      </c>
      <c r="AB194" s="67" t="str">
        <f>'Lớp 4 - Danh mục'!AB124</f>
        <v/>
      </c>
      <c r="AC194" s="67" t="str">
        <f>'Lớp 4 - Danh mục'!AA124</f>
        <v/>
      </c>
      <c r="AD194" s="398" t="str">
        <f>'Lớp 4 - Danh mục'!AF124</f>
        <v/>
      </c>
      <c r="AE194" s="358" t="str">
        <f>'Lớp 4 - Danh mục'!AD124</f>
        <v/>
      </c>
      <c r="AF194" s="187" t="str">
        <f>'Lớp 4 - Danh mục'!AG124</f>
        <v/>
      </c>
      <c r="AG194" s="104" t="str">
        <f>'Lớp 4 - Danh mục'!AH124</f>
        <v/>
      </c>
      <c r="AH194" s="389" t="str">
        <f t="shared" si="27"/>
        <v/>
      </c>
      <c r="AI194" s="389" t="str">
        <f t="shared" si="37"/>
        <v>🔵 Chưa có hạn</v>
      </c>
      <c r="AJ194" s="67" t="str">
        <f>'Lớp 4 - Danh mục'!AK124</f>
        <v/>
      </c>
      <c r="AS194" s="389" t="str">
        <f t="shared" si="97"/>
        <v/>
      </c>
      <c r="AT194" s="389" t="str">
        <f t="shared" si="32"/>
        <v/>
      </c>
      <c r="AU194" s="389" t="str">
        <f t="shared" si="33"/>
        <v/>
      </c>
      <c r="AV194" s="389" t="str">
        <f t="shared" si="34"/>
        <v/>
      </c>
      <c r="AW194" s="389" t="str">
        <f t="shared" si="35"/>
        <v/>
      </c>
      <c r="AX194" s="67" t="str">
        <f t="shared" ref="AX194:BH194" si="207">Z194</f>
        <v/>
      </c>
      <c r="AY194" s="67" t="str">
        <f t="shared" si="207"/>
        <v/>
      </c>
      <c r="AZ194" s="67" t="str">
        <f t="shared" si="207"/>
        <v/>
      </c>
      <c r="BA194" s="67" t="str">
        <f t="shared" si="207"/>
        <v/>
      </c>
      <c r="BB194" s="398" t="str">
        <f t="shared" si="207"/>
        <v/>
      </c>
      <c r="BC194" s="358" t="str">
        <f t="shared" si="207"/>
        <v/>
      </c>
      <c r="BD194" s="187" t="str">
        <f t="shared" si="207"/>
        <v/>
      </c>
      <c r="BE194" s="104" t="str">
        <f t="shared" si="207"/>
        <v/>
      </c>
      <c r="BF194" s="389" t="str">
        <f t="shared" si="207"/>
        <v/>
      </c>
      <c r="BG194" s="389" t="str">
        <f t="shared" si="207"/>
        <v>🔵 Chưa có hạn</v>
      </c>
      <c r="BH194" s="67" t="str">
        <f t="shared" si="207"/>
        <v/>
      </c>
      <c r="BI194" s="389" t="str">
        <f t="array" ref="BI194">IF($X194="","",SWITCH($W194,3,IFERROR(INDEX('Lớp 3 - Công việc chính'!$AF$14:$AF$73,MATCH($X194,'Lớp 3 - Công việc chính'!$I$14:$I$73,0)),""),4,IFERROR(INDEX('Lớp 4 - Danh mục'!$AI$14:$AI$132,MATCH($X194,'Lớp 4 - Danh mục'!$I$14:$I$132,0)),""),5,IFERROR(INDEX('Lớp 5 - Phân công'!$AJ$14:$AJ$262,MATCH($X194,'Lớp 5 - Phân công'!$I$14:$I$262,0)),""),6,IFERROR(INDEX('Lớp 6 - Chi tiết'!$AM$14:$AM$267,MATCH($X194,'Lớp 6 - Chi tiết'!$I$14:$I$267,0)),""),""))</f>
        <v/>
      </c>
      <c r="BJ194" s="389" t="str">
        <f t="array" ref="BJ194">IF($X194="","",SWITCH($W194,3,IFERROR(INDEX('Lớp 3 - Công việc chính'!$AR$14:$AR$73,MATCH($X194,'Lớp 3 - Công việc chính'!$I$14:$I$73,0)),""),4,IFERROR(INDEX('Lớp 4 - Danh mục'!$AU$14:$AU$132,MATCH($X194,'Lớp 4 - Danh mục'!$I$14:$I$132,0)),""),5,IFERROR(INDEX('Lớp 5 - Phân công'!$AV$14:$AV$262,MATCH($X194,'Lớp 5 - Phân công'!$I$14:$I$262,0)),""),6,IFERROR(INDEX('Lớp 6 - Chi tiết'!$AY$14:$AY$267,MATCH($X194,'Lớp 6 - Chi tiết'!$I$14:$I$267,0)),""),""))</f>
        <v/>
      </c>
    </row>
    <row r="195" ht="15.75" customHeight="1">
      <c r="A195" s="294" t="str">
        <f t="shared" si="12"/>
        <v/>
      </c>
      <c r="B195" s="301" t="str">
        <f t="shared" si="13"/>
        <v/>
      </c>
      <c r="C195" s="301" t="str">
        <f t="shared" si="14"/>
        <v/>
      </c>
      <c r="D195" s="301" t="str">
        <f t="shared" si="15"/>
        <v/>
      </c>
      <c r="E195" s="301" t="str">
        <f t="shared" si="16"/>
        <v/>
      </c>
      <c r="F195" s="317" t="str">
        <f t="shared" si="17"/>
        <v/>
      </c>
      <c r="G195" s="323" t="str">
        <f t="shared" si="18"/>
        <v/>
      </c>
      <c r="H195" s="327" t="str">
        <f t="shared" si="19"/>
        <v/>
      </c>
      <c r="I195" s="327" t="str">
        <f t="shared" si="20"/>
        <v/>
      </c>
      <c r="J195" s="301" t="str">
        <f t="shared" si="21"/>
        <v/>
      </c>
      <c r="K195" s="301" t="str">
        <f t="shared" si="22"/>
        <v/>
      </c>
      <c r="L195" s="344" t="str">
        <f t="array" ref="L195">IF($T195="","",LET(m,MATCH($T195,$AS$24:$AS$700,0),lvl,INDEX($W$24:$W$700,m),id,INDEX($X$24:$X$700,m),SWITCH(lvl,3,"Lớp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5" s="351" t="str">
        <f t="shared" si="23"/>
        <v/>
      </c>
      <c r="N195" s="356" t="str">
        <f t="shared" si="24"/>
        <v/>
      </c>
      <c r="O195" s="358"/>
      <c r="P195" s="360"/>
      <c r="Q195" s="360"/>
      <c r="R195" s="67"/>
      <c r="S195" s="67"/>
      <c r="T195" s="67"/>
      <c r="U195" s="389" t="str">
        <f>IF('Lớp 4 - Danh mục'!I125="","",'Lớp 4 - Danh mục'!J125&amp;"|"&amp;'Lớp 4 - Danh mục'!I125)</f>
        <v/>
      </c>
      <c r="V195" s="389" t="str">
        <f>IF('Lớp 4 - Danh mục'!I125="","","   ├─ "&amp;'Lớp 4 - Danh mục'!O125)</f>
        <v/>
      </c>
      <c r="W195" s="389" t="str">
        <f>IF('Lớp 4 - Danh mục'!I125="","",4)</f>
        <v/>
      </c>
      <c r="X195" s="67" t="str">
        <f>'Lớp 4 - Danh mục'!I125</f>
        <v/>
      </c>
      <c r="Y195" s="67" t="str">
        <f>'Lớp 4 - Danh mục'!J125</f>
        <v/>
      </c>
      <c r="Z195" s="67" t="str">
        <f>'Lớp 4 - Danh mục'!Z125</f>
        <v/>
      </c>
      <c r="AA195" s="67" t="str">
        <f>'Lớp 4 - Danh mục'!X125</f>
        <v/>
      </c>
      <c r="AB195" s="67" t="str">
        <f>'Lớp 4 - Danh mục'!AB125</f>
        <v/>
      </c>
      <c r="AC195" s="67" t="str">
        <f>'Lớp 4 - Danh mục'!AA125</f>
        <v/>
      </c>
      <c r="AD195" s="398" t="str">
        <f>'Lớp 4 - Danh mục'!AF125</f>
        <v/>
      </c>
      <c r="AE195" s="358" t="str">
        <f>'Lớp 4 - Danh mục'!AD125</f>
        <v/>
      </c>
      <c r="AF195" s="187" t="str">
        <f>'Lớp 4 - Danh mục'!AG125</f>
        <v/>
      </c>
      <c r="AG195" s="104" t="str">
        <f>'Lớp 4 - Danh mục'!AH125</f>
        <v/>
      </c>
      <c r="AH195" s="389" t="str">
        <f t="shared" si="27"/>
        <v/>
      </c>
      <c r="AI195" s="389" t="str">
        <f t="shared" si="37"/>
        <v>🔵 Chưa có hạn</v>
      </c>
      <c r="AJ195" s="67" t="str">
        <f>'Lớp 4 - Danh mục'!AK125</f>
        <v/>
      </c>
      <c r="AS195" s="389" t="str">
        <f t="shared" si="97"/>
        <v/>
      </c>
      <c r="AT195" s="389" t="str">
        <f t="shared" si="32"/>
        <v/>
      </c>
      <c r="AU195" s="389" t="str">
        <f t="shared" si="33"/>
        <v/>
      </c>
      <c r="AV195" s="389" t="str">
        <f t="shared" si="34"/>
        <v/>
      </c>
      <c r="AW195" s="389" t="str">
        <f t="shared" si="35"/>
        <v/>
      </c>
      <c r="AX195" s="67" t="str">
        <f t="shared" ref="AX195:BH195" si="208">Z195</f>
        <v/>
      </c>
      <c r="AY195" s="67" t="str">
        <f t="shared" si="208"/>
        <v/>
      </c>
      <c r="AZ195" s="67" t="str">
        <f t="shared" si="208"/>
        <v/>
      </c>
      <c r="BA195" s="67" t="str">
        <f t="shared" si="208"/>
        <v/>
      </c>
      <c r="BB195" s="398" t="str">
        <f t="shared" si="208"/>
        <v/>
      </c>
      <c r="BC195" s="358" t="str">
        <f t="shared" si="208"/>
        <v/>
      </c>
      <c r="BD195" s="187" t="str">
        <f t="shared" si="208"/>
        <v/>
      </c>
      <c r="BE195" s="104" t="str">
        <f t="shared" si="208"/>
        <v/>
      </c>
      <c r="BF195" s="389" t="str">
        <f t="shared" si="208"/>
        <v/>
      </c>
      <c r="BG195" s="389" t="str">
        <f t="shared" si="208"/>
        <v>🔵 Chưa có hạn</v>
      </c>
      <c r="BH195" s="67" t="str">
        <f t="shared" si="208"/>
        <v/>
      </c>
      <c r="BI195" s="389" t="str">
        <f t="array" ref="BI195">IF($X195="","",SWITCH($W195,3,IFERROR(INDEX('Lớp 3 - Công việc chính'!$AF$14:$AF$73,MATCH($X195,'Lớp 3 - Công việc chính'!$I$14:$I$73,0)),""),4,IFERROR(INDEX('Lớp 4 - Danh mục'!$AI$14:$AI$132,MATCH($X195,'Lớp 4 - Danh mục'!$I$14:$I$132,0)),""),5,IFERROR(INDEX('Lớp 5 - Phân công'!$AJ$14:$AJ$262,MATCH($X195,'Lớp 5 - Phân công'!$I$14:$I$262,0)),""),6,IFERROR(INDEX('Lớp 6 - Chi tiết'!$AM$14:$AM$267,MATCH($X195,'Lớp 6 - Chi tiết'!$I$14:$I$267,0)),""),""))</f>
        <v/>
      </c>
      <c r="BJ195" s="389" t="str">
        <f t="array" ref="BJ195">IF($X195="","",SWITCH($W195,3,IFERROR(INDEX('Lớp 3 - Công việc chính'!$AR$14:$AR$73,MATCH($X195,'Lớp 3 - Công việc chính'!$I$14:$I$73,0)),""),4,IFERROR(INDEX('Lớp 4 - Danh mục'!$AU$14:$AU$132,MATCH($X195,'Lớp 4 - Danh mục'!$I$14:$I$132,0)),""),5,IFERROR(INDEX('Lớp 5 - Phân công'!$AV$14:$AV$262,MATCH($X195,'Lớp 5 - Phân công'!$I$14:$I$262,0)),""),6,IFERROR(INDEX('Lớp 6 - Chi tiết'!$AY$14:$AY$267,MATCH($X195,'Lớp 6 - Chi tiết'!$I$14:$I$267,0)),""),""))</f>
        <v/>
      </c>
    </row>
    <row r="196" ht="15.75" customHeight="1">
      <c r="A196" s="294" t="str">
        <f t="shared" si="12"/>
        <v/>
      </c>
      <c r="B196" s="301" t="str">
        <f t="shared" si="13"/>
        <v/>
      </c>
      <c r="C196" s="301" t="str">
        <f t="shared" si="14"/>
        <v/>
      </c>
      <c r="D196" s="301" t="str">
        <f t="shared" si="15"/>
        <v/>
      </c>
      <c r="E196" s="301" t="str">
        <f t="shared" si="16"/>
        <v/>
      </c>
      <c r="F196" s="317" t="str">
        <f t="shared" si="17"/>
        <v/>
      </c>
      <c r="G196" s="323" t="str">
        <f t="shared" si="18"/>
        <v/>
      </c>
      <c r="H196" s="327" t="str">
        <f t="shared" si="19"/>
        <v/>
      </c>
      <c r="I196" s="327" t="str">
        <f t="shared" si="20"/>
        <v/>
      </c>
      <c r="J196" s="301" t="str">
        <f t="shared" si="21"/>
        <v/>
      </c>
      <c r="K196" s="301" t="str">
        <f t="shared" si="22"/>
        <v/>
      </c>
      <c r="L196" s="344" t="str">
        <f t="array" ref="L196">IF($T196="","",LET(m,MATCH($T196,$AS$24:$AS$700,0),lvl,INDEX($W$24:$W$700,m),id,INDEX($X$24:$X$700,m),SWITCH(lvl,3,"Lớp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6" s="351" t="str">
        <f t="shared" si="23"/>
        <v/>
      </c>
      <c r="N196" s="356" t="str">
        <f t="shared" si="24"/>
        <v/>
      </c>
      <c r="O196" s="358"/>
      <c r="P196" s="360"/>
      <c r="Q196" s="360"/>
      <c r="R196" s="67"/>
      <c r="S196" s="67"/>
      <c r="T196" s="67"/>
      <c r="U196" s="389" t="str">
        <f>IF('Lớp 4 - Danh mục'!I126="","",'Lớp 4 - Danh mục'!J126&amp;"|"&amp;'Lớp 4 - Danh mục'!I126)</f>
        <v/>
      </c>
      <c r="V196" s="389" t="str">
        <f>IF('Lớp 4 - Danh mục'!I126="","","   ├─ "&amp;'Lớp 4 - Danh mục'!O126)</f>
        <v/>
      </c>
      <c r="W196" s="389" t="str">
        <f>IF('Lớp 4 - Danh mục'!I126="","",4)</f>
        <v/>
      </c>
      <c r="X196" s="67" t="str">
        <f>'Lớp 4 - Danh mục'!I126</f>
        <v/>
      </c>
      <c r="Y196" s="67" t="str">
        <f>'Lớp 4 - Danh mục'!J126</f>
        <v/>
      </c>
      <c r="Z196" s="67" t="str">
        <f>'Lớp 4 - Danh mục'!Z126</f>
        <v/>
      </c>
      <c r="AA196" s="67" t="str">
        <f>'Lớp 4 - Danh mục'!X126</f>
        <v/>
      </c>
      <c r="AB196" s="67" t="str">
        <f>'Lớp 4 - Danh mục'!AB126</f>
        <v/>
      </c>
      <c r="AC196" s="67" t="str">
        <f>'Lớp 4 - Danh mục'!AA126</f>
        <v/>
      </c>
      <c r="AD196" s="398" t="str">
        <f>'Lớp 4 - Danh mục'!AF126</f>
        <v/>
      </c>
      <c r="AE196" s="358" t="str">
        <f>'Lớp 4 - Danh mục'!AD126</f>
        <v/>
      </c>
      <c r="AF196" s="187" t="str">
        <f>'Lớp 4 - Danh mục'!AG126</f>
        <v/>
      </c>
      <c r="AG196" s="104" t="str">
        <f>'Lớp 4 - Danh mục'!AH126</f>
        <v/>
      </c>
      <c r="AH196" s="389" t="str">
        <f t="shared" si="27"/>
        <v/>
      </c>
      <c r="AI196" s="389" t="str">
        <f t="shared" si="37"/>
        <v>🔵 Chưa có hạn</v>
      </c>
      <c r="AJ196" s="67" t="str">
        <f>'Lớp 4 - Danh mục'!AK126</f>
        <v/>
      </c>
      <c r="AS196" s="389" t="str">
        <f t="shared" si="97"/>
        <v/>
      </c>
      <c r="AT196" s="389" t="str">
        <f t="shared" si="32"/>
        <v/>
      </c>
      <c r="AU196" s="389" t="str">
        <f t="shared" si="33"/>
        <v/>
      </c>
      <c r="AV196" s="389" t="str">
        <f t="shared" si="34"/>
        <v/>
      </c>
      <c r="AW196" s="389" t="str">
        <f t="shared" si="35"/>
        <v/>
      </c>
      <c r="AX196" s="67" t="str">
        <f t="shared" ref="AX196:BH196" si="209">Z196</f>
        <v/>
      </c>
      <c r="AY196" s="67" t="str">
        <f t="shared" si="209"/>
        <v/>
      </c>
      <c r="AZ196" s="67" t="str">
        <f t="shared" si="209"/>
        <v/>
      </c>
      <c r="BA196" s="67" t="str">
        <f t="shared" si="209"/>
        <v/>
      </c>
      <c r="BB196" s="398" t="str">
        <f t="shared" si="209"/>
        <v/>
      </c>
      <c r="BC196" s="358" t="str">
        <f t="shared" si="209"/>
        <v/>
      </c>
      <c r="BD196" s="187" t="str">
        <f t="shared" si="209"/>
        <v/>
      </c>
      <c r="BE196" s="104" t="str">
        <f t="shared" si="209"/>
        <v/>
      </c>
      <c r="BF196" s="389" t="str">
        <f t="shared" si="209"/>
        <v/>
      </c>
      <c r="BG196" s="389" t="str">
        <f t="shared" si="209"/>
        <v>🔵 Chưa có hạn</v>
      </c>
      <c r="BH196" s="67" t="str">
        <f t="shared" si="209"/>
        <v/>
      </c>
      <c r="BI196" s="389" t="str">
        <f t="array" ref="BI196">IF($X196="","",SWITCH($W196,3,IFERROR(INDEX('Lớp 3 - Công việc chính'!$AF$14:$AF$73,MATCH($X196,'Lớp 3 - Công việc chính'!$I$14:$I$73,0)),""),4,IFERROR(INDEX('Lớp 4 - Danh mục'!$AI$14:$AI$132,MATCH($X196,'Lớp 4 - Danh mục'!$I$14:$I$132,0)),""),5,IFERROR(INDEX('Lớp 5 - Phân công'!$AJ$14:$AJ$262,MATCH($X196,'Lớp 5 - Phân công'!$I$14:$I$262,0)),""),6,IFERROR(INDEX('Lớp 6 - Chi tiết'!$AM$14:$AM$267,MATCH($X196,'Lớp 6 - Chi tiết'!$I$14:$I$267,0)),""),""))</f>
        <v/>
      </c>
      <c r="BJ196" s="389" t="str">
        <f t="array" ref="BJ196">IF($X196="","",SWITCH($W196,3,IFERROR(INDEX('Lớp 3 - Công việc chính'!$AR$14:$AR$73,MATCH($X196,'Lớp 3 - Công việc chính'!$I$14:$I$73,0)),""),4,IFERROR(INDEX('Lớp 4 - Danh mục'!$AU$14:$AU$132,MATCH($X196,'Lớp 4 - Danh mục'!$I$14:$I$132,0)),""),5,IFERROR(INDEX('Lớp 5 - Phân công'!$AV$14:$AV$262,MATCH($X196,'Lớp 5 - Phân công'!$I$14:$I$262,0)),""),6,IFERROR(INDEX('Lớp 6 - Chi tiết'!$AY$14:$AY$267,MATCH($X196,'Lớp 6 - Chi tiết'!$I$14:$I$267,0)),""),""))</f>
        <v/>
      </c>
    </row>
    <row r="197" ht="15.75" customHeight="1">
      <c r="A197" s="294" t="str">
        <f t="shared" si="12"/>
        <v/>
      </c>
      <c r="B197" s="301" t="str">
        <f t="shared" si="13"/>
        <v/>
      </c>
      <c r="C197" s="301" t="str">
        <f t="shared" si="14"/>
        <v/>
      </c>
      <c r="D197" s="301" t="str">
        <f t="shared" si="15"/>
        <v/>
      </c>
      <c r="E197" s="301" t="str">
        <f t="shared" si="16"/>
        <v/>
      </c>
      <c r="F197" s="317" t="str">
        <f t="shared" si="17"/>
        <v/>
      </c>
      <c r="G197" s="323" t="str">
        <f t="shared" si="18"/>
        <v/>
      </c>
      <c r="H197" s="327" t="str">
        <f t="shared" si="19"/>
        <v/>
      </c>
      <c r="I197" s="327" t="str">
        <f t="shared" si="20"/>
        <v/>
      </c>
      <c r="J197" s="301" t="str">
        <f t="shared" si="21"/>
        <v/>
      </c>
      <c r="K197" s="301" t="str">
        <f t="shared" si="22"/>
        <v/>
      </c>
      <c r="L197" s="344" t="str">
        <f t="array" ref="L197">IF($T197="","",LET(m,MATCH($T197,$AS$24:$AS$700,0),lvl,INDEX($W$24:$W$700,m),id,INDEX($X$24:$X$700,m),SWITCH(lvl,3,"Lớp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7" s="351" t="str">
        <f t="shared" si="23"/>
        <v/>
      </c>
      <c r="N197" s="356" t="str">
        <f t="shared" si="24"/>
        <v/>
      </c>
      <c r="O197" s="358"/>
      <c r="P197" s="360"/>
      <c r="Q197" s="360"/>
      <c r="R197" s="67"/>
      <c r="S197" s="67"/>
      <c r="T197" s="67"/>
      <c r="U197" s="389" t="str">
        <f>IF('Lớp 4 - Danh mục'!I127="","",'Lớp 4 - Danh mục'!J127&amp;"|"&amp;'Lớp 4 - Danh mục'!I127)</f>
        <v/>
      </c>
      <c r="V197" s="389" t="str">
        <f>IF('Lớp 4 - Danh mục'!I127="","","   ├─ "&amp;'Lớp 4 - Danh mục'!O127)</f>
        <v/>
      </c>
      <c r="W197" s="389" t="str">
        <f>IF('Lớp 4 - Danh mục'!I127="","",4)</f>
        <v/>
      </c>
      <c r="X197" s="67" t="str">
        <f>'Lớp 4 - Danh mục'!I127</f>
        <v/>
      </c>
      <c r="Y197" s="67" t="str">
        <f>'Lớp 4 - Danh mục'!J127</f>
        <v/>
      </c>
      <c r="Z197" s="67" t="str">
        <f>'Lớp 4 - Danh mục'!Z127</f>
        <v/>
      </c>
      <c r="AA197" s="67" t="str">
        <f>'Lớp 4 - Danh mục'!X127</f>
        <v/>
      </c>
      <c r="AB197" s="67" t="str">
        <f>'Lớp 4 - Danh mục'!AB127</f>
        <v/>
      </c>
      <c r="AC197" s="67" t="str">
        <f>'Lớp 4 - Danh mục'!AA127</f>
        <v/>
      </c>
      <c r="AD197" s="398" t="str">
        <f>'Lớp 4 - Danh mục'!AF127</f>
        <v/>
      </c>
      <c r="AE197" s="358" t="str">
        <f>'Lớp 4 - Danh mục'!AD127</f>
        <v/>
      </c>
      <c r="AF197" s="187" t="str">
        <f>'Lớp 4 - Danh mục'!AG127</f>
        <v/>
      </c>
      <c r="AG197" s="104" t="str">
        <f>'Lớp 4 - Danh mục'!AH127</f>
        <v/>
      </c>
      <c r="AH197" s="389" t="str">
        <f t="shared" si="27"/>
        <v/>
      </c>
      <c r="AI197" s="389" t="str">
        <f t="shared" si="37"/>
        <v>🔵 Chưa có hạn</v>
      </c>
      <c r="AJ197" s="67" t="str">
        <f>'Lớp 4 - Danh mục'!AK127</f>
        <v/>
      </c>
      <c r="AS197" s="389" t="str">
        <f t="shared" si="97"/>
        <v/>
      </c>
      <c r="AT197" s="389" t="str">
        <f t="shared" si="32"/>
        <v/>
      </c>
      <c r="AU197" s="389" t="str">
        <f t="shared" si="33"/>
        <v/>
      </c>
      <c r="AV197" s="389" t="str">
        <f t="shared" si="34"/>
        <v/>
      </c>
      <c r="AW197" s="389" t="str">
        <f t="shared" si="35"/>
        <v/>
      </c>
      <c r="AX197" s="67" t="str">
        <f t="shared" ref="AX197:BH197" si="210">Z197</f>
        <v/>
      </c>
      <c r="AY197" s="67" t="str">
        <f t="shared" si="210"/>
        <v/>
      </c>
      <c r="AZ197" s="67" t="str">
        <f t="shared" si="210"/>
        <v/>
      </c>
      <c r="BA197" s="67" t="str">
        <f t="shared" si="210"/>
        <v/>
      </c>
      <c r="BB197" s="398" t="str">
        <f t="shared" si="210"/>
        <v/>
      </c>
      <c r="BC197" s="358" t="str">
        <f t="shared" si="210"/>
        <v/>
      </c>
      <c r="BD197" s="187" t="str">
        <f t="shared" si="210"/>
        <v/>
      </c>
      <c r="BE197" s="104" t="str">
        <f t="shared" si="210"/>
        <v/>
      </c>
      <c r="BF197" s="389" t="str">
        <f t="shared" si="210"/>
        <v/>
      </c>
      <c r="BG197" s="389" t="str">
        <f t="shared" si="210"/>
        <v>🔵 Chưa có hạn</v>
      </c>
      <c r="BH197" s="67" t="str">
        <f t="shared" si="210"/>
        <v/>
      </c>
      <c r="BI197" s="389" t="str">
        <f t="array" ref="BI197">IF($X197="","",SWITCH($W197,3,IFERROR(INDEX('Lớp 3 - Công việc chính'!$AF$14:$AF$73,MATCH($X197,'Lớp 3 - Công việc chính'!$I$14:$I$73,0)),""),4,IFERROR(INDEX('Lớp 4 - Danh mục'!$AI$14:$AI$132,MATCH($X197,'Lớp 4 - Danh mục'!$I$14:$I$132,0)),""),5,IFERROR(INDEX('Lớp 5 - Phân công'!$AJ$14:$AJ$262,MATCH($X197,'Lớp 5 - Phân công'!$I$14:$I$262,0)),""),6,IFERROR(INDEX('Lớp 6 - Chi tiết'!$AM$14:$AM$267,MATCH($X197,'Lớp 6 - Chi tiết'!$I$14:$I$267,0)),""),""))</f>
        <v/>
      </c>
      <c r="BJ197" s="389" t="str">
        <f t="array" ref="BJ197">IF($X197="","",SWITCH($W197,3,IFERROR(INDEX('Lớp 3 - Công việc chính'!$AR$14:$AR$73,MATCH($X197,'Lớp 3 - Công việc chính'!$I$14:$I$73,0)),""),4,IFERROR(INDEX('Lớp 4 - Danh mục'!$AU$14:$AU$132,MATCH($X197,'Lớp 4 - Danh mục'!$I$14:$I$132,0)),""),5,IFERROR(INDEX('Lớp 5 - Phân công'!$AV$14:$AV$262,MATCH($X197,'Lớp 5 - Phân công'!$I$14:$I$262,0)),""),6,IFERROR(INDEX('Lớp 6 - Chi tiết'!$AY$14:$AY$267,MATCH($X197,'Lớp 6 - Chi tiết'!$I$14:$I$267,0)),""),""))</f>
        <v/>
      </c>
    </row>
    <row r="198" ht="15.75" customHeight="1">
      <c r="A198" s="294" t="str">
        <f t="shared" si="12"/>
        <v/>
      </c>
      <c r="B198" s="301" t="str">
        <f t="shared" si="13"/>
        <v/>
      </c>
      <c r="C198" s="301" t="str">
        <f t="shared" si="14"/>
        <v/>
      </c>
      <c r="D198" s="301" t="str">
        <f t="shared" si="15"/>
        <v/>
      </c>
      <c r="E198" s="301" t="str">
        <f t="shared" si="16"/>
        <v/>
      </c>
      <c r="F198" s="317" t="str">
        <f t="shared" si="17"/>
        <v/>
      </c>
      <c r="G198" s="323" t="str">
        <f t="shared" si="18"/>
        <v/>
      </c>
      <c r="H198" s="327" t="str">
        <f t="shared" si="19"/>
        <v/>
      </c>
      <c r="I198" s="327" t="str">
        <f t="shared" si="20"/>
        <v/>
      </c>
      <c r="J198" s="301" t="str">
        <f t="shared" si="21"/>
        <v/>
      </c>
      <c r="K198" s="301" t="str">
        <f t="shared" si="22"/>
        <v/>
      </c>
      <c r="L198" s="344" t="str">
        <f t="array" ref="L198">IF($T198="","",LET(m,MATCH($T198,$AS$24:$AS$700,0),lvl,INDEX($W$24:$W$700,m),id,INDEX($X$24:$X$700,m),SWITCH(lvl,3,"Lớp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8" s="351" t="str">
        <f t="shared" si="23"/>
        <v/>
      </c>
      <c r="N198" s="356" t="str">
        <f t="shared" si="24"/>
        <v/>
      </c>
      <c r="O198" s="358"/>
      <c r="P198" s="360"/>
      <c r="Q198" s="360"/>
      <c r="R198" s="67"/>
      <c r="S198" s="67"/>
      <c r="T198" s="67"/>
      <c r="U198" s="389" t="str">
        <f>IF('Lớp 4 - Danh mục'!I128="","",'Lớp 4 - Danh mục'!J128&amp;"|"&amp;'Lớp 4 - Danh mục'!I128)</f>
        <v/>
      </c>
      <c r="V198" s="389" t="str">
        <f>IF('Lớp 4 - Danh mục'!I128="","","   ├─ "&amp;'Lớp 4 - Danh mục'!O128)</f>
        <v/>
      </c>
      <c r="W198" s="389" t="str">
        <f>IF('Lớp 4 - Danh mục'!I128="","",4)</f>
        <v/>
      </c>
      <c r="X198" s="67" t="str">
        <f>'Lớp 4 - Danh mục'!I128</f>
        <v/>
      </c>
      <c r="Y198" s="67" t="str">
        <f>'Lớp 4 - Danh mục'!J128</f>
        <v/>
      </c>
      <c r="Z198" s="67" t="str">
        <f>'Lớp 4 - Danh mục'!Z128</f>
        <v/>
      </c>
      <c r="AA198" s="67" t="str">
        <f>'Lớp 4 - Danh mục'!X128</f>
        <v/>
      </c>
      <c r="AB198" s="67" t="str">
        <f>'Lớp 4 - Danh mục'!AB128</f>
        <v/>
      </c>
      <c r="AC198" s="67" t="str">
        <f>'Lớp 4 - Danh mục'!AA128</f>
        <v/>
      </c>
      <c r="AD198" s="398" t="str">
        <f>'Lớp 4 - Danh mục'!AF128</f>
        <v/>
      </c>
      <c r="AE198" s="358" t="str">
        <f>'Lớp 4 - Danh mục'!AD128</f>
        <v/>
      </c>
      <c r="AF198" s="187" t="str">
        <f>'Lớp 4 - Danh mục'!AG128</f>
        <v/>
      </c>
      <c r="AG198" s="104" t="str">
        <f>'Lớp 4 - Danh mục'!AH128</f>
        <v/>
      </c>
      <c r="AH198" s="389" t="str">
        <f t="shared" si="27"/>
        <v/>
      </c>
      <c r="AI198" s="389" t="str">
        <f t="shared" si="37"/>
        <v>🔵 Chưa có hạn</v>
      </c>
      <c r="AJ198" s="67" t="str">
        <f>'Lớp 4 - Danh mục'!AK128</f>
        <v/>
      </c>
      <c r="AS198" s="389" t="str">
        <f t="shared" si="97"/>
        <v/>
      </c>
      <c r="AT198" s="389" t="str">
        <f t="shared" si="32"/>
        <v/>
      </c>
      <c r="AU198" s="389" t="str">
        <f t="shared" si="33"/>
        <v/>
      </c>
      <c r="AV198" s="389" t="str">
        <f t="shared" si="34"/>
        <v/>
      </c>
      <c r="AW198" s="389" t="str">
        <f t="shared" si="35"/>
        <v/>
      </c>
      <c r="AX198" s="67" t="str">
        <f t="shared" ref="AX198:BH198" si="211">Z198</f>
        <v/>
      </c>
      <c r="AY198" s="67" t="str">
        <f t="shared" si="211"/>
        <v/>
      </c>
      <c r="AZ198" s="67" t="str">
        <f t="shared" si="211"/>
        <v/>
      </c>
      <c r="BA198" s="67" t="str">
        <f t="shared" si="211"/>
        <v/>
      </c>
      <c r="BB198" s="398" t="str">
        <f t="shared" si="211"/>
        <v/>
      </c>
      <c r="BC198" s="358" t="str">
        <f t="shared" si="211"/>
        <v/>
      </c>
      <c r="BD198" s="187" t="str">
        <f t="shared" si="211"/>
        <v/>
      </c>
      <c r="BE198" s="104" t="str">
        <f t="shared" si="211"/>
        <v/>
      </c>
      <c r="BF198" s="389" t="str">
        <f t="shared" si="211"/>
        <v/>
      </c>
      <c r="BG198" s="389" t="str">
        <f t="shared" si="211"/>
        <v>🔵 Chưa có hạn</v>
      </c>
      <c r="BH198" s="67" t="str">
        <f t="shared" si="211"/>
        <v/>
      </c>
      <c r="BI198" s="389" t="str">
        <f t="array" ref="BI198">IF($X198="","",SWITCH($W198,3,IFERROR(INDEX('Lớp 3 - Công việc chính'!$AF$14:$AF$73,MATCH($X198,'Lớp 3 - Công việc chính'!$I$14:$I$73,0)),""),4,IFERROR(INDEX('Lớp 4 - Danh mục'!$AI$14:$AI$132,MATCH($X198,'Lớp 4 - Danh mục'!$I$14:$I$132,0)),""),5,IFERROR(INDEX('Lớp 5 - Phân công'!$AJ$14:$AJ$262,MATCH($X198,'Lớp 5 - Phân công'!$I$14:$I$262,0)),""),6,IFERROR(INDEX('Lớp 6 - Chi tiết'!$AM$14:$AM$267,MATCH($X198,'Lớp 6 - Chi tiết'!$I$14:$I$267,0)),""),""))</f>
        <v/>
      </c>
      <c r="BJ198" s="389" t="str">
        <f t="array" ref="BJ198">IF($X198="","",SWITCH($W198,3,IFERROR(INDEX('Lớp 3 - Công việc chính'!$AR$14:$AR$73,MATCH($X198,'Lớp 3 - Công việc chính'!$I$14:$I$73,0)),""),4,IFERROR(INDEX('Lớp 4 - Danh mục'!$AU$14:$AU$132,MATCH($X198,'Lớp 4 - Danh mục'!$I$14:$I$132,0)),""),5,IFERROR(INDEX('Lớp 5 - Phân công'!$AV$14:$AV$262,MATCH($X198,'Lớp 5 - Phân công'!$I$14:$I$262,0)),""),6,IFERROR(INDEX('Lớp 6 - Chi tiết'!$AY$14:$AY$267,MATCH($X198,'Lớp 6 - Chi tiết'!$I$14:$I$267,0)),""),""))</f>
        <v/>
      </c>
    </row>
    <row r="199" ht="15.75" customHeight="1">
      <c r="A199" s="294" t="str">
        <f t="shared" si="12"/>
        <v/>
      </c>
      <c r="B199" s="301" t="str">
        <f t="shared" si="13"/>
        <v/>
      </c>
      <c r="C199" s="301" t="str">
        <f t="shared" si="14"/>
        <v/>
      </c>
      <c r="D199" s="301" t="str">
        <f t="shared" si="15"/>
        <v/>
      </c>
      <c r="E199" s="301" t="str">
        <f t="shared" si="16"/>
        <v/>
      </c>
      <c r="F199" s="317" t="str">
        <f t="shared" si="17"/>
        <v/>
      </c>
      <c r="G199" s="323" t="str">
        <f t="shared" si="18"/>
        <v/>
      </c>
      <c r="H199" s="327" t="str">
        <f t="shared" si="19"/>
        <v/>
      </c>
      <c r="I199" s="327" t="str">
        <f t="shared" si="20"/>
        <v/>
      </c>
      <c r="J199" s="301" t="str">
        <f t="shared" si="21"/>
        <v/>
      </c>
      <c r="K199" s="301" t="str">
        <f t="shared" si="22"/>
        <v/>
      </c>
      <c r="L199" s="344" t="str">
        <f t="array" ref="L199">IF($T199="","",LET(m,MATCH($T199,$AS$24:$AS$700,0),lvl,INDEX($W$24:$W$700,m),id,INDEX($X$24:$X$700,m),SWITCH(lvl,3,"Lớp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199" s="351" t="str">
        <f t="shared" si="23"/>
        <v/>
      </c>
      <c r="N199" s="356" t="str">
        <f t="shared" si="24"/>
        <v/>
      </c>
      <c r="O199" s="358"/>
      <c r="P199" s="360"/>
      <c r="Q199" s="360"/>
      <c r="R199" s="67"/>
      <c r="S199" s="67"/>
      <c r="T199" s="67"/>
      <c r="U199" s="389" t="str">
        <f>IF('Lớp 4 - Danh mục'!I129="","",'Lớp 4 - Danh mục'!J129&amp;"|"&amp;'Lớp 4 - Danh mục'!I129)</f>
        <v/>
      </c>
      <c r="V199" s="389" t="str">
        <f>IF('Lớp 4 - Danh mục'!I129="","","   ├─ "&amp;'Lớp 4 - Danh mục'!O129)</f>
        <v/>
      </c>
      <c r="W199" s="389" t="str">
        <f>IF('Lớp 4 - Danh mục'!I129="","",4)</f>
        <v/>
      </c>
      <c r="X199" s="67" t="str">
        <f>'Lớp 4 - Danh mục'!I129</f>
        <v/>
      </c>
      <c r="Y199" s="67" t="str">
        <f>'Lớp 4 - Danh mục'!J129</f>
        <v/>
      </c>
      <c r="Z199" s="67" t="str">
        <f>'Lớp 4 - Danh mục'!Z129</f>
        <v/>
      </c>
      <c r="AA199" s="67" t="str">
        <f>'Lớp 4 - Danh mục'!X129</f>
        <v/>
      </c>
      <c r="AB199" s="67" t="str">
        <f>'Lớp 4 - Danh mục'!AB129</f>
        <v/>
      </c>
      <c r="AC199" s="67" t="str">
        <f>'Lớp 4 - Danh mục'!AA129</f>
        <v/>
      </c>
      <c r="AD199" s="398" t="str">
        <f>'Lớp 4 - Danh mục'!AF129</f>
        <v/>
      </c>
      <c r="AE199" s="358" t="str">
        <f>'Lớp 4 - Danh mục'!AD129</f>
        <v/>
      </c>
      <c r="AF199" s="187" t="str">
        <f>'Lớp 4 - Danh mục'!AG129</f>
        <v/>
      </c>
      <c r="AG199" s="104" t="str">
        <f>'Lớp 4 - Danh mục'!AH129</f>
        <v/>
      </c>
      <c r="AH199" s="389" t="str">
        <f t="shared" si="27"/>
        <v/>
      </c>
      <c r="AI199" s="389" t="str">
        <f t="shared" si="37"/>
        <v>🔵 Chưa có hạn</v>
      </c>
      <c r="AJ199" s="67" t="str">
        <f>'Lớp 4 - Danh mục'!AK129</f>
        <v/>
      </c>
      <c r="AS199" s="389" t="str">
        <f t="shared" si="97"/>
        <v/>
      </c>
      <c r="AT199" s="389" t="str">
        <f t="shared" si="32"/>
        <v/>
      </c>
      <c r="AU199" s="389" t="str">
        <f t="shared" si="33"/>
        <v/>
      </c>
      <c r="AV199" s="389" t="str">
        <f t="shared" si="34"/>
        <v/>
      </c>
      <c r="AW199" s="389" t="str">
        <f t="shared" si="35"/>
        <v/>
      </c>
      <c r="AX199" s="67" t="str">
        <f t="shared" ref="AX199:BH199" si="212">Z199</f>
        <v/>
      </c>
      <c r="AY199" s="67" t="str">
        <f t="shared" si="212"/>
        <v/>
      </c>
      <c r="AZ199" s="67" t="str">
        <f t="shared" si="212"/>
        <v/>
      </c>
      <c r="BA199" s="67" t="str">
        <f t="shared" si="212"/>
        <v/>
      </c>
      <c r="BB199" s="398" t="str">
        <f t="shared" si="212"/>
        <v/>
      </c>
      <c r="BC199" s="358" t="str">
        <f t="shared" si="212"/>
        <v/>
      </c>
      <c r="BD199" s="187" t="str">
        <f t="shared" si="212"/>
        <v/>
      </c>
      <c r="BE199" s="104" t="str">
        <f t="shared" si="212"/>
        <v/>
      </c>
      <c r="BF199" s="389" t="str">
        <f t="shared" si="212"/>
        <v/>
      </c>
      <c r="BG199" s="389" t="str">
        <f t="shared" si="212"/>
        <v>🔵 Chưa có hạn</v>
      </c>
      <c r="BH199" s="67" t="str">
        <f t="shared" si="212"/>
        <v/>
      </c>
      <c r="BI199" s="389" t="str">
        <f t="array" ref="BI199">IF($X199="","",SWITCH($W199,3,IFERROR(INDEX('Lớp 3 - Công việc chính'!$AF$14:$AF$73,MATCH($X199,'Lớp 3 - Công việc chính'!$I$14:$I$73,0)),""),4,IFERROR(INDEX('Lớp 4 - Danh mục'!$AI$14:$AI$132,MATCH($X199,'Lớp 4 - Danh mục'!$I$14:$I$132,0)),""),5,IFERROR(INDEX('Lớp 5 - Phân công'!$AJ$14:$AJ$262,MATCH($X199,'Lớp 5 - Phân công'!$I$14:$I$262,0)),""),6,IFERROR(INDEX('Lớp 6 - Chi tiết'!$AM$14:$AM$267,MATCH($X199,'Lớp 6 - Chi tiết'!$I$14:$I$267,0)),""),""))</f>
        <v/>
      </c>
      <c r="BJ199" s="389" t="str">
        <f t="array" ref="BJ199">IF($X199="","",SWITCH($W199,3,IFERROR(INDEX('Lớp 3 - Công việc chính'!$AR$14:$AR$73,MATCH($X199,'Lớp 3 - Công việc chính'!$I$14:$I$73,0)),""),4,IFERROR(INDEX('Lớp 4 - Danh mục'!$AU$14:$AU$132,MATCH($X199,'Lớp 4 - Danh mục'!$I$14:$I$132,0)),""),5,IFERROR(INDEX('Lớp 5 - Phân công'!$AV$14:$AV$262,MATCH($X199,'Lớp 5 - Phân công'!$I$14:$I$262,0)),""),6,IFERROR(INDEX('Lớp 6 - Chi tiết'!$AY$14:$AY$267,MATCH($X199,'Lớp 6 - Chi tiết'!$I$14:$I$267,0)),""),""))</f>
        <v/>
      </c>
    </row>
    <row r="200" ht="15.75" customHeight="1">
      <c r="A200" s="294" t="str">
        <f t="shared" si="12"/>
        <v/>
      </c>
      <c r="B200" s="301" t="str">
        <f t="shared" si="13"/>
        <v/>
      </c>
      <c r="C200" s="301" t="str">
        <f t="shared" si="14"/>
        <v/>
      </c>
      <c r="D200" s="301" t="str">
        <f t="shared" si="15"/>
        <v/>
      </c>
      <c r="E200" s="301" t="str">
        <f t="shared" si="16"/>
        <v/>
      </c>
      <c r="F200" s="317" t="str">
        <f t="shared" si="17"/>
        <v/>
      </c>
      <c r="G200" s="323" t="str">
        <f t="shared" si="18"/>
        <v/>
      </c>
      <c r="H200" s="327" t="str">
        <f t="shared" si="19"/>
        <v/>
      </c>
      <c r="I200" s="327" t="str">
        <f t="shared" si="20"/>
        <v/>
      </c>
      <c r="J200" s="301" t="str">
        <f t="shared" si="21"/>
        <v/>
      </c>
      <c r="K200" s="301" t="str">
        <f t="shared" si="22"/>
        <v/>
      </c>
      <c r="L200" s="344" t="str">
        <f t="array" ref="L200">IF($T200="","",LET(m,MATCH($T200,$AS$24:$AS$700,0),lvl,INDEX($W$24:$W$700,m),id,INDEX($X$24:$X$700,m),SWITCH(lvl,3,"Lớp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0" s="351" t="str">
        <f t="shared" si="23"/>
        <v/>
      </c>
      <c r="N200" s="356" t="str">
        <f t="shared" si="24"/>
        <v/>
      </c>
      <c r="O200" s="358"/>
      <c r="P200" s="360"/>
      <c r="Q200" s="360"/>
      <c r="R200" s="67"/>
      <c r="S200" s="67"/>
      <c r="T200" s="67"/>
      <c r="U200" s="389" t="str">
        <f>IF('Lớp 4 - Danh mục'!I130="","",'Lớp 4 - Danh mục'!J130&amp;"|"&amp;'Lớp 4 - Danh mục'!I130)</f>
        <v/>
      </c>
      <c r="V200" s="389" t="str">
        <f>IF('Lớp 4 - Danh mục'!I130="","","   ├─ "&amp;'Lớp 4 - Danh mục'!O130)</f>
        <v/>
      </c>
      <c r="W200" s="389" t="str">
        <f>IF('Lớp 4 - Danh mục'!I130="","",4)</f>
        <v/>
      </c>
      <c r="X200" s="67" t="str">
        <f>'Lớp 4 - Danh mục'!I130</f>
        <v/>
      </c>
      <c r="Y200" s="67" t="str">
        <f>'Lớp 4 - Danh mục'!J130</f>
        <v/>
      </c>
      <c r="Z200" s="67" t="str">
        <f>'Lớp 4 - Danh mục'!Z130</f>
        <v/>
      </c>
      <c r="AA200" s="67" t="str">
        <f>'Lớp 4 - Danh mục'!X130</f>
        <v/>
      </c>
      <c r="AB200" s="67" t="str">
        <f>'Lớp 4 - Danh mục'!AB130</f>
        <v/>
      </c>
      <c r="AC200" s="67" t="str">
        <f>'Lớp 4 - Danh mục'!AA130</f>
        <v/>
      </c>
      <c r="AD200" s="398" t="str">
        <f>'Lớp 4 - Danh mục'!AF130</f>
        <v/>
      </c>
      <c r="AE200" s="358" t="str">
        <f>'Lớp 4 - Danh mục'!AD130</f>
        <v/>
      </c>
      <c r="AF200" s="187" t="str">
        <f>'Lớp 4 - Danh mục'!AG130</f>
        <v/>
      </c>
      <c r="AG200" s="104" t="str">
        <f>'Lớp 4 - Danh mục'!AH130</f>
        <v/>
      </c>
      <c r="AH200" s="389" t="str">
        <f t="shared" si="27"/>
        <v/>
      </c>
      <c r="AI200" s="389" t="str">
        <f t="shared" si="37"/>
        <v>🔵 Chưa có hạn</v>
      </c>
      <c r="AJ200" s="67" t="str">
        <f>'Lớp 4 - Danh mục'!AK130</f>
        <v/>
      </c>
      <c r="AS200" s="389" t="str">
        <f t="shared" si="97"/>
        <v/>
      </c>
      <c r="AT200" s="389" t="str">
        <f t="shared" si="32"/>
        <v/>
      </c>
      <c r="AU200" s="389" t="str">
        <f t="shared" si="33"/>
        <v/>
      </c>
      <c r="AV200" s="389" t="str">
        <f t="shared" si="34"/>
        <v/>
      </c>
      <c r="AW200" s="389" t="str">
        <f t="shared" si="35"/>
        <v/>
      </c>
      <c r="AX200" s="67" t="str">
        <f t="shared" ref="AX200:BH200" si="213">Z200</f>
        <v/>
      </c>
      <c r="AY200" s="67" t="str">
        <f t="shared" si="213"/>
        <v/>
      </c>
      <c r="AZ200" s="67" t="str">
        <f t="shared" si="213"/>
        <v/>
      </c>
      <c r="BA200" s="67" t="str">
        <f t="shared" si="213"/>
        <v/>
      </c>
      <c r="BB200" s="398" t="str">
        <f t="shared" si="213"/>
        <v/>
      </c>
      <c r="BC200" s="358" t="str">
        <f t="shared" si="213"/>
        <v/>
      </c>
      <c r="BD200" s="187" t="str">
        <f t="shared" si="213"/>
        <v/>
      </c>
      <c r="BE200" s="104" t="str">
        <f t="shared" si="213"/>
        <v/>
      </c>
      <c r="BF200" s="389" t="str">
        <f t="shared" si="213"/>
        <v/>
      </c>
      <c r="BG200" s="389" t="str">
        <f t="shared" si="213"/>
        <v>🔵 Chưa có hạn</v>
      </c>
      <c r="BH200" s="67" t="str">
        <f t="shared" si="213"/>
        <v/>
      </c>
      <c r="BI200" s="389" t="str">
        <f t="array" ref="BI200">IF($X200="","",SWITCH($W200,3,IFERROR(INDEX('Lớp 3 - Công việc chính'!$AF$14:$AF$73,MATCH($X200,'Lớp 3 - Công việc chính'!$I$14:$I$73,0)),""),4,IFERROR(INDEX('Lớp 4 - Danh mục'!$AI$14:$AI$132,MATCH($X200,'Lớp 4 - Danh mục'!$I$14:$I$132,0)),""),5,IFERROR(INDEX('Lớp 5 - Phân công'!$AJ$14:$AJ$262,MATCH($X200,'Lớp 5 - Phân công'!$I$14:$I$262,0)),""),6,IFERROR(INDEX('Lớp 6 - Chi tiết'!$AM$14:$AM$267,MATCH($X200,'Lớp 6 - Chi tiết'!$I$14:$I$267,0)),""),""))</f>
        <v/>
      </c>
      <c r="BJ200" s="389" t="str">
        <f t="array" ref="BJ200">IF($X200="","",SWITCH($W200,3,IFERROR(INDEX('Lớp 3 - Công việc chính'!$AR$14:$AR$73,MATCH($X200,'Lớp 3 - Công việc chính'!$I$14:$I$73,0)),""),4,IFERROR(INDEX('Lớp 4 - Danh mục'!$AU$14:$AU$132,MATCH($X200,'Lớp 4 - Danh mục'!$I$14:$I$132,0)),""),5,IFERROR(INDEX('Lớp 5 - Phân công'!$AV$14:$AV$262,MATCH($X200,'Lớp 5 - Phân công'!$I$14:$I$262,0)),""),6,IFERROR(INDEX('Lớp 6 - Chi tiết'!$AY$14:$AY$267,MATCH($X200,'Lớp 6 - Chi tiết'!$I$14:$I$267,0)),""),""))</f>
        <v/>
      </c>
    </row>
    <row r="201" ht="15.75" customHeight="1">
      <c r="A201" s="294" t="str">
        <f t="shared" si="12"/>
        <v/>
      </c>
      <c r="B201" s="301" t="str">
        <f t="shared" si="13"/>
        <v/>
      </c>
      <c r="C201" s="301" t="str">
        <f t="shared" si="14"/>
        <v/>
      </c>
      <c r="D201" s="301" t="str">
        <f t="shared" si="15"/>
        <v/>
      </c>
      <c r="E201" s="301" t="str">
        <f t="shared" si="16"/>
        <v/>
      </c>
      <c r="F201" s="317" t="str">
        <f t="shared" si="17"/>
        <v/>
      </c>
      <c r="G201" s="323" t="str">
        <f t="shared" si="18"/>
        <v/>
      </c>
      <c r="H201" s="327" t="str">
        <f t="shared" si="19"/>
        <v/>
      </c>
      <c r="I201" s="327" t="str">
        <f t="shared" si="20"/>
        <v/>
      </c>
      <c r="J201" s="301" t="str">
        <f t="shared" si="21"/>
        <v/>
      </c>
      <c r="K201" s="301" t="str">
        <f t="shared" si="22"/>
        <v/>
      </c>
      <c r="L201" s="344" t="str">
        <f t="array" ref="L201">IF($T201="","",LET(m,MATCH($T201,$AS$24:$AS$700,0),lvl,INDEX($W$24:$W$700,m),id,INDEX($X$24:$X$700,m),SWITCH(lvl,3,"Lớp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1" s="351" t="str">
        <f t="shared" si="23"/>
        <v/>
      </c>
      <c r="N201" s="356" t="str">
        <f t="shared" si="24"/>
        <v/>
      </c>
      <c r="O201" s="358"/>
      <c r="P201" s="360"/>
      <c r="Q201" s="360"/>
      <c r="R201" s="67"/>
      <c r="S201" s="67"/>
      <c r="T201" s="67"/>
      <c r="U201" s="389" t="str">
        <f>IF('Lớp 4 - Danh mục'!I131="","",'Lớp 4 - Danh mục'!J131&amp;"|"&amp;'Lớp 4 - Danh mục'!I131)</f>
        <v/>
      </c>
      <c r="V201" s="389" t="str">
        <f>IF('Lớp 4 - Danh mục'!I131="","","   ├─ "&amp;'Lớp 4 - Danh mục'!O131)</f>
        <v/>
      </c>
      <c r="W201" s="389" t="str">
        <f>IF('Lớp 4 - Danh mục'!I131="","",4)</f>
        <v/>
      </c>
      <c r="X201" s="67" t="str">
        <f>'Lớp 4 - Danh mục'!I131</f>
        <v/>
      </c>
      <c r="Y201" s="67" t="str">
        <f>'Lớp 4 - Danh mục'!J131</f>
        <v/>
      </c>
      <c r="Z201" s="67" t="str">
        <f>'Lớp 4 - Danh mục'!Z131</f>
        <v/>
      </c>
      <c r="AA201" s="67" t="str">
        <f>'Lớp 4 - Danh mục'!X131</f>
        <v/>
      </c>
      <c r="AB201" s="67" t="str">
        <f>'Lớp 4 - Danh mục'!AB131</f>
        <v/>
      </c>
      <c r="AC201" s="67" t="str">
        <f>'Lớp 4 - Danh mục'!AA131</f>
        <v/>
      </c>
      <c r="AD201" s="398" t="str">
        <f>'Lớp 4 - Danh mục'!AF131</f>
        <v/>
      </c>
      <c r="AE201" s="358" t="str">
        <f>'Lớp 4 - Danh mục'!AD131</f>
        <v/>
      </c>
      <c r="AF201" s="187" t="str">
        <f>'Lớp 4 - Danh mục'!AG131</f>
        <v/>
      </c>
      <c r="AG201" s="104" t="str">
        <f>'Lớp 4 - Danh mục'!AH131</f>
        <v/>
      </c>
      <c r="AH201" s="389" t="str">
        <f t="shared" si="27"/>
        <v/>
      </c>
      <c r="AI201" s="389" t="str">
        <f t="shared" si="37"/>
        <v>🔵 Chưa có hạn</v>
      </c>
      <c r="AJ201" s="67" t="str">
        <f>'Lớp 4 - Danh mục'!AK131</f>
        <v/>
      </c>
      <c r="AS201" s="389" t="str">
        <f t="shared" si="97"/>
        <v/>
      </c>
      <c r="AT201" s="389" t="str">
        <f t="shared" si="32"/>
        <v/>
      </c>
      <c r="AU201" s="389" t="str">
        <f t="shared" si="33"/>
        <v/>
      </c>
      <c r="AV201" s="389" t="str">
        <f t="shared" si="34"/>
        <v/>
      </c>
      <c r="AW201" s="389" t="str">
        <f t="shared" si="35"/>
        <v/>
      </c>
      <c r="AX201" s="67" t="str">
        <f t="shared" ref="AX201:BH201" si="214">Z201</f>
        <v/>
      </c>
      <c r="AY201" s="67" t="str">
        <f t="shared" si="214"/>
        <v/>
      </c>
      <c r="AZ201" s="67" t="str">
        <f t="shared" si="214"/>
        <v/>
      </c>
      <c r="BA201" s="67" t="str">
        <f t="shared" si="214"/>
        <v/>
      </c>
      <c r="BB201" s="398" t="str">
        <f t="shared" si="214"/>
        <v/>
      </c>
      <c r="BC201" s="358" t="str">
        <f t="shared" si="214"/>
        <v/>
      </c>
      <c r="BD201" s="187" t="str">
        <f t="shared" si="214"/>
        <v/>
      </c>
      <c r="BE201" s="104" t="str">
        <f t="shared" si="214"/>
        <v/>
      </c>
      <c r="BF201" s="389" t="str">
        <f t="shared" si="214"/>
        <v/>
      </c>
      <c r="BG201" s="389" t="str">
        <f t="shared" si="214"/>
        <v>🔵 Chưa có hạn</v>
      </c>
      <c r="BH201" s="67" t="str">
        <f t="shared" si="214"/>
        <v/>
      </c>
      <c r="BI201" s="389" t="str">
        <f t="array" ref="BI201">IF($X201="","",SWITCH($W201,3,IFERROR(INDEX('Lớp 3 - Công việc chính'!$AF$14:$AF$73,MATCH($X201,'Lớp 3 - Công việc chính'!$I$14:$I$73,0)),""),4,IFERROR(INDEX('Lớp 4 - Danh mục'!$AI$14:$AI$132,MATCH($X201,'Lớp 4 - Danh mục'!$I$14:$I$132,0)),""),5,IFERROR(INDEX('Lớp 5 - Phân công'!$AJ$14:$AJ$262,MATCH($X201,'Lớp 5 - Phân công'!$I$14:$I$262,0)),""),6,IFERROR(INDEX('Lớp 6 - Chi tiết'!$AM$14:$AM$267,MATCH($X201,'Lớp 6 - Chi tiết'!$I$14:$I$267,0)),""),""))</f>
        <v/>
      </c>
      <c r="BJ201" s="389" t="str">
        <f t="array" ref="BJ201">IF($X201="","",SWITCH($W201,3,IFERROR(INDEX('Lớp 3 - Công việc chính'!$AR$14:$AR$73,MATCH($X201,'Lớp 3 - Công việc chính'!$I$14:$I$73,0)),""),4,IFERROR(INDEX('Lớp 4 - Danh mục'!$AU$14:$AU$132,MATCH($X201,'Lớp 4 - Danh mục'!$I$14:$I$132,0)),""),5,IFERROR(INDEX('Lớp 5 - Phân công'!$AV$14:$AV$262,MATCH($X201,'Lớp 5 - Phân công'!$I$14:$I$262,0)),""),6,IFERROR(INDEX('Lớp 6 - Chi tiết'!$AY$14:$AY$267,MATCH($X201,'Lớp 6 - Chi tiết'!$I$14:$I$267,0)),""),""))</f>
        <v/>
      </c>
    </row>
    <row r="202" ht="15.75" customHeight="1">
      <c r="A202" s="294" t="str">
        <f t="shared" si="12"/>
        <v/>
      </c>
      <c r="B202" s="301" t="str">
        <f t="shared" si="13"/>
        <v/>
      </c>
      <c r="C202" s="301" t="str">
        <f t="shared" si="14"/>
        <v/>
      </c>
      <c r="D202" s="301" t="str">
        <f t="shared" si="15"/>
        <v/>
      </c>
      <c r="E202" s="301" t="str">
        <f t="shared" si="16"/>
        <v/>
      </c>
      <c r="F202" s="317" t="str">
        <f t="shared" si="17"/>
        <v/>
      </c>
      <c r="G202" s="323" t="str">
        <f t="shared" si="18"/>
        <v/>
      </c>
      <c r="H202" s="327" t="str">
        <f t="shared" si="19"/>
        <v/>
      </c>
      <c r="I202" s="327" t="str">
        <f t="shared" si="20"/>
        <v/>
      </c>
      <c r="J202" s="301" t="str">
        <f t="shared" si="21"/>
        <v/>
      </c>
      <c r="K202" s="301" t="str">
        <f t="shared" si="22"/>
        <v/>
      </c>
      <c r="L202" s="344" t="str">
        <f t="array" ref="L202">IF($T202="","",LET(m,MATCH($T202,$AS$24:$AS$700,0),lvl,INDEX($W$24:$W$700,m),id,INDEX($X$24:$X$700,m),SWITCH(lvl,3,"Lớp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2" s="351" t="str">
        <f t="shared" si="23"/>
        <v/>
      </c>
      <c r="N202" s="356" t="str">
        <f t="shared" si="24"/>
        <v/>
      </c>
      <c r="O202" s="358"/>
      <c r="P202" s="360"/>
      <c r="Q202" s="360"/>
      <c r="R202" s="67"/>
      <c r="S202" s="67"/>
      <c r="T202" s="67"/>
      <c r="U202" s="389" t="str">
        <f>IF('Lớp 4 - Danh mục'!I132="","",'Lớp 4 - Danh mục'!J132&amp;"|"&amp;'Lớp 4 - Danh mục'!I132)</f>
        <v/>
      </c>
      <c r="V202" s="389" t="str">
        <f>IF('Lớp 4 - Danh mục'!I132="","","   ├─ "&amp;'Lớp 4 - Danh mục'!O132)</f>
        <v/>
      </c>
      <c r="W202" s="389" t="str">
        <f>IF('Lớp 4 - Danh mục'!I132="","",4)</f>
        <v/>
      </c>
      <c r="X202" s="67" t="str">
        <f>'Lớp 4 - Danh mục'!I132</f>
        <v/>
      </c>
      <c r="Y202" s="67" t="str">
        <f>'Lớp 4 - Danh mục'!J132</f>
        <v/>
      </c>
      <c r="Z202" s="67" t="str">
        <f>'Lớp 4 - Danh mục'!Z132</f>
        <v/>
      </c>
      <c r="AA202" s="67" t="str">
        <f>'Lớp 4 - Danh mục'!X132</f>
        <v/>
      </c>
      <c r="AB202" s="67" t="str">
        <f>'Lớp 4 - Danh mục'!AB132</f>
        <v/>
      </c>
      <c r="AC202" s="67" t="str">
        <f>'Lớp 4 - Danh mục'!AA132</f>
        <v/>
      </c>
      <c r="AD202" s="398" t="str">
        <f>'Lớp 4 - Danh mục'!AF132</f>
        <v/>
      </c>
      <c r="AE202" s="358" t="str">
        <f>'Lớp 4 - Danh mục'!AD132</f>
        <v/>
      </c>
      <c r="AF202" s="187" t="str">
        <f>'Lớp 4 - Danh mục'!AG132</f>
        <v/>
      </c>
      <c r="AG202" s="104" t="str">
        <f>'Lớp 4 - Danh mục'!AH132</f>
        <v/>
      </c>
      <c r="AH202" s="389" t="str">
        <f t="shared" si="27"/>
        <v/>
      </c>
      <c r="AI202" s="389" t="str">
        <f t="shared" si="37"/>
        <v>🔵 Chưa có hạn</v>
      </c>
      <c r="AJ202" s="67" t="str">
        <f>'Lớp 4 - Danh mục'!AK132</f>
        <v/>
      </c>
      <c r="AS202" s="389" t="str">
        <f t="shared" si="97"/>
        <v/>
      </c>
      <c r="AT202" s="389" t="str">
        <f t="shared" si="32"/>
        <v/>
      </c>
      <c r="AU202" s="389" t="str">
        <f t="shared" si="33"/>
        <v/>
      </c>
      <c r="AV202" s="389" t="str">
        <f t="shared" si="34"/>
        <v/>
      </c>
      <c r="AW202" s="389" t="str">
        <f t="shared" si="35"/>
        <v/>
      </c>
      <c r="AX202" s="67" t="str">
        <f t="shared" ref="AX202:BH202" si="215">Z202</f>
        <v/>
      </c>
      <c r="AY202" s="67" t="str">
        <f t="shared" si="215"/>
        <v/>
      </c>
      <c r="AZ202" s="67" t="str">
        <f t="shared" si="215"/>
        <v/>
      </c>
      <c r="BA202" s="67" t="str">
        <f t="shared" si="215"/>
        <v/>
      </c>
      <c r="BB202" s="398" t="str">
        <f t="shared" si="215"/>
        <v/>
      </c>
      <c r="BC202" s="358" t="str">
        <f t="shared" si="215"/>
        <v/>
      </c>
      <c r="BD202" s="187" t="str">
        <f t="shared" si="215"/>
        <v/>
      </c>
      <c r="BE202" s="104" t="str">
        <f t="shared" si="215"/>
        <v/>
      </c>
      <c r="BF202" s="389" t="str">
        <f t="shared" si="215"/>
        <v/>
      </c>
      <c r="BG202" s="389" t="str">
        <f t="shared" si="215"/>
        <v>🔵 Chưa có hạn</v>
      </c>
      <c r="BH202" s="67" t="str">
        <f t="shared" si="215"/>
        <v/>
      </c>
      <c r="BI202" s="389" t="str">
        <f t="array" ref="BI202">IF($X202="","",SWITCH($W202,3,IFERROR(INDEX('Lớp 3 - Công việc chính'!$AF$14:$AF$73,MATCH($X202,'Lớp 3 - Công việc chính'!$I$14:$I$73,0)),""),4,IFERROR(INDEX('Lớp 4 - Danh mục'!$AI$14:$AI$132,MATCH($X202,'Lớp 4 - Danh mục'!$I$14:$I$132,0)),""),5,IFERROR(INDEX('Lớp 5 - Phân công'!$AJ$14:$AJ$262,MATCH($X202,'Lớp 5 - Phân công'!$I$14:$I$262,0)),""),6,IFERROR(INDEX('Lớp 6 - Chi tiết'!$AM$14:$AM$267,MATCH($X202,'Lớp 6 - Chi tiết'!$I$14:$I$267,0)),""),""))</f>
        <v/>
      </c>
      <c r="BJ202" s="389" t="str">
        <f t="array" ref="BJ202">IF($X202="","",SWITCH($W202,3,IFERROR(INDEX('Lớp 3 - Công việc chính'!$AR$14:$AR$73,MATCH($X202,'Lớp 3 - Công việc chính'!$I$14:$I$73,0)),""),4,IFERROR(INDEX('Lớp 4 - Danh mục'!$AU$14:$AU$132,MATCH($X202,'Lớp 4 - Danh mục'!$I$14:$I$132,0)),""),5,IFERROR(INDEX('Lớp 5 - Phân công'!$AV$14:$AV$262,MATCH($X202,'Lớp 5 - Phân công'!$I$14:$I$262,0)),""),6,IFERROR(INDEX('Lớp 6 - Chi tiết'!$AY$14:$AY$267,MATCH($X202,'Lớp 6 - Chi tiết'!$I$14:$I$267,0)),""),""))</f>
        <v/>
      </c>
    </row>
    <row r="203" ht="15.75" customHeight="1">
      <c r="A203" s="294" t="str">
        <f t="shared" si="12"/>
        <v/>
      </c>
      <c r="B203" s="301" t="str">
        <f t="shared" si="13"/>
        <v/>
      </c>
      <c r="C203" s="301" t="str">
        <f t="shared" si="14"/>
        <v/>
      </c>
      <c r="D203" s="301" t="str">
        <f t="shared" si="15"/>
        <v/>
      </c>
      <c r="E203" s="301" t="str">
        <f t="shared" si="16"/>
        <v/>
      </c>
      <c r="F203" s="317" t="str">
        <f t="shared" si="17"/>
        <v/>
      </c>
      <c r="G203" s="323" t="str">
        <f t="shared" si="18"/>
        <v/>
      </c>
      <c r="H203" s="327" t="str">
        <f t="shared" si="19"/>
        <v/>
      </c>
      <c r="I203" s="327" t="str">
        <f t="shared" si="20"/>
        <v/>
      </c>
      <c r="J203" s="301" t="str">
        <f t="shared" si="21"/>
        <v/>
      </c>
      <c r="K203" s="301" t="str">
        <f t="shared" si="22"/>
        <v/>
      </c>
      <c r="L203" s="344" t="str">
        <f t="array" ref="L203">IF($T203="","",LET(m,MATCH($T203,$AS$24:$AS$700,0),lvl,INDEX($W$24:$W$700,m),id,INDEX($X$24:$X$700,m),SWITCH(lvl,3,"Lớp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3" s="351" t="str">
        <f t="shared" si="23"/>
        <v/>
      </c>
      <c r="N203" s="356" t="str">
        <f t="shared" si="24"/>
        <v/>
      </c>
      <c r="O203" s="358"/>
      <c r="P203" s="360"/>
      <c r="Q203" s="360"/>
      <c r="R203" s="67"/>
      <c r="S203" s="67"/>
      <c r="T203" s="67"/>
      <c r="U203" s="389" t="str">
        <f>IF('Lớp 5 - Phân công'!I14="","",'Lớp 5 - Phân công'!K14&amp;"|"&amp;'Lớp 5 - Phân công'!J14&amp;"|"&amp;'Lớp 5 - Phân công'!I14)</f>
        <v>HHL3CT03|HHL4DL01|HHL5DL01-01</v>
      </c>
      <c r="V203" s="389" t="str">
        <f>IF('Lớp 5 - Phân công'!I14="","","       ├─ "&amp;'Lớp 5 - Phân công'!Q14)</f>
        <v>       ├─ Liệt kê &amp; giải quyết vấn đề còn tồn tại công thức 2025 (CK/TK/phân biệt NPP) GT</v>
      </c>
      <c r="W203" s="389">
        <f>IF('Lớp 5 - Phân công'!I14="","",5)</f>
        <v>5</v>
      </c>
      <c r="X203" s="67" t="str">
        <f>'Lớp 5 - Phân công'!I14</f>
        <v>HHL5DL01-01</v>
      </c>
      <c r="Y203" s="67" t="str">
        <f>'Lớp 5 - Phân công'!J14</f>
        <v>HHL4DL01</v>
      </c>
      <c r="Z203" s="67" t="str">
        <f>'Lớp 5 - Phân công'!AA14</f>
        <v>GĐ BOC</v>
      </c>
      <c r="AA203" s="67" t="str">
        <f>'Lớp 5 - Phân công'!Z14</f>
        <v>Dữ liệu điều hành</v>
      </c>
      <c r="AB203" s="67" t="str">
        <f>'Lớp 5 - Phân công'!AC14</f>
        <v>P1</v>
      </c>
      <c r="AC203" s="67" t="str">
        <f>'Lớp 5 - Phân công'!AB14</f>
        <v>Chưa bắt đầu</v>
      </c>
      <c r="AD203" s="398">
        <f>'Lớp 5 - Phân công'!AG14</f>
        <v>0</v>
      </c>
      <c r="AE203" s="358">
        <f>'Lớp 5 - Phân công'!AE14</f>
        <v>46249</v>
      </c>
      <c r="AF203" s="187">
        <f>'Lớp 5 - Phân công'!AH14</f>
        <v>4</v>
      </c>
      <c r="AG203" s="104">
        <f>'Lớp 5 - Phân công'!AI14</f>
        <v>16</v>
      </c>
      <c r="AH203" s="389">
        <f t="shared" si="27"/>
        <v>16</v>
      </c>
      <c r="AI203" s="389" t="str">
        <f t="shared" si="37"/>
        <v>🟠 Hạn ≤7 ngày</v>
      </c>
      <c r="AJ203" s="67" t="str">
        <f>'Lớp 5 - Phân công'!AL14</f>
        <v>Bình thường – tổng 1.6/8.0 giờ/ngày</v>
      </c>
      <c r="AS203" s="389" t="str">
        <f t="shared" ref="AS203:AS451" si="217">IF(X203="","",IFERROR(INDEX($AS$84:$AS$202,MATCH(Y203,$X$84:$X$202,0))&amp;"."&amp;TEXT(COUNTIFS($Y$203:Y203,Y203,$X$203:X203,"&lt;&gt;"),"00"),"99.99."&amp;TEXT(ROW()-202,"00")))</f>
        <v>03.01.01</v>
      </c>
      <c r="AT203" s="389" t="str">
        <f t="shared" si="32"/>
        <v/>
      </c>
      <c r="AU203" s="389" t="str">
        <f t="shared" si="33"/>
        <v/>
      </c>
      <c r="AV203" s="389" t="str">
        <f t="shared" si="34"/>
        <v>Liệt kê &amp; giải quyết vấn đề còn tồn tại công thức 2025 (CK/TK/phân biệt NPP) GT</v>
      </c>
      <c r="AW203" s="389" t="str">
        <f t="shared" si="35"/>
        <v/>
      </c>
      <c r="AX203" s="67" t="str">
        <f t="shared" ref="AX203:BH203" si="216">Z203</f>
        <v>GĐ BOC</v>
      </c>
      <c r="AY203" s="67" t="str">
        <f t="shared" si="216"/>
        <v>Dữ liệu điều hành</v>
      </c>
      <c r="AZ203" s="67" t="str">
        <f t="shared" si="216"/>
        <v>P1</v>
      </c>
      <c r="BA203" s="67" t="str">
        <f t="shared" si="216"/>
        <v>Chưa bắt đầu</v>
      </c>
      <c r="BB203" s="398">
        <f t="shared" si="216"/>
        <v>0</v>
      </c>
      <c r="BC203" s="358">
        <f t="shared" si="216"/>
        <v>46249</v>
      </c>
      <c r="BD203" s="187">
        <f t="shared" si="216"/>
        <v>4</v>
      </c>
      <c r="BE203" s="104">
        <f t="shared" si="216"/>
        <v>16</v>
      </c>
      <c r="BF203" s="389">
        <f t="shared" si="216"/>
        <v>16</v>
      </c>
      <c r="BG203" s="389" t="str">
        <f t="shared" si="216"/>
        <v>🟠 Hạn ≤7 ngày</v>
      </c>
      <c r="BH203" s="67" t="str">
        <f t="shared" si="216"/>
        <v>Bình thường – tổng 1.6/8.0 giờ/ngày</v>
      </c>
      <c r="BI203" s="389">
        <f t="array" ref="BI203">IF($X203="","",SWITCH($W203,3,IFERROR(INDEX('Lớp 3 - Công việc chính'!$AF$14:$AF$73,MATCH($X203,'Lớp 3 - Công việc chính'!$I$14:$I$73,0)),""),4,IFERROR(INDEX('Lớp 4 - Danh mục'!$AI$14:$AI$132,MATCH($X203,'Lớp 4 - Danh mục'!$I$14:$I$132,0)),""),5,IFERROR(INDEX('Lớp 5 - Phân công'!$AJ$14:$AJ$262,MATCH($X203,'Lớp 5 - Phân công'!$I$14:$I$262,0)),""),6,IFERROR(INDEX('Lớp 6 - Chi tiết'!$AM$14:$AM$267,MATCH($X203,'Lớp 6 - Chi tiết'!$I$14:$I$267,0)),""),""))</f>
        <v>1.6</v>
      </c>
      <c r="BJ203" s="389" t="str">
        <f t="array" ref="BJ203">IF($X203="","",SWITCH($W203,3,IFERROR(INDEX('Lớp 3 - Công việc chính'!$AR$14:$AR$73,MATCH($X203,'Lớp 3 - Công việc chính'!$I$14:$I$73,0)),""),4,IFERROR(INDEX('Lớp 4 - Danh mục'!$AU$14:$AU$132,MATCH($X203,'Lớp 4 - Danh mục'!$I$14:$I$132,0)),""),5,IFERROR(INDEX('Lớp 5 - Phân công'!$AV$14:$AV$262,MATCH($X203,'Lớp 5 - Phân công'!$I$14:$I$262,0)),""),6,IFERROR(INDEX('Lớp 6 - Chi tiết'!$AY$14:$AY$267,MATCH($X203,'Lớp 6 - Chi tiết'!$I$14:$I$267,0)),""),""))</f>
        <v>Thiếu 12.0 giờ/tuần</v>
      </c>
    </row>
    <row r="204" ht="15.75" customHeight="1">
      <c r="A204" s="294" t="str">
        <f t="shared" si="12"/>
        <v/>
      </c>
      <c r="B204" s="301" t="str">
        <f t="shared" si="13"/>
        <v/>
      </c>
      <c r="C204" s="301" t="str">
        <f t="shared" si="14"/>
        <v/>
      </c>
      <c r="D204" s="301" t="str">
        <f t="shared" si="15"/>
        <v/>
      </c>
      <c r="E204" s="301" t="str">
        <f t="shared" si="16"/>
        <v/>
      </c>
      <c r="F204" s="317" t="str">
        <f t="shared" si="17"/>
        <v/>
      </c>
      <c r="G204" s="323" t="str">
        <f t="shared" si="18"/>
        <v/>
      </c>
      <c r="H204" s="327" t="str">
        <f t="shared" si="19"/>
        <v/>
      </c>
      <c r="I204" s="327" t="str">
        <f t="shared" si="20"/>
        <v/>
      </c>
      <c r="J204" s="301" t="str">
        <f t="shared" si="21"/>
        <v/>
      </c>
      <c r="K204" s="301" t="str">
        <f t="shared" si="22"/>
        <v/>
      </c>
      <c r="L204" s="344" t="str">
        <f t="array" ref="L204">IF($T204="","",LET(m,MATCH($T204,$AS$24:$AS$700,0),lvl,INDEX($W$24:$W$700,m),id,INDEX($X$24:$X$700,m),SWITCH(lvl,3,"Lớp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4" s="351" t="str">
        <f t="shared" si="23"/>
        <v/>
      </c>
      <c r="N204" s="356" t="str">
        <f t="shared" si="24"/>
        <v/>
      </c>
      <c r="O204" s="358"/>
      <c r="P204" s="360"/>
      <c r="Q204" s="360"/>
      <c r="R204" s="67"/>
      <c r="S204" s="67"/>
      <c r="T204" s="67"/>
      <c r="U204" s="389" t="str">
        <f>IF('Lớp 5 - Phân công'!I15="","",'Lớp 5 - Phân công'!K15&amp;"|"&amp;'Lớp 5 - Phân công'!J15&amp;"|"&amp;'Lớp 5 - Phân công'!I15)</f>
        <v>HHL3CT03|HHL4DL01|HHL5DL01-02</v>
      </c>
      <c r="V204" s="389" t="str">
        <f>IF('Lớp 5 - Phân công'!I15="","","       ├─ "&amp;'Lớp 5 - Phân công'!Q15)</f>
        <v>       ├─ Chốt lại đề bài với GĐ BOC &amp; GT</v>
      </c>
      <c r="W204" s="389">
        <f>IF('Lớp 5 - Phân công'!I15="","",5)</f>
        <v>5</v>
      </c>
      <c r="X204" s="67" t="str">
        <f>'Lớp 5 - Phân công'!I15</f>
        <v>HHL5DL01-02</v>
      </c>
      <c r="Y204" s="67" t="str">
        <f>'Lớp 5 - Phân công'!J15</f>
        <v>HHL4DL01</v>
      </c>
      <c r="Z204" s="67" t="str">
        <f>'Lớp 5 - Phân công'!AA15</f>
        <v>GĐ BOC</v>
      </c>
      <c r="AA204" s="67" t="str">
        <f>'Lớp 5 - Phân công'!Z15</f>
        <v>Dữ liệu điều hành</v>
      </c>
      <c r="AB204" s="67" t="str">
        <f>'Lớp 5 - Phân công'!AC15</f>
        <v>P1</v>
      </c>
      <c r="AC204" s="67" t="str">
        <f>'Lớp 5 - Phân công'!AB15</f>
        <v>Chưa bắt đầu</v>
      </c>
      <c r="AD204" s="398">
        <f>'Lớp 5 - Phân công'!AG15</f>
        <v>0</v>
      </c>
      <c r="AE204" s="358">
        <f>'Lớp 5 - Phân công'!AE15</f>
        <v>46254</v>
      </c>
      <c r="AF204" s="187">
        <f>'Lớp 5 - Phân công'!AH15</f>
        <v>4</v>
      </c>
      <c r="AG204" s="104">
        <f>'Lớp 5 - Phân công'!AI15</f>
        <v>4</v>
      </c>
      <c r="AH204" s="389">
        <f t="shared" si="27"/>
        <v>4</v>
      </c>
      <c r="AI204" s="389" t="str">
        <f t="shared" si="37"/>
        <v>🟣 P1 trọng yếu</v>
      </c>
      <c r="AJ204" s="67" t="str">
        <f>'Lớp 5 - Phân công'!AL15</f>
        <v>Bình thường – tổng 0.8/8.0 giờ/ngày</v>
      </c>
      <c r="AS204" s="389" t="str">
        <f t="shared" si="217"/>
        <v>03.01.02</v>
      </c>
      <c r="AT204" s="389" t="str">
        <f t="shared" si="32"/>
        <v/>
      </c>
      <c r="AU204" s="389" t="str">
        <f t="shared" si="33"/>
        <v/>
      </c>
      <c r="AV204" s="389" t="str">
        <f t="shared" si="34"/>
        <v>Chốt lại đề bài với GĐ BOC &amp; GT</v>
      </c>
      <c r="AW204" s="389" t="str">
        <f t="shared" si="35"/>
        <v/>
      </c>
      <c r="AX204" s="67" t="str">
        <f t="shared" ref="AX204:BH204" si="218">Z204</f>
        <v>GĐ BOC</v>
      </c>
      <c r="AY204" s="67" t="str">
        <f t="shared" si="218"/>
        <v>Dữ liệu điều hành</v>
      </c>
      <c r="AZ204" s="67" t="str">
        <f t="shared" si="218"/>
        <v>P1</v>
      </c>
      <c r="BA204" s="67" t="str">
        <f t="shared" si="218"/>
        <v>Chưa bắt đầu</v>
      </c>
      <c r="BB204" s="398">
        <f t="shared" si="218"/>
        <v>0</v>
      </c>
      <c r="BC204" s="358">
        <f t="shared" si="218"/>
        <v>46254</v>
      </c>
      <c r="BD204" s="187">
        <f t="shared" si="218"/>
        <v>4</v>
      </c>
      <c r="BE204" s="104">
        <f t="shared" si="218"/>
        <v>4</v>
      </c>
      <c r="BF204" s="389">
        <f t="shared" si="218"/>
        <v>4</v>
      </c>
      <c r="BG204" s="389" t="str">
        <f t="shared" si="218"/>
        <v>🟣 P1 trọng yếu</v>
      </c>
      <c r="BH204" s="67" t="str">
        <f t="shared" si="218"/>
        <v>Bình thường – tổng 0.8/8.0 giờ/ngày</v>
      </c>
      <c r="BI204" s="389">
        <f t="array" ref="BI204">IF($X204="","",SWITCH($W204,3,IFERROR(INDEX('Lớp 3 - Công việc chính'!$AF$14:$AF$73,MATCH($X204,'Lớp 3 - Công việc chính'!$I$14:$I$73,0)),""),4,IFERROR(INDEX('Lớp 4 - Danh mục'!$AI$14:$AI$132,MATCH($X204,'Lớp 4 - Danh mục'!$I$14:$I$132,0)),""),5,IFERROR(INDEX('Lớp 5 - Phân công'!$AJ$14:$AJ$262,MATCH($X204,'Lớp 5 - Phân công'!$I$14:$I$262,0)),""),6,IFERROR(INDEX('Lớp 6 - Chi tiết'!$AM$14:$AM$267,MATCH($X204,'Lớp 6 - Chi tiết'!$I$14:$I$267,0)),""),""))</f>
        <v>0.8</v>
      </c>
      <c r="BJ204" s="389" t="str">
        <f t="array" ref="BJ204">IF($X204="","",SWITCH($W204,3,IFERROR(INDEX('Lớp 3 - Công việc chính'!$AR$14:$AR$73,MATCH($X204,'Lớp 3 - Công việc chính'!$I$14:$I$73,0)),""),4,IFERROR(INDEX('Lớp 4 - Danh mục'!$AU$14:$AU$132,MATCH($X204,'Lớp 4 - Danh mục'!$I$14:$I$132,0)),""),5,IFERROR(INDEX('Lớp 5 - Phân công'!$AV$14:$AV$262,MATCH($X204,'Lớp 5 - Phân công'!$I$14:$I$262,0)),""),6,IFERROR(INDEX('Lớp 6 - Chi tiết'!$AY$14:$AY$267,MATCH($X204,'Lớp 6 - Chi tiết'!$I$14:$I$267,0)),""),""))</f>
        <v>Thiếu 1.0 giờ/tuần</v>
      </c>
    </row>
    <row r="205" ht="15.75" customHeight="1">
      <c r="A205" s="294" t="str">
        <f t="shared" si="12"/>
        <v/>
      </c>
      <c r="B205" s="301" t="str">
        <f t="shared" si="13"/>
        <v/>
      </c>
      <c r="C205" s="301" t="str">
        <f t="shared" si="14"/>
        <v/>
      </c>
      <c r="D205" s="301" t="str">
        <f t="shared" si="15"/>
        <v/>
      </c>
      <c r="E205" s="301" t="str">
        <f t="shared" si="16"/>
        <v/>
      </c>
      <c r="F205" s="317" t="str">
        <f t="shared" si="17"/>
        <v/>
      </c>
      <c r="G205" s="323" t="str">
        <f t="shared" si="18"/>
        <v/>
      </c>
      <c r="H205" s="327" t="str">
        <f t="shared" si="19"/>
        <v/>
      </c>
      <c r="I205" s="327" t="str">
        <f t="shared" si="20"/>
        <v/>
      </c>
      <c r="J205" s="301" t="str">
        <f t="shared" si="21"/>
        <v/>
      </c>
      <c r="K205" s="301" t="str">
        <f t="shared" si="22"/>
        <v/>
      </c>
      <c r="L205" s="344" t="str">
        <f t="array" ref="L205">IF($T205="","",LET(m,MATCH($T205,$AS$24:$AS$700,0),lvl,INDEX($W$24:$W$700,m),id,INDEX($X$24:$X$700,m),SWITCH(lvl,3,"Lớp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5" s="351" t="str">
        <f t="shared" si="23"/>
        <v/>
      </c>
      <c r="N205" s="356" t="str">
        <f t="shared" si="24"/>
        <v/>
      </c>
      <c r="O205" s="358"/>
      <c r="P205" s="360"/>
      <c r="Q205" s="360"/>
      <c r="R205" s="67"/>
      <c r="S205" s="67"/>
      <c r="T205" s="67"/>
      <c r="U205" s="389" t="str">
        <f>IF('Lớp 5 - Phân công'!I16="","",'Lớp 5 - Phân công'!K16&amp;"|"&amp;'Lớp 5 - Phân công'!J16&amp;"|"&amp;'Lớp 5 - Phân công'!I16)</f>
        <v>HHL3CT03|HHL4DL01|HHL5DL01-03</v>
      </c>
      <c r="V205" s="389" t="str">
        <f>IF('Lớp 5 - Phân công'!I16="","","       ├─ "&amp;'Lớp 5 - Phân công'!Q16)</f>
        <v>       ├─ XD bảng Excel &amp; HT phần mềm (chạy demo) &amp;GT</v>
      </c>
      <c r="W205" s="389">
        <f>IF('Lớp 5 - Phân công'!I16="","",5)</f>
        <v>5</v>
      </c>
      <c r="X205" s="67" t="str">
        <f>'Lớp 5 - Phân công'!I16</f>
        <v>HHL5DL01-03</v>
      </c>
      <c r="Y205" s="67" t="str">
        <f>'Lớp 5 - Phân công'!J16</f>
        <v>HHL4DL01</v>
      </c>
      <c r="Z205" s="67" t="str">
        <f>'Lớp 5 - Phân công'!AA16</f>
        <v>Em Đại</v>
      </c>
      <c r="AA205" s="67" t="str">
        <f>'Lớp 5 - Phân công'!Z16</f>
        <v>Dữ liệu điều hành</v>
      </c>
      <c r="AB205" s="67" t="str">
        <f>'Lớp 5 - Phân công'!AC16</f>
        <v>P1</v>
      </c>
      <c r="AC205" s="67" t="str">
        <f>'Lớp 5 - Phân công'!AB16</f>
        <v>Chưa bắt đầu</v>
      </c>
      <c r="AD205" s="398">
        <f>'Lớp 5 - Phân công'!AG16</f>
        <v>0</v>
      </c>
      <c r="AE205" s="358">
        <f>'Lớp 5 - Phân công'!AE16</f>
        <v>46264</v>
      </c>
      <c r="AF205" s="187">
        <f>'Lớp 5 - Phân công'!AH16</f>
        <v>8</v>
      </c>
      <c r="AG205" s="104">
        <f>'Lớp 5 - Phân công'!AI16</f>
        <v>16</v>
      </c>
      <c r="AH205" s="389">
        <f t="shared" si="27"/>
        <v>16</v>
      </c>
      <c r="AI205" s="389" t="str">
        <f t="shared" si="37"/>
        <v>🟣 P1 trọng yếu</v>
      </c>
      <c r="AJ205" s="67" t="str">
        <f>'Lớp 5 - Phân công'!AL16</f>
        <v>Bình thường – tổng 3.2/8.0 giờ/ngày</v>
      </c>
      <c r="AS205" s="389" t="str">
        <f t="shared" si="217"/>
        <v>03.01.03</v>
      </c>
      <c r="AT205" s="389" t="str">
        <f t="shared" si="32"/>
        <v/>
      </c>
      <c r="AU205" s="389" t="str">
        <f t="shared" si="33"/>
        <v/>
      </c>
      <c r="AV205" s="389" t="str">
        <f t="shared" si="34"/>
        <v>XD bảng Excel &amp; HT phần mềm (chạy demo) &amp;GT</v>
      </c>
      <c r="AW205" s="389" t="str">
        <f t="shared" si="35"/>
        <v/>
      </c>
      <c r="AX205" s="67" t="str">
        <f t="shared" ref="AX205:BH205" si="219">Z205</f>
        <v>Em Đại</v>
      </c>
      <c r="AY205" s="67" t="str">
        <f t="shared" si="219"/>
        <v>Dữ liệu điều hành</v>
      </c>
      <c r="AZ205" s="67" t="str">
        <f t="shared" si="219"/>
        <v>P1</v>
      </c>
      <c r="BA205" s="67" t="str">
        <f t="shared" si="219"/>
        <v>Chưa bắt đầu</v>
      </c>
      <c r="BB205" s="398">
        <f t="shared" si="219"/>
        <v>0</v>
      </c>
      <c r="BC205" s="358">
        <f t="shared" si="219"/>
        <v>46264</v>
      </c>
      <c r="BD205" s="187">
        <f t="shared" si="219"/>
        <v>8</v>
      </c>
      <c r="BE205" s="104">
        <f t="shared" si="219"/>
        <v>16</v>
      </c>
      <c r="BF205" s="389">
        <f t="shared" si="219"/>
        <v>16</v>
      </c>
      <c r="BG205" s="389" t="str">
        <f t="shared" si="219"/>
        <v>🟣 P1 trọng yếu</v>
      </c>
      <c r="BH205" s="67" t="str">
        <f t="shared" si="219"/>
        <v>Bình thường – tổng 3.2/8.0 giờ/ngày</v>
      </c>
      <c r="BI205" s="389">
        <f t="array" ref="BI205">IF($X205="","",SWITCH($W205,3,IFERROR(INDEX('Lớp 3 - Công việc chính'!$AF$14:$AF$73,MATCH($X205,'Lớp 3 - Công việc chính'!$I$14:$I$73,0)),""),4,IFERROR(INDEX('Lớp 4 - Danh mục'!$AI$14:$AI$132,MATCH($X205,'Lớp 4 - Danh mục'!$I$14:$I$132,0)),""),5,IFERROR(INDEX('Lớp 5 - Phân công'!$AJ$14:$AJ$262,MATCH($X205,'Lớp 5 - Phân công'!$I$14:$I$262,0)),""),6,IFERROR(INDEX('Lớp 6 - Chi tiết'!$AM$14:$AM$267,MATCH($X205,'Lớp 6 - Chi tiết'!$I$14:$I$267,0)),""),""))</f>
        <v>3.2</v>
      </c>
      <c r="BJ205" s="389" t="str">
        <f t="array" ref="BJ205">IF($X205="","",SWITCH($W205,3,IFERROR(INDEX('Lớp 3 - Công việc chính'!$AR$14:$AR$73,MATCH($X205,'Lớp 3 - Công việc chính'!$I$14:$I$73,0)),""),4,IFERROR(INDEX('Lớp 4 - Danh mục'!$AU$14:$AU$132,MATCH($X205,'Lớp 4 - Danh mục'!$I$14:$I$132,0)),""),5,IFERROR(INDEX('Lớp 5 - Phân công'!$AV$14:$AV$262,MATCH($X205,'Lớp 5 - Phân công'!$I$14:$I$262,0)),""),6,IFERROR(INDEX('Lớp 6 - Chi tiết'!$AY$14:$AY$267,MATCH($X205,'Lớp 6 - Chi tiết'!$I$14:$I$267,0)),""),""))</f>
        <v>Đủ phân bổ theo tuần</v>
      </c>
    </row>
    <row r="206" ht="15.75" customHeight="1">
      <c r="A206" s="294" t="str">
        <f t="shared" si="12"/>
        <v/>
      </c>
      <c r="B206" s="301" t="str">
        <f t="shared" si="13"/>
        <v/>
      </c>
      <c r="C206" s="301" t="str">
        <f t="shared" si="14"/>
        <v/>
      </c>
      <c r="D206" s="301" t="str">
        <f t="shared" si="15"/>
        <v/>
      </c>
      <c r="E206" s="301" t="str">
        <f t="shared" si="16"/>
        <v/>
      </c>
      <c r="F206" s="317" t="str">
        <f t="shared" si="17"/>
        <v/>
      </c>
      <c r="G206" s="323" t="str">
        <f t="shared" si="18"/>
        <v/>
      </c>
      <c r="H206" s="327" t="str">
        <f t="shared" si="19"/>
        <v/>
      </c>
      <c r="I206" s="327" t="str">
        <f t="shared" si="20"/>
        <v/>
      </c>
      <c r="J206" s="301" t="str">
        <f t="shared" si="21"/>
        <v/>
      </c>
      <c r="K206" s="301" t="str">
        <f t="shared" si="22"/>
        <v/>
      </c>
      <c r="L206" s="344" t="str">
        <f t="array" ref="L206">IF($T206="","",LET(m,MATCH($T206,$AS$24:$AS$700,0),lvl,INDEX($W$24:$W$700,m),id,INDEX($X$24:$X$700,m),SWITCH(lvl,3,"Lớp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6" s="351" t="str">
        <f t="shared" si="23"/>
        <v/>
      </c>
      <c r="N206" s="356" t="str">
        <f t="shared" si="24"/>
        <v/>
      </c>
      <c r="O206" s="358"/>
      <c r="P206" s="360"/>
      <c r="Q206" s="360"/>
      <c r="R206" s="67"/>
      <c r="S206" s="67"/>
      <c r="T206" s="67"/>
      <c r="U206" s="389" t="str">
        <f>IF('Lớp 5 - Phân công'!I17="","",'Lớp 5 - Phân công'!K17&amp;"|"&amp;'Lớp 5 - Phân công'!J17&amp;"|"&amp;'Lớp 5 - Phân công'!I17)</f>
        <v>HHL3CT03|HHL4DL01|HHL5DL01-04</v>
      </c>
      <c r="V206" s="389" t="str">
        <f>IF('Lớp 5 - Phân công'!I17="","","       ├─ "&amp;'Lớp 5 - Phân công'!Q17)</f>
        <v>       ├─ Chạy tham số Topdown GT</v>
      </c>
      <c r="W206" s="389">
        <f>IF('Lớp 5 - Phân công'!I17="","",5)</f>
        <v>5</v>
      </c>
      <c r="X206" s="67" t="str">
        <f>'Lớp 5 - Phân công'!I17</f>
        <v>HHL5DL01-04</v>
      </c>
      <c r="Y206" s="67" t="str">
        <f>'Lớp 5 - Phân công'!J17</f>
        <v>HHL4DL01</v>
      </c>
      <c r="Z206" s="67" t="str">
        <f>'Lớp 5 - Phân công'!AA17</f>
        <v>Em Đại</v>
      </c>
      <c r="AA206" s="67" t="str">
        <f>'Lớp 5 - Phân công'!Z17</f>
        <v>Dữ liệu điều hành</v>
      </c>
      <c r="AB206" s="67" t="str">
        <f>'Lớp 5 - Phân công'!AC17</f>
        <v>P1</v>
      </c>
      <c r="AC206" s="67" t="str">
        <f>'Lớp 5 - Phân công'!AB17</f>
        <v>Chưa bắt đầu</v>
      </c>
      <c r="AD206" s="398">
        <f>'Lớp 5 - Phân công'!AG17</f>
        <v>0</v>
      </c>
      <c r="AE206" s="358">
        <f>'Lớp 5 - Phân công'!AE17</f>
        <v>46270</v>
      </c>
      <c r="AF206" s="187">
        <f>'Lớp 5 - Phân công'!AH17</f>
        <v>4</v>
      </c>
      <c r="AG206" s="104">
        <f>'Lớp 5 - Phân công'!AI17</f>
        <v>8</v>
      </c>
      <c r="AH206" s="389">
        <f t="shared" si="27"/>
        <v>8</v>
      </c>
      <c r="AI206" s="389" t="str">
        <f t="shared" si="37"/>
        <v>🟣 P1 trọng yếu</v>
      </c>
      <c r="AJ206" s="67" t="str">
        <f>'Lớp 5 - Phân công'!AL17</f>
        <v>Bình thường – tổng 1.6/8.0 giờ/ngày</v>
      </c>
      <c r="AS206" s="389" t="str">
        <f t="shared" si="217"/>
        <v>03.01.04</v>
      </c>
      <c r="AT206" s="389" t="str">
        <f t="shared" si="32"/>
        <v/>
      </c>
      <c r="AU206" s="389" t="str">
        <f t="shared" si="33"/>
        <v/>
      </c>
      <c r="AV206" s="389" t="str">
        <f t="shared" si="34"/>
        <v>Chạy tham số Topdown GT</v>
      </c>
      <c r="AW206" s="389" t="str">
        <f t="shared" si="35"/>
        <v/>
      </c>
      <c r="AX206" s="67" t="str">
        <f t="shared" ref="AX206:BH206" si="220">Z206</f>
        <v>Em Đại</v>
      </c>
      <c r="AY206" s="67" t="str">
        <f t="shared" si="220"/>
        <v>Dữ liệu điều hành</v>
      </c>
      <c r="AZ206" s="67" t="str">
        <f t="shared" si="220"/>
        <v>P1</v>
      </c>
      <c r="BA206" s="67" t="str">
        <f t="shared" si="220"/>
        <v>Chưa bắt đầu</v>
      </c>
      <c r="BB206" s="398">
        <f t="shared" si="220"/>
        <v>0</v>
      </c>
      <c r="BC206" s="358">
        <f t="shared" si="220"/>
        <v>46270</v>
      </c>
      <c r="BD206" s="187">
        <f t="shared" si="220"/>
        <v>4</v>
      </c>
      <c r="BE206" s="104">
        <f t="shared" si="220"/>
        <v>8</v>
      </c>
      <c r="BF206" s="389">
        <f t="shared" si="220"/>
        <v>8</v>
      </c>
      <c r="BG206" s="389" t="str">
        <f t="shared" si="220"/>
        <v>🟣 P1 trọng yếu</v>
      </c>
      <c r="BH206" s="67" t="str">
        <f t="shared" si="220"/>
        <v>Bình thường – tổng 1.6/8.0 giờ/ngày</v>
      </c>
      <c r="BI206" s="389">
        <f t="array" ref="BI206">IF($X206="","",SWITCH($W206,3,IFERROR(INDEX('Lớp 3 - Công việc chính'!$AF$14:$AF$73,MATCH($X206,'Lớp 3 - Công việc chính'!$I$14:$I$73,0)),""),4,IFERROR(INDEX('Lớp 4 - Danh mục'!$AI$14:$AI$132,MATCH($X206,'Lớp 4 - Danh mục'!$I$14:$I$132,0)),""),5,IFERROR(INDEX('Lớp 5 - Phân công'!$AJ$14:$AJ$262,MATCH($X206,'Lớp 5 - Phân công'!$I$14:$I$262,0)),""),6,IFERROR(INDEX('Lớp 6 - Chi tiết'!$AM$14:$AM$267,MATCH($X206,'Lớp 6 - Chi tiết'!$I$14:$I$267,0)),""),""))</f>
        <v>1.6</v>
      </c>
      <c r="BJ206" s="389" t="str">
        <f t="array" ref="BJ206">IF($X206="","",SWITCH($W206,3,IFERROR(INDEX('Lớp 3 - Công việc chính'!$AR$14:$AR$73,MATCH($X206,'Lớp 3 - Công việc chính'!$I$14:$I$73,0)),""),4,IFERROR(INDEX('Lớp 4 - Danh mục'!$AU$14:$AU$132,MATCH($X206,'Lớp 4 - Danh mục'!$I$14:$I$132,0)),""),5,IFERROR(INDEX('Lớp 5 - Phân công'!$AV$14:$AV$262,MATCH($X206,'Lớp 5 - Phân công'!$I$14:$I$262,0)),""),6,IFERROR(INDEX('Lớp 6 - Chi tiết'!$AY$14:$AY$267,MATCH($X206,'Lớp 6 - Chi tiết'!$I$14:$I$267,0)),""),""))</f>
        <v>Thiếu 2.0 giờ/tuần</v>
      </c>
    </row>
    <row r="207" ht="15.75" customHeight="1">
      <c r="A207" s="294" t="str">
        <f t="shared" si="12"/>
        <v/>
      </c>
      <c r="B207" s="301" t="str">
        <f t="shared" si="13"/>
        <v/>
      </c>
      <c r="C207" s="301" t="str">
        <f t="shared" si="14"/>
        <v/>
      </c>
      <c r="D207" s="301" t="str">
        <f t="shared" si="15"/>
        <v/>
      </c>
      <c r="E207" s="301" t="str">
        <f t="shared" si="16"/>
        <v/>
      </c>
      <c r="F207" s="317" t="str">
        <f t="shared" si="17"/>
        <v/>
      </c>
      <c r="G207" s="323" t="str">
        <f t="shared" si="18"/>
        <v/>
      </c>
      <c r="H207" s="327" t="str">
        <f t="shared" si="19"/>
        <v/>
      </c>
      <c r="I207" s="327" t="str">
        <f t="shared" si="20"/>
        <v/>
      </c>
      <c r="J207" s="301" t="str">
        <f t="shared" si="21"/>
        <v/>
      </c>
      <c r="K207" s="301" t="str">
        <f t="shared" si="22"/>
        <v/>
      </c>
      <c r="L207" s="344" t="str">
        <f t="array" ref="L207">IF($T207="","",LET(m,MATCH($T207,$AS$24:$AS$700,0),lvl,INDEX($W$24:$W$700,m),id,INDEX($X$24:$X$700,m),SWITCH(lvl,3,"Lớp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7" s="351" t="str">
        <f t="shared" si="23"/>
        <v/>
      </c>
      <c r="N207" s="356" t="str">
        <f t="shared" si="24"/>
        <v/>
      </c>
      <c r="O207" s="358"/>
      <c r="P207" s="360"/>
      <c r="Q207" s="360"/>
      <c r="R207" s="67"/>
      <c r="S207" s="67"/>
      <c r="T207" s="67"/>
      <c r="U207" s="389" t="str">
        <f>IF('Lớp 5 - Phân công'!I18="","",'Lớp 5 - Phân công'!K18&amp;"|"&amp;'Lớp 5 - Phân công'!J18&amp;"|"&amp;'Lớp 5 - Phân công'!I18)</f>
        <v>HHL3CT03|HHL4DL01|HHL5DL01-05</v>
      </c>
      <c r="V207" s="389" t="str">
        <f>IF('Lớp 5 - Phân công'!I18="","","       ├─ "&amp;'Lớp 5 - Phân công'!Q18)</f>
        <v>       ├─ Chạy tham số Bottom-up theo khu vực vùng miền GT</v>
      </c>
      <c r="W207" s="389">
        <f>IF('Lớp 5 - Phân công'!I18="","",5)</f>
        <v>5</v>
      </c>
      <c r="X207" s="67" t="str">
        <f>'Lớp 5 - Phân công'!I18</f>
        <v>HHL5DL01-05</v>
      </c>
      <c r="Y207" s="67" t="str">
        <f>'Lớp 5 - Phân công'!J18</f>
        <v>HHL4DL01</v>
      </c>
      <c r="Z207" s="67" t="str">
        <f>'Lớp 5 - Phân công'!AA18</f>
        <v>Em Đại</v>
      </c>
      <c r="AA207" s="67" t="str">
        <f>'Lớp 5 - Phân công'!Z18</f>
        <v>Dữ liệu điều hành</v>
      </c>
      <c r="AB207" s="67" t="str">
        <f>'Lớp 5 - Phân công'!AC18</f>
        <v>P1</v>
      </c>
      <c r="AC207" s="67" t="str">
        <f>'Lớp 5 - Phân công'!AB18</f>
        <v>Đã lên lịch</v>
      </c>
      <c r="AD207" s="398" t="str">
        <f>'Lớp 5 - Phân công'!AG18</f>
        <v/>
      </c>
      <c r="AE207" s="358">
        <f>'Lớp 5 - Phân công'!AE18</f>
        <v>46305</v>
      </c>
      <c r="AF207" s="187">
        <f>'Lớp 5 - Phân công'!AH18</f>
        <v>30</v>
      </c>
      <c r="AG207" s="104">
        <f>'Lớp 5 - Phân công'!AI18</f>
        <v>96</v>
      </c>
      <c r="AH207" s="389">
        <f t="shared" si="27"/>
        <v>96</v>
      </c>
      <c r="AI207" s="389" t="str">
        <f t="shared" si="37"/>
        <v>🟣 P1 trọng yếu</v>
      </c>
      <c r="AJ207" s="67" t="str">
        <f>'Lớp 5 - Phân công'!AL18</f>
        <v>Quá tải – tổng 20.8/8.0 giờ/ngày</v>
      </c>
      <c r="AS207" s="389" t="str">
        <f t="shared" si="217"/>
        <v>03.01.05</v>
      </c>
      <c r="AT207" s="389" t="str">
        <f t="shared" si="32"/>
        <v/>
      </c>
      <c r="AU207" s="389" t="str">
        <f t="shared" si="33"/>
        <v/>
      </c>
      <c r="AV207" s="389" t="str">
        <f t="shared" si="34"/>
        <v>Chạy tham số Bottom-up theo khu vực vùng miền GT</v>
      </c>
      <c r="AW207" s="389" t="str">
        <f t="shared" si="35"/>
        <v/>
      </c>
      <c r="AX207" s="67" t="str">
        <f t="shared" ref="AX207:BH207" si="221">Z207</f>
        <v>Em Đại</v>
      </c>
      <c r="AY207" s="67" t="str">
        <f t="shared" si="221"/>
        <v>Dữ liệu điều hành</v>
      </c>
      <c r="AZ207" s="67" t="str">
        <f t="shared" si="221"/>
        <v>P1</v>
      </c>
      <c r="BA207" s="67" t="str">
        <f t="shared" si="221"/>
        <v>Đã lên lịch</v>
      </c>
      <c r="BB207" s="398" t="str">
        <f t="shared" si="221"/>
        <v/>
      </c>
      <c r="BC207" s="358">
        <f t="shared" si="221"/>
        <v>46305</v>
      </c>
      <c r="BD207" s="187">
        <f t="shared" si="221"/>
        <v>30</v>
      </c>
      <c r="BE207" s="104">
        <f t="shared" si="221"/>
        <v>96</v>
      </c>
      <c r="BF207" s="389">
        <f t="shared" si="221"/>
        <v>96</v>
      </c>
      <c r="BG207" s="389" t="str">
        <f t="shared" si="221"/>
        <v>🟣 P1 trọng yếu</v>
      </c>
      <c r="BH207" s="67" t="str">
        <f t="shared" si="221"/>
        <v>Quá tải – tổng 20.8/8.0 giờ/ngày</v>
      </c>
      <c r="BI207" s="389">
        <f t="array" ref="BI207">IF($X207="","",SWITCH($W207,3,IFERROR(INDEX('Lớp 3 - Công việc chính'!$AF$14:$AF$73,MATCH($X207,'Lớp 3 - Công việc chính'!$I$14:$I$73,0)),""),4,IFERROR(INDEX('Lớp 4 - Danh mục'!$AI$14:$AI$132,MATCH($X207,'Lớp 4 - Danh mục'!$I$14:$I$132,0)),""),5,IFERROR(INDEX('Lớp 5 - Phân công'!$AJ$14:$AJ$262,MATCH($X207,'Lớp 5 - Phân công'!$I$14:$I$262,0)),""),6,IFERROR(INDEX('Lớp 6 - Chi tiết'!$AM$14:$AM$267,MATCH($X207,'Lớp 6 - Chi tiết'!$I$14:$I$267,0)),""),""))</f>
        <v>6.4</v>
      </c>
      <c r="BJ207" s="389" t="str">
        <f t="array" ref="BJ207">IF($X207="","",SWITCH($W207,3,IFERROR(INDEX('Lớp 3 - Công việc chính'!$AR$14:$AR$73,MATCH($X207,'Lớp 3 - Công việc chính'!$I$14:$I$73,0)),""),4,IFERROR(INDEX('Lớp 4 - Danh mục'!$AU$14:$AU$132,MATCH($X207,'Lớp 4 - Danh mục'!$I$14:$I$132,0)),""),5,IFERROR(INDEX('Lớp 5 - Phân công'!$AV$14:$AV$262,MATCH($X207,'Lớp 5 - Phân công'!$I$14:$I$262,0)),""),6,IFERROR(INDEX('Lớp 6 - Chi tiết'!$AY$14:$AY$267,MATCH($X207,'Lớp 6 - Chi tiết'!$I$14:$I$267,0)),""),""))</f>
        <v>Đủ phân bổ theo tuần</v>
      </c>
    </row>
    <row r="208" ht="15.75" customHeight="1">
      <c r="A208" s="294" t="str">
        <f t="shared" si="12"/>
        <v/>
      </c>
      <c r="B208" s="301" t="str">
        <f t="shared" si="13"/>
        <v/>
      </c>
      <c r="C208" s="301" t="str">
        <f t="shared" si="14"/>
        <v/>
      </c>
      <c r="D208" s="301" t="str">
        <f t="shared" si="15"/>
        <v/>
      </c>
      <c r="E208" s="301" t="str">
        <f t="shared" si="16"/>
        <v/>
      </c>
      <c r="F208" s="317" t="str">
        <f t="shared" si="17"/>
        <v/>
      </c>
      <c r="G208" s="323" t="str">
        <f t="shared" si="18"/>
        <v/>
      </c>
      <c r="H208" s="327" t="str">
        <f t="shared" si="19"/>
        <v/>
      </c>
      <c r="I208" s="327" t="str">
        <f t="shared" si="20"/>
        <v/>
      </c>
      <c r="J208" s="301" t="str">
        <f t="shared" si="21"/>
        <v/>
      </c>
      <c r="K208" s="301" t="str">
        <f t="shared" si="22"/>
        <v/>
      </c>
      <c r="L208" s="344" t="str">
        <f t="array" ref="L208">IF($T208="","",LET(m,MATCH($T208,$AS$24:$AS$700,0),lvl,INDEX($W$24:$W$700,m),id,INDEX($X$24:$X$700,m),SWITCH(lvl,3,"Lớp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8" s="351" t="str">
        <f t="shared" si="23"/>
        <v/>
      </c>
      <c r="N208" s="356" t="str">
        <f t="shared" si="24"/>
        <v/>
      </c>
      <c r="O208" s="358"/>
      <c r="P208" s="360"/>
      <c r="Q208" s="360"/>
      <c r="R208" s="67"/>
      <c r="S208" s="67"/>
      <c r="T208" s="67"/>
      <c r="U208" s="389" t="str">
        <f>IF('Lớp 5 - Phân công'!I19="","",'Lớp 5 - Phân công'!K19&amp;"|"&amp;'Lớp 5 - Phân công'!J19&amp;"|"&amp;'Lớp 5 - Phân công'!I19)</f>
        <v>HHL3CT03|HHL4DL02|HHL5DL02-01</v>
      </c>
      <c r="V208" s="389" t="str">
        <f>IF('Lớp 5 - Phân công'!I19="","","       ├─ "&amp;'Lớp 5 - Phân công'!Q19)</f>
        <v>       ├─ XD &amp; phản biện công thức (nội bộ) MT</v>
      </c>
      <c r="W208" s="389">
        <f>IF('Lớp 5 - Phân công'!I19="","",5)</f>
        <v>5</v>
      </c>
      <c r="X208" s="67" t="str">
        <f>'Lớp 5 - Phân công'!I19</f>
        <v>HHL5DL02-01</v>
      </c>
      <c r="Y208" s="67" t="str">
        <f>'Lớp 5 - Phân công'!J19</f>
        <v>HHL4DL02</v>
      </c>
      <c r="Z208" s="67" t="str">
        <f>'Lớp 5 - Phân công'!AA19</f>
        <v>Em Đại</v>
      </c>
      <c r="AA208" s="67" t="str">
        <f>'Lớp 5 - Phân công'!Z19</f>
        <v>Dữ liệu điều hành</v>
      </c>
      <c r="AB208" s="67" t="str">
        <f>'Lớp 5 - Phân công'!AC19</f>
        <v>P1</v>
      </c>
      <c r="AC208" s="67" t="str">
        <f>'Lớp 5 - Phân công'!AB19</f>
        <v>Chưa bắt đầu</v>
      </c>
      <c r="AD208" s="398">
        <f>'Lớp 5 - Phân công'!AG19</f>
        <v>0</v>
      </c>
      <c r="AE208" s="358">
        <f>'Lớp 5 - Phân công'!AE19</f>
        <v>46290</v>
      </c>
      <c r="AF208" s="187">
        <f>'Lớp 5 - Phân công'!AH19</f>
        <v>10</v>
      </c>
      <c r="AG208" s="104">
        <f>'Lớp 5 - Phân công'!AI19</f>
        <v>16</v>
      </c>
      <c r="AH208" s="389">
        <f t="shared" si="27"/>
        <v>16</v>
      </c>
      <c r="AI208" s="389" t="str">
        <f t="shared" si="37"/>
        <v>🟣 P1 trọng yếu</v>
      </c>
      <c r="AJ208" s="67" t="str">
        <f>'Lớp 5 - Phân công'!AL19</f>
        <v>Quá tải – tổng 11.2/8.0 giờ/ngày</v>
      </c>
      <c r="AS208" s="389" t="str">
        <f t="shared" si="217"/>
        <v>03.02.01</v>
      </c>
      <c r="AT208" s="389" t="str">
        <f t="shared" si="32"/>
        <v/>
      </c>
      <c r="AU208" s="389" t="str">
        <f t="shared" si="33"/>
        <v/>
      </c>
      <c r="AV208" s="389" t="str">
        <f t="shared" si="34"/>
        <v>XD &amp; phản biện công thức (nội bộ) MT</v>
      </c>
      <c r="AW208" s="389" t="str">
        <f t="shared" si="35"/>
        <v/>
      </c>
      <c r="AX208" s="67" t="str">
        <f t="shared" ref="AX208:BH208" si="222">Z208</f>
        <v>Em Đại</v>
      </c>
      <c r="AY208" s="67" t="str">
        <f t="shared" si="222"/>
        <v>Dữ liệu điều hành</v>
      </c>
      <c r="AZ208" s="67" t="str">
        <f t="shared" si="222"/>
        <v>P1</v>
      </c>
      <c r="BA208" s="67" t="str">
        <f t="shared" si="222"/>
        <v>Chưa bắt đầu</v>
      </c>
      <c r="BB208" s="398">
        <f t="shared" si="222"/>
        <v>0</v>
      </c>
      <c r="BC208" s="358">
        <f t="shared" si="222"/>
        <v>46290</v>
      </c>
      <c r="BD208" s="187">
        <f t="shared" si="222"/>
        <v>10</v>
      </c>
      <c r="BE208" s="104">
        <f t="shared" si="222"/>
        <v>16</v>
      </c>
      <c r="BF208" s="389">
        <f t="shared" si="222"/>
        <v>16</v>
      </c>
      <c r="BG208" s="389" t="str">
        <f t="shared" si="222"/>
        <v>🟣 P1 trọng yếu</v>
      </c>
      <c r="BH208" s="67" t="str">
        <f t="shared" si="222"/>
        <v>Quá tải – tổng 11.2/8.0 giờ/ngày</v>
      </c>
      <c r="BI208" s="389">
        <f t="array" ref="BI208">IF($X208="","",SWITCH($W208,3,IFERROR(INDEX('Lớp 3 - Công việc chính'!$AF$14:$AF$73,MATCH($X208,'Lớp 3 - Công việc chính'!$I$14:$I$73,0)),""),4,IFERROR(INDEX('Lớp 4 - Danh mục'!$AI$14:$AI$132,MATCH($X208,'Lớp 4 - Danh mục'!$I$14:$I$132,0)),""),5,IFERROR(INDEX('Lớp 5 - Phân công'!$AJ$14:$AJ$262,MATCH($X208,'Lớp 5 - Phân công'!$I$14:$I$262,0)),""),6,IFERROR(INDEX('Lớp 6 - Chi tiết'!$AM$14:$AM$267,MATCH($X208,'Lớp 6 - Chi tiết'!$I$14:$I$267,0)),""),""))</f>
        <v>0.8</v>
      </c>
      <c r="BJ208" s="389" t="str">
        <f t="array" ref="BJ208">IF($X208="","",SWITCH($W208,3,IFERROR(INDEX('Lớp 3 - Công việc chính'!$AR$14:$AR$73,MATCH($X208,'Lớp 3 - Công việc chính'!$I$14:$I$73,0)),""),4,IFERROR(INDEX('Lớp 4 - Danh mục'!$AU$14:$AU$132,MATCH($X208,'Lớp 4 - Danh mục'!$I$14:$I$132,0)),""),5,IFERROR(INDEX('Lớp 5 - Phân công'!$AV$14:$AV$262,MATCH($X208,'Lớp 5 - Phân công'!$I$14:$I$262,0)),""),6,IFERROR(INDEX('Lớp 6 - Chi tiết'!$AY$14:$AY$267,MATCH($X208,'Lớp 6 - Chi tiết'!$I$14:$I$267,0)),""),""))</f>
        <v>Thiếu 4.0 giờ/tuần</v>
      </c>
    </row>
    <row r="209" ht="15.75" customHeight="1">
      <c r="A209" s="294" t="str">
        <f t="shared" si="12"/>
        <v/>
      </c>
      <c r="B209" s="301" t="str">
        <f t="shared" si="13"/>
        <v/>
      </c>
      <c r="C209" s="301" t="str">
        <f t="shared" si="14"/>
        <v/>
      </c>
      <c r="D209" s="301" t="str">
        <f t="shared" si="15"/>
        <v/>
      </c>
      <c r="E209" s="301" t="str">
        <f t="shared" si="16"/>
        <v/>
      </c>
      <c r="F209" s="317" t="str">
        <f t="shared" si="17"/>
        <v/>
      </c>
      <c r="G209" s="323" t="str">
        <f t="shared" si="18"/>
        <v/>
      </c>
      <c r="H209" s="327" t="str">
        <f t="shared" si="19"/>
        <v/>
      </c>
      <c r="I209" s="327" t="str">
        <f t="shared" si="20"/>
        <v/>
      </c>
      <c r="J209" s="301" t="str">
        <f t="shared" si="21"/>
        <v/>
      </c>
      <c r="K209" s="301" t="str">
        <f t="shared" si="22"/>
        <v/>
      </c>
      <c r="L209" s="344" t="str">
        <f t="array" ref="L209">IF($T209="","",LET(m,MATCH($T209,$AS$24:$AS$700,0),lvl,INDEX($W$24:$W$700,m),id,INDEX($X$24:$X$700,m),SWITCH(lvl,3,"Lớp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09" s="351" t="str">
        <f t="shared" si="23"/>
        <v/>
      </c>
      <c r="N209" s="356" t="str">
        <f t="shared" si="24"/>
        <v/>
      </c>
      <c r="O209" s="358"/>
      <c r="P209" s="360"/>
      <c r="Q209" s="360"/>
      <c r="R209" s="67"/>
      <c r="S209" s="67"/>
      <c r="T209" s="67"/>
      <c r="U209" s="389" t="str">
        <f>IF('Lớp 5 - Phân công'!I20="","",'Lớp 5 - Phân công'!K20&amp;"|"&amp;'Lớp 5 - Phân công'!J20&amp;"|"&amp;'Lớp 5 - Phân công'!I20)</f>
        <v>HHL3CT03|HHL4DL02|HHL5DL02-02</v>
      </c>
      <c r="V209" s="389" t="str">
        <f>IF('Lớp 5 - Phân công'!I20="","","       ├─ "&amp;'Lớp 5 - Phân công'!Q20)</f>
        <v>       ├─ Phản biện với TGĐ &amp; liên PB MT</v>
      </c>
      <c r="W209" s="389">
        <f>IF('Lớp 5 - Phân công'!I20="","",5)</f>
        <v>5</v>
      </c>
      <c r="X209" s="67" t="str">
        <f>'Lớp 5 - Phân công'!I20</f>
        <v>HHL5DL02-02</v>
      </c>
      <c r="Y209" s="67" t="str">
        <f>'Lớp 5 - Phân công'!J20</f>
        <v>HHL4DL02</v>
      </c>
      <c r="Z209" s="67" t="str">
        <f>'Lớp 5 - Phân công'!AA20</f>
        <v>Em Đại</v>
      </c>
      <c r="AA209" s="67" t="str">
        <f>'Lớp 5 - Phân công'!Z20</f>
        <v>Dữ liệu điều hành</v>
      </c>
      <c r="AB209" s="67" t="str">
        <f>'Lớp 5 - Phân công'!AC20</f>
        <v>P1</v>
      </c>
      <c r="AC209" s="67" t="str">
        <f>'Lớp 5 - Phân công'!AB20</f>
        <v>Chưa bắt đầu</v>
      </c>
      <c r="AD209" s="398">
        <f>'Lớp 5 - Phân công'!AG20</f>
        <v>0</v>
      </c>
      <c r="AE209" s="358">
        <f>'Lớp 5 - Phân công'!AE20</f>
        <v>46300</v>
      </c>
      <c r="AF209" s="187">
        <f>'Lớp 5 - Phân công'!AH20</f>
        <v>8</v>
      </c>
      <c r="AG209" s="104">
        <f>'Lớp 5 - Phân công'!AI20</f>
        <v>8</v>
      </c>
      <c r="AH209" s="389">
        <f t="shared" si="27"/>
        <v>8</v>
      </c>
      <c r="AI209" s="389" t="str">
        <f t="shared" si="37"/>
        <v>🟣 P1 trọng yếu</v>
      </c>
      <c r="AJ209" s="67" t="str">
        <f>'Lớp 5 - Phân công'!AL20</f>
        <v>Quá tải – tổng 14.4/8.0 giờ/ngày</v>
      </c>
      <c r="AS209" s="389" t="str">
        <f t="shared" si="217"/>
        <v>03.02.02</v>
      </c>
      <c r="AT209" s="389" t="str">
        <f t="shared" si="32"/>
        <v/>
      </c>
      <c r="AU209" s="389" t="str">
        <f t="shared" si="33"/>
        <v/>
      </c>
      <c r="AV209" s="389" t="str">
        <f t="shared" si="34"/>
        <v>Phản biện với TGĐ &amp; liên PB MT</v>
      </c>
      <c r="AW209" s="389" t="str">
        <f t="shared" si="35"/>
        <v/>
      </c>
      <c r="AX209" s="67" t="str">
        <f t="shared" ref="AX209:BH209" si="223">Z209</f>
        <v>Em Đại</v>
      </c>
      <c r="AY209" s="67" t="str">
        <f t="shared" si="223"/>
        <v>Dữ liệu điều hành</v>
      </c>
      <c r="AZ209" s="67" t="str">
        <f t="shared" si="223"/>
        <v>P1</v>
      </c>
      <c r="BA209" s="67" t="str">
        <f t="shared" si="223"/>
        <v>Chưa bắt đầu</v>
      </c>
      <c r="BB209" s="398">
        <f t="shared" si="223"/>
        <v>0</v>
      </c>
      <c r="BC209" s="358">
        <f t="shared" si="223"/>
        <v>46300</v>
      </c>
      <c r="BD209" s="187">
        <f t="shared" si="223"/>
        <v>8</v>
      </c>
      <c r="BE209" s="104">
        <f t="shared" si="223"/>
        <v>8</v>
      </c>
      <c r="BF209" s="389">
        <f t="shared" si="223"/>
        <v>8</v>
      </c>
      <c r="BG209" s="389" t="str">
        <f t="shared" si="223"/>
        <v>🟣 P1 trọng yếu</v>
      </c>
      <c r="BH209" s="67" t="str">
        <f t="shared" si="223"/>
        <v>Quá tải – tổng 14.4/8.0 giờ/ngày</v>
      </c>
      <c r="BI209" s="389">
        <f t="array" ref="BI209">IF($X209="","",SWITCH($W209,3,IFERROR(INDEX('Lớp 3 - Công việc chính'!$AF$14:$AF$73,MATCH($X209,'Lớp 3 - Công việc chính'!$I$14:$I$73,0)),""),4,IFERROR(INDEX('Lớp 4 - Danh mục'!$AI$14:$AI$132,MATCH($X209,'Lớp 4 - Danh mục'!$I$14:$I$132,0)),""),5,IFERROR(INDEX('Lớp 5 - Phân công'!$AJ$14:$AJ$262,MATCH($X209,'Lớp 5 - Phân công'!$I$14:$I$262,0)),""),6,IFERROR(INDEX('Lớp 6 - Chi tiết'!$AM$14:$AM$267,MATCH($X209,'Lớp 6 - Chi tiết'!$I$14:$I$267,0)),""),""))</f>
        <v>0.8</v>
      </c>
      <c r="BJ209" s="389" t="str">
        <f t="array" ref="BJ209">IF($X209="","",SWITCH($W209,3,IFERROR(INDEX('Lớp 3 - Công việc chính'!$AR$14:$AR$73,MATCH($X209,'Lớp 3 - Công việc chính'!$I$14:$I$73,0)),""),4,IFERROR(INDEX('Lớp 4 - Danh mục'!$AU$14:$AU$132,MATCH($X209,'Lớp 4 - Danh mục'!$I$14:$I$132,0)),""),5,IFERROR(INDEX('Lớp 5 - Phân công'!$AV$14:$AV$262,MATCH($X209,'Lớp 5 - Phân công'!$I$14:$I$262,0)),""),6,IFERROR(INDEX('Lớp 6 - Chi tiết'!$AY$14:$AY$267,MATCH($X209,'Lớp 6 - Chi tiết'!$I$14:$I$267,0)),""),""))</f>
        <v>Thiếu 1.0 giờ/tuần</v>
      </c>
    </row>
    <row r="210" ht="15.75" customHeight="1">
      <c r="A210" s="294" t="str">
        <f t="shared" si="12"/>
        <v/>
      </c>
      <c r="B210" s="301" t="str">
        <f t="shared" si="13"/>
        <v/>
      </c>
      <c r="C210" s="301" t="str">
        <f t="shared" si="14"/>
        <v/>
      </c>
      <c r="D210" s="301" t="str">
        <f t="shared" si="15"/>
        <v/>
      </c>
      <c r="E210" s="301" t="str">
        <f t="shared" si="16"/>
        <v/>
      </c>
      <c r="F210" s="317" t="str">
        <f t="shared" si="17"/>
        <v/>
      </c>
      <c r="G210" s="323" t="str">
        <f t="shared" si="18"/>
        <v/>
      </c>
      <c r="H210" s="327" t="str">
        <f t="shared" si="19"/>
        <v/>
      </c>
      <c r="I210" s="327" t="str">
        <f t="shared" si="20"/>
        <v/>
      </c>
      <c r="J210" s="301" t="str">
        <f t="shared" si="21"/>
        <v/>
      </c>
      <c r="K210" s="301" t="str">
        <f t="shared" si="22"/>
        <v/>
      </c>
      <c r="L210" s="344" t="str">
        <f t="array" ref="L210">IF($T210="","",LET(m,MATCH($T210,$AS$24:$AS$700,0),lvl,INDEX($W$24:$W$700,m),id,INDEX($X$24:$X$700,m),SWITCH(lvl,3,"Lớp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0" s="351" t="str">
        <f t="shared" si="23"/>
        <v/>
      </c>
      <c r="N210" s="356" t="str">
        <f t="shared" si="24"/>
        <v/>
      </c>
      <c r="O210" s="358"/>
      <c r="P210" s="360"/>
      <c r="Q210" s="360"/>
      <c r="R210" s="67"/>
      <c r="S210" s="67"/>
      <c r="T210" s="67"/>
      <c r="U210" s="389" t="str">
        <f>IF('Lớp 5 - Phân công'!I21="","",'Lớp 5 - Phân công'!K21&amp;"|"&amp;'Lớp 5 - Phân công'!J21&amp;"|"&amp;'Lớp 5 - Phân công'!I21)</f>
        <v>HHL3CT03|HHL4DL02|HHL5DL02-03</v>
      </c>
      <c r="V210" s="389" t="str">
        <f>IF('Lớp 5 - Phân công'!I21="","","       ├─ "&amp;'Lớp 5 - Phân công'!Q21)</f>
        <v>       ├─ XD bảng Excel &amp; HT phần mềm (chạy demo) MT</v>
      </c>
      <c r="W210" s="389">
        <f>IF('Lớp 5 - Phân công'!I21="","",5)</f>
        <v>5</v>
      </c>
      <c r="X210" s="67" t="str">
        <f>'Lớp 5 - Phân công'!I21</f>
        <v>HHL5DL02-03</v>
      </c>
      <c r="Y210" s="67" t="str">
        <f>'Lớp 5 - Phân công'!J21</f>
        <v>HHL4DL02</v>
      </c>
      <c r="Z210" s="67" t="str">
        <f>'Lớp 5 - Phân công'!AA21</f>
        <v>Em Đại</v>
      </c>
      <c r="AA210" s="67" t="str">
        <f>'Lớp 5 - Phân công'!Z21</f>
        <v>Dữ liệu điều hành</v>
      </c>
      <c r="AB210" s="67" t="str">
        <f>'Lớp 5 - Phân công'!AC21</f>
        <v>P1</v>
      </c>
      <c r="AC210" s="67" t="str">
        <f>'Lớp 5 - Phân công'!AB21</f>
        <v>Chưa bắt đầu</v>
      </c>
      <c r="AD210" s="398">
        <f>'Lớp 5 - Phân công'!AG21</f>
        <v>0</v>
      </c>
      <c r="AE210" s="358">
        <f>'Lớp 5 - Phân công'!AE21</f>
        <v>46295</v>
      </c>
      <c r="AF210" s="187">
        <f>'Lớp 5 - Phân công'!AH21</f>
        <v>4</v>
      </c>
      <c r="AG210" s="104">
        <f>'Lớp 5 - Phân công'!AI21</f>
        <v>24</v>
      </c>
      <c r="AH210" s="389">
        <f t="shared" si="27"/>
        <v>24</v>
      </c>
      <c r="AI210" s="389" t="str">
        <f t="shared" si="37"/>
        <v>🟣 P1 trọng yếu</v>
      </c>
      <c r="AJ210" s="67" t="str">
        <f>'Lớp 5 - Phân công'!AL21</f>
        <v>Quá tải – tổng 12.0/8.0 giờ/ngày</v>
      </c>
      <c r="AS210" s="389" t="str">
        <f t="shared" si="217"/>
        <v>03.02.03</v>
      </c>
      <c r="AT210" s="389" t="str">
        <f t="shared" si="32"/>
        <v/>
      </c>
      <c r="AU210" s="389" t="str">
        <f t="shared" si="33"/>
        <v/>
      </c>
      <c r="AV210" s="389" t="str">
        <f t="shared" si="34"/>
        <v>XD bảng Excel &amp; HT phần mềm (chạy demo) MT</v>
      </c>
      <c r="AW210" s="389" t="str">
        <f t="shared" si="35"/>
        <v/>
      </c>
      <c r="AX210" s="67" t="str">
        <f t="shared" ref="AX210:BH210" si="224">Z210</f>
        <v>Em Đại</v>
      </c>
      <c r="AY210" s="67" t="str">
        <f t="shared" si="224"/>
        <v>Dữ liệu điều hành</v>
      </c>
      <c r="AZ210" s="67" t="str">
        <f t="shared" si="224"/>
        <v>P1</v>
      </c>
      <c r="BA210" s="67" t="str">
        <f t="shared" si="224"/>
        <v>Chưa bắt đầu</v>
      </c>
      <c r="BB210" s="398">
        <f t="shared" si="224"/>
        <v>0</v>
      </c>
      <c r="BC210" s="358">
        <f t="shared" si="224"/>
        <v>46295</v>
      </c>
      <c r="BD210" s="187">
        <f t="shared" si="224"/>
        <v>4</v>
      </c>
      <c r="BE210" s="104">
        <f t="shared" si="224"/>
        <v>24</v>
      </c>
      <c r="BF210" s="389">
        <f t="shared" si="224"/>
        <v>24</v>
      </c>
      <c r="BG210" s="389" t="str">
        <f t="shared" si="224"/>
        <v>🟣 P1 trọng yếu</v>
      </c>
      <c r="BH210" s="67" t="str">
        <f t="shared" si="224"/>
        <v>Quá tải – tổng 12.0/8.0 giờ/ngày</v>
      </c>
      <c r="BI210" s="389">
        <f t="array" ref="BI210">IF($X210="","",SWITCH($W210,3,IFERROR(INDEX('Lớp 3 - Công việc chính'!$AF$14:$AF$73,MATCH($X210,'Lớp 3 - Công việc chính'!$I$14:$I$73,0)),""),4,IFERROR(INDEX('Lớp 4 - Danh mục'!$AI$14:$AI$132,MATCH($X210,'Lớp 4 - Danh mục'!$I$14:$I$132,0)),""),5,IFERROR(INDEX('Lớp 5 - Phân công'!$AJ$14:$AJ$262,MATCH($X210,'Lớp 5 - Phân công'!$I$14:$I$262,0)),""),6,IFERROR(INDEX('Lớp 6 - Chi tiết'!$AM$14:$AM$267,MATCH($X210,'Lớp 6 - Chi tiết'!$I$14:$I$267,0)),""),""))</f>
        <v>0.8</v>
      </c>
      <c r="BJ210" s="389" t="str">
        <f t="array" ref="BJ210">IF($X210="","",SWITCH($W210,3,IFERROR(INDEX('Lớp 3 - Công việc chính'!$AR$14:$AR$73,MATCH($X210,'Lớp 3 - Công việc chính'!$I$14:$I$73,0)),""),4,IFERROR(INDEX('Lớp 4 - Danh mục'!$AU$14:$AU$132,MATCH($X210,'Lớp 4 - Danh mục'!$I$14:$I$132,0)),""),5,IFERROR(INDEX('Lớp 5 - Phân công'!$AV$14:$AV$262,MATCH($X210,'Lớp 5 - Phân công'!$I$14:$I$262,0)),""),6,IFERROR(INDEX('Lớp 6 - Chi tiết'!$AY$14:$AY$267,MATCH($X210,'Lớp 6 - Chi tiết'!$I$14:$I$267,0)),""),""))</f>
        <v>Thiếu 26.0 giờ/tuần</v>
      </c>
    </row>
    <row r="211" ht="15.75" customHeight="1">
      <c r="A211" s="294" t="str">
        <f t="shared" si="12"/>
        <v/>
      </c>
      <c r="B211" s="301" t="str">
        <f t="shared" si="13"/>
        <v/>
      </c>
      <c r="C211" s="301" t="str">
        <f t="shared" si="14"/>
        <v/>
      </c>
      <c r="D211" s="301" t="str">
        <f t="shared" si="15"/>
        <v/>
      </c>
      <c r="E211" s="301" t="str">
        <f t="shared" si="16"/>
        <v/>
      </c>
      <c r="F211" s="317" t="str">
        <f t="shared" si="17"/>
        <v/>
      </c>
      <c r="G211" s="323" t="str">
        <f t="shared" si="18"/>
        <v/>
      </c>
      <c r="H211" s="327" t="str">
        <f t="shared" si="19"/>
        <v/>
      </c>
      <c r="I211" s="327" t="str">
        <f t="shared" si="20"/>
        <v/>
      </c>
      <c r="J211" s="301" t="str">
        <f t="shared" si="21"/>
        <v/>
      </c>
      <c r="K211" s="301" t="str">
        <f t="shared" si="22"/>
        <v/>
      </c>
      <c r="L211" s="344" t="str">
        <f t="array" ref="L211">IF($T211="","",LET(m,MATCH($T211,$AS$24:$AS$700,0),lvl,INDEX($W$24:$W$700,m),id,INDEX($X$24:$X$700,m),SWITCH(lvl,3,"Lớp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1" s="351" t="str">
        <f t="shared" si="23"/>
        <v/>
      </c>
      <c r="N211" s="356" t="str">
        <f t="shared" si="24"/>
        <v/>
      </c>
      <c r="O211" s="358"/>
      <c r="P211" s="360"/>
      <c r="Q211" s="360"/>
      <c r="R211" s="67"/>
      <c r="S211" s="67"/>
      <c r="T211" s="67"/>
      <c r="U211" s="389" t="str">
        <f>IF('Lớp 5 - Phân công'!I22="","",'Lớp 5 - Phân công'!K22&amp;"|"&amp;'Lớp 5 - Phân công'!J22&amp;"|"&amp;'Lớp 5 - Phân công'!I22)</f>
        <v>HHL3CT03|HHL4DL02|HHL5DL02-04</v>
      </c>
      <c r="V211" s="389" t="str">
        <f>IF('Lớp 5 - Phân công'!I22="","","       ├─ "&amp;'Lớp 5 - Phân công'!Q22)</f>
        <v>       ├─ Chạy tham số Topdown MT</v>
      </c>
      <c r="W211" s="389">
        <f>IF('Lớp 5 - Phân công'!I22="","",5)</f>
        <v>5</v>
      </c>
      <c r="X211" s="67" t="str">
        <f>'Lớp 5 - Phân công'!I22</f>
        <v>HHL5DL02-04</v>
      </c>
      <c r="Y211" s="67" t="str">
        <f>'Lớp 5 - Phân công'!J22</f>
        <v>HHL4DL02</v>
      </c>
      <c r="Z211" s="67" t="str">
        <f>'Lớp 5 - Phân công'!AA22</f>
        <v>Em Đại</v>
      </c>
      <c r="AA211" s="67" t="str">
        <f>'Lớp 5 - Phân công'!Z22</f>
        <v>Dữ liệu điều hành</v>
      </c>
      <c r="AB211" s="67" t="str">
        <f>'Lớp 5 - Phân công'!AC22</f>
        <v>P1</v>
      </c>
      <c r="AC211" s="67" t="str">
        <f>'Lớp 5 - Phân công'!AB22</f>
        <v>Đã lên lịch</v>
      </c>
      <c r="AD211" s="398" t="str">
        <f>'Lớp 5 - Phân công'!AG22</f>
        <v/>
      </c>
      <c r="AE211" s="358">
        <f>'Lớp 5 - Phân công'!AE22</f>
        <v>46297</v>
      </c>
      <c r="AF211" s="187">
        <f>'Lớp 5 - Phân công'!AH22</f>
        <v>2</v>
      </c>
      <c r="AG211" s="104">
        <f>'Lớp 5 - Phân công'!AI22</f>
        <v>16</v>
      </c>
      <c r="AH211" s="389">
        <f t="shared" si="27"/>
        <v>16</v>
      </c>
      <c r="AI211" s="389" t="str">
        <f t="shared" si="37"/>
        <v>🟣 P1 trọng yếu</v>
      </c>
      <c r="AJ211" s="67" t="str">
        <f>'Lớp 5 - Phân công'!AL22</f>
        <v>Quá tải – tổng 12.0/8.0 giờ/ngày</v>
      </c>
      <c r="AS211" s="389" t="str">
        <f t="shared" si="217"/>
        <v>03.02.04</v>
      </c>
      <c r="AT211" s="389" t="str">
        <f t="shared" si="32"/>
        <v/>
      </c>
      <c r="AU211" s="389" t="str">
        <f t="shared" si="33"/>
        <v/>
      </c>
      <c r="AV211" s="389" t="str">
        <f t="shared" si="34"/>
        <v>Chạy tham số Topdown MT</v>
      </c>
      <c r="AW211" s="389" t="str">
        <f t="shared" si="35"/>
        <v/>
      </c>
      <c r="AX211" s="67" t="str">
        <f t="shared" ref="AX211:BH211" si="225">Z211</f>
        <v>Em Đại</v>
      </c>
      <c r="AY211" s="67" t="str">
        <f t="shared" si="225"/>
        <v>Dữ liệu điều hành</v>
      </c>
      <c r="AZ211" s="67" t="str">
        <f t="shared" si="225"/>
        <v>P1</v>
      </c>
      <c r="BA211" s="67" t="str">
        <f t="shared" si="225"/>
        <v>Đã lên lịch</v>
      </c>
      <c r="BB211" s="398" t="str">
        <f t="shared" si="225"/>
        <v/>
      </c>
      <c r="BC211" s="358">
        <f t="shared" si="225"/>
        <v>46297</v>
      </c>
      <c r="BD211" s="187">
        <f t="shared" si="225"/>
        <v>2</v>
      </c>
      <c r="BE211" s="104">
        <f t="shared" si="225"/>
        <v>16</v>
      </c>
      <c r="BF211" s="389">
        <f t="shared" si="225"/>
        <v>16</v>
      </c>
      <c r="BG211" s="389" t="str">
        <f t="shared" si="225"/>
        <v>🟣 P1 trọng yếu</v>
      </c>
      <c r="BH211" s="67" t="str">
        <f t="shared" si="225"/>
        <v>Quá tải – tổng 12.0/8.0 giờ/ngày</v>
      </c>
      <c r="BI211" s="389">
        <f t="array" ref="BI211">IF($X211="","",SWITCH($W211,3,IFERROR(INDEX('Lớp 3 - Công việc chính'!$AF$14:$AF$73,MATCH($X211,'Lớp 3 - Công việc chính'!$I$14:$I$73,0)),""),4,IFERROR(INDEX('Lớp 4 - Danh mục'!$AI$14:$AI$132,MATCH($X211,'Lớp 4 - Danh mục'!$I$14:$I$132,0)),""),5,IFERROR(INDEX('Lớp 5 - Phân công'!$AJ$14:$AJ$262,MATCH($X211,'Lớp 5 - Phân công'!$I$14:$I$262,0)),""),6,IFERROR(INDEX('Lớp 6 - Chi tiết'!$AM$14:$AM$267,MATCH($X211,'Lớp 6 - Chi tiết'!$I$14:$I$267,0)),""),""))</f>
        <v>0.8</v>
      </c>
      <c r="BJ211" s="389" t="str">
        <f t="array" ref="BJ211">IF($X211="","",SWITCH($W211,3,IFERROR(INDEX('Lớp 3 - Công việc chính'!$AR$14:$AR$73,MATCH($X211,'Lớp 3 - Công việc chính'!$I$14:$I$73,0)),""),4,IFERROR(INDEX('Lớp 4 - Danh mục'!$AU$14:$AU$132,MATCH($X211,'Lớp 4 - Danh mục'!$I$14:$I$132,0)),""),5,IFERROR(INDEX('Lớp 5 - Phân công'!$AV$14:$AV$262,MATCH($X211,'Lớp 5 - Phân công'!$I$14:$I$262,0)),""),6,IFERROR(INDEX('Lớp 6 - Chi tiết'!$AY$14:$AY$267,MATCH($X211,'Lớp 6 - Chi tiết'!$I$14:$I$267,0)),""),""))</f>
        <v>Thiếu 36.0 giờ/tuần</v>
      </c>
    </row>
    <row r="212" ht="15.75" customHeight="1">
      <c r="A212" s="294" t="str">
        <f t="shared" si="12"/>
        <v/>
      </c>
      <c r="B212" s="301" t="str">
        <f t="shared" si="13"/>
        <v/>
      </c>
      <c r="C212" s="301" t="str">
        <f t="shared" si="14"/>
        <v/>
      </c>
      <c r="D212" s="301" t="str">
        <f t="shared" si="15"/>
        <v/>
      </c>
      <c r="E212" s="301" t="str">
        <f t="shared" si="16"/>
        <v/>
      </c>
      <c r="F212" s="317" t="str">
        <f t="shared" si="17"/>
        <v/>
      </c>
      <c r="G212" s="323" t="str">
        <f t="shared" si="18"/>
        <v/>
      </c>
      <c r="H212" s="327" t="str">
        <f t="shared" si="19"/>
        <v/>
      </c>
      <c r="I212" s="327" t="str">
        <f t="shared" si="20"/>
        <v/>
      </c>
      <c r="J212" s="301" t="str">
        <f t="shared" si="21"/>
        <v/>
      </c>
      <c r="K212" s="301" t="str">
        <f t="shared" si="22"/>
        <v/>
      </c>
      <c r="L212" s="344" t="str">
        <f t="array" ref="L212">IF($T212="","",LET(m,MATCH($T212,$AS$24:$AS$700,0),lvl,INDEX($W$24:$W$700,m),id,INDEX($X$24:$X$700,m),SWITCH(lvl,3,"Lớp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2" s="351" t="str">
        <f t="shared" si="23"/>
        <v/>
      </c>
      <c r="N212" s="356" t="str">
        <f t="shared" si="24"/>
        <v/>
      </c>
      <c r="O212" s="358"/>
      <c r="P212" s="360"/>
      <c r="Q212" s="360"/>
      <c r="R212" s="67"/>
      <c r="S212" s="67"/>
      <c r="T212" s="67"/>
      <c r="U212" s="389" t="str">
        <f>IF('Lớp 5 - Phân công'!I23="","",'Lớp 5 - Phân công'!K23&amp;"|"&amp;'Lớp 5 - Phân công'!J23&amp;"|"&amp;'Lớp 5 - Phân công'!I23)</f>
        <v>HHL3CT03|HHL4DL02|HHL5DL02-05</v>
      </c>
      <c r="V212" s="389" t="str">
        <f>IF('Lớp 5 - Phân công'!I23="","","       ├─ "&amp;'Lớp 5 - Phân công'!Q23)</f>
        <v>       ├─ Chạy tham số Bottom-up MT</v>
      </c>
      <c r="W212" s="389">
        <f>IF('Lớp 5 - Phân công'!I23="","",5)</f>
        <v>5</v>
      </c>
      <c r="X212" s="67" t="str">
        <f>'Lớp 5 - Phân công'!I23</f>
        <v>HHL5DL02-05</v>
      </c>
      <c r="Y212" s="67" t="str">
        <f>'Lớp 5 - Phân công'!J23</f>
        <v>HHL4DL02</v>
      </c>
      <c r="Z212" s="67" t="str">
        <f>'Lớp 5 - Phân công'!AA23</f>
        <v>Em Đại</v>
      </c>
      <c r="AA212" s="67" t="str">
        <f>'Lớp 5 - Phân công'!Z23</f>
        <v>Dữ liệu điều hành</v>
      </c>
      <c r="AB212" s="67" t="str">
        <f>'Lớp 5 - Phân công'!AC23</f>
        <v>P1</v>
      </c>
      <c r="AC212" s="67" t="str">
        <f>'Lớp 5 - Phân công'!AB23</f>
        <v>Đã lên lịch</v>
      </c>
      <c r="AD212" s="398" t="str">
        <f>'Lớp 5 - Phân công'!AG23</f>
        <v/>
      </c>
      <c r="AE212" s="358">
        <f>'Lớp 5 - Phân công'!AE23</f>
        <v>46310</v>
      </c>
      <c r="AF212" s="187">
        <f>'Lớp 5 - Phân công'!AH23</f>
        <v>11</v>
      </c>
      <c r="AG212" s="104">
        <f>'Lớp 5 - Phân công'!AI23</f>
        <v>16</v>
      </c>
      <c r="AH212" s="389">
        <f t="shared" si="27"/>
        <v>16</v>
      </c>
      <c r="AI212" s="389" t="str">
        <f t="shared" si="37"/>
        <v>🟣 P1 trọng yếu</v>
      </c>
      <c r="AJ212" s="67" t="str">
        <f>'Lớp 5 - Phân công'!AL23</f>
        <v>Quá tải – tổng 24.0/8.0 giờ/ngày</v>
      </c>
      <c r="AS212" s="389" t="str">
        <f t="shared" si="217"/>
        <v>03.02.05</v>
      </c>
      <c r="AT212" s="389" t="str">
        <f t="shared" si="32"/>
        <v/>
      </c>
      <c r="AU212" s="389" t="str">
        <f t="shared" si="33"/>
        <v/>
      </c>
      <c r="AV212" s="389" t="str">
        <f t="shared" si="34"/>
        <v>Chạy tham số Bottom-up MT</v>
      </c>
      <c r="AW212" s="389" t="str">
        <f t="shared" si="35"/>
        <v/>
      </c>
      <c r="AX212" s="67" t="str">
        <f t="shared" ref="AX212:BH212" si="226">Z212</f>
        <v>Em Đại</v>
      </c>
      <c r="AY212" s="67" t="str">
        <f t="shared" si="226"/>
        <v>Dữ liệu điều hành</v>
      </c>
      <c r="AZ212" s="67" t="str">
        <f t="shared" si="226"/>
        <v>P1</v>
      </c>
      <c r="BA212" s="67" t="str">
        <f t="shared" si="226"/>
        <v>Đã lên lịch</v>
      </c>
      <c r="BB212" s="398" t="str">
        <f t="shared" si="226"/>
        <v/>
      </c>
      <c r="BC212" s="358">
        <f t="shared" si="226"/>
        <v>46310</v>
      </c>
      <c r="BD212" s="187">
        <f t="shared" si="226"/>
        <v>11</v>
      </c>
      <c r="BE212" s="104">
        <f t="shared" si="226"/>
        <v>16</v>
      </c>
      <c r="BF212" s="389">
        <f t="shared" si="226"/>
        <v>16</v>
      </c>
      <c r="BG212" s="389" t="str">
        <f t="shared" si="226"/>
        <v>🟣 P1 trọng yếu</v>
      </c>
      <c r="BH212" s="67" t="str">
        <f t="shared" si="226"/>
        <v>Quá tải – tổng 24.0/8.0 giờ/ngày</v>
      </c>
      <c r="BI212" s="389">
        <f t="array" ref="BI212">IF($X212="","",SWITCH($W212,3,IFERROR(INDEX('Lớp 3 - Công việc chính'!$AF$14:$AF$73,MATCH($X212,'Lớp 3 - Công việc chính'!$I$14:$I$73,0)),""),4,IFERROR(INDEX('Lớp 4 - Danh mục'!$AI$14:$AI$132,MATCH($X212,'Lớp 4 - Danh mục'!$I$14:$I$132,0)),""),5,IFERROR(INDEX('Lớp 5 - Phân công'!$AJ$14:$AJ$262,MATCH($X212,'Lớp 5 - Phân công'!$I$14:$I$262,0)),""),6,IFERROR(INDEX('Lớp 6 - Chi tiết'!$AM$14:$AM$267,MATCH($X212,'Lớp 6 - Chi tiết'!$I$14:$I$267,0)),""),""))</f>
        <v>0.8</v>
      </c>
      <c r="BJ212" s="389" t="str">
        <f t="array" ref="BJ212">IF($X212="","",SWITCH($W212,3,IFERROR(INDEX('Lớp 3 - Công việc chính'!$AR$14:$AR$73,MATCH($X212,'Lớp 3 - Công việc chính'!$I$14:$I$73,0)),""),4,IFERROR(INDEX('Lớp 4 - Danh mục'!$AU$14:$AU$132,MATCH($X212,'Lớp 4 - Danh mục'!$I$14:$I$132,0)),""),5,IFERROR(INDEX('Lớp 5 - Phân công'!$AV$14:$AV$262,MATCH($X212,'Lớp 5 - Phân công'!$I$14:$I$262,0)),""),6,IFERROR(INDEX('Lớp 6 - Chi tiết'!$AY$14:$AY$267,MATCH($X212,'Lớp 6 - Chi tiết'!$I$14:$I$267,0)),""),""))</f>
        <v>Thiếu 3.3 giờ/tuần</v>
      </c>
    </row>
    <row r="213" ht="15.75" customHeight="1">
      <c r="A213" s="294" t="str">
        <f t="shared" si="12"/>
        <v/>
      </c>
      <c r="B213" s="301" t="str">
        <f t="shared" si="13"/>
        <v/>
      </c>
      <c r="C213" s="301" t="str">
        <f t="shared" si="14"/>
        <v/>
      </c>
      <c r="D213" s="301" t="str">
        <f t="shared" si="15"/>
        <v/>
      </c>
      <c r="E213" s="301" t="str">
        <f t="shared" si="16"/>
        <v/>
      </c>
      <c r="F213" s="317" t="str">
        <f t="shared" si="17"/>
        <v/>
      </c>
      <c r="G213" s="323" t="str">
        <f t="shared" si="18"/>
        <v/>
      </c>
      <c r="H213" s="327" t="str">
        <f t="shared" si="19"/>
        <v/>
      </c>
      <c r="I213" s="327" t="str">
        <f t="shared" si="20"/>
        <v/>
      </c>
      <c r="J213" s="301" t="str">
        <f t="shared" si="21"/>
        <v/>
      </c>
      <c r="K213" s="301" t="str">
        <f t="shared" si="22"/>
        <v/>
      </c>
      <c r="L213" s="344" t="str">
        <f t="array" ref="L213">IF($T213="","",LET(m,MATCH($T213,$AS$24:$AS$700,0),lvl,INDEX($W$24:$W$700,m),id,INDEX($X$24:$X$700,m),SWITCH(lvl,3,"Lớp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3" s="351" t="str">
        <f t="shared" si="23"/>
        <v/>
      </c>
      <c r="N213" s="356" t="str">
        <f t="shared" si="24"/>
        <v/>
      </c>
      <c r="O213" s="358"/>
      <c r="P213" s="360"/>
      <c r="Q213" s="360"/>
      <c r="R213" s="67"/>
      <c r="S213" s="67"/>
      <c r="T213" s="67"/>
      <c r="U213" s="389" t="str">
        <f>IF('Lớp 5 - Phân công'!I24="","",'Lớp 5 - Phân công'!K24&amp;"|"&amp;'Lớp 5 - Phân công'!J24&amp;"|"&amp;'Lớp 5 - Phân công'!I24)</f>
        <v>HHL3CT03|HHL4DL03|HHL5DL03-01</v>
      </c>
      <c r="V213" s="389" t="str">
        <f>IF('Lớp 5 - Phân công'!I24="","","       ├─ "&amp;'Lớp 5 - Phân công'!Q24)</f>
        <v>       ├─ XD &amp; phản biện công thức (nội bộ) B2B</v>
      </c>
      <c r="W213" s="389">
        <f>IF('Lớp 5 - Phân công'!I24="","",5)</f>
        <v>5</v>
      </c>
      <c r="X213" s="67" t="str">
        <f>'Lớp 5 - Phân công'!I24</f>
        <v>HHL5DL03-01</v>
      </c>
      <c r="Y213" s="67" t="str">
        <f>'Lớp 5 - Phân công'!J24</f>
        <v>HHL4DL03</v>
      </c>
      <c r="Z213" s="67" t="str">
        <f>'Lớp 5 - Phân công'!AA24</f>
        <v>Em Đại</v>
      </c>
      <c r="AA213" s="67" t="str">
        <f>'Lớp 5 - Phân công'!Z24</f>
        <v>Dữ liệu điều hành</v>
      </c>
      <c r="AB213" s="67" t="str">
        <f>'Lớp 5 - Phân công'!AC24</f>
        <v>P2</v>
      </c>
      <c r="AC213" s="67" t="str">
        <f>'Lớp 5 - Phân công'!AB24</f>
        <v>Chưa bắt đầu</v>
      </c>
      <c r="AD213" s="398">
        <f>'Lớp 5 - Phân công'!AG24</f>
        <v>0</v>
      </c>
      <c r="AE213" s="358">
        <f>'Lớp 5 - Phân công'!AE24</f>
        <v>46300</v>
      </c>
      <c r="AF213" s="187">
        <f>'Lớp 5 - Phân công'!AH24</f>
        <v>9</v>
      </c>
      <c r="AG213" s="104">
        <f>'Lớp 5 - Phân công'!AI24</f>
        <v>16</v>
      </c>
      <c r="AH213" s="389">
        <f t="shared" si="27"/>
        <v>16</v>
      </c>
      <c r="AI213" s="389" t="str">
        <f t="shared" si="37"/>
        <v>🟢 Theo kế hoạch</v>
      </c>
      <c r="AJ213" s="67" t="str">
        <f>'Lớp 5 - Phân công'!AL24</f>
        <v>Quá tải – tổng 15.2/8.0 giờ/ngày</v>
      </c>
      <c r="AS213" s="389" t="str">
        <f t="shared" si="217"/>
        <v>03.03.01</v>
      </c>
      <c r="AT213" s="389" t="str">
        <f t="shared" si="32"/>
        <v/>
      </c>
      <c r="AU213" s="389" t="str">
        <f t="shared" si="33"/>
        <v/>
      </c>
      <c r="AV213" s="389" t="str">
        <f t="shared" si="34"/>
        <v>XD &amp; phản biện công thức (nội bộ) B2B</v>
      </c>
      <c r="AW213" s="389" t="str">
        <f t="shared" si="35"/>
        <v/>
      </c>
      <c r="AX213" s="67" t="str">
        <f t="shared" ref="AX213:BH213" si="227">Z213</f>
        <v>Em Đại</v>
      </c>
      <c r="AY213" s="67" t="str">
        <f t="shared" si="227"/>
        <v>Dữ liệu điều hành</v>
      </c>
      <c r="AZ213" s="67" t="str">
        <f t="shared" si="227"/>
        <v>P2</v>
      </c>
      <c r="BA213" s="67" t="str">
        <f t="shared" si="227"/>
        <v>Chưa bắt đầu</v>
      </c>
      <c r="BB213" s="398">
        <f t="shared" si="227"/>
        <v>0</v>
      </c>
      <c r="BC213" s="358">
        <f t="shared" si="227"/>
        <v>46300</v>
      </c>
      <c r="BD213" s="187">
        <f t="shared" si="227"/>
        <v>9</v>
      </c>
      <c r="BE213" s="104">
        <f t="shared" si="227"/>
        <v>16</v>
      </c>
      <c r="BF213" s="389">
        <f t="shared" si="227"/>
        <v>16</v>
      </c>
      <c r="BG213" s="389" t="str">
        <f t="shared" si="227"/>
        <v>🟢 Theo kế hoạch</v>
      </c>
      <c r="BH213" s="67" t="str">
        <f t="shared" si="227"/>
        <v>Quá tải – tổng 15.2/8.0 giờ/ngày</v>
      </c>
      <c r="BI213" s="389">
        <f t="array" ref="BI213">IF($X213="","",SWITCH($W213,3,IFERROR(INDEX('Lớp 3 - Công việc chính'!$AF$14:$AF$73,MATCH($X213,'Lớp 3 - Công việc chính'!$I$14:$I$73,0)),""),4,IFERROR(INDEX('Lớp 4 - Danh mục'!$AI$14:$AI$132,MATCH($X213,'Lớp 4 - Danh mục'!$I$14:$I$132,0)),""),5,IFERROR(INDEX('Lớp 5 - Phân công'!$AJ$14:$AJ$262,MATCH($X213,'Lớp 5 - Phân công'!$I$14:$I$262,0)),""),6,IFERROR(INDEX('Lớp 6 - Chi tiết'!$AM$14:$AM$267,MATCH($X213,'Lớp 6 - Chi tiết'!$I$14:$I$267,0)),""),""))</f>
        <v>0.8</v>
      </c>
      <c r="BJ213" s="389" t="str">
        <f t="array" ref="BJ213">IF($X213="","",SWITCH($W213,3,IFERROR(INDEX('Lớp 3 - Công việc chính'!$AR$14:$AR$73,MATCH($X213,'Lớp 3 - Công việc chính'!$I$14:$I$73,0)),""),4,IFERROR(INDEX('Lớp 4 - Danh mục'!$AU$14:$AU$132,MATCH($X213,'Lớp 4 - Danh mục'!$I$14:$I$132,0)),""),5,IFERROR(INDEX('Lớp 5 - Phân công'!$AV$14:$AV$262,MATCH($X213,'Lớp 5 - Phân công'!$I$14:$I$262,0)),""),6,IFERROR(INDEX('Lớp 6 - Chi tiết'!$AY$14:$AY$267,MATCH($X213,'Lớp 6 - Chi tiết'!$I$14:$I$267,0)),""),""))</f>
        <v>Thiếu 4.9 giờ/tuần</v>
      </c>
    </row>
    <row r="214" ht="15.75" customHeight="1">
      <c r="A214" s="294" t="str">
        <f t="shared" si="12"/>
        <v/>
      </c>
      <c r="B214" s="301" t="str">
        <f t="shared" si="13"/>
        <v/>
      </c>
      <c r="C214" s="301" t="str">
        <f t="shared" si="14"/>
        <v/>
      </c>
      <c r="D214" s="301" t="str">
        <f t="shared" si="15"/>
        <v/>
      </c>
      <c r="E214" s="301" t="str">
        <f t="shared" si="16"/>
        <v/>
      </c>
      <c r="F214" s="317" t="str">
        <f t="shared" si="17"/>
        <v/>
      </c>
      <c r="G214" s="323" t="str">
        <f t="shared" si="18"/>
        <v/>
      </c>
      <c r="H214" s="327" t="str">
        <f t="shared" si="19"/>
        <v/>
      </c>
      <c r="I214" s="327" t="str">
        <f t="shared" si="20"/>
        <v/>
      </c>
      <c r="J214" s="301" t="str">
        <f t="shared" si="21"/>
        <v/>
      </c>
      <c r="K214" s="301" t="str">
        <f t="shared" si="22"/>
        <v/>
      </c>
      <c r="L214" s="344" t="str">
        <f t="array" ref="L214">IF($T214="","",LET(m,MATCH($T214,$AS$24:$AS$700,0),lvl,INDEX($W$24:$W$700,m),id,INDEX($X$24:$X$700,m),SWITCH(lvl,3,"Lớp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4" s="351" t="str">
        <f t="shared" si="23"/>
        <v/>
      </c>
      <c r="N214" s="356" t="str">
        <f t="shared" si="24"/>
        <v/>
      </c>
      <c r="O214" s="358"/>
      <c r="P214" s="360"/>
      <c r="Q214" s="360"/>
      <c r="R214" s="67"/>
      <c r="S214" s="67"/>
      <c r="T214" s="67"/>
      <c r="U214" s="389" t="str">
        <f>IF('Lớp 5 - Phân công'!I25="","",'Lớp 5 - Phân công'!K25&amp;"|"&amp;'Lớp 5 - Phân công'!J25&amp;"|"&amp;'Lớp 5 - Phân công'!I25)</f>
        <v>HHL3CT03|HHL4DL03|HHL5DL03-02</v>
      </c>
      <c r="V214" s="389" t="str">
        <f>IF('Lớp 5 - Phân công'!I25="","","       ├─ "&amp;'Lớp 5 - Phân công'!Q25)</f>
        <v>       ├─ Phản biện với TGĐ &amp; liên PB B2B</v>
      </c>
      <c r="W214" s="389">
        <f>IF('Lớp 5 - Phân công'!I25="","",5)</f>
        <v>5</v>
      </c>
      <c r="X214" s="67" t="str">
        <f>'Lớp 5 - Phân công'!I25</f>
        <v>HHL5DL03-02</v>
      </c>
      <c r="Y214" s="67" t="str">
        <f>'Lớp 5 - Phân công'!J25</f>
        <v>HHL4DL03</v>
      </c>
      <c r="Z214" s="67" t="str">
        <f>'Lớp 5 - Phân công'!AA25</f>
        <v>Em Đại</v>
      </c>
      <c r="AA214" s="67" t="str">
        <f>'Lớp 5 - Phân công'!Z25</f>
        <v>Dữ liệu điều hành</v>
      </c>
      <c r="AB214" s="67" t="str">
        <f>'Lớp 5 - Phân công'!AC25</f>
        <v>P2</v>
      </c>
      <c r="AC214" s="67" t="str">
        <f>'Lớp 5 - Phân công'!AB25</f>
        <v>Chưa bắt đầu</v>
      </c>
      <c r="AD214" s="398">
        <f>'Lớp 5 - Phân công'!AG25</f>
        <v>0</v>
      </c>
      <c r="AE214" s="358">
        <f>'Lớp 5 - Phân công'!AE25</f>
        <v>46310</v>
      </c>
      <c r="AF214" s="187">
        <f>'Lớp 5 - Phân công'!AH25</f>
        <v>9</v>
      </c>
      <c r="AG214" s="104">
        <f>'Lớp 5 - Phân công'!AI25</f>
        <v>8</v>
      </c>
      <c r="AH214" s="389">
        <f t="shared" si="27"/>
        <v>8</v>
      </c>
      <c r="AI214" s="389" t="str">
        <f t="shared" si="37"/>
        <v>🟢 Theo kế hoạch</v>
      </c>
      <c r="AJ214" s="67" t="str">
        <f>'Lớp 5 - Phân công'!AL25</f>
        <v>Quá tải – tổng 20.0/8.0 giờ/ngày</v>
      </c>
      <c r="AS214" s="389" t="str">
        <f t="shared" si="217"/>
        <v>03.03.02</v>
      </c>
      <c r="AT214" s="389" t="str">
        <f t="shared" si="32"/>
        <v/>
      </c>
      <c r="AU214" s="389" t="str">
        <f t="shared" si="33"/>
        <v/>
      </c>
      <c r="AV214" s="389" t="str">
        <f t="shared" si="34"/>
        <v>Phản biện với TGĐ &amp; liên PB B2B</v>
      </c>
      <c r="AW214" s="389" t="str">
        <f t="shared" si="35"/>
        <v/>
      </c>
      <c r="AX214" s="67" t="str">
        <f t="shared" ref="AX214:BH214" si="228">Z214</f>
        <v>Em Đại</v>
      </c>
      <c r="AY214" s="67" t="str">
        <f t="shared" si="228"/>
        <v>Dữ liệu điều hành</v>
      </c>
      <c r="AZ214" s="67" t="str">
        <f t="shared" si="228"/>
        <v>P2</v>
      </c>
      <c r="BA214" s="67" t="str">
        <f t="shared" si="228"/>
        <v>Chưa bắt đầu</v>
      </c>
      <c r="BB214" s="398">
        <f t="shared" si="228"/>
        <v>0</v>
      </c>
      <c r="BC214" s="358">
        <f t="shared" si="228"/>
        <v>46310</v>
      </c>
      <c r="BD214" s="187">
        <f t="shared" si="228"/>
        <v>9</v>
      </c>
      <c r="BE214" s="104">
        <f t="shared" si="228"/>
        <v>8</v>
      </c>
      <c r="BF214" s="389">
        <f t="shared" si="228"/>
        <v>8</v>
      </c>
      <c r="BG214" s="389" t="str">
        <f t="shared" si="228"/>
        <v>🟢 Theo kế hoạch</v>
      </c>
      <c r="BH214" s="67" t="str">
        <f t="shared" si="228"/>
        <v>Quá tải – tổng 20.0/8.0 giờ/ngày</v>
      </c>
      <c r="BI214" s="389">
        <f t="array" ref="BI214">IF($X214="","",SWITCH($W214,3,IFERROR(INDEX('Lớp 3 - Công việc chính'!$AF$14:$AF$73,MATCH($X214,'Lớp 3 - Công việc chính'!$I$14:$I$73,0)),""),4,IFERROR(INDEX('Lớp 4 - Danh mục'!$AI$14:$AI$132,MATCH($X214,'Lớp 4 - Danh mục'!$I$14:$I$132,0)),""),5,IFERROR(INDEX('Lớp 5 - Phân công'!$AJ$14:$AJ$262,MATCH($X214,'Lớp 5 - Phân công'!$I$14:$I$262,0)),""),6,IFERROR(INDEX('Lớp 6 - Chi tiết'!$AM$14:$AM$267,MATCH($X214,'Lớp 6 - Chi tiết'!$I$14:$I$267,0)),""),""))</f>
        <v>0.8</v>
      </c>
      <c r="BJ214" s="389" t="str">
        <f t="array" ref="BJ214">IF($X214="","",SWITCH($W214,3,IFERROR(INDEX('Lớp 3 - Công việc chính'!$AR$14:$AR$73,MATCH($X214,'Lớp 3 - Công việc chính'!$I$14:$I$73,0)),""),4,IFERROR(INDEX('Lớp 4 - Danh mục'!$AU$14:$AU$132,MATCH($X214,'Lớp 4 - Danh mục'!$I$14:$I$132,0)),""),5,IFERROR(INDEX('Lớp 5 - Phân công'!$AV$14:$AV$262,MATCH($X214,'Lớp 5 - Phân công'!$I$14:$I$262,0)),""),6,IFERROR(INDEX('Lớp 6 - Chi tiết'!$AY$14:$AY$267,MATCH($X214,'Lớp 6 - Chi tiết'!$I$14:$I$267,0)),""),""))</f>
        <v>Thiếu 0.4 giờ/tuần</v>
      </c>
    </row>
    <row r="215" ht="15.75" customHeight="1">
      <c r="A215" s="294" t="str">
        <f t="shared" si="12"/>
        <v/>
      </c>
      <c r="B215" s="301" t="str">
        <f t="shared" si="13"/>
        <v/>
      </c>
      <c r="C215" s="301" t="str">
        <f t="shared" si="14"/>
        <v/>
      </c>
      <c r="D215" s="301" t="str">
        <f t="shared" si="15"/>
        <v/>
      </c>
      <c r="E215" s="301" t="str">
        <f t="shared" si="16"/>
        <v/>
      </c>
      <c r="F215" s="317" t="str">
        <f t="shared" si="17"/>
        <v/>
      </c>
      <c r="G215" s="323" t="str">
        <f t="shared" si="18"/>
        <v/>
      </c>
      <c r="H215" s="327" t="str">
        <f t="shared" si="19"/>
        <v/>
      </c>
      <c r="I215" s="327" t="str">
        <f t="shared" si="20"/>
        <v/>
      </c>
      <c r="J215" s="301" t="str">
        <f t="shared" si="21"/>
        <v/>
      </c>
      <c r="K215" s="301" t="str">
        <f t="shared" si="22"/>
        <v/>
      </c>
      <c r="L215" s="344" t="str">
        <f t="array" ref="L215">IF($T215="","",LET(m,MATCH($T215,$AS$24:$AS$700,0),lvl,INDEX($W$24:$W$700,m),id,INDEX($X$24:$X$700,m),SWITCH(lvl,3,"Lớp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5" s="351" t="str">
        <f t="shared" si="23"/>
        <v/>
      </c>
      <c r="N215" s="356" t="str">
        <f t="shared" si="24"/>
        <v/>
      </c>
      <c r="O215" s="358"/>
      <c r="P215" s="360"/>
      <c r="Q215" s="360"/>
      <c r="R215" s="67"/>
      <c r="S215" s="67"/>
      <c r="T215" s="67"/>
      <c r="U215" s="389" t="str">
        <f>IF('Lớp 5 - Phân công'!I26="","",'Lớp 5 - Phân công'!K26&amp;"|"&amp;'Lớp 5 - Phân công'!J26&amp;"|"&amp;'Lớp 5 - Phân công'!I26)</f>
        <v>HHL3CT03|HHL4DL03|HHL5DL03-03</v>
      </c>
      <c r="V215" s="389" t="str">
        <f>IF('Lớp 5 - Phân công'!I26="","","       ├─ "&amp;'Lớp 5 - Phân công'!Q26)</f>
        <v>       ├─ XD bảng Excel &amp; HT phần mềm (chạy demo) B2B</v>
      </c>
      <c r="W215" s="389">
        <f>IF('Lớp 5 - Phân công'!I26="","",5)</f>
        <v>5</v>
      </c>
      <c r="X215" s="67" t="str">
        <f>'Lớp 5 - Phân công'!I26</f>
        <v>HHL5DL03-03</v>
      </c>
      <c r="Y215" s="67" t="str">
        <f>'Lớp 5 - Phân công'!J26</f>
        <v>HHL4DL03</v>
      </c>
      <c r="Z215" s="67" t="str">
        <f>'Lớp 5 - Phân công'!AA26</f>
        <v>Em Đại</v>
      </c>
      <c r="AA215" s="67" t="str">
        <f>'Lớp 5 - Phân công'!Z26</f>
        <v>Dữ liệu điều hành</v>
      </c>
      <c r="AB215" s="67" t="str">
        <f>'Lớp 5 - Phân công'!AC26</f>
        <v>P2</v>
      </c>
      <c r="AC215" s="67" t="str">
        <f>'Lớp 5 - Phân công'!AB26</f>
        <v>Chưa bắt đầu</v>
      </c>
      <c r="AD215" s="398">
        <f>'Lớp 5 - Phân công'!AG26</f>
        <v>0</v>
      </c>
      <c r="AE215" s="358">
        <f>'Lớp 5 - Phân công'!AE26</f>
        <v>46305</v>
      </c>
      <c r="AF215" s="187">
        <f>'Lớp 5 - Phân công'!AH26</f>
        <v>5</v>
      </c>
      <c r="AG215" s="104">
        <f>'Lớp 5 - Phân công'!AI26</f>
        <v>24</v>
      </c>
      <c r="AH215" s="389">
        <f t="shared" si="27"/>
        <v>24</v>
      </c>
      <c r="AI215" s="389" t="str">
        <f t="shared" si="37"/>
        <v>🟢 Theo kế hoạch</v>
      </c>
      <c r="AJ215" s="67" t="str">
        <f>'Lớp 5 - Phân công'!AL26</f>
        <v>Quá tải – tổng 13.6/8.0 giờ/ngày</v>
      </c>
      <c r="AS215" s="389" t="str">
        <f t="shared" si="217"/>
        <v>03.03.03</v>
      </c>
      <c r="AT215" s="389" t="str">
        <f t="shared" si="32"/>
        <v/>
      </c>
      <c r="AU215" s="389" t="str">
        <f t="shared" si="33"/>
        <v/>
      </c>
      <c r="AV215" s="389" t="str">
        <f t="shared" si="34"/>
        <v>XD bảng Excel &amp; HT phần mềm (chạy demo) B2B</v>
      </c>
      <c r="AW215" s="389" t="str">
        <f t="shared" si="35"/>
        <v/>
      </c>
      <c r="AX215" s="67" t="str">
        <f t="shared" ref="AX215:BH215" si="229">Z215</f>
        <v>Em Đại</v>
      </c>
      <c r="AY215" s="67" t="str">
        <f t="shared" si="229"/>
        <v>Dữ liệu điều hành</v>
      </c>
      <c r="AZ215" s="67" t="str">
        <f t="shared" si="229"/>
        <v>P2</v>
      </c>
      <c r="BA215" s="67" t="str">
        <f t="shared" si="229"/>
        <v>Chưa bắt đầu</v>
      </c>
      <c r="BB215" s="398">
        <f t="shared" si="229"/>
        <v>0</v>
      </c>
      <c r="BC215" s="358">
        <f t="shared" si="229"/>
        <v>46305</v>
      </c>
      <c r="BD215" s="187">
        <f t="shared" si="229"/>
        <v>5</v>
      </c>
      <c r="BE215" s="104">
        <f t="shared" si="229"/>
        <v>24</v>
      </c>
      <c r="BF215" s="389">
        <f t="shared" si="229"/>
        <v>24</v>
      </c>
      <c r="BG215" s="389" t="str">
        <f t="shared" si="229"/>
        <v>🟢 Theo kế hoạch</v>
      </c>
      <c r="BH215" s="67" t="str">
        <f t="shared" si="229"/>
        <v>Quá tải – tổng 13.6/8.0 giờ/ngày</v>
      </c>
      <c r="BI215" s="389">
        <f t="array" ref="BI215">IF($X215="","",SWITCH($W215,3,IFERROR(INDEX('Lớp 3 - Công việc chính'!$AF$14:$AF$73,MATCH($X215,'Lớp 3 - Công việc chính'!$I$14:$I$73,0)),""),4,IFERROR(INDEX('Lớp 4 - Danh mục'!$AI$14:$AI$132,MATCH($X215,'Lớp 4 - Danh mục'!$I$14:$I$132,0)),""),5,IFERROR(INDEX('Lớp 5 - Phân công'!$AJ$14:$AJ$262,MATCH($X215,'Lớp 5 - Phân công'!$I$14:$I$262,0)),""),6,IFERROR(INDEX('Lớp 6 - Chi tiết'!$AM$14:$AM$267,MATCH($X215,'Lớp 6 - Chi tiết'!$I$14:$I$267,0)),""),""))</f>
        <v>0.8</v>
      </c>
      <c r="BJ215" s="389" t="str">
        <f t="array" ref="BJ215">IF($X215="","",SWITCH($W215,3,IFERROR(INDEX('Lớp 3 - Công việc chính'!$AR$14:$AR$73,MATCH($X215,'Lớp 3 - Công việc chính'!$I$14:$I$73,0)),""),4,IFERROR(INDEX('Lớp 4 - Danh mục'!$AU$14:$AU$132,MATCH($X215,'Lớp 4 - Danh mục'!$I$14:$I$132,0)),""),5,IFERROR(INDEX('Lớp 5 - Phân công'!$AV$14:$AV$262,MATCH($X215,'Lớp 5 - Phân công'!$I$14:$I$262,0)),""),6,IFERROR(INDEX('Lớp 6 - Chi tiết'!$AY$14:$AY$267,MATCH($X215,'Lớp 6 - Chi tiết'!$I$14:$I$267,0)),""),""))</f>
        <v>Thiếu 20.0 giờ/tuần</v>
      </c>
    </row>
    <row r="216" ht="15.75" customHeight="1">
      <c r="A216" s="294" t="str">
        <f t="shared" si="12"/>
        <v/>
      </c>
      <c r="B216" s="301" t="str">
        <f t="shared" si="13"/>
        <v/>
      </c>
      <c r="C216" s="301" t="str">
        <f t="shared" si="14"/>
        <v/>
      </c>
      <c r="D216" s="301" t="str">
        <f t="shared" si="15"/>
        <v/>
      </c>
      <c r="E216" s="301" t="str">
        <f t="shared" si="16"/>
        <v/>
      </c>
      <c r="F216" s="317" t="str">
        <f t="shared" si="17"/>
        <v/>
      </c>
      <c r="G216" s="323" t="str">
        <f t="shared" si="18"/>
        <v/>
      </c>
      <c r="H216" s="327" t="str">
        <f t="shared" si="19"/>
        <v/>
      </c>
      <c r="I216" s="327" t="str">
        <f t="shared" si="20"/>
        <v/>
      </c>
      <c r="J216" s="301" t="str">
        <f t="shared" si="21"/>
        <v/>
      </c>
      <c r="K216" s="301" t="str">
        <f t="shared" si="22"/>
        <v/>
      </c>
      <c r="L216" s="344" t="str">
        <f t="array" ref="L216">IF($T216="","",LET(m,MATCH($T216,$AS$24:$AS$700,0),lvl,INDEX($W$24:$W$700,m),id,INDEX($X$24:$X$700,m),SWITCH(lvl,3,"Lớp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6" s="351" t="str">
        <f t="shared" si="23"/>
        <v/>
      </c>
      <c r="N216" s="356" t="str">
        <f t="shared" si="24"/>
        <v/>
      </c>
      <c r="O216" s="358"/>
      <c r="P216" s="360"/>
      <c r="Q216" s="360"/>
      <c r="R216" s="67"/>
      <c r="S216" s="67"/>
      <c r="T216" s="67"/>
      <c r="U216" s="389" t="str">
        <f>IF('Lớp 5 - Phân công'!I27="","",'Lớp 5 - Phân công'!K27&amp;"|"&amp;'Lớp 5 - Phân công'!J27&amp;"|"&amp;'Lớp 5 - Phân công'!I27)</f>
        <v>HHL3CT03|HHL4DL03|HHL5DL03-04</v>
      </c>
      <c r="V216" s="389" t="str">
        <f>IF('Lớp 5 - Phân công'!I27="","","       ├─ "&amp;'Lớp 5 - Phân công'!Q27)</f>
        <v>       ├─ Chạy tham số Topdown B2B</v>
      </c>
      <c r="W216" s="389">
        <f>IF('Lớp 5 - Phân công'!I27="","",5)</f>
        <v>5</v>
      </c>
      <c r="X216" s="67" t="str">
        <f>'Lớp 5 - Phân công'!I27</f>
        <v>HHL5DL03-04</v>
      </c>
      <c r="Y216" s="67" t="str">
        <f>'Lớp 5 - Phân công'!J27</f>
        <v>HHL4DL03</v>
      </c>
      <c r="Z216" s="67" t="str">
        <f>'Lớp 5 - Phân công'!AA27</f>
        <v>Em Đại</v>
      </c>
      <c r="AA216" s="67" t="str">
        <f>'Lớp 5 - Phân công'!Z27</f>
        <v>Dữ liệu điều hành</v>
      </c>
      <c r="AB216" s="67" t="str">
        <f>'Lớp 5 - Phân công'!AC27</f>
        <v>P2</v>
      </c>
      <c r="AC216" s="67" t="str">
        <f>'Lớp 5 - Phân công'!AB27</f>
        <v>Đã lên lịch</v>
      </c>
      <c r="AD216" s="398" t="str">
        <f>'Lớp 5 - Phân công'!AG27</f>
        <v/>
      </c>
      <c r="AE216" s="358">
        <f>'Lớp 5 - Phân công'!AE27</f>
        <v>46307</v>
      </c>
      <c r="AF216" s="187">
        <f>'Lớp 5 - Phân công'!AH27</f>
        <v>1</v>
      </c>
      <c r="AG216" s="104">
        <f>'Lớp 5 - Phân công'!AI27</f>
        <v>16</v>
      </c>
      <c r="AH216" s="389">
        <f t="shared" si="27"/>
        <v>16</v>
      </c>
      <c r="AI216" s="389" t="str">
        <f t="shared" si="37"/>
        <v>🟢 Theo kế hoạch</v>
      </c>
      <c r="AJ216" s="67" t="str">
        <f>'Lớp 5 - Phân công'!AL27</f>
        <v>Cận tải – tổng 8.0/8.0 giờ/ngày</v>
      </c>
      <c r="AS216" s="389" t="str">
        <f t="shared" si="217"/>
        <v>03.03.04</v>
      </c>
      <c r="AT216" s="389" t="str">
        <f t="shared" si="32"/>
        <v/>
      </c>
      <c r="AU216" s="389" t="str">
        <f t="shared" si="33"/>
        <v/>
      </c>
      <c r="AV216" s="389" t="str">
        <f t="shared" si="34"/>
        <v>Chạy tham số Topdown B2B</v>
      </c>
      <c r="AW216" s="389" t="str">
        <f t="shared" si="35"/>
        <v/>
      </c>
      <c r="AX216" s="67" t="str">
        <f t="shared" ref="AX216:BH216" si="230">Z216</f>
        <v>Em Đại</v>
      </c>
      <c r="AY216" s="67" t="str">
        <f t="shared" si="230"/>
        <v>Dữ liệu điều hành</v>
      </c>
      <c r="AZ216" s="67" t="str">
        <f t="shared" si="230"/>
        <v>P2</v>
      </c>
      <c r="BA216" s="67" t="str">
        <f t="shared" si="230"/>
        <v>Đã lên lịch</v>
      </c>
      <c r="BB216" s="398" t="str">
        <f t="shared" si="230"/>
        <v/>
      </c>
      <c r="BC216" s="358">
        <f t="shared" si="230"/>
        <v>46307</v>
      </c>
      <c r="BD216" s="187">
        <f t="shared" si="230"/>
        <v>1</v>
      </c>
      <c r="BE216" s="104">
        <f t="shared" si="230"/>
        <v>16</v>
      </c>
      <c r="BF216" s="389">
        <f t="shared" si="230"/>
        <v>16</v>
      </c>
      <c r="BG216" s="389" t="str">
        <f t="shared" si="230"/>
        <v>🟢 Theo kế hoạch</v>
      </c>
      <c r="BH216" s="67" t="str">
        <f t="shared" si="230"/>
        <v>Cận tải – tổng 8.0/8.0 giờ/ngày</v>
      </c>
      <c r="BI216" s="389">
        <f t="array" ref="BI216">IF($X216="","",SWITCH($W216,3,IFERROR(INDEX('Lớp 3 - Công việc chính'!$AF$14:$AF$73,MATCH($X216,'Lớp 3 - Công việc chính'!$I$14:$I$73,0)),""),4,IFERROR(INDEX('Lớp 4 - Danh mục'!$AI$14:$AI$132,MATCH($X216,'Lớp 4 - Danh mục'!$I$14:$I$132,0)),""),5,IFERROR(INDEX('Lớp 5 - Phân công'!$AJ$14:$AJ$262,MATCH($X216,'Lớp 5 - Phân công'!$I$14:$I$262,0)),""),6,IFERROR(INDEX('Lớp 6 - Chi tiết'!$AM$14:$AM$267,MATCH($X216,'Lớp 6 - Chi tiết'!$I$14:$I$267,0)),""),""))</f>
        <v>0.8</v>
      </c>
      <c r="BJ216" s="389" t="str">
        <f t="array" ref="BJ216">IF($X216="","",SWITCH($W216,3,IFERROR(INDEX('Lớp 3 - Công việc chính'!$AR$14:$AR$73,MATCH($X216,'Lớp 3 - Công việc chính'!$I$14:$I$73,0)),""),4,IFERROR(INDEX('Lớp 4 - Danh mục'!$AU$14:$AU$132,MATCH($X216,'Lớp 4 - Danh mục'!$I$14:$I$132,0)),""),5,IFERROR(INDEX('Lớp 5 - Phân công'!$AV$14:$AV$262,MATCH($X216,'Lớp 5 - Phân công'!$I$14:$I$262,0)),""),6,IFERROR(INDEX('Lớp 6 - Chi tiết'!$AY$14:$AY$267,MATCH($X216,'Lớp 6 - Chi tiết'!$I$14:$I$267,0)),""),""))</f>
        <v>Thiếu 76.0 giờ/tuần</v>
      </c>
    </row>
    <row r="217" ht="15.75" customHeight="1">
      <c r="A217" s="294" t="str">
        <f t="shared" si="12"/>
        <v/>
      </c>
      <c r="B217" s="301" t="str">
        <f t="shared" si="13"/>
        <v/>
      </c>
      <c r="C217" s="301" t="str">
        <f t="shared" si="14"/>
        <v/>
      </c>
      <c r="D217" s="301" t="str">
        <f t="shared" si="15"/>
        <v/>
      </c>
      <c r="E217" s="301" t="str">
        <f t="shared" si="16"/>
        <v/>
      </c>
      <c r="F217" s="317" t="str">
        <f t="shared" si="17"/>
        <v/>
      </c>
      <c r="G217" s="323" t="str">
        <f t="shared" si="18"/>
        <v/>
      </c>
      <c r="H217" s="327" t="str">
        <f t="shared" si="19"/>
        <v/>
      </c>
      <c r="I217" s="327" t="str">
        <f t="shared" si="20"/>
        <v/>
      </c>
      <c r="J217" s="301" t="str">
        <f t="shared" si="21"/>
        <v/>
      </c>
      <c r="K217" s="301" t="str">
        <f t="shared" si="22"/>
        <v/>
      </c>
      <c r="L217" s="344" t="str">
        <f t="array" ref="L217">IF($T217="","",LET(m,MATCH($T217,$AS$24:$AS$700,0),lvl,INDEX($W$24:$W$700,m),id,INDEX($X$24:$X$700,m),SWITCH(lvl,3,"Lớp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7" s="351" t="str">
        <f t="shared" si="23"/>
        <v/>
      </c>
      <c r="N217" s="356" t="str">
        <f t="shared" si="24"/>
        <v/>
      </c>
      <c r="O217" s="358"/>
      <c r="P217" s="360"/>
      <c r="Q217" s="360"/>
      <c r="R217" s="67"/>
      <c r="S217" s="67"/>
      <c r="T217" s="67"/>
      <c r="U217" s="389" t="str">
        <f>IF('Lớp 5 - Phân công'!I28="","",'Lớp 5 - Phân công'!K28&amp;"|"&amp;'Lớp 5 - Phân công'!J28&amp;"|"&amp;'Lớp 5 - Phân công'!I28)</f>
        <v>HHL3CT03|HHL4DL03|HHL5DL03-05</v>
      </c>
      <c r="V217" s="389" t="str">
        <f>IF('Lớp 5 - Phân công'!I28="","","       ├─ "&amp;'Lớp 5 - Phân công'!Q28)</f>
        <v>       ├─ Chạy tham số Bottom-up theo khu vực vùng miền B2B</v>
      </c>
      <c r="W217" s="389">
        <f>IF('Lớp 5 - Phân công'!I28="","",5)</f>
        <v>5</v>
      </c>
      <c r="X217" s="67" t="str">
        <f>'Lớp 5 - Phân công'!I28</f>
        <v>HHL5DL03-05</v>
      </c>
      <c r="Y217" s="67" t="str">
        <f>'Lớp 5 - Phân công'!J28</f>
        <v>HHL4DL03</v>
      </c>
      <c r="Z217" s="67" t="str">
        <f>'Lớp 5 - Phân công'!AA28</f>
        <v>Em Đại</v>
      </c>
      <c r="AA217" s="67" t="str">
        <f>'Lớp 5 - Phân công'!Z28</f>
        <v>Dữ liệu điều hành</v>
      </c>
      <c r="AB217" s="67" t="str">
        <f>'Lớp 5 - Phân công'!AC28</f>
        <v>P2</v>
      </c>
      <c r="AC217" s="67" t="str">
        <f>'Lớp 5 - Phân công'!AB28</f>
        <v>Đã lên lịch</v>
      </c>
      <c r="AD217" s="398" t="str">
        <f>'Lớp 5 - Phân công'!AG28</f>
        <v/>
      </c>
      <c r="AE217" s="358">
        <f>'Lớp 5 - Phân công'!AE28</f>
        <v>46320</v>
      </c>
      <c r="AF217" s="187">
        <f>'Lớp 5 - Phân công'!AH28</f>
        <v>11</v>
      </c>
      <c r="AG217" s="104">
        <f>'Lớp 5 - Phân công'!AI28</f>
        <v>16</v>
      </c>
      <c r="AH217" s="389">
        <f t="shared" si="27"/>
        <v>16</v>
      </c>
      <c r="AI217" s="389" t="str">
        <f t="shared" si="37"/>
        <v>🟢 Theo kế hoạch</v>
      </c>
      <c r="AJ217" s="67" t="str">
        <f>'Lớp 5 - Phân công'!AL28</f>
        <v>Quá tải – tổng 10.4/8.0 giờ/ngày</v>
      </c>
      <c r="AS217" s="389" t="str">
        <f t="shared" si="217"/>
        <v>03.03.05</v>
      </c>
      <c r="AT217" s="389" t="str">
        <f t="shared" si="32"/>
        <v/>
      </c>
      <c r="AU217" s="389" t="str">
        <f t="shared" si="33"/>
        <v/>
      </c>
      <c r="AV217" s="389" t="str">
        <f t="shared" si="34"/>
        <v>Chạy tham số Bottom-up theo khu vực vùng miền B2B</v>
      </c>
      <c r="AW217" s="389" t="str">
        <f t="shared" si="35"/>
        <v/>
      </c>
      <c r="AX217" s="67" t="str">
        <f t="shared" ref="AX217:BH217" si="231">Z217</f>
        <v>Em Đại</v>
      </c>
      <c r="AY217" s="67" t="str">
        <f t="shared" si="231"/>
        <v>Dữ liệu điều hành</v>
      </c>
      <c r="AZ217" s="67" t="str">
        <f t="shared" si="231"/>
        <v>P2</v>
      </c>
      <c r="BA217" s="67" t="str">
        <f t="shared" si="231"/>
        <v>Đã lên lịch</v>
      </c>
      <c r="BB217" s="398" t="str">
        <f t="shared" si="231"/>
        <v/>
      </c>
      <c r="BC217" s="358">
        <f t="shared" si="231"/>
        <v>46320</v>
      </c>
      <c r="BD217" s="187">
        <f t="shared" si="231"/>
        <v>11</v>
      </c>
      <c r="BE217" s="104">
        <f t="shared" si="231"/>
        <v>16</v>
      </c>
      <c r="BF217" s="389">
        <f t="shared" si="231"/>
        <v>16</v>
      </c>
      <c r="BG217" s="389" t="str">
        <f t="shared" si="231"/>
        <v>🟢 Theo kế hoạch</v>
      </c>
      <c r="BH217" s="67" t="str">
        <f t="shared" si="231"/>
        <v>Quá tải – tổng 10.4/8.0 giờ/ngày</v>
      </c>
      <c r="BI217" s="389">
        <f t="array" ref="BI217">IF($X217="","",SWITCH($W217,3,IFERROR(INDEX('Lớp 3 - Công việc chính'!$AF$14:$AF$73,MATCH($X217,'Lớp 3 - Công việc chính'!$I$14:$I$73,0)),""),4,IFERROR(INDEX('Lớp 4 - Danh mục'!$AI$14:$AI$132,MATCH($X217,'Lớp 4 - Danh mục'!$I$14:$I$132,0)),""),5,IFERROR(INDEX('Lớp 5 - Phân công'!$AJ$14:$AJ$262,MATCH($X217,'Lớp 5 - Phân công'!$I$14:$I$262,0)),""),6,IFERROR(INDEX('Lớp 6 - Chi tiết'!$AM$14:$AM$267,MATCH($X217,'Lớp 6 - Chi tiết'!$I$14:$I$267,0)),""),""))</f>
        <v>0.8</v>
      </c>
      <c r="BJ217" s="389" t="str">
        <f t="array" ref="BJ217">IF($X217="","",SWITCH($W217,3,IFERROR(INDEX('Lớp 3 - Công việc chính'!$AR$14:$AR$73,MATCH($X217,'Lớp 3 - Công việc chính'!$I$14:$I$73,0)),""),4,IFERROR(INDEX('Lớp 4 - Danh mục'!$AU$14:$AU$132,MATCH($X217,'Lớp 4 - Danh mục'!$I$14:$I$132,0)),""),5,IFERROR(INDEX('Lớp 5 - Phân công'!$AV$14:$AV$262,MATCH($X217,'Lớp 5 - Phân công'!$I$14:$I$262,0)),""),6,IFERROR(INDEX('Lớp 6 - Chi tiết'!$AY$14:$AY$267,MATCH($X217,'Lớp 6 - Chi tiết'!$I$14:$I$267,0)),""),""))</f>
        <v>Thiếu 3.3 giờ/tuần</v>
      </c>
    </row>
    <row r="218" ht="15.75" customHeight="1">
      <c r="A218" s="294" t="str">
        <f t="shared" si="12"/>
        <v/>
      </c>
      <c r="B218" s="301" t="str">
        <f t="shared" si="13"/>
        <v/>
      </c>
      <c r="C218" s="301" t="str">
        <f t="shared" si="14"/>
        <v/>
      </c>
      <c r="D218" s="301" t="str">
        <f t="shared" si="15"/>
        <v/>
      </c>
      <c r="E218" s="301" t="str">
        <f t="shared" si="16"/>
        <v/>
      </c>
      <c r="F218" s="317" t="str">
        <f t="shared" si="17"/>
        <v/>
      </c>
      <c r="G218" s="323" t="str">
        <f t="shared" si="18"/>
        <v/>
      </c>
      <c r="H218" s="327" t="str">
        <f t="shared" si="19"/>
        <v/>
      </c>
      <c r="I218" s="327" t="str">
        <f t="shared" si="20"/>
        <v/>
      </c>
      <c r="J218" s="301" t="str">
        <f t="shared" si="21"/>
        <v/>
      </c>
      <c r="K218" s="301" t="str">
        <f t="shared" si="22"/>
        <v/>
      </c>
      <c r="L218" s="344" t="str">
        <f t="array" ref="L218">IF($T218="","",LET(m,MATCH($T218,$AS$24:$AS$700,0),lvl,INDEX($W$24:$W$700,m),id,INDEX($X$24:$X$700,m),SWITCH(lvl,3,"Lớp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8" s="351" t="str">
        <f t="shared" si="23"/>
        <v/>
      </c>
      <c r="N218" s="356" t="str">
        <f t="shared" si="24"/>
        <v/>
      </c>
      <c r="O218" s="358"/>
      <c r="P218" s="360"/>
      <c r="Q218" s="360"/>
      <c r="R218" s="67"/>
      <c r="S218" s="67"/>
      <c r="T218" s="67"/>
      <c r="U218" s="389" t="str">
        <f>IF('Lớp 5 - Phân công'!I29="","",'Lớp 5 - Phân công'!K29&amp;"|"&amp;'Lớp 5 - Phân công'!J29&amp;"|"&amp;'Lớp 5 - Phân công'!I29)</f>
        <v>HHL3CT03|HHL4DL04|HHL5DL04-01</v>
      </c>
      <c r="V218" s="389" t="str">
        <f>IF('Lớp 5 - Phân công'!I29="","","       ├─ "&amp;'Lớp 5 - Phân công'!Q29)</f>
        <v>       ├─ XD &amp; phản biện công thức (nội bộ) Online</v>
      </c>
      <c r="W218" s="389">
        <f>IF('Lớp 5 - Phân công'!I29="","",5)</f>
        <v>5</v>
      </c>
      <c r="X218" s="67" t="str">
        <f>'Lớp 5 - Phân công'!I29</f>
        <v>HHL5DL04-01</v>
      </c>
      <c r="Y218" s="67" t="str">
        <f>'Lớp 5 - Phân công'!J29</f>
        <v>HHL4DL04</v>
      </c>
      <c r="Z218" s="67" t="str">
        <f>'Lớp 5 - Phân công'!AA29</f>
        <v>Em Đại</v>
      </c>
      <c r="AA218" s="67" t="str">
        <f>'Lớp 5 - Phân công'!Z29</f>
        <v>Dữ liệu điều hành</v>
      </c>
      <c r="AB218" s="67" t="str">
        <f>'Lớp 5 - Phân công'!AC29</f>
        <v>P2</v>
      </c>
      <c r="AC218" s="67" t="str">
        <f>'Lớp 5 - Phân công'!AB29</f>
        <v>Chưa bắt đầu</v>
      </c>
      <c r="AD218" s="398">
        <f>'Lớp 5 - Phân công'!AG29</f>
        <v>0</v>
      </c>
      <c r="AE218" s="358">
        <f>'Lớp 5 - Phân công'!AE29</f>
        <v>46300</v>
      </c>
      <c r="AF218" s="187">
        <f>'Lớp 5 - Phân công'!AH29</f>
        <v>9</v>
      </c>
      <c r="AG218" s="104">
        <f>'Lớp 5 - Phân công'!AI29</f>
        <v>16</v>
      </c>
      <c r="AH218" s="389">
        <f t="shared" si="27"/>
        <v>16</v>
      </c>
      <c r="AI218" s="389" t="str">
        <f t="shared" si="37"/>
        <v>🟢 Theo kế hoạch</v>
      </c>
      <c r="AJ218" s="67" t="str">
        <f>'Lớp 5 - Phân công'!AL29</f>
        <v>Quá tải – tổng 15.2/8.0 giờ/ngày</v>
      </c>
      <c r="AS218" s="389" t="str">
        <f t="shared" si="217"/>
        <v>03.04.01</v>
      </c>
      <c r="AT218" s="389" t="str">
        <f t="shared" si="32"/>
        <v/>
      </c>
      <c r="AU218" s="389" t="str">
        <f t="shared" si="33"/>
        <v/>
      </c>
      <c r="AV218" s="389" t="str">
        <f t="shared" si="34"/>
        <v>XD &amp; phản biện công thức (nội bộ) Online</v>
      </c>
      <c r="AW218" s="389" t="str">
        <f t="shared" si="35"/>
        <v/>
      </c>
      <c r="AX218" s="67" t="str">
        <f t="shared" ref="AX218:BH218" si="232">Z218</f>
        <v>Em Đại</v>
      </c>
      <c r="AY218" s="67" t="str">
        <f t="shared" si="232"/>
        <v>Dữ liệu điều hành</v>
      </c>
      <c r="AZ218" s="67" t="str">
        <f t="shared" si="232"/>
        <v>P2</v>
      </c>
      <c r="BA218" s="67" t="str">
        <f t="shared" si="232"/>
        <v>Chưa bắt đầu</v>
      </c>
      <c r="BB218" s="398">
        <f t="shared" si="232"/>
        <v>0</v>
      </c>
      <c r="BC218" s="358">
        <f t="shared" si="232"/>
        <v>46300</v>
      </c>
      <c r="BD218" s="187">
        <f t="shared" si="232"/>
        <v>9</v>
      </c>
      <c r="BE218" s="104">
        <f t="shared" si="232"/>
        <v>16</v>
      </c>
      <c r="BF218" s="389">
        <f t="shared" si="232"/>
        <v>16</v>
      </c>
      <c r="BG218" s="389" t="str">
        <f t="shared" si="232"/>
        <v>🟢 Theo kế hoạch</v>
      </c>
      <c r="BH218" s="67" t="str">
        <f t="shared" si="232"/>
        <v>Quá tải – tổng 15.2/8.0 giờ/ngày</v>
      </c>
      <c r="BI218" s="389">
        <f t="array" ref="BI218">IF($X218="","",SWITCH($W218,3,IFERROR(INDEX('Lớp 3 - Công việc chính'!$AF$14:$AF$73,MATCH($X218,'Lớp 3 - Công việc chính'!$I$14:$I$73,0)),""),4,IFERROR(INDEX('Lớp 4 - Danh mục'!$AI$14:$AI$132,MATCH($X218,'Lớp 4 - Danh mục'!$I$14:$I$132,0)),""),5,IFERROR(INDEX('Lớp 5 - Phân công'!$AJ$14:$AJ$262,MATCH($X218,'Lớp 5 - Phân công'!$I$14:$I$262,0)),""),6,IFERROR(INDEX('Lớp 6 - Chi tiết'!$AM$14:$AM$267,MATCH($X218,'Lớp 6 - Chi tiết'!$I$14:$I$267,0)),""),""))</f>
        <v>0.8</v>
      </c>
      <c r="BJ218" s="389" t="str">
        <f t="array" ref="BJ218">IF($X218="","",SWITCH($W218,3,IFERROR(INDEX('Lớp 3 - Công việc chính'!$AR$14:$AR$73,MATCH($X218,'Lớp 3 - Công việc chính'!$I$14:$I$73,0)),""),4,IFERROR(INDEX('Lớp 4 - Danh mục'!$AU$14:$AU$132,MATCH($X218,'Lớp 4 - Danh mục'!$I$14:$I$132,0)),""),5,IFERROR(INDEX('Lớp 5 - Phân công'!$AV$14:$AV$262,MATCH($X218,'Lớp 5 - Phân công'!$I$14:$I$262,0)),""),6,IFERROR(INDEX('Lớp 6 - Chi tiết'!$AY$14:$AY$267,MATCH($X218,'Lớp 6 - Chi tiết'!$I$14:$I$267,0)),""),""))</f>
        <v>Thiếu 4.9 giờ/tuần</v>
      </c>
    </row>
    <row r="219" ht="15.75" customHeight="1">
      <c r="A219" s="294" t="str">
        <f t="shared" si="12"/>
        <v/>
      </c>
      <c r="B219" s="301" t="str">
        <f t="shared" si="13"/>
        <v/>
      </c>
      <c r="C219" s="301" t="str">
        <f t="shared" si="14"/>
        <v/>
      </c>
      <c r="D219" s="301" t="str">
        <f t="shared" si="15"/>
        <v/>
      </c>
      <c r="E219" s="301" t="str">
        <f t="shared" si="16"/>
        <v/>
      </c>
      <c r="F219" s="317" t="str">
        <f t="shared" si="17"/>
        <v/>
      </c>
      <c r="G219" s="323" t="str">
        <f t="shared" si="18"/>
        <v/>
      </c>
      <c r="H219" s="327" t="str">
        <f t="shared" si="19"/>
        <v/>
      </c>
      <c r="I219" s="327" t="str">
        <f t="shared" si="20"/>
        <v/>
      </c>
      <c r="J219" s="301" t="str">
        <f t="shared" si="21"/>
        <v/>
      </c>
      <c r="K219" s="301" t="str">
        <f t="shared" si="22"/>
        <v/>
      </c>
      <c r="L219" s="344" t="str">
        <f t="array" ref="L219">IF($T219="","",LET(m,MATCH($T219,$AS$24:$AS$700,0),lvl,INDEX($W$24:$W$700,m),id,INDEX($X$24:$X$700,m),SWITCH(lvl,3,"Lớp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19" s="351" t="str">
        <f t="shared" si="23"/>
        <v/>
      </c>
      <c r="N219" s="356" t="str">
        <f t="shared" si="24"/>
        <v/>
      </c>
      <c r="O219" s="358"/>
      <c r="P219" s="360"/>
      <c r="Q219" s="360"/>
      <c r="R219" s="67"/>
      <c r="S219" s="67"/>
      <c r="T219" s="67"/>
      <c r="U219" s="389" t="str">
        <f>IF('Lớp 5 - Phân công'!I30="","",'Lớp 5 - Phân công'!K30&amp;"|"&amp;'Lớp 5 - Phân công'!J30&amp;"|"&amp;'Lớp 5 - Phân công'!I30)</f>
        <v>HHL3CT03|HHL4DL04|HHL5DL04-02</v>
      </c>
      <c r="V219" s="389" t="str">
        <f>IF('Lớp 5 - Phân công'!I30="","","       ├─ "&amp;'Lớp 5 - Phân công'!Q30)</f>
        <v>       ├─ Phản biện với TGĐ &amp; liên PB Online</v>
      </c>
      <c r="W219" s="389">
        <f>IF('Lớp 5 - Phân công'!I30="","",5)</f>
        <v>5</v>
      </c>
      <c r="X219" s="67" t="str">
        <f>'Lớp 5 - Phân công'!I30</f>
        <v>HHL5DL04-02</v>
      </c>
      <c r="Y219" s="67" t="str">
        <f>'Lớp 5 - Phân công'!J30</f>
        <v>HHL4DL04</v>
      </c>
      <c r="Z219" s="67" t="str">
        <f>'Lớp 5 - Phân công'!AA30</f>
        <v>Em Đại</v>
      </c>
      <c r="AA219" s="67" t="str">
        <f>'Lớp 5 - Phân công'!Z30</f>
        <v>Dữ liệu điều hành</v>
      </c>
      <c r="AB219" s="67" t="str">
        <f>'Lớp 5 - Phân công'!AC30</f>
        <v>P2</v>
      </c>
      <c r="AC219" s="67" t="str">
        <f>'Lớp 5 - Phân công'!AB30</f>
        <v>Chưa bắt đầu</v>
      </c>
      <c r="AD219" s="398">
        <f>'Lớp 5 - Phân công'!AG30</f>
        <v>0</v>
      </c>
      <c r="AE219" s="358">
        <f>'Lớp 5 - Phân công'!AE30</f>
        <v>46310</v>
      </c>
      <c r="AF219" s="187">
        <f>'Lớp 5 - Phân công'!AH30</f>
        <v>9</v>
      </c>
      <c r="AG219" s="104">
        <f>'Lớp 5 - Phân công'!AI30</f>
        <v>8</v>
      </c>
      <c r="AH219" s="389">
        <f t="shared" si="27"/>
        <v>8</v>
      </c>
      <c r="AI219" s="389" t="str">
        <f t="shared" si="37"/>
        <v>🟢 Theo kế hoạch</v>
      </c>
      <c r="AJ219" s="67" t="str">
        <f>'Lớp 5 - Phân công'!AL30</f>
        <v>Quá tải – tổng 20.0/8.0 giờ/ngày</v>
      </c>
      <c r="AS219" s="389" t="str">
        <f t="shared" si="217"/>
        <v>03.04.02</v>
      </c>
      <c r="AT219" s="389" t="str">
        <f t="shared" si="32"/>
        <v/>
      </c>
      <c r="AU219" s="389" t="str">
        <f t="shared" si="33"/>
        <v/>
      </c>
      <c r="AV219" s="389" t="str">
        <f t="shared" si="34"/>
        <v>Phản biện với TGĐ &amp; liên PB Online</v>
      </c>
      <c r="AW219" s="389" t="str">
        <f t="shared" si="35"/>
        <v/>
      </c>
      <c r="AX219" s="67" t="str">
        <f t="shared" ref="AX219:BH219" si="233">Z219</f>
        <v>Em Đại</v>
      </c>
      <c r="AY219" s="67" t="str">
        <f t="shared" si="233"/>
        <v>Dữ liệu điều hành</v>
      </c>
      <c r="AZ219" s="67" t="str">
        <f t="shared" si="233"/>
        <v>P2</v>
      </c>
      <c r="BA219" s="67" t="str">
        <f t="shared" si="233"/>
        <v>Chưa bắt đầu</v>
      </c>
      <c r="BB219" s="398">
        <f t="shared" si="233"/>
        <v>0</v>
      </c>
      <c r="BC219" s="358">
        <f t="shared" si="233"/>
        <v>46310</v>
      </c>
      <c r="BD219" s="187">
        <f t="shared" si="233"/>
        <v>9</v>
      </c>
      <c r="BE219" s="104">
        <f t="shared" si="233"/>
        <v>8</v>
      </c>
      <c r="BF219" s="389">
        <f t="shared" si="233"/>
        <v>8</v>
      </c>
      <c r="BG219" s="389" t="str">
        <f t="shared" si="233"/>
        <v>🟢 Theo kế hoạch</v>
      </c>
      <c r="BH219" s="67" t="str">
        <f t="shared" si="233"/>
        <v>Quá tải – tổng 20.0/8.0 giờ/ngày</v>
      </c>
      <c r="BI219" s="389">
        <f t="array" ref="BI219">IF($X219="","",SWITCH($W219,3,IFERROR(INDEX('Lớp 3 - Công việc chính'!$AF$14:$AF$73,MATCH($X219,'Lớp 3 - Công việc chính'!$I$14:$I$73,0)),""),4,IFERROR(INDEX('Lớp 4 - Danh mục'!$AI$14:$AI$132,MATCH($X219,'Lớp 4 - Danh mục'!$I$14:$I$132,0)),""),5,IFERROR(INDEX('Lớp 5 - Phân công'!$AJ$14:$AJ$262,MATCH($X219,'Lớp 5 - Phân công'!$I$14:$I$262,0)),""),6,IFERROR(INDEX('Lớp 6 - Chi tiết'!$AM$14:$AM$267,MATCH($X219,'Lớp 6 - Chi tiết'!$I$14:$I$267,0)),""),""))</f>
        <v>0.8</v>
      </c>
      <c r="BJ219" s="389" t="str">
        <f t="array" ref="BJ219">IF($X219="","",SWITCH($W219,3,IFERROR(INDEX('Lớp 3 - Công việc chính'!$AR$14:$AR$73,MATCH($X219,'Lớp 3 - Công việc chính'!$I$14:$I$73,0)),""),4,IFERROR(INDEX('Lớp 4 - Danh mục'!$AU$14:$AU$132,MATCH($X219,'Lớp 4 - Danh mục'!$I$14:$I$132,0)),""),5,IFERROR(INDEX('Lớp 5 - Phân công'!$AV$14:$AV$262,MATCH($X219,'Lớp 5 - Phân công'!$I$14:$I$262,0)),""),6,IFERROR(INDEX('Lớp 6 - Chi tiết'!$AY$14:$AY$267,MATCH($X219,'Lớp 6 - Chi tiết'!$I$14:$I$267,0)),""),""))</f>
        <v>Thiếu 0.4 giờ/tuần</v>
      </c>
    </row>
    <row r="220" ht="15.75" customHeight="1">
      <c r="A220" s="294" t="str">
        <f t="shared" si="12"/>
        <v/>
      </c>
      <c r="B220" s="301" t="str">
        <f t="shared" si="13"/>
        <v/>
      </c>
      <c r="C220" s="301" t="str">
        <f t="shared" si="14"/>
        <v/>
      </c>
      <c r="D220" s="301" t="str">
        <f t="shared" si="15"/>
        <v/>
      </c>
      <c r="E220" s="301" t="str">
        <f t="shared" si="16"/>
        <v/>
      </c>
      <c r="F220" s="317" t="str">
        <f t="shared" si="17"/>
        <v/>
      </c>
      <c r="G220" s="323" t="str">
        <f t="shared" si="18"/>
        <v/>
      </c>
      <c r="H220" s="327" t="str">
        <f t="shared" si="19"/>
        <v/>
      </c>
      <c r="I220" s="327" t="str">
        <f t="shared" si="20"/>
        <v/>
      </c>
      <c r="J220" s="301" t="str">
        <f t="shared" si="21"/>
        <v/>
      </c>
      <c r="K220" s="301" t="str">
        <f t="shared" si="22"/>
        <v/>
      </c>
      <c r="L220" s="344" t="str">
        <f t="array" ref="L220">IF($T220="","",LET(m,MATCH($T220,$AS$24:$AS$700,0),lvl,INDEX($W$24:$W$700,m),id,INDEX($X$24:$X$700,m),SWITCH(lvl,3,"Lớp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0" s="351" t="str">
        <f t="shared" si="23"/>
        <v/>
      </c>
      <c r="N220" s="356" t="str">
        <f t="shared" si="24"/>
        <v/>
      </c>
      <c r="O220" s="358"/>
      <c r="P220" s="360"/>
      <c r="Q220" s="360"/>
      <c r="R220" s="67"/>
      <c r="S220" s="67"/>
      <c r="T220" s="67"/>
      <c r="U220" s="389" t="str">
        <f>IF('Lớp 5 - Phân công'!I31="","",'Lớp 5 - Phân công'!K31&amp;"|"&amp;'Lớp 5 - Phân công'!J31&amp;"|"&amp;'Lớp 5 - Phân công'!I31)</f>
        <v>HHL3CT03|HHL4DL04|HHL5DL04-03</v>
      </c>
      <c r="V220" s="389" t="str">
        <f>IF('Lớp 5 - Phân công'!I31="","","       ├─ "&amp;'Lớp 5 - Phân công'!Q31)</f>
        <v>       ├─ XD bảng Excel &amp; HT phần mềm (chạy demo) Online</v>
      </c>
      <c r="W220" s="389">
        <f>IF('Lớp 5 - Phân công'!I31="","",5)</f>
        <v>5</v>
      </c>
      <c r="X220" s="67" t="str">
        <f>'Lớp 5 - Phân công'!I31</f>
        <v>HHL5DL04-03</v>
      </c>
      <c r="Y220" s="67" t="str">
        <f>'Lớp 5 - Phân công'!J31</f>
        <v>HHL4DL04</v>
      </c>
      <c r="Z220" s="67" t="str">
        <f>'Lớp 5 - Phân công'!AA31</f>
        <v>Em Đại</v>
      </c>
      <c r="AA220" s="67" t="str">
        <f>'Lớp 5 - Phân công'!Z31</f>
        <v>Dữ liệu điều hành</v>
      </c>
      <c r="AB220" s="67" t="str">
        <f>'Lớp 5 - Phân công'!AC31</f>
        <v>P2</v>
      </c>
      <c r="AC220" s="67" t="str">
        <f>'Lớp 5 - Phân công'!AB31</f>
        <v>Chưa bắt đầu</v>
      </c>
      <c r="AD220" s="398">
        <f>'Lớp 5 - Phân công'!AG31</f>
        <v>0</v>
      </c>
      <c r="AE220" s="358">
        <f>'Lớp 5 - Phân công'!AE31</f>
        <v>46275</v>
      </c>
      <c r="AF220" s="187">
        <f>'Lớp 5 - Phân công'!AH31</f>
        <v>0</v>
      </c>
      <c r="AG220" s="104">
        <f>'Lớp 5 - Phân công'!AI31</f>
        <v>24</v>
      </c>
      <c r="AH220" s="389">
        <f t="shared" si="27"/>
        <v>24</v>
      </c>
      <c r="AI220" s="389" t="str">
        <f t="shared" si="37"/>
        <v>🟢 Theo kế hoạch</v>
      </c>
      <c r="AJ220" s="67" t="str">
        <f>'Lớp 5 - Phân công'!AL31</f>
        <v>Cận tải – tổng 7.2/8.0 giờ/ngày</v>
      </c>
      <c r="AS220" s="389" t="str">
        <f t="shared" si="217"/>
        <v>03.04.03</v>
      </c>
      <c r="AT220" s="389" t="str">
        <f t="shared" si="32"/>
        <v/>
      </c>
      <c r="AU220" s="389" t="str">
        <f t="shared" si="33"/>
        <v/>
      </c>
      <c r="AV220" s="389" t="str">
        <f t="shared" si="34"/>
        <v>XD bảng Excel &amp; HT phần mềm (chạy demo) Online</v>
      </c>
      <c r="AW220" s="389" t="str">
        <f t="shared" si="35"/>
        <v/>
      </c>
      <c r="AX220" s="67" t="str">
        <f t="shared" ref="AX220:BH220" si="234">Z220</f>
        <v>Em Đại</v>
      </c>
      <c r="AY220" s="67" t="str">
        <f t="shared" si="234"/>
        <v>Dữ liệu điều hành</v>
      </c>
      <c r="AZ220" s="67" t="str">
        <f t="shared" si="234"/>
        <v>P2</v>
      </c>
      <c r="BA220" s="67" t="str">
        <f t="shared" si="234"/>
        <v>Chưa bắt đầu</v>
      </c>
      <c r="BB220" s="398">
        <f t="shared" si="234"/>
        <v>0</v>
      </c>
      <c r="BC220" s="358">
        <f t="shared" si="234"/>
        <v>46275</v>
      </c>
      <c r="BD220" s="187">
        <f t="shared" si="234"/>
        <v>0</v>
      </c>
      <c r="BE220" s="104">
        <f t="shared" si="234"/>
        <v>24</v>
      </c>
      <c r="BF220" s="389">
        <f t="shared" si="234"/>
        <v>24</v>
      </c>
      <c r="BG220" s="389" t="str">
        <f t="shared" si="234"/>
        <v>🟢 Theo kế hoạch</v>
      </c>
      <c r="BH220" s="67" t="str">
        <f t="shared" si="234"/>
        <v>Cận tải – tổng 7.2/8.0 giờ/ngày</v>
      </c>
      <c r="BI220" s="389">
        <f t="array" ref="BI220">IF($X220="","",SWITCH($W220,3,IFERROR(INDEX('Lớp 3 - Công việc chính'!$AF$14:$AF$73,MATCH($X220,'Lớp 3 - Công việc chính'!$I$14:$I$73,0)),""),4,IFERROR(INDEX('Lớp 4 - Danh mục'!$AI$14:$AI$132,MATCH($X220,'Lớp 4 - Danh mục'!$I$14:$I$132,0)),""),5,IFERROR(INDEX('Lớp 5 - Phân công'!$AJ$14:$AJ$262,MATCH($X220,'Lớp 5 - Phân công'!$I$14:$I$262,0)),""),6,IFERROR(INDEX('Lớp 6 - Chi tiết'!$AM$14:$AM$267,MATCH($X220,'Lớp 6 - Chi tiết'!$I$14:$I$267,0)),""),""))</f>
        <v>0.8</v>
      </c>
      <c r="BJ220" s="389" t="str">
        <f t="array" ref="BJ220">IF($X220="","",SWITCH($W220,3,IFERROR(INDEX('Lớp 3 - Công việc chính'!$AR$14:$AR$73,MATCH($X220,'Lớp 3 - Công việc chính'!$I$14:$I$73,0)),""),4,IFERROR(INDEX('Lớp 4 - Danh mục'!$AU$14:$AU$132,MATCH($X220,'Lớp 4 - Danh mục'!$I$14:$I$132,0)),""),5,IFERROR(INDEX('Lớp 5 - Phân công'!$AV$14:$AV$262,MATCH($X220,'Lớp 5 - Phân công'!$I$14:$I$262,0)),""),6,IFERROR(INDEX('Lớp 6 - Chi tiết'!$AY$14:$AY$267,MATCH($X220,'Lớp 6 - Chi tiết'!$I$14:$I$267,0)),""),""))</f>
        <v>Thiếu 116.0 giờ/tuần</v>
      </c>
    </row>
    <row r="221" ht="15.75" customHeight="1">
      <c r="A221" s="294" t="str">
        <f t="shared" si="12"/>
        <v/>
      </c>
      <c r="B221" s="301" t="str">
        <f t="shared" si="13"/>
        <v/>
      </c>
      <c r="C221" s="301" t="str">
        <f t="shared" si="14"/>
        <v/>
      </c>
      <c r="D221" s="301" t="str">
        <f t="shared" si="15"/>
        <v/>
      </c>
      <c r="E221" s="301" t="str">
        <f t="shared" si="16"/>
        <v/>
      </c>
      <c r="F221" s="317" t="str">
        <f t="shared" si="17"/>
        <v/>
      </c>
      <c r="G221" s="323" t="str">
        <f t="shared" si="18"/>
        <v/>
      </c>
      <c r="H221" s="327" t="str">
        <f t="shared" si="19"/>
        <v/>
      </c>
      <c r="I221" s="327" t="str">
        <f t="shared" si="20"/>
        <v/>
      </c>
      <c r="J221" s="301" t="str">
        <f t="shared" si="21"/>
        <v/>
      </c>
      <c r="K221" s="301" t="str">
        <f t="shared" si="22"/>
        <v/>
      </c>
      <c r="L221" s="344" t="str">
        <f t="array" ref="L221">IF($T221="","",LET(m,MATCH($T221,$AS$24:$AS$700,0),lvl,INDEX($W$24:$W$700,m),id,INDEX($X$24:$X$700,m),SWITCH(lvl,3,"Lớp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1" s="351" t="str">
        <f t="shared" si="23"/>
        <v/>
      </c>
      <c r="N221" s="356" t="str">
        <f t="shared" si="24"/>
        <v/>
      </c>
      <c r="O221" s="358"/>
      <c r="P221" s="360"/>
      <c r="Q221" s="360"/>
      <c r="R221" s="67"/>
      <c r="S221" s="67"/>
      <c r="T221" s="67"/>
      <c r="U221" s="389" t="str">
        <f>IF('Lớp 5 - Phân công'!I32="","",'Lớp 5 - Phân công'!K32&amp;"|"&amp;'Lớp 5 - Phân công'!J32&amp;"|"&amp;'Lớp 5 - Phân công'!I32)</f>
        <v>HHL3CT03|HHL4DL04|HHL5DL04-04</v>
      </c>
      <c r="V221" s="389" t="str">
        <f>IF('Lớp 5 - Phân công'!I32="","","       ├─ "&amp;'Lớp 5 - Phân công'!Q32)</f>
        <v>       ├─ Chạy tham số Topdown Online</v>
      </c>
      <c r="W221" s="389">
        <f>IF('Lớp 5 - Phân công'!I32="","",5)</f>
        <v>5</v>
      </c>
      <c r="X221" s="67" t="str">
        <f>'Lớp 5 - Phân công'!I32</f>
        <v>HHL5DL04-04</v>
      </c>
      <c r="Y221" s="67" t="str">
        <f>'Lớp 5 - Phân công'!J32</f>
        <v>HHL4DL04</v>
      </c>
      <c r="Z221" s="67" t="str">
        <f>'Lớp 5 - Phân công'!AA32</f>
        <v>Em Đại</v>
      </c>
      <c r="AA221" s="67" t="str">
        <f>'Lớp 5 - Phân công'!Z32</f>
        <v>Dữ liệu điều hành</v>
      </c>
      <c r="AB221" s="67" t="str">
        <f>'Lớp 5 - Phân công'!AC32</f>
        <v>P2</v>
      </c>
      <c r="AC221" s="67" t="str">
        <f>'Lớp 5 - Phân công'!AB32</f>
        <v>Đã lên lịch</v>
      </c>
      <c r="AD221" s="398" t="str">
        <f>'Lớp 5 - Phân công'!AG32</f>
        <v/>
      </c>
      <c r="AE221" s="358">
        <f>'Lớp 5 - Phân công'!AE32</f>
        <v>46307</v>
      </c>
      <c r="AF221" s="187">
        <f>'Lớp 5 - Phân công'!AH32</f>
        <v>1</v>
      </c>
      <c r="AG221" s="104">
        <f>'Lớp 5 - Phân công'!AI32</f>
        <v>16</v>
      </c>
      <c r="AH221" s="389">
        <f t="shared" si="27"/>
        <v>16</v>
      </c>
      <c r="AI221" s="389" t="str">
        <f t="shared" si="37"/>
        <v>🟢 Theo kế hoạch</v>
      </c>
      <c r="AJ221" s="67" t="str">
        <f>'Lớp 5 - Phân công'!AL32</f>
        <v>Cận tải – tổng 8.0/8.0 giờ/ngày</v>
      </c>
      <c r="AS221" s="389" t="str">
        <f t="shared" si="217"/>
        <v>03.04.04</v>
      </c>
      <c r="AT221" s="389" t="str">
        <f t="shared" si="32"/>
        <v/>
      </c>
      <c r="AU221" s="389" t="str">
        <f t="shared" si="33"/>
        <v/>
      </c>
      <c r="AV221" s="389" t="str">
        <f t="shared" si="34"/>
        <v>Chạy tham số Topdown Online</v>
      </c>
      <c r="AW221" s="389" t="str">
        <f t="shared" si="35"/>
        <v/>
      </c>
      <c r="AX221" s="67" t="str">
        <f t="shared" ref="AX221:BH221" si="235">Z221</f>
        <v>Em Đại</v>
      </c>
      <c r="AY221" s="67" t="str">
        <f t="shared" si="235"/>
        <v>Dữ liệu điều hành</v>
      </c>
      <c r="AZ221" s="67" t="str">
        <f t="shared" si="235"/>
        <v>P2</v>
      </c>
      <c r="BA221" s="67" t="str">
        <f t="shared" si="235"/>
        <v>Đã lên lịch</v>
      </c>
      <c r="BB221" s="398" t="str">
        <f t="shared" si="235"/>
        <v/>
      </c>
      <c r="BC221" s="358">
        <f t="shared" si="235"/>
        <v>46307</v>
      </c>
      <c r="BD221" s="187">
        <f t="shared" si="235"/>
        <v>1</v>
      </c>
      <c r="BE221" s="104">
        <f t="shared" si="235"/>
        <v>16</v>
      </c>
      <c r="BF221" s="389">
        <f t="shared" si="235"/>
        <v>16</v>
      </c>
      <c r="BG221" s="389" t="str">
        <f t="shared" si="235"/>
        <v>🟢 Theo kế hoạch</v>
      </c>
      <c r="BH221" s="67" t="str">
        <f t="shared" si="235"/>
        <v>Cận tải – tổng 8.0/8.0 giờ/ngày</v>
      </c>
      <c r="BI221" s="389">
        <f t="array" ref="BI221">IF($X221="","",SWITCH($W221,3,IFERROR(INDEX('Lớp 3 - Công việc chính'!$AF$14:$AF$73,MATCH($X221,'Lớp 3 - Công việc chính'!$I$14:$I$73,0)),""),4,IFERROR(INDEX('Lớp 4 - Danh mục'!$AI$14:$AI$132,MATCH($X221,'Lớp 4 - Danh mục'!$I$14:$I$132,0)),""),5,IFERROR(INDEX('Lớp 5 - Phân công'!$AJ$14:$AJ$262,MATCH($X221,'Lớp 5 - Phân công'!$I$14:$I$262,0)),""),6,IFERROR(INDEX('Lớp 6 - Chi tiết'!$AM$14:$AM$267,MATCH($X221,'Lớp 6 - Chi tiết'!$I$14:$I$267,0)),""),""))</f>
        <v>0.8</v>
      </c>
      <c r="BJ221" s="389" t="str">
        <f t="array" ref="BJ221">IF($X221="","",SWITCH($W221,3,IFERROR(INDEX('Lớp 3 - Công việc chính'!$AR$14:$AR$73,MATCH($X221,'Lớp 3 - Công việc chính'!$I$14:$I$73,0)),""),4,IFERROR(INDEX('Lớp 4 - Danh mục'!$AU$14:$AU$132,MATCH($X221,'Lớp 4 - Danh mục'!$I$14:$I$132,0)),""),5,IFERROR(INDEX('Lớp 5 - Phân công'!$AV$14:$AV$262,MATCH($X221,'Lớp 5 - Phân công'!$I$14:$I$262,0)),""),6,IFERROR(INDEX('Lớp 6 - Chi tiết'!$AY$14:$AY$267,MATCH($X221,'Lớp 6 - Chi tiết'!$I$14:$I$267,0)),""),""))</f>
        <v>Thiếu 76.0 giờ/tuần</v>
      </c>
    </row>
    <row r="222" ht="15.75" customHeight="1">
      <c r="A222" s="294" t="str">
        <f t="shared" si="12"/>
        <v/>
      </c>
      <c r="B222" s="301" t="str">
        <f t="shared" si="13"/>
        <v/>
      </c>
      <c r="C222" s="301" t="str">
        <f t="shared" si="14"/>
        <v/>
      </c>
      <c r="D222" s="301" t="str">
        <f t="shared" si="15"/>
        <v/>
      </c>
      <c r="E222" s="301" t="str">
        <f t="shared" si="16"/>
        <v/>
      </c>
      <c r="F222" s="317" t="str">
        <f t="shared" si="17"/>
        <v/>
      </c>
      <c r="G222" s="323" t="str">
        <f t="shared" si="18"/>
        <v/>
      </c>
      <c r="H222" s="327" t="str">
        <f t="shared" si="19"/>
        <v/>
      </c>
      <c r="I222" s="327" t="str">
        <f t="shared" si="20"/>
        <v/>
      </c>
      <c r="J222" s="301" t="str">
        <f t="shared" si="21"/>
        <v/>
      </c>
      <c r="K222" s="301" t="str">
        <f t="shared" si="22"/>
        <v/>
      </c>
      <c r="L222" s="344" t="str">
        <f t="array" ref="L222">IF($T222="","",LET(m,MATCH($T222,$AS$24:$AS$700,0),lvl,INDEX($W$24:$W$700,m),id,INDEX($X$24:$X$700,m),SWITCH(lvl,3,"Lớp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2" s="351" t="str">
        <f t="shared" si="23"/>
        <v/>
      </c>
      <c r="N222" s="356" t="str">
        <f t="shared" si="24"/>
        <v/>
      </c>
      <c r="O222" s="358"/>
      <c r="P222" s="360"/>
      <c r="Q222" s="360"/>
      <c r="R222" s="67"/>
      <c r="S222" s="67"/>
      <c r="T222" s="67"/>
      <c r="U222" s="389" t="str">
        <f>IF('Lớp 5 - Phân công'!I33="","",'Lớp 5 - Phân công'!K33&amp;"|"&amp;'Lớp 5 - Phân công'!J33&amp;"|"&amp;'Lớp 5 - Phân công'!I33)</f>
        <v>HHL3CT03|HHL4DL04|HHL5DL04-05</v>
      </c>
      <c r="V222" s="389" t="str">
        <f>IF('Lớp 5 - Phân công'!I33="","","       ├─ "&amp;'Lớp 5 - Phân công'!Q33)</f>
        <v>       ├─ Chạy tham số Bottom-up theo khu vực vùng miền  Online</v>
      </c>
      <c r="W222" s="389">
        <f>IF('Lớp 5 - Phân công'!I33="","",5)</f>
        <v>5</v>
      </c>
      <c r="X222" s="67" t="str">
        <f>'Lớp 5 - Phân công'!I33</f>
        <v>HHL5DL04-05</v>
      </c>
      <c r="Y222" s="67" t="str">
        <f>'Lớp 5 - Phân công'!J33</f>
        <v>HHL4DL04</v>
      </c>
      <c r="Z222" s="67" t="str">
        <f>'Lớp 5 - Phân công'!AA33</f>
        <v>Em Đại</v>
      </c>
      <c r="AA222" s="67" t="str">
        <f>'Lớp 5 - Phân công'!Z33</f>
        <v>Dữ liệu điều hành</v>
      </c>
      <c r="AB222" s="67" t="str">
        <f>'Lớp 5 - Phân công'!AC33</f>
        <v>P2</v>
      </c>
      <c r="AC222" s="67" t="str">
        <f>'Lớp 5 - Phân công'!AB33</f>
        <v>Đã lên lịch</v>
      </c>
      <c r="AD222" s="398" t="str">
        <f>'Lớp 5 - Phân công'!AG33</f>
        <v/>
      </c>
      <c r="AE222" s="358">
        <f>'Lớp 5 - Phân công'!AE33</f>
        <v>46320</v>
      </c>
      <c r="AF222" s="187">
        <f>'Lớp 5 - Phân công'!AH33</f>
        <v>11</v>
      </c>
      <c r="AG222" s="104">
        <f>'Lớp 5 - Phân công'!AI33</f>
        <v>16</v>
      </c>
      <c r="AH222" s="389">
        <f t="shared" si="27"/>
        <v>16</v>
      </c>
      <c r="AI222" s="389" t="str">
        <f t="shared" si="37"/>
        <v>🟢 Theo kế hoạch</v>
      </c>
      <c r="AJ222" s="67" t="str">
        <f>'Lớp 5 - Phân công'!AL33</f>
        <v>Quá tải – tổng 10.4/8.0 giờ/ngày</v>
      </c>
      <c r="AS222" s="389" t="str">
        <f t="shared" si="217"/>
        <v>03.04.05</v>
      </c>
      <c r="AT222" s="389" t="str">
        <f t="shared" si="32"/>
        <v/>
      </c>
      <c r="AU222" s="389" t="str">
        <f t="shared" si="33"/>
        <v/>
      </c>
      <c r="AV222" s="389" t="str">
        <f t="shared" si="34"/>
        <v>Chạy tham số Bottom-up theo khu vực vùng miền Online</v>
      </c>
      <c r="AW222" s="389" t="str">
        <f t="shared" si="35"/>
        <v/>
      </c>
      <c r="AX222" s="67" t="str">
        <f t="shared" ref="AX222:BH222" si="236">Z222</f>
        <v>Em Đại</v>
      </c>
      <c r="AY222" s="67" t="str">
        <f t="shared" si="236"/>
        <v>Dữ liệu điều hành</v>
      </c>
      <c r="AZ222" s="67" t="str">
        <f t="shared" si="236"/>
        <v>P2</v>
      </c>
      <c r="BA222" s="67" t="str">
        <f t="shared" si="236"/>
        <v>Đã lên lịch</v>
      </c>
      <c r="BB222" s="398" t="str">
        <f t="shared" si="236"/>
        <v/>
      </c>
      <c r="BC222" s="358">
        <f t="shared" si="236"/>
        <v>46320</v>
      </c>
      <c r="BD222" s="187">
        <f t="shared" si="236"/>
        <v>11</v>
      </c>
      <c r="BE222" s="104">
        <f t="shared" si="236"/>
        <v>16</v>
      </c>
      <c r="BF222" s="389">
        <f t="shared" si="236"/>
        <v>16</v>
      </c>
      <c r="BG222" s="389" t="str">
        <f t="shared" si="236"/>
        <v>🟢 Theo kế hoạch</v>
      </c>
      <c r="BH222" s="67" t="str">
        <f t="shared" si="236"/>
        <v>Quá tải – tổng 10.4/8.0 giờ/ngày</v>
      </c>
      <c r="BI222" s="389">
        <f t="array" ref="BI222">IF($X222="","",SWITCH($W222,3,IFERROR(INDEX('Lớp 3 - Công việc chính'!$AF$14:$AF$73,MATCH($X222,'Lớp 3 - Công việc chính'!$I$14:$I$73,0)),""),4,IFERROR(INDEX('Lớp 4 - Danh mục'!$AI$14:$AI$132,MATCH($X222,'Lớp 4 - Danh mục'!$I$14:$I$132,0)),""),5,IFERROR(INDEX('Lớp 5 - Phân công'!$AJ$14:$AJ$262,MATCH($X222,'Lớp 5 - Phân công'!$I$14:$I$262,0)),""),6,IFERROR(INDEX('Lớp 6 - Chi tiết'!$AM$14:$AM$267,MATCH($X222,'Lớp 6 - Chi tiết'!$I$14:$I$267,0)),""),""))</f>
        <v>0.8</v>
      </c>
      <c r="BJ222" s="389" t="str">
        <f t="array" ref="BJ222">IF($X222="","",SWITCH($W222,3,IFERROR(INDEX('Lớp 3 - Công việc chính'!$AR$14:$AR$73,MATCH($X222,'Lớp 3 - Công việc chính'!$I$14:$I$73,0)),""),4,IFERROR(INDEX('Lớp 4 - Danh mục'!$AU$14:$AU$132,MATCH($X222,'Lớp 4 - Danh mục'!$I$14:$I$132,0)),""),5,IFERROR(INDEX('Lớp 5 - Phân công'!$AV$14:$AV$262,MATCH($X222,'Lớp 5 - Phân công'!$I$14:$I$262,0)),""),6,IFERROR(INDEX('Lớp 6 - Chi tiết'!$AY$14:$AY$267,MATCH($X222,'Lớp 6 - Chi tiết'!$I$14:$I$267,0)),""),""))</f>
        <v>Thiếu 3.3 giờ/tuần</v>
      </c>
    </row>
    <row r="223" ht="15.75" customHeight="1">
      <c r="A223" s="294" t="str">
        <f t="shared" si="12"/>
        <v/>
      </c>
      <c r="B223" s="301" t="str">
        <f t="shared" si="13"/>
        <v/>
      </c>
      <c r="C223" s="301" t="str">
        <f t="shared" si="14"/>
        <v/>
      </c>
      <c r="D223" s="301" t="str">
        <f t="shared" si="15"/>
        <v/>
      </c>
      <c r="E223" s="301" t="str">
        <f t="shared" si="16"/>
        <v/>
      </c>
      <c r="F223" s="317" t="str">
        <f t="shared" si="17"/>
        <v/>
      </c>
      <c r="G223" s="323" t="str">
        <f t="shared" si="18"/>
        <v/>
      </c>
      <c r="H223" s="327" t="str">
        <f t="shared" si="19"/>
        <v/>
      </c>
      <c r="I223" s="327" t="str">
        <f t="shared" si="20"/>
        <v/>
      </c>
      <c r="J223" s="301" t="str">
        <f t="shared" si="21"/>
        <v/>
      </c>
      <c r="K223" s="301" t="str">
        <f t="shared" si="22"/>
        <v/>
      </c>
      <c r="L223" s="344" t="str">
        <f t="array" ref="L223">IF($T223="","",LET(m,MATCH($T223,$AS$24:$AS$700,0),lvl,INDEX($W$24:$W$700,m),id,INDEX($X$24:$X$700,m),SWITCH(lvl,3,"Lớp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3" s="351" t="str">
        <f t="shared" si="23"/>
        <v/>
      </c>
      <c r="N223" s="356" t="str">
        <f t="shared" si="24"/>
        <v/>
      </c>
      <c r="O223" s="358"/>
      <c r="P223" s="360"/>
      <c r="Q223" s="360"/>
      <c r="R223" s="67"/>
      <c r="S223" s="67"/>
      <c r="T223" s="67"/>
      <c r="U223" s="389" t="str">
        <f>IF('Lớp 5 - Phân công'!I34="","",'Lớp 5 - Phân công'!K34&amp;"|"&amp;'Lớp 5 - Phân công'!J34&amp;"|"&amp;'Lớp 5 - Phân công'!I34)</f>
        <v>HHL3CT03|HHL4DL05|HHL5DL05-01</v>
      </c>
      <c r="V223" s="389" t="str">
        <f>IF('Lớp 5 - Phân công'!I34="","","       ├─ "&amp;'Lớp 5 - Phân công'!Q34)</f>
        <v>       ├─ XD &amp; phản biện công thức (nội bộ) XK</v>
      </c>
      <c r="W223" s="389">
        <f>IF('Lớp 5 - Phân công'!I34="","",5)</f>
        <v>5</v>
      </c>
      <c r="X223" s="67" t="str">
        <f>'Lớp 5 - Phân công'!I34</f>
        <v>HHL5DL05-01</v>
      </c>
      <c r="Y223" s="67" t="str">
        <f>'Lớp 5 - Phân công'!J34</f>
        <v>HHL4DL05</v>
      </c>
      <c r="Z223" s="67" t="str">
        <f>'Lớp 5 - Phân công'!AA34</f>
        <v>Em Đại</v>
      </c>
      <c r="AA223" s="67" t="str">
        <f>'Lớp 5 - Phân công'!Z34</f>
        <v>Dữ liệu điều hành</v>
      </c>
      <c r="AB223" s="67" t="str">
        <f>'Lớp 5 - Phân công'!AC34</f>
        <v>P2</v>
      </c>
      <c r="AC223" s="67" t="str">
        <f>'Lớp 5 - Phân công'!AB34</f>
        <v>Chưa bắt đầu</v>
      </c>
      <c r="AD223" s="398">
        <f>'Lớp 5 - Phân công'!AG34</f>
        <v>0</v>
      </c>
      <c r="AE223" s="358">
        <f>'Lớp 5 - Phân công'!AE34</f>
        <v>46300</v>
      </c>
      <c r="AF223" s="187">
        <f>'Lớp 5 - Phân công'!AH34</f>
        <v>9</v>
      </c>
      <c r="AG223" s="104">
        <f>'Lớp 5 - Phân công'!AI34</f>
        <v>16</v>
      </c>
      <c r="AH223" s="389">
        <f t="shared" si="27"/>
        <v>16</v>
      </c>
      <c r="AI223" s="389" t="str">
        <f t="shared" si="37"/>
        <v>🟢 Theo kế hoạch</v>
      </c>
      <c r="AJ223" s="67" t="str">
        <f>'Lớp 5 - Phân công'!AL34</f>
        <v>Quá tải – tổng 15.2/8.0 giờ/ngày</v>
      </c>
      <c r="AS223" s="389" t="str">
        <f t="shared" si="217"/>
        <v>03.05.01</v>
      </c>
      <c r="AT223" s="389" t="str">
        <f t="shared" si="32"/>
        <v/>
      </c>
      <c r="AU223" s="389" t="str">
        <f t="shared" si="33"/>
        <v/>
      </c>
      <c r="AV223" s="389" t="str">
        <f t="shared" si="34"/>
        <v>XD &amp; phản biện công thức (nội bộ) XK</v>
      </c>
      <c r="AW223" s="389" t="str">
        <f t="shared" si="35"/>
        <v/>
      </c>
      <c r="AX223" s="67" t="str">
        <f t="shared" ref="AX223:BH223" si="237">Z223</f>
        <v>Em Đại</v>
      </c>
      <c r="AY223" s="67" t="str">
        <f t="shared" si="237"/>
        <v>Dữ liệu điều hành</v>
      </c>
      <c r="AZ223" s="67" t="str">
        <f t="shared" si="237"/>
        <v>P2</v>
      </c>
      <c r="BA223" s="67" t="str">
        <f t="shared" si="237"/>
        <v>Chưa bắt đầu</v>
      </c>
      <c r="BB223" s="398">
        <f t="shared" si="237"/>
        <v>0</v>
      </c>
      <c r="BC223" s="358">
        <f t="shared" si="237"/>
        <v>46300</v>
      </c>
      <c r="BD223" s="187">
        <f t="shared" si="237"/>
        <v>9</v>
      </c>
      <c r="BE223" s="104">
        <f t="shared" si="237"/>
        <v>16</v>
      </c>
      <c r="BF223" s="389">
        <f t="shared" si="237"/>
        <v>16</v>
      </c>
      <c r="BG223" s="389" t="str">
        <f t="shared" si="237"/>
        <v>🟢 Theo kế hoạch</v>
      </c>
      <c r="BH223" s="67" t="str">
        <f t="shared" si="237"/>
        <v>Quá tải – tổng 15.2/8.0 giờ/ngày</v>
      </c>
      <c r="BI223" s="389">
        <f t="array" ref="BI223">IF($X223="","",SWITCH($W223,3,IFERROR(INDEX('Lớp 3 - Công việc chính'!$AF$14:$AF$73,MATCH($X223,'Lớp 3 - Công việc chính'!$I$14:$I$73,0)),""),4,IFERROR(INDEX('Lớp 4 - Danh mục'!$AI$14:$AI$132,MATCH($X223,'Lớp 4 - Danh mục'!$I$14:$I$132,0)),""),5,IFERROR(INDEX('Lớp 5 - Phân công'!$AJ$14:$AJ$262,MATCH($X223,'Lớp 5 - Phân công'!$I$14:$I$262,0)),""),6,IFERROR(INDEX('Lớp 6 - Chi tiết'!$AM$14:$AM$267,MATCH($X223,'Lớp 6 - Chi tiết'!$I$14:$I$267,0)),""),""))</f>
        <v>0.8</v>
      </c>
      <c r="BJ223" s="389" t="str">
        <f t="array" ref="BJ223">IF($X223="","",SWITCH($W223,3,IFERROR(INDEX('Lớp 3 - Công việc chính'!$AR$14:$AR$73,MATCH($X223,'Lớp 3 - Công việc chính'!$I$14:$I$73,0)),""),4,IFERROR(INDEX('Lớp 4 - Danh mục'!$AU$14:$AU$132,MATCH($X223,'Lớp 4 - Danh mục'!$I$14:$I$132,0)),""),5,IFERROR(INDEX('Lớp 5 - Phân công'!$AV$14:$AV$262,MATCH($X223,'Lớp 5 - Phân công'!$I$14:$I$262,0)),""),6,IFERROR(INDEX('Lớp 6 - Chi tiết'!$AY$14:$AY$267,MATCH($X223,'Lớp 6 - Chi tiết'!$I$14:$I$267,0)),""),""))</f>
        <v>Thiếu 4.9 giờ/tuần</v>
      </c>
    </row>
    <row r="224" ht="15.75" customHeight="1">
      <c r="A224" s="294" t="str">
        <f t="shared" si="12"/>
        <v/>
      </c>
      <c r="B224" s="301" t="str">
        <f t="shared" si="13"/>
        <v/>
      </c>
      <c r="C224" s="301" t="str">
        <f t="shared" si="14"/>
        <v/>
      </c>
      <c r="D224" s="301" t="str">
        <f t="shared" si="15"/>
        <v/>
      </c>
      <c r="E224" s="301" t="str">
        <f t="shared" si="16"/>
        <v/>
      </c>
      <c r="F224" s="317" t="str">
        <f t="shared" si="17"/>
        <v/>
      </c>
      <c r="G224" s="323" t="str">
        <f t="shared" si="18"/>
        <v/>
      </c>
      <c r="H224" s="327" t="str">
        <f t="shared" si="19"/>
        <v/>
      </c>
      <c r="I224" s="327" t="str">
        <f t="shared" si="20"/>
        <v/>
      </c>
      <c r="J224" s="301" t="str">
        <f t="shared" si="21"/>
        <v/>
      </c>
      <c r="K224" s="301" t="str">
        <f t="shared" si="22"/>
        <v/>
      </c>
      <c r="L224" s="344" t="str">
        <f t="array" ref="L224">IF($T224="","",LET(m,MATCH($T224,$AS$24:$AS$700,0),lvl,INDEX($W$24:$W$700,m),id,INDEX($X$24:$X$700,m),SWITCH(lvl,3,"Lớp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4" s="351" t="str">
        <f t="shared" si="23"/>
        <v/>
      </c>
      <c r="N224" s="356" t="str">
        <f t="shared" si="24"/>
        <v/>
      </c>
      <c r="O224" s="358"/>
      <c r="P224" s="360"/>
      <c r="Q224" s="360"/>
      <c r="R224" s="67"/>
      <c r="S224" s="67"/>
      <c r="T224" s="67"/>
      <c r="U224" s="389" t="str">
        <f>IF('Lớp 5 - Phân công'!I35="","",'Lớp 5 - Phân công'!K35&amp;"|"&amp;'Lớp 5 - Phân công'!J35&amp;"|"&amp;'Lớp 5 - Phân công'!I35)</f>
        <v>HHL3CT03|HHL4DL05|HHL5DL05-02</v>
      </c>
      <c r="V224" s="389" t="str">
        <f>IF('Lớp 5 - Phân công'!I35="","","       ├─ "&amp;'Lớp 5 - Phân công'!Q35)</f>
        <v>       ├─ Phản biện với TGĐ &amp; liên PB XK</v>
      </c>
      <c r="W224" s="389">
        <f>IF('Lớp 5 - Phân công'!I35="","",5)</f>
        <v>5</v>
      </c>
      <c r="X224" s="67" t="str">
        <f>'Lớp 5 - Phân công'!I35</f>
        <v>HHL5DL05-02</v>
      </c>
      <c r="Y224" s="67" t="str">
        <f>'Lớp 5 - Phân công'!J35</f>
        <v>HHL4DL05</v>
      </c>
      <c r="Z224" s="67" t="str">
        <f>'Lớp 5 - Phân công'!AA35</f>
        <v>Em Đại</v>
      </c>
      <c r="AA224" s="67" t="str">
        <f>'Lớp 5 - Phân công'!Z35</f>
        <v>Dữ liệu điều hành</v>
      </c>
      <c r="AB224" s="67" t="str">
        <f>'Lớp 5 - Phân công'!AC35</f>
        <v>P2</v>
      </c>
      <c r="AC224" s="67" t="str">
        <f>'Lớp 5 - Phân công'!AB35</f>
        <v>Chưa bắt đầu</v>
      </c>
      <c r="AD224" s="398">
        <f>'Lớp 5 - Phân công'!AG35</f>
        <v>0</v>
      </c>
      <c r="AE224" s="358">
        <f>'Lớp 5 - Phân công'!AE35</f>
        <v>46310</v>
      </c>
      <c r="AF224" s="187">
        <f>'Lớp 5 - Phân công'!AH35</f>
        <v>34</v>
      </c>
      <c r="AG224" s="104">
        <f>'Lớp 5 - Phân công'!AI35</f>
        <v>8</v>
      </c>
      <c r="AH224" s="389">
        <f t="shared" si="27"/>
        <v>8</v>
      </c>
      <c r="AI224" s="389" t="str">
        <f t="shared" si="37"/>
        <v>🟢 Theo kế hoạch</v>
      </c>
      <c r="AJ224" s="67" t="str">
        <f>'Lớp 5 - Phân công'!AL35</f>
        <v>Quá tải – tổng 27.2/8.0 giờ/ngày</v>
      </c>
      <c r="AS224" s="389" t="str">
        <f t="shared" si="217"/>
        <v>03.05.02</v>
      </c>
      <c r="AT224" s="389" t="str">
        <f t="shared" si="32"/>
        <v/>
      </c>
      <c r="AU224" s="389" t="str">
        <f t="shared" si="33"/>
        <v/>
      </c>
      <c r="AV224" s="389" t="str">
        <f t="shared" si="34"/>
        <v>Phản biện với TGĐ &amp; liên PB XK</v>
      </c>
      <c r="AW224" s="389" t="str">
        <f t="shared" si="35"/>
        <v/>
      </c>
      <c r="AX224" s="67" t="str">
        <f t="shared" ref="AX224:BH224" si="238">Z224</f>
        <v>Em Đại</v>
      </c>
      <c r="AY224" s="67" t="str">
        <f t="shared" si="238"/>
        <v>Dữ liệu điều hành</v>
      </c>
      <c r="AZ224" s="67" t="str">
        <f t="shared" si="238"/>
        <v>P2</v>
      </c>
      <c r="BA224" s="67" t="str">
        <f t="shared" si="238"/>
        <v>Chưa bắt đầu</v>
      </c>
      <c r="BB224" s="398">
        <f t="shared" si="238"/>
        <v>0</v>
      </c>
      <c r="BC224" s="358">
        <f t="shared" si="238"/>
        <v>46310</v>
      </c>
      <c r="BD224" s="187">
        <f t="shared" si="238"/>
        <v>34</v>
      </c>
      <c r="BE224" s="104">
        <f t="shared" si="238"/>
        <v>8</v>
      </c>
      <c r="BF224" s="389">
        <f t="shared" si="238"/>
        <v>8</v>
      </c>
      <c r="BG224" s="389" t="str">
        <f t="shared" si="238"/>
        <v>🟢 Theo kế hoạch</v>
      </c>
      <c r="BH224" s="67" t="str">
        <f t="shared" si="238"/>
        <v>Quá tải – tổng 27.2/8.0 giờ/ngày</v>
      </c>
      <c r="BI224" s="389">
        <f t="array" ref="BI224">IF($X224="","",SWITCH($W224,3,IFERROR(INDEX('Lớp 3 - Công việc chính'!$AF$14:$AF$73,MATCH($X224,'Lớp 3 - Công việc chính'!$I$14:$I$73,0)),""),4,IFERROR(INDEX('Lớp 4 - Danh mục'!$AI$14:$AI$132,MATCH($X224,'Lớp 4 - Danh mục'!$I$14:$I$132,0)),""),5,IFERROR(INDEX('Lớp 5 - Phân công'!$AJ$14:$AJ$262,MATCH($X224,'Lớp 5 - Phân công'!$I$14:$I$262,0)),""),6,IFERROR(INDEX('Lớp 6 - Chi tiết'!$AM$14:$AM$267,MATCH($X224,'Lớp 6 - Chi tiết'!$I$14:$I$267,0)),""),""))</f>
        <v>0.8</v>
      </c>
      <c r="BJ224" s="389" t="str">
        <f t="array" ref="BJ224">IF($X224="","",SWITCH($W224,3,IFERROR(INDEX('Lớp 3 - Công việc chính'!$AR$14:$AR$73,MATCH($X224,'Lớp 3 - Công việc chính'!$I$14:$I$73,0)),""),4,IFERROR(INDEX('Lớp 4 - Danh mục'!$AU$14:$AU$132,MATCH($X224,'Lớp 4 - Danh mục'!$I$14:$I$132,0)),""),5,IFERROR(INDEX('Lớp 5 - Phân công'!$AV$14:$AV$262,MATCH($X224,'Lớp 5 - Phân công'!$I$14:$I$262,0)),""),6,IFERROR(INDEX('Lớp 6 - Chi tiết'!$AY$14:$AY$267,MATCH($X224,'Lớp 6 - Chi tiết'!$I$14:$I$267,0)),""),""))</f>
        <v>Đủ phân bổ theo tuần</v>
      </c>
    </row>
    <row r="225" ht="15.75" customHeight="1">
      <c r="A225" s="294" t="str">
        <f t="shared" si="12"/>
        <v/>
      </c>
      <c r="B225" s="301" t="str">
        <f t="shared" si="13"/>
        <v/>
      </c>
      <c r="C225" s="301" t="str">
        <f t="shared" si="14"/>
        <v/>
      </c>
      <c r="D225" s="301" t="str">
        <f t="shared" si="15"/>
        <v/>
      </c>
      <c r="E225" s="301" t="str">
        <f t="shared" si="16"/>
        <v/>
      </c>
      <c r="F225" s="317" t="str">
        <f t="shared" si="17"/>
        <v/>
      </c>
      <c r="G225" s="323" t="str">
        <f t="shared" si="18"/>
        <v/>
      </c>
      <c r="H225" s="327" t="str">
        <f t="shared" si="19"/>
        <v/>
      </c>
      <c r="I225" s="327" t="str">
        <f t="shared" si="20"/>
        <v/>
      </c>
      <c r="J225" s="301" t="str">
        <f t="shared" si="21"/>
        <v/>
      </c>
      <c r="K225" s="301" t="str">
        <f t="shared" si="22"/>
        <v/>
      </c>
      <c r="L225" s="344" t="str">
        <f t="array" ref="L225">IF($T225="","",LET(m,MATCH($T225,$AS$24:$AS$700,0),lvl,INDEX($W$24:$W$700,m),id,INDEX($X$24:$X$700,m),SWITCH(lvl,3,"Lớp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5" s="351" t="str">
        <f t="shared" si="23"/>
        <v/>
      </c>
      <c r="N225" s="356" t="str">
        <f t="shared" si="24"/>
        <v/>
      </c>
      <c r="O225" s="358"/>
      <c r="P225" s="360"/>
      <c r="Q225" s="360"/>
      <c r="R225" s="67"/>
      <c r="S225" s="67"/>
      <c r="T225" s="67"/>
      <c r="U225" s="389" t="str">
        <f>IF('Lớp 5 - Phân công'!I36="","",'Lớp 5 - Phân công'!K36&amp;"|"&amp;'Lớp 5 - Phân công'!J36&amp;"|"&amp;'Lớp 5 - Phân công'!I36)</f>
        <v>HHL3CT03|HHL4DL05|HHL5DL05-03</v>
      </c>
      <c r="V225" s="389" t="str">
        <f>IF('Lớp 5 - Phân công'!I36="","","       ├─ "&amp;'Lớp 5 - Phân công'!Q36)</f>
        <v>       ├─ XD bảng Excel &amp; HT phần mềm (chạy demo) XK</v>
      </c>
      <c r="W225" s="389">
        <f>IF('Lớp 5 - Phân công'!I36="","",5)</f>
        <v>5</v>
      </c>
      <c r="X225" s="67" t="str">
        <f>'Lớp 5 - Phân công'!I36</f>
        <v>HHL5DL05-03</v>
      </c>
      <c r="Y225" s="67" t="str">
        <f>'Lớp 5 - Phân công'!J36</f>
        <v>HHL4DL05</v>
      </c>
      <c r="Z225" s="67" t="str">
        <f>'Lớp 5 - Phân công'!AA36</f>
        <v>Em Đại</v>
      </c>
      <c r="AA225" s="67" t="str">
        <f>'Lớp 5 - Phân công'!Z36</f>
        <v>Dữ liệu điều hành</v>
      </c>
      <c r="AB225" s="67" t="str">
        <f>'Lớp 5 - Phân công'!AC36</f>
        <v>P2</v>
      </c>
      <c r="AC225" s="67" t="str">
        <f>'Lớp 5 - Phân công'!AB36</f>
        <v>Chưa bắt đầu</v>
      </c>
      <c r="AD225" s="398">
        <f>'Lớp 5 - Phân công'!AG36</f>
        <v>0</v>
      </c>
      <c r="AE225" s="358">
        <f>'Lớp 5 - Phân công'!AE36</f>
        <v>46305</v>
      </c>
      <c r="AF225" s="187">
        <f>'Lớp 5 - Phân công'!AH36</f>
        <v>5</v>
      </c>
      <c r="AG225" s="104">
        <f>'Lớp 5 - Phân công'!AI36</f>
        <v>24</v>
      </c>
      <c r="AH225" s="389">
        <f t="shared" si="27"/>
        <v>24</v>
      </c>
      <c r="AI225" s="389" t="str">
        <f t="shared" si="37"/>
        <v>🟢 Theo kế hoạch</v>
      </c>
      <c r="AJ225" s="67" t="str">
        <f>'Lớp 5 - Phân công'!AL36</f>
        <v>Quá tải – tổng 13.6/8.0 giờ/ngày</v>
      </c>
      <c r="AS225" s="389" t="str">
        <f t="shared" si="217"/>
        <v>03.05.03</v>
      </c>
      <c r="AT225" s="389" t="str">
        <f t="shared" si="32"/>
        <v/>
      </c>
      <c r="AU225" s="389" t="str">
        <f t="shared" si="33"/>
        <v/>
      </c>
      <c r="AV225" s="389" t="str">
        <f t="shared" si="34"/>
        <v>XD bảng Excel &amp; HT phần mềm (chạy demo) XK</v>
      </c>
      <c r="AW225" s="389" t="str">
        <f t="shared" si="35"/>
        <v/>
      </c>
      <c r="AX225" s="67" t="str">
        <f t="shared" ref="AX225:BH225" si="239">Z225</f>
        <v>Em Đại</v>
      </c>
      <c r="AY225" s="67" t="str">
        <f t="shared" si="239"/>
        <v>Dữ liệu điều hành</v>
      </c>
      <c r="AZ225" s="67" t="str">
        <f t="shared" si="239"/>
        <v>P2</v>
      </c>
      <c r="BA225" s="67" t="str">
        <f t="shared" si="239"/>
        <v>Chưa bắt đầu</v>
      </c>
      <c r="BB225" s="398">
        <f t="shared" si="239"/>
        <v>0</v>
      </c>
      <c r="BC225" s="358">
        <f t="shared" si="239"/>
        <v>46305</v>
      </c>
      <c r="BD225" s="187">
        <f t="shared" si="239"/>
        <v>5</v>
      </c>
      <c r="BE225" s="104">
        <f t="shared" si="239"/>
        <v>24</v>
      </c>
      <c r="BF225" s="389">
        <f t="shared" si="239"/>
        <v>24</v>
      </c>
      <c r="BG225" s="389" t="str">
        <f t="shared" si="239"/>
        <v>🟢 Theo kế hoạch</v>
      </c>
      <c r="BH225" s="67" t="str">
        <f t="shared" si="239"/>
        <v>Quá tải – tổng 13.6/8.0 giờ/ngày</v>
      </c>
      <c r="BI225" s="389">
        <f t="array" ref="BI225">IF($X225="","",SWITCH($W225,3,IFERROR(INDEX('Lớp 3 - Công việc chính'!$AF$14:$AF$73,MATCH($X225,'Lớp 3 - Công việc chính'!$I$14:$I$73,0)),""),4,IFERROR(INDEX('Lớp 4 - Danh mục'!$AI$14:$AI$132,MATCH($X225,'Lớp 4 - Danh mục'!$I$14:$I$132,0)),""),5,IFERROR(INDEX('Lớp 5 - Phân công'!$AJ$14:$AJ$262,MATCH($X225,'Lớp 5 - Phân công'!$I$14:$I$262,0)),""),6,IFERROR(INDEX('Lớp 6 - Chi tiết'!$AM$14:$AM$267,MATCH($X225,'Lớp 6 - Chi tiết'!$I$14:$I$267,0)),""),""))</f>
        <v>0.8</v>
      </c>
      <c r="BJ225" s="389" t="str">
        <f t="array" ref="BJ225">IF($X225="","",SWITCH($W225,3,IFERROR(INDEX('Lớp 3 - Công việc chính'!$AR$14:$AR$73,MATCH($X225,'Lớp 3 - Công việc chính'!$I$14:$I$73,0)),""),4,IFERROR(INDEX('Lớp 4 - Danh mục'!$AU$14:$AU$132,MATCH($X225,'Lớp 4 - Danh mục'!$I$14:$I$132,0)),""),5,IFERROR(INDEX('Lớp 5 - Phân công'!$AV$14:$AV$262,MATCH($X225,'Lớp 5 - Phân công'!$I$14:$I$262,0)),""),6,IFERROR(INDEX('Lớp 6 - Chi tiết'!$AY$14:$AY$267,MATCH($X225,'Lớp 6 - Chi tiết'!$I$14:$I$267,0)),""),""))</f>
        <v>Thiếu 20.0 giờ/tuần</v>
      </c>
    </row>
    <row r="226" ht="15.75" customHeight="1">
      <c r="A226" s="294" t="str">
        <f t="shared" si="12"/>
        <v/>
      </c>
      <c r="B226" s="301" t="str">
        <f t="shared" si="13"/>
        <v/>
      </c>
      <c r="C226" s="301" t="str">
        <f t="shared" si="14"/>
        <v/>
      </c>
      <c r="D226" s="301" t="str">
        <f t="shared" si="15"/>
        <v/>
      </c>
      <c r="E226" s="301" t="str">
        <f t="shared" si="16"/>
        <v/>
      </c>
      <c r="F226" s="317" t="str">
        <f t="shared" si="17"/>
        <v/>
      </c>
      <c r="G226" s="323" t="str">
        <f t="shared" si="18"/>
        <v/>
      </c>
      <c r="H226" s="327" t="str">
        <f t="shared" si="19"/>
        <v/>
      </c>
      <c r="I226" s="327" t="str">
        <f t="shared" si="20"/>
        <v/>
      </c>
      <c r="J226" s="301" t="str">
        <f t="shared" si="21"/>
        <v/>
      </c>
      <c r="K226" s="301" t="str">
        <f t="shared" si="22"/>
        <v/>
      </c>
      <c r="L226" s="344" t="str">
        <f t="array" ref="L226">IF($T226="","",LET(m,MATCH($T226,$AS$24:$AS$700,0),lvl,INDEX($W$24:$W$700,m),id,INDEX($X$24:$X$700,m),SWITCH(lvl,3,"Lớp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6" s="351" t="str">
        <f t="shared" si="23"/>
        <v/>
      </c>
      <c r="N226" s="356" t="str">
        <f t="shared" si="24"/>
        <v/>
      </c>
      <c r="O226" s="358"/>
      <c r="P226" s="360"/>
      <c r="Q226" s="360"/>
      <c r="R226" s="67"/>
      <c r="S226" s="67"/>
      <c r="T226" s="67"/>
      <c r="U226" s="389" t="str">
        <f>IF('Lớp 5 - Phân công'!I37="","",'Lớp 5 - Phân công'!K37&amp;"|"&amp;'Lớp 5 - Phân công'!J37&amp;"|"&amp;'Lớp 5 - Phân công'!I37)</f>
        <v>HHL3CT03|HHL4DL05|HHL5DL05-04</v>
      </c>
      <c r="V226" s="389" t="str">
        <f>IF('Lớp 5 - Phân công'!I37="","","       ├─ "&amp;'Lớp 5 - Phân công'!Q37)</f>
        <v>       ├─ Chạy tham số Topdown XK</v>
      </c>
      <c r="W226" s="389">
        <f>IF('Lớp 5 - Phân công'!I37="","",5)</f>
        <v>5</v>
      </c>
      <c r="X226" s="67" t="str">
        <f>'Lớp 5 - Phân công'!I37</f>
        <v>HHL5DL05-04</v>
      </c>
      <c r="Y226" s="67" t="str">
        <f>'Lớp 5 - Phân công'!J37</f>
        <v>HHL4DL05</v>
      </c>
      <c r="Z226" s="67" t="str">
        <f>'Lớp 5 - Phân công'!AA37</f>
        <v>Em Đại</v>
      </c>
      <c r="AA226" s="67" t="str">
        <f>'Lớp 5 - Phân công'!Z37</f>
        <v>Dữ liệu điều hành</v>
      </c>
      <c r="AB226" s="67" t="str">
        <f>'Lớp 5 - Phân công'!AC37</f>
        <v>P2</v>
      </c>
      <c r="AC226" s="67" t="str">
        <f>'Lớp 5 - Phân công'!AB37</f>
        <v>Đã lên lịch</v>
      </c>
      <c r="AD226" s="398" t="str">
        <f>'Lớp 5 - Phân công'!AG37</f>
        <v/>
      </c>
      <c r="AE226" s="358">
        <f>'Lớp 5 - Phân công'!AE37</f>
        <v>46307</v>
      </c>
      <c r="AF226" s="187">
        <f>'Lớp 5 - Phân công'!AH37</f>
        <v>1</v>
      </c>
      <c r="AG226" s="104">
        <f>'Lớp 5 - Phân công'!AI37</f>
        <v>16</v>
      </c>
      <c r="AH226" s="389">
        <f t="shared" si="27"/>
        <v>16</v>
      </c>
      <c r="AI226" s="389" t="str">
        <f t="shared" si="37"/>
        <v>🟢 Theo kế hoạch</v>
      </c>
      <c r="AJ226" s="67" t="str">
        <f>'Lớp 5 - Phân công'!AL37</f>
        <v>Cận tải – tổng 8.0/8.0 giờ/ngày</v>
      </c>
      <c r="AS226" s="389" t="str">
        <f t="shared" si="217"/>
        <v>03.05.04</v>
      </c>
      <c r="AT226" s="389" t="str">
        <f t="shared" si="32"/>
        <v/>
      </c>
      <c r="AU226" s="389" t="str">
        <f t="shared" si="33"/>
        <v/>
      </c>
      <c r="AV226" s="389" t="str">
        <f t="shared" si="34"/>
        <v>Chạy tham số Topdown XK</v>
      </c>
      <c r="AW226" s="389" t="str">
        <f t="shared" si="35"/>
        <v/>
      </c>
      <c r="AX226" s="67" t="str">
        <f t="shared" ref="AX226:BH226" si="240">Z226</f>
        <v>Em Đại</v>
      </c>
      <c r="AY226" s="67" t="str">
        <f t="shared" si="240"/>
        <v>Dữ liệu điều hành</v>
      </c>
      <c r="AZ226" s="67" t="str">
        <f t="shared" si="240"/>
        <v>P2</v>
      </c>
      <c r="BA226" s="67" t="str">
        <f t="shared" si="240"/>
        <v>Đã lên lịch</v>
      </c>
      <c r="BB226" s="398" t="str">
        <f t="shared" si="240"/>
        <v/>
      </c>
      <c r="BC226" s="358">
        <f t="shared" si="240"/>
        <v>46307</v>
      </c>
      <c r="BD226" s="187">
        <f t="shared" si="240"/>
        <v>1</v>
      </c>
      <c r="BE226" s="104">
        <f t="shared" si="240"/>
        <v>16</v>
      </c>
      <c r="BF226" s="389">
        <f t="shared" si="240"/>
        <v>16</v>
      </c>
      <c r="BG226" s="389" t="str">
        <f t="shared" si="240"/>
        <v>🟢 Theo kế hoạch</v>
      </c>
      <c r="BH226" s="67" t="str">
        <f t="shared" si="240"/>
        <v>Cận tải – tổng 8.0/8.0 giờ/ngày</v>
      </c>
      <c r="BI226" s="389">
        <f t="array" ref="BI226">IF($X226="","",SWITCH($W226,3,IFERROR(INDEX('Lớp 3 - Công việc chính'!$AF$14:$AF$73,MATCH($X226,'Lớp 3 - Công việc chính'!$I$14:$I$73,0)),""),4,IFERROR(INDEX('Lớp 4 - Danh mục'!$AI$14:$AI$132,MATCH($X226,'Lớp 4 - Danh mục'!$I$14:$I$132,0)),""),5,IFERROR(INDEX('Lớp 5 - Phân công'!$AJ$14:$AJ$262,MATCH($X226,'Lớp 5 - Phân công'!$I$14:$I$262,0)),""),6,IFERROR(INDEX('Lớp 6 - Chi tiết'!$AM$14:$AM$267,MATCH($X226,'Lớp 6 - Chi tiết'!$I$14:$I$267,0)),""),""))</f>
        <v>0.8</v>
      </c>
      <c r="BJ226" s="389" t="str">
        <f t="array" ref="BJ226">IF($X226="","",SWITCH($W226,3,IFERROR(INDEX('Lớp 3 - Công việc chính'!$AR$14:$AR$73,MATCH($X226,'Lớp 3 - Công việc chính'!$I$14:$I$73,0)),""),4,IFERROR(INDEX('Lớp 4 - Danh mục'!$AU$14:$AU$132,MATCH($X226,'Lớp 4 - Danh mục'!$I$14:$I$132,0)),""),5,IFERROR(INDEX('Lớp 5 - Phân công'!$AV$14:$AV$262,MATCH($X226,'Lớp 5 - Phân công'!$I$14:$I$262,0)),""),6,IFERROR(INDEX('Lớp 6 - Chi tiết'!$AY$14:$AY$267,MATCH($X226,'Lớp 6 - Chi tiết'!$I$14:$I$267,0)),""),""))</f>
        <v>Thiếu 76.0 giờ/tuần</v>
      </c>
    </row>
    <row r="227" ht="15.75" customHeight="1">
      <c r="A227" s="294" t="str">
        <f t="shared" si="12"/>
        <v/>
      </c>
      <c r="B227" s="301" t="str">
        <f t="shared" si="13"/>
        <v/>
      </c>
      <c r="C227" s="301" t="str">
        <f t="shared" si="14"/>
        <v/>
      </c>
      <c r="D227" s="301" t="str">
        <f t="shared" si="15"/>
        <v/>
      </c>
      <c r="E227" s="301" t="str">
        <f t="shared" si="16"/>
        <v/>
      </c>
      <c r="F227" s="317" t="str">
        <f t="shared" si="17"/>
        <v/>
      </c>
      <c r="G227" s="323" t="str">
        <f t="shared" si="18"/>
        <v/>
      </c>
      <c r="H227" s="327" t="str">
        <f t="shared" si="19"/>
        <v/>
      </c>
      <c r="I227" s="327" t="str">
        <f t="shared" si="20"/>
        <v/>
      </c>
      <c r="J227" s="301" t="str">
        <f t="shared" si="21"/>
        <v/>
      </c>
      <c r="K227" s="301" t="str">
        <f t="shared" si="22"/>
        <v/>
      </c>
      <c r="L227" s="344" t="str">
        <f t="array" ref="L227">IF($T227="","",LET(m,MATCH($T227,$AS$24:$AS$700,0),lvl,INDEX($W$24:$W$700,m),id,INDEX($X$24:$X$700,m),SWITCH(lvl,3,"Lớp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7" s="351" t="str">
        <f t="shared" si="23"/>
        <v/>
      </c>
      <c r="N227" s="356" t="str">
        <f t="shared" si="24"/>
        <v/>
      </c>
      <c r="O227" s="358"/>
      <c r="P227" s="360"/>
      <c r="Q227" s="360"/>
      <c r="R227" s="67"/>
      <c r="S227" s="67"/>
      <c r="T227" s="67"/>
      <c r="U227" s="389" t="str">
        <f>IF('Lớp 5 - Phân công'!I38="","",'Lớp 5 - Phân công'!K38&amp;"|"&amp;'Lớp 5 - Phân công'!J38&amp;"|"&amp;'Lớp 5 - Phân công'!I38)</f>
        <v>HHL3CT03|HHL4DL05|HHL5DL05-05</v>
      </c>
      <c r="V227" s="389" t="str">
        <f>IF('Lớp 5 - Phân công'!I38="","","       ├─ "&amp;'Lớp 5 - Phân công'!Q38)</f>
        <v>       ├─ Chạy tham số Bottom-up theo khu vực vùng miền XK</v>
      </c>
      <c r="W227" s="389">
        <f>IF('Lớp 5 - Phân công'!I38="","",5)</f>
        <v>5</v>
      </c>
      <c r="X227" s="67" t="str">
        <f>'Lớp 5 - Phân công'!I38</f>
        <v>HHL5DL05-05</v>
      </c>
      <c r="Y227" s="67" t="str">
        <f>'Lớp 5 - Phân công'!J38</f>
        <v>HHL4DL05</v>
      </c>
      <c r="Z227" s="67" t="str">
        <f>'Lớp 5 - Phân công'!AA38</f>
        <v>Em Đại</v>
      </c>
      <c r="AA227" s="67" t="str">
        <f>'Lớp 5 - Phân công'!Z38</f>
        <v>Dữ liệu điều hành</v>
      </c>
      <c r="AB227" s="67" t="str">
        <f>'Lớp 5 - Phân công'!AC38</f>
        <v>P2</v>
      </c>
      <c r="AC227" s="67" t="str">
        <f>'Lớp 5 - Phân công'!AB38</f>
        <v>Đã lên lịch</v>
      </c>
      <c r="AD227" s="398" t="str">
        <f>'Lớp 5 - Phân công'!AG38</f>
        <v/>
      </c>
      <c r="AE227" s="358">
        <f>'Lớp 5 - Phân công'!AE38</f>
        <v>46320</v>
      </c>
      <c r="AF227" s="187">
        <f>'Lớp 5 - Phân công'!AH38</f>
        <v>11</v>
      </c>
      <c r="AG227" s="104">
        <f>'Lớp 5 - Phân công'!AI38</f>
        <v>16</v>
      </c>
      <c r="AH227" s="389">
        <f t="shared" si="27"/>
        <v>16</v>
      </c>
      <c r="AI227" s="389" t="str">
        <f t="shared" si="37"/>
        <v>🟢 Theo kế hoạch</v>
      </c>
      <c r="AJ227" s="67" t="str">
        <f>'Lớp 5 - Phân công'!AL38</f>
        <v>Quá tải – tổng 10.4/8.0 giờ/ngày</v>
      </c>
      <c r="AS227" s="389" t="str">
        <f t="shared" si="217"/>
        <v>03.05.05</v>
      </c>
      <c r="AT227" s="389" t="str">
        <f t="shared" si="32"/>
        <v/>
      </c>
      <c r="AU227" s="389" t="str">
        <f t="shared" si="33"/>
        <v/>
      </c>
      <c r="AV227" s="389" t="str">
        <f t="shared" si="34"/>
        <v>Chạy tham số Bottom-up theo khu vực vùng miền XK</v>
      </c>
      <c r="AW227" s="389" t="str">
        <f t="shared" si="35"/>
        <v/>
      </c>
      <c r="AX227" s="67" t="str">
        <f t="shared" ref="AX227:BH227" si="241">Z227</f>
        <v>Em Đại</v>
      </c>
      <c r="AY227" s="67" t="str">
        <f t="shared" si="241"/>
        <v>Dữ liệu điều hành</v>
      </c>
      <c r="AZ227" s="67" t="str">
        <f t="shared" si="241"/>
        <v>P2</v>
      </c>
      <c r="BA227" s="67" t="str">
        <f t="shared" si="241"/>
        <v>Đã lên lịch</v>
      </c>
      <c r="BB227" s="398" t="str">
        <f t="shared" si="241"/>
        <v/>
      </c>
      <c r="BC227" s="358">
        <f t="shared" si="241"/>
        <v>46320</v>
      </c>
      <c r="BD227" s="187">
        <f t="shared" si="241"/>
        <v>11</v>
      </c>
      <c r="BE227" s="104">
        <f t="shared" si="241"/>
        <v>16</v>
      </c>
      <c r="BF227" s="389">
        <f t="shared" si="241"/>
        <v>16</v>
      </c>
      <c r="BG227" s="389" t="str">
        <f t="shared" si="241"/>
        <v>🟢 Theo kế hoạch</v>
      </c>
      <c r="BH227" s="67" t="str">
        <f t="shared" si="241"/>
        <v>Quá tải – tổng 10.4/8.0 giờ/ngày</v>
      </c>
      <c r="BI227" s="389">
        <f t="array" ref="BI227">IF($X227="","",SWITCH($W227,3,IFERROR(INDEX('Lớp 3 - Công việc chính'!$AF$14:$AF$73,MATCH($X227,'Lớp 3 - Công việc chính'!$I$14:$I$73,0)),""),4,IFERROR(INDEX('Lớp 4 - Danh mục'!$AI$14:$AI$132,MATCH($X227,'Lớp 4 - Danh mục'!$I$14:$I$132,0)),""),5,IFERROR(INDEX('Lớp 5 - Phân công'!$AJ$14:$AJ$262,MATCH($X227,'Lớp 5 - Phân công'!$I$14:$I$262,0)),""),6,IFERROR(INDEX('Lớp 6 - Chi tiết'!$AM$14:$AM$267,MATCH($X227,'Lớp 6 - Chi tiết'!$I$14:$I$267,0)),""),""))</f>
        <v>0.8</v>
      </c>
      <c r="BJ227" s="389" t="str">
        <f t="array" ref="BJ227">IF($X227="","",SWITCH($W227,3,IFERROR(INDEX('Lớp 3 - Công việc chính'!$AR$14:$AR$73,MATCH($X227,'Lớp 3 - Công việc chính'!$I$14:$I$73,0)),""),4,IFERROR(INDEX('Lớp 4 - Danh mục'!$AU$14:$AU$132,MATCH($X227,'Lớp 4 - Danh mục'!$I$14:$I$132,0)),""),5,IFERROR(INDEX('Lớp 5 - Phân công'!$AV$14:$AV$262,MATCH($X227,'Lớp 5 - Phân công'!$I$14:$I$262,0)),""),6,IFERROR(INDEX('Lớp 6 - Chi tiết'!$AY$14:$AY$267,MATCH($X227,'Lớp 6 - Chi tiết'!$I$14:$I$267,0)),""),""))</f>
        <v>Thiếu 3.3 giờ/tuần</v>
      </c>
    </row>
    <row r="228" ht="15.75" customHeight="1">
      <c r="A228" s="294" t="str">
        <f t="shared" si="12"/>
        <v/>
      </c>
      <c r="B228" s="301" t="str">
        <f t="shared" si="13"/>
        <v/>
      </c>
      <c r="C228" s="301" t="str">
        <f t="shared" si="14"/>
        <v/>
      </c>
      <c r="D228" s="301" t="str">
        <f t="shared" si="15"/>
        <v/>
      </c>
      <c r="E228" s="301" t="str">
        <f t="shared" si="16"/>
        <v/>
      </c>
      <c r="F228" s="317" t="str">
        <f t="shared" si="17"/>
        <v/>
      </c>
      <c r="G228" s="323" t="str">
        <f t="shared" si="18"/>
        <v/>
      </c>
      <c r="H228" s="327" t="str">
        <f t="shared" si="19"/>
        <v/>
      </c>
      <c r="I228" s="327" t="str">
        <f t="shared" si="20"/>
        <v/>
      </c>
      <c r="J228" s="301" t="str">
        <f t="shared" si="21"/>
        <v/>
      </c>
      <c r="K228" s="301" t="str">
        <f t="shared" si="22"/>
        <v/>
      </c>
      <c r="L228" s="344" t="str">
        <f t="array" ref="L228">IF($T228="","",LET(m,MATCH($T228,$AS$24:$AS$700,0),lvl,INDEX($W$24:$W$700,m),id,INDEX($X$24:$X$700,m),SWITCH(lvl,3,"Lớp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8" s="351" t="str">
        <f t="shared" si="23"/>
        <v/>
      </c>
      <c r="N228" s="356" t="str">
        <f t="shared" si="24"/>
        <v/>
      </c>
      <c r="O228" s="358"/>
      <c r="P228" s="360"/>
      <c r="Q228" s="360"/>
      <c r="R228" s="67"/>
      <c r="S228" s="67"/>
      <c r="T228" s="67"/>
      <c r="U228" s="389" t="str">
        <f>IF('Lớp 5 - Phân công'!I39="","",'Lớp 5 - Phân công'!K39&amp;"|"&amp;'Lớp 5 - Phân công'!J39&amp;"|"&amp;'Lớp 5 - Phân công'!I39)</f>
        <v>HHL3CT03|HHL4DL06|HHL5DL06-01</v>
      </c>
      <c r="V228" s="389" t="str">
        <f>IF('Lớp 5 - Phân công'!I39="","","       ├─ "&amp;'Lớp 5 - Phân công'!Q39)</f>
        <v>       ├─ XD &amp; phản biện công thức (nội bộ) Showroom</v>
      </c>
      <c r="W228" s="389">
        <f>IF('Lớp 5 - Phân công'!I39="","",5)</f>
        <v>5</v>
      </c>
      <c r="X228" s="67" t="str">
        <f>'Lớp 5 - Phân công'!I39</f>
        <v>HHL5DL06-01</v>
      </c>
      <c r="Y228" s="67" t="str">
        <f>'Lớp 5 - Phân công'!J39</f>
        <v>HHL4DL06</v>
      </c>
      <c r="Z228" s="67" t="str">
        <f>'Lớp 5 - Phân công'!AA39</f>
        <v>Em Đại</v>
      </c>
      <c r="AA228" s="67" t="str">
        <f>'Lớp 5 - Phân công'!Z39</f>
        <v>Dữ liệu điều hành</v>
      </c>
      <c r="AB228" s="67" t="str">
        <f>'Lớp 5 - Phân công'!AC39</f>
        <v>P2</v>
      </c>
      <c r="AC228" s="67" t="str">
        <f>'Lớp 5 - Phân công'!AB39</f>
        <v>Chưa bắt đầu</v>
      </c>
      <c r="AD228" s="398">
        <f>'Lớp 5 - Phân công'!AG39</f>
        <v>0</v>
      </c>
      <c r="AE228" s="358">
        <f>'Lớp 5 - Phân công'!AE39</f>
        <v>46300</v>
      </c>
      <c r="AF228" s="187">
        <f>'Lớp 5 - Phân công'!AH39</f>
        <v>9</v>
      </c>
      <c r="AG228" s="104">
        <f>'Lớp 5 - Phân công'!AI39</f>
        <v>16</v>
      </c>
      <c r="AH228" s="389">
        <f t="shared" si="27"/>
        <v>16</v>
      </c>
      <c r="AI228" s="389" t="str">
        <f t="shared" si="37"/>
        <v>🟢 Theo kế hoạch</v>
      </c>
      <c r="AJ228" s="67" t="str">
        <f>'Lớp 5 - Phân công'!AL39</f>
        <v>Quá tải – tổng 15.2/8.0 giờ/ngày</v>
      </c>
      <c r="AS228" s="389" t="str">
        <f t="shared" si="217"/>
        <v>03.06.01</v>
      </c>
      <c r="AT228" s="389" t="str">
        <f t="shared" si="32"/>
        <v/>
      </c>
      <c r="AU228" s="389" t="str">
        <f t="shared" si="33"/>
        <v/>
      </c>
      <c r="AV228" s="389" t="str">
        <f t="shared" si="34"/>
        <v>XD &amp; phản biện công thức (nội bộ) Showroom</v>
      </c>
      <c r="AW228" s="389" t="str">
        <f t="shared" si="35"/>
        <v/>
      </c>
      <c r="AX228" s="67" t="str">
        <f t="shared" ref="AX228:BH228" si="242">Z228</f>
        <v>Em Đại</v>
      </c>
      <c r="AY228" s="67" t="str">
        <f t="shared" si="242"/>
        <v>Dữ liệu điều hành</v>
      </c>
      <c r="AZ228" s="67" t="str">
        <f t="shared" si="242"/>
        <v>P2</v>
      </c>
      <c r="BA228" s="67" t="str">
        <f t="shared" si="242"/>
        <v>Chưa bắt đầu</v>
      </c>
      <c r="BB228" s="398">
        <f t="shared" si="242"/>
        <v>0</v>
      </c>
      <c r="BC228" s="358">
        <f t="shared" si="242"/>
        <v>46300</v>
      </c>
      <c r="BD228" s="187">
        <f t="shared" si="242"/>
        <v>9</v>
      </c>
      <c r="BE228" s="104">
        <f t="shared" si="242"/>
        <v>16</v>
      </c>
      <c r="BF228" s="389">
        <f t="shared" si="242"/>
        <v>16</v>
      </c>
      <c r="BG228" s="389" t="str">
        <f t="shared" si="242"/>
        <v>🟢 Theo kế hoạch</v>
      </c>
      <c r="BH228" s="67" t="str">
        <f t="shared" si="242"/>
        <v>Quá tải – tổng 15.2/8.0 giờ/ngày</v>
      </c>
      <c r="BI228" s="389">
        <f t="array" ref="BI228">IF($X228="","",SWITCH($W228,3,IFERROR(INDEX('Lớp 3 - Công việc chính'!$AF$14:$AF$73,MATCH($X228,'Lớp 3 - Công việc chính'!$I$14:$I$73,0)),""),4,IFERROR(INDEX('Lớp 4 - Danh mục'!$AI$14:$AI$132,MATCH($X228,'Lớp 4 - Danh mục'!$I$14:$I$132,0)),""),5,IFERROR(INDEX('Lớp 5 - Phân công'!$AJ$14:$AJ$262,MATCH($X228,'Lớp 5 - Phân công'!$I$14:$I$262,0)),""),6,IFERROR(INDEX('Lớp 6 - Chi tiết'!$AM$14:$AM$267,MATCH($X228,'Lớp 6 - Chi tiết'!$I$14:$I$267,0)),""),""))</f>
        <v>0.8</v>
      </c>
      <c r="BJ228" s="389" t="str">
        <f t="array" ref="BJ228">IF($X228="","",SWITCH($W228,3,IFERROR(INDEX('Lớp 3 - Công việc chính'!$AR$14:$AR$73,MATCH($X228,'Lớp 3 - Công việc chính'!$I$14:$I$73,0)),""),4,IFERROR(INDEX('Lớp 4 - Danh mục'!$AU$14:$AU$132,MATCH($X228,'Lớp 4 - Danh mục'!$I$14:$I$132,0)),""),5,IFERROR(INDEX('Lớp 5 - Phân công'!$AV$14:$AV$262,MATCH($X228,'Lớp 5 - Phân công'!$I$14:$I$262,0)),""),6,IFERROR(INDEX('Lớp 6 - Chi tiết'!$AY$14:$AY$267,MATCH($X228,'Lớp 6 - Chi tiết'!$I$14:$I$267,0)),""),""))</f>
        <v>Thiếu 4.9 giờ/tuần</v>
      </c>
    </row>
    <row r="229" ht="15.75" customHeight="1">
      <c r="A229" s="294" t="str">
        <f t="shared" si="12"/>
        <v/>
      </c>
      <c r="B229" s="301" t="str">
        <f t="shared" si="13"/>
        <v/>
      </c>
      <c r="C229" s="301" t="str">
        <f t="shared" si="14"/>
        <v/>
      </c>
      <c r="D229" s="301" t="str">
        <f t="shared" si="15"/>
        <v/>
      </c>
      <c r="E229" s="301" t="str">
        <f t="shared" si="16"/>
        <v/>
      </c>
      <c r="F229" s="317" t="str">
        <f t="shared" si="17"/>
        <v/>
      </c>
      <c r="G229" s="323" t="str">
        <f t="shared" si="18"/>
        <v/>
      </c>
      <c r="H229" s="327" t="str">
        <f t="shared" si="19"/>
        <v/>
      </c>
      <c r="I229" s="327" t="str">
        <f t="shared" si="20"/>
        <v/>
      </c>
      <c r="J229" s="301" t="str">
        <f t="shared" si="21"/>
        <v/>
      </c>
      <c r="K229" s="301" t="str">
        <f t="shared" si="22"/>
        <v/>
      </c>
      <c r="L229" s="344" t="str">
        <f t="array" ref="L229">IF($T229="","",LET(m,MATCH($T229,$AS$24:$AS$700,0),lvl,INDEX($W$24:$W$700,m),id,INDEX($X$24:$X$700,m),SWITCH(lvl,3,"Lớp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29" s="351" t="str">
        <f t="shared" si="23"/>
        <v/>
      </c>
      <c r="N229" s="356" t="str">
        <f t="shared" si="24"/>
        <v/>
      </c>
      <c r="O229" s="358"/>
      <c r="P229" s="360"/>
      <c r="Q229" s="360"/>
      <c r="R229" s="67"/>
      <c r="S229" s="67"/>
      <c r="T229" s="67"/>
      <c r="U229" s="389" t="str">
        <f>IF('Lớp 5 - Phân công'!I40="","",'Lớp 5 - Phân công'!K40&amp;"|"&amp;'Lớp 5 - Phân công'!J40&amp;"|"&amp;'Lớp 5 - Phân công'!I40)</f>
        <v>HHL3CT03|HHL4DL06|HHL5DL06-02</v>
      </c>
      <c r="V229" s="389" t="str">
        <f>IF('Lớp 5 - Phân công'!I40="","","       ├─ "&amp;'Lớp 5 - Phân công'!Q40)</f>
        <v>       ├─ Phản biện với TGĐ &amp; liên PB Showroom</v>
      </c>
      <c r="W229" s="389">
        <f>IF('Lớp 5 - Phân công'!I40="","",5)</f>
        <v>5</v>
      </c>
      <c r="X229" s="67" t="str">
        <f>'Lớp 5 - Phân công'!I40</f>
        <v>HHL5DL06-02</v>
      </c>
      <c r="Y229" s="67" t="str">
        <f>'Lớp 5 - Phân công'!J40</f>
        <v>HHL4DL06</v>
      </c>
      <c r="Z229" s="67" t="str">
        <f>'Lớp 5 - Phân công'!AA40</f>
        <v>Em Đại</v>
      </c>
      <c r="AA229" s="67" t="str">
        <f>'Lớp 5 - Phân công'!Z40</f>
        <v>Dữ liệu điều hành</v>
      </c>
      <c r="AB229" s="67" t="str">
        <f>'Lớp 5 - Phân công'!AC40</f>
        <v>P2</v>
      </c>
      <c r="AC229" s="67" t="str">
        <f>'Lớp 5 - Phân công'!AB40</f>
        <v>Chưa bắt đầu</v>
      </c>
      <c r="AD229" s="398">
        <f>'Lớp 5 - Phân công'!AG40</f>
        <v>0</v>
      </c>
      <c r="AE229" s="358">
        <f>'Lớp 5 - Phân công'!AE40</f>
        <v>46310</v>
      </c>
      <c r="AF229" s="187">
        <f>'Lớp 5 - Phân công'!AH40</f>
        <v>9</v>
      </c>
      <c r="AG229" s="104">
        <f>'Lớp 5 - Phân công'!AI40</f>
        <v>8</v>
      </c>
      <c r="AH229" s="389">
        <f t="shared" si="27"/>
        <v>8</v>
      </c>
      <c r="AI229" s="389" t="str">
        <f t="shared" si="37"/>
        <v>🟢 Theo kế hoạch</v>
      </c>
      <c r="AJ229" s="67" t="str">
        <f>'Lớp 5 - Phân công'!AL40</f>
        <v>Quá tải – tổng 20.0/8.0 giờ/ngày</v>
      </c>
      <c r="AS229" s="389" t="str">
        <f t="shared" si="217"/>
        <v>03.06.02</v>
      </c>
      <c r="AT229" s="389" t="str">
        <f t="shared" si="32"/>
        <v/>
      </c>
      <c r="AU229" s="389" t="str">
        <f t="shared" si="33"/>
        <v/>
      </c>
      <c r="AV229" s="389" t="str">
        <f t="shared" si="34"/>
        <v>Phản biện với TGĐ &amp; liên PB Showroom</v>
      </c>
      <c r="AW229" s="389" t="str">
        <f t="shared" si="35"/>
        <v/>
      </c>
      <c r="AX229" s="67" t="str">
        <f t="shared" ref="AX229:BH229" si="243">Z229</f>
        <v>Em Đại</v>
      </c>
      <c r="AY229" s="67" t="str">
        <f t="shared" si="243"/>
        <v>Dữ liệu điều hành</v>
      </c>
      <c r="AZ229" s="67" t="str">
        <f t="shared" si="243"/>
        <v>P2</v>
      </c>
      <c r="BA229" s="67" t="str">
        <f t="shared" si="243"/>
        <v>Chưa bắt đầu</v>
      </c>
      <c r="BB229" s="398">
        <f t="shared" si="243"/>
        <v>0</v>
      </c>
      <c r="BC229" s="358">
        <f t="shared" si="243"/>
        <v>46310</v>
      </c>
      <c r="BD229" s="187">
        <f t="shared" si="243"/>
        <v>9</v>
      </c>
      <c r="BE229" s="104">
        <f t="shared" si="243"/>
        <v>8</v>
      </c>
      <c r="BF229" s="389">
        <f t="shared" si="243"/>
        <v>8</v>
      </c>
      <c r="BG229" s="389" t="str">
        <f t="shared" si="243"/>
        <v>🟢 Theo kế hoạch</v>
      </c>
      <c r="BH229" s="67" t="str">
        <f t="shared" si="243"/>
        <v>Quá tải – tổng 20.0/8.0 giờ/ngày</v>
      </c>
      <c r="BI229" s="389">
        <f t="array" ref="BI229">IF($X229="","",SWITCH($W229,3,IFERROR(INDEX('Lớp 3 - Công việc chính'!$AF$14:$AF$73,MATCH($X229,'Lớp 3 - Công việc chính'!$I$14:$I$73,0)),""),4,IFERROR(INDEX('Lớp 4 - Danh mục'!$AI$14:$AI$132,MATCH($X229,'Lớp 4 - Danh mục'!$I$14:$I$132,0)),""),5,IFERROR(INDEX('Lớp 5 - Phân công'!$AJ$14:$AJ$262,MATCH($X229,'Lớp 5 - Phân công'!$I$14:$I$262,0)),""),6,IFERROR(INDEX('Lớp 6 - Chi tiết'!$AM$14:$AM$267,MATCH($X229,'Lớp 6 - Chi tiết'!$I$14:$I$267,0)),""),""))</f>
        <v>0.8</v>
      </c>
      <c r="BJ229" s="389" t="str">
        <f t="array" ref="BJ229">IF($X229="","",SWITCH($W229,3,IFERROR(INDEX('Lớp 3 - Công việc chính'!$AR$14:$AR$73,MATCH($X229,'Lớp 3 - Công việc chính'!$I$14:$I$73,0)),""),4,IFERROR(INDEX('Lớp 4 - Danh mục'!$AU$14:$AU$132,MATCH($X229,'Lớp 4 - Danh mục'!$I$14:$I$132,0)),""),5,IFERROR(INDEX('Lớp 5 - Phân công'!$AV$14:$AV$262,MATCH($X229,'Lớp 5 - Phân công'!$I$14:$I$262,0)),""),6,IFERROR(INDEX('Lớp 6 - Chi tiết'!$AY$14:$AY$267,MATCH($X229,'Lớp 6 - Chi tiết'!$I$14:$I$267,0)),""),""))</f>
        <v>Thiếu 0.4 giờ/tuần</v>
      </c>
    </row>
    <row r="230" ht="15.75" customHeight="1">
      <c r="A230" s="294" t="str">
        <f t="shared" si="12"/>
        <v/>
      </c>
      <c r="B230" s="301" t="str">
        <f t="shared" si="13"/>
        <v/>
      </c>
      <c r="C230" s="301" t="str">
        <f t="shared" si="14"/>
        <v/>
      </c>
      <c r="D230" s="301" t="str">
        <f t="shared" si="15"/>
        <v/>
      </c>
      <c r="E230" s="301" t="str">
        <f t="shared" si="16"/>
        <v/>
      </c>
      <c r="F230" s="317" t="str">
        <f t="shared" si="17"/>
        <v/>
      </c>
      <c r="G230" s="323" t="str">
        <f t="shared" si="18"/>
        <v/>
      </c>
      <c r="H230" s="327" t="str">
        <f t="shared" si="19"/>
        <v/>
      </c>
      <c r="I230" s="327" t="str">
        <f t="shared" si="20"/>
        <v/>
      </c>
      <c r="J230" s="301" t="str">
        <f t="shared" si="21"/>
        <v/>
      </c>
      <c r="K230" s="301" t="str">
        <f t="shared" si="22"/>
        <v/>
      </c>
      <c r="L230" s="344" t="str">
        <f t="array" ref="L230">IF($T230="","",LET(m,MATCH($T230,$AS$24:$AS$700,0),lvl,INDEX($W$24:$W$700,m),id,INDEX($X$24:$X$700,m),SWITCH(lvl,3,"Lớp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0" s="351" t="str">
        <f t="shared" si="23"/>
        <v/>
      </c>
      <c r="N230" s="356" t="str">
        <f t="shared" si="24"/>
        <v/>
      </c>
      <c r="O230" s="358"/>
      <c r="P230" s="360"/>
      <c r="Q230" s="360"/>
      <c r="R230" s="67"/>
      <c r="S230" s="67"/>
      <c r="T230" s="67"/>
      <c r="U230" s="389" t="str">
        <f>IF('Lớp 5 - Phân công'!I41="","",'Lớp 5 - Phân công'!K41&amp;"|"&amp;'Lớp 5 - Phân công'!J41&amp;"|"&amp;'Lớp 5 - Phân công'!I41)</f>
        <v>HHL3CT03|HHL4DL06|HHL5DL06-03</v>
      </c>
      <c r="V230" s="389" t="str">
        <f>IF('Lớp 5 - Phân công'!I41="","","       ├─ "&amp;'Lớp 5 - Phân công'!Q41)</f>
        <v>       ├─ XD bảng Excel &amp; HT phần mềm (chạy demo) Showroom</v>
      </c>
      <c r="W230" s="389">
        <f>IF('Lớp 5 - Phân công'!I41="","",5)</f>
        <v>5</v>
      </c>
      <c r="X230" s="67" t="str">
        <f>'Lớp 5 - Phân công'!I41</f>
        <v>HHL5DL06-03</v>
      </c>
      <c r="Y230" s="67" t="str">
        <f>'Lớp 5 - Phân công'!J41</f>
        <v>HHL4DL06</v>
      </c>
      <c r="Z230" s="67" t="str">
        <f>'Lớp 5 - Phân công'!AA41</f>
        <v>Em Đại</v>
      </c>
      <c r="AA230" s="67" t="str">
        <f>'Lớp 5 - Phân công'!Z41</f>
        <v>Dữ liệu điều hành</v>
      </c>
      <c r="AB230" s="67" t="str">
        <f>'Lớp 5 - Phân công'!AC41</f>
        <v>P2</v>
      </c>
      <c r="AC230" s="67" t="str">
        <f>'Lớp 5 - Phân công'!AB41</f>
        <v>Chưa bắt đầu</v>
      </c>
      <c r="AD230" s="398">
        <f>'Lớp 5 - Phân công'!AG41</f>
        <v>0</v>
      </c>
      <c r="AE230" s="358">
        <f>'Lớp 5 - Phân công'!AE41</f>
        <v>46305</v>
      </c>
      <c r="AF230" s="187">
        <f>'Lớp 5 - Phân công'!AH41</f>
        <v>5</v>
      </c>
      <c r="AG230" s="104">
        <f>'Lớp 5 - Phân công'!AI41</f>
        <v>24</v>
      </c>
      <c r="AH230" s="389">
        <f t="shared" si="27"/>
        <v>24</v>
      </c>
      <c r="AI230" s="389" t="str">
        <f t="shared" si="37"/>
        <v>🟢 Theo kế hoạch</v>
      </c>
      <c r="AJ230" s="67" t="str">
        <f>'Lớp 5 - Phân công'!AL41</f>
        <v>Quá tải – tổng 13.6/8.0 giờ/ngày</v>
      </c>
      <c r="AS230" s="389" t="str">
        <f t="shared" si="217"/>
        <v>03.06.03</v>
      </c>
      <c r="AT230" s="389" t="str">
        <f t="shared" si="32"/>
        <v/>
      </c>
      <c r="AU230" s="389" t="str">
        <f t="shared" si="33"/>
        <v/>
      </c>
      <c r="AV230" s="389" t="str">
        <f t="shared" si="34"/>
        <v>XD bảng Excel &amp; HT phần mềm (chạy demo) Showroom</v>
      </c>
      <c r="AW230" s="389" t="str">
        <f t="shared" si="35"/>
        <v/>
      </c>
      <c r="AX230" s="67" t="str">
        <f t="shared" ref="AX230:BH230" si="244">Z230</f>
        <v>Em Đại</v>
      </c>
      <c r="AY230" s="67" t="str">
        <f t="shared" si="244"/>
        <v>Dữ liệu điều hành</v>
      </c>
      <c r="AZ230" s="67" t="str">
        <f t="shared" si="244"/>
        <v>P2</v>
      </c>
      <c r="BA230" s="67" t="str">
        <f t="shared" si="244"/>
        <v>Chưa bắt đầu</v>
      </c>
      <c r="BB230" s="398">
        <f t="shared" si="244"/>
        <v>0</v>
      </c>
      <c r="BC230" s="358">
        <f t="shared" si="244"/>
        <v>46305</v>
      </c>
      <c r="BD230" s="187">
        <f t="shared" si="244"/>
        <v>5</v>
      </c>
      <c r="BE230" s="104">
        <f t="shared" si="244"/>
        <v>24</v>
      </c>
      <c r="BF230" s="389">
        <f t="shared" si="244"/>
        <v>24</v>
      </c>
      <c r="BG230" s="389" t="str">
        <f t="shared" si="244"/>
        <v>🟢 Theo kế hoạch</v>
      </c>
      <c r="BH230" s="67" t="str">
        <f t="shared" si="244"/>
        <v>Quá tải – tổng 13.6/8.0 giờ/ngày</v>
      </c>
      <c r="BI230" s="389">
        <f t="array" ref="BI230">IF($X230="","",SWITCH($W230,3,IFERROR(INDEX('Lớp 3 - Công việc chính'!$AF$14:$AF$73,MATCH($X230,'Lớp 3 - Công việc chính'!$I$14:$I$73,0)),""),4,IFERROR(INDEX('Lớp 4 - Danh mục'!$AI$14:$AI$132,MATCH($X230,'Lớp 4 - Danh mục'!$I$14:$I$132,0)),""),5,IFERROR(INDEX('Lớp 5 - Phân công'!$AJ$14:$AJ$262,MATCH($X230,'Lớp 5 - Phân công'!$I$14:$I$262,0)),""),6,IFERROR(INDEX('Lớp 6 - Chi tiết'!$AM$14:$AM$267,MATCH($X230,'Lớp 6 - Chi tiết'!$I$14:$I$267,0)),""),""))</f>
        <v>0.8</v>
      </c>
      <c r="BJ230" s="389" t="str">
        <f t="array" ref="BJ230">IF($X230="","",SWITCH($W230,3,IFERROR(INDEX('Lớp 3 - Công việc chính'!$AR$14:$AR$73,MATCH($X230,'Lớp 3 - Công việc chính'!$I$14:$I$73,0)),""),4,IFERROR(INDEX('Lớp 4 - Danh mục'!$AU$14:$AU$132,MATCH($X230,'Lớp 4 - Danh mục'!$I$14:$I$132,0)),""),5,IFERROR(INDEX('Lớp 5 - Phân công'!$AV$14:$AV$262,MATCH($X230,'Lớp 5 - Phân công'!$I$14:$I$262,0)),""),6,IFERROR(INDEX('Lớp 6 - Chi tiết'!$AY$14:$AY$267,MATCH($X230,'Lớp 6 - Chi tiết'!$I$14:$I$267,0)),""),""))</f>
        <v>Thiếu 20.0 giờ/tuần</v>
      </c>
    </row>
    <row r="231" ht="15.75" customHeight="1">
      <c r="A231" s="294" t="str">
        <f t="shared" si="12"/>
        <v/>
      </c>
      <c r="B231" s="301" t="str">
        <f t="shared" si="13"/>
        <v/>
      </c>
      <c r="C231" s="301" t="str">
        <f t="shared" si="14"/>
        <v/>
      </c>
      <c r="D231" s="301" t="str">
        <f t="shared" si="15"/>
        <v/>
      </c>
      <c r="E231" s="301" t="str">
        <f t="shared" si="16"/>
        <v/>
      </c>
      <c r="F231" s="317" t="str">
        <f t="shared" si="17"/>
        <v/>
      </c>
      <c r="G231" s="323" t="str">
        <f t="shared" si="18"/>
        <v/>
      </c>
      <c r="H231" s="327" t="str">
        <f t="shared" si="19"/>
        <v/>
      </c>
      <c r="I231" s="327" t="str">
        <f t="shared" si="20"/>
        <v/>
      </c>
      <c r="J231" s="301" t="str">
        <f t="shared" si="21"/>
        <v/>
      </c>
      <c r="K231" s="301" t="str">
        <f t="shared" si="22"/>
        <v/>
      </c>
      <c r="L231" s="344" t="str">
        <f t="array" ref="L231">IF($T231="","",LET(m,MATCH($T231,$AS$24:$AS$700,0),lvl,INDEX($W$24:$W$700,m),id,INDEX($X$24:$X$700,m),SWITCH(lvl,3,"Lớp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1" s="351" t="str">
        <f t="shared" si="23"/>
        <v/>
      </c>
      <c r="N231" s="356" t="str">
        <f t="shared" si="24"/>
        <v/>
      </c>
      <c r="O231" s="358"/>
      <c r="P231" s="360"/>
      <c r="Q231" s="360"/>
      <c r="R231" s="67"/>
      <c r="S231" s="67"/>
      <c r="T231" s="67"/>
      <c r="U231" s="389" t="str">
        <f>IF('Lớp 5 - Phân công'!I42="","",'Lớp 5 - Phân công'!K42&amp;"|"&amp;'Lớp 5 - Phân công'!J42&amp;"|"&amp;'Lớp 5 - Phân công'!I42)</f>
        <v>HHL3CT03|HHL4DL06|HHL5DL06-04</v>
      </c>
      <c r="V231" s="389" t="str">
        <f>IF('Lớp 5 - Phân công'!I42="","","       ├─ "&amp;'Lớp 5 - Phân công'!Q42)</f>
        <v>       ├─ Chạy tham số. Topdown Showroom</v>
      </c>
      <c r="W231" s="389">
        <f>IF('Lớp 5 - Phân công'!I42="","",5)</f>
        <v>5</v>
      </c>
      <c r="X231" s="67" t="str">
        <f>'Lớp 5 - Phân công'!I42</f>
        <v>HHL5DL06-04</v>
      </c>
      <c r="Y231" s="67" t="str">
        <f>'Lớp 5 - Phân công'!J42</f>
        <v>HHL4DL06</v>
      </c>
      <c r="Z231" s="67" t="str">
        <f>'Lớp 5 - Phân công'!AA42</f>
        <v>Em Đại</v>
      </c>
      <c r="AA231" s="67" t="str">
        <f>'Lớp 5 - Phân công'!Z42</f>
        <v>Dữ liệu điều hành</v>
      </c>
      <c r="AB231" s="67" t="str">
        <f>'Lớp 5 - Phân công'!AC42</f>
        <v>P2</v>
      </c>
      <c r="AC231" s="67" t="str">
        <f>'Lớp 5 - Phân công'!AB42</f>
        <v>Đã lên lịch</v>
      </c>
      <c r="AD231" s="398" t="str">
        <f>'Lớp 5 - Phân công'!AG42</f>
        <v/>
      </c>
      <c r="AE231" s="358">
        <f>'Lớp 5 - Phân công'!AE42</f>
        <v>46307</v>
      </c>
      <c r="AF231" s="187">
        <f>'Lớp 5 - Phân công'!AH42</f>
        <v>1</v>
      </c>
      <c r="AG231" s="104">
        <f>'Lớp 5 - Phân công'!AI42</f>
        <v>16</v>
      </c>
      <c r="AH231" s="389">
        <f t="shared" si="27"/>
        <v>16</v>
      </c>
      <c r="AI231" s="389" t="str">
        <f t="shared" si="37"/>
        <v>🟢 Theo kế hoạch</v>
      </c>
      <c r="AJ231" s="67" t="str">
        <f>'Lớp 5 - Phân công'!AL42</f>
        <v>Cận tải – tổng 8.0/8.0 giờ/ngày</v>
      </c>
      <c r="AS231" s="389" t="str">
        <f t="shared" si="217"/>
        <v>03.06.04</v>
      </c>
      <c r="AT231" s="389" t="str">
        <f t="shared" si="32"/>
        <v/>
      </c>
      <c r="AU231" s="389" t="str">
        <f t="shared" si="33"/>
        <v/>
      </c>
      <c r="AV231" s="389" t="str">
        <f t="shared" si="34"/>
        <v>Chạy tham số. Topdown Showroom</v>
      </c>
      <c r="AW231" s="389" t="str">
        <f t="shared" si="35"/>
        <v/>
      </c>
      <c r="AX231" s="67" t="str">
        <f t="shared" ref="AX231:BH231" si="245">Z231</f>
        <v>Em Đại</v>
      </c>
      <c r="AY231" s="67" t="str">
        <f t="shared" si="245"/>
        <v>Dữ liệu điều hành</v>
      </c>
      <c r="AZ231" s="67" t="str">
        <f t="shared" si="245"/>
        <v>P2</v>
      </c>
      <c r="BA231" s="67" t="str">
        <f t="shared" si="245"/>
        <v>Đã lên lịch</v>
      </c>
      <c r="BB231" s="398" t="str">
        <f t="shared" si="245"/>
        <v/>
      </c>
      <c r="BC231" s="358">
        <f t="shared" si="245"/>
        <v>46307</v>
      </c>
      <c r="BD231" s="187">
        <f t="shared" si="245"/>
        <v>1</v>
      </c>
      <c r="BE231" s="104">
        <f t="shared" si="245"/>
        <v>16</v>
      </c>
      <c r="BF231" s="389">
        <f t="shared" si="245"/>
        <v>16</v>
      </c>
      <c r="BG231" s="389" t="str">
        <f t="shared" si="245"/>
        <v>🟢 Theo kế hoạch</v>
      </c>
      <c r="BH231" s="67" t="str">
        <f t="shared" si="245"/>
        <v>Cận tải – tổng 8.0/8.0 giờ/ngày</v>
      </c>
      <c r="BI231" s="389">
        <f t="array" ref="BI231">IF($X231="","",SWITCH($W231,3,IFERROR(INDEX('Lớp 3 - Công việc chính'!$AF$14:$AF$73,MATCH($X231,'Lớp 3 - Công việc chính'!$I$14:$I$73,0)),""),4,IFERROR(INDEX('Lớp 4 - Danh mục'!$AI$14:$AI$132,MATCH($X231,'Lớp 4 - Danh mục'!$I$14:$I$132,0)),""),5,IFERROR(INDEX('Lớp 5 - Phân công'!$AJ$14:$AJ$262,MATCH($X231,'Lớp 5 - Phân công'!$I$14:$I$262,0)),""),6,IFERROR(INDEX('Lớp 6 - Chi tiết'!$AM$14:$AM$267,MATCH($X231,'Lớp 6 - Chi tiết'!$I$14:$I$267,0)),""),""))</f>
        <v>0.8</v>
      </c>
      <c r="BJ231" s="389" t="str">
        <f t="array" ref="BJ231">IF($X231="","",SWITCH($W231,3,IFERROR(INDEX('Lớp 3 - Công việc chính'!$AR$14:$AR$73,MATCH($X231,'Lớp 3 - Công việc chính'!$I$14:$I$73,0)),""),4,IFERROR(INDEX('Lớp 4 - Danh mục'!$AU$14:$AU$132,MATCH($X231,'Lớp 4 - Danh mục'!$I$14:$I$132,0)),""),5,IFERROR(INDEX('Lớp 5 - Phân công'!$AV$14:$AV$262,MATCH($X231,'Lớp 5 - Phân công'!$I$14:$I$262,0)),""),6,IFERROR(INDEX('Lớp 6 - Chi tiết'!$AY$14:$AY$267,MATCH($X231,'Lớp 6 - Chi tiết'!$I$14:$I$267,0)),""),""))</f>
        <v>Thiếu 76.0 giờ/tuần</v>
      </c>
    </row>
    <row r="232" ht="15.75" customHeight="1">
      <c r="A232" s="294" t="str">
        <f t="shared" si="12"/>
        <v/>
      </c>
      <c r="B232" s="301" t="str">
        <f t="shared" si="13"/>
        <v/>
      </c>
      <c r="C232" s="301" t="str">
        <f t="shared" si="14"/>
        <v/>
      </c>
      <c r="D232" s="301" t="str">
        <f t="shared" si="15"/>
        <v/>
      </c>
      <c r="E232" s="301" t="str">
        <f t="shared" si="16"/>
        <v/>
      </c>
      <c r="F232" s="317" t="str">
        <f t="shared" si="17"/>
        <v/>
      </c>
      <c r="G232" s="323" t="str">
        <f t="shared" si="18"/>
        <v/>
      </c>
      <c r="H232" s="327" t="str">
        <f t="shared" si="19"/>
        <v/>
      </c>
      <c r="I232" s="327" t="str">
        <f t="shared" si="20"/>
        <v/>
      </c>
      <c r="J232" s="301" t="str">
        <f t="shared" si="21"/>
        <v/>
      </c>
      <c r="K232" s="301" t="str">
        <f t="shared" si="22"/>
        <v/>
      </c>
      <c r="L232" s="344" t="str">
        <f t="array" ref="L232">IF($T232="","",LET(m,MATCH($T232,$AS$24:$AS$700,0),lvl,INDEX($W$24:$W$700,m),id,INDEX($X$24:$X$700,m),SWITCH(lvl,3,"Lớp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2" s="351" t="str">
        <f t="shared" si="23"/>
        <v/>
      </c>
      <c r="N232" s="356" t="str">
        <f t="shared" si="24"/>
        <v/>
      </c>
      <c r="O232" s="358"/>
      <c r="P232" s="360"/>
      <c r="Q232" s="360"/>
      <c r="R232" s="67"/>
      <c r="S232" s="67"/>
      <c r="T232" s="67"/>
      <c r="U232" s="389" t="str">
        <f>IF('Lớp 5 - Phân công'!I43="","",'Lớp 5 - Phân công'!K43&amp;"|"&amp;'Lớp 5 - Phân công'!J43&amp;"|"&amp;'Lớp 5 - Phân công'!I43)</f>
        <v>HHL3CT03|HHL4DL06|HHL5DL06-05</v>
      </c>
      <c r="V232" s="389" t="str">
        <f>IF('Lớp 5 - Phân công'!I43="","","       ├─ "&amp;'Lớp 5 - Phân công'!Q43)</f>
        <v>       ├─ Chạy tham số Bottom-up theo khu vực vùng miền Showroom</v>
      </c>
      <c r="W232" s="389">
        <f>IF('Lớp 5 - Phân công'!I43="","",5)</f>
        <v>5</v>
      </c>
      <c r="X232" s="67" t="str">
        <f>'Lớp 5 - Phân công'!I43</f>
        <v>HHL5DL06-05</v>
      </c>
      <c r="Y232" s="67" t="str">
        <f>'Lớp 5 - Phân công'!J43</f>
        <v>HHL4DL06</v>
      </c>
      <c r="Z232" s="67" t="str">
        <f>'Lớp 5 - Phân công'!AA43</f>
        <v>Em Đại</v>
      </c>
      <c r="AA232" s="67" t="str">
        <f>'Lớp 5 - Phân công'!Z43</f>
        <v>Dữ liệu điều hành</v>
      </c>
      <c r="AB232" s="67" t="str">
        <f>'Lớp 5 - Phân công'!AC43</f>
        <v>P2</v>
      </c>
      <c r="AC232" s="67" t="str">
        <f>'Lớp 5 - Phân công'!AB43</f>
        <v>Đã lên lịch</v>
      </c>
      <c r="AD232" s="398" t="str">
        <f>'Lớp 5 - Phân công'!AG43</f>
        <v/>
      </c>
      <c r="AE232" s="358">
        <f>'Lớp 5 - Phân công'!AE43</f>
        <v>46320</v>
      </c>
      <c r="AF232" s="187">
        <f>'Lớp 5 - Phân công'!AH43</f>
        <v>11</v>
      </c>
      <c r="AG232" s="104">
        <f>'Lớp 5 - Phân công'!AI43</f>
        <v>16</v>
      </c>
      <c r="AH232" s="389">
        <f t="shared" si="27"/>
        <v>16</v>
      </c>
      <c r="AI232" s="389" t="str">
        <f t="shared" si="37"/>
        <v>🟢 Theo kế hoạch</v>
      </c>
      <c r="AJ232" s="67" t="str">
        <f>'Lớp 5 - Phân công'!AL43</f>
        <v>Quá tải – tổng 10.4/8.0 giờ/ngày</v>
      </c>
      <c r="AS232" s="389" t="str">
        <f t="shared" si="217"/>
        <v>03.06.05</v>
      </c>
      <c r="AT232" s="389" t="str">
        <f t="shared" si="32"/>
        <v/>
      </c>
      <c r="AU232" s="389" t="str">
        <f t="shared" si="33"/>
        <v/>
      </c>
      <c r="AV232" s="389" t="str">
        <f t="shared" si="34"/>
        <v>Chạy tham số Bottom-up theo khu vực vùng miền Showroom</v>
      </c>
      <c r="AW232" s="389" t="str">
        <f t="shared" si="35"/>
        <v/>
      </c>
      <c r="AX232" s="67" t="str">
        <f t="shared" ref="AX232:BH232" si="246">Z232</f>
        <v>Em Đại</v>
      </c>
      <c r="AY232" s="67" t="str">
        <f t="shared" si="246"/>
        <v>Dữ liệu điều hành</v>
      </c>
      <c r="AZ232" s="67" t="str">
        <f t="shared" si="246"/>
        <v>P2</v>
      </c>
      <c r="BA232" s="67" t="str">
        <f t="shared" si="246"/>
        <v>Đã lên lịch</v>
      </c>
      <c r="BB232" s="398" t="str">
        <f t="shared" si="246"/>
        <v/>
      </c>
      <c r="BC232" s="358">
        <f t="shared" si="246"/>
        <v>46320</v>
      </c>
      <c r="BD232" s="187">
        <f t="shared" si="246"/>
        <v>11</v>
      </c>
      <c r="BE232" s="104">
        <f t="shared" si="246"/>
        <v>16</v>
      </c>
      <c r="BF232" s="389">
        <f t="shared" si="246"/>
        <v>16</v>
      </c>
      <c r="BG232" s="389" t="str">
        <f t="shared" si="246"/>
        <v>🟢 Theo kế hoạch</v>
      </c>
      <c r="BH232" s="67" t="str">
        <f t="shared" si="246"/>
        <v>Quá tải – tổng 10.4/8.0 giờ/ngày</v>
      </c>
      <c r="BI232" s="389">
        <f t="array" ref="BI232">IF($X232="","",SWITCH($W232,3,IFERROR(INDEX('Lớp 3 - Công việc chính'!$AF$14:$AF$73,MATCH($X232,'Lớp 3 - Công việc chính'!$I$14:$I$73,0)),""),4,IFERROR(INDEX('Lớp 4 - Danh mục'!$AI$14:$AI$132,MATCH($X232,'Lớp 4 - Danh mục'!$I$14:$I$132,0)),""),5,IFERROR(INDEX('Lớp 5 - Phân công'!$AJ$14:$AJ$262,MATCH($X232,'Lớp 5 - Phân công'!$I$14:$I$262,0)),""),6,IFERROR(INDEX('Lớp 6 - Chi tiết'!$AM$14:$AM$267,MATCH($X232,'Lớp 6 - Chi tiết'!$I$14:$I$267,0)),""),""))</f>
        <v>0.8</v>
      </c>
      <c r="BJ232" s="389" t="str">
        <f t="array" ref="BJ232">IF($X232="","",SWITCH($W232,3,IFERROR(INDEX('Lớp 3 - Công việc chính'!$AR$14:$AR$73,MATCH($X232,'Lớp 3 - Công việc chính'!$I$14:$I$73,0)),""),4,IFERROR(INDEX('Lớp 4 - Danh mục'!$AU$14:$AU$132,MATCH($X232,'Lớp 4 - Danh mục'!$I$14:$I$132,0)),""),5,IFERROR(INDEX('Lớp 5 - Phân công'!$AV$14:$AV$262,MATCH($X232,'Lớp 5 - Phân công'!$I$14:$I$262,0)),""),6,IFERROR(INDEX('Lớp 6 - Chi tiết'!$AY$14:$AY$267,MATCH($X232,'Lớp 6 - Chi tiết'!$I$14:$I$267,0)),""),""))</f>
        <v>Thiếu 3.3 giờ/tuần</v>
      </c>
    </row>
    <row r="233" ht="15.75" customHeight="1">
      <c r="A233" s="294" t="str">
        <f t="shared" si="12"/>
        <v/>
      </c>
      <c r="B233" s="301" t="str">
        <f t="shared" si="13"/>
        <v/>
      </c>
      <c r="C233" s="301" t="str">
        <f t="shared" si="14"/>
        <v/>
      </c>
      <c r="D233" s="301" t="str">
        <f t="shared" si="15"/>
        <v/>
      </c>
      <c r="E233" s="301" t="str">
        <f t="shared" si="16"/>
        <v/>
      </c>
      <c r="F233" s="317" t="str">
        <f t="shared" si="17"/>
        <v/>
      </c>
      <c r="G233" s="323" t="str">
        <f t="shared" si="18"/>
        <v/>
      </c>
      <c r="H233" s="327" t="str">
        <f t="shared" si="19"/>
        <v/>
      </c>
      <c r="I233" s="327" t="str">
        <f t="shared" si="20"/>
        <v/>
      </c>
      <c r="J233" s="301" t="str">
        <f t="shared" si="21"/>
        <v/>
      </c>
      <c r="K233" s="301" t="str">
        <f t="shared" si="22"/>
        <v/>
      </c>
      <c r="L233" s="344" t="str">
        <f t="array" ref="L233">IF($T233="","",LET(m,MATCH($T233,$AS$24:$AS$700,0),lvl,INDEX($W$24:$W$700,m),id,INDEX($X$24:$X$700,m),SWITCH(lvl,3,"Lớp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3" s="351" t="str">
        <f t="shared" si="23"/>
        <v/>
      </c>
      <c r="N233" s="356" t="str">
        <f t="shared" si="24"/>
        <v/>
      </c>
      <c r="O233" s="358"/>
      <c r="P233" s="360"/>
      <c r="Q233" s="360"/>
      <c r="R233" s="67"/>
      <c r="S233" s="67"/>
      <c r="T233" s="67"/>
      <c r="U233" s="389" t="str">
        <f>IF('Lớp 5 - Phân công'!I44="","",'Lớp 5 - Phân công'!K44&amp;"|"&amp;'Lớp 5 - Phân công'!J44&amp;"|"&amp;'Lớp 5 - Phân công'!I44)</f>
        <v>HHL3CT03|HHL4DL07|HHL5DL07-01</v>
      </c>
      <c r="V233" s="389" t="str">
        <f>IF('Lớp 5 - Phân công'!I44="","","       ├─ "&amp;'Lớp 5 - Phân công'!Q44)</f>
        <v>       ├─ Chốt đề bài DL phần mềm</v>
      </c>
      <c r="W233" s="389">
        <f>IF('Lớp 5 - Phân công'!I44="","",5)</f>
        <v>5</v>
      </c>
      <c r="X233" s="67" t="str">
        <f>'Lớp 5 - Phân công'!I44</f>
        <v>HHL5DL07-01</v>
      </c>
      <c r="Y233" s="67" t="str">
        <f>'Lớp 5 - Phân công'!J44</f>
        <v>HHL4DL07</v>
      </c>
      <c r="Z233" s="67" t="str">
        <f>'Lớp 5 - Phân công'!AA44</f>
        <v>Em Đại</v>
      </c>
      <c r="AA233" s="67" t="str">
        <f>'Lớp 5 - Phân công'!Z44</f>
        <v>Dữ liệu điều hành</v>
      </c>
      <c r="AB233" s="67" t="str">
        <f>'Lớp 5 - Phân công'!AC44</f>
        <v>P2</v>
      </c>
      <c r="AC233" s="67" t="str">
        <f>'Lớp 5 - Phân công'!AB44</f>
        <v>Chưa bắt đầu</v>
      </c>
      <c r="AD233" s="398">
        <f>'Lớp 5 - Phân công'!AG44</f>
        <v>0</v>
      </c>
      <c r="AE233" s="358">
        <f>'Lớp 5 - Phân công'!AE44</f>
        <v>46310</v>
      </c>
      <c r="AF233" s="187">
        <f>'Lớp 5 - Phân công'!AH44</f>
        <v>10</v>
      </c>
      <c r="AG233" s="104">
        <f>'Lớp 5 - Phân công'!AI44</f>
        <v>16</v>
      </c>
      <c r="AH233" s="389">
        <f t="shared" si="27"/>
        <v>16</v>
      </c>
      <c r="AI233" s="389" t="str">
        <f t="shared" si="37"/>
        <v>🟢 Theo kế hoạch</v>
      </c>
      <c r="AJ233" s="67" t="str">
        <f>'Lớp 5 - Phân công'!AL44</f>
        <v>Quá tải – tổng 24.0/8.0 giờ/ngày</v>
      </c>
      <c r="AS233" s="389" t="str">
        <f t="shared" si="217"/>
        <v>03.07.01</v>
      </c>
      <c r="AT233" s="389" t="str">
        <f t="shared" si="32"/>
        <v/>
      </c>
      <c r="AU233" s="389" t="str">
        <f t="shared" si="33"/>
        <v/>
      </c>
      <c r="AV233" s="389" t="str">
        <f t="shared" si="34"/>
        <v>Chốt đề bài DL phần mềm</v>
      </c>
      <c r="AW233" s="389" t="str">
        <f t="shared" si="35"/>
        <v/>
      </c>
      <c r="AX233" s="67" t="str">
        <f t="shared" ref="AX233:BH233" si="247">Z233</f>
        <v>Em Đại</v>
      </c>
      <c r="AY233" s="67" t="str">
        <f t="shared" si="247"/>
        <v>Dữ liệu điều hành</v>
      </c>
      <c r="AZ233" s="67" t="str">
        <f t="shared" si="247"/>
        <v>P2</v>
      </c>
      <c r="BA233" s="67" t="str">
        <f t="shared" si="247"/>
        <v>Chưa bắt đầu</v>
      </c>
      <c r="BB233" s="398">
        <f t="shared" si="247"/>
        <v>0</v>
      </c>
      <c r="BC233" s="358">
        <f t="shared" si="247"/>
        <v>46310</v>
      </c>
      <c r="BD233" s="187">
        <f t="shared" si="247"/>
        <v>10</v>
      </c>
      <c r="BE233" s="104">
        <f t="shared" si="247"/>
        <v>16</v>
      </c>
      <c r="BF233" s="389">
        <f t="shared" si="247"/>
        <v>16</v>
      </c>
      <c r="BG233" s="389" t="str">
        <f t="shared" si="247"/>
        <v>🟢 Theo kế hoạch</v>
      </c>
      <c r="BH233" s="67" t="str">
        <f t="shared" si="247"/>
        <v>Quá tải – tổng 24.0/8.0 giờ/ngày</v>
      </c>
      <c r="BI233" s="389">
        <f t="array" ref="BI233">IF($X233="","",SWITCH($W233,3,IFERROR(INDEX('Lớp 3 - Công việc chính'!$AF$14:$AF$73,MATCH($X233,'Lớp 3 - Công việc chính'!$I$14:$I$73,0)),""),4,IFERROR(INDEX('Lớp 4 - Danh mục'!$AI$14:$AI$132,MATCH($X233,'Lớp 4 - Danh mục'!$I$14:$I$132,0)),""),5,IFERROR(INDEX('Lớp 5 - Phân công'!$AJ$14:$AJ$262,MATCH($X233,'Lớp 5 - Phân công'!$I$14:$I$262,0)),""),6,IFERROR(INDEX('Lớp 6 - Chi tiết'!$AM$14:$AM$267,MATCH($X233,'Lớp 6 - Chi tiết'!$I$14:$I$267,0)),""),""))</f>
        <v>0.8</v>
      </c>
      <c r="BJ233" s="389" t="str">
        <f t="array" ref="BJ233">IF($X233="","",SWITCH($W233,3,IFERROR(INDEX('Lớp 3 - Công việc chính'!$AR$14:$AR$73,MATCH($X233,'Lớp 3 - Công việc chính'!$I$14:$I$73,0)),""),4,IFERROR(INDEX('Lớp 4 - Danh mục'!$AU$14:$AU$132,MATCH($X233,'Lớp 4 - Danh mục'!$I$14:$I$132,0)),""),5,IFERROR(INDEX('Lớp 5 - Phân công'!$AV$14:$AV$262,MATCH($X233,'Lớp 5 - Phân công'!$I$14:$I$262,0)),""),6,IFERROR(INDEX('Lớp 6 - Chi tiết'!$AY$14:$AY$267,MATCH($X233,'Lớp 6 - Chi tiết'!$I$14:$I$267,0)),""),""))</f>
        <v>Thiếu 4.0 giờ/tuần</v>
      </c>
    </row>
    <row r="234" ht="15.75" customHeight="1">
      <c r="A234" s="294" t="str">
        <f t="shared" si="12"/>
        <v/>
      </c>
      <c r="B234" s="301" t="str">
        <f t="shared" si="13"/>
        <v/>
      </c>
      <c r="C234" s="301" t="str">
        <f t="shared" si="14"/>
        <v/>
      </c>
      <c r="D234" s="301" t="str">
        <f t="shared" si="15"/>
        <v/>
      </c>
      <c r="E234" s="301" t="str">
        <f t="shared" si="16"/>
        <v/>
      </c>
      <c r="F234" s="317" t="str">
        <f t="shared" si="17"/>
        <v/>
      </c>
      <c r="G234" s="323" t="str">
        <f t="shared" si="18"/>
        <v/>
      </c>
      <c r="H234" s="327" t="str">
        <f t="shared" si="19"/>
        <v/>
      </c>
      <c r="I234" s="327" t="str">
        <f t="shared" si="20"/>
        <v/>
      </c>
      <c r="J234" s="301" t="str">
        <f t="shared" si="21"/>
        <v/>
      </c>
      <c r="K234" s="301" t="str">
        <f t="shared" si="22"/>
        <v/>
      </c>
      <c r="L234" s="344" t="str">
        <f t="array" ref="L234">IF($T234="","",LET(m,MATCH($T234,$AS$24:$AS$700,0),lvl,INDEX($W$24:$W$700,m),id,INDEX($X$24:$X$700,m),SWITCH(lvl,3,"Lớp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4" s="351" t="str">
        <f t="shared" si="23"/>
        <v/>
      </c>
      <c r="N234" s="356" t="str">
        <f t="shared" si="24"/>
        <v/>
      </c>
      <c r="O234" s="358"/>
      <c r="P234" s="360"/>
      <c r="Q234" s="360"/>
      <c r="R234" s="67"/>
      <c r="S234" s="67"/>
      <c r="T234" s="67"/>
      <c r="U234" s="389" t="str">
        <f>IF('Lớp 5 - Phân công'!I45="","",'Lớp 5 - Phân công'!K45&amp;"|"&amp;'Lớp 5 - Phân công'!J45&amp;"|"&amp;'Lớp 5 - Phân công'!I45)</f>
        <v>HHL3CT03|HHL4DL07|HHL5DL07-02</v>
      </c>
      <c r="V234" s="389" t="str">
        <f>IF('Lớp 5 - Phân công'!I45="","","       ├─ "&amp;'Lớp 5 - Phân công'!Q45)</f>
        <v>       ├─ Chạy thử nghiệm topdown Total bằng phần mềm </v>
      </c>
      <c r="W234" s="389">
        <f>IF('Lớp 5 - Phân công'!I45="","",5)</f>
        <v>5</v>
      </c>
      <c r="X234" s="67" t="str">
        <f>'Lớp 5 - Phân công'!I45</f>
        <v>HHL5DL07-02</v>
      </c>
      <c r="Y234" s="67" t="str">
        <f>'Lớp 5 - Phân công'!J45</f>
        <v>HHL4DL07</v>
      </c>
      <c r="Z234" s="67" t="str">
        <f>'Lớp 5 - Phân công'!AA45</f>
        <v>Em Đại</v>
      </c>
      <c r="AA234" s="67" t="str">
        <f>'Lớp 5 - Phân công'!Z45</f>
        <v>Dữ liệu điều hành</v>
      </c>
      <c r="AB234" s="67" t="str">
        <f>'Lớp 5 - Phân công'!AC45</f>
        <v>P2</v>
      </c>
      <c r="AC234" s="67" t="str">
        <f>'Lớp 5 - Phân công'!AB45</f>
        <v>Chưa bắt đầu</v>
      </c>
      <c r="AD234" s="398">
        <f>'Lớp 5 - Phân công'!AG45</f>
        <v>0</v>
      </c>
      <c r="AE234" s="358">
        <f>'Lớp 5 - Phân công'!AE45</f>
        <v>46320</v>
      </c>
      <c r="AF234" s="187">
        <f>'Lớp 5 - Phân công'!AH45</f>
        <v>8</v>
      </c>
      <c r="AG234" s="104">
        <f>'Lớp 5 - Phân công'!AI45</f>
        <v>8</v>
      </c>
      <c r="AH234" s="389">
        <f t="shared" si="27"/>
        <v>8</v>
      </c>
      <c r="AI234" s="389" t="str">
        <f t="shared" si="37"/>
        <v>🟢 Theo kế hoạch</v>
      </c>
      <c r="AJ234" s="67" t="str">
        <f>'Lớp 5 - Phân công'!AL45</f>
        <v>Bình thường – tổng 5.6/8.0 giờ/ngày</v>
      </c>
      <c r="AS234" s="389" t="str">
        <f t="shared" si="217"/>
        <v>03.07.02</v>
      </c>
      <c r="AT234" s="389" t="str">
        <f t="shared" si="32"/>
        <v/>
      </c>
      <c r="AU234" s="389" t="str">
        <f t="shared" si="33"/>
        <v/>
      </c>
      <c r="AV234" s="389" t="str">
        <f t="shared" si="34"/>
        <v>Chạy thử nghiệm topdown Total bằng phần mềm</v>
      </c>
      <c r="AW234" s="389" t="str">
        <f t="shared" si="35"/>
        <v/>
      </c>
      <c r="AX234" s="67" t="str">
        <f t="shared" ref="AX234:BH234" si="248">Z234</f>
        <v>Em Đại</v>
      </c>
      <c r="AY234" s="67" t="str">
        <f t="shared" si="248"/>
        <v>Dữ liệu điều hành</v>
      </c>
      <c r="AZ234" s="67" t="str">
        <f t="shared" si="248"/>
        <v>P2</v>
      </c>
      <c r="BA234" s="67" t="str">
        <f t="shared" si="248"/>
        <v>Chưa bắt đầu</v>
      </c>
      <c r="BB234" s="398">
        <f t="shared" si="248"/>
        <v>0</v>
      </c>
      <c r="BC234" s="358">
        <f t="shared" si="248"/>
        <v>46320</v>
      </c>
      <c r="BD234" s="187">
        <f t="shared" si="248"/>
        <v>8</v>
      </c>
      <c r="BE234" s="104">
        <f t="shared" si="248"/>
        <v>8</v>
      </c>
      <c r="BF234" s="389">
        <f t="shared" si="248"/>
        <v>8</v>
      </c>
      <c r="BG234" s="389" t="str">
        <f t="shared" si="248"/>
        <v>🟢 Theo kế hoạch</v>
      </c>
      <c r="BH234" s="67" t="str">
        <f t="shared" si="248"/>
        <v>Bình thường – tổng 5.6/8.0 giờ/ngày</v>
      </c>
      <c r="BI234" s="389">
        <f t="array" ref="BI234">IF($X234="","",SWITCH($W234,3,IFERROR(INDEX('Lớp 3 - Công việc chính'!$AF$14:$AF$73,MATCH($X234,'Lớp 3 - Công việc chính'!$I$14:$I$73,0)),""),4,IFERROR(INDEX('Lớp 4 - Danh mục'!$AI$14:$AI$132,MATCH($X234,'Lớp 4 - Danh mục'!$I$14:$I$132,0)),""),5,IFERROR(INDEX('Lớp 5 - Phân công'!$AJ$14:$AJ$262,MATCH($X234,'Lớp 5 - Phân công'!$I$14:$I$262,0)),""),6,IFERROR(INDEX('Lớp 6 - Chi tiết'!$AM$14:$AM$267,MATCH($X234,'Lớp 6 - Chi tiết'!$I$14:$I$267,0)),""),""))</f>
        <v>0.8</v>
      </c>
      <c r="BJ234" s="389" t="str">
        <f t="array" ref="BJ234">IF($X234="","",SWITCH($W234,3,IFERROR(INDEX('Lớp 3 - Công việc chính'!$AR$14:$AR$73,MATCH($X234,'Lớp 3 - Công việc chính'!$I$14:$I$73,0)),""),4,IFERROR(INDEX('Lớp 4 - Danh mục'!$AU$14:$AU$132,MATCH($X234,'Lớp 4 - Danh mục'!$I$14:$I$132,0)),""),5,IFERROR(INDEX('Lớp 5 - Phân công'!$AV$14:$AV$262,MATCH($X234,'Lớp 5 - Phân công'!$I$14:$I$262,0)),""),6,IFERROR(INDEX('Lớp 6 - Chi tiết'!$AY$14:$AY$267,MATCH($X234,'Lớp 6 - Chi tiết'!$I$14:$I$267,0)),""),""))</f>
        <v>Thiếu 1.0 giờ/tuần</v>
      </c>
    </row>
    <row r="235" ht="15.75" customHeight="1">
      <c r="A235" s="294" t="str">
        <f t="shared" si="12"/>
        <v/>
      </c>
      <c r="B235" s="301" t="str">
        <f t="shared" si="13"/>
        <v/>
      </c>
      <c r="C235" s="301" t="str">
        <f t="shared" si="14"/>
        <v/>
      </c>
      <c r="D235" s="301" t="str">
        <f t="shared" si="15"/>
        <v/>
      </c>
      <c r="E235" s="301" t="str">
        <f t="shared" si="16"/>
        <v/>
      </c>
      <c r="F235" s="317" t="str">
        <f t="shared" si="17"/>
        <v/>
      </c>
      <c r="G235" s="323" t="str">
        <f t="shared" si="18"/>
        <v/>
      </c>
      <c r="H235" s="327" t="str">
        <f t="shared" si="19"/>
        <v/>
      </c>
      <c r="I235" s="327" t="str">
        <f t="shared" si="20"/>
        <v/>
      </c>
      <c r="J235" s="301" t="str">
        <f t="shared" si="21"/>
        <v/>
      </c>
      <c r="K235" s="301" t="str">
        <f t="shared" si="22"/>
        <v/>
      </c>
      <c r="L235" s="344" t="str">
        <f t="array" ref="L235">IF($T235="","",LET(m,MATCH($T235,$AS$24:$AS$700,0),lvl,INDEX($W$24:$W$700,m),id,INDEX($X$24:$X$700,m),SWITCH(lvl,3,"Lớp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5" s="351" t="str">
        <f t="shared" si="23"/>
        <v/>
      </c>
      <c r="N235" s="356" t="str">
        <f t="shared" si="24"/>
        <v/>
      </c>
      <c r="O235" s="358"/>
      <c r="P235" s="360"/>
      <c r="Q235" s="360"/>
      <c r="R235" s="67"/>
      <c r="S235" s="67"/>
      <c r="T235" s="67"/>
      <c r="U235" s="389" t="str">
        <f>IF('Lớp 5 - Phân công'!I46="","",'Lớp 5 - Phân công'!K46&amp;"|"&amp;'Lớp 5 - Phân công'!J46&amp;"|"&amp;'Lớp 5 - Phân công'!I46)</f>
        <v>HHL3CT03|HHL4DL07|HHL5DL07-03</v>
      </c>
      <c r="V235" s="389" t="str">
        <f>IF('Lớp 5 - Phân công'!I46="","","       ├─ "&amp;'Lớp 5 - Phân công'!Q46)</f>
        <v>       ├─ Đào tạo phần mềm</v>
      </c>
      <c r="W235" s="389">
        <f>IF('Lớp 5 - Phân công'!I46="","",5)</f>
        <v>5</v>
      </c>
      <c r="X235" s="67" t="str">
        <f>'Lớp 5 - Phân công'!I46</f>
        <v>HHL5DL07-03</v>
      </c>
      <c r="Y235" s="67" t="str">
        <f>'Lớp 5 - Phân công'!J46</f>
        <v>HHL4DL07</v>
      </c>
      <c r="Z235" s="67" t="str">
        <f>'Lớp 5 - Phân công'!AA46</f>
        <v>Em Đại</v>
      </c>
      <c r="AA235" s="67" t="str">
        <f>'Lớp 5 - Phân công'!Z46</f>
        <v>Dữ liệu điều hành</v>
      </c>
      <c r="AB235" s="67" t="str">
        <f>'Lớp 5 - Phân công'!AC46</f>
        <v>P2</v>
      </c>
      <c r="AC235" s="67" t="str">
        <f>'Lớp 5 - Phân công'!AB46</f>
        <v>Chưa bắt đầu</v>
      </c>
      <c r="AD235" s="398">
        <f>'Lớp 5 - Phân công'!AG46</f>
        <v>0</v>
      </c>
      <c r="AE235" s="358">
        <f>'Lớp 5 - Phân công'!AE46</f>
        <v>46254</v>
      </c>
      <c r="AF235" s="187">
        <f>'Lớp 5 - Phân công'!AH46</f>
        <v>0</v>
      </c>
      <c r="AG235" s="104">
        <f>'Lớp 5 - Phân công'!AI46</f>
        <v>24</v>
      </c>
      <c r="AH235" s="389">
        <f t="shared" si="27"/>
        <v>24</v>
      </c>
      <c r="AI235" s="389" t="str">
        <f t="shared" si="37"/>
        <v>🟢 Theo kế hoạch</v>
      </c>
      <c r="AJ235" s="67" t="str">
        <f>'Lớp 5 - Phân công'!AL46</f>
        <v>Bình thường – tổng 0.0/8.0 giờ/ngày</v>
      </c>
      <c r="AS235" s="389" t="str">
        <f t="shared" si="217"/>
        <v>03.07.03</v>
      </c>
      <c r="AT235" s="389" t="str">
        <f t="shared" si="32"/>
        <v/>
      </c>
      <c r="AU235" s="389" t="str">
        <f t="shared" si="33"/>
        <v/>
      </c>
      <c r="AV235" s="389" t="str">
        <f t="shared" si="34"/>
        <v>Đào tạo phần mềm</v>
      </c>
      <c r="AW235" s="389" t="str">
        <f t="shared" si="35"/>
        <v/>
      </c>
      <c r="AX235" s="67" t="str">
        <f t="shared" ref="AX235:BH235" si="249">Z235</f>
        <v>Em Đại</v>
      </c>
      <c r="AY235" s="67" t="str">
        <f t="shared" si="249"/>
        <v>Dữ liệu điều hành</v>
      </c>
      <c r="AZ235" s="67" t="str">
        <f t="shared" si="249"/>
        <v>P2</v>
      </c>
      <c r="BA235" s="67" t="str">
        <f t="shared" si="249"/>
        <v>Chưa bắt đầu</v>
      </c>
      <c r="BB235" s="398">
        <f t="shared" si="249"/>
        <v>0</v>
      </c>
      <c r="BC235" s="358">
        <f t="shared" si="249"/>
        <v>46254</v>
      </c>
      <c r="BD235" s="187">
        <f t="shared" si="249"/>
        <v>0</v>
      </c>
      <c r="BE235" s="104">
        <f t="shared" si="249"/>
        <v>24</v>
      </c>
      <c r="BF235" s="389">
        <f t="shared" si="249"/>
        <v>24</v>
      </c>
      <c r="BG235" s="389" t="str">
        <f t="shared" si="249"/>
        <v>🟢 Theo kế hoạch</v>
      </c>
      <c r="BH235" s="67" t="str">
        <f t="shared" si="249"/>
        <v>Bình thường – tổng 0.0/8.0 giờ/ngày</v>
      </c>
      <c r="BI235" s="389">
        <f t="array" ref="BI235">IF($X235="","",SWITCH($W235,3,IFERROR(INDEX('Lớp 3 - Công việc chính'!$AF$14:$AF$73,MATCH($X235,'Lớp 3 - Công việc chính'!$I$14:$I$73,0)),""),4,IFERROR(INDEX('Lớp 4 - Danh mục'!$AI$14:$AI$132,MATCH($X235,'Lớp 4 - Danh mục'!$I$14:$I$132,0)),""),5,IFERROR(INDEX('Lớp 5 - Phân công'!$AJ$14:$AJ$262,MATCH($X235,'Lớp 5 - Phân công'!$I$14:$I$262,0)),""),6,IFERROR(INDEX('Lớp 6 - Chi tiết'!$AM$14:$AM$267,MATCH($X235,'Lớp 6 - Chi tiết'!$I$14:$I$267,0)),""),""))</f>
        <v>0.8</v>
      </c>
      <c r="BJ235" s="389" t="str">
        <f t="array" ref="BJ235">IF($X235="","",SWITCH($W235,3,IFERROR(INDEX('Lớp 3 - Công việc chính'!$AR$14:$AR$73,MATCH($X235,'Lớp 3 - Công việc chính'!$I$14:$I$73,0)),""),4,IFERROR(INDEX('Lớp 4 - Danh mục'!$AU$14:$AU$132,MATCH($X235,'Lớp 4 - Danh mục'!$I$14:$I$132,0)),""),5,IFERROR(INDEX('Lớp 5 - Phân công'!$AV$14:$AV$262,MATCH($X235,'Lớp 5 - Phân công'!$I$14:$I$262,0)),""),6,IFERROR(INDEX('Lớp 6 - Chi tiết'!$AY$14:$AY$267,MATCH($X235,'Lớp 6 - Chi tiết'!$I$14:$I$267,0)),""),""))</f>
        <v>Thiếu 116.0 giờ/tuần</v>
      </c>
    </row>
    <row r="236" ht="15.75" customHeight="1">
      <c r="A236" s="294" t="str">
        <f t="shared" si="12"/>
        <v/>
      </c>
      <c r="B236" s="301" t="str">
        <f t="shared" si="13"/>
        <v/>
      </c>
      <c r="C236" s="301" t="str">
        <f t="shared" si="14"/>
        <v/>
      </c>
      <c r="D236" s="301" t="str">
        <f t="shared" si="15"/>
        <v/>
      </c>
      <c r="E236" s="301" t="str">
        <f t="shared" si="16"/>
        <v/>
      </c>
      <c r="F236" s="317" t="str">
        <f t="shared" si="17"/>
        <v/>
      </c>
      <c r="G236" s="323" t="str">
        <f t="shared" si="18"/>
        <v/>
      </c>
      <c r="H236" s="327" t="str">
        <f t="shared" si="19"/>
        <v/>
      </c>
      <c r="I236" s="327" t="str">
        <f t="shared" si="20"/>
        <v/>
      </c>
      <c r="J236" s="301" t="str">
        <f t="shared" si="21"/>
        <v/>
      </c>
      <c r="K236" s="301" t="str">
        <f t="shared" si="22"/>
        <v/>
      </c>
      <c r="L236" s="344" t="str">
        <f t="array" ref="L236">IF($T236="","",LET(m,MATCH($T236,$AS$24:$AS$700,0),lvl,INDEX($W$24:$W$700,m),id,INDEX($X$24:$X$700,m),SWITCH(lvl,3,"Lớp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6" s="351" t="str">
        <f t="shared" si="23"/>
        <v/>
      </c>
      <c r="N236" s="356" t="str">
        <f t="shared" si="24"/>
        <v/>
      </c>
      <c r="O236" s="358"/>
      <c r="P236" s="360"/>
      <c r="Q236" s="360"/>
      <c r="R236" s="67"/>
      <c r="S236" s="67"/>
      <c r="T236" s="67"/>
      <c r="U236" s="389" t="str">
        <f>IF('Lớp 5 - Phân công'!I47="","",'Lớp 5 - Phân công'!K47&amp;"|"&amp;'Lớp 5 - Phân công'!J47&amp;"|"&amp;'Lớp 5 - Phân công'!I47)</f>
        <v>HHL3CT03|HHL4DL07|HHL5DL07-04</v>
      </c>
      <c r="V236" s="389" t="str">
        <f>IF('Lớp 5 - Phân công'!I47="","","       ├─ "&amp;'Lớp 5 - Phân công'!Q47)</f>
        <v>       ├─ Chạy thử nghiệm bottom-up Total bằng phần mềm</v>
      </c>
      <c r="W236" s="389">
        <f>IF('Lớp 5 - Phân công'!I47="","",5)</f>
        <v>5</v>
      </c>
      <c r="X236" s="67" t="str">
        <f>'Lớp 5 - Phân công'!I47</f>
        <v>HHL5DL07-04</v>
      </c>
      <c r="Y236" s="67" t="str">
        <f>'Lớp 5 - Phân công'!J47</f>
        <v>HHL4DL07</v>
      </c>
      <c r="Z236" s="67" t="str">
        <f>'Lớp 5 - Phân công'!AA47</f>
        <v>Em Đại</v>
      </c>
      <c r="AA236" s="67" t="str">
        <f>'Lớp 5 - Phân công'!Z47</f>
        <v>Dữ liệu điều hành</v>
      </c>
      <c r="AB236" s="67" t="str">
        <f>'Lớp 5 - Phân công'!AC47</f>
        <v>P2</v>
      </c>
      <c r="AC236" s="67" t="str">
        <f>'Lớp 5 - Phân công'!AB47</f>
        <v>Đã lên lịch</v>
      </c>
      <c r="AD236" s="398" t="str">
        <f>'Lớp 5 - Phân công'!AG47</f>
        <v/>
      </c>
      <c r="AE236" s="358">
        <f>'Lớp 5 - Phân công'!AE47</f>
        <v>46317</v>
      </c>
      <c r="AF236" s="187">
        <f>'Lớp 5 - Phân công'!AH47</f>
        <v>2</v>
      </c>
      <c r="AG236" s="104">
        <f>'Lớp 5 - Phân công'!AI47</f>
        <v>16</v>
      </c>
      <c r="AH236" s="389">
        <f t="shared" si="27"/>
        <v>16</v>
      </c>
      <c r="AI236" s="389" t="str">
        <f t="shared" si="37"/>
        <v>🟢 Theo kế hoạch</v>
      </c>
      <c r="AJ236" s="67" t="str">
        <f>'Lớp 5 - Phân công'!AL47</f>
        <v>Bình thường – tổng 4.8/8.0 giờ/ngày</v>
      </c>
      <c r="AS236" s="389" t="str">
        <f t="shared" si="217"/>
        <v>03.07.04</v>
      </c>
      <c r="AT236" s="389" t="str">
        <f t="shared" si="32"/>
        <v/>
      </c>
      <c r="AU236" s="389" t="str">
        <f t="shared" si="33"/>
        <v/>
      </c>
      <c r="AV236" s="389" t="str">
        <f t="shared" si="34"/>
        <v>Chạy thử nghiệm bottom-up Total bằng phần mềm</v>
      </c>
      <c r="AW236" s="389" t="str">
        <f t="shared" si="35"/>
        <v/>
      </c>
      <c r="AX236" s="67" t="str">
        <f t="shared" ref="AX236:BH236" si="250">Z236</f>
        <v>Em Đại</v>
      </c>
      <c r="AY236" s="67" t="str">
        <f t="shared" si="250"/>
        <v>Dữ liệu điều hành</v>
      </c>
      <c r="AZ236" s="67" t="str">
        <f t="shared" si="250"/>
        <v>P2</v>
      </c>
      <c r="BA236" s="67" t="str">
        <f t="shared" si="250"/>
        <v>Đã lên lịch</v>
      </c>
      <c r="BB236" s="398" t="str">
        <f t="shared" si="250"/>
        <v/>
      </c>
      <c r="BC236" s="358">
        <f t="shared" si="250"/>
        <v>46317</v>
      </c>
      <c r="BD236" s="187">
        <f t="shared" si="250"/>
        <v>2</v>
      </c>
      <c r="BE236" s="104">
        <f t="shared" si="250"/>
        <v>16</v>
      </c>
      <c r="BF236" s="389">
        <f t="shared" si="250"/>
        <v>16</v>
      </c>
      <c r="BG236" s="389" t="str">
        <f t="shared" si="250"/>
        <v>🟢 Theo kế hoạch</v>
      </c>
      <c r="BH236" s="67" t="str">
        <f t="shared" si="250"/>
        <v>Bình thường – tổng 4.8/8.0 giờ/ngày</v>
      </c>
      <c r="BI236" s="389">
        <f t="array" ref="BI236">IF($X236="","",SWITCH($W236,3,IFERROR(INDEX('Lớp 3 - Công việc chính'!$AF$14:$AF$73,MATCH($X236,'Lớp 3 - Công việc chính'!$I$14:$I$73,0)),""),4,IFERROR(INDEX('Lớp 4 - Danh mục'!$AI$14:$AI$132,MATCH($X236,'Lớp 4 - Danh mục'!$I$14:$I$132,0)),""),5,IFERROR(INDEX('Lớp 5 - Phân công'!$AJ$14:$AJ$262,MATCH($X236,'Lớp 5 - Phân công'!$I$14:$I$262,0)),""),6,IFERROR(INDEX('Lớp 6 - Chi tiết'!$AM$14:$AM$267,MATCH($X236,'Lớp 6 - Chi tiết'!$I$14:$I$267,0)),""),""))</f>
        <v>0.8</v>
      </c>
      <c r="BJ236" s="389" t="str">
        <f t="array" ref="BJ236">IF($X236="","",SWITCH($W236,3,IFERROR(INDEX('Lớp 3 - Công việc chính'!$AR$14:$AR$73,MATCH($X236,'Lớp 3 - Công việc chính'!$I$14:$I$73,0)),""),4,IFERROR(INDEX('Lớp 4 - Danh mục'!$AU$14:$AU$132,MATCH($X236,'Lớp 4 - Danh mục'!$I$14:$I$132,0)),""),5,IFERROR(INDEX('Lớp 5 - Phân công'!$AV$14:$AV$262,MATCH($X236,'Lớp 5 - Phân công'!$I$14:$I$262,0)),""),6,IFERROR(INDEX('Lớp 6 - Chi tiết'!$AY$14:$AY$267,MATCH($X236,'Lớp 6 - Chi tiết'!$I$14:$I$267,0)),""),""))</f>
        <v>Thiếu 36.0 giờ/tuần</v>
      </c>
    </row>
    <row r="237" ht="15.75" customHeight="1">
      <c r="A237" s="294" t="str">
        <f t="shared" si="12"/>
        <v/>
      </c>
      <c r="B237" s="301" t="str">
        <f t="shared" si="13"/>
        <v/>
      </c>
      <c r="C237" s="301" t="str">
        <f t="shared" si="14"/>
        <v/>
      </c>
      <c r="D237" s="301" t="str">
        <f t="shared" si="15"/>
        <v/>
      </c>
      <c r="E237" s="301" t="str">
        <f t="shared" si="16"/>
        <v/>
      </c>
      <c r="F237" s="317" t="str">
        <f t="shared" si="17"/>
        <v/>
      </c>
      <c r="G237" s="323" t="str">
        <f t="shared" si="18"/>
        <v/>
      </c>
      <c r="H237" s="327" t="str">
        <f t="shared" si="19"/>
        <v/>
      </c>
      <c r="I237" s="327" t="str">
        <f t="shared" si="20"/>
        <v/>
      </c>
      <c r="J237" s="301" t="str">
        <f t="shared" si="21"/>
        <v/>
      </c>
      <c r="K237" s="301" t="str">
        <f t="shared" si="22"/>
        <v/>
      </c>
      <c r="L237" s="344" t="str">
        <f t="array" ref="L237">IF($T237="","",LET(m,MATCH($T237,$AS$24:$AS$700,0),lvl,INDEX($W$24:$W$700,m),id,INDEX($X$24:$X$700,m),SWITCH(lvl,3,"Lớp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7" s="351" t="str">
        <f t="shared" si="23"/>
        <v/>
      </c>
      <c r="N237" s="356" t="str">
        <f t="shared" si="24"/>
        <v/>
      </c>
      <c r="O237" s="358"/>
      <c r="P237" s="360"/>
      <c r="Q237" s="360"/>
      <c r="R237" s="67"/>
      <c r="S237" s="67"/>
      <c r="T237" s="67"/>
      <c r="U237" s="389" t="str">
        <f>IF('Lớp 5 - Phân công'!I48="","",'Lớp 5 - Phân công'!K48&amp;"|"&amp;'Lớp 5 - Phân công'!J48&amp;"|"&amp;'Lớp 5 - Phân công'!I48)</f>
        <v>HHL3CT03|HHL4DL07|HHL5DL07-05</v>
      </c>
      <c r="V237" s="389" t="str">
        <f>IF('Lớp 5 - Phân công'!I48="","","       ├─ "&amp;'Lớp 5 - Phân công'!Q48)</f>
        <v>       ├─ Chốt số KH V1 2027 Total</v>
      </c>
      <c r="W237" s="389">
        <f>IF('Lớp 5 - Phân công'!I48="","",5)</f>
        <v>5</v>
      </c>
      <c r="X237" s="67" t="str">
        <f>'Lớp 5 - Phân công'!I48</f>
        <v>HHL5DL07-05</v>
      </c>
      <c r="Y237" s="67" t="str">
        <f>'Lớp 5 - Phân công'!J48</f>
        <v>HHL4DL07</v>
      </c>
      <c r="Z237" s="67" t="str">
        <f>'Lớp 5 - Phân công'!AA48</f>
        <v>Em Đại</v>
      </c>
      <c r="AA237" s="67" t="str">
        <f>'Lớp 5 - Phân công'!Z48</f>
        <v>Dữ liệu điều hành</v>
      </c>
      <c r="AB237" s="67" t="str">
        <f>'Lớp 5 - Phân công'!AC48</f>
        <v>P2</v>
      </c>
      <c r="AC237" s="67" t="str">
        <f>'Lớp 5 - Phân công'!AB48</f>
        <v>Đã lên lịch</v>
      </c>
      <c r="AD237" s="398" t="str">
        <f>'Lớp 5 - Phân công'!AG48</f>
        <v/>
      </c>
      <c r="AE237" s="358">
        <f>'Lớp 5 - Phân công'!AE48</f>
        <v>46331</v>
      </c>
      <c r="AF237" s="187">
        <f>'Lớp 5 - Phân công'!AH48</f>
        <v>12</v>
      </c>
      <c r="AG237" s="104">
        <f>'Lớp 5 - Phân công'!AI48</f>
        <v>16</v>
      </c>
      <c r="AH237" s="389">
        <f t="shared" si="27"/>
        <v>16</v>
      </c>
      <c r="AI237" s="389" t="str">
        <f t="shared" si="37"/>
        <v>🟢 Theo kế hoạch</v>
      </c>
      <c r="AJ237" s="67" t="str">
        <f>'Lớp 5 - Phân công'!AL48</f>
        <v>Bình thường – tổng 4.8/8.0 giờ/ngày</v>
      </c>
      <c r="AS237" s="389" t="str">
        <f t="shared" si="217"/>
        <v>03.07.05</v>
      </c>
      <c r="AT237" s="389" t="str">
        <f t="shared" si="32"/>
        <v/>
      </c>
      <c r="AU237" s="389" t="str">
        <f t="shared" si="33"/>
        <v/>
      </c>
      <c r="AV237" s="389" t="str">
        <f t="shared" si="34"/>
        <v>Chốt số KH V1 2027 Total</v>
      </c>
      <c r="AW237" s="389" t="str">
        <f t="shared" si="35"/>
        <v/>
      </c>
      <c r="AX237" s="67" t="str">
        <f t="shared" ref="AX237:BH237" si="251">Z237</f>
        <v>Em Đại</v>
      </c>
      <c r="AY237" s="67" t="str">
        <f t="shared" si="251"/>
        <v>Dữ liệu điều hành</v>
      </c>
      <c r="AZ237" s="67" t="str">
        <f t="shared" si="251"/>
        <v>P2</v>
      </c>
      <c r="BA237" s="67" t="str">
        <f t="shared" si="251"/>
        <v>Đã lên lịch</v>
      </c>
      <c r="BB237" s="398" t="str">
        <f t="shared" si="251"/>
        <v/>
      </c>
      <c r="BC237" s="358">
        <f t="shared" si="251"/>
        <v>46331</v>
      </c>
      <c r="BD237" s="187">
        <f t="shared" si="251"/>
        <v>12</v>
      </c>
      <c r="BE237" s="104">
        <f t="shared" si="251"/>
        <v>16</v>
      </c>
      <c r="BF237" s="389">
        <f t="shared" si="251"/>
        <v>16</v>
      </c>
      <c r="BG237" s="389" t="str">
        <f t="shared" si="251"/>
        <v>🟢 Theo kế hoạch</v>
      </c>
      <c r="BH237" s="67" t="str">
        <f t="shared" si="251"/>
        <v>Bình thường – tổng 4.8/8.0 giờ/ngày</v>
      </c>
      <c r="BI237" s="389">
        <f t="array" ref="BI237">IF($X237="","",SWITCH($W237,3,IFERROR(INDEX('Lớp 3 - Công việc chính'!$AF$14:$AF$73,MATCH($X237,'Lớp 3 - Công việc chính'!$I$14:$I$73,0)),""),4,IFERROR(INDEX('Lớp 4 - Danh mục'!$AI$14:$AI$132,MATCH($X237,'Lớp 4 - Danh mục'!$I$14:$I$132,0)),""),5,IFERROR(INDEX('Lớp 5 - Phân công'!$AJ$14:$AJ$262,MATCH($X237,'Lớp 5 - Phân công'!$I$14:$I$262,0)),""),6,IFERROR(INDEX('Lớp 6 - Chi tiết'!$AM$14:$AM$267,MATCH($X237,'Lớp 6 - Chi tiết'!$I$14:$I$267,0)),""),""))</f>
        <v>0.8</v>
      </c>
      <c r="BJ237" s="389" t="str">
        <f t="array" ref="BJ237">IF($X237="","",SWITCH($W237,3,IFERROR(INDEX('Lớp 3 - Công việc chính'!$AR$14:$AR$73,MATCH($X237,'Lớp 3 - Công việc chính'!$I$14:$I$73,0)),""),4,IFERROR(INDEX('Lớp 4 - Danh mục'!$AU$14:$AU$132,MATCH($X237,'Lớp 4 - Danh mục'!$I$14:$I$132,0)),""),5,IFERROR(INDEX('Lớp 5 - Phân công'!$AV$14:$AV$262,MATCH($X237,'Lớp 5 - Phân công'!$I$14:$I$262,0)),""),6,IFERROR(INDEX('Lớp 6 - Chi tiết'!$AY$14:$AY$267,MATCH($X237,'Lớp 6 - Chi tiết'!$I$14:$I$267,0)),""),""))</f>
        <v>Thiếu 2.7 giờ/tuần</v>
      </c>
    </row>
    <row r="238" ht="15.75" customHeight="1">
      <c r="A238" s="294" t="str">
        <f t="shared" si="12"/>
        <v/>
      </c>
      <c r="B238" s="301" t="str">
        <f t="shared" si="13"/>
        <v/>
      </c>
      <c r="C238" s="301" t="str">
        <f t="shared" si="14"/>
        <v/>
      </c>
      <c r="D238" s="301" t="str">
        <f t="shared" si="15"/>
        <v/>
      </c>
      <c r="E238" s="301" t="str">
        <f t="shared" si="16"/>
        <v/>
      </c>
      <c r="F238" s="317" t="str">
        <f t="shared" si="17"/>
        <v/>
      </c>
      <c r="G238" s="323" t="str">
        <f t="shared" si="18"/>
        <v/>
      </c>
      <c r="H238" s="327" t="str">
        <f t="shared" si="19"/>
        <v/>
      </c>
      <c r="I238" s="327" t="str">
        <f t="shared" si="20"/>
        <v/>
      </c>
      <c r="J238" s="301" t="str">
        <f t="shared" si="21"/>
        <v/>
      </c>
      <c r="K238" s="301" t="str">
        <f t="shared" si="22"/>
        <v/>
      </c>
      <c r="L238" s="344" t="str">
        <f t="array" ref="L238">IF($T238="","",LET(m,MATCH($T238,$AS$24:$AS$700,0),lvl,INDEX($W$24:$W$700,m),id,INDEX($X$24:$X$700,m),SWITCH(lvl,3,"Lớp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8" s="351" t="str">
        <f t="shared" si="23"/>
        <v/>
      </c>
      <c r="N238" s="356" t="str">
        <f t="shared" si="24"/>
        <v/>
      </c>
      <c r="O238" s="358"/>
      <c r="P238" s="360"/>
      <c r="Q238" s="360"/>
      <c r="R238" s="67"/>
      <c r="S238" s="67"/>
      <c r="T238" s="67"/>
      <c r="U238" s="389" t="str">
        <f>IF('Lớp 5 - Phân công'!I49="","",'Lớp 5 - Phân công'!K49&amp;"|"&amp;'Lớp 5 - Phân công'!J49&amp;"|"&amp;'Lớp 5 - Phân công'!I49)</f>
        <v>#REF!</v>
      </c>
      <c r="V238" s="389" t="str">
        <f>IF('Lớp 5 - Phân công'!I49="","","       ├─ "&amp;'Lớp 5 - Phân công'!Q49)</f>
        <v>#REF!</v>
      </c>
      <c r="W238" s="389" t="str">
        <f>IF('Lớp 5 - Phân công'!I49="","",5)</f>
        <v>#REF!</v>
      </c>
      <c r="X238" s="67" t="str">
        <f>'Lớp 5 - Phân công'!I49</f>
        <v>#REF!</v>
      </c>
      <c r="Y238" s="67" t="str">
        <f>'Lớp 5 - Phân công'!J49</f>
        <v>#REF!</v>
      </c>
      <c r="Z238" s="67" t="str">
        <f>'Lớp 5 - Phân công'!AA49</f>
        <v>#REF!</v>
      </c>
      <c r="AA238" s="67" t="str">
        <f>'Lớp 5 - Phân công'!Z49</f>
        <v/>
      </c>
      <c r="AB238" s="67" t="str">
        <f>'Lớp 5 - Phân công'!AC49</f>
        <v>#REF!</v>
      </c>
      <c r="AC238" s="67" t="str">
        <f>'Lớp 5 - Phân công'!AB49</f>
        <v>#REF!</v>
      </c>
      <c r="AD238" s="398" t="str">
        <f>'Lớp 5 - Phân công'!AG49</f>
        <v>#REF!</v>
      </c>
      <c r="AE238" s="358" t="str">
        <f>'Lớp 5 - Phân công'!AE49</f>
        <v>#REF!</v>
      </c>
      <c r="AF238" s="187" t="str">
        <f>'Lớp 5 - Phân công'!AH49</f>
        <v>#REF!</v>
      </c>
      <c r="AG238" s="104" t="str">
        <f>'Lớp 5 - Phân công'!AI49</f>
        <v>#REF!</v>
      </c>
      <c r="AH238" s="389" t="str">
        <f t="shared" si="27"/>
        <v>#REF!</v>
      </c>
      <c r="AI238" s="389" t="str">
        <f t="shared" si="37"/>
        <v>#REF!</v>
      </c>
      <c r="AJ238" s="67" t="str">
        <f>'Lớp 5 - Phân công'!AL49</f>
        <v>#REF!</v>
      </c>
      <c r="AS238" s="389" t="str">
        <f t="shared" si="217"/>
        <v>#REF!</v>
      </c>
      <c r="AT238" s="389" t="str">
        <f t="shared" si="32"/>
        <v>#REF!</v>
      </c>
      <c r="AU238" s="389" t="str">
        <f t="shared" si="33"/>
        <v>#REF!</v>
      </c>
      <c r="AV238" s="389" t="str">
        <f t="shared" si="34"/>
        <v>#REF!</v>
      </c>
      <c r="AW238" s="389" t="str">
        <f t="shared" si="35"/>
        <v>#REF!</v>
      </c>
      <c r="AX238" s="67" t="str">
        <f t="shared" ref="AX238:BH238" si="252">Z238</f>
        <v>#REF!</v>
      </c>
      <c r="AY238" s="67" t="str">
        <f t="shared" si="252"/>
        <v/>
      </c>
      <c r="AZ238" s="67" t="str">
        <f t="shared" si="252"/>
        <v>#REF!</v>
      </c>
      <c r="BA238" s="67" t="str">
        <f t="shared" si="252"/>
        <v>#REF!</v>
      </c>
      <c r="BB238" s="398" t="str">
        <f t="shared" si="252"/>
        <v>#REF!</v>
      </c>
      <c r="BC238" s="358" t="str">
        <f t="shared" si="252"/>
        <v>#REF!</v>
      </c>
      <c r="BD238" s="187" t="str">
        <f t="shared" si="252"/>
        <v>#REF!</v>
      </c>
      <c r="BE238" s="104" t="str">
        <f t="shared" si="252"/>
        <v>#REF!</v>
      </c>
      <c r="BF238" s="389" t="str">
        <f t="shared" si="252"/>
        <v>#REF!</v>
      </c>
      <c r="BG238" s="389" t="str">
        <f t="shared" si="252"/>
        <v>#REF!</v>
      </c>
      <c r="BH238" s="67" t="str">
        <f t="shared" si="252"/>
        <v>#REF!</v>
      </c>
      <c r="BI238" s="389" t="str">
        <f t="array" ref="BI238">IF($X238="","",SWITCH($W238,3,IFERROR(INDEX('Lớp 3 - Công việc chính'!$AF$14:$AF$73,MATCH($X238,'Lớp 3 - Công việc chính'!$I$14:$I$73,0)),""),4,IFERROR(INDEX('Lớp 4 - Danh mục'!$AI$14:$AI$132,MATCH($X238,'Lớp 4 - Danh mục'!$I$14:$I$132,0)),""),5,IFERROR(INDEX('Lớp 5 - Phân công'!$AJ$14:$AJ$262,MATCH($X238,'Lớp 5 - Phân công'!$I$14:$I$262,0)),""),6,IFERROR(INDEX('Lớp 6 - Chi tiết'!$AM$14:$AM$267,MATCH($X238,'Lớp 6 - Chi tiết'!$I$14:$I$267,0)),""),""))</f>
        <v>#REF!</v>
      </c>
      <c r="BJ238" s="389" t="str">
        <f t="array" ref="BJ238">IF($X238="","",SWITCH($W238,3,IFERROR(INDEX('Lớp 3 - Công việc chính'!$AR$14:$AR$73,MATCH($X238,'Lớp 3 - Công việc chính'!$I$14:$I$73,0)),""),4,IFERROR(INDEX('Lớp 4 - Danh mục'!$AU$14:$AU$132,MATCH($X238,'Lớp 4 - Danh mục'!$I$14:$I$132,0)),""),5,IFERROR(INDEX('Lớp 5 - Phân công'!$AV$14:$AV$262,MATCH($X238,'Lớp 5 - Phân công'!$I$14:$I$262,0)),""),6,IFERROR(INDEX('Lớp 6 - Chi tiết'!$AY$14:$AY$267,MATCH($X238,'Lớp 6 - Chi tiết'!$I$14:$I$267,0)),""),""))</f>
        <v>#REF!</v>
      </c>
    </row>
    <row r="239" ht="15.75" customHeight="1">
      <c r="A239" s="294" t="str">
        <f t="shared" si="12"/>
        <v/>
      </c>
      <c r="B239" s="301" t="str">
        <f t="shared" si="13"/>
        <v/>
      </c>
      <c r="C239" s="301" t="str">
        <f t="shared" si="14"/>
        <v/>
      </c>
      <c r="D239" s="301" t="str">
        <f t="shared" si="15"/>
        <v/>
      </c>
      <c r="E239" s="301" t="str">
        <f t="shared" si="16"/>
        <v/>
      </c>
      <c r="F239" s="317" t="str">
        <f t="shared" si="17"/>
        <v/>
      </c>
      <c r="G239" s="323" t="str">
        <f t="shared" si="18"/>
        <v/>
      </c>
      <c r="H239" s="327" t="str">
        <f t="shared" si="19"/>
        <v/>
      </c>
      <c r="I239" s="327" t="str">
        <f t="shared" si="20"/>
        <v/>
      </c>
      <c r="J239" s="301" t="str">
        <f t="shared" si="21"/>
        <v/>
      </c>
      <c r="K239" s="301" t="str">
        <f t="shared" si="22"/>
        <v/>
      </c>
      <c r="L239" s="344" t="str">
        <f t="array" ref="L239">IF($T239="","",LET(m,MATCH($T239,$AS$24:$AS$700,0),lvl,INDEX($W$24:$W$700,m),id,INDEX($X$24:$X$700,m),SWITCH(lvl,3,"Lớp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39" s="351" t="str">
        <f t="shared" si="23"/>
        <v/>
      </c>
      <c r="N239" s="356" t="str">
        <f t="shared" si="24"/>
        <v/>
      </c>
      <c r="O239" s="358"/>
      <c r="P239" s="360"/>
      <c r="Q239" s="360"/>
      <c r="R239" s="67"/>
      <c r="S239" s="67"/>
      <c r="T239" s="67"/>
      <c r="U239" s="389" t="str">
        <f>IF('Lớp 5 - Phân công'!I50="","",'Lớp 5 - Phân công'!K50&amp;"|"&amp;'Lớp 5 - Phân công'!J50&amp;"|"&amp;'Lớp 5 - Phân công'!I50)</f>
        <v>|HHL4RD26|HHL5RD01-02</v>
      </c>
      <c r="V239" s="389" t="str">
        <f>IF('Lớp 5 - Phân công'!I50="","","       ├─ "&amp;'Lớp 5 - Phân công'!Q50)</f>
        <v>       ├─ Báo cáo phân tích nội tại hiện trạng hàng HHa SX</v>
      </c>
      <c r="W239" s="389">
        <f>IF('Lớp 5 - Phân công'!I50="","",5)</f>
        <v>5</v>
      </c>
      <c r="X239" s="67" t="str">
        <f>'Lớp 5 - Phân công'!I50</f>
        <v>HHL5RD01-02</v>
      </c>
      <c r="Y239" s="67" t="str">
        <f>'Lớp 5 - Phân công'!J50</f>
        <v>HHL4RD26</v>
      </c>
      <c r="Z239" s="67" t="str">
        <f>'Lớp 5 - Phân công'!AA50</f>
        <v/>
      </c>
      <c r="AA239" s="67" t="str">
        <f>'Lớp 5 - Phân công'!Z50</f>
        <v/>
      </c>
      <c r="AB239" s="67" t="str">
        <f>'Lớp 5 - Phân công'!AC50</f>
        <v/>
      </c>
      <c r="AC239" s="67" t="str">
        <f>'Lớp 5 - Phân công'!AB50</f>
        <v/>
      </c>
      <c r="AD239" s="398">
        <f>'Lớp 5 - Phân công'!AG50</f>
        <v>0</v>
      </c>
      <c r="AE239" s="358" t="str">
        <f>'Lớp 5 - Phân công'!AE50</f>
        <v/>
      </c>
      <c r="AF239" s="187" t="str">
        <f>'Lớp 5 - Phân công'!AH50</f>
        <v/>
      </c>
      <c r="AG239" s="104" t="str">
        <f>'Lớp 5 - Phân công'!AI50</f>
        <v/>
      </c>
      <c r="AH239" s="389" t="str">
        <f t="shared" si="27"/>
        <v/>
      </c>
      <c r="AI239" s="389" t="str">
        <f t="shared" si="37"/>
        <v>🔵 Chưa có hạn</v>
      </c>
      <c r="AJ239" s="67" t="str">
        <f>'Lớp 5 - Phân công'!AL50</f>
        <v>Chưa nhập khối lượng</v>
      </c>
      <c r="AS239" s="389" t="str">
        <f t="shared" si="217"/>
        <v>99.99.37</v>
      </c>
      <c r="AT239" s="389" t="str">
        <f t="shared" si="32"/>
        <v/>
      </c>
      <c r="AU239" s="389" t="str">
        <f t="shared" si="33"/>
        <v/>
      </c>
      <c r="AV239" s="389" t="str">
        <f t="shared" si="34"/>
        <v>Báo cáo phân tích nội tại hiện trạng hàng HHa SX</v>
      </c>
      <c r="AW239" s="389" t="str">
        <f t="shared" si="35"/>
        <v/>
      </c>
      <c r="AX239" s="67" t="str">
        <f t="shared" ref="AX239:BH239" si="253">Z239</f>
        <v/>
      </c>
      <c r="AY239" s="67" t="str">
        <f t="shared" si="253"/>
        <v/>
      </c>
      <c r="AZ239" s="67" t="str">
        <f t="shared" si="253"/>
        <v/>
      </c>
      <c r="BA239" s="67" t="str">
        <f t="shared" si="253"/>
        <v/>
      </c>
      <c r="BB239" s="398">
        <f t="shared" si="253"/>
        <v>0</v>
      </c>
      <c r="BC239" s="358" t="str">
        <f t="shared" si="253"/>
        <v/>
      </c>
      <c r="BD239" s="187" t="str">
        <f t="shared" si="253"/>
        <v/>
      </c>
      <c r="BE239" s="104" t="str">
        <f t="shared" si="253"/>
        <v/>
      </c>
      <c r="BF239" s="389" t="str">
        <f t="shared" si="253"/>
        <v/>
      </c>
      <c r="BG239" s="389" t="str">
        <f t="shared" si="253"/>
        <v>🔵 Chưa có hạn</v>
      </c>
      <c r="BH239" s="67" t="str">
        <f t="shared" si="253"/>
        <v>Chưa nhập khối lượng</v>
      </c>
      <c r="BI239" s="389" t="str">
        <f t="array" ref="BI239">IF($X239="","",SWITCH($W239,3,IFERROR(INDEX('Lớp 3 - Công việc chính'!$AF$14:$AF$73,MATCH($X239,'Lớp 3 - Công việc chính'!$I$14:$I$73,0)),""),4,IFERROR(INDEX('Lớp 4 - Danh mục'!$AI$14:$AI$132,MATCH($X239,'Lớp 4 - Danh mục'!$I$14:$I$132,0)),""),5,IFERROR(INDEX('Lớp 5 - Phân công'!$AJ$14:$AJ$262,MATCH($X239,'Lớp 5 - Phân công'!$I$14:$I$262,0)),""),6,IFERROR(INDEX('Lớp 6 - Chi tiết'!$AM$14:$AM$267,MATCH($X239,'Lớp 6 - Chi tiết'!$I$14:$I$267,0)),""),""))</f>
        <v/>
      </c>
      <c r="BJ239" s="389" t="str">
        <f t="array" ref="BJ239">IF($X239="","",SWITCH($W239,3,IFERROR(INDEX('Lớp 3 - Công việc chính'!$AR$14:$AR$73,MATCH($X239,'Lớp 3 - Công việc chính'!$I$14:$I$73,0)),""),4,IFERROR(INDEX('Lớp 4 - Danh mục'!$AU$14:$AU$132,MATCH($X239,'Lớp 4 - Danh mục'!$I$14:$I$132,0)),""),5,IFERROR(INDEX('Lớp 5 - Phân công'!$AV$14:$AV$262,MATCH($X239,'Lớp 5 - Phân công'!$I$14:$I$262,0)),""),6,IFERROR(INDEX('Lớp 6 - Chi tiết'!$AY$14:$AY$267,MATCH($X239,'Lớp 6 - Chi tiết'!$I$14:$I$267,0)),""),""))</f>
        <v>Thiếu tổng giờ</v>
      </c>
    </row>
    <row r="240" ht="15.75" customHeight="1">
      <c r="A240" s="294" t="str">
        <f t="shared" si="12"/>
        <v/>
      </c>
      <c r="B240" s="301" t="str">
        <f t="shared" si="13"/>
        <v/>
      </c>
      <c r="C240" s="301" t="str">
        <f t="shared" si="14"/>
        <v/>
      </c>
      <c r="D240" s="301" t="str">
        <f t="shared" si="15"/>
        <v/>
      </c>
      <c r="E240" s="301" t="str">
        <f t="shared" si="16"/>
        <v/>
      </c>
      <c r="F240" s="317" t="str">
        <f t="shared" si="17"/>
        <v/>
      </c>
      <c r="G240" s="323" t="str">
        <f t="shared" si="18"/>
        <v/>
      </c>
      <c r="H240" s="327" t="str">
        <f t="shared" si="19"/>
        <v/>
      </c>
      <c r="I240" s="327" t="str">
        <f t="shared" si="20"/>
        <v/>
      </c>
      <c r="J240" s="301" t="str">
        <f t="shared" si="21"/>
        <v/>
      </c>
      <c r="K240" s="301" t="str">
        <f t="shared" si="22"/>
        <v/>
      </c>
      <c r="L240" s="344" t="str">
        <f t="array" ref="L240">IF($T240="","",LET(m,MATCH($T240,$AS$24:$AS$700,0),lvl,INDEX($W$24:$W$700,m),id,INDEX($X$24:$X$700,m),SWITCH(lvl,3,"Lớp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0" s="351" t="str">
        <f t="shared" si="23"/>
        <v/>
      </c>
      <c r="N240" s="356" t="str">
        <f t="shared" si="24"/>
        <v/>
      </c>
      <c r="O240" s="358"/>
      <c r="P240" s="360"/>
      <c r="Q240" s="360"/>
      <c r="R240" s="67"/>
      <c r="S240" s="67"/>
      <c r="T240" s="67"/>
      <c r="U240" s="389" t="str">
        <f>IF('Lớp 5 - Phân công'!I51="","",'Lớp 5 - Phân công'!K51&amp;"|"&amp;'Lớp 5 - Phân công'!J51&amp;"|"&amp;'Lớp 5 - Phân công'!I51)</f>
        <v>|HHL4RD26|HHL5RD01-03</v>
      </c>
      <c r="V240" s="389" t="str">
        <f>IF('Lớp 5 - Phân công'!I51="","","       ├─ "&amp;'Lớp 5 - Phân công'!Q51)</f>
        <v>       ├─ Báo cáo phân tích NLSX</v>
      </c>
      <c r="W240" s="389">
        <f>IF('Lớp 5 - Phân công'!I51="","",5)</f>
        <v>5</v>
      </c>
      <c r="X240" s="67" t="str">
        <f>'Lớp 5 - Phân công'!I51</f>
        <v>HHL5RD01-03</v>
      </c>
      <c r="Y240" s="67" t="str">
        <f>'Lớp 5 - Phân công'!J51</f>
        <v>HHL4RD26</v>
      </c>
      <c r="Z240" s="67" t="str">
        <f>'Lớp 5 - Phân công'!AA51</f>
        <v/>
      </c>
      <c r="AA240" s="67" t="str">
        <f>'Lớp 5 - Phân công'!Z51</f>
        <v/>
      </c>
      <c r="AB240" s="67" t="str">
        <f>'Lớp 5 - Phân công'!AC51</f>
        <v/>
      </c>
      <c r="AC240" s="67" t="str">
        <f>'Lớp 5 - Phân công'!AB51</f>
        <v/>
      </c>
      <c r="AD240" s="398">
        <f>'Lớp 5 - Phân công'!AG51</f>
        <v>0</v>
      </c>
      <c r="AE240" s="358" t="str">
        <f>'Lớp 5 - Phân công'!AE51</f>
        <v/>
      </c>
      <c r="AF240" s="187" t="str">
        <f>'Lớp 5 - Phân công'!AH51</f>
        <v/>
      </c>
      <c r="AG240" s="104" t="str">
        <f>'Lớp 5 - Phân công'!AI51</f>
        <v/>
      </c>
      <c r="AH240" s="389" t="str">
        <f t="shared" si="27"/>
        <v/>
      </c>
      <c r="AI240" s="389" t="str">
        <f t="shared" si="37"/>
        <v>🔵 Chưa có hạn</v>
      </c>
      <c r="AJ240" s="67" t="str">
        <f>'Lớp 5 - Phân công'!AL51</f>
        <v>Chưa nhập khối lượng</v>
      </c>
      <c r="AS240" s="389" t="str">
        <f t="shared" si="217"/>
        <v>99.99.38</v>
      </c>
      <c r="AT240" s="389" t="str">
        <f t="shared" si="32"/>
        <v/>
      </c>
      <c r="AU240" s="389" t="str">
        <f t="shared" si="33"/>
        <v/>
      </c>
      <c r="AV240" s="389" t="str">
        <f t="shared" si="34"/>
        <v>Báo cáo phân tích NLSX</v>
      </c>
      <c r="AW240" s="389" t="str">
        <f t="shared" si="35"/>
        <v/>
      </c>
      <c r="AX240" s="67" t="str">
        <f t="shared" ref="AX240:BH240" si="254">Z240</f>
        <v/>
      </c>
      <c r="AY240" s="67" t="str">
        <f t="shared" si="254"/>
        <v/>
      </c>
      <c r="AZ240" s="67" t="str">
        <f t="shared" si="254"/>
        <v/>
      </c>
      <c r="BA240" s="67" t="str">
        <f t="shared" si="254"/>
        <v/>
      </c>
      <c r="BB240" s="398">
        <f t="shared" si="254"/>
        <v>0</v>
      </c>
      <c r="BC240" s="358" t="str">
        <f t="shared" si="254"/>
        <v/>
      </c>
      <c r="BD240" s="187" t="str">
        <f t="shared" si="254"/>
        <v/>
      </c>
      <c r="BE240" s="104" t="str">
        <f t="shared" si="254"/>
        <v/>
      </c>
      <c r="BF240" s="389" t="str">
        <f t="shared" si="254"/>
        <v/>
      </c>
      <c r="BG240" s="389" t="str">
        <f t="shared" si="254"/>
        <v>🔵 Chưa có hạn</v>
      </c>
      <c r="BH240" s="67" t="str">
        <f t="shared" si="254"/>
        <v>Chưa nhập khối lượng</v>
      </c>
      <c r="BI240" s="389" t="str">
        <f t="array" ref="BI240">IF($X240="","",SWITCH($W240,3,IFERROR(INDEX('Lớp 3 - Công việc chính'!$AF$14:$AF$73,MATCH($X240,'Lớp 3 - Công việc chính'!$I$14:$I$73,0)),""),4,IFERROR(INDEX('Lớp 4 - Danh mục'!$AI$14:$AI$132,MATCH($X240,'Lớp 4 - Danh mục'!$I$14:$I$132,0)),""),5,IFERROR(INDEX('Lớp 5 - Phân công'!$AJ$14:$AJ$262,MATCH($X240,'Lớp 5 - Phân công'!$I$14:$I$262,0)),""),6,IFERROR(INDEX('Lớp 6 - Chi tiết'!$AM$14:$AM$267,MATCH($X240,'Lớp 6 - Chi tiết'!$I$14:$I$267,0)),""),""))</f>
        <v/>
      </c>
      <c r="BJ240" s="389" t="str">
        <f t="array" ref="BJ240">IF($X240="","",SWITCH($W240,3,IFERROR(INDEX('Lớp 3 - Công việc chính'!$AR$14:$AR$73,MATCH($X240,'Lớp 3 - Công việc chính'!$I$14:$I$73,0)),""),4,IFERROR(INDEX('Lớp 4 - Danh mục'!$AU$14:$AU$132,MATCH($X240,'Lớp 4 - Danh mục'!$I$14:$I$132,0)),""),5,IFERROR(INDEX('Lớp 5 - Phân công'!$AV$14:$AV$262,MATCH($X240,'Lớp 5 - Phân công'!$I$14:$I$262,0)),""),6,IFERROR(INDEX('Lớp 6 - Chi tiết'!$AY$14:$AY$267,MATCH($X240,'Lớp 6 - Chi tiết'!$I$14:$I$267,0)),""),""))</f>
        <v>Thiếu tổng giờ</v>
      </c>
    </row>
    <row r="241" ht="15.75" customHeight="1">
      <c r="A241" s="294" t="str">
        <f t="shared" si="12"/>
        <v/>
      </c>
      <c r="B241" s="301" t="str">
        <f t="shared" si="13"/>
        <v/>
      </c>
      <c r="C241" s="301" t="str">
        <f t="shared" si="14"/>
        <v/>
      </c>
      <c r="D241" s="301" t="str">
        <f t="shared" si="15"/>
        <v/>
      </c>
      <c r="E241" s="301" t="str">
        <f t="shared" si="16"/>
        <v/>
      </c>
      <c r="F241" s="317" t="str">
        <f t="shared" si="17"/>
        <v/>
      </c>
      <c r="G241" s="323" t="str">
        <f t="shared" si="18"/>
        <v/>
      </c>
      <c r="H241" s="327" t="str">
        <f t="shared" si="19"/>
        <v/>
      </c>
      <c r="I241" s="327" t="str">
        <f t="shared" si="20"/>
        <v/>
      </c>
      <c r="J241" s="301" t="str">
        <f t="shared" si="21"/>
        <v/>
      </c>
      <c r="K241" s="301" t="str">
        <f t="shared" si="22"/>
        <v/>
      </c>
      <c r="L241" s="344" t="str">
        <f t="array" ref="L241">IF($T241="","",LET(m,MATCH($T241,$AS$24:$AS$700,0),lvl,INDEX($W$24:$W$700,m),id,INDEX($X$24:$X$700,m),SWITCH(lvl,3,"Lớp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1" s="351" t="str">
        <f t="shared" si="23"/>
        <v/>
      </c>
      <c r="N241" s="356" t="str">
        <f t="shared" si="24"/>
        <v/>
      </c>
      <c r="O241" s="358"/>
      <c r="P241" s="360"/>
      <c r="Q241" s="360"/>
      <c r="R241" s="67"/>
      <c r="S241" s="67"/>
      <c r="T241" s="67"/>
      <c r="U241" s="389" t="str">
        <f>IF('Lớp 5 - Phân công'!I52="","",'Lớp 5 - Phân công'!K52&amp;"|"&amp;'Lớp 5 - Phân công'!J52&amp;"|"&amp;'Lớp 5 - Phân công'!I52)</f>
        <v/>
      </c>
      <c r="V241" s="389" t="str">
        <f>IF('Lớp 5 - Phân công'!I52="","","       ├─ "&amp;'Lớp 5 - Phân công'!Q52)</f>
        <v/>
      </c>
      <c r="W241" s="389" t="str">
        <f>IF('Lớp 5 - Phân công'!I52="","",5)</f>
        <v/>
      </c>
      <c r="X241" s="67" t="str">
        <f>'Lớp 5 - Phân công'!I52</f>
        <v/>
      </c>
      <c r="Y241" s="67" t="str">
        <f>'Lớp 5 - Phân công'!J52</f>
        <v/>
      </c>
      <c r="Z241" s="67" t="str">
        <f>'Lớp 5 - Phân công'!AA52</f>
        <v/>
      </c>
      <c r="AA241" s="67" t="str">
        <f>'Lớp 5 - Phân công'!Z52</f>
        <v/>
      </c>
      <c r="AB241" s="67" t="str">
        <f>'Lớp 5 - Phân công'!AC52</f>
        <v/>
      </c>
      <c r="AC241" s="67" t="str">
        <f>'Lớp 5 - Phân công'!AB52</f>
        <v/>
      </c>
      <c r="AD241" s="398" t="str">
        <f>'Lớp 5 - Phân công'!AG52</f>
        <v/>
      </c>
      <c r="AE241" s="358" t="str">
        <f>'Lớp 5 - Phân công'!AE52</f>
        <v/>
      </c>
      <c r="AF241" s="187" t="str">
        <f>'Lớp 5 - Phân công'!AH52</f>
        <v/>
      </c>
      <c r="AG241" s="104" t="str">
        <f>'Lớp 5 - Phân công'!AI52</f>
        <v/>
      </c>
      <c r="AH241" s="389" t="str">
        <f t="shared" si="27"/>
        <v/>
      </c>
      <c r="AI241" s="389" t="str">
        <f t="shared" si="37"/>
        <v>🔵 Chưa có hạn</v>
      </c>
      <c r="AJ241" s="67" t="str">
        <f>'Lớp 5 - Phân công'!AL52</f>
        <v/>
      </c>
      <c r="AS241" s="389" t="str">
        <f t="shared" si="217"/>
        <v/>
      </c>
      <c r="AT241" s="389" t="str">
        <f t="shared" si="32"/>
        <v/>
      </c>
      <c r="AU241" s="389" t="str">
        <f t="shared" si="33"/>
        <v/>
      </c>
      <c r="AV241" s="389" t="str">
        <f t="shared" si="34"/>
        <v/>
      </c>
      <c r="AW241" s="389" t="str">
        <f t="shared" si="35"/>
        <v/>
      </c>
      <c r="AX241" s="67" t="str">
        <f t="shared" ref="AX241:BH241" si="255">Z241</f>
        <v/>
      </c>
      <c r="AY241" s="67" t="str">
        <f t="shared" si="255"/>
        <v/>
      </c>
      <c r="AZ241" s="67" t="str">
        <f t="shared" si="255"/>
        <v/>
      </c>
      <c r="BA241" s="67" t="str">
        <f t="shared" si="255"/>
        <v/>
      </c>
      <c r="BB241" s="398" t="str">
        <f t="shared" si="255"/>
        <v/>
      </c>
      <c r="BC241" s="358" t="str">
        <f t="shared" si="255"/>
        <v/>
      </c>
      <c r="BD241" s="187" t="str">
        <f t="shared" si="255"/>
        <v/>
      </c>
      <c r="BE241" s="104" t="str">
        <f t="shared" si="255"/>
        <v/>
      </c>
      <c r="BF241" s="389" t="str">
        <f t="shared" si="255"/>
        <v/>
      </c>
      <c r="BG241" s="389" t="str">
        <f t="shared" si="255"/>
        <v>🔵 Chưa có hạn</v>
      </c>
      <c r="BH241" s="67" t="str">
        <f t="shared" si="255"/>
        <v/>
      </c>
      <c r="BI241" s="389" t="str">
        <f t="array" ref="BI241">IF($X241="","",SWITCH($W241,3,IFERROR(INDEX('Lớp 3 - Công việc chính'!$AF$14:$AF$73,MATCH($X241,'Lớp 3 - Công việc chính'!$I$14:$I$73,0)),""),4,IFERROR(INDEX('Lớp 4 - Danh mục'!$AI$14:$AI$132,MATCH($X241,'Lớp 4 - Danh mục'!$I$14:$I$132,0)),""),5,IFERROR(INDEX('Lớp 5 - Phân công'!$AJ$14:$AJ$262,MATCH($X241,'Lớp 5 - Phân công'!$I$14:$I$262,0)),""),6,IFERROR(INDEX('Lớp 6 - Chi tiết'!$AM$14:$AM$267,MATCH($X241,'Lớp 6 - Chi tiết'!$I$14:$I$267,0)),""),""))</f>
        <v/>
      </c>
      <c r="BJ241" s="389" t="str">
        <f t="array" ref="BJ241">IF($X241="","",SWITCH($W241,3,IFERROR(INDEX('Lớp 3 - Công việc chính'!$AR$14:$AR$73,MATCH($X241,'Lớp 3 - Công việc chính'!$I$14:$I$73,0)),""),4,IFERROR(INDEX('Lớp 4 - Danh mục'!$AU$14:$AU$132,MATCH($X241,'Lớp 4 - Danh mục'!$I$14:$I$132,0)),""),5,IFERROR(INDEX('Lớp 5 - Phân công'!$AV$14:$AV$262,MATCH($X241,'Lớp 5 - Phân công'!$I$14:$I$262,0)),""),6,IFERROR(INDEX('Lớp 6 - Chi tiết'!$AY$14:$AY$267,MATCH($X241,'Lớp 6 - Chi tiết'!$I$14:$I$267,0)),""),""))</f>
        <v/>
      </c>
    </row>
    <row r="242" ht="15.75" customHeight="1">
      <c r="A242" s="294" t="str">
        <f t="shared" si="12"/>
        <v/>
      </c>
      <c r="B242" s="301" t="str">
        <f t="shared" si="13"/>
        <v/>
      </c>
      <c r="C242" s="301" t="str">
        <f t="shared" si="14"/>
        <v/>
      </c>
      <c r="D242" s="301" t="str">
        <f t="shared" si="15"/>
        <v/>
      </c>
      <c r="E242" s="301" t="str">
        <f t="shared" si="16"/>
        <v/>
      </c>
      <c r="F242" s="317" t="str">
        <f t="shared" si="17"/>
        <v/>
      </c>
      <c r="G242" s="323" t="str">
        <f t="shared" si="18"/>
        <v/>
      </c>
      <c r="H242" s="327" t="str">
        <f t="shared" si="19"/>
        <v/>
      </c>
      <c r="I242" s="327" t="str">
        <f t="shared" si="20"/>
        <v/>
      </c>
      <c r="J242" s="301" t="str">
        <f t="shared" si="21"/>
        <v/>
      </c>
      <c r="K242" s="301" t="str">
        <f t="shared" si="22"/>
        <v/>
      </c>
      <c r="L242" s="344" t="str">
        <f t="array" ref="L242">IF($T242="","",LET(m,MATCH($T242,$AS$24:$AS$700,0),lvl,INDEX($W$24:$W$700,m),id,INDEX($X$24:$X$700,m),SWITCH(lvl,3,"Lớp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2" s="351" t="str">
        <f t="shared" si="23"/>
        <v/>
      </c>
      <c r="N242" s="356" t="str">
        <f t="shared" si="24"/>
        <v/>
      </c>
      <c r="O242" s="358"/>
      <c r="P242" s="360"/>
      <c r="Q242" s="360"/>
      <c r="R242" s="67"/>
      <c r="S242" s="67"/>
      <c r="T242" s="67"/>
      <c r="U242" s="389" t="str">
        <f>IF('Lớp 5 - Phân công'!I53="","",'Lớp 5 - Phân công'!K53&amp;"|"&amp;'Lớp 5 - Phân công'!J53&amp;"|"&amp;'Lớp 5 - Phân công'!I53)</f>
        <v/>
      </c>
      <c r="V242" s="389" t="str">
        <f>IF('Lớp 5 - Phân công'!I53="","","       ├─ "&amp;'Lớp 5 - Phân công'!Q53)</f>
        <v/>
      </c>
      <c r="W242" s="389" t="str">
        <f>IF('Lớp 5 - Phân công'!I53="","",5)</f>
        <v/>
      </c>
      <c r="X242" s="67" t="str">
        <f>'Lớp 5 - Phân công'!I53</f>
        <v/>
      </c>
      <c r="Y242" s="67" t="str">
        <f>'Lớp 5 - Phân công'!J53</f>
        <v/>
      </c>
      <c r="Z242" s="67" t="str">
        <f>'Lớp 5 - Phân công'!AA53</f>
        <v/>
      </c>
      <c r="AA242" s="67" t="str">
        <f>'Lớp 5 - Phân công'!Z53</f>
        <v/>
      </c>
      <c r="AB242" s="67" t="str">
        <f>'Lớp 5 - Phân công'!AC53</f>
        <v/>
      </c>
      <c r="AC242" s="67" t="str">
        <f>'Lớp 5 - Phân công'!AB53</f>
        <v/>
      </c>
      <c r="AD242" s="398" t="str">
        <f>'Lớp 5 - Phân công'!AG53</f>
        <v/>
      </c>
      <c r="AE242" s="358" t="str">
        <f>'Lớp 5 - Phân công'!AE53</f>
        <v/>
      </c>
      <c r="AF242" s="187" t="str">
        <f>'Lớp 5 - Phân công'!AH53</f>
        <v/>
      </c>
      <c r="AG242" s="104" t="str">
        <f>'Lớp 5 - Phân công'!AI53</f>
        <v/>
      </c>
      <c r="AH242" s="389" t="str">
        <f t="shared" si="27"/>
        <v/>
      </c>
      <c r="AI242" s="389" t="str">
        <f t="shared" si="37"/>
        <v>🔵 Chưa có hạn</v>
      </c>
      <c r="AJ242" s="67" t="str">
        <f>'Lớp 5 - Phân công'!AL53</f>
        <v/>
      </c>
      <c r="AS242" s="389" t="str">
        <f t="shared" si="217"/>
        <v/>
      </c>
      <c r="AT242" s="389" t="str">
        <f t="shared" si="32"/>
        <v/>
      </c>
      <c r="AU242" s="389" t="str">
        <f t="shared" si="33"/>
        <v/>
      </c>
      <c r="AV242" s="389" t="str">
        <f t="shared" si="34"/>
        <v/>
      </c>
      <c r="AW242" s="389" t="str">
        <f t="shared" si="35"/>
        <v/>
      </c>
      <c r="AX242" s="67" t="str">
        <f t="shared" ref="AX242:BH242" si="256">Z242</f>
        <v/>
      </c>
      <c r="AY242" s="67" t="str">
        <f t="shared" si="256"/>
        <v/>
      </c>
      <c r="AZ242" s="67" t="str">
        <f t="shared" si="256"/>
        <v/>
      </c>
      <c r="BA242" s="67" t="str">
        <f t="shared" si="256"/>
        <v/>
      </c>
      <c r="BB242" s="398" t="str">
        <f t="shared" si="256"/>
        <v/>
      </c>
      <c r="BC242" s="358" t="str">
        <f t="shared" si="256"/>
        <v/>
      </c>
      <c r="BD242" s="187" t="str">
        <f t="shared" si="256"/>
        <v/>
      </c>
      <c r="BE242" s="104" t="str">
        <f t="shared" si="256"/>
        <v/>
      </c>
      <c r="BF242" s="389" t="str">
        <f t="shared" si="256"/>
        <v/>
      </c>
      <c r="BG242" s="389" t="str">
        <f t="shared" si="256"/>
        <v>🔵 Chưa có hạn</v>
      </c>
      <c r="BH242" s="67" t="str">
        <f t="shared" si="256"/>
        <v/>
      </c>
      <c r="BI242" s="389" t="str">
        <f t="array" ref="BI242">IF($X242="","",SWITCH($W242,3,IFERROR(INDEX('Lớp 3 - Công việc chính'!$AF$14:$AF$73,MATCH($X242,'Lớp 3 - Công việc chính'!$I$14:$I$73,0)),""),4,IFERROR(INDEX('Lớp 4 - Danh mục'!$AI$14:$AI$132,MATCH($X242,'Lớp 4 - Danh mục'!$I$14:$I$132,0)),""),5,IFERROR(INDEX('Lớp 5 - Phân công'!$AJ$14:$AJ$262,MATCH($X242,'Lớp 5 - Phân công'!$I$14:$I$262,0)),""),6,IFERROR(INDEX('Lớp 6 - Chi tiết'!$AM$14:$AM$267,MATCH($X242,'Lớp 6 - Chi tiết'!$I$14:$I$267,0)),""),""))</f>
        <v/>
      </c>
      <c r="BJ242" s="389" t="str">
        <f t="array" ref="BJ242">IF($X242="","",SWITCH($W242,3,IFERROR(INDEX('Lớp 3 - Công việc chính'!$AR$14:$AR$73,MATCH($X242,'Lớp 3 - Công việc chính'!$I$14:$I$73,0)),""),4,IFERROR(INDEX('Lớp 4 - Danh mục'!$AU$14:$AU$132,MATCH($X242,'Lớp 4 - Danh mục'!$I$14:$I$132,0)),""),5,IFERROR(INDEX('Lớp 5 - Phân công'!$AV$14:$AV$262,MATCH($X242,'Lớp 5 - Phân công'!$I$14:$I$262,0)),""),6,IFERROR(INDEX('Lớp 6 - Chi tiết'!$AY$14:$AY$267,MATCH($X242,'Lớp 6 - Chi tiết'!$I$14:$I$267,0)),""),""))</f>
        <v/>
      </c>
    </row>
    <row r="243" ht="15.75" customHeight="1">
      <c r="A243" s="294" t="str">
        <f t="shared" si="12"/>
        <v/>
      </c>
      <c r="B243" s="301" t="str">
        <f t="shared" si="13"/>
        <v/>
      </c>
      <c r="C243" s="301" t="str">
        <f t="shared" si="14"/>
        <v/>
      </c>
      <c r="D243" s="301" t="str">
        <f t="shared" si="15"/>
        <v/>
      </c>
      <c r="E243" s="301" t="str">
        <f t="shared" si="16"/>
        <v/>
      </c>
      <c r="F243" s="317" t="str">
        <f t="shared" si="17"/>
        <v/>
      </c>
      <c r="G243" s="323" t="str">
        <f t="shared" si="18"/>
        <v/>
      </c>
      <c r="H243" s="327" t="str">
        <f t="shared" si="19"/>
        <v/>
      </c>
      <c r="I243" s="327" t="str">
        <f t="shared" si="20"/>
        <v/>
      </c>
      <c r="J243" s="301" t="str">
        <f t="shared" si="21"/>
        <v/>
      </c>
      <c r="K243" s="301" t="str">
        <f t="shared" si="22"/>
        <v/>
      </c>
      <c r="L243" s="344" t="str">
        <f t="array" ref="L243">IF($T243="","",LET(m,MATCH($T243,$AS$24:$AS$700,0),lvl,INDEX($W$24:$W$700,m),id,INDEX($X$24:$X$700,m),SWITCH(lvl,3,"Lớp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3" s="351" t="str">
        <f t="shared" si="23"/>
        <v/>
      </c>
      <c r="N243" s="356" t="str">
        <f t="shared" si="24"/>
        <v/>
      </c>
      <c r="O243" s="358"/>
      <c r="P243" s="360"/>
      <c r="Q243" s="360"/>
      <c r="R243" s="67"/>
      <c r="S243" s="67"/>
      <c r="T243" s="67"/>
      <c r="U243" s="389" t="str">
        <f>IF('Lớp 5 - Phân công'!I54="","",'Lớp 5 - Phân công'!K54&amp;"|"&amp;'Lớp 5 - Phân công'!J54&amp;"|"&amp;'Lớp 5 - Phân công'!I54)</f>
        <v/>
      </c>
      <c r="V243" s="389" t="str">
        <f>IF('Lớp 5 - Phân công'!I54="","","       ├─ "&amp;'Lớp 5 - Phân công'!Q54)</f>
        <v/>
      </c>
      <c r="W243" s="389" t="str">
        <f>IF('Lớp 5 - Phân công'!I54="","",5)</f>
        <v/>
      </c>
      <c r="X243" s="67" t="str">
        <f>'Lớp 5 - Phân công'!I54</f>
        <v/>
      </c>
      <c r="Y243" s="67" t="str">
        <f>'Lớp 5 - Phân công'!J54</f>
        <v/>
      </c>
      <c r="Z243" s="67" t="str">
        <f>'Lớp 5 - Phân công'!AA54</f>
        <v/>
      </c>
      <c r="AA243" s="67" t="str">
        <f>'Lớp 5 - Phân công'!Z54</f>
        <v/>
      </c>
      <c r="AB243" s="67" t="str">
        <f>'Lớp 5 - Phân công'!AC54</f>
        <v/>
      </c>
      <c r="AC243" s="67" t="str">
        <f>'Lớp 5 - Phân công'!AB54</f>
        <v/>
      </c>
      <c r="AD243" s="398" t="str">
        <f>'Lớp 5 - Phân công'!AG54</f>
        <v/>
      </c>
      <c r="AE243" s="358" t="str">
        <f>'Lớp 5 - Phân công'!AE54</f>
        <v/>
      </c>
      <c r="AF243" s="187" t="str">
        <f>'Lớp 5 - Phân công'!AH54</f>
        <v/>
      </c>
      <c r="AG243" s="104" t="str">
        <f>'Lớp 5 - Phân công'!AI54</f>
        <v/>
      </c>
      <c r="AH243" s="389" t="str">
        <f t="shared" si="27"/>
        <v/>
      </c>
      <c r="AI243" s="389" t="str">
        <f t="shared" si="37"/>
        <v>🔵 Chưa có hạn</v>
      </c>
      <c r="AJ243" s="67" t="str">
        <f>'Lớp 5 - Phân công'!AL54</f>
        <v/>
      </c>
      <c r="AS243" s="389" t="str">
        <f t="shared" si="217"/>
        <v/>
      </c>
      <c r="AT243" s="389" t="str">
        <f t="shared" si="32"/>
        <v/>
      </c>
      <c r="AU243" s="389" t="str">
        <f t="shared" si="33"/>
        <v/>
      </c>
      <c r="AV243" s="389" t="str">
        <f t="shared" si="34"/>
        <v/>
      </c>
      <c r="AW243" s="389" t="str">
        <f t="shared" si="35"/>
        <v/>
      </c>
      <c r="AX243" s="67" t="str">
        <f t="shared" ref="AX243:BH243" si="257">Z243</f>
        <v/>
      </c>
      <c r="AY243" s="67" t="str">
        <f t="shared" si="257"/>
        <v/>
      </c>
      <c r="AZ243" s="67" t="str">
        <f t="shared" si="257"/>
        <v/>
      </c>
      <c r="BA243" s="67" t="str">
        <f t="shared" si="257"/>
        <v/>
      </c>
      <c r="BB243" s="398" t="str">
        <f t="shared" si="257"/>
        <v/>
      </c>
      <c r="BC243" s="358" t="str">
        <f t="shared" si="257"/>
        <v/>
      </c>
      <c r="BD243" s="187" t="str">
        <f t="shared" si="257"/>
        <v/>
      </c>
      <c r="BE243" s="104" t="str">
        <f t="shared" si="257"/>
        <v/>
      </c>
      <c r="BF243" s="389" t="str">
        <f t="shared" si="257"/>
        <v/>
      </c>
      <c r="BG243" s="389" t="str">
        <f t="shared" si="257"/>
        <v>🔵 Chưa có hạn</v>
      </c>
      <c r="BH243" s="67" t="str">
        <f t="shared" si="257"/>
        <v/>
      </c>
      <c r="BI243" s="389" t="str">
        <f t="array" ref="BI243">IF($X243="","",SWITCH($W243,3,IFERROR(INDEX('Lớp 3 - Công việc chính'!$AF$14:$AF$73,MATCH($X243,'Lớp 3 - Công việc chính'!$I$14:$I$73,0)),""),4,IFERROR(INDEX('Lớp 4 - Danh mục'!$AI$14:$AI$132,MATCH($X243,'Lớp 4 - Danh mục'!$I$14:$I$132,0)),""),5,IFERROR(INDEX('Lớp 5 - Phân công'!$AJ$14:$AJ$262,MATCH($X243,'Lớp 5 - Phân công'!$I$14:$I$262,0)),""),6,IFERROR(INDEX('Lớp 6 - Chi tiết'!$AM$14:$AM$267,MATCH($X243,'Lớp 6 - Chi tiết'!$I$14:$I$267,0)),""),""))</f>
        <v/>
      </c>
      <c r="BJ243" s="389" t="str">
        <f t="array" ref="BJ243">IF($X243="","",SWITCH($W243,3,IFERROR(INDEX('Lớp 3 - Công việc chính'!$AR$14:$AR$73,MATCH($X243,'Lớp 3 - Công việc chính'!$I$14:$I$73,0)),""),4,IFERROR(INDEX('Lớp 4 - Danh mục'!$AU$14:$AU$132,MATCH($X243,'Lớp 4 - Danh mục'!$I$14:$I$132,0)),""),5,IFERROR(INDEX('Lớp 5 - Phân công'!$AV$14:$AV$262,MATCH($X243,'Lớp 5 - Phân công'!$I$14:$I$262,0)),""),6,IFERROR(INDEX('Lớp 6 - Chi tiết'!$AY$14:$AY$267,MATCH($X243,'Lớp 6 - Chi tiết'!$I$14:$I$267,0)),""),""))</f>
        <v/>
      </c>
    </row>
    <row r="244" ht="15.75" customHeight="1">
      <c r="A244" s="294" t="str">
        <f t="shared" si="12"/>
        <v/>
      </c>
      <c r="B244" s="301" t="str">
        <f t="shared" si="13"/>
        <v/>
      </c>
      <c r="C244" s="301" t="str">
        <f t="shared" si="14"/>
        <v/>
      </c>
      <c r="D244" s="301" t="str">
        <f t="shared" si="15"/>
        <v/>
      </c>
      <c r="E244" s="301" t="str">
        <f t="shared" si="16"/>
        <v/>
      </c>
      <c r="F244" s="317" t="str">
        <f t="shared" si="17"/>
        <v/>
      </c>
      <c r="G244" s="323" t="str">
        <f t="shared" si="18"/>
        <v/>
      </c>
      <c r="H244" s="327" t="str">
        <f t="shared" si="19"/>
        <v/>
      </c>
      <c r="I244" s="327" t="str">
        <f t="shared" si="20"/>
        <v/>
      </c>
      <c r="J244" s="301" t="str">
        <f t="shared" si="21"/>
        <v/>
      </c>
      <c r="K244" s="301" t="str">
        <f t="shared" si="22"/>
        <v/>
      </c>
      <c r="L244" s="344" t="str">
        <f t="array" ref="L244">IF($T244="","",LET(m,MATCH($T244,$AS$24:$AS$700,0),lvl,INDEX($W$24:$W$700,m),id,INDEX($X$24:$X$700,m),SWITCH(lvl,3,"Lớp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4" s="351" t="str">
        <f t="shared" si="23"/>
        <v/>
      </c>
      <c r="N244" s="356" t="str">
        <f t="shared" si="24"/>
        <v/>
      </c>
      <c r="O244" s="358"/>
      <c r="P244" s="360"/>
      <c r="Q244" s="360"/>
      <c r="R244" s="67"/>
      <c r="S244" s="67"/>
      <c r="T244" s="67"/>
      <c r="U244" s="389" t="str">
        <f>IF('Lớp 5 - Phân công'!I55="","",'Lớp 5 - Phân công'!K55&amp;"|"&amp;'Lớp 5 - Phân công'!J55&amp;"|"&amp;'Lớp 5 - Phân công'!I55)</f>
        <v/>
      </c>
      <c r="V244" s="389" t="str">
        <f>IF('Lớp 5 - Phân công'!I55="","","       ├─ "&amp;'Lớp 5 - Phân công'!Q55)</f>
        <v/>
      </c>
      <c r="W244" s="389" t="str">
        <f>IF('Lớp 5 - Phân công'!I55="","",5)</f>
        <v/>
      </c>
      <c r="X244" s="67" t="str">
        <f>'Lớp 5 - Phân công'!I55</f>
        <v/>
      </c>
      <c r="Y244" s="67" t="str">
        <f>'Lớp 5 - Phân công'!J55</f>
        <v/>
      </c>
      <c r="Z244" s="67" t="str">
        <f>'Lớp 5 - Phân công'!AA55</f>
        <v/>
      </c>
      <c r="AA244" s="67" t="str">
        <f>'Lớp 5 - Phân công'!Z55</f>
        <v/>
      </c>
      <c r="AB244" s="67" t="str">
        <f>'Lớp 5 - Phân công'!AC55</f>
        <v/>
      </c>
      <c r="AC244" s="67" t="str">
        <f>'Lớp 5 - Phân công'!AB55</f>
        <v/>
      </c>
      <c r="AD244" s="398" t="str">
        <f>'Lớp 5 - Phân công'!AG55</f>
        <v/>
      </c>
      <c r="AE244" s="358" t="str">
        <f>'Lớp 5 - Phân công'!AE55</f>
        <v/>
      </c>
      <c r="AF244" s="187" t="str">
        <f>'Lớp 5 - Phân công'!AH55</f>
        <v/>
      </c>
      <c r="AG244" s="104" t="str">
        <f>'Lớp 5 - Phân công'!AI55</f>
        <v/>
      </c>
      <c r="AH244" s="389" t="str">
        <f t="shared" si="27"/>
        <v/>
      </c>
      <c r="AI244" s="389" t="str">
        <f t="shared" si="37"/>
        <v>🔵 Chưa có hạn</v>
      </c>
      <c r="AJ244" s="67" t="str">
        <f>'Lớp 5 - Phân công'!AL55</f>
        <v/>
      </c>
      <c r="AS244" s="389" t="str">
        <f t="shared" si="217"/>
        <v/>
      </c>
      <c r="AT244" s="389" t="str">
        <f t="shared" si="32"/>
        <v/>
      </c>
      <c r="AU244" s="389" t="str">
        <f t="shared" si="33"/>
        <v/>
      </c>
      <c r="AV244" s="389" t="str">
        <f t="shared" si="34"/>
        <v/>
      </c>
      <c r="AW244" s="389" t="str">
        <f t="shared" si="35"/>
        <v/>
      </c>
      <c r="AX244" s="67" t="str">
        <f t="shared" ref="AX244:BH244" si="258">Z244</f>
        <v/>
      </c>
      <c r="AY244" s="67" t="str">
        <f t="shared" si="258"/>
        <v/>
      </c>
      <c r="AZ244" s="67" t="str">
        <f t="shared" si="258"/>
        <v/>
      </c>
      <c r="BA244" s="67" t="str">
        <f t="shared" si="258"/>
        <v/>
      </c>
      <c r="BB244" s="398" t="str">
        <f t="shared" si="258"/>
        <v/>
      </c>
      <c r="BC244" s="358" t="str">
        <f t="shared" si="258"/>
        <v/>
      </c>
      <c r="BD244" s="187" t="str">
        <f t="shared" si="258"/>
        <v/>
      </c>
      <c r="BE244" s="104" t="str">
        <f t="shared" si="258"/>
        <v/>
      </c>
      <c r="BF244" s="389" t="str">
        <f t="shared" si="258"/>
        <v/>
      </c>
      <c r="BG244" s="389" t="str">
        <f t="shared" si="258"/>
        <v>🔵 Chưa có hạn</v>
      </c>
      <c r="BH244" s="67" t="str">
        <f t="shared" si="258"/>
        <v/>
      </c>
      <c r="BI244" s="389" t="str">
        <f t="array" ref="BI244">IF($X244="","",SWITCH($W244,3,IFERROR(INDEX('Lớp 3 - Công việc chính'!$AF$14:$AF$73,MATCH($X244,'Lớp 3 - Công việc chính'!$I$14:$I$73,0)),""),4,IFERROR(INDEX('Lớp 4 - Danh mục'!$AI$14:$AI$132,MATCH($X244,'Lớp 4 - Danh mục'!$I$14:$I$132,0)),""),5,IFERROR(INDEX('Lớp 5 - Phân công'!$AJ$14:$AJ$262,MATCH($X244,'Lớp 5 - Phân công'!$I$14:$I$262,0)),""),6,IFERROR(INDEX('Lớp 6 - Chi tiết'!$AM$14:$AM$267,MATCH($X244,'Lớp 6 - Chi tiết'!$I$14:$I$267,0)),""),""))</f>
        <v/>
      </c>
      <c r="BJ244" s="389" t="str">
        <f t="array" ref="BJ244">IF($X244="","",SWITCH($W244,3,IFERROR(INDEX('Lớp 3 - Công việc chính'!$AR$14:$AR$73,MATCH($X244,'Lớp 3 - Công việc chính'!$I$14:$I$73,0)),""),4,IFERROR(INDEX('Lớp 4 - Danh mục'!$AU$14:$AU$132,MATCH($X244,'Lớp 4 - Danh mục'!$I$14:$I$132,0)),""),5,IFERROR(INDEX('Lớp 5 - Phân công'!$AV$14:$AV$262,MATCH($X244,'Lớp 5 - Phân công'!$I$14:$I$262,0)),""),6,IFERROR(INDEX('Lớp 6 - Chi tiết'!$AY$14:$AY$267,MATCH($X244,'Lớp 6 - Chi tiết'!$I$14:$I$267,0)),""),""))</f>
        <v/>
      </c>
    </row>
    <row r="245" ht="15.75" customHeight="1">
      <c r="A245" s="294" t="str">
        <f t="shared" si="12"/>
        <v/>
      </c>
      <c r="B245" s="301" t="str">
        <f t="shared" si="13"/>
        <v/>
      </c>
      <c r="C245" s="301" t="str">
        <f t="shared" si="14"/>
        <v/>
      </c>
      <c r="D245" s="301" t="str">
        <f t="shared" si="15"/>
        <v/>
      </c>
      <c r="E245" s="301" t="str">
        <f t="shared" si="16"/>
        <v/>
      </c>
      <c r="F245" s="317" t="str">
        <f t="shared" si="17"/>
        <v/>
      </c>
      <c r="G245" s="323" t="str">
        <f t="shared" si="18"/>
        <v/>
      </c>
      <c r="H245" s="327" t="str">
        <f t="shared" si="19"/>
        <v/>
      </c>
      <c r="I245" s="327" t="str">
        <f t="shared" si="20"/>
        <v/>
      </c>
      <c r="J245" s="301" t="str">
        <f t="shared" si="21"/>
        <v/>
      </c>
      <c r="K245" s="301" t="str">
        <f t="shared" si="22"/>
        <v/>
      </c>
      <c r="L245" s="344" t="str">
        <f t="array" ref="L245">IF($T245="","",LET(m,MATCH($T245,$AS$24:$AS$700,0),lvl,INDEX($W$24:$W$700,m),id,INDEX($X$24:$X$700,m),SWITCH(lvl,3,"Lớp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5" s="351" t="str">
        <f t="shared" si="23"/>
        <v/>
      </c>
      <c r="N245" s="356" t="str">
        <f t="shared" si="24"/>
        <v/>
      </c>
      <c r="O245" s="358"/>
      <c r="P245" s="360"/>
      <c r="Q245" s="360"/>
      <c r="R245" s="67"/>
      <c r="S245" s="67"/>
      <c r="T245" s="67"/>
      <c r="U245" s="389" t="str">
        <f>IF('Lớp 5 - Phân công'!I56="","",'Lớp 5 - Phân công'!K56&amp;"|"&amp;'Lớp 5 - Phân công'!J56&amp;"|"&amp;'Lớp 5 - Phân công'!I56)</f>
        <v/>
      </c>
      <c r="V245" s="389" t="str">
        <f>IF('Lớp 5 - Phân công'!I56="","","       ├─ "&amp;'Lớp 5 - Phân công'!Q56)</f>
        <v/>
      </c>
      <c r="W245" s="389" t="str">
        <f>IF('Lớp 5 - Phân công'!I56="","",5)</f>
        <v/>
      </c>
      <c r="X245" s="67" t="str">
        <f>'Lớp 5 - Phân công'!I56</f>
        <v/>
      </c>
      <c r="Y245" s="67" t="str">
        <f>'Lớp 5 - Phân công'!J56</f>
        <v/>
      </c>
      <c r="Z245" s="67" t="str">
        <f>'Lớp 5 - Phân công'!AA56</f>
        <v/>
      </c>
      <c r="AA245" s="67" t="str">
        <f>'Lớp 5 - Phân công'!Z56</f>
        <v/>
      </c>
      <c r="AB245" s="67" t="str">
        <f>'Lớp 5 - Phân công'!AC56</f>
        <v/>
      </c>
      <c r="AC245" s="67" t="str">
        <f>'Lớp 5 - Phân công'!AB56</f>
        <v/>
      </c>
      <c r="AD245" s="398" t="str">
        <f>'Lớp 5 - Phân công'!AG56</f>
        <v/>
      </c>
      <c r="AE245" s="358" t="str">
        <f>'Lớp 5 - Phân công'!AE56</f>
        <v/>
      </c>
      <c r="AF245" s="187" t="str">
        <f>'Lớp 5 - Phân công'!AH56</f>
        <v/>
      </c>
      <c r="AG245" s="104" t="str">
        <f>'Lớp 5 - Phân công'!AI56</f>
        <v/>
      </c>
      <c r="AH245" s="389" t="str">
        <f t="shared" si="27"/>
        <v/>
      </c>
      <c r="AI245" s="389" t="str">
        <f t="shared" si="37"/>
        <v>🔵 Chưa có hạn</v>
      </c>
      <c r="AJ245" s="67" t="str">
        <f>'Lớp 5 - Phân công'!AL56</f>
        <v/>
      </c>
      <c r="AS245" s="389" t="str">
        <f t="shared" si="217"/>
        <v/>
      </c>
      <c r="AT245" s="389" t="str">
        <f t="shared" si="32"/>
        <v/>
      </c>
      <c r="AU245" s="389" t="str">
        <f t="shared" si="33"/>
        <v/>
      </c>
      <c r="AV245" s="389" t="str">
        <f t="shared" si="34"/>
        <v/>
      </c>
      <c r="AW245" s="389" t="str">
        <f t="shared" si="35"/>
        <v/>
      </c>
      <c r="AX245" s="67" t="str">
        <f t="shared" ref="AX245:BH245" si="259">Z245</f>
        <v/>
      </c>
      <c r="AY245" s="67" t="str">
        <f t="shared" si="259"/>
        <v/>
      </c>
      <c r="AZ245" s="67" t="str">
        <f t="shared" si="259"/>
        <v/>
      </c>
      <c r="BA245" s="67" t="str">
        <f t="shared" si="259"/>
        <v/>
      </c>
      <c r="BB245" s="398" t="str">
        <f t="shared" si="259"/>
        <v/>
      </c>
      <c r="BC245" s="358" t="str">
        <f t="shared" si="259"/>
        <v/>
      </c>
      <c r="BD245" s="187" t="str">
        <f t="shared" si="259"/>
        <v/>
      </c>
      <c r="BE245" s="104" t="str">
        <f t="shared" si="259"/>
        <v/>
      </c>
      <c r="BF245" s="389" t="str">
        <f t="shared" si="259"/>
        <v/>
      </c>
      <c r="BG245" s="389" t="str">
        <f t="shared" si="259"/>
        <v>🔵 Chưa có hạn</v>
      </c>
      <c r="BH245" s="67" t="str">
        <f t="shared" si="259"/>
        <v/>
      </c>
      <c r="BI245" s="389" t="str">
        <f t="array" ref="BI245">IF($X245="","",SWITCH($W245,3,IFERROR(INDEX('Lớp 3 - Công việc chính'!$AF$14:$AF$73,MATCH($X245,'Lớp 3 - Công việc chính'!$I$14:$I$73,0)),""),4,IFERROR(INDEX('Lớp 4 - Danh mục'!$AI$14:$AI$132,MATCH($X245,'Lớp 4 - Danh mục'!$I$14:$I$132,0)),""),5,IFERROR(INDEX('Lớp 5 - Phân công'!$AJ$14:$AJ$262,MATCH($X245,'Lớp 5 - Phân công'!$I$14:$I$262,0)),""),6,IFERROR(INDEX('Lớp 6 - Chi tiết'!$AM$14:$AM$267,MATCH($X245,'Lớp 6 - Chi tiết'!$I$14:$I$267,0)),""),""))</f>
        <v/>
      </c>
      <c r="BJ245" s="389" t="str">
        <f t="array" ref="BJ245">IF($X245="","",SWITCH($W245,3,IFERROR(INDEX('Lớp 3 - Công việc chính'!$AR$14:$AR$73,MATCH($X245,'Lớp 3 - Công việc chính'!$I$14:$I$73,0)),""),4,IFERROR(INDEX('Lớp 4 - Danh mục'!$AU$14:$AU$132,MATCH($X245,'Lớp 4 - Danh mục'!$I$14:$I$132,0)),""),5,IFERROR(INDEX('Lớp 5 - Phân công'!$AV$14:$AV$262,MATCH($X245,'Lớp 5 - Phân công'!$I$14:$I$262,0)),""),6,IFERROR(INDEX('Lớp 6 - Chi tiết'!$AY$14:$AY$267,MATCH($X245,'Lớp 6 - Chi tiết'!$I$14:$I$267,0)),""),""))</f>
        <v/>
      </c>
    </row>
    <row r="246" ht="15.75" customHeight="1">
      <c r="A246" s="294" t="str">
        <f t="shared" si="12"/>
        <v/>
      </c>
      <c r="B246" s="301" t="str">
        <f t="shared" si="13"/>
        <v/>
      </c>
      <c r="C246" s="301" t="str">
        <f t="shared" si="14"/>
        <v/>
      </c>
      <c r="D246" s="301" t="str">
        <f t="shared" si="15"/>
        <v/>
      </c>
      <c r="E246" s="301" t="str">
        <f t="shared" si="16"/>
        <v/>
      </c>
      <c r="F246" s="317" t="str">
        <f t="shared" si="17"/>
        <v/>
      </c>
      <c r="G246" s="323" t="str">
        <f t="shared" si="18"/>
        <v/>
      </c>
      <c r="H246" s="327" t="str">
        <f t="shared" si="19"/>
        <v/>
      </c>
      <c r="I246" s="327" t="str">
        <f t="shared" si="20"/>
        <v/>
      </c>
      <c r="J246" s="301" t="str">
        <f t="shared" si="21"/>
        <v/>
      </c>
      <c r="K246" s="301" t="str">
        <f t="shared" si="22"/>
        <v/>
      </c>
      <c r="L246" s="344" t="str">
        <f t="array" ref="L246">IF($T246="","",LET(m,MATCH($T246,$AS$24:$AS$700,0),lvl,INDEX($W$24:$W$700,m),id,INDEX($X$24:$X$700,m),SWITCH(lvl,3,"Lớp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6" s="351" t="str">
        <f t="shared" si="23"/>
        <v/>
      </c>
      <c r="N246" s="356" t="str">
        <f t="shared" si="24"/>
        <v/>
      </c>
      <c r="O246" s="358"/>
      <c r="P246" s="360"/>
      <c r="Q246" s="360"/>
      <c r="R246" s="67"/>
      <c r="S246" s="67"/>
      <c r="T246" s="67"/>
      <c r="U246" s="389" t="str">
        <f>IF('Lớp 5 - Phân công'!I57="","",'Lớp 5 - Phân công'!K57&amp;"|"&amp;'Lớp 5 - Phân công'!J57&amp;"|"&amp;'Lớp 5 - Phân công'!I57)</f>
        <v/>
      </c>
      <c r="V246" s="389" t="str">
        <f>IF('Lớp 5 - Phân công'!I57="","","       ├─ "&amp;'Lớp 5 - Phân công'!Q57)</f>
        <v/>
      </c>
      <c r="W246" s="389" t="str">
        <f>IF('Lớp 5 - Phân công'!I57="","",5)</f>
        <v/>
      </c>
      <c r="X246" s="67" t="str">
        <f>'Lớp 5 - Phân công'!I57</f>
        <v/>
      </c>
      <c r="Y246" s="67" t="str">
        <f>'Lớp 5 - Phân công'!J57</f>
        <v/>
      </c>
      <c r="Z246" s="67" t="str">
        <f>'Lớp 5 - Phân công'!AA57</f>
        <v/>
      </c>
      <c r="AA246" s="67" t="str">
        <f>'Lớp 5 - Phân công'!Z57</f>
        <v/>
      </c>
      <c r="AB246" s="67" t="str">
        <f>'Lớp 5 - Phân công'!AC57</f>
        <v/>
      </c>
      <c r="AC246" s="67" t="str">
        <f>'Lớp 5 - Phân công'!AB57</f>
        <v/>
      </c>
      <c r="AD246" s="398" t="str">
        <f>'Lớp 5 - Phân công'!AG57</f>
        <v/>
      </c>
      <c r="AE246" s="358" t="str">
        <f>'Lớp 5 - Phân công'!AE57</f>
        <v/>
      </c>
      <c r="AF246" s="187" t="str">
        <f>'Lớp 5 - Phân công'!AH57</f>
        <v/>
      </c>
      <c r="AG246" s="104" t="str">
        <f>'Lớp 5 - Phân công'!AI57</f>
        <v/>
      </c>
      <c r="AH246" s="389" t="str">
        <f t="shared" si="27"/>
        <v/>
      </c>
      <c r="AI246" s="389" t="str">
        <f t="shared" si="37"/>
        <v>🔵 Chưa có hạn</v>
      </c>
      <c r="AJ246" s="67" t="str">
        <f>'Lớp 5 - Phân công'!AL57</f>
        <v/>
      </c>
      <c r="AS246" s="389" t="str">
        <f t="shared" si="217"/>
        <v/>
      </c>
      <c r="AT246" s="389" t="str">
        <f t="shared" si="32"/>
        <v/>
      </c>
      <c r="AU246" s="389" t="str">
        <f t="shared" si="33"/>
        <v/>
      </c>
      <c r="AV246" s="389" t="str">
        <f t="shared" si="34"/>
        <v/>
      </c>
      <c r="AW246" s="389" t="str">
        <f t="shared" si="35"/>
        <v/>
      </c>
      <c r="AX246" s="67" t="str">
        <f t="shared" ref="AX246:BH246" si="260">Z246</f>
        <v/>
      </c>
      <c r="AY246" s="67" t="str">
        <f t="shared" si="260"/>
        <v/>
      </c>
      <c r="AZ246" s="67" t="str">
        <f t="shared" si="260"/>
        <v/>
      </c>
      <c r="BA246" s="67" t="str">
        <f t="shared" si="260"/>
        <v/>
      </c>
      <c r="BB246" s="398" t="str">
        <f t="shared" si="260"/>
        <v/>
      </c>
      <c r="BC246" s="358" t="str">
        <f t="shared" si="260"/>
        <v/>
      </c>
      <c r="BD246" s="187" t="str">
        <f t="shared" si="260"/>
        <v/>
      </c>
      <c r="BE246" s="104" t="str">
        <f t="shared" si="260"/>
        <v/>
      </c>
      <c r="BF246" s="389" t="str">
        <f t="shared" si="260"/>
        <v/>
      </c>
      <c r="BG246" s="389" t="str">
        <f t="shared" si="260"/>
        <v>🔵 Chưa có hạn</v>
      </c>
      <c r="BH246" s="67" t="str">
        <f t="shared" si="260"/>
        <v/>
      </c>
      <c r="BI246" s="389" t="str">
        <f t="array" ref="BI246">IF($X246="","",SWITCH($W246,3,IFERROR(INDEX('Lớp 3 - Công việc chính'!$AF$14:$AF$73,MATCH($X246,'Lớp 3 - Công việc chính'!$I$14:$I$73,0)),""),4,IFERROR(INDEX('Lớp 4 - Danh mục'!$AI$14:$AI$132,MATCH($X246,'Lớp 4 - Danh mục'!$I$14:$I$132,0)),""),5,IFERROR(INDEX('Lớp 5 - Phân công'!$AJ$14:$AJ$262,MATCH($X246,'Lớp 5 - Phân công'!$I$14:$I$262,0)),""),6,IFERROR(INDEX('Lớp 6 - Chi tiết'!$AM$14:$AM$267,MATCH($X246,'Lớp 6 - Chi tiết'!$I$14:$I$267,0)),""),""))</f>
        <v/>
      </c>
      <c r="BJ246" s="389" t="str">
        <f t="array" ref="BJ246">IF($X246="","",SWITCH($W246,3,IFERROR(INDEX('Lớp 3 - Công việc chính'!$AR$14:$AR$73,MATCH($X246,'Lớp 3 - Công việc chính'!$I$14:$I$73,0)),""),4,IFERROR(INDEX('Lớp 4 - Danh mục'!$AU$14:$AU$132,MATCH($X246,'Lớp 4 - Danh mục'!$I$14:$I$132,0)),""),5,IFERROR(INDEX('Lớp 5 - Phân công'!$AV$14:$AV$262,MATCH($X246,'Lớp 5 - Phân công'!$I$14:$I$262,0)),""),6,IFERROR(INDEX('Lớp 6 - Chi tiết'!$AY$14:$AY$267,MATCH($X246,'Lớp 6 - Chi tiết'!$I$14:$I$267,0)),""),""))</f>
        <v/>
      </c>
    </row>
    <row r="247" ht="15.75" customHeight="1">
      <c r="A247" s="294" t="str">
        <f t="shared" si="12"/>
        <v/>
      </c>
      <c r="B247" s="301" t="str">
        <f t="shared" si="13"/>
        <v/>
      </c>
      <c r="C247" s="301" t="str">
        <f t="shared" si="14"/>
        <v/>
      </c>
      <c r="D247" s="301" t="str">
        <f t="shared" si="15"/>
        <v/>
      </c>
      <c r="E247" s="301" t="str">
        <f t="shared" si="16"/>
        <v/>
      </c>
      <c r="F247" s="317" t="str">
        <f t="shared" si="17"/>
        <v/>
      </c>
      <c r="G247" s="323" t="str">
        <f t="shared" si="18"/>
        <v/>
      </c>
      <c r="H247" s="327" t="str">
        <f t="shared" si="19"/>
        <v/>
      </c>
      <c r="I247" s="327" t="str">
        <f t="shared" si="20"/>
        <v/>
      </c>
      <c r="J247" s="301" t="str">
        <f t="shared" si="21"/>
        <v/>
      </c>
      <c r="K247" s="301" t="str">
        <f t="shared" si="22"/>
        <v/>
      </c>
      <c r="L247" s="344" t="str">
        <f t="array" ref="L247">IF($T247="","",LET(m,MATCH($T247,$AS$24:$AS$700,0),lvl,INDEX($W$24:$W$700,m),id,INDEX($X$24:$X$700,m),SWITCH(lvl,3,"Lớp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7" s="351" t="str">
        <f t="shared" si="23"/>
        <v/>
      </c>
      <c r="N247" s="356" t="str">
        <f t="shared" si="24"/>
        <v/>
      </c>
      <c r="O247" s="358"/>
      <c r="P247" s="360"/>
      <c r="Q247" s="360"/>
      <c r="R247" s="67"/>
      <c r="S247" s="67"/>
      <c r="T247" s="67"/>
      <c r="U247" s="389" t="str">
        <f>IF('Lớp 5 - Phân công'!I58="","",'Lớp 5 - Phân công'!K58&amp;"|"&amp;'Lớp 5 - Phân công'!J58&amp;"|"&amp;'Lớp 5 - Phân công'!I58)</f>
        <v/>
      </c>
      <c r="V247" s="389" t="str">
        <f>IF('Lớp 5 - Phân công'!I58="","","       ├─ "&amp;'Lớp 5 - Phân công'!Q58)</f>
        <v/>
      </c>
      <c r="W247" s="389" t="str">
        <f>IF('Lớp 5 - Phân công'!I58="","",5)</f>
        <v/>
      </c>
      <c r="X247" s="67" t="str">
        <f>'Lớp 5 - Phân công'!I58</f>
        <v/>
      </c>
      <c r="Y247" s="67" t="str">
        <f>'Lớp 5 - Phân công'!J58</f>
        <v/>
      </c>
      <c r="Z247" s="67" t="str">
        <f>'Lớp 5 - Phân công'!AA58</f>
        <v/>
      </c>
      <c r="AA247" s="67" t="str">
        <f>'Lớp 5 - Phân công'!Z58</f>
        <v/>
      </c>
      <c r="AB247" s="67" t="str">
        <f>'Lớp 5 - Phân công'!AC58</f>
        <v/>
      </c>
      <c r="AC247" s="67" t="str">
        <f>'Lớp 5 - Phân công'!AB58</f>
        <v/>
      </c>
      <c r="AD247" s="398" t="str">
        <f>'Lớp 5 - Phân công'!AG58</f>
        <v/>
      </c>
      <c r="AE247" s="358" t="str">
        <f>'Lớp 5 - Phân công'!AE58</f>
        <v/>
      </c>
      <c r="AF247" s="187" t="str">
        <f>'Lớp 5 - Phân công'!AH58</f>
        <v/>
      </c>
      <c r="AG247" s="104" t="str">
        <f>'Lớp 5 - Phân công'!AI58</f>
        <v/>
      </c>
      <c r="AH247" s="389" t="str">
        <f t="shared" si="27"/>
        <v/>
      </c>
      <c r="AI247" s="389" t="str">
        <f t="shared" si="37"/>
        <v>🔵 Chưa có hạn</v>
      </c>
      <c r="AJ247" s="67" t="str">
        <f>'Lớp 5 - Phân công'!AL58</f>
        <v/>
      </c>
      <c r="AS247" s="389" t="str">
        <f t="shared" si="217"/>
        <v/>
      </c>
      <c r="AT247" s="389" t="str">
        <f t="shared" si="32"/>
        <v/>
      </c>
      <c r="AU247" s="389" t="str">
        <f t="shared" si="33"/>
        <v/>
      </c>
      <c r="AV247" s="389" t="str">
        <f t="shared" si="34"/>
        <v/>
      </c>
      <c r="AW247" s="389" t="str">
        <f t="shared" si="35"/>
        <v/>
      </c>
      <c r="AX247" s="67" t="str">
        <f t="shared" ref="AX247:BH247" si="261">Z247</f>
        <v/>
      </c>
      <c r="AY247" s="67" t="str">
        <f t="shared" si="261"/>
        <v/>
      </c>
      <c r="AZ247" s="67" t="str">
        <f t="shared" si="261"/>
        <v/>
      </c>
      <c r="BA247" s="67" t="str">
        <f t="shared" si="261"/>
        <v/>
      </c>
      <c r="BB247" s="398" t="str">
        <f t="shared" si="261"/>
        <v/>
      </c>
      <c r="BC247" s="358" t="str">
        <f t="shared" si="261"/>
        <v/>
      </c>
      <c r="BD247" s="187" t="str">
        <f t="shared" si="261"/>
        <v/>
      </c>
      <c r="BE247" s="104" t="str">
        <f t="shared" si="261"/>
        <v/>
      </c>
      <c r="BF247" s="389" t="str">
        <f t="shared" si="261"/>
        <v/>
      </c>
      <c r="BG247" s="389" t="str">
        <f t="shared" si="261"/>
        <v>🔵 Chưa có hạn</v>
      </c>
      <c r="BH247" s="67" t="str">
        <f t="shared" si="261"/>
        <v/>
      </c>
      <c r="BI247" s="389" t="str">
        <f t="array" ref="BI247">IF($X247="","",SWITCH($W247,3,IFERROR(INDEX('Lớp 3 - Công việc chính'!$AF$14:$AF$73,MATCH($X247,'Lớp 3 - Công việc chính'!$I$14:$I$73,0)),""),4,IFERROR(INDEX('Lớp 4 - Danh mục'!$AI$14:$AI$132,MATCH($X247,'Lớp 4 - Danh mục'!$I$14:$I$132,0)),""),5,IFERROR(INDEX('Lớp 5 - Phân công'!$AJ$14:$AJ$262,MATCH($X247,'Lớp 5 - Phân công'!$I$14:$I$262,0)),""),6,IFERROR(INDEX('Lớp 6 - Chi tiết'!$AM$14:$AM$267,MATCH($X247,'Lớp 6 - Chi tiết'!$I$14:$I$267,0)),""),""))</f>
        <v/>
      </c>
      <c r="BJ247" s="389" t="str">
        <f t="array" ref="BJ247">IF($X247="","",SWITCH($W247,3,IFERROR(INDEX('Lớp 3 - Công việc chính'!$AR$14:$AR$73,MATCH($X247,'Lớp 3 - Công việc chính'!$I$14:$I$73,0)),""),4,IFERROR(INDEX('Lớp 4 - Danh mục'!$AU$14:$AU$132,MATCH($X247,'Lớp 4 - Danh mục'!$I$14:$I$132,0)),""),5,IFERROR(INDEX('Lớp 5 - Phân công'!$AV$14:$AV$262,MATCH($X247,'Lớp 5 - Phân công'!$I$14:$I$262,0)),""),6,IFERROR(INDEX('Lớp 6 - Chi tiết'!$AY$14:$AY$267,MATCH($X247,'Lớp 6 - Chi tiết'!$I$14:$I$267,0)),""),""))</f>
        <v/>
      </c>
    </row>
    <row r="248" ht="15.75" customHeight="1">
      <c r="A248" s="294" t="str">
        <f t="shared" si="12"/>
        <v/>
      </c>
      <c r="B248" s="301" t="str">
        <f t="shared" si="13"/>
        <v/>
      </c>
      <c r="C248" s="301" t="str">
        <f t="shared" si="14"/>
        <v/>
      </c>
      <c r="D248" s="301" t="str">
        <f t="shared" si="15"/>
        <v/>
      </c>
      <c r="E248" s="301" t="str">
        <f t="shared" si="16"/>
        <v/>
      </c>
      <c r="F248" s="317" t="str">
        <f t="shared" si="17"/>
        <v/>
      </c>
      <c r="G248" s="323" t="str">
        <f t="shared" si="18"/>
        <v/>
      </c>
      <c r="H248" s="327" t="str">
        <f t="shared" si="19"/>
        <v/>
      </c>
      <c r="I248" s="327" t="str">
        <f t="shared" si="20"/>
        <v/>
      </c>
      <c r="J248" s="301" t="str">
        <f t="shared" si="21"/>
        <v/>
      </c>
      <c r="K248" s="301" t="str">
        <f t="shared" si="22"/>
        <v/>
      </c>
      <c r="L248" s="344" t="str">
        <f t="array" ref="L248">IF($T248="","",LET(m,MATCH($T248,$AS$24:$AS$700,0),lvl,INDEX($W$24:$W$700,m),id,INDEX($X$24:$X$700,m),SWITCH(lvl,3,"Lớp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8" s="351" t="str">
        <f t="shared" si="23"/>
        <v/>
      </c>
      <c r="N248" s="356" t="str">
        <f t="shared" si="24"/>
        <v/>
      </c>
      <c r="O248" s="358"/>
      <c r="P248" s="360"/>
      <c r="Q248" s="360"/>
      <c r="R248" s="67"/>
      <c r="S248" s="67"/>
      <c r="T248" s="67"/>
      <c r="U248" s="389" t="str">
        <f>IF('Lớp 5 - Phân công'!I59="","",'Lớp 5 - Phân công'!K59&amp;"|"&amp;'Lớp 5 - Phân công'!J59&amp;"|"&amp;'Lớp 5 - Phân công'!I59)</f>
        <v/>
      </c>
      <c r="V248" s="389" t="str">
        <f>IF('Lớp 5 - Phân công'!I59="","","       ├─ "&amp;'Lớp 5 - Phân công'!Q59)</f>
        <v/>
      </c>
      <c r="W248" s="389" t="str">
        <f>IF('Lớp 5 - Phân công'!I59="","",5)</f>
        <v/>
      </c>
      <c r="X248" s="67" t="str">
        <f>'Lớp 5 - Phân công'!I59</f>
        <v/>
      </c>
      <c r="Y248" s="67" t="str">
        <f>'Lớp 5 - Phân công'!J59</f>
        <v/>
      </c>
      <c r="Z248" s="67" t="str">
        <f>'Lớp 5 - Phân công'!AA59</f>
        <v/>
      </c>
      <c r="AA248" s="67" t="str">
        <f>'Lớp 5 - Phân công'!Z59</f>
        <v/>
      </c>
      <c r="AB248" s="67" t="str">
        <f>'Lớp 5 - Phân công'!AC59</f>
        <v/>
      </c>
      <c r="AC248" s="67" t="str">
        <f>'Lớp 5 - Phân công'!AB59</f>
        <v/>
      </c>
      <c r="AD248" s="398" t="str">
        <f>'Lớp 5 - Phân công'!AG59</f>
        <v/>
      </c>
      <c r="AE248" s="358" t="str">
        <f>'Lớp 5 - Phân công'!AE59</f>
        <v/>
      </c>
      <c r="AF248" s="187" t="str">
        <f>'Lớp 5 - Phân công'!AH59</f>
        <v/>
      </c>
      <c r="AG248" s="104" t="str">
        <f>'Lớp 5 - Phân công'!AI59</f>
        <v/>
      </c>
      <c r="AH248" s="389" t="str">
        <f t="shared" si="27"/>
        <v/>
      </c>
      <c r="AI248" s="389" t="str">
        <f t="shared" si="37"/>
        <v>🔵 Chưa có hạn</v>
      </c>
      <c r="AJ248" s="67" t="str">
        <f>'Lớp 5 - Phân công'!AL59</f>
        <v/>
      </c>
      <c r="AS248" s="389" t="str">
        <f t="shared" si="217"/>
        <v/>
      </c>
      <c r="AT248" s="389" t="str">
        <f t="shared" si="32"/>
        <v/>
      </c>
      <c r="AU248" s="389" t="str">
        <f t="shared" si="33"/>
        <v/>
      </c>
      <c r="AV248" s="389" t="str">
        <f t="shared" si="34"/>
        <v/>
      </c>
      <c r="AW248" s="389" t="str">
        <f t="shared" si="35"/>
        <v/>
      </c>
      <c r="AX248" s="67" t="str">
        <f t="shared" ref="AX248:BH248" si="262">Z248</f>
        <v/>
      </c>
      <c r="AY248" s="67" t="str">
        <f t="shared" si="262"/>
        <v/>
      </c>
      <c r="AZ248" s="67" t="str">
        <f t="shared" si="262"/>
        <v/>
      </c>
      <c r="BA248" s="67" t="str">
        <f t="shared" si="262"/>
        <v/>
      </c>
      <c r="BB248" s="398" t="str">
        <f t="shared" si="262"/>
        <v/>
      </c>
      <c r="BC248" s="358" t="str">
        <f t="shared" si="262"/>
        <v/>
      </c>
      <c r="BD248" s="187" t="str">
        <f t="shared" si="262"/>
        <v/>
      </c>
      <c r="BE248" s="104" t="str">
        <f t="shared" si="262"/>
        <v/>
      </c>
      <c r="BF248" s="389" t="str">
        <f t="shared" si="262"/>
        <v/>
      </c>
      <c r="BG248" s="389" t="str">
        <f t="shared" si="262"/>
        <v>🔵 Chưa có hạn</v>
      </c>
      <c r="BH248" s="67" t="str">
        <f t="shared" si="262"/>
        <v/>
      </c>
      <c r="BI248" s="389" t="str">
        <f t="array" ref="BI248">IF($X248="","",SWITCH($W248,3,IFERROR(INDEX('Lớp 3 - Công việc chính'!$AF$14:$AF$73,MATCH($X248,'Lớp 3 - Công việc chính'!$I$14:$I$73,0)),""),4,IFERROR(INDEX('Lớp 4 - Danh mục'!$AI$14:$AI$132,MATCH($X248,'Lớp 4 - Danh mục'!$I$14:$I$132,0)),""),5,IFERROR(INDEX('Lớp 5 - Phân công'!$AJ$14:$AJ$262,MATCH($X248,'Lớp 5 - Phân công'!$I$14:$I$262,0)),""),6,IFERROR(INDEX('Lớp 6 - Chi tiết'!$AM$14:$AM$267,MATCH($X248,'Lớp 6 - Chi tiết'!$I$14:$I$267,0)),""),""))</f>
        <v/>
      </c>
      <c r="BJ248" s="389" t="str">
        <f t="array" ref="BJ248">IF($X248="","",SWITCH($W248,3,IFERROR(INDEX('Lớp 3 - Công việc chính'!$AR$14:$AR$73,MATCH($X248,'Lớp 3 - Công việc chính'!$I$14:$I$73,0)),""),4,IFERROR(INDEX('Lớp 4 - Danh mục'!$AU$14:$AU$132,MATCH($X248,'Lớp 4 - Danh mục'!$I$14:$I$132,0)),""),5,IFERROR(INDEX('Lớp 5 - Phân công'!$AV$14:$AV$262,MATCH($X248,'Lớp 5 - Phân công'!$I$14:$I$262,0)),""),6,IFERROR(INDEX('Lớp 6 - Chi tiết'!$AY$14:$AY$267,MATCH($X248,'Lớp 6 - Chi tiết'!$I$14:$I$267,0)),""),""))</f>
        <v/>
      </c>
    </row>
    <row r="249" ht="15.75" customHeight="1">
      <c r="A249" s="294" t="str">
        <f t="shared" si="12"/>
        <v/>
      </c>
      <c r="B249" s="301" t="str">
        <f t="shared" si="13"/>
        <v/>
      </c>
      <c r="C249" s="301" t="str">
        <f t="shared" si="14"/>
        <v/>
      </c>
      <c r="D249" s="301" t="str">
        <f t="shared" si="15"/>
        <v/>
      </c>
      <c r="E249" s="301" t="str">
        <f t="shared" si="16"/>
        <v/>
      </c>
      <c r="F249" s="317" t="str">
        <f t="shared" si="17"/>
        <v/>
      </c>
      <c r="G249" s="323" t="str">
        <f t="shared" si="18"/>
        <v/>
      </c>
      <c r="H249" s="327" t="str">
        <f t="shared" si="19"/>
        <v/>
      </c>
      <c r="I249" s="327" t="str">
        <f t="shared" si="20"/>
        <v/>
      </c>
      <c r="J249" s="301" t="str">
        <f t="shared" si="21"/>
        <v/>
      </c>
      <c r="K249" s="301" t="str">
        <f t="shared" si="22"/>
        <v/>
      </c>
      <c r="L249" s="344" t="str">
        <f t="array" ref="L249">IF($T249="","",LET(m,MATCH($T249,$AS$24:$AS$700,0),lvl,INDEX($W$24:$W$700,m),id,INDEX($X$24:$X$700,m),SWITCH(lvl,3,"Lớp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49" s="351" t="str">
        <f t="shared" si="23"/>
        <v/>
      </c>
      <c r="N249" s="356" t="str">
        <f t="shared" si="24"/>
        <v/>
      </c>
      <c r="O249" s="358"/>
      <c r="P249" s="360"/>
      <c r="Q249" s="360"/>
      <c r="R249" s="67"/>
      <c r="S249" s="67"/>
      <c r="T249" s="67"/>
      <c r="U249" s="389" t="str">
        <f>IF('Lớp 5 - Phân công'!I60="","",'Lớp 5 - Phân công'!K60&amp;"|"&amp;'Lớp 5 - Phân công'!J60&amp;"|"&amp;'Lớp 5 - Phân công'!I60)</f>
        <v/>
      </c>
      <c r="V249" s="389" t="str">
        <f>IF('Lớp 5 - Phân công'!I60="","","       ├─ "&amp;'Lớp 5 - Phân công'!Q60)</f>
        <v/>
      </c>
      <c r="W249" s="389" t="str">
        <f>IF('Lớp 5 - Phân công'!I60="","",5)</f>
        <v/>
      </c>
      <c r="X249" s="67" t="str">
        <f>'Lớp 5 - Phân công'!I60</f>
        <v/>
      </c>
      <c r="Y249" s="67" t="str">
        <f>'Lớp 5 - Phân công'!J60</f>
        <v/>
      </c>
      <c r="Z249" s="67" t="str">
        <f>'Lớp 5 - Phân công'!AA60</f>
        <v/>
      </c>
      <c r="AA249" s="67" t="str">
        <f>'Lớp 5 - Phân công'!Z60</f>
        <v/>
      </c>
      <c r="AB249" s="67" t="str">
        <f>'Lớp 5 - Phân công'!AC60</f>
        <v/>
      </c>
      <c r="AC249" s="67" t="str">
        <f>'Lớp 5 - Phân công'!AB60</f>
        <v/>
      </c>
      <c r="AD249" s="398" t="str">
        <f>'Lớp 5 - Phân công'!AG60</f>
        <v/>
      </c>
      <c r="AE249" s="358" t="str">
        <f>'Lớp 5 - Phân công'!AE60</f>
        <v/>
      </c>
      <c r="AF249" s="187" t="str">
        <f>'Lớp 5 - Phân công'!AH60</f>
        <v/>
      </c>
      <c r="AG249" s="104" t="str">
        <f>'Lớp 5 - Phân công'!AI60</f>
        <v/>
      </c>
      <c r="AH249" s="389" t="str">
        <f t="shared" si="27"/>
        <v/>
      </c>
      <c r="AI249" s="389" t="str">
        <f t="shared" si="37"/>
        <v>🔵 Chưa có hạn</v>
      </c>
      <c r="AJ249" s="67" t="str">
        <f>'Lớp 5 - Phân công'!AL60</f>
        <v/>
      </c>
      <c r="AS249" s="389" t="str">
        <f t="shared" si="217"/>
        <v/>
      </c>
      <c r="AT249" s="389" t="str">
        <f t="shared" si="32"/>
        <v/>
      </c>
      <c r="AU249" s="389" t="str">
        <f t="shared" si="33"/>
        <v/>
      </c>
      <c r="AV249" s="389" t="str">
        <f t="shared" si="34"/>
        <v/>
      </c>
      <c r="AW249" s="389" t="str">
        <f t="shared" si="35"/>
        <v/>
      </c>
      <c r="AX249" s="67" t="str">
        <f t="shared" ref="AX249:BH249" si="263">Z249</f>
        <v/>
      </c>
      <c r="AY249" s="67" t="str">
        <f t="shared" si="263"/>
        <v/>
      </c>
      <c r="AZ249" s="67" t="str">
        <f t="shared" si="263"/>
        <v/>
      </c>
      <c r="BA249" s="67" t="str">
        <f t="shared" si="263"/>
        <v/>
      </c>
      <c r="BB249" s="398" t="str">
        <f t="shared" si="263"/>
        <v/>
      </c>
      <c r="BC249" s="358" t="str">
        <f t="shared" si="263"/>
        <v/>
      </c>
      <c r="BD249" s="187" t="str">
        <f t="shared" si="263"/>
        <v/>
      </c>
      <c r="BE249" s="104" t="str">
        <f t="shared" si="263"/>
        <v/>
      </c>
      <c r="BF249" s="389" t="str">
        <f t="shared" si="263"/>
        <v/>
      </c>
      <c r="BG249" s="389" t="str">
        <f t="shared" si="263"/>
        <v>🔵 Chưa có hạn</v>
      </c>
      <c r="BH249" s="67" t="str">
        <f t="shared" si="263"/>
        <v/>
      </c>
      <c r="BI249" s="389" t="str">
        <f t="array" ref="BI249">IF($X249="","",SWITCH($W249,3,IFERROR(INDEX('Lớp 3 - Công việc chính'!$AF$14:$AF$73,MATCH($X249,'Lớp 3 - Công việc chính'!$I$14:$I$73,0)),""),4,IFERROR(INDEX('Lớp 4 - Danh mục'!$AI$14:$AI$132,MATCH($X249,'Lớp 4 - Danh mục'!$I$14:$I$132,0)),""),5,IFERROR(INDEX('Lớp 5 - Phân công'!$AJ$14:$AJ$262,MATCH($X249,'Lớp 5 - Phân công'!$I$14:$I$262,0)),""),6,IFERROR(INDEX('Lớp 6 - Chi tiết'!$AM$14:$AM$267,MATCH($X249,'Lớp 6 - Chi tiết'!$I$14:$I$267,0)),""),""))</f>
        <v/>
      </c>
      <c r="BJ249" s="389" t="str">
        <f t="array" ref="BJ249">IF($X249="","",SWITCH($W249,3,IFERROR(INDEX('Lớp 3 - Công việc chính'!$AR$14:$AR$73,MATCH($X249,'Lớp 3 - Công việc chính'!$I$14:$I$73,0)),""),4,IFERROR(INDEX('Lớp 4 - Danh mục'!$AU$14:$AU$132,MATCH($X249,'Lớp 4 - Danh mục'!$I$14:$I$132,0)),""),5,IFERROR(INDEX('Lớp 5 - Phân công'!$AV$14:$AV$262,MATCH($X249,'Lớp 5 - Phân công'!$I$14:$I$262,0)),""),6,IFERROR(INDEX('Lớp 6 - Chi tiết'!$AY$14:$AY$267,MATCH($X249,'Lớp 6 - Chi tiết'!$I$14:$I$267,0)),""),""))</f>
        <v/>
      </c>
    </row>
    <row r="250" ht="15.75" customHeight="1">
      <c r="A250" s="294" t="str">
        <f t="shared" si="12"/>
        <v/>
      </c>
      <c r="B250" s="301" t="str">
        <f t="shared" si="13"/>
        <v/>
      </c>
      <c r="C250" s="301" t="str">
        <f t="shared" si="14"/>
        <v/>
      </c>
      <c r="D250" s="301" t="str">
        <f t="shared" si="15"/>
        <v/>
      </c>
      <c r="E250" s="301" t="str">
        <f t="shared" si="16"/>
        <v/>
      </c>
      <c r="F250" s="317" t="str">
        <f t="shared" si="17"/>
        <v/>
      </c>
      <c r="G250" s="323" t="str">
        <f t="shared" si="18"/>
        <v/>
      </c>
      <c r="H250" s="327" t="str">
        <f t="shared" si="19"/>
        <v/>
      </c>
      <c r="I250" s="327" t="str">
        <f t="shared" si="20"/>
        <v/>
      </c>
      <c r="J250" s="301" t="str">
        <f t="shared" si="21"/>
        <v/>
      </c>
      <c r="K250" s="301" t="str">
        <f t="shared" si="22"/>
        <v/>
      </c>
      <c r="L250" s="344" t="str">
        <f t="array" ref="L250">IF($T250="","",LET(m,MATCH($T250,$AS$24:$AS$700,0),lvl,INDEX($W$24:$W$700,m),id,INDEX($X$24:$X$700,m),SWITCH(lvl,3,"Lớp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0" s="351" t="str">
        <f t="shared" si="23"/>
        <v/>
      </c>
      <c r="N250" s="356" t="str">
        <f t="shared" si="24"/>
        <v/>
      </c>
      <c r="O250" s="358"/>
      <c r="P250" s="360"/>
      <c r="Q250" s="360"/>
      <c r="R250" s="67"/>
      <c r="S250" s="67"/>
      <c r="T250" s="67"/>
      <c r="U250" s="389" t="str">
        <f>IF('Lớp 5 - Phân công'!I61="","",'Lớp 5 - Phân công'!K61&amp;"|"&amp;'Lớp 5 - Phân công'!J61&amp;"|"&amp;'Lớp 5 - Phân công'!I61)</f>
        <v/>
      </c>
      <c r="V250" s="389" t="str">
        <f>IF('Lớp 5 - Phân công'!I61="","","       ├─ "&amp;'Lớp 5 - Phân công'!Q61)</f>
        <v/>
      </c>
      <c r="W250" s="389" t="str">
        <f>IF('Lớp 5 - Phân công'!I61="","",5)</f>
        <v/>
      </c>
      <c r="X250" s="67" t="str">
        <f>'Lớp 5 - Phân công'!I61</f>
        <v/>
      </c>
      <c r="Y250" s="67" t="str">
        <f>'Lớp 5 - Phân công'!J61</f>
        <v/>
      </c>
      <c r="Z250" s="67" t="str">
        <f>'Lớp 5 - Phân công'!AA61</f>
        <v/>
      </c>
      <c r="AA250" s="67" t="str">
        <f>'Lớp 5 - Phân công'!Z61</f>
        <v/>
      </c>
      <c r="AB250" s="67" t="str">
        <f>'Lớp 5 - Phân công'!AC61</f>
        <v/>
      </c>
      <c r="AC250" s="67" t="str">
        <f>'Lớp 5 - Phân công'!AB61</f>
        <v/>
      </c>
      <c r="AD250" s="398" t="str">
        <f>'Lớp 5 - Phân công'!AG61</f>
        <v/>
      </c>
      <c r="AE250" s="358" t="str">
        <f>'Lớp 5 - Phân công'!AE61</f>
        <v/>
      </c>
      <c r="AF250" s="187" t="str">
        <f>'Lớp 5 - Phân công'!AH61</f>
        <v/>
      </c>
      <c r="AG250" s="104" t="str">
        <f>'Lớp 5 - Phân công'!AI61</f>
        <v/>
      </c>
      <c r="AH250" s="389" t="str">
        <f t="shared" si="27"/>
        <v/>
      </c>
      <c r="AI250" s="389" t="str">
        <f t="shared" si="37"/>
        <v>🔵 Chưa có hạn</v>
      </c>
      <c r="AJ250" s="67" t="str">
        <f>'Lớp 5 - Phân công'!AL61</f>
        <v/>
      </c>
      <c r="AS250" s="389" t="str">
        <f t="shared" si="217"/>
        <v/>
      </c>
      <c r="AT250" s="389" t="str">
        <f t="shared" si="32"/>
        <v/>
      </c>
      <c r="AU250" s="389" t="str">
        <f t="shared" si="33"/>
        <v/>
      </c>
      <c r="AV250" s="389" t="str">
        <f t="shared" si="34"/>
        <v/>
      </c>
      <c r="AW250" s="389" t="str">
        <f t="shared" si="35"/>
        <v/>
      </c>
      <c r="AX250" s="67" t="str">
        <f t="shared" ref="AX250:BH250" si="264">Z250</f>
        <v/>
      </c>
      <c r="AY250" s="67" t="str">
        <f t="shared" si="264"/>
        <v/>
      </c>
      <c r="AZ250" s="67" t="str">
        <f t="shared" si="264"/>
        <v/>
      </c>
      <c r="BA250" s="67" t="str">
        <f t="shared" si="264"/>
        <v/>
      </c>
      <c r="BB250" s="398" t="str">
        <f t="shared" si="264"/>
        <v/>
      </c>
      <c r="BC250" s="358" t="str">
        <f t="shared" si="264"/>
        <v/>
      </c>
      <c r="BD250" s="187" t="str">
        <f t="shared" si="264"/>
        <v/>
      </c>
      <c r="BE250" s="104" t="str">
        <f t="shared" si="264"/>
        <v/>
      </c>
      <c r="BF250" s="389" t="str">
        <f t="shared" si="264"/>
        <v/>
      </c>
      <c r="BG250" s="389" t="str">
        <f t="shared" si="264"/>
        <v>🔵 Chưa có hạn</v>
      </c>
      <c r="BH250" s="67" t="str">
        <f t="shared" si="264"/>
        <v/>
      </c>
      <c r="BI250" s="389" t="str">
        <f t="array" ref="BI250">IF($X250="","",SWITCH($W250,3,IFERROR(INDEX('Lớp 3 - Công việc chính'!$AF$14:$AF$73,MATCH($X250,'Lớp 3 - Công việc chính'!$I$14:$I$73,0)),""),4,IFERROR(INDEX('Lớp 4 - Danh mục'!$AI$14:$AI$132,MATCH($X250,'Lớp 4 - Danh mục'!$I$14:$I$132,0)),""),5,IFERROR(INDEX('Lớp 5 - Phân công'!$AJ$14:$AJ$262,MATCH($X250,'Lớp 5 - Phân công'!$I$14:$I$262,0)),""),6,IFERROR(INDEX('Lớp 6 - Chi tiết'!$AM$14:$AM$267,MATCH($X250,'Lớp 6 - Chi tiết'!$I$14:$I$267,0)),""),""))</f>
        <v/>
      </c>
      <c r="BJ250" s="389" t="str">
        <f t="array" ref="BJ250">IF($X250="","",SWITCH($W250,3,IFERROR(INDEX('Lớp 3 - Công việc chính'!$AR$14:$AR$73,MATCH($X250,'Lớp 3 - Công việc chính'!$I$14:$I$73,0)),""),4,IFERROR(INDEX('Lớp 4 - Danh mục'!$AU$14:$AU$132,MATCH($X250,'Lớp 4 - Danh mục'!$I$14:$I$132,0)),""),5,IFERROR(INDEX('Lớp 5 - Phân công'!$AV$14:$AV$262,MATCH($X250,'Lớp 5 - Phân công'!$I$14:$I$262,0)),""),6,IFERROR(INDEX('Lớp 6 - Chi tiết'!$AY$14:$AY$267,MATCH($X250,'Lớp 6 - Chi tiết'!$I$14:$I$267,0)),""),""))</f>
        <v/>
      </c>
    </row>
    <row r="251" ht="15.75" customHeight="1">
      <c r="A251" s="294" t="str">
        <f t="shared" si="12"/>
        <v/>
      </c>
      <c r="B251" s="301" t="str">
        <f t="shared" si="13"/>
        <v/>
      </c>
      <c r="C251" s="301" t="str">
        <f t="shared" si="14"/>
        <v/>
      </c>
      <c r="D251" s="301" t="str">
        <f t="shared" si="15"/>
        <v/>
      </c>
      <c r="E251" s="301" t="str">
        <f t="shared" si="16"/>
        <v/>
      </c>
      <c r="F251" s="317" t="str">
        <f t="shared" si="17"/>
        <v/>
      </c>
      <c r="G251" s="323" t="str">
        <f t="shared" si="18"/>
        <v/>
      </c>
      <c r="H251" s="327" t="str">
        <f t="shared" si="19"/>
        <v/>
      </c>
      <c r="I251" s="327" t="str">
        <f t="shared" si="20"/>
        <v/>
      </c>
      <c r="J251" s="301" t="str">
        <f t="shared" si="21"/>
        <v/>
      </c>
      <c r="K251" s="301" t="str">
        <f t="shared" si="22"/>
        <v/>
      </c>
      <c r="L251" s="344" t="str">
        <f t="array" ref="L251">IF($T251="","",LET(m,MATCH($T251,$AS$24:$AS$700,0),lvl,INDEX($W$24:$W$700,m),id,INDEX($X$24:$X$700,m),SWITCH(lvl,3,"Lớp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1" s="351" t="str">
        <f t="shared" si="23"/>
        <v/>
      </c>
      <c r="N251" s="356" t="str">
        <f t="shared" si="24"/>
        <v/>
      </c>
      <c r="O251" s="358"/>
      <c r="P251" s="360"/>
      <c r="Q251" s="360"/>
      <c r="R251" s="67"/>
      <c r="S251" s="67"/>
      <c r="T251" s="67"/>
      <c r="U251" s="389" t="str">
        <f>IF('Lớp 5 - Phân công'!I62="","",'Lớp 5 - Phân công'!K62&amp;"|"&amp;'Lớp 5 - Phân công'!J62&amp;"|"&amp;'Lớp 5 - Phân công'!I62)</f>
        <v/>
      </c>
      <c r="V251" s="389" t="str">
        <f>IF('Lớp 5 - Phân công'!I62="","","       ├─ "&amp;'Lớp 5 - Phân công'!Q62)</f>
        <v/>
      </c>
      <c r="W251" s="389" t="str">
        <f>IF('Lớp 5 - Phân công'!I62="","",5)</f>
        <v/>
      </c>
      <c r="X251" s="67" t="str">
        <f>'Lớp 5 - Phân công'!I62</f>
        <v/>
      </c>
      <c r="Y251" s="67" t="str">
        <f>'Lớp 5 - Phân công'!J62</f>
        <v/>
      </c>
      <c r="Z251" s="67" t="str">
        <f>'Lớp 5 - Phân công'!AA62</f>
        <v/>
      </c>
      <c r="AA251" s="67" t="str">
        <f>'Lớp 5 - Phân công'!Z62</f>
        <v/>
      </c>
      <c r="AB251" s="67" t="str">
        <f>'Lớp 5 - Phân công'!AC62</f>
        <v/>
      </c>
      <c r="AC251" s="67" t="str">
        <f>'Lớp 5 - Phân công'!AB62</f>
        <v/>
      </c>
      <c r="AD251" s="398" t="str">
        <f>'Lớp 5 - Phân công'!AG62</f>
        <v/>
      </c>
      <c r="AE251" s="358" t="str">
        <f>'Lớp 5 - Phân công'!AE62</f>
        <v/>
      </c>
      <c r="AF251" s="187" t="str">
        <f>'Lớp 5 - Phân công'!AH62</f>
        <v/>
      </c>
      <c r="AG251" s="104" t="str">
        <f>'Lớp 5 - Phân công'!AI62</f>
        <v/>
      </c>
      <c r="AH251" s="389" t="str">
        <f t="shared" si="27"/>
        <v/>
      </c>
      <c r="AI251" s="389" t="str">
        <f t="shared" si="37"/>
        <v>🔵 Chưa có hạn</v>
      </c>
      <c r="AJ251" s="67" t="str">
        <f>'Lớp 5 - Phân công'!AL62</f>
        <v/>
      </c>
      <c r="AS251" s="389" t="str">
        <f t="shared" si="217"/>
        <v/>
      </c>
      <c r="AT251" s="389" t="str">
        <f t="shared" si="32"/>
        <v/>
      </c>
      <c r="AU251" s="389" t="str">
        <f t="shared" si="33"/>
        <v/>
      </c>
      <c r="AV251" s="389" t="str">
        <f t="shared" si="34"/>
        <v/>
      </c>
      <c r="AW251" s="389" t="str">
        <f t="shared" si="35"/>
        <v/>
      </c>
      <c r="AX251" s="67" t="str">
        <f t="shared" ref="AX251:BH251" si="265">Z251</f>
        <v/>
      </c>
      <c r="AY251" s="67" t="str">
        <f t="shared" si="265"/>
        <v/>
      </c>
      <c r="AZ251" s="67" t="str">
        <f t="shared" si="265"/>
        <v/>
      </c>
      <c r="BA251" s="67" t="str">
        <f t="shared" si="265"/>
        <v/>
      </c>
      <c r="BB251" s="398" t="str">
        <f t="shared" si="265"/>
        <v/>
      </c>
      <c r="BC251" s="358" t="str">
        <f t="shared" si="265"/>
        <v/>
      </c>
      <c r="BD251" s="187" t="str">
        <f t="shared" si="265"/>
        <v/>
      </c>
      <c r="BE251" s="104" t="str">
        <f t="shared" si="265"/>
        <v/>
      </c>
      <c r="BF251" s="389" t="str">
        <f t="shared" si="265"/>
        <v/>
      </c>
      <c r="BG251" s="389" t="str">
        <f t="shared" si="265"/>
        <v>🔵 Chưa có hạn</v>
      </c>
      <c r="BH251" s="67" t="str">
        <f t="shared" si="265"/>
        <v/>
      </c>
      <c r="BI251" s="389" t="str">
        <f t="array" ref="BI251">IF($X251="","",SWITCH($W251,3,IFERROR(INDEX('Lớp 3 - Công việc chính'!$AF$14:$AF$73,MATCH($X251,'Lớp 3 - Công việc chính'!$I$14:$I$73,0)),""),4,IFERROR(INDEX('Lớp 4 - Danh mục'!$AI$14:$AI$132,MATCH($X251,'Lớp 4 - Danh mục'!$I$14:$I$132,0)),""),5,IFERROR(INDEX('Lớp 5 - Phân công'!$AJ$14:$AJ$262,MATCH($X251,'Lớp 5 - Phân công'!$I$14:$I$262,0)),""),6,IFERROR(INDEX('Lớp 6 - Chi tiết'!$AM$14:$AM$267,MATCH($X251,'Lớp 6 - Chi tiết'!$I$14:$I$267,0)),""),""))</f>
        <v/>
      </c>
      <c r="BJ251" s="389" t="str">
        <f t="array" ref="BJ251">IF($X251="","",SWITCH($W251,3,IFERROR(INDEX('Lớp 3 - Công việc chính'!$AR$14:$AR$73,MATCH($X251,'Lớp 3 - Công việc chính'!$I$14:$I$73,0)),""),4,IFERROR(INDEX('Lớp 4 - Danh mục'!$AU$14:$AU$132,MATCH($X251,'Lớp 4 - Danh mục'!$I$14:$I$132,0)),""),5,IFERROR(INDEX('Lớp 5 - Phân công'!$AV$14:$AV$262,MATCH($X251,'Lớp 5 - Phân công'!$I$14:$I$262,0)),""),6,IFERROR(INDEX('Lớp 6 - Chi tiết'!$AY$14:$AY$267,MATCH($X251,'Lớp 6 - Chi tiết'!$I$14:$I$267,0)),""),""))</f>
        <v/>
      </c>
    </row>
    <row r="252" ht="15.75" customHeight="1">
      <c r="A252" s="294" t="str">
        <f t="shared" si="12"/>
        <v/>
      </c>
      <c r="B252" s="301" t="str">
        <f t="shared" si="13"/>
        <v/>
      </c>
      <c r="C252" s="301" t="str">
        <f t="shared" si="14"/>
        <v/>
      </c>
      <c r="D252" s="301" t="str">
        <f t="shared" si="15"/>
        <v/>
      </c>
      <c r="E252" s="301" t="str">
        <f t="shared" si="16"/>
        <v/>
      </c>
      <c r="F252" s="317" t="str">
        <f t="shared" si="17"/>
        <v/>
      </c>
      <c r="G252" s="323" t="str">
        <f t="shared" si="18"/>
        <v/>
      </c>
      <c r="H252" s="327" t="str">
        <f t="shared" si="19"/>
        <v/>
      </c>
      <c r="I252" s="327" t="str">
        <f t="shared" si="20"/>
        <v/>
      </c>
      <c r="J252" s="301" t="str">
        <f t="shared" si="21"/>
        <v/>
      </c>
      <c r="K252" s="301" t="str">
        <f t="shared" si="22"/>
        <v/>
      </c>
      <c r="L252" s="344" t="str">
        <f t="array" ref="L252">IF($T252="","",LET(m,MATCH($T252,$AS$24:$AS$700,0),lvl,INDEX($W$24:$W$700,m),id,INDEX($X$24:$X$700,m),SWITCH(lvl,3,"Lớp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2" s="351" t="str">
        <f t="shared" si="23"/>
        <v/>
      </c>
      <c r="N252" s="356" t="str">
        <f t="shared" si="24"/>
        <v/>
      </c>
      <c r="O252" s="358"/>
      <c r="P252" s="360"/>
      <c r="Q252" s="360"/>
      <c r="R252" s="67"/>
      <c r="S252" s="67"/>
      <c r="T252" s="67"/>
      <c r="U252" s="389" t="str">
        <f>IF('Lớp 5 - Phân công'!I63="","",'Lớp 5 - Phân công'!K63&amp;"|"&amp;'Lớp 5 - Phân công'!J63&amp;"|"&amp;'Lớp 5 - Phân công'!I63)</f>
        <v/>
      </c>
      <c r="V252" s="389" t="str">
        <f>IF('Lớp 5 - Phân công'!I63="","","       ├─ "&amp;'Lớp 5 - Phân công'!Q63)</f>
        <v/>
      </c>
      <c r="W252" s="389" t="str">
        <f>IF('Lớp 5 - Phân công'!I63="","",5)</f>
        <v/>
      </c>
      <c r="X252" s="67" t="str">
        <f>'Lớp 5 - Phân công'!I63</f>
        <v/>
      </c>
      <c r="Y252" s="67" t="str">
        <f>'Lớp 5 - Phân công'!J63</f>
        <v/>
      </c>
      <c r="Z252" s="67" t="str">
        <f>'Lớp 5 - Phân công'!AA63</f>
        <v/>
      </c>
      <c r="AA252" s="67" t="str">
        <f>'Lớp 5 - Phân công'!Z63</f>
        <v/>
      </c>
      <c r="AB252" s="67" t="str">
        <f>'Lớp 5 - Phân công'!AC63</f>
        <v/>
      </c>
      <c r="AC252" s="67" t="str">
        <f>'Lớp 5 - Phân công'!AB63</f>
        <v/>
      </c>
      <c r="AD252" s="398" t="str">
        <f>'Lớp 5 - Phân công'!AG63</f>
        <v/>
      </c>
      <c r="AE252" s="358" t="str">
        <f>'Lớp 5 - Phân công'!AE63</f>
        <v/>
      </c>
      <c r="AF252" s="187" t="str">
        <f>'Lớp 5 - Phân công'!AH63</f>
        <v/>
      </c>
      <c r="AG252" s="104" t="str">
        <f>'Lớp 5 - Phân công'!AI63</f>
        <v/>
      </c>
      <c r="AH252" s="389" t="str">
        <f t="shared" si="27"/>
        <v/>
      </c>
      <c r="AI252" s="389" t="str">
        <f t="shared" si="37"/>
        <v>🔵 Chưa có hạn</v>
      </c>
      <c r="AJ252" s="67" t="str">
        <f>'Lớp 5 - Phân công'!AL63</f>
        <v/>
      </c>
      <c r="AS252" s="389" t="str">
        <f t="shared" si="217"/>
        <v/>
      </c>
      <c r="AT252" s="389" t="str">
        <f t="shared" si="32"/>
        <v/>
      </c>
      <c r="AU252" s="389" t="str">
        <f t="shared" si="33"/>
        <v/>
      </c>
      <c r="AV252" s="389" t="str">
        <f t="shared" si="34"/>
        <v/>
      </c>
      <c r="AW252" s="389" t="str">
        <f t="shared" si="35"/>
        <v/>
      </c>
      <c r="AX252" s="67" t="str">
        <f t="shared" ref="AX252:BH252" si="266">Z252</f>
        <v/>
      </c>
      <c r="AY252" s="67" t="str">
        <f t="shared" si="266"/>
        <v/>
      </c>
      <c r="AZ252" s="67" t="str">
        <f t="shared" si="266"/>
        <v/>
      </c>
      <c r="BA252" s="67" t="str">
        <f t="shared" si="266"/>
        <v/>
      </c>
      <c r="BB252" s="398" t="str">
        <f t="shared" si="266"/>
        <v/>
      </c>
      <c r="BC252" s="358" t="str">
        <f t="shared" si="266"/>
        <v/>
      </c>
      <c r="BD252" s="187" t="str">
        <f t="shared" si="266"/>
        <v/>
      </c>
      <c r="BE252" s="104" t="str">
        <f t="shared" si="266"/>
        <v/>
      </c>
      <c r="BF252" s="389" t="str">
        <f t="shared" si="266"/>
        <v/>
      </c>
      <c r="BG252" s="389" t="str">
        <f t="shared" si="266"/>
        <v>🔵 Chưa có hạn</v>
      </c>
      <c r="BH252" s="67" t="str">
        <f t="shared" si="266"/>
        <v/>
      </c>
      <c r="BI252" s="389" t="str">
        <f t="array" ref="BI252">IF($X252="","",SWITCH($W252,3,IFERROR(INDEX('Lớp 3 - Công việc chính'!$AF$14:$AF$73,MATCH($X252,'Lớp 3 - Công việc chính'!$I$14:$I$73,0)),""),4,IFERROR(INDEX('Lớp 4 - Danh mục'!$AI$14:$AI$132,MATCH($X252,'Lớp 4 - Danh mục'!$I$14:$I$132,0)),""),5,IFERROR(INDEX('Lớp 5 - Phân công'!$AJ$14:$AJ$262,MATCH($X252,'Lớp 5 - Phân công'!$I$14:$I$262,0)),""),6,IFERROR(INDEX('Lớp 6 - Chi tiết'!$AM$14:$AM$267,MATCH($X252,'Lớp 6 - Chi tiết'!$I$14:$I$267,0)),""),""))</f>
        <v/>
      </c>
      <c r="BJ252" s="389" t="str">
        <f t="array" ref="BJ252">IF($X252="","",SWITCH($W252,3,IFERROR(INDEX('Lớp 3 - Công việc chính'!$AR$14:$AR$73,MATCH($X252,'Lớp 3 - Công việc chính'!$I$14:$I$73,0)),""),4,IFERROR(INDEX('Lớp 4 - Danh mục'!$AU$14:$AU$132,MATCH($X252,'Lớp 4 - Danh mục'!$I$14:$I$132,0)),""),5,IFERROR(INDEX('Lớp 5 - Phân công'!$AV$14:$AV$262,MATCH($X252,'Lớp 5 - Phân công'!$I$14:$I$262,0)),""),6,IFERROR(INDEX('Lớp 6 - Chi tiết'!$AY$14:$AY$267,MATCH($X252,'Lớp 6 - Chi tiết'!$I$14:$I$267,0)),""),""))</f>
        <v/>
      </c>
    </row>
    <row r="253" ht="15.75" customHeight="1">
      <c r="A253" s="294" t="str">
        <f t="shared" si="12"/>
        <v/>
      </c>
      <c r="B253" s="301" t="str">
        <f t="shared" si="13"/>
        <v/>
      </c>
      <c r="C253" s="301" t="str">
        <f t="shared" si="14"/>
        <v/>
      </c>
      <c r="D253" s="301" t="str">
        <f t="shared" si="15"/>
        <v/>
      </c>
      <c r="E253" s="301" t="str">
        <f t="shared" si="16"/>
        <v/>
      </c>
      <c r="F253" s="317" t="str">
        <f t="shared" si="17"/>
        <v/>
      </c>
      <c r="G253" s="323" t="str">
        <f t="shared" si="18"/>
        <v/>
      </c>
      <c r="H253" s="327" t="str">
        <f t="shared" si="19"/>
        <v/>
      </c>
      <c r="I253" s="327" t="str">
        <f t="shared" si="20"/>
        <v/>
      </c>
      <c r="J253" s="301" t="str">
        <f t="shared" si="21"/>
        <v/>
      </c>
      <c r="K253" s="301" t="str">
        <f t="shared" si="22"/>
        <v/>
      </c>
      <c r="L253" s="344" t="str">
        <f t="array" ref="L253">IF($T253="","",LET(m,MATCH($T253,$AS$24:$AS$700,0),lvl,INDEX($W$24:$W$700,m),id,INDEX($X$24:$X$700,m),SWITCH(lvl,3,"Lớp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3" s="351" t="str">
        <f t="shared" si="23"/>
        <v/>
      </c>
      <c r="N253" s="356" t="str">
        <f t="shared" si="24"/>
        <v/>
      </c>
      <c r="O253" s="358"/>
      <c r="P253" s="360"/>
      <c r="Q253" s="360"/>
      <c r="R253" s="67"/>
      <c r="S253" s="67"/>
      <c r="T253" s="67"/>
      <c r="U253" s="389" t="str">
        <f>IF('Lớp 5 - Phân công'!I64="","",'Lớp 5 - Phân công'!K64&amp;"|"&amp;'Lớp 5 - Phân công'!J64&amp;"|"&amp;'Lớp 5 - Phân công'!I64)</f>
        <v/>
      </c>
      <c r="V253" s="389" t="str">
        <f>IF('Lớp 5 - Phân công'!I64="","","       ├─ "&amp;'Lớp 5 - Phân công'!Q64)</f>
        <v/>
      </c>
      <c r="W253" s="389" t="str">
        <f>IF('Lớp 5 - Phân công'!I64="","",5)</f>
        <v/>
      </c>
      <c r="X253" s="67" t="str">
        <f>'Lớp 5 - Phân công'!I64</f>
        <v/>
      </c>
      <c r="Y253" s="67" t="str">
        <f>'Lớp 5 - Phân công'!J64</f>
        <v/>
      </c>
      <c r="Z253" s="67" t="str">
        <f>'Lớp 5 - Phân công'!AA64</f>
        <v/>
      </c>
      <c r="AA253" s="67" t="str">
        <f>'Lớp 5 - Phân công'!Z64</f>
        <v/>
      </c>
      <c r="AB253" s="67" t="str">
        <f>'Lớp 5 - Phân công'!AC64</f>
        <v/>
      </c>
      <c r="AC253" s="67" t="str">
        <f>'Lớp 5 - Phân công'!AB64</f>
        <v/>
      </c>
      <c r="AD253" s="398" t="str">
        <f>'Lớp 5 - Phân công'!AG64</f>
        <v/>
      </c>
      <c r="AE253" s="358" t="str">
        <f>'Lớp 5 - Phân công'!AE64</f>
        <v/>
      </c>
      <c r="AF253" s="187" t="str">
        <f>'Lớp 5 - Phân công'!AH64</f>
        <v/>
      </c>
      <c r="AG253" s="104" t="str">
        <f>'Lớp 5 - Phân công'!AI64</f>
        <v/>
      </c>
      <c r="AH253" s="389" t="str">
        <f t="shared" si="27"/>
        <v/>
      </c>
      <c r="AI253" s="389" t="str">
        <f t="shared" si="37"/>
        <v>🔵 Chưa có hạn</v>
      </c>
      <c r="AJ253" s="67" t="str">
        <f>'Lớp 5 - Phân công'!AL64</f>
        <v/>
      </c>
      <c r="AS253" s="389" t="str">
        <f t="shared" si="217"/>
        <v/>
      </c>
      <c r="AT253" s="389" t="str">
        <f t="shared" si="32"/>
        <v/>
      </c>
      <c r="AU253" s="389" t="str">
        <f t="shared" si="33"/>
        <v/>
      </c>
      <c r="AV253" s="389" t="str">
        <f t="shared" si="34"/>
        <v/>
      </c>
      <c r="AW253" s="389" t="str">
        <f t="shared" si="35"/>
        <v/>
      </c>
      <c r="AX253" s="67" t="str">
        <f t="shared" ref="AX253:BH253" si="267">Z253</f>
        <v/>
      </c>
      <c r="AY253" s="67" t="str">
        <f t="shared" si="267"/>
        <v/>
      </c>
      <c r="AZ253" s="67" t="str">
        <f t="shared" si="267"/>
        <v/>
      </c>
      <c r="BA253" s="67" t="str">
        <f t="shared" si="267"/>
        <v/>
      </c>
      <c r="BB253" s="398" t="str">
        <f t="shared" si="267"/>
        <v/>
      </c>
      <c r="BC253" s="358" t="str">
        <f t="shared" si="267"/>
        <v/>
      </c>
      <c r="BD253" s="187" t="str">
        <f t="shared" si="267"/>
        <v/>
      </c>
      <c r="BE253" s="104" t="str">
        <f t="shared" si="267"/>
        <v/>
      </c>
      <c r="BF253" s="389" t="str">
        <f t="shared" si="267"/>
        <v/>
      </c>
      <c r="BG253" s="389" t="str">
        <f t="shared" si="267"/>
        <v>🔵 Chưa có hạn</v>
      </c>
      <c r="BH253" s="67" t="str">
        <f t="shared" si="267"/>
        <v/>
      </c>
      <c r="BI253" s="389" t="str">
        <f t="array" ref="BI253">IF($X253="","",SWITCH($W253,3,IFERROR(INDEX('Lớp 3 - Công việc chính'!$AF$14:$AF$73,MATCH($X253,'Lớp 3 - Công việc chính'!$I$14:$I$73,0)),""),4,IFERROR(INDEX('Lớp 4 - Danh mục'!$AI$14:$AI$132,MATCH($X253,'Lớp 4 - Danh mục'!$I$14:$I$132,0)),""),5,IFERROR(INDEX('Lớp 5 - Phân công'!$AJ$14:$AJ$262,MATCH($X253,'Lớp 5 - Phân công'!$I$14:$I$262,0)),""),6,IFERROR(INDEX('Lớp 6 - Chi tiết'!$AM$14:$AM$267,MATCH($X253,'Lớp 6 - Chi tiết'!$I$14:$I$267,0)),""),""))</f>
        <v/>
      </c>
      <c r="BJ253" s="389" t="str">
        <f t="array" ref="BJ253">IF($X253="","",SWITCH($W253,3,IFERROR(INDEX('Lớp 3 - Công việc chính'!$AR$14:$AR$73,MATCH($X253,'Lớp 3 - Công việc chính'!$I$14:$I$73,0)),""),4,IFERROR(INDEX('Lớp 4 - Danh mục'!$AU$14:$AU$132,MATCH($X253,'Lớp 4 - Danh mục'!$I$14:$I$132,0)),""),5,IFERROR(INDEX('Lớp 5 - Phân công'!$AV$14:$AV$262,MATCH($X253,'Lớp 5 - Phân công'!$I$14:$I$262,0)),""),6,IFERROR(INDEX('Lớp 6 - Chi tiết'!$AY$14:$AY$267,MATCH($X253,'Lớp 6 - Chi tiết'!$I$14:$I$267,0)),""),""))</f>
        <v/>
      </c>
    </row>
    <row r="254" ht="15.75" customHeight="1">
      <c r="A254" s="294" t="str">
        <f t="shared" si="12"/>
        <v/>
      </c>
      <c r="B254" s="301" t="str">
        <f t="shared" si="13"/>
        <v/>
      </c>
      <c r="C254" s="301" t="str">
        <f t="shared" si="14"/>
        <v/>
      </c>
      <c r="D254" s="301" t="str">
        <f t="shared" si="15"/>
        <v/>
      </c>
      <c r="E254" s="301" t="str">
        <f t="shared" si="16"/>
        <v/>
      </c>
      <c r="F254" s="317" t="str">
        <f t="shared" si="17"/>
        <v/>
      </c>
      <c r="G254" s="323" t="str">
        <f t="shared" si="18"/>
        <v/>
      </c>
      <c r="H254" s="327" t="str">
        <f t="shared" si="19"/>
        <v/>
      </c>
      <c r="I254" s="327" t="str">
        <f t="shared" si="20"/>
        <v/>
      </c>
      <c r="J254" s="301" t="str">
        <f t="shared" si="21"/>
        <v/>
      </c>
      <c r="K254" s="301" t="str">
        <f t="shared" si="22"/>
        <v/>
      </c>
      <c r="L254" s="344" t="str">
        <f t="array" ref="L254">IF($T254="","",LET(m,MATCH($T254,$AS$24:$AS$700,0),lvl,INDEX($W$24:$W$700,m),id,INDEX($X$24:$X$700,m),SWITCH(lvl,3,"Lớp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4" s="351" t="str">
        <f t="shared" si="23"/>
        <v/>
      </c>
      <c r="N254" s="356" t="str">
        <f t="shared" si="24"/>
        <v/>
      </c>
      <c r="O254" s="358"/>
      <c r="P254" s="360"/>
      <c r="Q254" s="360"/>
      <c r="R254" s="67"/>
      <c r="S254" s="67"/>
      <c r="T254" s="67"/>
      <c r="U254" s="389" t="str">
        <f>IF('Lớp 5 - Phân công'!I65="","",'Lớp 5 - Phân công'!K65&amp;"|"&amp;'Lớp 5 - Phân công'!J65&amp;"|"&amp;'Lớp 5 - Phân công'!I65)</f>
        <v/>
      </c>
      <c r="V254" s="389" t="str">
        <f>IF('Lớp 5 - Phân công'!I65="","","       ├─ "&amp;'Lớp 5 - Phân công'!Q65)</f>
        <v/>
      </c>
      <c r="W254" s="389" t="str">
        <f>IF('Lớp 5 - Phân công'!I65="","",5)</f>
        <v/>
      </c>
      <c r="X254" s="67" t="str">
        <f>'Lớp 5 - Phân công'!I65</f>
        <v/>
      </c>
      <c r="Y254" s="67" t="str">
        <f>'Lớp 5 - Phân công'!J65</f>
        <v/>
      </c>
      <c r="Z254" s="67" t="str">
        <f>'Lớp 5 - Phân công'!AA65</f>
        <v/>
      </c>
      <c r="AA254" s="67" t="str">
        <f>'Lớp 5 - Phân công'!Z65</f>
        <v/>
      </c>
      <c r="AB254" s="67" t="str">
        <f>'Lớp 5 - Phân công'!AC65</f>
        <v/>
      </c>
      <c r="AC254" s="67" t="str">
        <f>'Lớp 5 - Phân công'!AB65</f>
        <v/>
      </c>
      <c r="AD254" s="398" t="str">
        <f>'Lớp 5 - Phân công'!AG65</f>
        <v/>
      </c>
      <c r="AE254" s="358" t="str">
        <f>'Lớp 5 - Phân công'!AE65</f>
        <v/>
      </c>
      <c r="AF254" s="187" t="str">
        <f>'Lớp 5 - Phân công'!AH65</f>
        <v/>
      </c>
      <c r="AG254" s="104" t="str">
        <f>'Lớp 5 - Phân công'!AI65</f>
        <v/>
      </c>
      <c r="AH254" s="389" t="str">
        <f t="shared" si="27"/>
        <v/>
      </c>
      <c r="AI254" s="389" t="str">
        <f t="shared" si="37"/>
        <v>🔵 Chưa có hạn</v>
      </c>
      <c r="AJ254" s="67" t="str">
        <f>'Lớp 5 - Phân công'!AL65</f>
        <v/>
      </c>
      <c r="AS254" s="389" t="str">
        <f t="shared" si="217"/>
        <v/>
      </c>
      <c r="AT254" s="389" t="str">
        <f t="shared" si="32"/>
        <v/>
      </c>
      <c r="AU254" s="389" t="str">
        <f t="shared" si="33"/>
        <v/>
      </c>
      <c r="AV254" s="389" t="str">
        <f t="shared" si="34"/>
        <v/>
      </c>
      <c r="AW254" s="389" t="str">
        <f t="shared" si="35"/>
        <v/>
      </c>
      <c r="AX254" s="67" t="str">
        <f t="shared" ref="AX254:BH254" si="268">Z254</f>
        <v/>
      </c>
      <c r="AY254" s="67" t="str">
        <f t="shared" si="268"/>
        <v/>
      </c>
      <c r="AZ254" s="67" t="str">
        <f t="shared" si="268"/>
        <v/>
      </c>
      <c r="BA254" s="67" t="str">
        <f t="shared" si="268"/>
        <v/>
      </c>
      <c r="BB254" s="398" t="str">
        <f t="shared" si="268"/>
        <v/>
      </c>
      <c r="BC254" s="358" t="str">
        <f t="shared" si="268"/>
        <v/>
      </c>
      <c r="BD254" s="187" t="str">
        <f t="shared" si="268"/>
        <v/>
      </c>
      <c r="BE254" s="104" t="str">
        <f t="shared" si="268"/>
        <v/>
      </c>
      <c r="BF254" s="389" t="str">
        <f t="shared" si="268"/>
        <v/>
      </c>
      <c r="BG254" s="389" t="str">
        <f t="shared" si="268"/>
        <v>🔵 Chưa có hạn</v>
      </c>
      <c r="BH254" s="67" t="str">
        <f t="shared" si="268"/>
        <v/>
      </c>
      <c r="BI254" s="389" t="str">
        <f t="array" ref="BI254">IF($X254="","",SWITCH($W254,3,IFERROR(INDEX('Lớp 3 - Công việc chính'!$AF$14:$AF$73,MATCH($X254,'Lớp 3 - Công việc chính'!$I$14:$I$73,0)),""),4,IFERROR(INDEX('Lớp 4 - Danh mục'!$AI$14:$AI$132,MATCH($X254,'Lớp 4 - Danh mục'!$I$14:$I$132,0)),""),5,IFERROR(INDEX('Lớp 5 - Phân công'!$AJ$14:$AJ$262,MATCH($X254,'Lớp 5 - Phân công'!$I$14:$I$262,0)),""),6,IFERROR(INDEX('Lớp 6 - Chi tiết'!$AM$14:$AM$267,MATCH($X254,'Lớp 6 - Chi tiết'!$I$14:$I$267,0)),""),""))</f>
        <v/>
      </c>
      <c r="BJ254" s="389" t="str">
        <f t="array" ref="BJ254">IF($X254="","",SWITCH($W254,3,IFERROR(INDEX('Lớp 3 - Công việc chính'!$AR$14:$AR$73,MATCH($X254,'Lớp 3 - Công việc chính'!$I$14:$I$73,0)),""),4,IFERROR(INDEX('Lớp 4 - Danh mục'!$AU$14:$AU$132,MATCH($X254,'Lớp 4 - Danh mục'!$I$14:$I$132,0)),""),5,IFERROR(INDEX('Lớp 5 - Phân công'!$AV$14:$AV$262,MATCH($X254,'Lớp 5 - Phân công'!$I$14:$I$262,0)),""),6,IFERROR(INDEX('Lớp 6 - Chi tiết'!$AY$14:$AY$267,MATCH($X254,'Lớp 6 - Chi tiết'!$I$14:$I$267,0)),""),""))</f>
        <v/>
      </c>
    </row>
    <row r="255" ht="15.75" customHeight="1">
      <c r="A255" s="294" t="str">
        <f t="shared" si="12"/>
        <v/>
      </c>
      <c r="B255" s="301" t="str">
        <f t="shared" si="13"/>
        <v/>
      </c>
      <c r="C255" s="301" t="str">
        <f t="shared" si="14"/>
        <v/>
      </c>
      <c r="D255" s="301" t="str">
        <f t="shared" si="15"/>
        <v/>
      </c>
      <c r="E255" s="301" t="str">
        <f t="shared" si="16"/>
        <v/>
      </c>
      <c r="F255" s="317" t="str">
        <f t="shared" si="17"/>
        <v/>
      </c>
      <c r="G255" s="323" t="str">
        <f t="shared" si="18"/>
        <v/>
      </c>
      <c r="H255" s="327" t="str">
        <f t="shared" si="19"/>
        <v/>
      </c>
      <c r="I255" s="327" t="str">
        <f t="shared" si="20"/>
        <v/>
      </c>
      <c r="J255" s="301" t="str">
        <f t="shared" si="21"/>
        <v/>
      </c>
      <c r="K255" s="301" t="str">
        <f t="shared" si="22"/>
        <v/>
      </c>
      <c r="L255" s="344" t="str">
        <f t="array" ref="L255">IF($T255="","",LET(m,MATCH($T255,$AS$24:$AS$700,0),lvl,INDEX($W$24:$W$700,m),id,INDEX($X$24:$X$700,m),SWITCH(lvl,3,"Lớp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5" s="351" t="str">
        <f t="shared" si="23"/>
        <v/>
      </c>
      <c r="N255" s="356" t="str">
        <f t="shared" si="24"/>
        <v/>
      </c>
      <c r="O255" s="358"/>
      <c r="P255" s="360"/>
      <c r="Q255" s="360"/>
      <c r="R255" s="67"/>
      <c r="S255" s="67"/>
      <c r="T255" s="67"/>
      <c r="U255" s="389" t="str">
        <f>IF('Lớp 5 - Phân công'!I66="","",'Lớp 5 - Phân công'!K66&amp;"|"&amp;'Lớp 5 - Phân công'!J66&amp;"|"&amp;'Lớp 5 - Phân công'!I66)</f>
        <v/>
      </c>
      <c r="V255" s="389" t="str">
        <f>IF('Lớp 5 - Phân công'!I66="","","       ├─ "&amp;'Lớp 5 - Phân công'!Q66)</f>
        <v/>
      </c>
      <c r="W255" s="389" t="str">
        <f>IF('Lớp 5 - Phân công'!I66="","",5)</f>
        <v/>
      </c>
      <c r="X255" s="67" t="str">
        <f>'Lớp 5 - Phân công'!I66</f>
        <v/>
      </c>
      <c r="Y255" s="67" t="str">
        <f>'Lớp 5 - Phân công'!J66</f>
        <v/>
      </c>
      <c r="Z255" s="67" t="str">
        <f>'Lớp 5 - Phân công'!AA66</f>
        <v/>
      </c>
      <c r="AA255" s="67" t="str">
        <f>'Lớp 5 - Phân công'!Z66</f>
        <v/>
      </c>
      <c r="AB255" s="67" t="str">
        <f>'Lớp 5 - Phân công'!AC66</f>
        <v/>
      </c>
      <c r="AC255" s="67" t="str">
        <f>'Lớp 5 - Phân công'!AB66</f>
        <v/>
      </c>
      <c r="AD255" s="398" t="str">
        <f>'Lớp 5 - Phân công'!AG66</f>
        <v/>
      </c>
      <c r="AE255" s="358" t="str">
        <f>'Lớp 5 - Phân công'!AE66</f>
        <v/>
      </c>
      <c r="AF255" s="187" t="str">
        <f>'Lớp 5 - Phân công'!AH66</f>
        <v/>
      </c>
      <c r="AG255" s="104" t="str">
        <f>'Lớp 5 - Phân công'!AI66</f>
        <v/>
      </c>
      <c r="AH255" s="389" t="str">
        <f t="shared" si="27"/>
        <v/>
      </c>
      <c r="AI255" s="389" t="str">
        <f t="shared" si="37"/>
        <v>🔵 Chưa có hạn</v>
      </c>
      <c r="AJ255" s="67" t="str">
        <f>'Lớp 5 - Phân công'!AL66</f>
        <v/>
      </c>
      <c r="AS255" s="389" t="str">
        <f t="shared" si="217"/>
        <v/>
      </c>
      <c r="AT255" s="389" t="str">
        <f t="shared" si="32"/>
        <v/>
      </c>
      <c r="AU255" s="389" t="str">
        <f t="shared" si="33"/>
        <v/>
      </c>
      <c r="AV255" s="389" t="str">
        <f t="shared" si="34"/>
        <v/>
      </c>
      <c r="AW255" s="389" t="str">
        <f t="shared" si="35"/>
        <v/>
      </c>
      <c r="AX255" s="67" t="str">
        <f t="shared" ref="AX255:BH255" si="269">Z255</f>
        <v/>
      </c>
      <c r="AY255" s="67" t="str">
        <f t="shared" si="269"/>
        <v/>
      </c>
      <c r="AZ255" s="67" t="str">
        <f t="shared" si="269"/>
        <v/>
      </c>
      <c r="BA255" s="67" t="str">
        <f t="shared" si="269"/>
        <v/>
      </c>
      <c r="BB255" s="398" t="str">
        <f t="shared" si="269"/>
        <v/>
      </c>
      <c r="BC255" s="358" t="str">
        <f t="shared" si="269"/>
        <v/>
      </c>
      <c r="BD255" s="187" t="str">
        <f t="shared" si="269"/>
        <v/>
      </c>
      <c r="BE255" s="104" t="str">
        <f t="shared" si="269"/>
        <v/>
      </c>
      <c r="BF255" s="389" t="str">
        <f t="shared" si="269"/>
        <v/>
      </c>
      <c r="BG255" s="389" t="str">
        <f t="shared" si="269"/>
        <v>🔵 Chưa có hạn</v>
      </c>
      <c r="BH255" s="67" t="str">
        <f t="shared" si="269"/>
        <v/>
      </c>
      <c r="BI255" s="389" t="str">
        <f t="array" ref="BI255">IF($X255="","",SWITCH($W255,3,IFERROR(INDEX('Lớp 3 - Công việc chính'!$AF$14:$AF$73,MATCH($X255,'Lớp 3 - Công việc chính'!$I$14:$I$73,0)),""),4,IFERROR(INDEX('Lớp 4 - Danh mục'!$AI$14:$AI$132,MATCH($X255,'Lớp 4 - Danh mục'!$I$14:$I$132,0)),""),5,IFERROR(INDEX('Lớp 5 - Phân công'!$AJ$14:$AJ$262,MATCH($X255,'Lớp 5 - Phân công'!$I$14:$I$262,0)),""),6,IFERROR(INDEX('Lớp 6 - Chi tiết'!$AM$14:$AM$267,MATCH($X255,'Lớp 6 - Chi tiết'!$I$14:$I$267,0)),""),""))</f>
        <v/>
      </c>
      <c r="BJ255" s="389" t="str">
        <f t="array" ref="BJ255">IF($X255="","",SWITCH($W255,3,IFERROR(INDEX('Lớp 3 - Công việc chính'!$AR$14:$AR$73,MATCH($X255,'Lớp 3 - Công việc chính'!$I$14:$I$73,0)),""),4,IFERROR(INDEX('Lớp 4 - Danh mục'!$AU$14:$AU$132,MATCH($X255,'Lớp 4 - Danh mục'!$I$14:$I$132,0)),""),5,IFERROR(INDEX('Lớp 5 - Phân công'!$AV$14:$AV$262,MATCH($X255,'Lớp 5 - Phân công'!$I$14:$I$262,0)),""),6,IFERROR(INDEX('Lớp 6 - Chi tiết'!$AY$14:$AY$267,MATCH($X255,'Lớp 6 - Chi tiết'!$I$14:$I$267,0)),""),""))</f>
        <v/>
      </c>
    </row>
    <row r="256" ht="15.75" customHeight="1">
      <c r="A256" s="294" t="str">
        <f t="shared" si="12"/>
        <v/>
      </c>
      <c r="B256" s="301" t="str">
        <f t="shared" si="13"/>
        <v/>
      </c>
      <c r="C256" s="301" t="str">
        <f t="shared" si="14"/>
        <v/>
      </c>
      <c r="D256" s="301" t="str">
        <f t="shared" si="15"/>
        <v/>
      </c>
      <c r="E256" s="301" t="str">
        <f t="shared" si="16"/>
        <v/>
      </c>
      <c r="F256" s="317" t="str">
        <f t="shared" si="17"/>
        <v/>
      </c>
      <c r="G256" s="323" t="str">
        <f t="shared" si="18"/>
        <v/>
      </c>
      <c r="H256" s="327" t="str">
        <f t="shared" si="19"/>
        <v/>
      </c>
      <c r="I256" s="327" t="str">
        <f t="shared" si="20"/>
        <v/>
      </c>
      <c r="J256" s="301" t="str">
        <f t="shared" si="21"/>
        <v/>
      </c>
      <c r="K256" s="301" t="str">
        <f t="shared" si="22"/>
        <v/>
      </c>
      <c r="L256" s="344" t="str">
        <f t="array" ref="L256">IF($T256="","",LET(m,MATCH($T256,$AS$24:$AS$700,0),lvl,INDEX($W$24:$W$700,m),id,INDEX($X$24:$X$700,m),SWITCH(lvl,3,"Lớp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6" s="351" t="str">
        <f t="shared" si="23"/>
        <v/>
      </c>
      <c r="N256" s="356" t="str">
        <f t="shared" si="24"/>
        <v/>
      </c>
      <c r="O256" s="358"/>
      <c r="P256" s="360"/>
      <c r="Q256" s="360"/>
      <c r="R256" s="67"/>
      <c r="S256" s="67"/>
      <c r="T256" s="67"/>
      <c r="U256" s="389" t="str">
        <f>IF('Lớp 5 - Phân công'!I67="","",'Lớp 5 - Phân công'!K67&amp;"|"&amp;'Lớp 5 - Phân công'!J67&amp;"|"&amp;'Lớp 5 - Phân công'!I67)</f>
        <v/>
      </c>
      <c r="V256" s="389" t="str">
        <f>IF('Lớp 5 - Phân công'!I67="","","       ├─ "&amp;'Lớp 5 - Phân công'!Q67)</f>
        <v/>
      </c>
      <c r="W256" s="389" t="str">
        <f>IF('Lớp 5 - Phân công'!I67="","",5)</f>
        <v/>
      </c>
      <c r="X256" s="67" t="str">
        <f>'Lớp 5 - Phân công'!I67</f>
        <v/>
      </c>
      <c r="Y256" s="67" t="str">
        <f>'Lớp 5 - Phân công'!J67</f>
        <v/>
      </c>
      <c r="Z256" s="67" t="str">
        <f>'Lớp 5 - Phân công'!AA67</f>
        <v/>
      </c>
      <c r="AA256" s="67" t="str">
        <f>'Lớp 5 - Phân công'!Z67</f>
        <v/>
      </c>
      <c r="AB256" s="67" t="str">
        <f>'Lớp 5 - Phân công'!AC67</f>
        <v/>
      </c>
      <c r="AC256" s="67" t="str">
        <f>'Lớp 5 - Phân công'!AB67</f>
        <v/>
      </c>
      <c r="AD256" s="398" t="str">
        <f>'Lớp 5 - Phân công'!AG67</f>
        <v/>
      </c>
      <c r="AE256" s="358" t="str">
        <f>'Lớp 5 - Phân công'!AE67</f>
        <v/>
      </c>
      <c r="AF256" s="187" t="str">
        <f>'Lớp 5 - Phân công'!AH67</f>
        <v/>
      </c>
      <c r="AG256" s="104" t="str">
        <f>'Lớp 5 - Phân công'!AI67</f>
        <v/>
      </c>
      <c r="AH256" s="389" t="str">
        <f t="shared" si="27"/>
        <v/>
      </c>
      <c r="AI256" s="389" t="str">
        <f t="shared" si="37"/>
        <v>🔵 Chưa có hạn</v>
      </c>
      <c r="AJ256" s="67" t="str">
        <f>'Lớp 5 - Phân công'!AL67</f>
        <v/>
      </c>
      <c r="AS256" s="389" t="str">
        <f t="shared" si="217"/>
        <v/>
      </c>
      <c r="AT256" s="389" t="str">
        <f t="shared" si="32"/>
        <v/>
      </c>
      <c r="AU256" s="389" t="str">
        <f t="shared" si="33"/>
        <v/>
      </c>
      <c r="AV256" s="389" t="str">
        <f t="shared" si="34"/>
        <v/>
      </c>
      <c r="AW256" s="389" t="str">
        <f t="shared" si="35"/>
        <v/>
      </c>
      <c r="AX256" s="67" t="str">
        <f t="shared" ref="AX256:BH256" si="270">Z256</f>
        <v/>
      </c>
      <c r="AY256" s="67" t="str">
        <f t="shared" si="270"/>
        <v/>
      </c>
      <c r="AZ256" s="67" t="str">
        <f t="shared" si="270"/>
        <v/>
      </c>
      <c r="BA256" s="67" t="str">
        <f t="shared" si="270"/>
        <v/>
      </c>
      <c r="BB256" s="398" t="str">
        <f t="shared" si="270"/>
        <v/>
      </c>
      <c r="BC256" s="358" t="str">
        <f t="shared" si="270"/>
        <v/>
      </c>
      <c r="BD256" s="187" t="str">
        <f t="shared" si="270"/>
        <v/>
      </c>
      <c r="BE256" s="104" t="str">
        <f t="shared" si="270"/>
        <v/>
      </c>
      <c r="BF256" s="389" t="str">
        <f t="shared" si="270"/>
        <v/>
      </c>
      <c r="BG256" s="389" t="str">
        <f t="shared" si="270"/>
        <v>🔵 Chưa có hạn</v>
      </c>
      <c r="BH256" s="67" t="str">
        <f t="shared" si="270"/>
        <v/>
      </c>
      <c r="BI256" s="389" t="str">
        <f t="array" ref="BI256">IF($X256="","",SWITCH($W256,3,IFERROR(INDEX('Lớp 3 - Công việc chính'!$AF$14:$AF$73,MATCH($X256,'Lớp 3 - Công việc chính'!$I$14:$I$73,0)),""),4,IFERROR(INDEX('Lớp 4 - Danh mục'!$AI$14:$AI$132,MATCH($X256,'Lớp 4 - Danh mục'!$I$14:$I$132,0)),""),5,IFERROR(INDEX('Lớp 5 - Phân công'!$AJ$14:$AJ$262,MATCH($X256,'Lớp 5 - Phân công'!$I$14:$I$262,0)),""),6,IFERROR(INDEX('Lớp 6 - Chi tiết'!$AM$14:$AM$267,MATCH($X256,'Lớp 6 - Chi tiết'!$I$14:$I$267,0)),""),""))</f>
        <v/>
      </c>
      <c r="BJ256" s="389" t="str">
        <f t="array" ref="BJ256">IF($X256="","",SWITCH($W256,3,IFERROR(INDEX('Lớp 3 - Công việc chính'!$AR$14:$AR$73,MATCH($X256,'Lớp 3 - Công việc chính'!$I$14:$I$73,0)),""),4,IFERROR(INDEX('Lớp 4 - Danh mục'!$AU$14:$AU$132,MATCH($X256,'Lớp 4 - Danh mục'!$I$14:$I$132,0)),""),5,IFERROR(INDEX('Lớp 5 - Phân công'!$AV$14:$AV$262,MATCH($X256,'Lớp 5 - Phân công'!$I$14:$I$262,0)),""),6,IFERROR(INDEX('Lớp 6 - Chi tiết'!$AY$14:$AY$267,MATCH($X256,'Lớp 6 - Chi tiết'!$I$14:$I$267,0)),""),""))</f>
        <v/>
      </c>
    </row>
    <row r="257" ht="15.75" customHeight="1">
      <c r="A257" s="294" t="str">
        <f t="shared" si="12"/>
        <v/>
      </c>
      <c r="B257" s="301" t="str">
        <f t="shared" si="13"/>
        <v/>
      </c>
      <c r="C257" s="301" t="str">
        <f t="shared" si="14"/>
        <v/>
      </c>
      <c r="D257" s="301" t="str">
        <f t="shared" si="15"/>
        <v/>
      </c>
      <c r="E257" s="301" t="str">
        <f t="shared" si="16"/>
        <v/>
      </c>
      <c r="F257" s="317" t="str">
        <f t="shared" si="17"/>
        <v/>
      </c>
      <c r="G257" s="323" t="str">
        <f t="shared" si="18"/>
        <v/>
      </c>
      <c r="H257" s="327" t="str">
        <f t="shared" si="19"/>
        <v/>
      </c>
      <c r="I257" s="327" t="str">
        <f t="shared" si="20"/>
        <v/>
      </c>
      <c r="J257" s="301" t="str">
        <f t="shared" si="21"/>
        <v/>
      </c>
      <c r="K257" s="301" t="str">
        <f t="shared" si="22"/>
        <v/>
      </c>
      <c r="L257" s="344" t="str">
        <f t="array" ref="L257">IF($T257="","",LET(m,MATCH($T257,$AS$24:$AS$700,0),lvl,INDEX($W$24:$W$700,m),id,INDEX($X$24:$X$700,m),SWITCH(lvl,3,"Lớp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7" s="351" t="str">
        <f t="shared" si="23"/>
        <v/>
      </c>
      <c r="N257" s="356" t="str">
        <f t="shared" si="24"/>
        <v/>
      </c>
      <c r="O257" s="358"/>
      <c r="P257" s="360"/>
      <c r="Q257" s="360"/>
      <c r="R257" s="67"/>
      <c r="S257" s="67"/>
      <c r="T257" s="67"/>
      <c r="U257" s="389" t="str">
        <f>IF('Lớp 5 - Phân công'!I68="","",'Lớp 5 - Phân công'!K68&amp;"|"&amp;'Lớp 5 - Phân công'!J68&amp;"|"&amp;'Lớp 5 - Phân công'!I68)</f>
        <v/>
      </c>
      <c r="V257" s="389" t="str">
        <f>IF('Lớp 5 - Phân công'!I68="","","       ├─ "&amp;'Lớp 5 - Phân công'!Q68)</f>
        <v/>
      </c>
      <c r="W257" s="389" t="str">
        <f>IF('Lớp 5 - Phân công'!I68="","",5)</f>
        <v/>
      </c>
      <c r="X257" s="67" t="str">
        <f>'Lớp 5 - Phân công'!I68</f>
        <v/>
      </c>
      <c r="Y257" s="67" t="str">
        <f>'Lớp 5 - Phân công'!J68</f>
        <v/>
      </c>
      <c r="Z257" s="67" t="str">
        <f>'Lớp 5 - Phân công'!AA68</f>
        <v/>
      </c>
      <c r="AA257" s="67" t="str">
        <f>'Lớp 5 - Phân công'!Z68</f>
        <v/>
      </c>
      <c r="AB257" s="67" t="str">
        <f>'Lớp 5 - Phân công'!AC68</f>
        <v/>
      </c>
      <c r="AC257" s="67" t="str">
        <f>'Lớp 5 - Phân công'!AB68</f>
        <v/>
      </c>
      <c r="AD257" s="398" t="str">
        <f>'Lớp 5 - Phân công'!AG68</f>
        <v/>
      </c>
      <c r="AE257" s="358" t="str">
        <f>'Lớp 5 - Phân công'!AE68</f>
        <v/>
      </c>
      <c r="AF257" s="187" t="str">
        <f>'Lớp 5 - Phân công'!AH68</f>
        <v/>
      </c>
      <c r="AG257" s="104" t="str">
        <f>'Lớp 5 - Phân công'!AI68</f>
        <v/>
      </c>
      <c r="AH257" s="389" t="str">
        <f t="shared" si="27"/>
        <v/>
      </c>
      <c r="AI257" s="389" t="str">
        <f t="shared" si="37"/>
        <v>🔵 Chưa có hạn</v>
      </c>
      <c r="AJ257" s="67" t="str">
        <f>'Lớp 5 - Phân công'!AL68</f>
        <v/>
      </c>
      <c r="AS257" s="389" t="str">
        <f t="shared" si="217"/>
        <v/>
      </c>
      <c r="AT257" s="389" t="str">
        <f t="shared" si="32"/>
        <v/>
      </c>
      <c r="AU257" s="389" t="str">
        <f t="shared" si="33"/>
        <v/>
      </c>
      <c r="AV257" s="389" t="str">
        <f t="shared" si="34"/>
        <v/>
      </c>
      <c r="AW257" s="389" t="str">
        <f t="shared" si="35"/>
        <v/>
      </c>
      <c r="AX257" s="67" t="str">
        <f t="shared" ref="AX257:BH257" si="271">Z257</f>
        <v/>
      </c>
      <c r="AY257" s="67" t="str">
        <f t="shared" si="271"/>
        <v/>
      </c>
      <c r="AZ257" s="67" t="str">
        <f t="shared" si="271"/>
        <v/>
      </c>
      <c r="BA257" s="67" t="str">
        <f t="shared" si="271"/>
        <v/>
      </c>
      <c r="BB257" s="398" t="str">
        <f t="shared" si="271"/>
        <v/>
      </c>
      <c r="BC257" s="358" t="str">
        <f t="shared" si="271"/>
        <v/>
      </c>
      <c r="BD257" s="187" t="str">
        <f t="shared" si="271"/>
        <v/>
      </c>
      <c r="BE257" s="104" t="str">
        <f t="shared" si="271"/>
        <v/>
      </c>
      <c r="BF257" s="389" t="str">
        <f t="shared" si="271"/>
        <v/>
      </c>
      <c r="BG257" s="389" t="str">
        <f t="shared" si="271"/>
        <v>🔵 Chưa có hạn</v>
      </c>
      <c r="BH257" s="67" t="str">
        <f t="shared" si="271"/>
        <v/>
      </c>
      <c r="BI257" s="389" t="str">
        <f t="array" ref="BI257">IF($X257="","",SWITCH($W257,3,IFERROR(INDEX('Lớp 3 - Công việc chính'!$AF$14:$AF$73,MATCH($X257,'Lớp 3 - Công việc chính'!$I$14:$I$73,0)),""),4,IFERROR(INDEX('Lớp 4 - Danh mục'!$AI$14:$AI$132,MATCH($X257,'Lớp 4 - Danh mục'!$I$14:$I$132,0)),""),5,IFERROR(INDEX('Lớp 5 - Phân công'!$AJ$14:$AJ$262,MATCH($X257,'Lớp 5 - Phân công'!$I$14:$I$262,0)),""),6,IFERROR(INDEX('Lớp 6 - Chi tiết'!$AM$14:$AM$267,MATCH($X257,'Lớp 6 - Chi tiết'!$I$14:$I$267,0)),""),""))</f>
        <v/>
      </c>
      <c r="BJ257" s="389" t="str">
        <f t="array" ref="BJ257">IF($X257="","",SWITCH($W257,3,IFERROR(INDEX('Lớp 3 - Công việc chính'!$AR$14:$AR$73,MATCH($X257,'Lớp 3 - Công việc chính'!$I$14:$I$73,0)),""),4,IFERROR(INDEX('Lớp 4 - Danh mục'!$AU$14:$AU$132,MATCH($X257,'Lớp 4 - Danh mục'!$I$14:$I$132,0)),""),5,IFERROR(INDEX('Lớp 5 - Phân công'!$AV$14:$AV$262,MATCH($X257,'Lớp 5 - Phân công'!$I$14:$I$262,0)),""),6,IFERROR(INDEX('Lớp 6 - Chi tiết'!$AY$14:$AY$267,MATCH($X257,'Lớp 6 - Chi tiết'!$I$14:$I$267,0)),""),""))</f>
        <v/>
      </c>
    </row>
    <row r="258" ht="15.75" customHeight="1">
      <c r="A258" s="294" t="str">
        <f t="shared" si="12"/>
        <v/>
      </c>
      <c r="B258" s="301" t="str">
        <f t="shared" si="13"/>
        <v/>
      </c>
      <c r="C258" s="301" t="str">
        <f t="shared" si="14"/>
        <v/>
      </c>
      <c r="D258" s="301" t="str">
        <f t="shared" si="15"/>
        <v/>
      </c>
      <c r="E258" s="301" t="str">
        <f t="shared" si="16"/>
        <v/>
      </c>
      <c r="F258" s="317" t="str">
        <f t="shared" si="17"/>
        <v/>
      </c>
      <c r="G258" s="323" t="str">
        <f t="shared" si="18"/>
        <v/>
      </c>
      <c r="H258" s="327" t="str">
        <f t="shared" si="19"/>
        <v/>
      </c>
      <c r="I258" s="327" t="str">
        <f t="shared" si="20"/>
        <v/>
      </c>
      <c r="J258" s="301" t="str">
        <f t="shared" si="21"/>
        <v/>
      </c>
      <c r="K258" s="301" t="str">
        <f t="shared" si="22"/>
        <v/>
      </c>
      <c r="L258" s="344" t="str">
        <f t="array" ref="L258">IF($T258="","",LET(m,MATCH($T258,$AS$24:$AS$700,0),lvl,INDEX($W$24:$W$700,m),id,INDEX($X$24:$X$700,m),SWITCH(lvl,3,"Lớp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8" s="351" t="str">
        <f t="shared" si="23"/>
        <v/>
      </c>
      <c r="N258" s="356" t="str">
        <f t="shared" si="24"/>
        <v/>
      </c>
      <c r="O258" s="358"/>
      <c r="P258" s="360"/>
      <c r="Q258" s="360"/>
      <c r="R258" s="67"/>
      <c r="S258" s="67"/>
      <c r="T258" s="67"/>
      <c r="U258" s="389" t="str">
        <f>IF('Lớp 5 - Phân công'!I69="","",'Lớp 5 - Phân công'!K69&amp;"|"&amp;'Lớp 5 - Phân công'!J69&amp;"|"&amp;'Lớp 5 - Phân công'!I69)</f>
        <v/>
      </c>
      <c r="V258" s="389" t="str">
        <f>IF('Lớp 5 - Phân công'!I69="","","       ├─ "&amp;'Lớp 5 - Phân công'!Q69)</f>
        <v/>
      </c>
      <c r="W258" s="389" t="str">
        <f>IF('Lớp 5 - Phân công'!I69="","",5)</f>
        <v/>
      </c>
      <c r="X258" s="67" t="str">
        <f>'Lớp 5 - Phân công'!I69</f>
        <v/>
      </c>
      <c r="Y258" s="67" t="str">
        <f>'Lớp 5 - Phân công'!J69</f>
        <v/>
      </c>
      <c r="Z258" s="67" t="str">
        <f>'Lớp 5 - Phân công'!AA69</f>
        <v/>
      </c>
      <c r="AA258" s="67" t="str">
        <f>'Lớp 5 - Phân công'!Z69</f>
        <v/>
      </c>
      <c r="AB258" s="67" t="str">
        <f>'Lớp 5 - Phân công'!AC69</f>
        <v/>
      </c>
      <c r="AC258" s="67" t="str">
        <f>'Lớp 5 - Phân công'!AB69</f>
        <v/>
      </c>
      <c r="AD258" s="398" t="str">
        <f>'Lớp 5 - Phân công'!AG69</f>
        <v/>
      </c>
      <c r="AE258" s="358" t="str">
        <f>'Lớp 5 - Phân công'!AE69</f>
        <v/>
      </c>
      <c r="AF258" s="187" t="str">
        <f>'Lớp 5 - Phân công'!AH69</f>
        <v/>
      </c>
      <c r="AG258" s="104" t="str">
        <f>'Lớp 5 - Phân công'!AI69</f>
        <v/>
      </c>
      <c r="AH258" s="389" t="str">
        <f t="shared" si="27"/>
        <v/>
      </c>
      <c r="AI258" s="389" t="str">
        <f t="shared" si="37"/>
        <v>🔵 Chưa có hạn</v>
      </c>
      <c r="AJ258" s="67" t="str">
        <f>'Lớp 5 - Phân công'!AL69</f>
        <v/>
      </c>
      <c r="AS258" s="389" t="str">
        <f t="shared" si="217"/>
        <v/>
      </c>
      <c r="AT258" s="389" t="str">
        <f t="shared" si="32"/>
        <v/>
      </c>
      <c r="AU258" s="389" t="str">
        <f t="shared" si="33"/>
        <v/>
      </c>
      <c r="AV258" s="389" t="str">
        <f t="shared" si="34"/>
        <v/>
      </c>
      <c r="AW258" s="389" t="str">
        <f t="shared" si="35"/>
        <v/>
      </c>
      <c r="AX258" s="67" t="str">
        <f t="shared" ref="AX258:BH258" si="272">Z258</f>
        <v/>
      </c>
      <c r="AY258" s="67" t="str">
        <f t="shared" si="272"/>
        <v/>
      </c>
      <c r="AZ258" s="67" t="str">
        <f t="shared" si="272"/>
        <v/>
      </c>
      <c r="BA258" s="67" t="str">
        <f t="shared" si="272"/>
        <v/>
      </c>
      <c r="BB258" s="398" t="str">
        <f t="shared" si="272"/>
        <v/>
      </c>
      <c r="BC258" s="358" t="str">
        <f t="shared" si="272"/>
        <v/>
      </c>
      <c r="BD258" s="187" t="str">
        <f t="shared" si="272"/>
        <v/>
      </c>
      <c r="BE258" s="104" t="str">
        <f t="shared" si="272"/>
        <v/>
      </c>
      <c r="BF258" s="389" t="str">
        <f t="shared" si="272"/>
        <v/>
      </c>
      <c r="BG258" s="389" t="str">
        <f t="shared" si="272"/>
        <v>🔵 Chưa có hạn</v>
      </c>
      <c r="BH258" s="67" t="str">
        <f t="shared" si="272"/>
        <v/>
      </c>
      <c r="BI258" s="389" t="str">
        <f t="array" ref="BI258">IF($X258="","",SWITCH($W258,3,IFERROR(INDEX('Lớp 3 - Công việc chính'!$AF$14:$AF$73,MATCH($X258,'Lớp 3 - Công việc chính'!$I$14:$I$73,0)),""),4,IFERROR(INDEX('Lớp 4 - Danh mục'!$AI$14:$AI$132,MATCH($X258,'Lớp 4 - Danh mục'!$I$14:$I$132,0)),""),5,IFERROR(INDEX('Lớp 5 - Phân công'!$AJ$14:$AJ$262,MATCH($X258,'Lớp 5 - Phân công'!$I$14:$I$262,0)),""),6,IFERROR(INDEX('Lớp 6 - Chi tiết'!$AM$14:$AM$267,MATCH($X258,'Lớp 6 - Chi tiết'!$I$14:$I$267,0)),""),""))</f>
        <v/>
      </c>
      <c r="BJ258" s="389" t="str">
        <f t="array" ref="BJ258">IF($X258="","",SWITCH($W258,3,IFERROR(INDEX('Lớp 3 - Công việc chính'!$AR$14:$AR$73,MATCH($X258,'Lớp 3 - Công việc chính'!$I$14:$I$73,0)),""),4,IFERROR(INDEX('Lớp 4 - Danh mục'!$AU$14:$AU$132,MATCH($X258,'Lớp 4 - Danh mục'!$I$14:$I$132,0)),""),5,IFERROR(INDEX('Lớp 5 - Phân công'!$AV$14:$AV$262,MATCH($X258,'Lớp 5 - Phân công'!$I$14:$I$262,0)),""),6,IFERROR(INDEX('Lớp 6 - Chi tiết'!$AY$14:$AY$267,MATCH($X258,'Lớp 6 - Chi tiết'!$I$14:$I$267,0)),""),""))</f>
        <v/>
      </c>
    </row>
    <row r="259" ht="15.75" customHeight="1">
      <c r="A259" s="294" t="str">
        <f t="shared" si="12"/>
        <v/>
      </c>
      <c r="B259" s="301" t="str">
        <f t="shared" si="13"/>
        <v/>
      </c>
      <c r="C259" s="301" t="str">
        <f t="shared" si="14"/>
        <v/>
      </c>
      <c r="D259" s="301" t="str">
        <f t="shared" si="15"/>
        <v/>
      </c>
      <c r="E259" s="301" t="str">
        <f t="shared" si="16"/>
        <v/>
      </c>
      <c r="F259" s="317" t="str">
        <f t="shared" si="17"/>
        <v/>
      </c>
      <c r="G259" s="323" t="str">
        <f t="shared" si="18"/>
        <v/>
      </c>
      <c r="H259" s="327" t="str">
        <f t="shared" si="19"/>
        <v/>
      </c>
      <c r="I259" s="327" t="str">
        <f t="shared" si="20"/>
        <v/>
      </c>
      <c r="J259" s="301" t="str">
        <f t="shared" si="21"/>
        <v/>
      </c>
      <c r="K259" s="301" t="str">
        <f t="shared" si="22"/>
        <v/>
      </c>
      <c r="L259" s="344" t="str">
        <f t="array" ref="L259">IF($T259="","",LET(m,MATCH($T259,$AS$24:$AS$700,0),lvl,INDEX($W$24:$W$700,m),id,INDEX($X$24:$X$700,m),SWITCH(lvl,3,"Lớp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59" s="351" t="str">
        <f t="shared" si="23"/>
        <v/>
      </c>
      <c r="N259" s="356" t="str">
        <f t="shared" si="24"/>
        <v/>
      </c>
      <c r="O259" s="358"/>
      <c r="P259" s="360"/>
      <c r="Q259" s="360"/>
      <c r="R259" s="67"/>
      <c r="S259" s="67"/>
      <c r="T259" s="67"/>
      <c r="U259" s="389" t="str">
        <f>IF('Lớp 5 - Phân công'!I70="","",'Lớp 5 - Phân công'!K70&amp;"|"&amp;'Lớp 5 - Phân công'!J70&amp;"|"&amp;'Lớp 5 - Phân công'!I70)</f>
        <v/>
      </c>
      <c r="V259" s="389" t="str">
        <f>IF('Lớp 5 - Phân công'!I70="","","       ├─ "&amp;'Lớp 5 - Phân công'!Q70)</f>
        <v/>
      </c>
      <c r="W259" s="389" t="str">
        <f>IF('Lớp 5 - Phân công'!I70="","",5)</f>
        <v/>
      </c>
      <c r="X259" s="67" t="str">
        <f>'Lớp 5 - Phân công'!I70</f>
        <v/>
      </c>
      <c r="Y259" s="67" t="str">
        <f>'Lớp 5 - Phân công'!J70</f>
        <v/>
      </c>
      <c r="Z259" s="67" t="str">
        <f>'Lớp 5 - Phân công'!AA70</f>
        <v/>
      </c>
      <c r="AA259" s="67" t="str">
        <f>'Lớp 5 - Phân công'!Z70</f>
        <v/>
      </c>
      <c r="AB259" s="67" t="str">
        <f>'Lớp 5 - Phân công'!AC70</f>
        <v/>
      </c>
      <c r="AC259" s="67" t="str">
        <f>'Lớp 5 - Phân công'!AB70</f>
        <v/>
      </c>
      <c r="AD259" s="398" t="str">
        <f>'Lớp 5 - Phân công'!AG70</f>
        <v/>
      </c>
      <c r="AE259" s="358" t="str">
        <f>'Lớp 5 - Phân công'!AE70</f>
        <v/>
      </c>
      <c r="AF259" s="187" t="str">
        <f>'Lớp 5 - Phân công'!AH70</f>
        <v/>
      </c>
      <c r="AG259" s="104" t="str">
        <f>'Lớp 5 - Phân công'!AI70</f>
        <v/>
      </c>
      <c r="AH259" s="389" t="str">
        <f t="shared" si="27"/>
        <v/>
      </c>
      <c r="AI259" s="389" t="str">
        <f t="shared" si="37"/>
        <v>🔵 Chưa có hạn</v>
      </c>
      <c r="AJ259" s="67" t="str">
        <f>'Lớp 5 - Phân công'!AL70</f>
        <v/>
      </c>
      <c r="AS259" s="389" t="str">
        <f t="shared" si="217"/>
        <v/>
      </c>
      <c r="AT259" s="389" t="str">
        <f t="shared" si="32"/>
        <v/>
      </c>
      <c r="AU259" s="389" t="str">
        <f t="shared" si="33"/>
        <v/>
      </c>
      <c r="AV259" s="389" t="str">
        <f t="shared" si="34"/>
        <v/>
      </c>
      <c r="AW259" s="389" t="str">
        <f t="shared" si="35"/>
        <v/>
      </c>
      <c r="AX259" s="67" t="str">
        <f t="shared" ref="AX259:BH259" si="273">Z259</f>
        <v/>
      </c>
      <c r="AY259" s="67" t="str">
        <f t="shared" si="273"/>
        <v/>
      </c>
      <c r="AZ259" s="67" t="str">
        <f t="shared" si="273"/>
        <v/>
      </c>
      <c r="BA259" s="67" t="str">
        <f t="shared" si="273"/>
        <v/>
      </c>
      <c r="BB259" s="398" t="str">
        <f t="shared" si="273"/>
        <v/>
      </c>
      <c r="BC259" s="358" t="str">
        <f t="shared" si="273"/>
        <v/>
      </c>
      <c r="BD259" s="187" t="str">
        <f t="shared" si="273"/>
        <v/>
      </c>
      <c r="BE259" s="104" t="str">
        <f t="shared" si="273"/>
        <v/>
      </c>
      <c r="BF259" s="389" t="str">
        <f t="shared" si="273"/>
        <v/>
      </c>
      <c r="BG259" s="389" t="str">
        <f t="shared" si="273"/>
        <v>🔵 Chưa có hạn</v>
      </c>
      <c r="BH259" s="67" t="str">
        <f t="shared" si="273"/>
        <v/>
      </c>
      <c r="BI259" s="389" t="str">
        <f t="array" ref="BI259">IF($X259="","",SWITCH($W259,3,IFERROR(INDEX('Lớp 3 - Công việc chính'!$AF$14:$AF$73,MATCH($X259,'Lớp 3 - Công việc chính'!$I$14:$I$73,0)),""),4,IFERROR(INDEX('Lớp 4 - Danh mục'!$AI$14:$AI$132,MATCH($X259,'Lớp 4 - Danh mục'!$I$14:$I$132,0)),""),5,IFERROR(INDEX('Lớp 5 - Phân công'!$AJ$14:$AJ$262,MATCH($X259,'Lớp 5 - Phân công'!$I$14:$I$262,0)),""),6,IFERROR(INDEX('Lớp 6 - Chi tiết'!$AM$14:$AM$267,MATCH($X259,'Lớp 6 - Chi tiết'!$I$14:$I$267,0)),""),""))</f>
        <v/>
      </c>
      <c r="BJ259" s="389" t="str">
        <f t="array" ref="BJ259">IF($X259="","",SWITCH($W259,3,IFERROR(INDEX('Lớp 3 - Công việc chính'!$AR$14:$AR$73,MATCH($X259,'Lớp 3 - Công việc chính'!$I$14:$I$73,0)),""),4,IFERROR(INDEX('Lớp 4 - Danh mục'!$AU$14:$AU$132,MATCH($X259,'Lớp 4 - Danh mục'!$I$14:$I$132,0)),""),5,IFERROR(INDEX('Lớp 5 - Phân công'!$AV$14:$AV$262,MATCH($X259,'Lớp 5 - Phân công'!$I$14:$I$262,0)),""),6,IFERROR(INDEX('Lớp 6 - Chi tiết'!$AY$14:$AY$267,MATCH($X259,'Lớp 6 - Chi tiết'!$I$14:$I$267,0)),""),""))</f>
        <v/>
      </c>
    </row>
    <row r="260" ht="15.75" customHeight="1">
      <c r="A260" s="294" t="str">
        <f t="shared" si="12"/>
        <v/>
      </c>
      <c r="B260" s="301" t="str">
        <f t="shared" si="13"/>
        <v/>
      </c>
      <c r="C260" s="301" t="str">
        <f t="shared" si="14"/>
        <v/>
      </c>
      <c r="D260" s="301" t="str">
        <f t="shared" si="15"/>
        <v/>
      </c>
      <c r="E260" s="301" t="str">
        <f t="shared" si="16"/>
        <v/>
      </c>
      <c r="F260" s="317" t="str">
        <f t="shared" si="17"/>
        <v/>
      </c>
      <c r="G260" s="323" t="str">
        <f t="shared" si="18"/>
        <v/>
      </c>
      <c r="H260" s="327" t="str">
        <f t="shared" si="19"/>
        <v/>
      </c>
      <c r="I260" s="327" t="str">
        <f t="shared" si="20"/>
        <v/>
      </c>
      <c r="J260" s="301" t="str">
        <f t="shared" si="21"/>
        <v/>
      </c>
      <c r="K260" s="301" t="str">
        <f t="shared" si="22"/>
        <v/>
      </c>
      <c r="L260" s="344" t="str">
        <f t="array" ref="L260">IF($T260="","",LET(m,MATCH($T260,$AS$24:$AS$700,0),lvl,INDEX($W$24:$W$700,m),id,INDEX($X$24:$X$700,m),SWITCH(lvl,3,"Lớp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0" s="351" t="str">
        <f t="shared" si="23"/>
        <v/>
      </c>
      <c r="N260" s="356" t="str">
        <f t="shared" si="24"/>
        <v/>
      </c>
      <c r="O260" s="358"/>
      <c r="P260" s="360"/>
      <c r="Q260" s="360"/>
      <c r="R260" s="67"/>
      <c r="S260" s="67"/>
      <c r="T260" s="67"/>
      <c r="U260" s="389" t="str">
        <f>IF('Lớp 5 - Phân công'!I71="","",'Lớp 5 - Phân công'!K71&amp;"|"&amp;'Lớp 5 - Phân công'!J71&amp;"|"&amp;'Lớp 5 - Phân công'!I71)</f>
        <v/>
      </c>
      <c r="V260" s="389" t="str">
        <f>IF('Lớp 5 - Phân công'!I71="","","       ├─ "&amp;'Lớp 5 - Phân công'!Q71)</f>
        <v/>
      </c>
      <c r="W260" s="389" t="str">
        <f>IF('Lớp 5 - Phân công'!I71="","",5)</f>
        <v/>
      </c>
      <c r="X260" s="67" t="str">
        <f>'Lớp 5 - Phân công'!I71</f>
        <v/>
      </c>
      <c r="Y260" s="67" t="str">
        <f>'Lớp 5 - Phân công'!J71</f>
        <v/>
      </c>
      <c r="Z260" s="67" t="str">
        <f>'Lớp 5 - Phân công'!AA71</f>
        <v/>
      </c>
      <c r="AA260" s="67" t="str">
        <f>'Lớp 5 - Phân công'!Z71</f>
        <v/>
      </c>
      <c r="AB260" s="67" t="str">
        <f>'Lớp 5 - Phân công'!AC71</f>
        <v/>
      </c>
      <c r="AC260" s="67" t="str">
        <f>'Lớp 5 - Phân công'!AB71</f>
        <v/>
      </c>
      <c r="AD260" s="398" t="str">
        <f>'Lớp 5 - Phân công'!AG71</f>
        <v/>
      </c>
      <c r="AE260" s="358" t="str">
        <f>'Lớp 5 - Phân công'!AE71</f>
        <v/>
      </c>
      <c r="AF260" s="187" t="str">
        <f>'Lớp 5 - Phân công'!AH71</f>
        <v/>
      </c>
      <c r="AG260" s="104" t="str">
        <f>'Lớp 5 - Phân công'!AI71</f>
        <v/>
      </c>
      <c r="AH260" s="389" t="str">
        <f t="shared" si="27"/>
        <v/>
      </c>
      <c r="AI260" s="389" t="str">
        <f t="shared" si="37"/>
        <v>🔵 Chưa có hạn</v>
      </c>
      <c r="AJ260" s="67" t="str">
        <f>'Lớp 5 - Phân công'!AL71</f>
        <v/>
      </c>
      <c r="AS260" s="389" t="str">
        <f t="shared" si="217"/>
        <v/>
      </c>
      <c r="AT260" s="389" t="str">
        <f t="shared" si="32"/>
        <v/>
      </c>
      <c r="AU260" s="389" t="str">
        <f t="shared" si="33"/>
        <v/>
      </c>
      <c r="AV260" s="389" t="str">
        <f t="shared" si="34"/>
        <v/>
      </c>
      <c r="AW260" s="389" t="str">
        <f t="shared" si="35"/>
        <v/>
      </c>
      <c r="AX260" s="67" t="str">
        <f t="shared" ref="AX260:BH260" si="274">Z260</f>
        <v/>
      </c>
      <c r="AY260" s="67" t="str">
        <f t="shared" si="274"/>
        <v/>
      </c>
      <c r="AZ260" s="67" t="str">
        <f t="shared" si="274"/>
        <v/>
      </c>
      <c r="BA260" s="67" t="str">
        <f t="shared" si="274"/>
        <v/>
      </c>
      <c r="BB260" s="398" t="str">
        <f t="shared" si="274"/>
        <v/>
      </c>
      <c r="BC260" s="358" t="str">
        <f t="shared" si="274"/>
        <v/>
      </c>
      <c r="BD260" s="187" t="str">
        <f t="shared" si="274"/>
        <v/>
      </c>
      <c r="BE260" s="104" t="str">
        <f t="shared" si="274"/>
        <v/>
      </c>
      <c r="BF260" s="389" t="str">
        <f t="shared" si="274"/>
        <v/>
      </c>
      <c r="BG260" s="389" t="str">
        <f t="shared" si="274"/>
        <v>🔵 Chưa có hạn</v>
      </c>
      <c r="BH260" s="67" t="str">
        <f t="shared" si="274"/>
        <v/>
      </c>
      <c r="BI260" s="389" t="str">
        <f t="array" ref="BI260">IF($X260="","",SWITCH($W260,3,IFERROR(INDEX('Lớp 3 - Công việc chính'!$AF$14:$AF$73,MATCH($X260,'Lớp 3 - Công việc chính'!$I$14:$I$73,0)),""),4,IFERROR(INDEX('Lớp 4 - Danh mục'!$AI$14:$AI$132,MATCH($X260,'Lớp 4 - Danh mục'!$I$14:$I$132,0)),""),5,IFERROR(INDEX('Lớp 5 - Phân công'!$AJ$14:$AJ$262,MATCH($X260,'Lớp 5 - Phân công'!$I$14:$I$262,0)),""),6,IFERROR(INDEX('Lớp 6 - Chi tiết'!$AM$14:$AM$267,MATCH($X260,'Lớp 6 - Chi tiết'!$I$14:$I$267,0)),""),""))</f>
        <v/>
      </c>
      <c r="BJ260" s="389" t="str">
        <f t="array" ref="BJ260">IF($X260="","",SWITCH($W260,3,IFERROR(INDEX('Lớp 3 - Công việc chính'!$AR$14:$AR$73,MATCH($X260,'Lớp 3 - Công việc chính'!$I$14:$I$73,0)),""),4,IFERROR(INDEX('Lớp 4 - Danh mục'!$AU$14:$AU$132,MATCH($X260,'Lớp 4 - Danh mục'!$I$14:$I$132,0)),""),5,IFERROR(INDEX('Lớp 5 - Phân công'!$AV$14:$AV$262,MATCH($X260,'Lớp 5 - Phân công'!$I$14:$I$262,0)),""),6,IFERROR(INDEX('Lớp 6 - Chi tiết'!$AY$14:$AY$267,MATCH($X260,'Lớp 6 - Chi tiết'!$I$14:$I$267,0)),""),""))</f>
        <v/>
      </c>
    </row>
    <row r="261" ht="15.75" customHeight="1">
      <c r="A261" s="294" t="str">
        <f t="shared" si="12"/>
        <v/>
      </c>
      <c r="B261" s="301" t="str">
        <f t="shared" si="13"/>
        <v/>
      </c>
      <c r="C261" s="301" t="str">
        <f t="shared" si="14"/>
        <v/>
      </c>
      <c r="D261" s="301" t="str">
        <f t="shared" si="15"/>
        <v/>
      </c>
      <c r="E261" s="301" t="str">
        <f t="shared" si="16"/>
        <v/>
      </c>
      <c r="F261" s="317" t="str">
        <f t="shared" si="17"/>
        <v/>
      </c>
      <c r="G261" s="323" t="str">
        <f t="shared" si="18"/>
        <v/>
      </c>
      <c r="H261" s="327" t="str">
        <f t="shared" si="19"/>
        <v/>
      </c>
      <c r="I261" s="327" t="str">
        <f t="shared" si="20"/>
        <v/>
      </c>
      <c r="J261" s="301" t="str">
        <f t="shared" si="21"/>
        <v/>
      </c>
      <c r="K261" s="301" t="str">
        <f t="shared" si="22"/>
        <v/>
      </c>
      <c r="L261" s="344" t="str">
        <f t="array" ref="L261">IF($T261="","",LET(m,MATCH($T261,$AS$24:$AS$700,0),lvl,INDEX($W$24:$W$700,m),id,INDEX($X$24:$X$700,m),SWITCH(lvl,3,"Lớp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1" s="351" t="str">
        <f t="shared" si="23"/>
        <v/>
      </c>
      <c r="N261" s="356" t="str">
        <f t="shared" si="24"/>
        <v/>
      </c>
      <c r="O261" s="358"/>
      <c r="P261" s="360"/>
      <c r="Q261" s="360"/>
      <c r="R261" s="67"/>
      <c r="S261" s="67"/>
      <c r="T261" s="67"/>
      <c r="U261" s="389" t="str">
        <f>IF('Lớp 5 - Phân công'!I72="","",'Lớp 5 - Phân công'!K72&amp;"|"&amp;'Lớp 5 - Phân công'!J72&amp;"|"&amp;'Lớp 5 - Phân công'!I72)</f>
        <v/>
      </c>
      <c r="V261" s="389" t="str">
        <f>IF('Lớp 5 - Phân công'!I72="","","       ├─ "&amp;'Lớp 5 - Phân công'!Q72)</f>
        <v/>
      </c>
      <c r="W261" s="389" t="str">
        <f>IF('Lớp 5 - Phân công'!I72="","",5)</f>
        <v/>
      </c>
      <c r="X261" s="67" t="str">
        <f>'Lớp 5 - Phân công'!I72</f>
        <v/>
      </c>
      <c r="Y261" s="67" t="str">
        <f>'Lớp 5 - Phân công'!J72</f>
        <v/>
      </c>
      <c r="Z261" s="67" t="str">
        <f>'Lớp 5 - Phân công'!AA72</f>
        <v/>
      </c>
      <c r="AA261" s="67" t="str">
        <f>'Lớp 5 - Phân công'!Z72</f>
        <v/>
      </c>
      <c r="AB261" s="67" t="str">
        <f>'Lớp 5 - Phân công'!AC72</f>
        <v/>
      </c>
      <c r="AC261" s="67" t="str">
        <f>'Lớp 5 - Phân công'!AB72</f>
        <v/>
      </c>
      <c r="AD261" s="398" t="str">
        <f>'Lớp 5 - Phân công'!AG72</f>
        <v/>
      </c>
      <c r="AE261" s="358" t="str">
        <f>'Lớp 5 - Phân công'!AE72</f>
        <v/>
      </c>
      <c r="AF261" s="187" t="str">
        <f>'Lớp 5 - Phân công'!AH72</f>
        <v/>
      </c>
      <c r="AG261" s="104" t="str">
        <f>'Lớp 5 - Phân công'!AI72</f>
        <v/>
      </c>
      <c r="AH261" s="389" t="str">
        <f t="shared" si="27"/>
        <v/>
      </c>
      <c r="AI261" s="389" t="str">
        <f t="shared" si="37"/>
        <v>🔵 Chưa có hạn</v>
      </c>
      <c r="AJ261" s="67" t="str">
        <f>'Lớp 5 - Phân công'!AL72</f>
        <v/>
      </c>
      <c r="AS261" s="389" t="str">
        <f t="shared" si="217"/>
        <v/>
      </c>
      <c r="AT261" s="389" t="str">
        <f t="shared" si="32"/>
        <v/>
      </c>
      <c r="AU261" s="389" t="str">
        <f t="shared" si="33"/>
        <v/>
      </c>
      <c r="AV261" s="389" t="str">
        <f t="shared" si="34"/>
        <v/>
      </c>
      <c r="AW261" s="389" t="str">
        <f t="shared" si="35"/>
        <v/>
      </c>
      <c r="AX261" s="67" t="str">
        <f t="shared" ref="AX261:BH261" si="275">Z261</f>
        <v/>
      </c>
      <c r="AY261" s="67" t="str">
        <f t="shared" si="275"/>
        <v/>
      </c>
      <c r="AZ261" s="67" t="str">
        <f t="shared" si="275"/>
        <v/>
      </c>
      <c r="BA261" s="67" t="str">
        <f t="shared" si="275"/>
        <v/>
      </c>
      <c r="BB261" s="398" t="str">
        <f t="shared" si="275"/>
        <v/>
      </c>
      <c r="BC261" s="358" t="str">
        <f t="shared" si="275"/>
        <v/>
      </c>
      <c r="BD261" s="187" t="str">
        <f t="shared" si="275"/>
        <v/>
      </c>
      <c r="BE261" s="104" t="str">
        <f t="shared" si="275"/>
        <v/>
      </c>
      <c r="BF261" s="389" t="str">
        <f t="shared" si="275"/>
        <v/>
      </c>
      <c r="BG261" s="389" t="str">
        <f t="shared" si="275"/>
        <v>🔵 Chưa có hạn</v>
      </c>
      <c r="BH261" s="67" t="str">
        <f t="shared" si="275"/>
        <v/>
      </c>
      <c r="BI261" s="389" t="str">
        <f t="array" ref="BI261">IF($X261="","",SWITCH($W261,3,IFERROR(INDEX('Lớp 3 - Công việc chính'!$AF$14:$AF$73,MATCH($X261,'Lớp 3 - Công việc chính'!$I$14:$I$73,0)),""),4,IFERROR(INDEX('Lớp 4 - Danh mục'!$AI$14:$AI$132,MATCH($X261,'Lớp 4 - Danh mục'!$I$14:$I$132,0)),""),5,IFERROR(INDEX('Lớp 5 - Phân công'!$AJ$14:$AJ$262,MATCH($X261,'Lớp 5 - Phân công'!$I$14:$I$262,0)),""),6,IFERROR(INDEX('Lớp 6 - Chi tiết'!$AM$14:$AM$267,MATCH($X261,'Lớp 6 - Chi tiết'!$I$14:$I$267,0)),""),""))</f>
        <v/>
      </c>
      <c r="BJ261" s="389" t="str">
        <f t="array" ref="BJ261">IF($X261="","",SWITCH($W261,3,IFERROR(INDEX('Lớp 3 - Công việc chính'!$AR$14:$AR$73,MATCH($X261,'Lớp 3 - Công việc chính'!$I$14:$I$73,0)),""),4,IFERROR(INDEX('Lớp 4 - Danh mục'!$AU$14:$AU$132,MATCH($X261,'Lớp 4 - Danh mục'!$I$14:$I$132,0)),""),5,IFERROR(INDEX('Lớp 5 - Phân công'!$AV$14:$AV$262,MATCH($X261,'Lớp 5 - Phân công'!$I$14:$I$262,0)),""),6,IFERROR(INDEX('Lớp 6 - Chi tiết'!$AY$14:$AY$267,MATCH($X261,'Lớp 6 - Chi tiết'!$I$14:$I$267,0)),""),""))</f>
        <v/>
      </c>
    </row>
    <row r="262" ht="15.75" customHeight="1">
      <c r="A262" s="294" t="str">
        <f t="shared" si="12"/>
        <v/>
      </c>
      <c r="B262" s="301" t="str">
        <f t="shared" si="13"/>
        <v/>
      </c>
      <c r="C262" s="301" t="str">
        <f t="shared" si="14"/>
        <v/>
      </c>
      <c r="D262" s="301" t="str">
        <f t="shared" si="15"/>
        <v/>
      </c>
      <c r="E262" s="301" t="str">
        <f t="shared" si="16"/>
        <v/>
      </c>
      <c r="F262" s="317" t="str">
        <f t="shared" si="17"/>
        <v/>
      </c>
      <c r="G262" s="323" t="str">
        <f t="shared" si="18"/>
        <v/>
      </c>
      <c r="H262" s="327" t="str">
        <f t="shared" si="19"/>
        <v/>
      </c>
      <c r="I262" s="327" t="str">
        <f t="shared" si="20"/>
        <v/>
      </c>
      <c r="J262" s="301" t="str">
        <f t="shared" si="21"/>
        <v/>
      </c>
      <c r="K262" s="301" t="str">
        <f t="shared" si="22"/>
        <v/>
      </c>
      <c r="L262" s="344" t="str">
        <f t="array" ref="L262">IF($T262="","",LET(m,MATCH($T262,$AS$24:$AS$700,0),lvl,INDEX($W$24:$W$700,m),id,INDEX($X$24:$X$700,m),SWITCH(lvl,3,"Lớp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2" s="351" t="str">
        <f t="shared" si="23"/>
        <v/>
      </c>
      <c r="N262" s="356" t="str">
        <f t="shared" si="24"/>
        <v/>
      </c>
      <c r="O262" s="358"/>
      <c r="P262" s="360"/>
      <c r="Q262" s="360"/>
      <c r="R262" s="67"/>
      <c r="S262" s="67"/>
      <c r="T262" s="67"/>
      <c r="U262" s="389" t="str">
        <f>IF('Lớp 5 - Phân công'!I73="","",'Lớp 5 - Phân công'!K73&amp;"|"&amp;'Lớp 5 - Phân công'!J73&amp;"|"&amp;'Lớp 5 - Phân công'!I73)</f>
        <v/>
      </c>
      <c r="V262" s="389" t="str">
        <f>IF('Lớp 5 - Phân công'!I73="","","       ├─ "&amp;'Lớp 5 - Phân công'!Q73)</f>
        <v/>
      </c>
      <c r="W262" s="389" t="str">
        <f>IF('Lớp 5 - Phân công'!I73="","",5)</f>
        <v/>
      </c>
      <c r="X262" s="67" t="str">
        <f>'Lớp 5 - Phân công'!I73</f>
        <v/>
      </c>
      <c r="Y262" s="67" t="str">
        <f>'Lớp 5 - Phân công'!J73</f>
        <v/>
      </c>
      <c r="Z262" s="67" t="str">
        <f>'Lớp 5 - Phân công'!AA73</f>
        <v/>
      </c>
      <c r="AA262" s="67" t="str">
        <f>'Lớp 5 - Phân công'!Z73</f>
        <v/>
      </c>
      <c r="AB262" s="67" t="str">
        <f>'Lớp 5 - Phân công'!AC73</f>
        <v/>
      </c>
      <c r="AC262" s="67" t="str">
        <f>'Lớp 5 - Phân công'!AB73</f>
        <v/>
      </c>
      <c r="AD262" s="398" t="str">
        <f>'Lớp 5 - Phân công'!AG73</f>
        <v/>
      </c>
      <c r="AE262" s="358" t="str">
        <f>'Lớp 5 - Phân công'!AE73</f>
        <v/>
      </c>
      <c r="AF262" s="187" t="str">
        <f>'Lớp 5 - Phân công'!AH73</f>
        <v/>
      </c>
      <c r="AG262" s="104" t="str">
        <f>'Lớp 5 - Phân công'!AI73</f>
        <v/>
      </c>
      <c r="AH262" s="389" t="str">
        <f t="shared" si="27"/>
        <v/>
      </c>
      <c r="AI262" s="389" t="str">
        <f t="shared" si="37"/>
        <v>🔵 Chưa có hạn</v>
      </c>
      <c r="AJ262" s="67" t="str">
        <f>'Lớp 5 - Phân công'!AL73</f>
        <v/>
      </c>
      <c r="AS262" s="389" t="str">
        <f t="shared" si="217"/>
        <v/>
      </c>
      <c r="AT262" s="389" t="str">
        <f t="shared" si="32"/>
        <v/>
      </c>
      <c r="AU262" s="389" t="str">
        <f t="shared" si="33"/>
        <v/>
      </c>
      <c r="AV262" s="389" t="str">
        <f t="shared" si="34"/>
        <v/>
      </c>
      <c r="AW262" s="389" t="str">
        <f t="shared" si="35"/>
        <v/>
      </c>
      <c r="AX262" s="67" t="str">
        <f t="shared" ref="AX262:BH262" si="276">Z262</f>
        <v/>
      </c>
      <c r="AY262" s="67" t="str">
        <f t="shared" si="276"/>
        <v/>
      </c>
      <c r="AZ262" s="67" t="str">
        <f t="shared" si="276"/>
        <v/>
      </c>
      <c r="BA262" s="67" t="str">
        <f t="shared" si="276"/>
        <v/>
      </c>
      <c r="BB262" s="398" t="str">
        <f t="shared" si="276"/>
        <v/>
      </c>
      <c r="BC262" s="358" t="str">
        <f t="shared" si="276"/>
        <v/>
      </c>
      <c r="BD262" s="187" t="str">
        <f t="shared" si="276"/>
        <v/>
      </c>
      <c r="BE262" s="104" t="str">
        <f t="shared" si="276"/>
        <v/>
      </c>
      <c r="BF262" s="389" t="str">
        <f t="shared" si="276"/>
        <v/>
      </c>
      <c r="BG262" s="389" t="str">
        <f t="shared" si="276"/>
        <v>🔵 Chưa có hạn</v>
      </c>
      <c r="BH262" s="67" t="str">
        <f t="shared" si="276"/>
        <v/>
      </c>
      <c r="BI262" s="389" t="str">
        <f t="array" ref="BI262">IF($X262="","",SWITCH($W262,3,IFERROR(INDEX('Lớp 3 - Công việc chính'!$AF$14:$AF$73,MATCH($X262,'Lớp 3 - Công việc chính'!$I$14:$I$73,0)),""),4,IFERROR(INDEX('Lớp 4 - Danh mục'!$AI$14:$AI$132,MATCH($X262,'Lớp 4 - Danh mục'!$I$14:$I$132,0)),""),5,IFERROR(INDEX('Lớp 5 - Phân công'!$AJ$14:$AJ$262,MATCH($X262,'Lớp 5 - Phân công'!$I$14:$I$262,0)),""),6,IFERROR(INDEX('Lớp 6 - Chi tiết'!$AM$14:$AM$267,MATCH($X262,'Lớp 6 - Chi tiết'!$I$14:$I$267,0)),""),""))</f>
        <v/>
      </c>
      <c r="BJ262" s="389" t="str">
        <f t="array" ref="BJ262">IF($X262="","",SWITCH($W262,3,IFERROR(INDEX('Lớp 3 - Công việc chính'!$AR$14:$AR$73,MATCH($X262,'Lớp 3 - Công việc chính'!$I$14:$I$73,0)),""),4,IFERROR(INDEX('Lớp 4 - Danh mục'!$AU$14:$AU$132,MATCH($X262,'Lớp 4 - Danh mục'!$I$14:$I$132,0)),""),5,IFERROR(INDEX('Lớp 5 - Phân công'!$AV$14:$AV$262,MATCH($X262,'Lớp 5 - Phân công'!$I$14:$I$262,0)),""),6,IFERROR(INDEX('Lớp 6 - Chi tiết'!$AY$14:$AY$267,MATCH($X262,'Lớp 6 - Chi tiết'!$I$14:$I$267,0)),""),""))</f>
        <v/>
      </c>
    </row>
    <row r="263" ht="15.75" customHeight="1">
      <c r="A263" s="294" t="str">
        <f t="shared" si="12"/>
        <v/>
      </c>
      <c r="B263" s="301" t="str">
        <f t="shared" si="13"/>
        <v/>
      </c>
      <c r="C263" s="301" t="str">
        <f t="shared" si="14"/>
        <v/>
      </c>
      <c r="D263" s="301" t="str">
        <f t="shared" si="15"/>
        <v/>
      </c>
      <c r="E263" s="301" t="str">
        <f t="shared" si="16"/>
        <v/>
      </c>
      <c r="F263" s="317" t="str">
        <f t="shared" si="17"/>
        <v/>
      </c>
      <c r="G263" s="323" t="str">
        <f t="shared" si="18"/>
        <v/>
      </c>
      <c r="H263" s="327" t="str">
        <f t="shared" si="19"/>
        <v/>
      </c>
      <c r="I263" s="327" t="str">
        <f t="shared" si="20"/>
        <v/>
      </c>
      <c r="J263" s="301" t="str">
        <f t="shared" si="21"/>
        <v/>
      </c>
      <c r="K263" s="301" t="str">
        <f t="shared" si="22"/>
        <v/>
      </c>
      <c r="L263" s="344" t="str">
        <f t="array" ref="L263">IF($T263="","",LET(m,MATCH($T263,$AS$24:$AS$700,0),lvl,INDEX($W$24:$W$700,m),id,INDEX($X$24:$X$700,m),SWITCH(lvl,3,"Lớp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3" s="351" t="str">
        <f t="shared" si="23"/>
        <v/>
      </c>
      <c r="N263" s="356" t="str">
        <f t="shared" si="24"/>
        <v/>
      </c>
      <c r="O263" s="358"/>
      <c r="P263" s="360"/>
      <c r="Q263" s="360"/>
      <c r="R263" s="67"/>
      <c r="S263" s="67"/>
      <c r="T263" s="67"/>
      <c r="U263" s="389" t="str">
        <f>IF('Lớp 5 - Phân công'!I74="","",'Lớp 5 - Phân công'!K74&amp;"|"&amp;'Lớp 5 - Phân công'!J74&amp;"|"&amp;'Lớp 5 - Phân công'!I74)</f>
        <v/>
      </c>
      <c r="V263" s="389" t="str">
        <f>IF('Lớp 5 - Phân công'!I74="","","       ├─ "&amp;'Lớp 5 - Phân công'!Q74)</f>
        <v/>
      </c>
      <c r="W263" s="389" t="str">
        <f>IF('Lớp 5 - Phân công'!I74="","",5)</f>
        <v/>
      </c>
      <c r="X263" s="67" t="str">
        <f>'Lớp 5 - Phân công'!I74</f>
        <v/>
      </c>
      <c r="Y263" s="67" t="str">
        <f>'Lớp 5 - Phân công'!J74</f>
        <v/>
      </c>
      <c r="Z263" s="67" t="str">
        <f>'Lớp 5 - Phân công'!AA74</f>
        <v/>
      </c>
      <c r="AA263" s="67" t="str">
        <f>'Lớp 5 - Phân công'!Z74</f>
        <v/>
      </c>
      <c r="AB263" s="67" t="str">
        <f>'Lớp 5 - Phân công'!AC74</f>
        <v/>
      </c>
      <c r="AC263" s="67" t="str">
        <f>'Lớp 5 - Phân công'!AB74</f>
        <v/>
      </c>
      <c r="AD263" s="398" t="str">
        <f>'Lớp 5 - Phân công'!AG74</f>
        <v/>
      </c>
      <c r="AE263" s="358" t="str">
        <f>'Lớp 5 - Phân công'!AE74</f>
        <v/>
      </c>
      <c r="AF263" s="187" t="str">
        <f>'Lớp 5 - Phân công'!AH74</f>
        <v/>
      </c>
      <c r="AG263" s="104" t="str">
        <f>'Lớp 5 - Phân công'!AI74</f>
        <v/>
      </c>
      <c r="AH263" s="389" t="str">
        <f t="shared" si="27"/>
        <v/>
      </c>
      <c r="AI263" s="389" t="str">
        <f t="shared" si="37"/>
        <v>🔵 Chưa có hạn</v>
      </c>
      <c r="AJ263" s="67" t="str">
        <f>'Lớp 5 - Phân công'!AL74</f>
        <v/>
      </c>
      <c r="AS263" s="389" t="str">
        <f t="shared" si="217"/>
        <v/>
      </c>
      <c r="AT263" s="389" t="str">
        <f t="shared" si="32"/>
        <v/>
      </c>
      <c r="AU263" s="389" t="str">
        <f t="shared" si="33"/>
        <v/>
      </c>
      <c r="AV263" s="389" t="str">
        <f t="shared" si="34"/>
        <v/>
      </c>
      <c r="AW263" s="389" t="str">
        <f t="shared" si="35"/>
        <v/>
      </c>
      <c r="AX263" s="67" t="str">
        <f t="shared" ref="AX263:BH263" si="277">Z263</f>
        <v/>
      </c>
      <c r="AY263" s="67" t="str">
        <f t="shared" si="277"/>
        <v/>
      </c>
      <c r="AZ263" s="67" t="str">
        <f t="shared" si="277"/>
        <v/>
      </c>
      <c r="BA263" s="67" t="str">
        <f t="shared" si="277"/>
        <v/>
      </c>
      <c r="BB263" s="398" t="str">
        <f t="shared" si="277"/>
        <v/>
      </c>
      <c r="BC263" s="358" t="str">
        <f t="shared" si="277"/>
        <v/>
      </c>
      <c r="BD263" s="187" t="str">
        <f t="shared" si="277"/>
        <v/>
      </c>
      <c r="BE263" s="104" t="str">
        <f t="shared" si="277"/>
        <v/>
      </c>
      <c r="BF263" s="389" t="str">
        <f t="shared" si="277"/>
        <v/>
      </c>
      <c r="BG263" s="389" t="str">
        <f t="shared" si="277"/>
        <v>🔵 Chưa có hạn</v>
      </c>
      <c r="BH263" s="67" t="str">
        <f t="shared" si="277"/>
        <v/>
      </c>
      <c r="BI263" s="389" t="str">
        <f t="array" ref="BI263">IF($X263="","",SWITCH($W263,3,IFERROR(INDEX('Lớp 3 - Công việc chính'!$AF$14:$AF$73,MATCH($X263,'Lớp 3 - Công việc chính'!$I$14:$I$73,0)),""),4,IFERROR(INDEX('Lớp 4 - Danh mục'!$AI$14:$AI$132,MATCH($X263,'Lớp 4 - Danh mục'!$I$14:$I$132,0)),""),5,IFERROR(INDEX('Lớp 5 - Phân công'!$AJ$14:$AJ$262,MATCH($X263,'Lớp 5 - Phân công'!$I$14:$I$262,0)),""),6,IFERROR(INDEX('Lớp 6 - Chi tiết'!$AM$14:$AM$267,MATCH($X263,'Lớp 6 - Chi tiết'!$I$14:$I$267,0)),""),""))</f>
        <v/>
      </c>
      <c r="BJ263" s="389" t="str">
        <f t="array" ref="BJ263">IF($X263="","",SWITCH($W263,3,IFERROR(INDEX('Lớp 3 - Công việc chính'!$AR$14:$AR$73,MATCH($X263,'Lớp 3 - Công việc chính'!$I$14:$I$73,0)),""),4,IFERROR(INDEX('Lớp 4 - Danh mục'!$AU$14:$AU$132,MATCH($X263,'Lớp 4 - Danh mục'!$I$14:$I$132,0)),""),5,IFERROR(INDEX('Lớp 5 - Phân công'!$AV$14:$AV$262,MATCH($X263,'Lớp 5 - Phân công'!$I$14:$I$262,0)),""),6,IFERROR(INDEX('Lớp 6 - Chi tiết'!$AY$14:$AY$267,MATCH($X263,'Lớp 6 - Chi tiết'!$I$14:$I$267,0)),""),""))</f>
        <v/>
      </c>
    </row>
    <row r="264" ht="15.75" customHeight="1">
      <c r="A264" s="294" t="str">
        <f t="shared" si="12"/>
        <v/>
      </c>
      <c r="B264" s="301" t="str">
        <f t="shared" si="13"/>
        <v/>
      </c>
      <c r="C264" s="301" t="str">
        <f t="shared" si="14"/>
        <v/>
      </c>
      <c r="D264" s="301" t="str">
        <f t="shared" si="15"/>
        <v/>
      </c>
      <c r="E264" s="301" t="str">
        <f t="shared" si="16"/>
        <v/>
      </c>
      <c r="F264" s="317" t="str">
        <f t="shared" si="17"/>
        <v/>
      </c>
      <c r="G264" s="323" t="str">
        <f t="shared" si="18"/>
        <v/>
      </c>
      <c r="H264" s="327" t="str">
        <f t="shared" si="19"/>
        <v/>
      </c>
      <c r="I264" s="327" t="str">
        <f t="shared" si="20"/>
        <v/>
      </c>
      <c r="J264" s="301" t="str">
        <f t="shared" si="21"/>
        <v/>
      </c>
      <c r="K264" s="301" t="str">
        <f t="shared" si="22"/>
        <v/>
      </c>
      <c r="L264" s="344" t="str">
        <f t="array" ref="L264">IF($T264="","",LET(m,MATCH($T264,$AS$24:$AS$700,0),lvl,INDEX($W$24:$W$700,m),id,INDEX($X$24:$X$700,m),SWITCH(lvl,3,"Lớp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4" s="351" t="str">
        <f t="shared" si="23"/>
        <v/>
      </c>
      <c r="N264" s="356" t="str">
        <f t="shared" si="24"/>
        <v/>
      </c>
      <c r="O264" s="358"/>
      <c r="P264" s="360"/>
      <c r="Q264" s="360"/>
      <c r="R264" s="67"/>
      <c r="S264" s="67"/>
      <c r="T264" s="67"/>
      <c r="U264" s="389" t="str">
        <f>IF('Lớp 5 - Phân công'!I75="","",'Lớp 5 - Phân công'!K75&amp;"|"&amp;'Lớp 5 - Phân công'!J75&amp;"|"&amp;'Lớp 5 - Phân công'!I75)</f>
        <v/>
      </c>
      <c r="V264" s="389" t="str">
        <f>IF('Lớp 5 - Phân công'!I75="","","       ├─ "&amp;'Lớp 5 - Phân công'!Q75)</f>
        <v/>
      </c>
      <c r="W264" s="389" t="str">
        <f>IF('Lớp 5 - Phân công'!I75="","",5)</f>
        <v/>
      </c>
      <c r="X264" s="67" t="str">
        <f>'Lớp 5 - Phân công'!I75</f>
        <v/>
      </c>
      <c r="Y264" s="67" t="str">
        <f>'Lớp 5 - Phân công'!J75</f>
        <v/>
      </c>
      <c r="Z264" s="67" t="str">
        <f>'Lớp 5 - Phân công'!AA75</f>
        <v/>
      </c>
      <c r="AA264" s="67" t="str">
        <f>'Lớp 5 - Phân công'!Z75</f>
        <v/>
      </c>
      <c r="AB264" s="67" t="str">
        <f>'Lớp 5 - Phân công'!AC75</f>
        <v/>
      </c>
      <c r="AC264" s="67" t="str">
        <f>'Lớp 5 - Phân công'!AB75</f>
        <v/>
      </c>
      <c r="AD264" s="398" t="str">
        <f>'Lớp 5 - Phân công'!AG75</f>
        <v/>
      </c>
      <c r="AE264" s="358" t="str">
        <f>'Lớp 5 - Phân công'!AE75</f>
        <v/>
      </c>
      <c r="AF264" s="187" t="str">
        <f>'Lớp 5 - Phân công'!AH75</f>
        <v/>
      </c>
      <c r="AG264" s="104" t="str">
        <f>'Lớp 5 - Phân công'!AI75</f>
        <v/>
      </c>
      <c r="AH264" s="389" t="str">
        <f t="shared" si="27"/>
        <v/>
      </c>
      <c r="AI264" s="389" t="str">
        <f t="shared" si="37"/>
        <v>🔵 Chưa có hạn</v>
      </c>
      <c r="AJ264" s="67" t="str">
        <f>'Lớp 5 - Phân công'!AL75</f>
        <v/>
      </c>
      <c r="AS264" s="389" t="str">
        <f t="shared" si="217"/>
        <v/>
      </c>
      <c r="AT264" s="389" t="str">
        <f t="shared" si="32"/>
        <v/>
      </c>
      <c r="AU264" s="389" t="str">
        <f t="shared" si="33"/>
        <v/>
      </c>
      <c r="AV264" s="389" t="str">
        <f t="shared" si="34"/>
        <v/>
      </c>
      <c r="AW264" s="389" t="str">
        <f t="shared" si="35"/>
        <v/>
      </c>
      <c r="AX264" s="67" t="str">
        <f t="shared" ref="AX264:BH264" si="278">Z264</f>
        <v/>
      </c>
      <c r="AY264" s="67" t="str">
        <f t="shared" si="278"/>
        <v/>
      </c>
      <c r="AZ264" s="67" t="str">
        <f t="shared" si="278"/>
        <v/>
      </c>
      <c r="BA264" s="67" t="str">
        <f t="shared" si="278"/>
        <v/>
      </c>
      <c r="BB264" s="398" t="str">
        <f t="shared" si="278"/>
        <v/>
      </c>
      <c r="BC264" s="358" t="str">
        <f t="shared" si="278"/>
        <v/>
      </c>
      <c r="BD264" s="187" t="str">
        <f t="shared" si="278"/>
        <v/>
      </c>
      <c r="BE264" s="104" t="str">
        <f t="shared" si="278"/>
        <v/>
      </c>
      <c r="BF264" s="389" t="str">
        <f t="shared" si="278"/>
        <v/>
      </c>
      <c r="BG264" s="389" t="str">
        <f t="shared" si="278"/>
        <v>🔵 Chưa có hạn</v>
      </c>
      <c r="BH264" s="67" t="str">
        <f t="shared" si="278"/>
        <v/>
      </c>
      <c r="BI264" s="389" t="str">
        <f t="array" ref="BI264">IF($X264="","",SWITCH($W264,3,IFERROR(INDEX('Lớp 3 - Công việc chính'!$AF$14:$AF$73,MATCH($X264,'Lớp 3 - Công việc chính'!$I$14:$I$73,0)),""),4,IFERROR(INDEX('Lớp 4 - Danh mục'!$AI$14:$AI$132,MATCH($X264,'Lớp 4 - Danh mục'!$I$14:$I$132,0)),""),5,IFERROR(INDEX('Lớp 5 - Phân công'!$AJ$14:$AJ$262,MATCH($X264,'Lớp 5 - Phân công'!$I$14:$I$262,0)),""),6,IFERROR(INDEX('Lớp 6 - Chi tiết'!$AM$14:$AM$267,MATCH($X264,'Lớp 6 - Chi tiết'!$I$14:$I$267,0)),""),""))</f>
        <v/>
      </c>
      <c r="BJ264" s="389" t="str">
        <f t="array" ref="BJ264">IF($X264="","",SWITCH($W264,3,IFERROR(INDEX('Lớp 3 - Công việc chính'!$AR$14:$AR$73,MATCH($X264,'Lớp 3 - Công việc chính'!$I$14:$I$73,0)),""),4,IFERROR(INDEX('Lớp 4 - Danh mục'!$AU$14:$AU$132,MATCH($X264,'Lớp 4 - Danh mục'!$I$14:$I$132,0)),""),5,IFERROR(INDEX('Lớp 5 - Phân công'!$AV$14:$AV$262,MATCH($X264,'Lớp 5 - Phân công'!$I$14:$I$262,0)),""),6,IFERROR(INDEX('Lớp 6 - Chi tiết'!$AY$14:$AY$267,MATCH($X264,'Lớp 6 - Chi tiết'!$I$14:$I$267,0)),""),""))</f>
        <v/>
      </c>
    </row>
    <row r="265" ht="15.75" customHeight="1">
      <c r="A265" s="294" t="str">
        <f t="shared" si="12"/>
        <v/>
      </c>
      <c r="B265" s="301" t="str">
        <f t="shared" si="13"/>
        <v/>
      </c>
      <c r="C265" s="301" t="str">
        <f t="shared" si="14"/>
        <v/>
      </c>
      <c r="D265" s="301" t="str">
        <f t="shared" si="15"/>
        <v/>
      </c>
      <c r="E265" s="301" t="str">
        <f t="shared" si="16"/>
        <v/>
      </c>
      <c r="F265" s="317" t="str">
        <f t="shared" si="17"/>
        <v/>
      </c>
      <c r="G265" s="323" t="str">
        <f t="shared" si="18"/>
        <v/>
      </c>
      <c r="H265" s="327" t="str">
        <f t="shared" si="19"/>
        <v/>
      </c>
      <c r="I265" s="327" t="str">
        <f t="shared" si="20"/>
        <v/>
      </c>
      <c r="J265" s="301" t="str">
        <f t="shared" si="21"/>
        <v/>
      </c>
      <c r="K265" s="301" t="str">
        <f t="shared" si="22"/>
        <v/>
      </c>
      <c r="L265" s="344" t="str">
        <f t="array" ref="L265">IF($T265="","",LET(m,MATCH($T265,$AS$24:$AS$700,0),lvl,INDEX($W$24:$W$700,m),id,INDEX($X$24:$X$700,m),SWITCH(lvl,3,"Lớp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5" s="351" t="str">
        <f t="shared" si="23"/>
        <v/>
      </c>
      <c r="N265" s="356" t="str">
        <f t="shared" si="24"/>
        <v/>
      </c>
      <c r="O265" s="358"/>
      <c r="P265" s="360"/>
      <c r="Q265" s="360"/>
      <c r="R265" s="67"/>
      <c r="S265" s="67"/>
      <c r="T265" s="67"/>
      <c r="U265" s="389" t="str">
        <f>IF('Lớp 5 - Phân công'!I76="","",'Lớp 5 - Phân công'!K76&amp;"|"&amp;'Lớp 5 - Phân công'!J76&amp;"|"&amp;'Lớp 5 - Phân công'!I76)</f>
        <v/>
      </c>
      <c r="V265" s="389" t="str">
        <f>IF('Lớp 5 - Phân công'!I76="","","       ├─ "&amp;'Lớp 5 - Phân công'!Q76)</f>
        <v/>
      </c>
      <c r="W265" s="389" t="str">
        <f>IF('Lớp 5 - Phân công'!I76="","",5)</f>
        <v/>
      </c>
      <c r="X265" s="67" t="str">
        <f>'Lớp 5 - Phân công'!I76</f>
        <v/>
      </c>
      <c r="Y265" s="67" t="str">
        <f>'Lớp 5 - Phân công'!J76</f>
        <v/>
      </c>
      <c r="Z265" s="67" t="str">
        <f>'Lớp 5 - Phân công'!AA76</f>
        <v/>
      </c>
      <c r="AA265" s="67" t="str">
        <f>'Lớp 5 - Phân công'!Z76</f>
        <v/>
      </c>
      <c r="AB265" s="67" t="str">
        <f>'Lớp 5 - Phân công'!AC76</f>
        <v/>
      </c>
      <c r="AC265" s="67" t="str">
        <f>'Lớp 5 - Phân công'!AB76</f>
        <v/>
      </c>
      <c r="AD265" s="398" t="str">
        <f>'Lớp 5 - Phân công'!AG76</f>
        <v/>
      </c>
      <c r="AE265" s="358" t="str">
        <f>'Lớp 5 - Phân công'!AE76</f>
        <v/>
      </c>
      <c r="AF265" s="187" t="str">
        <f>'Lớp 5 - Phân công'!AH76</f>
        <v/>
      </c>
      <c r="AG265" s="104" t="str">
        <f>'Lớp 5 - Phân công'!AI76</f>
        <v/>
      </c>
      <c r="AH265" s="389" t="str">
        <f t="shared" si="27"/>
        <v/>
      </c>
      <c r="AI265" s="389" t="str">
        <f t="shared" si="37"/>
        <v>🔵 Chưa có hạn</v>
      </c>
      <c r="AJ265" s="67" t="str">
        <f>'Lớp 5 - Phân công'!AL76</f>
        <v/>
      </c>
      <c r="AS265" s="389" t="str">
        <f t="shared" si="217"/>
        <v/>
      </c>
      <c r="AT265" s="389" t="str">
        <f t="shared" si="32"/>
        <v/>
      </c>
      <c r="AU265" s="389" t="str">
        <f t="shared" si="33"/>
        <v/>
      </c>
      <c r="AV265" s="389" t="str">
        <f t="shared" si="34"/>
        <v/>
      </c>
      <c r="AW265" s="389" t="str">
        <f t="shared" si="35"/>
        <v/>
      </c>
      <c r="AX265" s="67" t="str">
        <f t="shared" ref="AX265:BH265" si="279">Z265</f>
        <v/>
      </c>
      <c r="AY265" s="67" t="str">
        <f t="shared" si="279"/>
        <v/>
      </c>
      <c r="AZ265" s="67" t="str">
        <f t="shared" si="279"/>
        <v/>
      </c>
      <c r="BA265" s="67" t="str">
        <f t="shared" si="279"/>
        <v/>
      </c>
      <c r="BB265" s="398" t="str">
        <f t="shared" si="279"/>
        <v/>
      </c>
      <c r="BC265" s="358" t="str">
        <f t="shared" si="279"/>
        <v/>
      </c>
      <c r="BD265" s="187" t="str">
        <f t="shared" si="279"/>
        <v/>
      </c>
      <c r="BE265" s="104" t="str">
        <f t="shared" si="279"/>
        <v/>
      </c>
      <c r="BF265" s="389" t="str">
        <f t="shared" si="279"/>
        <v/>
      </c>
      <c r="BG265" s="389" t="str">
        <f t="shared" si="279"/>
        <v>🔵 Chưa có hạn</v>
      </c>
      <c r="BH265" s="67" t="str">
        <f t="shared" si="279"/>
        <v/>
      </c>
      <c r="BI265" s="389" t="str">
        <f t="array" ref="BI265">IF($X265="","",SWITCH($W265,3,IFERROR(INDEX('Lớp 3 - Công việc chính'!$AF$14:$AF$73,MATCH($X265,'Lớp 3 - Công việc chính'!$I$14:$I$73,0)),""),4,IFERROR(INDEX('Lớp 4 - Danh mục'!$AI$14:$AI$132,MATCH($X265,'Lớp 4 - Danh mục'!$I$14:$I$132,0)),""),5,IFERROR(INDEX('Lớp 5 - Phân công'!$AJ$14:$AJ$262,MATCH($X265,'Lớp 5 - Phân công'!$I$14:$I$262,0)),""),6,IFERROR(INDEX('Lớp 6 - Chi tiết'!$AM$14:$AM$267,MATCH($X265,'Lớp 6 - Chi tiết'!$I$14:$I$267,0)),""),""))</f>
        <v/>
      </c>
      <c r="BJ265" s="389" t="str">
        <f t="array" ref="BJ265">IF($X265="","",SWITCH($W265,3,IFERROR(INDEX('Lớp 3 - Công việc chính'!$AR$14:$AR$73,MATCH($X265,'Lớp 3 - Công việc chính'!$I$14:$I$73,0)),""),4,IFERROR(INDEX('Lớp 4 - Danh mục'!$AU$14:$AU$132,MATCH($X265,'Lớp 4 - Danh mục'!$I$14:$I$132,0)),""),5,IFERROR(INDEX('Lớp 5 - Phân công'!$AV$14:$AV$262,MATCH($X265,'Lớp 5 - Phân công'!$I$14:$I$262,0)),""),6,IFERROR(INDEX('Lớp 6 - Chi tiết'!$AY$14:$AY$267,MATCH($X265,'Lớp 6 - Chi tiết'!$I$14:$I$267,0)),""),""))</f>
        <v/>
      </c>
    </row>
    <row r="266" ht="15.75" customHeight="1">
      <c r="A266" s="294" t="str">
        <f t="shared" si="12"/>
        <v/>
      </c>
      <c r="B266" s="301" t="str">
        <f t="shared" si="13"/>
        <v/>
      </c>
      <c r="C266" s="301" t="str">
        <f t="shared" si="14"/>
        <v/>
      </c>
      <c r="D266" s="301" t="str">
        <f t="shared" si="15"/>
        <v/>
      </c>
      <c r="E266" s="301" t="str">
        <f t="shared" si="16"/>
        <v/>
      </c>
      <c r="F266" s="317" t="str">
        <f t="shared" si="17"/>
        <v/>
      </c>
      <c r="G266" s="323" t="str">
        <f t="shared" si="18"/>
        <v/>
      </c>
      <c r="H266" s="327" t="str">
        <f t="shared" si="19"/>
        <v/>
      </c>
      <c r="I266" s="327" t="str">
        <f t="shared" si="20"/>
        <v/>
      </c>
      <c r="J266" s="301" t="str">
        <f t="shared" si="21"/>
        <v/>
      </c>
      <c r="K266" s="301" t="str">
        <f t="shared" si="22"/>
        <v/>
      </c>
      <c r="L266" s="344" t="str">
        <f t="array" ref="L266">IF($T266="","",LET(m,MATCH($T266,$AS$24:$AS$700,0),lvl,INDEX($W$24:$W$700,m),id,INDEX($X$24:$X$700,m),SWITCH(lvl,3,"Lớp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6" s="351" t="str">
        <f t="shared" si="23"/>
        <v/>
      </c>
      <c r="N266" s="356" t="str">
        <f t="shared" si="24"/>
        <v/>
      </c>
      <c r="O266" s="358"/>
      <c r="P266" s="360"/>
      <c r="Q266" s="360"/>
      <c r="R266" s="67"/>
      <c r="S266" s="67"/>
      <c r="T266" s="67"/>
      <c r="U266" s="389" t="str">
        <f>IF('Lớp 5 - Phân công'!I77="","",'Lớp 5 - Phân công'!K77&amp;"|"&amp;'Lớp 5 - Phân công'!J77&amp;"|"&amp;'Lớp 5 - Phân công'!I77)</f>
        <v/>
      </c>
      <c r="V266" s="389" t="str">
        <f>IF('Lớp 5 - Phân công'!I77="","","       ├─ "&amp;'Lớp 5 - Phân công'!Q77)</f>
        <v/>
      </c>
      <c r="W266" s="389" t="str">
        <f>IF('Lớp 5 - Phân công'!I77="","",5)</f>
        <v/>
      </c>
      <c r="X266" s="67" t="str">
        <f>'Lớp 5 - Phân công'!I77</f>
        <v/>
      </c>
      <c r="Y266" s="67" t="str">
        <f>'Lớp 5 - Phân công'!J77</f>
        <v/>
      </c>
      <c r="Z266" s="67" t="str">
        <f>'Lớp 5 - Phân công'!AA77</f>
        <v/>
      </c>
      <c r="AA266" s="67" t="str">
        <f>'Lớp 5 - Phân công'!Z77</f>
        <v/>
      </c>
      <c r="AB266" s="67" t="str">
        <f>'Lớp 5 - Phân công'!AC77</f>
        <v/>
      </c>
      <c r="AC266" s="67" t="str">
        <f>'Lớp 5 - Phân công'!AB77</f>
        <v/>
      </c>
      <c r="AD266" s="398" t="str">
        <f>'Lớp 5 - Phân công'!AG77</f>
        <v/>
      </c>
      <c r="AE266" s="358" t="str">
        <f>'Lớp 5 - Phân công'!AE77</f>
        <v/>
      </c>
      <c r="AF266" s="187" t="str">
        <f>'Lớp 5 - Phân công'!AH77</f>
        <v/>
      </c>
      <c r="AG266" s="104" t="str">
        <f>'Lớp 5 - Phân công'!AI77</f>
        <v/>
      </c>
      <c r="AH266" s="389" t="str">
        <f t="shared" si="27"/>
        <v/>
      </c>
      <c r="AI266" s="389" t="str">
        <f t="shared" si="37"/>
        <v>🔵 Chưa có hạn</v>
      </c>
      <c r="AJ266" s="67" t="str">
        <f>'Lớp 5 - Phân công'!AL77</f>
        <v/>
      </c>
      <c r="AS266" s="389" t="str">
        <f t="shared" si="217"/>
        <v/>
      </c>
      <c r="AT266" s="389" t="str">
        <f t="shared" si="32"/>
        <v/>
      </c>
      <c r="AU266" s="389" t="str">
        <f t="shared" si="33"/>
        <v/>
      </c>
      <c r="AV266" s="389" t="str">
        <f t="shared" si="34"/>
        <v/>
      </c>
      <c r="AW266" s="389" t="str">
        <f t="shared" si="35"/>
        <v/>
      </c>
      <c r="AX266" s="67" t="str">
        <f t="shared" ref="AX266:BH266" si="280">Z266</f>
        <v/>
      </c>
      <c r="AY266" s="67" t="str">
        <f t="shared" si="280"/>
        <v/>
      </c>
      <c r="AZ266" s="67" t="str">
        <f t="shared" si="280"/>
        <v/>
      </c>
      <c r="BA266" s="67" t="str">
        <f t="shared" si="280"/>
        <v/>
      </c>
      <c r="BB266" s="398" t="str">
        <f t="shared" si="280"/>
        <v/>
      </c>
      <c r="BC266" s="358" t="str">
        <f t="shared" si="280"/>
        <v/>
      </c>
      <c r="BD266" s="187" t="str">
        <f t="shared" si="280"/>
        <v/>
      </c>
      <c r="BE266" s="104" t="str">
        <f t="shared" si="280"/>
        <v/>
      </c>
      <c r="BF266" s="389" t="str">
        <f t="shared" si="280"/>
        <v/>
      </c>
      <c r="BG266" s="389" t="str">
        <f t="shared" si="280"/>
        <v>🔵 Chưa có hạn</v>
      </c>
      <c r="BH266" s="67" t="str">
        <f t="shared" si="280"/>
        <v/>
      </c>
      <c r="BI266" s="389" t="str">
        <f t="array" ref="BI266">IF($X266="","",SWITCH($W266,3,IFERROR(INDEX('Lớp 3 - Công việc chính'!$AF$14:$AF$73,MATCH($X266,'Lớp 3 - Công việc chính'!$I$14:$I$73,0)),""),4,IFERROR(INDEX('Lớp 4 - Danh mục'!$AI$14:$AI$132,MATCH($X266,'Lớp 4 - Danh mục'!$I$14:$I$132,0)),""),5,IFERROR(INDEX('Lớp 5 - Phân công'!$AJ$14:$AJ$262,MATCH($X266,'Lớp 5 - Phân công'!$I$14:$I$262,0)),""),6,IFERROR(INDEX('Lớp 6 - Chi tiết'!$AM$14:$AM$267,MATCH($X266,'Lớp 6 - Chi tiết'!$I$14:$I$267,0)),""),""))</f>
        <v/>
      </c>
      <c r="BJ266" s="389" t="str">
        <f t="array" ref="BJ266">IF($X266="","",SWITCH($W266,3,IFERROR(INDEX('Lớp 3 - Công việc chính'!$AR$14:$AR$73,MATCH($X266,'Lớp 3 - Công việc chính'!$I$14:$I$73,0)),""),4,IFERROR(INDEX('Lớp 4 - Danh mục'!$AU$14:$AU$132,MATCH($X266,'Lớp 4 - Danh mục'!$I$14:$I$132,0)),""),5,IFERROR(INDEX('Lớp 5 - Phân công'!$AV$14:$AV$262,MATCH($X266,'Lớp 5 - Phân công'!$I$14:$I$262,0)),""),6,IFERROR(INDEX('Lớp 6 - Chi tiết'!$AY$14:$AY$267,MATCH($X266,'Lớp 6 - Chi tiết'!$I$14:$I$267,0)),""),""))</f>
        <v/>
      </c>
    </row>
    <row r="267" ht="15.75" customHeight="1">
      <c r="A267" s="294" t="str">
        <f t="shared" si="12"/>
        <v/>
      </c>
      <c r="B267" s="301" t="str">
        <f t="shared" si="13"/>
        <v/>
      </c>
      <c r="C267" s="301" t="str">
        <f t="shared" si="14"/>
        <v/>
      </c>
      <c r="D267" s="301" t="str">
        <f t="shared" si="15"/>
        <v/>
      </c>
      <c r="E267" s="301" t="str">
        <f t="shared" si="16"/>
        <v/>
      </c>
      <c r="F267" s="317" t="str">
        <f t="shared" si="17"/>
        <v/>
      </c>
      <c r="G267" s="323" t="str">
        <f t="shared" si="18"/>
        <v/>
      </c>
      <c r="H267" s="327" t="str">
        <f t="shared" si="19"/>
        <v/>
      </c>
      <c r="I267" s="327" t="str">
        <f t="shared" si="20"/>
        <v/>
      </c>
      <c r="J267" s="301" t="str">
        <f t="shared" si="21"/>
        <v/>
      </c>
      <c r="K267" s="301" t="str">
        <f t="shared" si="22"/>
        <v/>
      </c>
      <c r="L267" s="344" t="str">
        <f t="array" ref="L267">IF($T267="","",LET(m,MATCH($T267,$AS$24:$AS$700,0),lvl,INDEX($W$24:$W$700,m),id,INDEX($X$24:$X$700,m),SWITCH(lvl,3,"Lớp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7" s="351" t="str">
        <f t="shared" si="23"/>
        <v/>
      </c>
      <c r="N267" s="356" t="str">
        <f t="shared" si="24"/>
        <v/>
      </c>
      <c r="O267" s="358"/>
      <c r="P267" s="360"/>
      <c r="Q267" s="360"/>
      <c r="R267" s="67"/>
      <c r="S267" s="67"/>
      <c r="T267" s="67"/>
      <c r="U267" s="389" t="str">
        <f>IF('Lớp 5 - Phân công'!I78="","",'Lớp 5 - Phân công'!K78&amp;"|"&amp;'Lớp 5 - Phân công'!J78&amp;"|"&amp;'Lớp 5 - Phân công'!I78)</f>
        <v/>
      </c>
      <c r="V267" s="389" t="str">
        <f>IF('Lớp 5 - Phân công'!I78="","","       ├─ "&amp;'Lớp 5 - Phân công'!Q78)</f>
        <v/>
      </c>
      <c r="W267" s="389" t="str">
        <f>IF('Lớp 5 - Phân công'!I78="","",5)</f>
        <v/>
      </c>
      <c r="X267" s="67" t="str">
        <f>'Lớp 5 - Phân công'!I78</f>
        <v/>
      </c>
      <c r="Y267" s="67" t="str">
        <f>'Lớp 5 - Phân công'!J78</f>
        <v/>
      </c>
      <c r="Z267" s="67" t="str">
        <f>'Lớp 5 - Phân công'!AA78</f>
        <v/>
      </c>
      <c r="AA267" s="67" t="str">
        <f>'Lớp 5 - Phân công'!Z78</f>
        <v/>
      </c>
      <c r="AB267" s="67" t="str">
        <f>'Lớp 5 - Phân công'!AC78</f>
        <v/>
      </c>
      <c r="AC267" s="67" t="str">
        <f>'Lớp 5 - Phân công'!AB78</f>
        <v/>
      </c>
      <c r="AD267" s="398" t="str">
        <f>'Lớp 5 - Phân công'!AG78</f>
        <v/>
      </c>
      <c r="AE267" s="358" t="str">
        <f>'Lớp 5 - Phân công'!AE78</f>
        <v/>
      </c>
      <c r="AF267" s="187" t="str">
        <f>'Lớp 5 - Phân công'!AH78</f>
        <v/>
      </c>
      <c r="AG267" s="104" t="str">
        <f>'Lớp 5 - Phân công'!AI78</f>
        <v/>
      </c>
      <c r="AH267" s="389" t="str">
        <f t="shared" si="27"/>
        <v/>
      </c>
      <c r="AI267" s="389" t="str">
        <f t="shared" si="37"/>
        <v>🔵 Chưa có hạn</v>
      </c>
      <c r="AJ267" s="67" t="str">
        <f>'Lớp 5 - Phân công'!AL78</f>
        <v/>
      </c>
      <c r="AS267" s="389" t="str">
        <f t="shared" si="217"/>
        <v/>
      </c>
      <c r="AT267" s="389" t="str">
        <f t="shared" si="32"/>
        <v/>
      </c>
      <c r="AU267" s="389" t="str">
        <f t="shared" si="33"/>
        <v/>
      </c>
      <c r="AV267" s="389" t="str">
        <f t="shared" si="34"/>
        <v/>
      </c>
      <c r="AW267" s="389" t="str">
        <f t="shared" si="35"/>
        <v/>
      </c>
      <c r="AX267" s="67" t="str">
        <f t="shared" ref="AX267:BH267" si="281">Z267</f>
        <v/>
      </c>
      <c r="AY267" s="67" t="str">
        <f t="shared" si="281"/>
        <v/>
      </c>
      <c r="AZ267" s="67" t="str">
        <f t="shared" si="281"/>
        <v/>
      </c>
      <c r="BA267" s="67" t="str">
        <f t="shared" si="281"/>
        <v/>
      </c>
      <c r="BB267" s="398" t="str">
        <f t="shared" si="281"/>
        <v/>
      </c>
      <c r="BC267" s="358" t="str">
        <f t="shared" si="281"/>
        <v/>
      </c>
      <c r="BD267" s="187" t="str">
        <f t="shared" si="281"/>
        <v/>
      </c>
      <c r="BE267" s="104" t="str">
        <f t="shared" si="281"/>
        <v/>
      </c>
      <c r="BF267" s="389" t="str">
        <f t="shared" si="281"/>
        <v/>
      </c>
      <c r="BG267" s="389" t="str">
        <f t="shared" si="281"/>
        <v>🔵 Chưa có hạn</v>
      </c>
      <c r="BH267" s="67" t="str">
        <f t="shared" si="281"/>
        <v/>
      </c>
      <c r="BI267" s="389" t="str">
        <f t="array" ref="BI267">IF($X267="","",SWITCH($W267,3,IFERROR(INDEX('Lớp 3 - Công việc chính'!$AF$14:$AF$73,MATCH($X267,'Lớp 3 - Công việc chính'!$I$14:$I$73,0)),""),4,IFERROR(INDEX('Lớp 4 - Danh mục'!$AI$14:$AI$132,MATCH($X267,'Lớp 4 - Danh mục'!$I$14:$I$132,0)),""),5,IFERROR(INDEX('Lớp 5 - Phân công'!$AJ$14:$AJ$262,MATCH($X267,'Lớp 5 - Phân công'!$I$14:$I$262,0)),""),6,IFERROR(INDEX('Lớp 6 - Chi tiết'!$AM$14:$AM$267,MATCH($X267,'Lớp 6 - Chi tiết'!$I$14:$I$267,0)),""),""))</f>
        <v/>
      </c>
      <c r="BJ267" s="389" t="str">
        <f t="array" ref="BJ267">IF($X267="","",SWITCH($W267,3,IFERROR(INDEX('Lớp 3 - Công việc chính'!$AR$14:$AR$73,MATCH($X267,'Lớp 3 - Công việc chính'!$I$14:$I$73,0)),""),4,IFERROR(INDEX('Lớp 4 - Danh mục'!$AU$14:$AU$132,MATCH($X267,'Lớp 4 - Danh mục'!$I$14:$I$132,0)),""),5,IFERROR(INDEX('Lớp 5 - Phân công'!$AV$14:$AV$262,MATCH($X267,'Lớp 5 - Phân công'!$I$14:$I$262,0)),""),6,IFERROR(INDEX('Lớp 6 - Chi tiết'!$AY$14:$AY$267,MATCH($X267,'Lớp 6 - Chi tiết'!$I$14:$I$267,0)),""),""))</f>
        <v/>
      </c>
    </row>
    <row r="268" ht="15.75" customHeight="1">
      <c r="A268" s="294" t="str">
        <f t="shared" si="12"/>
        <v/>
      </c>
      <c r="B268" s="301" t="str">
        <f t="shared" si="13"/>
        <v/>
      </c>
      <c r="C268" s="301" t="str">
        <f t="shared" si="14"/>
        <v/>
      </c>
      <c r="D268" s="301" t="str">
        <f t="shared" si="15"/>
        <v/>
      </c>
      <c r="E268" s="301" t="str">
        <f t="shared" si="16"/>
        <v/>
      </c>
      <c r="F268" s="317" t="str">
        <f t="shared" si="17"/>
        <v/>
      </c>
      <c r="G268" s="323" t="str">
        <f t="shared" si="18"/>
        <v/>
      </c>
      <c r="H268" s="327" t="str">
        <f t="shared" si="19"/>
        <v/>
      </c>
      <c r="I268" s="327" t="str">
        <f t="shared" si="20"/>
        <v/>
      </c>
      <c r="J268" s="301" t="str">
        <f t="shared" si="21"/>
        <v/>
      </c>
      <c r="K268" s="301" t="str">
        <f t="shared" si="22"/>
        <v/>
      </c>
      <c r="L268" s="344" t="str">
        <f t="array" ref="L268">IF($T268="","",LET(m,MATCH($T268,$AS$24:$AS$700,0),lvl,INDEX($W$24:$W$700,m),id,INDEX($X$24:$X$700,m),SWITCH(lvl,3,"Lớp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8" s="351" t="str">
        <f t="shared" si="23"/>
        <v/>
      </c>
      <c r="N268" s="356" t="str">
        <f t="shared" si="24"/>
        <v/>
      </c>
      <c r="O268" s="358"/>
      <c r="P268" s="360"/>
      <c r="Q268" s="360"/>
      <c r="R268" s="67"/>
      <c r="S268" s="67"/>
      <c r="T268" s="67"/>
      <c r="U268" s="389" t="str">
        <f>IF('Lớp 5 - Phân công'!I79="","",'Lớp 5 - Phân công'!K79&amp;"|"&amp;'Lớp 5 - Phân công'!J79&amp;"|"&amp;'Lớp 5 - Phân công'!I79)</f>
        <v/>
      </c>
      <c r="V268" s="389" t="str">
        <f>IF('Lớp 5 - Phân công'!I79="","","       ├─ "&amp;'Lớp 5 - Phân công'!Q79)</f>
        <v/>
      </c>
      <c r="W268" s="389" t="str">
        <f>IF('Lớp 5 - Phân công'!I79="","",5)</f>
        <v/>
      </c>
      <c r="X268" s="67" t="str">
        <f>'Lớp 5 - Phân công'!I79</f>
        <v/>
      </c>
      <c r="Y268" s="67" t="str">
        <f>'Lớp 5 - Phân công'!J79</f>
        <v/>
      </c>
      <c r="Z268" s="67" t="str">
        <f>'Lớp 5 - Phân công'!AA79</f>
        <v/>
      </c>
      <c r="AA268" s="67" t="str">
        <f>'Lớp 5 - Phân công'!Z79</f>
        <v/>
      </c>
      <c r="AB268" s="67" t="str">
        <f>'Lớp 5 - Phân công'!AC79</f>
        <v/>
      </c>
      <c r="AC268" s="67" t="str">
        <f>'Lớp 5 - Phân công'!AB79</f>
        <v/>
      </c>
      <c r="AD268" s="398" t="str">
        <f>'Lớp 5 - Phân công'!AG79</f>
        <v/>
      </c>
      <c r="AE268" s="358" t="str">
        <f>'Lớp 5 - Phân công'!AE79</f>
        <v/>
      </c>
      <c r="AF268" s="187" t="str">
        <f>'Lớp 5 - Phân công'!AH79</f>
        <v/>
      </c>
      <c r="AG268" s="104" t="str">
        <f>'Lớp 5 - Phân công'!AI79</f>
        <v/>
      </c>
      <c r="AH268" s="389" t="str">
        <f t="shared" si="27"/>
        <v/>
      </c>
      <c r="AI268" s="389" t="str">
        <f t="shared" si="37"/>
        <v>🔵 Chưa có hạn</v>
      </c>
      <c r="AJ268" s="67" t="str">
        <f>'Lớp 5 - Phân công'!AL79</f>
        <v/>
      </c>
      <c r="AS268" s="389" t="str">
        <f t="shared" si="217"/>
        <v/>
      </c>
      <c r="AT268" s="389" t="str">
        <f t="shared" si="32"/>
        <v/>
      </c>
      <c r="AU268" s="389" t="str">
        <f t="shared" si="33"/>
        <v/>
      </c>
      <c r="AV268" s="389" t="str">
        <f t="shared" si="34"/>
        <v/>
      </c>
      <c r="AW268" s="389" t="str">
        <f t="shared" si="35"/>
        <v/>
      </c>
      <c r="AX268" s="67" t="str">
        <f t="shared" ref="AX268:BH268" si="282">Z268</f>
        <v/>
      </c>
      <c r="AY268" s="67" t="str">
        <f t="shared" si="282"/>
        <v/>
      </c>
      <c r="AZ268" s="67" t="str">
        <f t="shared" si="282"/>
        <v/>
      </c>
      <c r="BA268" s="67" t="str">
        <f t="shared" si="282"/>
        <v/>
      </c>
      <c r="BB268" s="398" t="str">
        <f t="shared" si="282"/>
        <v/>
      </c>
      <c r="BC268" s="358" t="str">
        <f t="shared" si="282"/>
        <v/>
      </c>
      <c r="BD268" s="187" t="str">
        <f t="shared" si="282"/>
        <v/>
      </c>
      <c r="BE268" s="104" t="str">
        <f t="shared" si="282"/>
        <v/>
      </c>
      <c r="BF268" s="389" t="str">
        <f t="shared" si="282"/>
        <v/>
      </c>
      <c r="BG268" s="389" t="str">
        <f t="shared" si="282"/>
        <v>🔵 Chưa có hạn</v>
      </c>
      <c r="BH268" s="67" t="str">
        <f t="shared" si="282"/>
        <v/>
      </c>
      <c r="BI268" s="389" t="str">
        <f t="array" ref="BI268">IF($X268="","",SWITCH($W268,3,IFERROR(INDEX('Lớp 3 - Công việc chính'!$AF$14:$AF$73,MATCH($X268,'Lớp 3 - Công việc chính'!$I$14:$I$73,0)),""),4,IFERROR(INDEX('Lớp 4 - Danh mục'!$AI$14:$AI$132,MATCH($X268,'Lớp 4 - Danh mục'!$I$14:$I$132,0)),""),5,IFERROR(INDEX('Lớp 5 - Phân công'!$AJ$14:$AJ$262,MATCH($X268,'Lớp 5 - Phân công'!$I$14:$I$262,0)),""),6,IFERROR(INDEX('Lớp 6 - Chi tiết'!$AM$14:$AM$267,MATCH($X268,'Lớp 6 - Chi tiết'!$I$14:$I$267,0)),""),""))</f>
        <v/>
      </c>
      <c r="BJ268" s="389" t="str">
        <f t="array" ref="BJ268">IF($X268="","",SWITCH($W268,3,IFERROR(INDEX('Lớp 3 - Công việc chính'!$AR$14:$AR$73,MATCH($X268,'Lớp 3 - Công việc chính'!$I$14:$I$73,0)),""),4,IFERROR(INDEX('Lớp 4 - Danh mục'!$AU$14:$AU$132,MATCH($X268,'Lớp 4 - Danh mục'!$I$14:$I$132,0)),""),5,IFERROR(INDEX('Lớp 5 - Phân công'!$AV$14:$AV$262,MATCH($X268,'Lớp 5 - Phân công'!$I$14:$I$262,0)),""),6,IFERROR(INDEX('Lớp 6 - Chi tiết'!$AY$14:$AY$267,MATCH($X268,'Lớp 6 - Chi tiết'!$I$14:$I$267,0)),""),""))</f>
        <v/>
      </c>
    </row>
    <row r="269" ht="15.75" customHeight="1">
      <c r="A269" s="294" t="str">
        <f t="shared" si="12"/>
        <v/>
      </c>
      <c r="B269" s="301" t="str">
        <f t="shared" si="13"/>
        <v/>
      </c>
      <c r="C269" s="301" t="str">
        <f t="shared" si="14"/>
        <v/>
      </c>
      <c r="D269" s="301" t="str">
        <f t="shared" si="15"/>
        <v/>
      </c>
      <c r="E269" s="301" t="str">
        <f t="shared" si="16"/>
        <v/>
      </c>
      <c r="F269" s="317" t="str">
        <f t="shared" si="17"/>
        <v/>
      </c>
      <c r="G269" s="323" t="str">
        <f t="shared" si="18"/>
        <v/>
      </c>
      <c r="H269" s="327" t="str">
        <f t="shared" si="19"/>
        <v/>
      </c>
      <c r="I269" s="327" t="str">
        <f t="shared" si="20"/>
        <v/>
      </c>
      <c r="J269" s="301" t="str">
        <f t="shared" si="21"/>
        <v/>
      </c>
      <c r="K269" s="301" t="str">
        <f t="shared" si="22"/>
        <v/>
      </c>
      <c r="L269" s="344" t="str">
        <f t="array" ref="L269">IF($T269="","",LET(m,MATCH($T269,$AS$24:$AS$700,0),lvl,INDEX($W$24:$W$700,m),id,INDEX($X$24:$X$700,m),SWITCH(lvl,3,"Lớp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69" s="351" t="str">
        <f t="shared" si="23"/>
        <v/>
      </c>
      <c r="N269" s="356" t="str">
        <f t="shared" si="24"/>
        <v/>
      </c>
      <c r="O269" s="358"/>
      <c r="P269" s="360"/>
      <c r="Q269" s="360"/>
      <c r="R269" s="67"/>
      <c r="S269" s="67"/>
      <c r="T269" s="67"/>
      <c r="U269" s="389" t="str">
        <f>IF('Lớp 5 - Phân công'!I80="","",'Lớp 5 - Phân công'!K80&amp;"|"&amp;'Lớp 5 - Phân công'!J80&amp;"|"&amp;'Lớp 5 - Phân công'!I80)</f>
        <v/>
      </c>
      <c r="V269" s="389" t="str">
        <f>IF('Lớp 5 - Phân công'!I80="","","       ├─ "&amp;'Lớp 5 - Phân công'!Q80)</f>
        <v/>
      </c>
      <c r="W269" s="389" t="str">
        <f>IF('Lớp 5 - Phân công'!I80="","",5)</f>
        <v/>
      </c>
      <c r="X269" s="67" t="str">
        <f>'Lớp 5 - Phân công'!I80</f>
        <v/>
      </c>
      <c r="Y269" s="67" t="str">
        <f>'Lớp 5 - Phân công'!J80</f>
        <v/>
      </c>
      <c r="Z269" s="67" t="str">
        <f>'Lớp 5 - Phân công'!AA80</f>
        <v/>
      </c>
      <c r="AA269" s="67" t="str">
        <f>'Lớp 5 - Phân công'!Z80</f>
        <v/>
      </c>
      <c r="AB269" s="67" t="str">
        <f>'Lớp 5 - Phân công'!AC80</f>
        <v/>
      </c>
      <c r="AC269" s="67" t="str">
        <f>'Lớp 5 - Phân công'!AB80</f>
        <v/>
      </c>
      <c r="AD269" s="398" t="str">
        <f>'Lớp 5 - Phân công'!AG80</f>
        <v/>
      </c>
      <c r="AE269" s="358" t="str">
        <f>'Lớp 5 - Phân công'!AE80</f>
        <v/>
      </c>
      <c r="AF269" s="187" t="str">
        <f>'Lớp 5 - Phân công'!AH80</f>
        <v/>
      </c>
      <c r="AG269" s="104" t="str">
        <f>'Lớp 5 - Phân công'!AI80</f>
        <v/>
      </c>
      <c r="AH269" s="389" t="str">
        <f t="shared" si="27"/>
        <v/>
      </c>
      <c r="AI269" s="389" t="str">
        <f t="shared" si="37"/>
        <v>🔵 Chưa có hạn</v>
      </c>
      <c r="AJ269" s="67" t="str">
        <f>'Lớp 5 - Phân công'!AL80</f>
        <v/>
      </c>
      <c r="AS269" s="389" t="str">
        <f t="shared" si="217"/>
        <v/>
      </c>
      <c r="AT269" s="389" t="str">
        <f t="shared" si="32"/>
        <v/>
      </c>
      <c r="AU269" s="389" t="str">
        <f t="shared" si="33"/>
        <v/>
      </c>
      <c r="AV269" s="389" t="str">
        <f t="shared" si="34"/>
        <v/>
      </c>
      <c r="AW269" s="389" t="str">
        <f t="shared" si="35"/>
        <v/>
      </c>
      <c r="AX269" s="67" t="str">
        <f t="shared" ref="AX269:BH269" si="283">Z269</f>
        <v/>
      </c>
      <c r="AY269" s="67" t="str">
        <f t="shared" si="283"/>
        <v/>
      </c>
      <c r="AZ269" s="67" t="str">
        <f t="shared" si="283"/>
        <v/>
      </c>
      <c r="BA269" s="67" t="str">
        <f t="shared" si="283"/>
        <v/>
      </c>
      <c r="BB269" s="398" t="str">
        <f t="shared" si="283"/>
        <v/>
      </c>
      <c r="BC269" s="358" t="str">
        <f t="shared" si="283"/>
        <v/>
      </c>
      <c r="BD269" s="187" t="str">
        <f t="shared" si="283"/>
        <v/>
      </c>
      <c r="BE269" s="104" t="str">
        <f t="shared" si="283"/>
        <v/>
      </c>
      <c r="BF269" s="389" t="str">
        <f t="shared" si="283"/>
        <v/>
      </c>
      <c r="BG269" s="389" t="str">
        <f t="shared" si="283"/>
        <v>🔵 Chưa có hạn</v>
      </c>
      <c r="BH269" s="67" t="str">
        <f t="shared" si="283"/>
        <v/>
      </c>
      <c r="BI269" s="389" t="str">
        <f t="array" ref="BI269">IF($X269="","",SWITCH($W269,3,IFERROR(INDEX('Lớp 3 - Công việc chính'!$AF$14:$AF$73,MATCH($X269,'Lớp 3 - Công việc chính'!$I$14:$I$73,0)),""),4,IFERROR(INDEX('Lớp 4 - Danh mục'!$AI$14:$AI$132,MATCH($X269,'Lớp 4 - Danh mục'!$I$14:$I$132,0)),""),5,IFERROR(INDEX('Lớp 5 - Phân công'!$AJ$14:$AJ$262,MATCH($X269,'Lớp 5 - Phân công'!$I$14:$I$262,0)),""),6,IFERROR(INDEX('Lớp 6 - Chi tiết'!$AM$14:$AM$267,MATCH($X269,'Lớp 6 - Chi tiết'!$I$14:$I$267,0)),""),""))</f>
        <v/>
      </c>
      <c r="BJ269" s="389" t="str">
        <f t="array" ref="BJ269">IF($X269="","",SWITCH($W269,3,IFERROR(INDEX('Lớp 3 - Công việc chính'!$AR$14:$AR$73,MATCH($X269,'Lớp 3 - Công việc chính'!$I$14:$I$73,0)),""),4,IFERROR(INDEX('Lớp 4 - Danh mục'!$AU$14:$AU$132,MATCH($X269,'Lớp 4 - Danh mục'!$I$14:$I$132,0)),""),5,IFERROR(INDEX('Lớp 5 - Phân công'!$AV$14:$AV$262,MATCH($X269,'Lớp 5 - Phân công'!$I$14:$I$262,0)),""),6,IFERROR(INDEX('Lớp 6 - Chi tiết'!$AY$14:$AY$267,MATCH($X269,'Lớp 6 - Chi tiết'!$I$14:$I$267,0)),""),""))</f>
        <v/>
      </c>
    </row>
    <row r="270" ht="15.75" customHeight="1">
      <c r="A270" s="294" t="str">
        <f t="shared" si="12"/>
        <v/>
      </c>
      <c r="B270" s="301" t="str">
        <f t="shared" si="13"/>
        <v/>
      </c>
      <c r="C270" s="301" t="str">
        <f t="shared" si="14"/>
        <v/>
      </c>
      <c r="D270" s="301" t="str">
        <f t="shared" si="15"/>
        <v/>
      </c>
      <c r="E270" s="301" t="str">
        <f t="shared" si="16"/>
        <v/>
      </c>
      <c r="F270" s="317" t="str">
        <f t="shared" si="17"/>
        <v/>
      </c>
      <c r="G270" s="323" t="str">
        <f t="shared" si="18"/>
        <v/>
      </c>
      <c r="H270" s="327" t="str">
        <f t="shared" si="19"/>
        <v/>
      </c>
      <c r="I270" s="327" t="str">
        <f t="shared" si="20"/>
        <v/>
      </c>
      <c r="J270" s="301" t="str">
        <f t="shared" si="21"/>
        <v/>
      </c>
      <c r="K270" s="301" t="str">
        <f t="shared" si="22"/>
        <v/>
      </c>
      <c r="L270" s="344" t="str">
        <f t="array" ref="L270">IF($T270="","",LET(m,MATCH($T270,$AS$24:$AS$700,0),lvl,INDEX($W$24:$W$700,m),id,INDEX($X$24:$X$700,m),SWITCH(lvl,3,"Lớp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0" s="351" t="str">
        <f t="shared" si="23"/>
        <v/>
      </c>
      <c r="N270" s="356" t="str">
        <f t="shared" si="24"/>
        <v/>
      </c>
      <c r="O270" s="358"/>
      <c r="P270" s="360"/>
      <c r="Q270" s="360"/>
      <c r="R270" s="67"/>
      <c r="S270" s="67"/>
      <c r="T270" s="67"/>
      <c r="U270" s="389" t="str">
        <f>IF('Lớp 5 - Phân công'!I81="","",'Lớp 5 - Phân công'!K81&amp;"|"&amp;'Lớp 5 - Phân công'!J81&amp;"|"&amp;'Lớp 5 - Phân công'!I81)</f>
        <v/>
      </c>
      <c r="V270" s="389" t="str">
        <f>IF('Lớp 5 - Phân công'!I81="","","       ├─ "&amp;'Lớp 5 - Phân công'!Q81)</f>
        <v/>
      </c>
      <c r="W270" s="389" t="str">
        <f>IF('Lớp 5 - Phân công'!I81="","",5)</f>
        <v/>
      </c>
      <c r="X270" s="67" t="str">
        <f>'Lớp 5 - Phân công'!I81</f>
        <v/>
      </c>
      <c r="Y270" s="67" t="str">
        <f>'Lớp 5 - Phân công'!J81</f>
        <v/>
      </c>
      <c r="Z270" s="67" t="str">
        <f>'Lớp 5 - Phân công'!AA81</f>
        <v/>
      </c>
      <c r="AA270" s="67" t="str">
        <f>'Lớp 5 - Phân công'!Z81</f>
        <v/>
      </c>
      <c r="AB270" s="67" t="str">
        <f>'Lớp 5 - Phân công'!AC81</f>
        <v/>
      </c>
      <c r="AC270" s="67" t="str">
        <f>'Lớp 5 - Phân công'!AB81</f>
        <v/>
      </c>
      <c r="AD270" s="398" t="str">
        <f>'Lớp 5 - Phân công'!AG81</f>
        <v/>
      </c>
      <c r="AE270" s="358" t="str">
        <f>'Lớp 5 - Phân công'!AE81</f>
        <v/>
      </c>
      <c r="AF270" s="187" t="str">
        <f>'Lớp 5 - Phân công'!AH81</f>
        <v/>
      </c>
      <c r="AG270" s="104" t="str">
        <f>'Lớp 5 - Phân công'!AI81</f>
        <v/>
      </c>
      <c r="AH270" s="389" t="str">
        <f t="shared" si="27"/>
        <v/>
      </c>
      <c r="AI270" s="389" t="str">
        <f t="shared" si="37"/>
        <v>🔵 Chưa có hạn</v>
      </c>
      <c r="AJ270" s="67" t="str">
        <f>'Lớp 5 - Phân công'!AL81</f>
        <v/>
      </c>
      <c r="AS270" s="389" t="str">
        <f t="shared" si="217"/>
        <v/>
      </c>
      <c r="AT270" s="389" t="str">
        <f t="shared" si="32"/>
        <v/>
      </c>
      <c r="AU270" s="389" t="str">
        <f t="shared" si="33"/>
        <v/>
      </c>
      <c r="AV270" s="389" t="str">
        <f t="shared" si="34"/>
        <v/>
      </c>
      <c r="AW270" s="389" t="str">
        <f t="shared" si="35"/>
        <v/>
      </c>
      <c r="AX270" s="67" t="str">
        <f t="shared" ref="AX270:BH270" si="284">Z270</f>
        <v/>
      </c>
      <c r="AY270" s="67" t="str">
        <f t="shared" si="284"/>
        <v/>
      </c>
      <c r="AZ270" s="67" t="str">
        <f t="shared" si="284"/>
        <v/>
      </c>
      <c r="BA270" s="67" t="str">
        <f t="shared" si="284"/>
        <v/>
      </c>
      <c r="BB270" s="398" t="str">
        <f t="shared" si="284"/>
        <v/>
      </c>
      <c r="BC270" s="358" t="str">
        <f t="shared" si="284"/>
        <v/>
      </c>
      <c r="BD270" s="187" t="str">
        <f t="shared" si="284"/>
        <v/>
      </c>
      <c r="BE270" s="104" t="str">
        <f t="shared" si="284"/>
        <v/>
      </c>
      <c r="BF270" s="389" t="str">
        <f t="shared" si="284"/>
        <v/>
      </c>
      <c r="BG270" s="389" t="str">
        <f t="shared" si="284"/>
        <v>🔵 Chưa có hạn</v>
      </c>
      <c r="BH270" s="67" t="str">
        <f t="shared" si="284"/>
        <v/>
      </c>
      <c r="BI270" s="389" t="str">
        <f t="array" ref="BI270">IF($X270="","",SWITCH($W270,3,IFERROR(INDEX('Lớp 3 - Công việc chính'!$AF$14:$AF$73,MATCH($X270,'Lớp 3 - Công việc chính'!$I$14:$I$73,0)),""),4,IFERROR(INDEX('Lớp 4 - Danh mục'!$AI$14:$AI$132,MATCH($X270,'Lớp 4 - Danh mục'!$I$14:$I$132,0)),""),5,IFERROR(INDEX('Lớp 5 - Phân công'!$AJ$14:$AJ$262,MATCH($X270,'Lớp 5 - Phân công'!$I$14:$I$262,0)),""),6,IFERROR(INDEX('Lớp 6 - Chi tiết'!$AM$14:$AM$267,MATCH($X270,'Lớp 6 - Chi tiết'!$I$14:$I$267,0)),""),""))</f>
        <v/>
      </c>
      <c r="BJ270" s="389" t="str">
        <f t="array" ref="BJ270">IF($X270="","",SWITCH($W270,3,IFERROR(INDEX('Lớp 3 - Công việc chính'!$AR$14:$AR$73,MATCH($X270,'Lớp 3 - Công việc chính'!$I$14:$I$73,0)),""),4,IFERROR(INDEX('Lớp 4 - Danh mục'!$AU$14:$AU$132,MATCH($X270,'Lớp 4 - Danh mục'!$I$14:$I$132,0)),""),5,IFERROR(INDEX('Lớp 5 - Phân công'!$AV$14:$AV$262,MATCH($X270,'Lớp 5 - Phân công'!$I$14:$I$262,0)),""),6,IFERROR(INDEX('Lớp 6 - Chi tiết'!$AY$14:$AY$267,MATCH($X270,'Lớp 6 - Chi tiết'!$I$14:$I$267,0)),""),""))</f>
        <v/>
      </c>
    </row>
    <row r="271" ht="15.75" customHeight="1">
      <c r="A271" s="294" t="str">
        <f t="shared" si="12"/>
        <v/>
      </c>
      <c r="B271" s="301" t="str">
        <f t="shared" si="13"/>
        <v/>
      </c>
      <c r="C271" s="301" t="str">
        <f t="shared" si="14"/>
        <v/>
      </c>
      <c r="D271" s="301" t="str">
        <f t="shared" si="15"/>
        <v/>
      </c>
      <c r="E271" s="301" t="str">
        <f t="shared" si="16"/>
        <v/>
      </c>
      <c r="F271" s="317" t="str">
        <f t="shared" si="17"/>
        <v/>
      </c>
      <c r="G271" s="323" t="str">
        <f t="shared" si="18"/>
        <v/>
      </c>
      <c r="H271" s="327" t="str">
        <f t="shared" si="19"/>
        <v/>
      </c>
      <c r="I271" s="327" t="str">
        <f t="shared" si="20"/>
        <v/>
      </c>
      <c r="J271" s="301" t="str">
        <f t="shared" si="21"/>
        <v/>
      </c>
      <c r="K271" s="301" t="str">
        <f t="shared" si="22"/>
        <v/>
      </c>
      <c r="L271" s="344" t="str">
        <f t="array" ref="L271">IF($T271="","",LET(m,MATCH($T271,$AS$24:$AS$700,0),lvl,INDEX($W$24:$W$700,m),id,INDEX($X$24:$X$700,m),SWITCH(lvl,3,"Lớp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1" s="351" t="str">
        <f t="shared" si="23"/>
        <v/>
      </c>
      <c r="N271" s="356" t="str">
        <f t="shared" si="24"/>
        <v/>
      </c>
      <c r="O271" s="358"/>
      <c r="P271" s="360"/>
      <c r="Q271" s="360"/>
      <c r="R271" s="67"/>
      <c r="S271" s="67"/>
      <c r="T271" s="67"/>
      <c r="U271" s="389" t="str">
        <f>IF('Lớp 5 - Phân công'!I82="","",'Lớp 5 - Phân công'!K82&amp;"|"&amp;'Lớp 5 - Phân công'!J82&amp;"|"&amp;'Lớp 5 - Phân công'!I82)</f>
        <v/>
      </c>
      <c r="V271" s="389" t="str">
        <f>IF('Lớp 5 - Phân công'!I82="","","       ├─ "&amp;'Lớp 5 - Phân công'!Q82)</f>
        <v/>
      </c>
      <c r="W271" s="389" t="str">
        <f>IF('Lớp 5 - Phân công'!I82="","",5)</f>
        <v/>
      </c>
      <c r="X271" s="67" t="str">
        <f>'Lớp 5 - Phân công'!I82</f>
        <v/>
      </c>
      <c r="Y271" s="67" t="str">
        <f>'Lớp 5 - Phân công'!J82</f>
        <v/>
      </c>
      <c r="Z271" s="67" t="str">
        <f>'Lớp 5 - Phân công'!AA82</f>
        <v/>
      </c>
      <c r="AA271" s="67" t="str">
        <f>'Lớp 5 - Phân công'!Z82</f>
        <v/>
      </c>
      <c r="AB271" s="67" t="str">
        <f>'Lớp 5 - Phân công'!AC82</f>
        <v/>
      </c>
      <c r="AC271" s="67" t="str">
        <f>'Lớp 5 - Phân công'!AB82</f>
        <v/>
      </c>
      <c r="AD271" s="398" t="str">
        <f>'Lớp 5 - Phân công'!AG82</f>
        <v/>
      </c>
      <c r="AE271" s="358" t="str">
        <f>'Lớp 5 - Phân công'!AE82</f>
        <v/>
      </c>
      <c r="AF271" s="187" t="str">
        <f>'Lớp 5 - Phân công'!AH82</f>
        <v/>
      </c>
      <c r="AG271" s="104" t="str">
        <f>'Lớp 5 - Phân công'!AI82</f>
        <v/>
      </c>
      <c r="AH271" s="389" t="str">
        <f t="shared" si="27"/>
        <v/>
      </c>
      <c r="AI271" s="389" t="str">
        <f t="shared" si="37"/>
        <v>🔵 Chưa có hạn</v>
      </c>
      <c r="AJ271" s="67" t="str">
        <f>'Lớp 5 - Phân công'!AL82</f>
        <v/>
      </c>
      <c r="AS271" s="389" t="str">
        <f t="shared" si="217"/>
        <v/>
      </c>
      <c r="AT271" s="389" t="str">
        <f t="shared" si="32"/>
        <v/>
      </c>
      <c r="AU271" s="389" t="str">
        <f t="shared" si="33"/>
        <v/>
      </c>
      <c r="AV271" s="389" t="str">
        <f t="shared" si="34"/>
        <v/>
      </c>
      <c r="AW271" s="389" t="str">
        <f t="shared" si="35"/>
        <v/>
      </c>
      <c r="AX271" s="67" t="str">
        <f t="shared" ref="AX271:BH271" si="285">Z271</f>
        <v/>
      </c>
      <c r="AY271" s="67" t="str">
        <f t="shared" si="285"/>
        <v/>
      </c>
      <c r="AZ271" s="67" t="str">
        <f t="shared" si="285"/>
        <v/>
      </c>
      <c r="BA271" s="67" t="str">
        <f t="shared" si="285"/>
        <v/>
      </c>
      <c r="BB271" s="398" t="str">
        <f t="shared" si="285"/>
        <v/>
      </c>
      <c r="BC271" s="358" t="str">
        <f t="shared" si="285"/>
        <v/>
      </c>
      <c r="BD271" s="187" t="str">
        <f t="shared" si="285"/>
        <v/>
      </c>
      <c r="BE271" s="104" t="str">
        <f t="shared" si="285"/>
        <v/>
      </c>
      <c r="BF271" s="389" t="str">
        <f t="shared" si="285"/>
        <v/>
      </c>
      <c r="BG271" s="389" t="str">
        <f t="shared" si="285"/>
        <v>🔵 Chưa có hạn</v>
      </c>
      <c r="BH271" s="67" t="str">
        <f t="shared" si="285"/>
        <v/>
      </c>
      <c r="BI271" s="389" t="str">
        <f t="array" ref="BI271">IF($X271="","",SWITCH($W271,3,IFERROR(INDEX('Lớp 3 - Công việc chính'!$AF$14:$AF$73,MATCH($X271,'Lớp 3 - Công việc chính'!$I$14:$I$73,0)),""),4,IFERROR(INDEX('Lớp 4 - Danh mục'!$AI$14:$AI$132,MATCH($X271,'Lớp 4 - Danh mục'!$I$14:$I$132,0)),""),5,IFERROR(INDEX('Lớp 5 - Phân công'!$AJ$14:$AJ$262,MATCH($X271,'Lớp 5 - Phân công'!$I$14:$I$262,0)),""),6,IFERROR(INDEX('Lớp 6 - Chi tiết'!$AM$14:$AM$267,MATCH($X271,'Lớp 6 - Chi tiết'!$I$14:$I$267,0)),""),""))</f>
        <v/>
      </c>
      <c r="BJ271" s="389" t="str">
        <f t="array" ref="BJ271">IF($X271="","",SWITCH($W271,3,IFERROR(INDEX('Lớp 3 - Công việc chính'!$AR$14:$AR$73,MATCH($X271,'Lớp 3 - Công việc chính'!$I$14:$I$73,0)),""),4,IFERROR(INDEX('Lớp 4 - Danh mục'!$AU$14:$AU$132,MATCH($X271,'Lớp 4 - Danh mục'!$I$14:$I$132,0)),""),5,IFERROR(INDEX('Lớp 5 - Phân công'!$AV$14:$AV$262,MATCH($X271,'Lớp 5 - Phân công'!$I$14:$I$262,0)),""),6,IFERROR(INDEX('Lớp 6 - Chi tiết'!$AY$14:$AY$267,MATCH($X271,'Lớp 6 - Chi tiết'!$I$14:$I$267,0)),""),""))</f>
        <v/>
      </c>
    </row>
    <row r="272" ht="15.75" customHeight="1">
      <c r="A272" s="294" t="str">
        <f t="shared" si="12"/>
        <v/>
      </c>
      <c r="B272" s="301" t="str">
        <f t="shared" si="13"/>
        <v/>
      </c>
      <c r="C272" s="301" t="str">
        <f t="shared" si="14"/>
        <v/>
      </c>
      <c r="D272" s="301" t="str">
        <f t="shared" si="15"/>
        <v/>
      </c>
      <c r="E272" s="301" t="str">
        <f t="shared" si="16"/>
        <v/>
      </c>
      <c r="F272" s="317" t="str">
        <f t="shared" si="17"/>
        <v/>
      </c>
      <c r="G272" s="323" t="str">
        <f t="shared" si="18"/>
        <v/>
      </c>
      <c r="H272" s="327" t="str">
        <f t="shared" si="19"/>
        <v/>
      </c>
      <c r="I272" s="327" t="str">
        <f t="shared" si="20"/>
        <v/>
      </c>
      <c r="J272" s="301" t="str">
        <f t="shared" si="21"/>
        <v/>
      </c>
      <c r="K272" s="301" t="str">
        <f t="shared" si="22"/>
        <v/>
      </c>
      <c r="L272" s="344" t="str">
        <f t="array" ref="L272">IF($T272="","",LET(m,MATCH($T272,$AS$24:$AS$700,0),lvl,INDEX($W$24:$W$700,m),id,INDEX($X$24:$X$700,m),SWITCH(lvl,3,"Lớp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2" s="351" t="str">
        <f t="shared" si="23"/>
        <v/>
      </c>
      <c r="N272" s="356" t="str">
        <f t="shared" si="24"/>
        <v/>
      </c>
      <c r="O272" s="358"/>
      <c r="P272" s="360"/>
      <c r="Q272" s="360"/>
      <c r="R272" s="67"/>
      <c r="S272" s="67"/>
      <c r="T272" s="67"/>
      <c r="U272" s="389" t="str">
        <f>IF('Lớp 5 - Phân công'!I83="","",'Lớp 5 - Phân công'!K83&amp;"|"&amp;'Lớp 5 - Phân công'!J83&amp;"|"&amp;'Lớp 5 - Phân công'!I83)</f>
        <v/>
      </c>
      <c r="V272" s="389" t="str">
        <f>IF('Lớp 5 - Phân công'!I83="","","       ├─ "&amp;'Lớp 5 - Phân công'!Q83)</f>
        <v/>
      </c>
      <c r="W272" s="389" t="str">
        <f>IF('Lớp 5 - Phân công'!I83="","",5)</f>
        <v/>
      </c>
      <c r="X272" s="67" t="str">
        <f>'Lớp 5 - Phân công'!I83</f>
        <v/>
      </c>
      <c r="Y272" s="67" t="str">
        <f>'Lớp 5 - Phân công'!J83</f>
        <v/>
      </c>
      <c r="Z272" s="67" t="str">
        <f>'Lớp 5 - Phân công'!AA83</f>
        <v/>
      </c>
      <c r="AA272" s="67" t="str">
        <f>'Lớp 5 - Phân công'!Z83</f>
        <v/>
      </c>
      <c r="AB272" s="67" t="str">
        <f>'Lớp 5 - Phân công'!AC83</f>
        <v/>
      </c>
      <c r="AC272" s="67" t="str">
        <f>'Lớp 5 - Phân công'!AB83</f>
        <v/>
      </c>
      <c r="AD272" s="398" t="str">
        <f>'Lớp 5 - Phân công'!AG83</f>
        <v/>
      </c>
      <c r="AE272" s="358" t="str">
        <f>'Lớp 5 - Phân công'!AE83</f>
        <v/>
      </c>
      <c r="AF272" s="187" t="str">
        <f>'Lớp 5 - Phân công'!AH83</f>
        <v/>
      </c>
      <c r="AG272" s="104" t="str">
        <f>'Lớp 5 - Phân công'!AI83</f>
        <v/>
      </c>
      <c r="AH272" s="389" t="str">
        <f t="shared" si="27"/>
        <v/>
      </c>
      <c r="AI272" s="389" t="str">
        <f t="shared" si="37"/>
        <v>🔵 Chưa có hạn</v>
      </c>
      <c r="AJ272" s="67" t="str">
        <f>'Lớp 5 - Phân công'!AL83</f>
        <v/>
      </c>
      <c r="AS272" s="389" t="str">
        <f t="shared" si="217"/>
        <v/>
      </c>
      <c r="AT272" s="389" t="str">
        <f t="shared" si="32"/>
        <v/>
      </c>
      <c r="AU272" s="389" t="str">
        <f t="shared" si="33"/>
        <v/>
      </c>
      <c r="AV272" s="389" t="str">
        <f t="shared" si="34"/>
        <v/>
      </c>
      <c r="AW272" s="389" t="str">
        <f t="shared" si="35"/>
        <v/>
      </c>
      <c r="AX272" s="67" t="str">
        <f t="shared" ref="AX272:BH272" si="286">Z272</f>
        <v/>
      </c>
      <c r="AY272" s="67" t="str">
        <f t="shared" si="286"/>
        <v/>
      </c>
      <c r="AZ272" s="67" t="str">
        <f t="shared" si="286"/>
        <v/>
      </c>
      <c r="BA272" s="67" t="str">
        <f t="shared" si="286"/>
        <v/>
      </c>
      <c r="BB272" s="398" t="str">
        <f t="shared" si="286"/>
        <v/>
      </c>
      <c r="BC272" s="358" t="str">
        <f t="shared" si="286"/>
        <v/>
      </c>
      <c r="BD272" s="187" t="str">
        <f t="shared" si="286"/>
        <v/>
      </c>
      <c r="BE272" s="104" t="str">
        <f t="shared" si="286"/>
        <v/>
      </c>
      <c r="BF272" s="389" t="str">
        <f t="shared" si="286"/>
        <v/>
      </c>
      <c r="BG272" s="389" t="str">
        <f t="shared" si="286"/>
        <v>🔵 Chưa có hạn</v>
      </c>
      <c r="BH272" s="67" t="str">
        <f t="shared" si="286"/>
        <v/>
      </c>
      <c r="BI272" s="389" t="str">
        <f t="array" ref="BI272">IF($X272="","",SWITCH($W272,3,IFERROR(INDEX('Lớp 3 - Công việc chính'!$AF$14:$AF$73,MATCH($X272,'Lớp 3 - Công việc chính'!$I$14:$I$73,0)),""),4,IFERROR(INDEX('Lớp 4 - Danh mục'!$AI$14:$AI$132,MATCH($X272,'Lớp 4 - Danh mục'!$I$14:$I$132,0)),""),5,IFERROR(INDEX('Lớp 5 - Phân công'!$AJ$14:$AJ$262,MATCH($X272,'Lớp 5 - Phân công'!$I$14:$I$262,0)),""),6,IFERROR(INDEX('Lớp 6 - Chi tiết'!$AM$14:$AM$267,MATCH($X272,'Lớp 6 - Chi tiết'!$I$14:$I$267,0)),""),""))</f>
        <v/>
      </c>
      <c r="BJ272" s="389" t="str">
        <f t="array" ref="BJ272">IF($X272="","",SWITCH($W272,3,IFERROR(INDEX('Lớp 3 - Công việc chính'!$AR$14:$AR$73,MATCH($X272,'Lớp 3 - Công việc chính'!$I$14:$I$73,0)),""),4,IFERROR(INDEX('Lớp 4 - Danh mục'!$AU$14:$AU$132,MATCH($X272,'Lớp 4 - Danh mục'!$I$14:$I$132,0)),""),5,IFERROR(INDEX('Lớp 5 - Phân công'!$AV$14:$AV$262,MATCH($X272,'Lớp 5 - Phân công'!$I$14:$I$262,0)),""),6,IFERROR(INDEX('Lớp 6 - Chi tiết'!$AY$14:$AY$267,MATCH($X272,'Lớp 6 - Chi tiết'!$I$14:$I$267,0)),""),""))</f>
        <v/>
      </c>
    </row>
    <row r="273" ht="15.75" customHeight="1">
      <c r="A273" s="294" t="str">
        <f t="shared" si="12"/>
        <v/>
      </c>
      <c r="B273" s="301" t="str">
        <f t="shared" si="13"/>
        <v/>
      </c>
      <c r="C273" s="301" t="str">
        <f t="shared" si="14"/>
        <v/>
      </c>
      <c r="D273" s="301" t="str">
        <f t="shared" si="15"/>
        <v/>
      </c>
      <c r="E273" s="301" t="str">
        <f t="shared" si="16"/>
        <v/>
      </c>
      <c r="F273" s="317" t="str">
        <f t="shared" si="17"/>
        <v/>
      </c>
      <c r="G273" s="323" t="str">
        <f t="shared" si="18"/>
        <v/>
      </c>
      <c r="H273" s="327" t="str">
        <f t="shared" si="19"/>
        <v/>
      </c>
      <c r="I273" s="327" t="str">
        <f t="shared" si="20"/>
        <v/>
      </c>
      <c r="J273" s="301" t="str">
        <f t="shared" si="21"/>
        <v/>
      </c>
      <c r="K273" s="301" t="str">
        <f t="shared" si="22"/>
        <v/>
      </c>
      <c r="L273" s="344" t="str">
        <f t="array" ref="L273">IF($T273="","",LET(m,MATCH($T273,$AS$24:$AS$700,0),lvl,INDEX($W$24:$W$700,m),id,INDEX($X$24:$X$700,m),SWITCH(lvl,3,"Lớp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3" s="351" t="str">
        <f t="shared" si="23"/>
        <v/>
      </c>
      <c r="N273" s="356" t="str">
        <f t="shared" si="24"/>
        <v/>
      </c>
      <c r="O273" s="358"/>
      <c r="P273" s="360"/>
      <c r="Q273" s="360"/>
      <c r="R273" s="67"/>
      <c r="S273" s="67"/>
      <c r="T273" s="67"/>
      <c r="U273" s="389" t="str">
        <f>IF('Lớp 5 - Phân công'!I84="","",'Lớp 5 - Phân công'!K84&amp;"|"&amp;'Lớp 5 - Phân công'!J84&amp;"|"&amp;'Lớp 5 - Phân công'!I84)</f>
        <v/>
      </c>
      <c r="V273" s="389" t="str">
        <f>IF('Lớp 5 - Phân công'!I84="","","       ├─ "&amp;'Lớp 5 - Phân công'!Q84)</f>
        <v/>
      </c>
      <c r="W273" s="389" t="str">
        <f>IF('Lớp 5 - Phân công'!I84="","",5)</f>
        <v/>
      </c>
      <c r="X273" s="67" t="str">
        <f>'Lớp 5 - Phân công'!I84</f>
        <v/>
      </c>
      <c r="Y273" s="67" t="str">
        <f>'Lớp 5 - Phân công'!J84</f>
        <v/>
      </c>
      <c r="Z273" s="67" t="str">
        <f>'Lớp 5 - Phân công'!AA84</f>
        <v/>
      </c>
      <c r="AA273" s="67" t="str">
        <f>'Lớp 5 - Phân công'!Z84</f>
        <v/>
      </c>
      <c r="AB273" s="67" t="str">
        <f>'Lớp 5 - Phân công'!AC84</f>
        <v/>
      </c>
      <c r="AC273" s="67" t="str">
        <f>'Lớp 5 - Phân công'!AB84</f>
        <v/>
      </c>
      <c r="AD273" s="398" t="str">
        <f>'Lớp 5 - Phân công'!AG84</f>
        <v/>
      </c>
      <c r="AE273" s="358" t="str">
        <f>'Lớp 5 - Phân công'!AE84</f>
        <v/>
      </c>
      <c r="AF273" s="187" t="str">
        <f>'Lớp 5 - Phân công'!AH84</f>
        <v/>
      </c>
      <c r="AG273" s="104" t="str">
        <f>'Lớp 5 - Phân công'!AI84</f>
        <v/>
      </c>
      <c r="AH273" s="389" t="str">
        <f t="shared" si="27"/>
        <v/>
      </c>
      <c r="AI273" s="389" t="str">
        <f t="shared" si="37"/>
        <v>🔵 Chưa có hạn</v>
      </c>
      <c r="AJ273" s="67" t="str">
        <f>'Lớp 5 - Phân công'!AL84</f>
        <v/>
      </c>
      <c r="AS273" s="389" t="str">
        <f t="shared" si="217"/>
        <v/>
      </c>
      <c r="AT273" s="389" t="str">
        <f t="shared" si="32"/>
        <v/>
      </c>
      <c r="AU273" s="389" t="str">
        <f t="shared" si="33"/>
        <v/>
      </c>
      <c r="AV273" s="389" t="str">
        <f t="shared" si="34"/>
        <v/>
      </c>
      <c r="AW273" s="389" t="str">
        <f t="shared" si="35"/>
        <v/>
      </c>
      <c r="AX273" s="67" t="str">
        <f t="shared" ref="AX273:BH273" si="287">Z273</f>
        <v/>
      </c>
      <c r="AY273" s="67" t="str">
        <f t="shared" si="287"/>
        <v/>
      </c>
      <c r="AZ273" s="67" t="str">
        <f t="shared" si="287"/>
        <v/>
      </c>
      <c r="BA273" s="67" t="str">
        <f t="shared" si="287"/>
        <v/>
      </c>
      <c r="BB273" s="398" t="str">
        <f t="shared" si="287"/>
        <v/>
      </c>
      <c r="BC273" s="358" t="str">
        <f t="shared" si="287"/>
        <v/>
      </c>
      <c r="BD273" s="187" t="str">
        <f t="shared" si="287"/>
        <v/>
      </c>
      <c r="BE273" s="104" t="str">
        <f t="shared" si="287"/>
        <v/>
      </c>
      <c r="BF273" s="389" t="str">
        <f t="shared" si="287"/>
        <v/>
      </c>
      <c r="BG273" s="389" t="str">
        <f t="shared" si="287"/>
        <v>🔵 Chưa có hạn</v>
      </c>
      <c r="BH273" s="67" t="str">
        <f t="shared" si="287"/>
        <v/>
      </c>
      <c r="BI273" s="389" t="str">
        <f t="array" ref="BI273">IF($X273="","",SWITCH($W273,3,IFERROR(INDEX('Lớp 3 - Công việc chính'!$AF$14:$AF$73,MATCH($X273,'Lớp 3 - Công việc chính'!$I$14:$I$73,0)),""),4,IFERROR(INDEX('Lớp 4 - Danh mục'!$AI$14:$AI$132,MATCH($X273,'Lớp 4 - Danh mục'!$I$14:$I$132,0)),""),5,IFERROR(INDEX('Lớp 5 - Phân công'!$AJ$14:$AJ$262,MATCH($X273,'Lớp 5 - Phân công'!$I$14:$I$262,0)),""),6,IFERROR(INDEX('Lớp 6 - Chi tiết'!$AM$14:$AM$267,MATCH($X273,'Lớp 6 - Chi tiết'!$I$14:$I$267,0)),""),""))</f>
        <v/>
      </c>
      <c r="BJ273" s="389" t="str">
        <f t="array" ref="BJ273">IF($X273="","",SWITCH($W273,3,IFERROR(INDEX('Lớp 3 - Công việc chính'!$AR$14:$AR$73,MATCH($X273,'Lớp 3 - Công việc chính'!$I$14:$I$73,0)),""),4,IFERROR(INDEX('Lớp 4 - Danh mục'!$AU$14:$AU$132,MATCH($X273,'Lớp 4 - Danh mục'!$I$14:$I$132,0)),""),5,IFERROR(INDEX('Lớp 5 - Phân công'!$AV$14:$AV$262,MATCH($X273,'Lớp 5 - Phân công'!$I$14:$I$262,0)),""),6,IFERROR(INDEX('Lớp 6 - Chi tiết'!$AY$14:$AY$267,MATCH($X273,'Lớp 6 - Chi tiết'!$I$14:$I$267,0)),""),""))</f>
        <v/>
      </c>
    </row>
    <row r="274" ht="15.75" customHeight="1">
      <c r="A274" s="294" t="str">
        <f t="shared" si="12"/>
        <v/>
      </c>
      <c r="B274" s="301" t="str">
        <f t="shared" si="13"/>
        <v/>
      </c>
      <c r="C274" s="301" t="str">
        <f t="shared" si="14"/>
        <v/>
      </c>
      <c r="D274" s="301" t="str">
        <f t="shared" si="15"/>
        <v/>
      </c>
      <c r="E274" s="301" t="str">
        <f t="shared" si="16"/>
        <v/>
      </c>
      <c r="F274" s="317" t="str">
        <f t="shared" si="17"/>
        <v/>
      </c>
      <c r="G274" s="323" t="str">
        <f t="shared" si="18"/>
        <v/>
      </c>
      <c r="H274" s="327" t="str">
        <f t="shared" si="19"/>
        <v/>
      </c>
      <c r="I274" s="327" t="str">
        <f t="shared" si="20"/>
        <v/>
      </c>
      <c r="J274" s="301" t="str">
        <f t="shared" si="21"/>
        <v/>
      </c>
      <c r="K274" s="301" t="str">
        <f t="shared" si="22"/>
        <v/>
      </c>
      <c r="L274" s="344" t="str">
        <f t="array" ref="L274">IF($T274="","",LET(m,MATCH($T274,$AS$24:$AS$700,0),lvl,INDEX($W$24:$W$700,m),id,INDEX($X$24:$X$700,m),SWITCH(lvl,3,"Lớp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4" s="351" t="str">
        <f t="shared" si="23"/>
        <v/>
      </c>
      <c r="N274" s="356" t="str">
        <f t="shared" si="24"/>
        <v/>
      </c>
      <c r="O274" s="358"/>
      <c r="P274" s="360"/>
      <c r="Q274" s="360"/>
      <c r="R274" s="67"/>
      <c r="S274" s="67"/>
      <c r="T274" s="67"/>
      <c r="U274" s="389" t="str">
        <f>IF('Lớp 5 - Phân công'!I85="","",'Lớp 5 - Phân công'!K85&amp;"|"&amp;'Lớp 5 - Phân công'!J85&amp;"|"&amp;'Lớp 5 - Phân công'!I85)</f>
        <v/>
      </c>
      <c r="V274" s="389" t="str">
        <f>IF('Lớp 5 - Phân công'!I85="","","       ├─ "&amp;'Lớp 5 - Phân công'!Q85)</f>
        <v/>
      </c>
      <c r="W274" s="389" t="str">
        <f>IF('Lớp 5 - Phân công'!I85="","",5)</f>
        <v/>
      </c>
      <c r="X274" s="67" t="str">
        <f>'Lớp 5 - Phân công'!I85</f>
        <v/>
      </c>
      <c r="Y274" s="67" t="str">
        <f>'Lớp 5 - Phân công'!J85</f>
        <v/>
      </c>
      <c r="Z274" s="67" t="str">
        <f>'Lớp 5 - Phân công'!AA85</f>
        <v/>
      </c>
      <c r="AA274" s="67" t="str">
        <f>'Lớp 5 - Phân công'!Z85</f>
        <v/>
      </c>
      <c r="AB274" s="67" t="str">
        <f>'Lớp 5 - Phân công'!AC85</f>
        <v/>
      </c>
      <c r="AC274" s="67" t="str">
        <f>'Lớp 5 - Phân công'!AB85</f>
        <v/>
      </c>
      <c r="AD274" s="398" t="str">
        <f>'Lớp 5 - Phân công'!AG85</f>
        <v/>
      </c>
      <c r="AE274" s="358" t="str">
        <f>'Lớp 5 - Phân công'!AE85</f>
        <v/>
      </c>
      <c r="AF274" s="187" t="str">
        <f>'Lớp 5 - Phân công'!AH85</f>
        <v/>
      </c>
      <c r="AG274" s="104" t="str">
        <f>'Lớp 5 - Phân công'!AI85</f>
        <v/>
      </c>
      <c r="AH274" s="389" t="str">
        <f t="shared" si="27"/>
        <v/>
      </c>
      <c r="AI274" s="389" t="str">
        <f t="shared" si="37"/>
        <v>🔵 Chưa có hạn</v>
      </c>
      <c r="AJ274" s="67" t="str">
        <f>'Lớp 5 - Phân công'!AL85</f>
        <v/>
      </c>
      <c r="AS274" s="389" t="str">
        <f t="shared" si="217"/>
        <v/>
      </c>
      <c r="AT274" s="389" t="str">
        <f t="shared" si="32"/>
        <v/>
      </c>
      <c r="AU274" s="389" t="str">
        <f t="shared" si="33"/>
        <v/>
      </c>
      <c r="AV274" s="389" t="str">
        <f t="shared" si="34"/>
        <v/>
      </c>
      <c r="AW274" s="389" t="str">
        <f t="shared" si="35"/>
        <v/>
      </c>
      <c r="AX274" s="67" t="str">
        <f t="shared" ref="AX274:BH274" si="288">Z274</f>
        <v/>
      </c>
      <c r="AY274" s="67" t="str">
        <f t="shared" si="288"/>
        <v/>
      </c>
      <c r="AZ274" s="67" t="str">
        <f t="shared" si="288"/>
        <v/>
      </c>
      <c r="BA274" s="67" t="str">
        <f t="shared" si="288"/>
        <v/>
      </c>
      <c r="BB274" s="398" t="str">
        <f t="shared" si="288"/>
        <v/>
      </c>
      <c r="BC274" s="358" t="str">
        <f t="shared" si="288"/>
        <v/>
      </c>
      <c r="BD274" s="187" t="str">
        <f t="shared" si="288"/>
        <v/>
      </c>
      <c r="BE274" s="104" t="str">
        <f t="shared" si="288"/>
        <v/>
      </c>
      <c r="BF274" s="389" t="str">
        <f t="shared" si="288"/>
        <v/>
      </c>
      <c r="BG274" s="389" t="str">
        <f t="shared" si="288"/>
        <v>🔵 Chưa có hạn</v>
      </c>
      <c r="BH274" s="67" t="str">
        <f t="shared" si="288"/>
        <v/>
      </c>
      <c r="BI274" s="389" t="str">
        <f t="array" ref="BI274">IF($X274="","",SWITCH($W274,3,IFERROR(INDEX('Lớp 3 - Công việc chính'!$AF$14:$AF$73,MATCH($X274,'Lớp 3 - Công việc chính'!$I$14:$I$73,0)),""),4,IFERROR(INDEX('Lớp 4 - Danh mục'!$AI$14:$AI$132,MATCH($X274,'Lớp 4 - Danh mục'!$I$14:$I$132,0)),""),5,IFERROR(INDEX('Lớp 5 - Phân công'!$AJ$14:$AJ$262,MATCH($X274,'Lớp 5 - Phân công'!$I$14:$I$262,0)),""),6,IFERROR(INDEX('Lớp 6 - Chi tiết'!$AM$14:$AM$267,MATCH($X274,'Lớp 6 - Chi tiết'!$I$14:$I$267,0)),""),""))</f>
        <v/>
      </c>
      <c r="BJ274" s="389" t="str">
        <f t="array" ref="BJ274">IF($X274="","",SWITCH($W274,3,IFERROR(INDEX('Lớp 3 - Công việc chính'!$AR$14:$AR$73,MATCH($X274,'Lớp 3 - Công việc chính'!$I$14:$I$73,0)),""),4,IFERROR(INDEX('Lớp 4 - Danh mục'!$AU$14:$AU$132,MATCH($X274,'Lớp 4 - Danh mục'!$I$14:$I$132,0)),""),5,IFERROR(INDEX('Lớp 5 - Phân công'!$AV$14:$AV$262,MATCH($X274,'Lớp 5 - Phân công'!$I$14:$I$262,0)),""),6,IFERROR(INDEX('Lớp 6 - Chi tiết'!$AY$14:$AY$267,MATCH($X274,'Lớp 6 - Chi tiết'!$I$14:$I$267,0)),""),""))</f>
        <v/>
      </c>
    </row>
    <row r="275" ht="15.75" customHeight="1">
      <c r="A275" s="294" t="str">
        <f t="shared" si="12"/>
        <v/>
      </c>
      <c r="B275" s="301" t="str">
        <f t="shared" si="13"/>
        <v/>
      </c>
      <c r="C275" s="301" t="str">
        <f t="shared" si="14"/>
        <v/>
      </c>
      <c r="D275" s="301" t="str">
        <f t="shared" si="15"/>
        <v/>
      </c>
      <c r="E275" s="301" t="str">
        <f t="shared" si="16"/>
        <v/>
      </c>
      <c r="F275" s="317" t="str">
        <f t="shared" si="17"/>
        <v/>
      </c>
      <c r="G275" s="323" t="str">
        <f t="shared" si="18"/>
        <v/>
      </c>
      <c r="H275" s="327" t="str">
        <f t="shared" si="19"/>
        <v/>
      </c>
      <c r="I275" s="327" t="str">
        <f t="shared" si="20"/>
        <v/>
      </c>
      <c r="J275" s="301" t="str">
        <f t="shared" si="21"/>
        <v/>
      </c>
      <c r="K275" s="301" t="str">
        <f t="shared" si="22"/>
        <v/>
      </c>
      <c r="L275" s="344" t="str">
        <f t="array" ref="L275">IF($T275="","",LET(m,MATCH($T275,$AS$24:$AS$700,0),lvl,INDEX($W$24:$W$700,m),id,INDEX($X$24:$X$700,m),SWITCH(lvl,3,"Lớp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5" s="351" t="str">
        <f t="shared" si="23"/>
        <v/>
      </c>
      <c r="N275" s="356" t="str">
        <f t="shared" si="24"/>
        <v/>
      </c>
      <c r="O275" s="358"/>
      <c r="P275" s="360"/>
      <c r="Q275" s="360"/>
      <c r="R275" s="67"/>
      <c r="S275" s="67"/>
      <c r="T275" s="67"/>
      <c r="U275" s="389" t="str">
        <f>IF('Lớp 5 - Phân công'!I86="","",'Lớp 5 - Phân công'!K86&amp;"|"&amp;'Lớp 5 - Phân công'!J86&amp;"|"&amp;'Lớp 5 - Phân công'!I86)</f>
        <v/>
      </c>
      <c r="V275" s="389" t="str">
        <f>IF('Lớp 5 - Phân công'!I86="","","       ├─ "&amp;'Lớp 5 - Phân công'!Q86)</f>
        <v/>
      </c>
      <c r="W275" s="389" t="str">
        <f>IF('Lớp 5 - Phân công'!I86="","",5)</f>
        <v/>
      </c>
      <c r="X275" s="67" t="str">
        <f>'Lớp 5 - Phân công'!I86</f>
        <v/>
      </c>
      <c r="Y275" s="67" t="str">
        <f>'Lớp 5 - Phân công'!J86</f>
        <v/>
      </c>
      <c r="Z275" s="67" t="str">
        <f>'Lớp 5 - Phân công'!AA86</f>
        <v/>
      </c>
      <c r="AA275" s="67" t="str">
        <f>'Lớp 5 - Phân công'!Z86</f>
        <v/>
      </c>
      <c r="AB275" s="67" t="str">
        <f>'Lớp 5 - Phân công'!AC86</f>
        <v/>
      </c>
      <c r="AC275" s="67" t="str">
        <f>'Lớp 5 - Phân công'!AB86</f>
        <v/>
      </c>
      <c r="AD275" s="398" t="str">
        <f>'Lớp 5 - Phân công'!AG86</f>
        <v/>
      </c>
      <c r="AE275" s="358" t="str">
        <f>'Lớp 5 - Phân công'!AE86</f>
        <v/>
      </c>
      <c r="AF275" s="187" t="str">
        <f>'Lớp 5 - Phân công'!AH86</f>
        <v/>
      </c>
      <c r="AG275" s="104" t="str">
        <f>'Lớp 5 - Phân công'!AI86</f>
        <v/>
      </c>
      <c r="AH275" s="389" t="str">
        <f t="shared" si="27"/>
        <v/>
      </c>
      <c r="AI275" s="389" t="str">
        <f t="shared" si="37"/>
        <v>🔵 Chưa có hạn</v>
      </c>
      <c r="AJ275" s="67" t="str">
        <f>'Lớp 5 - Phân công'!AL86</f>
        <v/>
      </c>
      <c r="AS275" s="389" t="str">
        <f t="shared" si="217"/>
        <v/>
      </c>
      <c r="AT275" s="389" t="str">
        <f t="shared" si="32"/>
        <v/>
      </c>
      <c r="AU275" s="389" t="str">
        <f t="shared" si="33"/>
        <v/>
      </c>
      <c r="AV275" s="389" t="str">
        <f t="shared" si="34"/>
        <v/>
      </c>
      <c r="AW275" s="389" t="str">
        <f t="shared" si="35"/>
        <v/>
      </c>
      <c r="AX275" s="67" t="str">
        <f t="shared" ref="AX275:BH275" si="289">Z275</f>
        <v/>
      </c>
      <c r="AY275" s="67" t="str">
        <f t="shared" si="289"/>
        <v/>
      </c>
      <c r="AZ275" s="67" t="str">
        <f t="shared" si="289"/>
        <v/>
      </c>
      <c r="BA275" s="67" t="str">
        <f t="shared" si="289"/>
        <v/>
      </c>
      <c r="BB275" s="398" t="str">
        <f t="shared" si="289"/>
        <v/>
      </c>
      <c r="BC275" s="358" t="str">
        <f t="shared" si="289"/>
        <v/>
      </c>
      <c r="BD275" s="187" t="str">
        <f t="shared" si="289"/>
        <v/>
      </c>
      <c r="BE275" s="104" t="str">
        <f t="shared" si="289"/>
        <v/>
      </c>
      <c r="BF275" s="389" t="str">
        <f t="shared" si="289"/>
        <v/>
      </c>
      <c r="BG275" s="389" t="str">
        <f t="shared" si="289"/>
        <v>🔵 Chưa có hạn</v>
      </c>
      <c r="BH275" s="67" t="str">
        <f t="shared" si="289"/>
        <v/>
      </c>
      <c r="BI275" s="389" t="str">
        <f t="array" ref="BI275">IF($X275="","",SWITCH($W275,3,IFERROR(INDEX('Lớp 3 - Công việc chính'!$AF$14:$AF$73,MATCH($X275,'Lớp 3 - Công việc chính'!$I$14:$I$73,0)),""),4,IFERROR(INDEX('Lớp 4 - Danh mục'!$AI$14:$AI$132,MATCH($X275,'Lớp 4 - Danh mục'!$I$14:$I$132,0)),""),5,IFERROR(INDEX('Lớp 5 - Phân công'!$AJ$14:$AJ$262,MATCH($X275,'Lớp 5 - Phân công'!$I$14:$I$262,0)),""),6,IFERROR(INDEX('Lớp 6 - Chi tiết'!$AM$14:$AM$267,MATCH($X275,'Lớp 6 - Chi tiết'!$I$14:$I$267,0)),""),""))</f>
        <v/>
      </c>
      <c r="BJ275" s="389" t="str">
        <f t="array" ref="BJ275">IF($X275="","",SWITCH($W275,3,IFERROR(INDEX('Lớp 3 - Công việc chính'!$AR$14:$AR$73,MATCH($X275,'Lớp 3 - Công việc chính'!$I$14:$I$73,0)),""),4,IFERROR(INDEX('Lớp 4 - Danh mục'!$AU$14:$AU$132,MATCH($X275,'Lớp 4 - Danh mục'!$I$14:$I$132,0)),""),5,IFERROR(INDEX('Lớp 5 - Phân công'!$AV$14:$AV$262,MATCH($X275,'Lớp 5 - Phân công'!$I$14:$I$262,0)),""),6,IFERROR(INDEX('Lớp 6 - Chi tiết'!$AY$14:$AY$267,MATCH($X275,'Lớp 6 - Chi tiết'!$I$14:$I$267,0)),""),""))</f>
        <v/>
      </c>
    </row>
    <row r="276" ht="15.75" customHeight="1">
      <c r="A276" s="294" t="str">
        <f t="shared" si="12"/>
        <v/>
      </c>
      <c r="B276" s="301" t="str">
        <f t="shared" si="13"/>
        <v/>
      </c>
      <c r="C276" s="301" t="str">
        <f t="shared" si="14"/>
        <v/>
      </c>
      <c r="D276" s="301" t="str">
        <f t="shared" si="15"/>
        <v/>
      </c>
      <c r="E276" s="301" t="str">
        <f t="shared" si="16"/>
        <v/>
      </c>
      <c r="F276" s="317" t="str">
        <f t="shared" si="17"/>
        <v/>
      </c>
      <c r="G276" s="323" t="str">
        <f t="shared" si="18"/>
        <v/>
      </c>
      <c r="H276" s="327" t="str">
        <f t="shared" si="19"/>
        <v/>
      </c>
      <c r="I276" s="327" t="str">
        <f t="shared" si="20"/>
        <v/>
      </c>
      <c r="J276" s="301" t="str">
        <f t="shared" si="21"/>
        <v/>
      </c>
      <c r="K276" s="301" t="str">
        <f t="shared" si="22"/>
        <v/>
      </c>
      <c r="L276" s="344" t="str">
        <f t="array" ref="L276">IF($T276="","",LET(m,MATCH($T276,$AS$24:$AS$700,0),lvl,INDEX($W$24:$W$700,m),id,INDEX($X$24:$X$700,m),SWITCH(lvl,3,"Lớp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6" s="351" t="str">
        <f t="shared" si="23"/>
        <v/>
      </c>
      <c r="N276" s="356" t="str">
        <f t="shared" si="24"/>
        <v/>
      </c>
      <c r="O276" s="358"/>
      <c r="P276" s="360"/>
      <c r="Q276" s="360"/>
      <c r="R276" s="67"/>
      <c r="S276" s="67"/>
      <c r="T276" s="67"/>
      <c r="U276" s="389" t="str">
        <f>IF('Lớp 5 - Phân công'!I87="","",'Lớp 5 - Phân công'!K87&amp;"|"&amp;'Lớp 5 - Phân công'!J87&amp;"|"&amp;'Lớp 5 - Phân công'!I87)</f>
        <v/>
      </c>
      <c r="V276" s="389" t="str">
        <f>IF('Lớp 5 - Phân công'!I87="","","       ├─ "&amp;'Lớp 5 - Phân công'!Q87)</f>
        <v/>
      </c>
      <c r="W276" s="389" t="str">
        <f>IF('Lớp 5 - Phân công'!I87="","",5)</f>
        <v/>
      </c>
      <c r="X276" s="67" t="str">
        <f>'Lớp 5 - Phân công'!I87</f>
        <v/>
      </c>
      <c r="Y276" s="67" t="str">
        <f>'Lớp 5 - Phân công'!J87</f>
        <v/>
      </c>
      <c r="Z276" s="67" t="str">
        <f>'Lớp 5 - Phân công'!AA87</f>
        <v/>
      </c>
      <c r="AA276" s="67" t="str">
        <f>'Lớp 5 - Phân công'!Z87</f>
        <v/>
      </c>
      <c r="AB276" s="67" t="str">
        <f>'Lớp 5 - Phân công'!AC87</f>
        <v/>
      </c>
      <c r="AC276" s="67" t="str">
        <f>'Lớp 5 - Phân công'!AB87</f>
        <v/>
      </c>
      <c r="AD276" s="398" t="str">
        <f>'Lớp 5 - Phân công'!AG87</f>
        <v/>
      </c>
      <c r="AE276" s="358" t="str">
        <f>'Lớp 5 - Phân công'!AE87</f>
        <v/>
      </c>
      <c r="AF276" s="187" t="str">
        <f>'Lớp 5 - Phân công'!AH87</f>
        <v/>
      </c>
      <c r="AG276" s="104" t="str">
        <f>'Lớp 5 - Phân công'!AI87</f>
        <v/>
      </c>
      <c r="AH276" s="389" t="str">
        <f t="shared" si="27"/>
        <v/>
      </c>
      <c r="AI276" s="389" t="str">
        <f t="shared" si="37"/>
        <v>🔵 Chưa có hạn</v>
      </c>
      <c r="AJ276" s="67" t="str">
        <f>'Lớp 5 - Phân công'!AL87</f>
        <v/>
      </c>
      <c r="AS276" s="389" t="str">
        <f t="shared" si="217"/>
        <v/>
      </c>
      <c r="AT276" s="389" t="str">
        <f t="shared" si="32"/>
        <v/>
      </c>
      <c r="AU276" s="389" t="str">
        <f t="shared" si="33"/>
        <v/>
      </c>
      <c r="AV276" s="389" t="str">
        <f t="shared" si="34"/>
        <v/>
      </c>
      <c r="AW276" s="389" t="str">
        <f t="shared" si="35"/>
        <v/>
      </c>
      <c r="AX276" s="67" t="str">
        <f t="shared" ref="AX276:BH276" si="290">Z276</f>
        <v/>
      </c>
      <c r="AY276" s="67" t="str">
        <f t="shared" si="290"/>
        <v/>
      </c>
      <c r="AZ276" s="67" t="str">
        <f t="shared" si="290"/>
        <v/>
      </c>
      <c r="BA276" s="67" t="str">
        <f t="shared" si="290"/>
        <v/>
      </c>
      <c r="BB276" s="398" t="str">
        <f t="shared" si="290"/>
        <v/>
      </c>
      <c r="BC276" s="358" t="str">
        <f t="shared" si="290"/>
        <v/>
      </c>
      <c r="BD276" s="187" t="str">
        <f t="shared" si="290"/>
        <v/>
      </c>
      <c r="BE276" s="104" t="str">
        <f t="shared" si="290"/>
        <v/>
      </c>
      <c r="BF276" s="389" t="str">
        <f t="shared" si="290"/>
        <v/>
      </c>
      <c r="BG276" s="389" t="str">
        <f t="shared" si="290"/>
        <v>🔵 Chưa có hạn</v>
      </c>
      <c r="BH276" s="67" t="str">
        <f t="shared" si="290"/>
        <v/>
      </c>
      <c r="BI276" s="389" t="str">
        <f t="array" ref="BI276">IF($X276="","",SWITCH($W276,3,IFERROR(INDEX('Lớp 3 - Công việc chính'!$AF$14:$AF$73,MATCH($X276,'Lớp 3 - Công việc chính'!$I$14:$I$73,0)),""),4,IFERROR(INDEX('Lớp 4 - Danh mục'!$AI$14:$AI$132,MATCH($X276,'Lớp 4 - Danh mục'!$I$14:$I$132,0)),""),5,IFERROR(INDEX('Lớp 5 - Phân công'!$AJ$14:$AJ$262,MATCH($X276,'Lớp 5 - Phân công'!$I$14:$I$262,0)),""),6,IFERROR(INDEX('Lớp 6 - Chi tiết'!$AM$14:$AM$267,MATCH($X276,'Lớp 6 - Chi tiết'!$I$14:$I$267,0)),""),""))</f>
        <v/>
      </c>
      <c r="BJ276" s="389" t="str">
        <f t="array" ref="BJ276">IF($X276="","",SWITCH($W276,3,IFERROR(INDEX('Lớp 3 - Công việc chính'!$AR$14:$AR$73,MATCH($X276,'Lớp 3 - Công việc chính'!$I$14:$I$73,0)),""),4,IFERROR(INDEX('Lớp 4 - Danh mục'!$AU$14:$AU$132,MATCH($X276,'Lớp 4 - Danh mục'!$I$14:$I$132,0)),""),5,IFERROR(INDEX('Lớp 5 - Phân công'!$AV$14:$AV$262,MATCH($X276,'Lớp 5 - Phân công'!$I$14:$I$262,0)),""),6,IFERROR(INDEX('Lớp 6 - Chi tiết'!$AY$14:$AY$267,MATCH($X276,'Lớp 6 - Chi tiết'!$I$14:$I$267,0)),""),""))</f>
        <v/>
      </c>
    </row>
    <row r="277" ht="15.75" customHeight="1">
      <c r="A277" s="294" t="str">
        <f t="shared" si="12"/>
        <v/>
      </c>
      <c r="B277" s="301" t="str">
        <f t="shared" si="13"/>
        <v/>
      </c>
      <c r="C277" s="301" t="str">
        <f t="shared" si="14"/>
        <v/>
      </c>
      <c r="D277" s="301" t="str">
        <f t="shared" si="15"/>
        <v/>
      </c>
      <c r="E277" s="301" t="str">
        <f t="shared" si="16"/>
        <v/>
      </c>
      <c r="F277" s="317" t="str">
        <f t="shared" si="17"/>
        <v/>
      </c>
      <c r="G277" s="323" t="str">
        <f t="shared" si="18"/>
        <v/>
      </c>
      <c r="H277" s="327" t="str">
        <f t="shared" si="19"/>
        <v/>
      </c>
      <c r="I277" s="327" t="str">
        <f t="shared" si="20"/>
        <v/>
      </c>
      <c r="J277" s="301" t="str">
        <f t="shared" si="21"/>
        <v/>
      </c>
      <c r="K277" s="301" t="str">
        <f t="shared" si="22"/>
        <v/>
      </c>
      <c r="L277" s="344" t="str">
        <f t="array" ref="L277">IF($T277="","",LET(m,MATCH($T277,$AS$24:$AS$700,0),lvl,INDEX($W$24:$W$700,m),id,INDEX($X$24:$X$700,m),SWITCH(lvl,3,"Lớp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7" s="351" t="str">
        <f t="shared" si="23"/>
        <v/>
      </c>
      <c r="N277" s="356" t="str">
        <f t="shared" si="24"/>
        <v/>
      </c>
      <c r="O277" s="358"/>
      <c r="P277" s="360"/>
      <c r="Q277" s="360"/>
      <c r="R277" s="67"/>
      <c r="S277" s="67"/>
      <c r="T277" s="67"/>
      <c r="U277" s="389" t="str">
        <f>IF('Lớp 5 - Phân công'!I88="","",'Lớp 5 - Phân công'!K88&amp;"|"&amp;'Lớp 5 - Phân công'!J88&amp;"|"&amp;'Lớp 5 - Phân công'!I88)</f>
        <v/>
      </c>
      <c r="V277" s="389" t="str">
        <f>IF('Lớp 5 - Phân công'!I88="","","       ├─ "&amp;'Lớp 5 - Phân công'!Q88)</f>
        <v/>
      </c>
      <c r="W277" s="389" t="str">
        <f>IF('Lớp 5 - Phân công'!I88="","",5)</f>
        <v/>
      </c>
      <c r="X277" s="67" t="str">
        <f>'Lớp 5 - Phân công'!I88</f>
        <v/>
      </c>
      <c r="Y277" s="67" t="str">
        <f>'Lớp 5 - Phân công'!J88</f>
        <v/>
      </c>
      <c r="Z277" s="67" t="str">
        <f>'Lớp 5 - Phân công'!AA88</f>
        <v/>
      </c>
      <c r="AA277" s="67" t="str">
        <f>'Lớp 5 - Phân công'!Z88</f>
        <v/>
      </c>
      <c r="AB277" s="67" t="str">
        <f>'Lớp 5 - Phân công'!AC88</f>
        <v/>
      </c>
      <c r="AC277" s="67" t="str">
        <f>'Lớp 5 - Phân công'!AB88</f>
        <v/>
      </c>
      <c r="AD277" s="398" t="str">
        <f>'Lớp 5 - Phân công'!AG88</f>
        <v/>
      </c>
      <c r="AE277" s="358" t="str">
        <f>'Lớp 5 - Phân công'!AE88</f>
        <v/>
      </c>
      <c r="AF277" s="187" t="str">
        <f>'Lớp 5 - Phân công'!AH88</f>
        <v/>
      </c>
      <c r="AG277" s="104" t="str">
        <f>'Lớp 5 - Phân công'!AI88</f>
        <v/>
      </c>
      <c r="AH277" s="389" t="str">
        <f t="shared" si="27"/>
        <v/>
      </c>
      <c r="AI277" s="389" t="str">
        <f t="shared" si="37"/>
        <v>🔵 Chưa có hạn</v>
      </c>
      <c r="AJ277" s="67" t="str">
        <f>'Lớp 5 - Phân công'!AL88</f>
        <v/>
      </c>
      <c r="AS277" s="389" t="str">
        <f t="shared" si="217"/>
        <v/>
      </c>
      <c r="AT277" s="389" t="str">
        <f t="shared" si="32"/>
        <v/>
      </c>
      <c r="AU277" s="389" t="str">
        <f t="shared" si="33"/>
        <v/>
      </c>
      <c r="AV277" s="389" t="str">
        <f t="shared" si="34"/>
        <v/>
      </c>
      <c r="AW277" s="389" t="str">
        <f t="shared" si="35"/>
        <v/>
      </c>
      <c r="AX277" s="67" t="str">
        <f t="shared" ref="AX277:BH277" si="291">Z277</f>
        <v/>
      </c>
      <c r="AY277" s="67" t="str">
        <f t="shared" si="291"/>
        <v/>
      </c>
      <c r="AZ277" s="67" t="str">
        <f t="shared" si="291"/>
        <v/>
      </c>
      <c r="BA277" s="67" t="str">
        <f t="shared" si="291"/>
        <v/>
      </c>
      <c r="BB277" s="398" t="str">
        <f t="shared" si="291"/>
        <v/>
      </c>
      <c r="BC277" s="358" t="str">
        <f t="shared" si="291"/>
        <v/>
      </c>
      <c r="BD277" s="187" t="str">
        <f t="shared" si="291"/>
        <v/>
      </c>
      <c r="BE277" s="104" t="str">
        <f t="shared" si="291"/>
        <v/>
      </c>
      <c r="BF277" s="389" t="str">
        <f t="shared" si="291"/>
        <v/>
      </c>
      <c r="BG277" s="389" t="str">
        <f t="shared" si="291"/>
        <v>🔵 Chưa có hạn</v>
      </c>
      <c r="BH277" s="67" t="str">
        <f t="shared" si="291"/>
        <v/>
      </c>
      <c r="BI277" s="389" t="str">
        <f t="array" ref="BI277">IF($X277="","",SWITCH($W277,3,IFERROR(INDEX('Lớp 3 - Công việc chính'!$AF$14:$AF$73,MATCH($X277,'Lớp 3 - Công việc chính'!$I$14:$I$73,0)),""),4,IFERROR(INDEX('Lớp 4 - Danh mục'!$AI$14:$AI$132,MATCH($X277,'Lớp 4 - Danh mục'!$I$14:$I$132,0)),""),5,IFERROR(INDEX('Lớp 5 - Phân công'!$AJ$14:$AJ$262,MATCH($X277,'Lớp 5 - Phân công'!$I$14:$I$262,0)),""),6,IFERROR(INDEX('Lớp 6 - Chi tiết'!$AM$14:$AM$267,MATCH($X277,'Lớp 6 - Chi tiết'!$I$14:$I$267,0)),""),""))</f>
        <v/>
      </c>
      <c r="BJ277" s="389" t="str">
        <f t="array" ref="BJ277">IF($X277="","",SWITCH($W277,3,IFERROR(INDEX('Lớp 3 - Công việc chính'!$AR$14:$AR$73,MATCH($X277,'Lớp 3 - Công việc chính'!$I$14:$I$73,0)),""),4,IFERROR(INDEX('Lớp 4 - Danh mục'!$AU$14:$AU$132,MATCH($X277,'Lớp 4 - Danh mục'!$I$14:$I$132,0)),""),5,IFERROR(INDEX('Lớp 5 - Phân công'!$AV$14:$AV$262,MATCH($X277,'Lớp 5 - Phân công'!$I$14:$I$262,0)),""),6,IFERROR(INDEX('Lớp 6 - Chi tiết'!$AY$14:$AY$267,MATCH($X277,'Lớp 6 - Chi tiết'!$I$14:$I$267,0)),""),""))</f>
        <v/>
      </c>
    </row>
    <row r="278" ht="15.75" customHeight="1">
      <c r="A278" s="294" t="str">
        <f t="shared" si="12"/>
        <v/>
      </c>
      <c r="B278" s="301" t="str">
        <f t="shared" si="13"/>
        <v/>
      </c>
      <c r="C278" s="301" t="str">
        <f t="shared" si="14"/>
        <v/>
      </c>
      <c r="D278" s="301" t="str">
        <f t="shared" si="15"/>
        <v/>
      </c>
      <c r="E278" s="301" t="str">
        <f t="shared" si="16"/>
        <v/>
      </c>
      <c r="F278" s="317" t="str">
        <f t="shared" si="17"/>
        <v/>
      </c>
      <c r="G278" s="323" t="str">
        <f t="shared" si="18"/>
        <v/>
      </c>
      <c r="H278" s="327" t="str">
        <f t="shared" si="19"/>
        <v/>
      </c>
      <c r="I278" s="327" t="str">
        <f t="shared" si="20"/>
        <v/>
      </c>
      <c r="J278" s="301" t="str">
        <f t="shared" si="21"/>
        <v/>
      </c>
      <c r="K278" s="301" t="str">
        <f t="shared" si="22"/>
        <v/>
      </c>
      <c r="L278" s="344" t="str">
        <f t="array" ref="L278">IF($T278="","",LET(m,MATCH($T278,$AS$24:$AS$700,0),lvl,INDEX($W$24:$W$700,m),id,INDEX($X$24:$X$700,m),SWITCH(lvl,3,"Lớp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8" s="351" t="str">
        <f t="shared" si="23"/>
        <v/>
      </c>
      <c r="N278" s="356" t="str">
        <f t="shared" si="24"/>
        <v/>
      </c>
      <c r="O278" s="358"/>
      <c r="P278" s="360"/>
      <c r="Q278" s="360"/>
      <c r="R278" s="67"/>
      <c r="S278" s="67"/>
      <c r="T278" s="67"/>
      <c r="U278" s="389" t="str">
        <f>IF('Lớp 5 - Phân công'!I89="","",'Lớp 5 - Phân công'!K89&amp;"|"&amp;'Lớp 5 - Phân công'!J89&amp;"|"&amp;'Lớp 5 - Phân công'!I89)</f>
        <v/>
      </c>
      <c r="V278" s="389" t="str">
        <f>IF('Lớp 5 - Phân công'!I89="","","       ├─ "&amp;'Lớp 5 - Phân công'!Q89)</f>
        <v/>
      </c>
      <c r="W278" s="389" t="str">
        <f>IF('Lớp 5 - Phân công'!I89="","",5)</f>
        <v/>
      </c>
      <c r="X278" s="67" t="str">
        <f>'Lớp 5 - Phân công'!I89</f>
        <v/>
      </c>
      <c r="Y278" s="67" t="str">
        <f>'Lớp 5 - Phân công'!J89</f>
        <v/>
      </c>
      <c r="Z278" s="67" t="str">
        <f>'Lớp 5 - Phân công'!AA89</f>
        <v/>
      </c>
      <c r="AA278" s="67" t="str">
        <f>'Lớp 5 - Phân công'!Z89</f>
        <v/>
      </c>
      <c r="AB278" s="67" t="str">
        <f>'Lớp 5 - Phân công'!AC89</f>
        <v/>
      </c>
      <c r="AC278" s="67" t="str">
        <f>'Lớp 5 - Phân công'!AB89</f>
        <v/>
      </c>
      <c r="AD278" s="398" t="str">
        <f>'Lớp 5 - Phân công'!AG89</f>
        <v/>
      </c>
      <c r="AE278" s="358" t="str">
        <f>'Lớp 5 - Phân công'!AE89</f>
        <v/>
      </c>
      <c r="AF278" s="187" t="str">
        <f>'Lớp 5 - Phân công'!AH89</f>
        <v/>
      </c>
      <c r="AG278" s="104" t="str">
        <f>'Lớp 5 - Phân công'!AI89</f>
        <v/>
      </c>
      <c r="AH278" s="389" t="str">
        <f t="shared" si="27"/>
        <v/>
      </c>
      <c r="AI278" s="389" t="str">
        <f t="shared" si="37"/>
        <v>🔵 Chưa có hạn</v>
      </c>
      <c r="AJ278" s="67" t="str">
        <f>'Lớp 5 - Phân công'!AL89</f>
        <v/>
      </c>
      <c r="AS278" s="389" t="str">
        <f t="shared" si="217"/>
        <v/>
      </c>
      <c r="AT278" s="389" t="str">
        <f t="shared" si="32"/>
        <v/>
      </c>
      <c r="AU278" s="389" t="str">
        <f t="shared" si="33"/>
        <v/>
      </c>
      <c r="AV278" s="389" t="str">
        <f t="shared" si="34"/>
        <v/>
      </c>
      <c r="AW278" s="389" t="str">
        <f t="shared" si="35"/>
        <v/>
      </c>
      <c r="AX278" s="67" t="str">
        <f t="shared" ref="AX278:BH278" si="292">Z278</f>
        <v/>
      </c>
      <c r="AY278" s="67" t="str">
        <f t="shared" si="292"/>
        <v/>
      </c>
      <c r="AZ278" s="67" t="str">
        <f t="shared" si="292"/>
        <v/>
      </c>
      <c r="BA278" s="67" t="str">
        <f t="shared" si="292"/>
        <v/>
      </c>
      <c r="BB278" s="398" t="str">
        <f t="shared" si="292"/>
        <v/>
      </c>
      <c r="BC278" s="358" t="str">
        <f t="shared" si="292"/>
        <v/>
      </c>
      <c r="BD278" s="187" t="str">
        <f t="shared" si="292"/>
        <v/>
      </c>
      <c r="BE278" s="104" t="str">
        <f t="shared" si="292"/>
        <v/>
      </c>
      <c r="BF278" s="389" t="str">
        <f t="shared" si="292"/>
        <v/>
      </c>
      <c r="BG278" s="389" t="str">
        <f t="shared" si="292"/>
        <v>🔵 Chưa có hạn</v>
      </c>
      <c r="BH278" s="67" t="str">
        <f t="shared" si="292"/>
        <v/>
      </c>
      <c r="BI278" s="389" t="str">
        <f t="array" ref="BI278">IF($X278="","",SWITCH($W278,3,IFERROR(INDEX('Lớp 3 - Công việc chính'!$AF$14:$AF$73,MATCH($X278,'Lớp 3 - Công việc chính'!$I$14:$I$73,0)),""),4,IFERROR(INDEX('Lớp 4 - Danh mục'!$AI$14:$AI$132,MATCH($X278,'Lớp 4 - Danh mục'!$I$14:$I$132,0)),""),5,IFERROR(INDEX('Lớp 5 - Phân công'!$AJ$14:$AJ$262,MATCH($X278,'Lớp 5 - Phân công'!$I$14:$I$262,0)),""),6,IFERROR(INDEX('Lớp 6 - Chi tiết'!$AM$14:$AM$267,MATCH($X278,'Lớp 6 - Chi tiết'!$I$14:$I$267,0)),""),""))</f>
        <v/>
      </c>
      <c r="BJ278" s="389" t="str">
        <f t="array" ref="BJ278">IF($X278="","",SWITCH($W278,3,IFERROR(INDEX('Lớp 3 - Công việc chính'!$AR$14:$AR$73,MATCH($X278,'Lớp 3 - Công việc chính'!$I$14:$I$73,0)),""),4,IFERROR(INDEX('Lớp 4 - Danh mục'!$AU$14:$AU$132,MATCH($X278,'Lớp 4 - Danh mục'!$I$14:$I$132,0)),""),5,IFERROR(INDEX('Lớp 5 - Phân công'!$AV$14:$AV$262,MATCH($X278,'Lớp 5 - Phân công'!$I$14:$I$262,0)),""),6,IFERROR(INDEX('Lớp 6 - Chi tiết'!$AY$14:$AY$267,MATCH($X278,'Lớp 6 - Chi tiết'!$I$14:$I$267,0)),""),""))</f>
        <v/>
      </c>
    </row>
    <row r="279" ht="15.75" customHeight="1">
      <c r="A279" s="294" t="str">
        <f t="shared" si="12"/>
        <v/>
      </c>
      <c r="B279" s="301" t="str">
        <f t="shared" si="13"/>
        <v/>
      </c>
      <c r="C279" s="301" t="str">
        <f t="shared" si="14"/>
        <v/>
      </c>
      <c r="D279" s="301" t="str">
        <f t="shared" si="15"/>
        <v/>
      </c>
      <c r="E279" s="301" t="str">
        <f t="shared" si="16"/>
        <v/>
      </c>
      <c r="F279" s="317" t="str">
        <f t="shared" si="17"/>
        <v/>
      </c>
      <c r="G279" s="323" t="str">
        <f t="shared" si="18"/>
        <v/>
      </c>
      <c r="H279" s="327" t="str">
        <f t="shared" si="19"/>
        <v/>
      </c>
      <c r="I279" s="327" t="str">
        <f t="shared" si="20"/>
        <v/>
      </c>
      <c r="J279" s="301" t="str">
        <f t="shared" si="21"/>
        <v/>
      </c>
      <c r="K279" s="301" t="str">
        <f t="shared" si="22"/>
        <v/>
      </c>
      <c r="L279" s="344" t="str">
        <f t="array" ref="L279">IF($T279="","",LET(m,MATCH($T279,$AS$24:$AS$700,0),lvl,INDEX($W$24:$W$700,m),id,INDEX($X$24:$X$700,m),SWITCH(lvl,3,"Lớp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79" s="351" t="str">
        <f t="shared" si="23"/>
        <v/>
      </c>
      <c r="N279" s="356" t="str">
        <f t="shared" si="24"/>
        <v/>
      </c>
      <c r="O279" s="358"/>
      <c r="P279" s="360"/>
      <c r="Q279" s="360"/>
      <c r="R279" s="67"/>
      <c r="S279" s="67"/>
      <c r="T279" s="67"/>
      <c r="U279" s="389" t="str">
        <f>IF('Lớp 5 - Phân công'!I90="","",'Lớp 5 - Phân công'!K90&amp;"|"&amp;'Lớp 5 - Phân công'!J90&amp;"|"&amp;'Lớp 5 - Phân công'!I90)</f>
        <v/>
      </c>
      <c r="V279" s="389" t="str">
        <f>IF('Lớp 5 - Phân công'!I90="","","       ├─ "&amp;'Lớp 5 - Phân công'!Q90)</f>
        <v/>
      </c>
      <c r="W279" s="389" t="str">
        <f>IF('Lớp 5 - Phân công'!I90="","",5)</f>
        <v/>
      </c>
      <c r="X279" s="67" t="str">
        <f>'Lớp 5 - Phân công'!I90</f>
        <v/>
      </c>
      <c r="Y279" s="67" t="str">
        <f>'Lớp 5 - Phân công'!J90</f>
        <v/>
      </c>
      <c r="Z279" s="67" t="str">
        <f>'Lớp 5 - Phân công'!AA90</f>
        <v/>
      </c>
      <c r="AA279" s="67" t="str">
        <f>'Lớp 5 - Phân công'!Z90</f>
        <v/>
      </c>
      <c r="AB279" s="67" t="str">
        <f>'Lớp 5 - Phân công'!AC90</f>
        <v/>
      </c>
      <c r="AC279" s="67" t="str">
        <f>'Lớp 5 - Phân công'!AB90</f>
        <v/>
      </c>
      <c r="AD279" s="398" t="str">
        <f>'Lớp 5 - Phân công'!AG90</f>
        <v/>
      </c>
      <c r="AE279" s="358" t="str">
        <f>'Lớp 5 - Phân công'!AE90</f>
        <v/>
      </c>
      <c r="AF279" s="187" t="str">
        <f>'Lớp 5 - Phân công'!AH90</f>
        <v/>
      </c>
      <c r="AG279" s="104" t="str">
        <f>'Lớp 5 - Phân công'!AI90</f>
        <v/>
      </c>
      <c r="AH279" s="389" t="str">
        <f t="shared" si="27"/>
        <v/>
      </c>
      <c r="AI279" s="389" t="str">
        <f t="shared" si="37"/>
        <v>🔵 Chưa có hạn</v>
      </c>
      <c r="AJ279" s="67" t="str">
        <f>'Lớp 5 - Phân công'!AL90</f>
        <v/>
      </c>
      <c r="AS279" s="389" t="str">
        <f t="shared" si="217"/>
        <v/>
      </c>
      <c r="AT279" s="389" t="str">
        <f t="shared" si="32"/>
        <v/>
      </c>
      <c r="AU279" s="389" t="str">
        <f t="shared" si="33"/>
        <v/>
      </c>
      <c r="AV279" s="389" t="str">
        <f t="shared" si="34"/>
        <v/>
      </c>
      <c r="AW279" s="389" t="str">
        <f t="shared" si="35"/>
        <v/>
      </c>
      <c r="AX279" s="67" t="str">
        <f t="shared" ref="AX279:BH279" si="293">Z279</f>
        <v/>
      </c>
      <c r="AY279" s="67" t="str">
        <f t="shared" si="293"/>
        <v/>
      </c>
      <c r="AZ279" s="67" t="str">
        <f t="shared" si="293"/>
        <v/>
      </c>
      <c r="BA279" s="67" t="str">
        <f t="shared" si="293"/>
        <v/>
      </c>
      <c r="BB279" s="398" t="str">
        <f t="shared" si="293"/>
        <v/>
      </c>
      <c r="BC279" s="358" t="str">
        <f t="shared" si="293"/>
        <v/>
      </c>
      <c r="BD279" s="187" t="str">
        <f t="shared" si="293"/>
        <v/>
      </c>
      <c r="BE279" s="104" t="str">
        <f t="shared" si="293"/>
        <v/>
      </c>
      <c r="BF279" s="389" t="str">
        <f t="shared" si="293"/>
        <v/>
      </c>
      <c r="BG279" s="389" t="str">
        <f t="shared" si="293"/>
        <v>🔵 Chưa có hạn</v>
      </c>
      <c r="BH279" s="67" t="str">
        <f t="shared" si="293"/>
        <v/>
      </c>
      <c r="BI279" s="389" t="str">
        <f t="array" ref="BI279">IF($X279="","",SWITCH($W279,3,IFERROR(INDEX('Lớp 3 - Công việc chính'!$AF$14:$AF$73,MATCH($X279,'Lớp 3 - Công việc chính'!$I$14:$I$73,0)),""),4,IFERROR(INDEX('Lớp 4 - Danh mục'!$AI$14:$AI$132,MATCH($X279,'Lớp 4 - Danh mục'!$I$14:$I$132,0)),""),5,IFERROR(INDEX('Lớp 5 - Phân công'!$AJ$14:$AJ$262,MATCH($X279,'Lớp 5 - Phân công'!$I$14:$I$262,0)),""),6,IFERROR(INDEX('Lớp 6 - Chi tiết'!$AM$14:$AM$267,MATCH($X279,'Lớp 6 - Chi tiết'!$I$14:$I$267,0)),""),""))</f>
        <v/>
      </c>
      <c r="BJ279" s="389" t="str">
        <f t="array" ref="BJ279">IF($X279="","",SWITCH($W279,3,IFERROR(INDEX('Lớp 3 - Công việc chính'!$AR$14:$AR$73,MATCH($X279,'Lớp 3 - Công việc chính'!$I$14:$I$73,0)),""),4,IFERROR(INDEX('Lớp 4 - Danh mục'!$AU$14:$AU$132,MATCH($X279,'Lớp 4 - Danh mục'!$I$14:$I$132,0)),""),5,IFERROR(INDEX('Lớp 5 - Phân công'!$AV$14:$AV$262,MATCH($X279,'Lớp 5 - Phân công'!$I$14:$I$262,0)),""),6,IFERROR(INDEX('Lớp 6 - Chi tiết'!$AY$14:$AY$267,MATCH($X279,'Lớp 6 - Chi tiết'!$I$14:$I$267,0)),""),""))</f>
        <v/>
      </c>
    </row>
    <row r="280" ht="15.75" customHeight="1">
      <c r="A280" s="294" t="str">
        <f t="shared" si="12"/>
        <v/>
      </c>
      <c r="B280" s="301" t="str">
        <f t="shared" si="13"/>
        <v/>
      </c>
      <c r="C280" s="301" t="str">
        <f t="shared" si="14"/>
        <v/>
      </c>
      <c r="D280" s="301" t="str">
        <f t="shared" si="15"/>
        <v/>
      </c>
      <c r="E280" s="301" t="str">
        <f t="shared" si="16"/>
        <v/>
      </c>
      <c r="F280" s="317" t="str">
        <f t="shared" si="17"/>
        <v/>
      </c>
      <c r="G280" s="323" t="str">
        <f t="shared" si="18"/>
        <v/>
      </c>
      <c r="H280" s="327" t="str">
        <f t="shared" si="19"/>
        <v/>
      </c>
      <c r="I280" s="327" t="str">
        <f t="shared" si="20"/>
        <v/>
      </c>
      <c r="J280" s="301" t="str">
        <f t="shared" si="21"/>
        <v/>
      </c>
      <c r="K280" s="301" t="str">
        <f t="shared" si="22"/>
        <v/>
      </c>
      <c r="L280" s="344" t="str">
        <f t="array" ref="L280">IF($T280="","",LET(m,MATCH($T280,$AS$24:$AS$700,0),lvl,INDEX($W$24:$W$700,m),id,INDEX($X$24:$X$700,m),SWITCH(lvl,3,"Lớp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0" s="351" t="str">
        <f t="shared" si="23"/>
        <v/>
      </c>
      <c r="N280" s="356" t="str">
        <f t="shared" si="24"/>
        <v/>
      </c>
      <c r="O280" s="358"/>
      <c r="P280" s="360"/>
      <c r="Q280" s="360"/>
      <c r="R280" s="67"/>
      <c r="S280" s="67"/>
      <c r="T280" s="67"/>
      <c r="U280" s="389" t="str">
        <f>IF('Lớp 5 - Phân công'!I91="","",'Lớp 5 - Phân công'!K91&amp;"|"&amp;'Lớp 5 - Phân công'!J91&amp;"|"&amp;'Lớp 5 - Phân công'!I91)</f>
        <v/>
      </c>
      <c r="V280" s="389" t="str">
        <f>IF('Lớp 5 - Phân công'!I91="","","       ├─ "&amp;'Lớp 5 - Phân công'!Q91)</f>
        <v/>
      </c>
      <c r="W280" s="389" t="str">
        <f>IF('Lớp 5 - Phân công'!I91="","",5)</f>
        <v/>
      </c>
      <c r="X280" s="67" t="str">
        <f>'Lớp 5 - Phân công'!I91</f>
        <v/>
      </c>
      <c r="Y280" s="67" t="str">
        <f>'Lớp 5 - Phân công'!J91</f>
        <v/>
      </c>
      <c r="Z280" s="67" t="str">
        <f>'Lớp 5 - Phân công'!AA91</f>
        <v/>
      </c>
      <c r="AA280" s="67" t="str">
        <f>'Lớp 5 - Phân công'!Z91</f>
        <v/>
      </c>
      <c r="AB280" s="67" t="str">
        <f>'Lớp 5 - Phân công'!AC91</f>
        <v/>
      </c>
      <c r="AC280" s="67" t="str">
        <f>'Lớp 5 - Phân công'!AB91</f>
        <v/>
      </c>
      <c r="AD280" s="398" t="str">
        <f>'Lớp 5 - Phân công'!AG91</f>
        <v/>
      </c>
      <c r="AE280" s="358" t="str">
        <f>'Lớp 5 - Phân công'!AE91</f>
        <v/>
      </c>
      <c r="AF280" s="187" t="str">
        <f>'Lớp 5 - Phân công'!AH91</f>
        <v/>
      </c>
      <c r="AG280" s="104" t="str">
        <f>'Lớp 5 - Phân công'!AI91</f>
        <v/>
      </c>
      <c r="AH280" s="389" t="str">
        <f t="shared" si="27"/>
        <v/>
      </c>
      <c r="AI280" s="389" t="str">
        <f t="shared" si="37"/>
        <v>🔵 Chưa có hạn</v>
      </c>
      <c r="AJ280" s="67" t="str">
        <f>'Lớp 5 - Phân công'!AL91</f>
        <v/>
      </c>
      <c r="AS280" s="389" t="str">
        <f t="shared" si="217"/>
        <v/>
      </c>
      <c r="AT280" s="389" t="str">
        <f t="shared" si="32"/>
        <v/>
      </c>
      <c r="AU280" s="389" t="str">
        <f t="shared" si="33"/>
        <v/>
      </c>
      <c r="AV280" s="389" t="str">
        <f t="shared" si="34"/>
        <v/>
      </c>
      <c r="AW280" s="389" t="str">
        <f t="shared" si="35"/>
        <v/>
      </c>
      <c r="AX280" s="67" t="str">
        <f t="shared" ref="AX280:BH280" si="294">Z280</f>
        <v/>
      </c>
      <c r="AY280" s="67" t="str">
        <f t="shared" si="294"/>
        <v/>
      </c>
      <c r="AZ280" s="67" t="str">
        <f t="shared" si="294"/>
        <v/>
      </c>
      <c r="BA280" s="67" t="str">
        <f t="shared" si="294"/>
        <v/>
      </c>
      <c r="BB280" s="398" t="str">
        <f t="shared" si="294"/>
        <v/>
      </c>
      <c r="BC280" s="358" t="str">
        <f t="shared" si="294"/>
        <v/>
      </c>
      <c r="BD280" s="187" t="str">
        <f t="shared" si="294"/>
        <v/>
      </c>
      <c r="BE280" s="104" t="str">
        <f t="shared" si="294"/>
        <v/>
      </c>
      <c r="BF280" s="389" t="str">
        <f t="shared" si="294"/>
        <v/>
      </c>
      <c r="BG280" s="389" t="str">
        <f t="shared" si="294"/>
        <v>🔵 Chưa có hạn</v>
      </c>
      <c r="BH280" s="67" t="str">
        <f t="shared" si="294"/>
        <v/>
      </c>
      <c r="BI280" s="389" t="str">
        <f t="array" ref="BI280">IF($X280="","",SWITCH($W280,3,IFERROR(INDEX('Lớp 3 - Công việc chính'!$AF$14:$AF$73,MATCH($X280,'Lớp 3 - Công việc chính'!$I$14:$I$73,0)),""),4,IFERROR(INDEX('Lớp 4 - Danh mục'!$AI$14:$AI$132,MATCH($X280,'Lớp 4 - Danh mục'!$I$14:$I$132,0)),""),5,IFERROR(INDEX('Lớp 5 - Phân công'!$AJ$14:$AJ$262,MATCH($X280,'Lớp 5 - Phân công'!$I$14:$I$262,0)),""),6,IFERROR(INDEX('Lớp 6 - Chi tiết'!$AM$14:$AM$267,MATCH($X280,'Lớp 6 - Chi tiết'!$I$14:$I$267,0)),""),""))</f>
        <v/>
      </c>
      <c r="BJ280" s="389" t="str">
        <f t="array" ref="BJ280">IF($X280="","",SWITCH($W280,3,IFERROR(INDEX('Lớp 3 - Công việc chính'!$AR$14:$AR$73,MATCH($X280,'Lớp 3 - Công việc chính'!$I$14:$I$73,0)),""),4,IFERROR(INDEX('Lớp 4 - Danh mục'!$AU$14:$AU$132,MATCH($X280,'Lớp 4 - Danh mục'!$I$14:$I$132,0)),""),5,IFERROR(INDEX('Lớp 5 - Phân công'!$AV$14:$AV$262,MATCH($X280,'Lớp 5 - Phân công'!$I$14:$I$262,0)),""),6,IFERROR(INDEX('Lớp 6 - Chi tiết'!$AY$14:$AY$267,MATCH($X280,'Lớp 6 - Chi tiết'!$I$14:$I$267,0)),""),""))</f>
        <v/>
      </c>
    </row>
    <row r="281" ht="15.75" customHeight="1">
      <c r="A281" s="294" t="str">
        <f t="shared" si="12"/>
        <v/>
      </c>
      <c r="B281" s="301" t="str">
        <f t="shared" si="13"/>
        <v/>
      </c>
      <c r="C281" s="301" t="str">
        <f t="shared" si="14"/>
        <v/>
      </c>
      <c r="D281" s="301" t="str">
        <f t="shared" si="15"/>
        <v/>
      </c>
      <c r="E281" s="301" t="str">
        <f t="shared" si="16"/>
        <v/>
      </c>
      <c r="F281" s="317" t="str">
        <f t="shared" si="17"/>
        <v/>
      </c>
      <c r="G281" s="323" t="str">
        <f t="shared" si="18"/>
        <v/>
      </c>
      <c r="H281" s="327" t="str">
        <f t="shared" si="19"/>
        <v/>
      </c>
      <c r="I281" s="327" t="str">
        <f t="shared" si="20"/>
        <v/>
      </c>
      <c r="J281" s="301" t="str">
        <f t="shared" si="21"/>
        <v/>
      </c>
      <c r="K281" s="301" t="str">
        <f t="shared" si="22"/>
        <v/>
      </c>
      <c r="L281" s="344" t="str">
        <f t="array" ref="L281">IF($T281="","",LET(m,MATCH($T281,$AS$24:$AS$700,0),lvl,INDEX($W$24:$W$700,m),id,INDEX($X$24:$X$700,m),SWITCH(lvl,3,"Lớp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1" s="351" t="str">
        <f t="shared" si="23"/>
        <v/>
      </c>
      <c r="N281" s="356" t="str">
        <f t="shared" si="24"/>
        <v/>
      </c>
      <c r="O281" s="358"/>
      <c r="P281" s="360"/>
      <c r="Q281" s="360"/>
      <c r="R281" s="67"/>
      <c r="S281" s="67"/>
      <c r="T281" s="67"/>
      <c r="U281" s="389" t="str">
        <f>IF('Lớp 5 - Phân công'!I92="","",'Lớp 5 - Phân công'!K92&amp;"|"&amp;'Lớp 5 - Phân công'!J92&amp;"|"&amp;'Lớp 5 - Phân công'!I92)</f>
        <v/>
      </c>
      <c r="V281" s="389" t="str">
        <f>IF('Lớp 5 - Phân công'!I92="","","       ├─ "&amp;'Lớp 5 - Phân công'!Q92)</f>
        <v/>
      </c>
      <c r="W281" s="389" t="str">
        <f>IF('Lớp 5 - Phân công'!I92="","",5)</f>
        <v/>
      </c>
      <c r="X281" s="67" t="str">
        <f>'Lớp 5 - Phân công'!I92</f>
        <v/>
      </c>
      <c r="Y281" s="67" t="str">
        <f>'Lớp 5 - Phân công'!J92</f>
        <v/>
      </c>
      <c r="Z281" s="67" t="str">
        <f>'Lớp 5 - Phân công'!AA92</f>
        <v/>
      </c>
      <c r="AA281" s="67" t="str">
        <f>'Lớp 5 - Phân công'!Z92</f>
        <v/>
      </c>
      <c r="AB281" s="67" t="str">
        <f>'Lớp 5 - Phân công'!AC92</f>
        <v/>
      </c>
      <c r="AC281" s="67" t="str">
        <f>'Lớp 5 - Phân công'!AB92</f>
        <v/>
      </c>
      <c r="AD281" s="398" t="str">
        <f>'Lớp 5 - Phân công'!AG92</f>
        <v/>
      </c>
      <c r="AE281" s="358" t="str">
        <f>'Lớp 5 - Phân công'!AE92</f>
        <v/>
      </c>
      <c r="AF281" s="187" t="str">
        <f>'Lớp 5 - Phân công'!AH92</f>
        <v/>
      </c>
      <c r="AG281" s="104" t="str">
        <f>'Lớp 5 - Phân công'!AI92</f>
        <v/>
      </c>
      <c r="AH281" s="389" t="str">
        <f t="shared" si="27"/>
        <v/>
      </c>
      <c r="AI281" s="389" t="str">
        <f t="shared" si="37"/>
        <v>🔵 Chưa có hạn</v>
      </c>
      <c r="AJ281" s="67" t="str">
        <f>'Lớp 5 - Phân công'!AL92</f>
        <v/>
      </c>
      <c r="AS281" s="389" t="str">
        <f t="shared" si="217"/>
        <v/>
      </c>
      <c r="AT281" s="389" t="str">
        <f t="shared" si="32"/>
        <v/>
      </c>
      <c r="AU281" s="389" t="str">
        <f t="shared" si="33"/>
        <v/>
      </c>
      <c r="AV281" s="389" t="str">
        <f t="shared" si="34"/>
        <v/>
      </c>
      <c r="AW281" s="389" t="str">
        <f t="shared" si="35"/>
        <v/>
      </c>
      <c r="AX281" s="67" t="str">
        <f t="shared" ref="AX281:BH281" si="295">Z281</f>
        <v/>
      </c>
      <c r="AY281" s="67" t="str">
        <f t="shared" si="295"/>
        <v/>
      </c>
      <c r="AZ281" s="67" t="str">
        <f t="shared" si="295"/>
        <v/>
      </c>
      <c r="BA281" s="67" t="str">
        <f t="shared" si="295"/>
        <v/>
      </c>
      <c r="BB281" s="398" t="str">
        <f t="shared" si="295"/>
        <v/>
      </c>
      <c r="BC281" s="358" t="str">
        <f t="shared" si="295"/>
        <v/>
      </c>
      <c r="BD281" s="187" t="str">
        <f t="shared" si="295"/>
        <v/>
      </c>
      <c r="BE281" s="104" t="str">
        <f t="shared" si="295"/>
        <v/>
      </c>
      <c r="BF281" s="389" t="str">
        <f t="shared" si="295"/>
        <v/>
      </c>
      <c r="BG281" s="389" t="str">
        <f t="shared" si="295"/>
        <v>🔵 Chưa có hạn</v>
      </c>
      <c r="BH281" s="67" t="str">
        <f t="shared" si="295"/>
        <v/>
      </c>
      <c r="BI281" s="389" t="str">
        <f t="array" ref="BI281">IF($X281="","",SWITCH($W281,3,IFERROR(INDEX('Lớp 3 - Công việc chính'!$AF$14:$AF$73,MATCH($X281,'Lớp 3 - Công việc chính'!$I$14:$I$73,0)),""),4,IFERROR(INDEX('Lớp 4 - Danh mục'!$AI$14:$AI$132,MATCH($X281,'Lớp 4 - Danh mục'!$I$14:$I$132,0)),""),5,IFERROR(INDEX('Lớp 5 - Phân công'!$AJ$14:$AJ$262,MATCH($X281,'Lớp 5 - Phân công'!$I$14:$I$262,0)),""),6,IFERROR(INDEX('Lớp 6 - Chi tiết'!$AM$14:$AM$267,MATCH($X281,'Lớp 6 - Chi tiết'!$I$14:$I$267,0)),""),""))</f>
        <v/>
      </c>
      <c r="BJ281" s="389" t="str">
        <f t="array" ref="BJ281">IF($X281="","",SWITCH($W281,3,IFERROR(INDEX('Lớp 3 - Công việc chính'!$AR$14:$AR$73,MATCH($X281,'Lớp 3 - Công việc chính'!$I$14:$I$73,0)),""),4,IFERROR(INDEX('Lớp 4 - Danh mục'!$AU$14:$AU$132,MATCH($X281,'Lớp 4 - Danh mục'!$I$14:$I$132,0)),""),5,IFERROR(INDEX('Lớp 5 - Phân công'!$AV$14:$AV$262,MATCH($X281,'Lớp 5 - Phân công'!$I$14:$I$262,0)),""),6,IFERROR(INDEX('Lớp 6 - Chi tiết'!$AY$14:$AY$267,MATCH($X281,'Lớp 6 - Chi tiết'!$I$14:$I$267,0)),""),""))</f>
        <v/>
      </c>
    </row>
    <row r="282" ht="15.75" customHeight="1">
      <c r="A282" s="294" t="str">
        <f t="shared" si="12"/>
        <v/>
      </c>
      <c r="B282" s="301" t="str">
        <f t="shared" si="13"/>
        <v/>
      </c>
      <c r="C282" s="301" t="str">
        <f t="shared" si="14"/>
        <v/>
      </c>
      <c r="D282" s="301" t="str">
        <f t="shared" si="15"/>
        <v/>
      </c>
      <c r="E282" s="301" t="str">
        <f t="shared" si="16"/>
        <v/>
      </c>
      <c r="F282" s="317" t="str">
        <f t="shared" si="17"/>
        <v/>
      </c>
      <c r="G282" s="323" t="str">
        <f t="shared" si="18"/>
        <v/>
      </c>
      <c r="H282" s="327" t="str">
        <f t="shared" si="19"/>
        <v/>
      </c>
      <c r="I282" s="327" t="str">
        <f t="shared" si="20"/>
        <v/>
      </c>
      <c r="J282" s="301" t="str">
        <f t="shared" si="21"/>
        <v/>
      </c>
      <c r="K282" s="301" t="str">
        <f t="shared" si="22"/>
        <v/>
      </c>
      <c r="L282" s="344" t="str">
        <f t="array" ref="L282">IF($T282="","",LET(m,MATCH($T282,$AS$24:$AS$700,0),lvl,INDEX($W$24:$W$700,m),id,INDEX($X$24:$X$700,m),SWITCH(lvl,3,"Lớp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2" s="351" t="str">
        <f t="shared" si="23"/>
        <v/>
      </c>
      <c r="N282" s="356" t="str">
        <f t="shared" si="24"/>
        <v/>
      </c>
      <c r="O282" s="358"/>
      <c r="P282" s="360"/>
      <c r="Q282" s="360"/>
      <c r="R282" s="67"/>
      <c r="S282" s="67"/>
      <c r="T282" s="67"/>
      <c r="U282" s="389" t="str">
        <f>IF('Lớp 5 - Phân công'!I93="","",'Lớp 5 - Phân công'!K93&amp;"|"&amp;'Lớp 5 - Phân công'!J93&amp;"|"&amp;'Lớp 5 - Phân công'!I93)</f>
        <v/>
      </c>
      <c r="V282" s="389" t="str">
        <f>IF('Lớp 5 - Phân công'!I93="","","       ├─ "&amp;'Lớp 5 - Phân công'!Q93)</f>
        <v/>
      </c>
      <c r="W282" s="389" t="str">
        <f>IF('Lớp 5 - Phân công'!I93="","",5)</f>
        <v/>
      </c>
      <c r="X282" s="67" t="str">
        <f>'Lớp 5 - Phân công'!I93</f>
        <v/>
      </c>
      <c r="Y282" s="67" t="str">
        <f>'Lớp 5 - Phân công'!J93</f>
        <v/>
      </c>
      <c r="Z282" s="67" t="str">
        <f>'Lớp 5 - Phân công'!AA93</f>
        <v/>
      </c>
      <c r="AA282" s="67" t="str">
        <f>'Lớp 5 - Phân công'!Z93</f>
        <v/>
      </c>
      <c r="AB282" s="67" t="str">
        <f>'Lớp 5 - Phân công'!AC93</f>
        <v/>
      </c>
      <c r="AC282" s="67" t="str">
        <f>'Lớp 5 - Phân công'!AB93</f>
        <v/>
      </c>
      <c r="AD282" s="398" t="str">
        <f>'Lớp 5 - Phân công'!AG93</f>
        <v/>
      </c>
      <c r="AE282" s="358" t="str">
        <f>'Lớp 5 - Phân công'!AE93</f>
        <v/>
      </c>
      <c r="AF282" s="187" t="str">
        <f>'Lớp 5 - Phân công'!AH93</f>
        <v/>
      </c>
      <c r="AG282" s="104" t="str">
        <f>'Lớp 5 - Phân công'!AI93</f>
        <v/>
      </c>
      <c r="AH282" s="389" t="str">
        <f t="shared" si="27"/>
        <v/>
      </c>
      <c r="AI282" s="389" t="str">
        <f t="shared" si="37"/>
        <v>🔵 Chưa có hạn</v>
      </c>
      <c r="AJ282" s="67" t="str">
        <f>'Lớp 5 - Phân công'!AL93</f>
        <v/>
      </c>
      <c r="AS282" s="389" t="str">
        <f t="shared" si="217"/>
        <v/>
      </c>
      <c r="AT282" s="389" t="str">
        <f t="shared" si="32"/>
        <v/>
      </c>
      <c r="AU282" s="389" t="str">
        <f t="shared" si="33"/>
        <v/>
      </c>
      <c r="AV282" s="389" t="str">
        <f t="shared" si="34"/>
        <v/>
      </c>
      <c r="AW282" s="389" t="str">
        <f t="shared" si="35"/>
        <v/>
      </c>
      <c r="AX282" s="67" t="str">
        <f t="shared" ref="AX282:BH282" si="296">Z282</f>
        <v/>
      </c>
      <c r="AY282" s="67" t="str">
        <f t="shared" si="296"/>
        <v/>
      </c>
      <c r="AZ282" s="67" t="str">
        <f t="shared" si="296"/>
        <v/>
      </c>
      <c r="BA282" s="67" t="str">
        <f t="shared" si="296"/>
        <v/>
      </c>
      <c r="BB282" s="398" t="str">
        <f t="shared" si="296"/>
        <v/>
      </c>
      <c r="BC282" s="358" t="str">
        <f t="shared" si="296"/>
        <v/>
      </c>
      <c r="BD282" s="187" t="str">
        <f t="shared" si="296"/>
        <v/>
      </c>
      <c r="BE282" s="104" t="str">
        <f t="shared" si="296"/>
        <v/>
      </c>
      <c r="BF282" s="389" t="str">
        <f t="shared" si="296"/>
        <v/>
      </c>
      <c r="BG282" s="389" t="str">
        <f t="shared" si="296"/>
        <v>🔵 Chưa có hạn</v>
      </c>
      <c r="BH282" s="67" t="str">
        <f t="shared" si="296"/>
        <v/>
      </c>
      <c r="BI282" s="389" t="str">
        <f t="array" ref="BI282">IF($X282="","",SWITCH($W282,3,IFERROR(INDEX('Lớp 3 - Công việc chính'!$AF$14:$AF$73,MATCH($X282,'Lớp 3 - Công việc chính'!$I$14:$I$73,0)),""),4,IFERROR(INDEX('Lớp 4 - Danh mục'!$AI$14:$AI$132,MATCH($X282,'Lớp 4 - Danh mục'!$I$14:$I$132,0)),""),5,IFERROR(INDEX('Lớp 5 - Phân công'!$AJ$14:$AJ$262,MATCH($X282,'Lớp 5 - Phân công'!$I$14:$I$262,0)),""),6,IFERROR(INDEX('Lớp 6 - Chi tiết'!$AM$14:$AM$267,MATCH($X282,'Lớp 6 - Chi tiết'!$I$14:$I$267,0)),""),""))</f>
        <v/>
      </c>
      <c r="BJ282" s="389" t="str">
        <f t="array" ref="BJ282">IF($X282="","",SWITCH($W282,3,IFERROR(INDEX('Lớp 3 - Công việc chính'!$AR$14:$AR$73,MATCH($X282,'Lớp 3 - Công việc chính'!$I$14:$I$73,0)),""),4,IFERROR(INDEX('Lớp 4 - Danh mục'!$AU$14:$AU$132,MATCH($X282,'Lớp 4 - Danh mục'!$I$14:$I$132,0)),""),5,IFERROR(INDEX('Lớp 5 - Phân công'!$AV$14:$AV$262,MATCH($X282,'Lớp 5 - Phân công'!$I$14:$I$262,0)),""),6,IFERROR(INDEX('Lớp 6 - Chi tiết'!$AY$14:$AY$267,MATCH($X282,'Lớp 6 - Chi tiết'!$I$14:$I$267,0)),""),""))</f>
        <v/>
      </c>
    </row>
    <row r="283" ht="15.75" customHeight="1">
      <c r="A283" s="294" t="str">
        <f t="shared" si="12"/>
        <v/>
      </c>
      <c r="B283" s="301" t="str">
        <f t="shared" si="13"/>
        <v/>
      </c>
      <c r="C283" s="301" t="str">
        <f t="shared" si="14"/>
        <v/>
      </c>
      <c r="D283" s="301" t="str">
        <f t="shared" si="15"/>
        <v/>
      </c>
      <c r="E283" s="301" t="str">
        <f t="shared" si="16"/>
        <v/>
      </c>
      <c r="F283" s="317" t="str">
        <f t="shared" si="17"/>
        <v/>
      </c>
      <c r="G283" s="323" t="str">
        <f t="shared" si="18"/>
        <v/>
      </c>
      <c r="H283" s="327" t="str">
        <f t="shared" si="19"/>
        <v/>
      </c>
      <c r="I283" s="327" t="str">
        <f t="shared" si="20"/>
        <v/>
      </c>
      <c r="J283" s="301" t="str">
        <f t="shared" si="21"/>
        <v/>
      </c>
      <c r="K283" s="301" t="str">
        <f t="shared" si="22"/>
        <v/>
      </c>
      <c r="L283" s="344" t="str">
        <f t="array" ref="L283">IF($T283="","",LET(m,MATCH($T283,$AS$24:$AS$700,0),lvl,INDEX($W$24:$W$700,m),id,INDEX($X$24:$X$700,m),SWITCH(lvl,3,"Lớp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3" s="351" t="str">
        <f t="shared" si="23"/>
        <v/>
      </c>
      <c r="N283" s="356" t="str">
        <f t="shared" si="24"/>
        <v/>
      </c>
      <c r="O283" s="358"/>
      <c r="P283" s="360"/>
      <c r="Q283" s="360"/>
      <c r="R283" s="67"/>
      <c r="S283" s="67"/>
      <c r="T283" s="67"/>
      <c r="U283" s="389" t="str">
        <f>IF('Lớp 5 - Phân công'!I94="","",'Lớp 5 - Phân công'!K94&amp;"|"&amp;'Lớp 5 - Phân công'!J94&amp;"|"&amp;'Lớp 5 - Phân công'!I94)</f>
        <v/>
      </c>
      <c r="V283" s="389" t="str">
        <f>IF('Lớp 5 - Phân công'!I94="","","       ├─ "&amp;'Lớp 5 - Phân công'!Q94)</f>
        <v/>
      </c>
      <c r="W283" s="389" t="str">
        <f>IF('Lớp 5 - Phân công'!I94="","",5)</f>
        <v/>
      </c>
      <c r="X283" s="67" t="str">
        <f>'Lớp 5 - Phân công'!I94</f>
        <v/>
      </c>
      <c r="Y283" s="67" t="str">
        <f>'Lớp 5 - Phân công'!J94</f>
        <v/>
      </c>
      <c r="Z283" s="67" t="str">
        <f>'Lớp 5 - Phân công'!AA94</f>
        <v/>
      </c>
      <c r="AA283" s="67" t="str">
        <f>'Lớp 5 - Phân công'!Z94</f>
        <v/>
      </c>
      <c r="AB283" s="67" t="str">
        <f>'Lớp 5 - Phân công'!AC94</f>
        <v/>
      </c>
      <c r="AC283" s="67" t="str">
        <f>'Lớp 5 - Phân công'!AB94</f>
        <v/>
      </c>
      <c r="AD283" s="398" t="str">
        <f>'Lớp 5 - Phân công'!AG94</f>
        <v/>
      </c>
      <c r="AE283" s="358" t="str">
        <f>'Lớp 5 - Phân công'!AE94</f>
        <v/>
      </c>
      <c r="AF283" s="187" t="str">
        <f>'Lớp 5 - Phân công'!AH94</f>
        <v/>
      </c>
      <c r="AG283" s="104" t="str">
        <f>'Lớp 5 - Phân công'!AI94</f>
        <v/>
      </c>
      <c r="AH283" s="389" t="str">
        <f t="shared" si="27"/>
        <v/>
      </c>
      <c r="AI283" s="389" t="str">
        <f t="shared" si="37"/>
        <v>🔵 Chưa có hạn</v>
      </c>
      <c r="AJ283" s="67" t="str">
        <f>'Lớp 5 - Phân công'!AL94</f>
        <v/>
      </c>
      <c r="AS283" s="389" t="str">
        <f t="shared" si="217"/>
        <v/>
      </c>
      <c r="AT283" s="389" t="str">
        <f t="shared" si="32"/>
        <v/>
      </c>
      <c r="AU283" s="389" t="str">
        <f t="shared" si="33"/>
        <v/>
      </c>
      <c r="AV283" s="389" t="str">
        <f t="shared" si="34"/>
        <v/>
      </c>
      <c r="AW283" s="389" t="str">
        <f t="shared" si="35"/>
        <v/>
      </c>
      <c r="AX283" s="67" t="str">
        <f t="shared" ref="AX283:BH283" si="297">Z283</f>
        <v/>
      </c>
      <c r="AY283" s="67" t="str">
        <f t="shared" si="297"/>
        <v/>
      </c>
      <c r="AZ283" s="67" t="str">
        <f t="shared" si="297"/>
        <v/>
      </c>
      <c r="BA283" s="67" t="str">
        <f t="shared" si="297"/>
        <v/>
      </c>
      <c r="BB283" s="398" t="str">
        <f t="shared" si="297"/>
        <v/>
      </c>
      <c r="BC283" s="358" t="str">
        <f t="shared" si="297"/>
        <v/>
      </c>
      <c r="BD283" s="187" t="str">
        <f t="shared" si="297"/>
        <v/>
      </c>
      <c r="BE283" s="104" t="str">
        <f t="shared" si="297"/>
        <v/>
      </c>
      <c r="BF283" s="389" t="str">
        <f t="shared" si="297"/>
        <v/>
      </c>
      <c r="BG283" s="389" t="str">
        <f t="shared" si="297"/>
        <v>🔵 Chưa có hạn</v>
      </c>
      <c r="BH283" s="67" t="str">
        <f t="shared" si="297"/>
        <v/>
      </c>
      <c r="BI283" s="389" t="str">
        <f t="array" ref="BI283">IF($X283="","",SWITCH($W283,3,IFERROR(INDEX('Lớp 3 - Công việc chính'!$AF$14:$AF$73,MATCH($X283,'Lớp 3 - Công việc chính'!$I$14:$I$73,0)),""),4,IFERROR(INDEX('Lớp 4 - Danh mục'!$AI$14:$AI$132,MATCH($X283,'Lớp 4 - Danh mục'!$I$14:$I$132,0)),""),5,IFERROR(INDEX('Lớp 5 - Phân công'!$AJ$14:$AJ$262,MATCH($X283,'Lớp 5 - Phân công'!$I$14:$I$262,0)),""),6,IFERROR(INDEX('Lớp 6 - Chi tiết'!$AM$14:$AM$267,MATCH($X283,'Lớp 6 - Chi tiết'!$I$14:$I$267,0)),""),""))</f>
        <v/>
      </c>
      <c r="BJ283" s="389" t="str">
        <f t="array" ref="BJ283">IF($X283="","",SWITCH($W283,3,IFERROR(INDEX('Lớp 3 - Công việc chính'!$AR$14:$AR$73,MATCH($X283,'Lớp 3 - Công việc chính'!$I$14:$I$73,0)),""),4,IFERROR(INDEX('Lớp 4 - Danh mục'!$AU$14:$AU$132,MATCH($X283,'Lớp 4 - Danh mục'!$I$14:$I$132,0)),""),5,IFERROR(INDEX('Lớp 5 - Phân công'!$AV$14:$AV$262,MATCH($X283,'Lớp 5 - Phân công'!$I$14:$I$262,0)),""),6,IFERROR(INDEX('Lớp 6 - Chi tiết'!$AY$14:$AY$267,MATCH($X283,'Lớp 6 - Chi tiết'!$I$14:$I$267,0)),""),""))</f>
        <v/>
      </c>
    </row>
    <row r="284" ht="15.75" customHeight="1">
      <c r="A284" s="294" t="str">
        <f t="shared" si="12"/>
        <v/>
      </c>
      <c r="B284" s="301" t="str">
        <f t="shared" si="13"/>
        <v/>
      </c>
      <c r="C284" s="301" t="str">
        <f t="shared" si="14"/>
        <v/>
      </c>
      <c r="D284" s="301" t="str">
        <f t="shared" si="15"/>
        <v/>
      </c>
      <c r="E284" s="301" t="str">
        <f t="shared" si="16"/>
        <v/>
      </c>
      <c r="F284" s="317" t="str">
        <f t="shared" si="17"/>
        <v/>
      </c>
      <c r="G284" s="323" t="str">
        <f t="shared" si="18"/>
        <v/>
      </c>
      <c r="H284" s="327" t="str">
        <f t="shared" si="19"/>
        <v/>
      </c>
      <c r="I284" s="327" t="str">
        <f t="shared" si="20"/>
        <v/>
      </c>
      <c r="J284" s="301" t="str">
        <f t="shared" si="21"/>
        <v/>
      </c>
      <c r="K284" s="301" t="str">
        <f t="shared" si="22"/>
        <v/>
      </c>
      <c r="L284" s="344" t="str">
        <f t="array" ref="L284">IF($T284="","",LET(m,MATCH($T284,$AS$24:$AS$700,0),lvl,INDEX($W$24:$W$700,m),id,INDEX($X$24:$X$700,m),SWITCH(lvl,3,"Lớp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4" s="351" t="str">
        <f t="shared" si="23"/>
        <v/>
      </c>
      <c r="N284" s="356" t="str">
        <f t="shared" si="24"/>
        <v/>
      </c>
      <c r="O284" s="358"/>
      <c r="P284" s="360"/>
      <c r="Q284" s="360"/>
      <c r="R284" s="67"/>
      <c r="S284" s="67"/>
      <c r="T284" s="67"/>
      <c r="U284" s="389" t="str">
        <f>IF('Lớp 5 - Phân công'!I95="","",'Lớp 5 - Phân công'!K95&amp;"|"&amp;'Lớp 5 - Phân công'!J95&amp;"|"&amp;'Lớp 5 - Phân công'!I95)</f>
        <v/>
      </c>
      <c r="V284" s="389" t="str">
        <f>IF('Lớp 5 - Phân công'!I95="","","       ├─ "&amp;'Lớp 5 - Phân công'!Q95)</f>
        <v/>
      </c>
      <c r="W284" s="389" t="str">
        <f>IF('Lớp 5 - Phân công'!I95="","",5)</f>
        <v/>
      </c>
      <c r="X284" s="67" t="str">
        <f>'Lớp 5 - Phân công'!I95</f>
        <v/>
      </c>
      <c r="Y284" s="67" t="str">
        <f>'Lớp 5 - Phân công'!J95</f>
        <v/>
      </c>
      <c r="Z284" s="67" t="str">
        <f>'Lớp 5 - Phân công'!AA95</f>
        <v/>
      </c>
      <c r="AA284" s="67" t="str">
        <f>'Lớp 5 - Phân công'!Z95</f>
        <v/>
      </c>
      <c r="AB284" s="67" t="str">
        <f>'Lớp 5 - Phân công'!AC95</f>
        <v/>
      </c>
      <c r="AC284" s="67" t="str">
        <f>'Lớp 5 - Phân công'!AB95</f>
        <v/>
      </c>
      <c r="AD284" s="398" t="str">
        <f>'Lớp 5 - Phân công'!AG95</f>
        <v/>
      </c>
      <c r="AE284" s="358" t="str">
        <f>'Lớp 5 - Phân công'!AE95</f>
        <v/>
      </c>
      <c r="AF284" s="187" t="str">
        <f>'Lớp 5 - Phân công'!AH95</f>
        <v/>
      </c>
      <c r="AG284" s="104" t="str">
        <f>'Lớp 5 - Phân công'!AI95</f>
        <v/>
      </c>
      <c r="AH284" s="389" t="str">
        <f t="shared" si="27"/>
        <v/>
      </c>
      <c r="AI284" s="389" t="str">
        <f t="shared" si="37"/>
        <v>🔵 Chưa có hạn</v>
      </c>
      <c r="AJ284" s="67" t="str">
        <f>'Lớp 5 - Phân công'!AL95</f>
        <v/>
      </c>
      <c r="AS284" s="389" t="str">
        <f t="shared" si="217"/>
        <v/>
      </c>
      <c r="AT284" s="389" t="str">
        <f t="shared" si="32"/>
        <v/>
      </c>
      <c r="AU284" s="389" t="str">
        <f t="shared" si="33"/>
        <v/>
      </c>
      <c r="AV284" s="389" t="str">
        <f t="shared" si="34"/>
        <v/>
      </c>
      <c r="AW284" s="389" t="str">
        <f t="shared" si="35"/>
        <v/>
      </c>
      <c r="AX284" s="67" t="str">
        <f t="shared" ref="AX284:BH284" si="298">Z284</f>
        <v/>
      </c>
      <c r="AY284" s="67" t="str">
        <f t="shared" si="298"/>
        <v/>
      </c>
      <c r="AZ284" s="67" t="str">
        <f t="shared" si="298"/>
        <v/>
      </c>
      <c r="BA284" s="67" t="str">
        <f t="shared" si="298"/>
        <v/>
      </c>
      <c r="BB284" s="398" t="str">
        <f t="shared" si="298"/>
        <v/>
      </c>
      <c r="BC284" s="358" t="str">
        <f t="shared" si="298"/>
        <v/>
      </c>
      <c r="BD284" s="187" t="str">
        <f t="shared" si="298"/>
        <v/>
      </c>
      <c r="BE284" s="104" t="str">
        <f t="shared" si="298"/>
        <v/>
      </c>
      <c r="BF284" s="389" t="str">
        <f t="shared" si="298"/>
        <v/>
      </c>
      <c r="BG284" s="389" t="str">
        <f t="shared" si="298"/>
        <v>🔵 Chưa có hạn</v>
      </c>
      <c r="BH284" s="67" t="str">
        <f t="shared" si="298"/>
        <v/>
      </c>
      <c r="BI284" s="389" t="str">
        <f t="array" ref="BI284">IF($X284="","",SWITCH($W284,3,IFERROR(INDEX('Lớp 3 - Công việc chính'!$AF$14:$AF$73,MATCH($X284,'Lớp 3 - Công việc chính'!$I$14:$I$73,0)),""),4,IFERROR(INDEX('Lớp 4 - Danh mục'!$AI$14:$AI$132,MATCH($X284,'Lớp 4 - Danh mục'!$I$14:$I$132,0)),""),5,IFERROR(INDEX('Lớp 5 - Phân công'!$AJ$14:$AJ$262,MATCH($X284,'Lớp 5 - Phân công'!$I$14:$I$262,0)),""),6,IFERROR(INDEX('Lớp 6 - Chi tiết'!$AM$14:$AM$267,MATCH($X284,'Lớp 6 - Chi tiết'!$I$14:$I$267,0)),""),""))</f>
        <v/>
      </c>
      <c r="BJ284" s="389" t="str">
        <f t="array" ref="BJ284">IF($X284="","",SWITCH($W284,3,IFERROR(INDEX('Lớp 3 - Công việc chính'!$AR$14:$AR$73,MATCH($X284,'Lớp 3 - Công việc chính'!$I$14:$I$73,0)),""),4,IFERROR(INDEX('Lớp 4 - Danh mục'!$AU$14:$AU$132,MATCH($X284,'Lớp 4 - Danh mục'!$I$14:$I$132,0)),""),5,IFERROR(INDEX('Lớp 5 - Phân công'!$AV$14:$AV$262,MATCH($X284,'Lớp 5 - Phân công'!$I$14:$I$262,0)),""),6,IFERROR(INDEX('Lớp 6 - Chi tiết'!$AY$14:$AY$267,MATCH($X284,'Lớp 6 - Chi tiết'!$I$14:$I$267,0)),""),""))</f>
        <v/>
      </c>
    </row>
    <row r="285" ht="15.75" customHeight="1">
      <c r="A285" s="294" t="str">
        <f t="shared" si="12"/>
        <v/>
      </c>
      <c r="B285" s="301" t="str">
        <f t="shared" si="13"/>
        <v/>
      </c>
      <c r="C285" s="301" t="str">
        <f t="shared" si="14"/>
        <v/>
      </c>
      <c r="D285" s="301" t="str">
        <f t="shared" si="15"/>
        <v/>
      </c>
      <c r="E285" s="301" t="str">
        <f t="shared" si="16"/>
        <v/>
      </c>
      <c r="F285" s="317" t="str">
        <f t="shared" si="17"/>
        <v/>
      </c>
      <c r="G285" s="323" t="str">
        <f t="shared" si="18"/>
        <v/>
      </c>
      <c r="H285" s="327" t="str">
        <f t="shared" si="19"/>
        <v/>
      </c>
      <c r="I285" s="327" t="str">
        <f t="shared" si="20"/>
        <v/>
      </c>
      <c r="J285" s="301" t="str">
        <f t="shared" si="21"/>
        <v/>
      </c>
      <c r="K285" s="301" t="str">
        <f t="shared" si="22"/>
        <v/>
      </c>
      <c r="L285" s="344" t="str">
        <f t="array" ref="L285">IF($T285="","",LET(m,MATCH($T285,$AS$24:$AS$700,0),lvl,INDEX($W$24:$W$700,m),id,INDEX($X$24:$X$700,m),SWITCH(lvl,3,"Lớp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5" s="351" t="str">
        <f t="shared" si="23"/>
        <v/>
      </c>
      <c r="N285" s="356" t="str">
        <f t="shared" si="24"/>
        <v/>
      </c>
      <c r="O285" s="358"/>
      <c r="P285" s="360"/>
      <c r="Q285" s="360"/>
      <c r="R285" s="67"/>
      <c r="S285" s="67"/>
      <c r="T285" s="67"/>
      <c r="U285" s="389" t="str">
        <f>IF('Lớp 5 - Phân công'!I96="","",'Lớp 5 - Phân công'!K96&amp;"|"&amp;'Lớp 5 - Phân công'!J96&amp;"|"&amp;'Lớp 5 - Phân công'!I96)</f>
        <v/>
      </c>
      <c r="V285" s="389" t="str">
        <f>IF('Lớp 5 - Phân công'!I96="","","       ├─ "&amp;'Lớp 5 - Phân công'!Q96)</f>
        <v/>
      </c>
      <c r="W285" s="389" t="str">
        <f>IF('Lớp 5 - Phân công'!I96="","",5)</f>
        <v/>
      </c>
      <c r="X285" s="67" t="str">
        <f>'Lớp 5 - Phân công'!I96</f>
        <v/>
      </c>
      <c r="Y285" s="67" t="str">
        <f>'Lớp 5 - Phân công'!J96</f>
        <v/>
      </c>
      <c r="Z285" s="67" t="str">
        <f>'Lớp 5 - Phân công'!AA96</f>
        <v/>
      </c>
      <c r="AA285" s="67" t="str">
        <f>'Lớp 5 - Phân công'!Z96</f>
        <v/>
      </c>
      <c r="AB285" s="67" t="str">
        <f>'Lớp 5 - Phân công'!AC96</f>
        <v/>
      </c>
      <c r="AC285" s="67" t="str">
        <f>'Lớp 5 - Phân công'!AB96</f>
        <v/>
      </c>
      <c r="AD285" s="398" t="str">
        <f>'Lớp 5 - Phân công'!AG96</f>
        <v/>
      </c>
      <c r="AE285" s="358" t="str">
        <f>'Lớp 5 - Phân công'!AE96</f>
        <v/>
      </c>
      <c r="AF285" s="187" t="str">
        <f>'Lớp 5 - Phân công'!AH96</f>
        <v/>
      </c>
      <c r="AG285" s="104" t="str">
        <f>'Lớp 5 - Phân công'!AI96</f>
        <v/>
      </c>
      <c r="AH285" s="389" t="str">
        <f t="shared" si="27"/>
        <v/>
      </c>
      <c r="AI285" s="389" t="str">
        <f t="shared" si="37"/>
        <v>🔵 Chưa có hạn</v>
      </c>
      <c r="AJ285" s="67" t="str">
        <f>'Lớp 5 - Phân công'!AL96</f>
        <v/>
      </c>
      <c r="AS285" s="389" t="str">
        <f t="shared" si="217"/>
        <v/>
      </c>
      <c r="AT285" s="389" t="str">
        <f t="shared" si="32"/>
        <v/>
      </c>
      <c r="AU285" s="389" t="str">
        <f t="shared" si="33"/>
        <v/>
      </c>
      <c r="AV285" s="389" t="str">
        <f t="shared" si="34"/>
        <v/>
      </c>
      <c r="AW285" s="389" t="str">
        <f t="shared" si="35"/>
        <v/>
      </c>
      <c r="AX285" s="67" t="str">
        <f t="shared" ref="AX285:BH285" si="299">Z285</f>
        <v/>
      </c>
      <c r="AY285" s="67" t="str">
        <f t="shared" si="299"/>
        <v/>
      </c>
      <c r="AZ285" s="67" t="str">
        <f t="shared" si="299"/>
        <v/>
      </c>
      <c r="BA285" s="67" t="str">
        <f t="shared" si="299"/>
        <v/>
      </c>
      <c r="BB285" s="398" t="str">
        <f t="shared" si="299"/>
        <v/>
      </c>
      <c r="BC285" s="358" t="str">
        <f t="shared" si="299"/>
        <v/>
      </c>
      <c r="BD285" s="187" t="str">
        <f t="shared" si="299"/>
        <v/>
      </c>
      <c r="BE285" s="104" t="str">
        <f t="shared" si="299"/>
        <v/>
      </c>
      <c r="BF285" s="389" t="str">
        <f t="shared" si="299"/>
        <v/>
      </c>
      <c r="BG285" s="389" t="str">
        <f t="shared" si="299"/>
        <v>🔵 Chưa có hạn</v>
      </c>
      <c r="BH285" s="67" t="str">
        <f t="shared" si="299"/>
        <v/>
      </c>
      <c r="BI285" s="389" t="str">
        <f t="array" ref="BI285">IF($X285="","",SWITCH($W285,3,IFERROR(INDEX('Lớp 3 - Công việc chính'!$AF$14:$AF$73,MATCH($X285,'Lớp 3 - Công việc chính'!$I$14:$I$73,0)),""),4,IFERROR(INDEX('Lớp 4 - Danh mục'!$AI$14:$AI$132,MATCH($X285,'Lớp 4 - Danh mục'!$I$14:$I$132,0)),""),5,IFERROR(INDEX('Lớp 5 - Phân công'!$AJ$14:$AJ$262,MATCH($X285,'Lớp 5 - Phân công'!$I$14:$I$262,0)),""),6,IFERROR(INDEX('Lớp 6 - Chi tiết'!$AM$14:$AM$267,MATCH($X285,'Lớp 6 - Chi tiết'!$I$14:$I$267,0)),""),""))</f>
        <v/>
      </c>
      <c r="BJ285" s="389" t="str">
        <f t="array" ref="BJ285">IF($X285="","",SWITCH($W285,3,IFERROR(INDEX('Lớp 3 - Công việc chính'!$AR$14:$AR$73,MATCH($X285,'Lớp 3 - Công việc chính'!$I$14:$I$73,0)),""),4,IFERROR(INDEX('Lớp 4 - Danh mục'!$AU$14:$AU$132,MATCH($X285,'Lớp 4 - Danh mục'!$I$14:$I$132,0)),""),5,IFERROR(INDEX('Lớp 5 - Phân công'!$AV$14:$AV$262,MATCH($X285,'Lớp 5 - Phân công'!$I$14:$I$262,0)),""),6,IFERROR(INDEX('Lớp 6 - Chi tiết'!$AY$14:$AY$267,MATCH($X285,'Lớp 6 - Chi tiết'!$I$14:$I$267,0)),""),""))</f>
        <v/>
      </c>
    </row>
    <row r="286" ht="15.75" customHeight="1">
      <c r="A286" s="294" t="str">
        <f t="shared" si="12"/>
        <v/>
      </c>
      <c r="B286" s="301" t="str">
        <f t="shared" si="13"/>
        <v/>
      </c>
      <c r="C286" s="301" t="str">
        <f t="shared" si="14"/>
        <v/>
      </c>
      <c r="D286" s="301" t="str">
        <f t="shared" si="15"/>
        <v/>
      </c>
      <c r="E286" s="301" t="str">
        <f t="shared" si="16"/>
        <v/>
      </c>
      <c r="F286" s="317" t="str">
        <f t="shared" si="17"/>
        <v/>
      </c>
      <c r="G286" s="323" t="str">
        <f t="shared" si="18"/>
        <v/>
      </c>
      <c r="H286" s="327" t="str">
        <f t="shared" si="19"/>
        <v/>
      </c>
      <c r="I286" s="327" t="str">
        <f t="shared" si="20"/>
        <v/>
      </c>
      <c r="J286" s="301" t="str">
        <f t="shared" si="21"/>
        <v/>
      </c>
      <c r="K286" s="301" t="str">
        <f t="shared" si="22"/>
        <v/>
      </c>
      <c r="L286" s="344" t="str">
        <f t="array" ref="L286">IF($T286="","",LET(m,MATCH($T286,$AS$24:$AS$700,0),lvl,INDEX($W$24:$W$700,m),id,INDEX($X$24:$X$700,m),SWITCH(lvl,3,"Lớp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6" s="351" t="str">
        <f t="shared" si="23"/>
        <v/>
      </c>
      <c r="N286" s="356" t="str">
        <f t="shared" si="24"/>
        <v/>
      </c>
      <c r="O286" s="358"/>
      <c r="P286" s="360"/>
      <c r="Q286" s="360"/>
      <c r="R286" s="67"/>
      <c r="S286" s="67"/>
      <c r="T286" s="67"/>
      <c r="U286" s="389" t="str">
        <f>IF('Lớp 5 - Phân công'!I97="","",'Lớp 5 - Phân công'!K97&amp;"|"&amp;'Lớp 5 - Phân công'!J97&amp;"|"&amp;'Lớp 5 - Phân công'!I97)</f>
        <v/>
      </c>
      <c r="V286" s="389" t="str">
        <f>IF('Lớp 5 - Phân công'!I97="","","       ├─ "&amp;'Lớp 5 - Phân công'!Q97)</f>
        <v/>
      </c>
      <c r="W286" s="389" t="str">
        <f>IF('Lớp 5 - Phân công'!I97="","",5)</f>
        <v/>
      </c>
      <c r="X286" s="67" t="str">
        <f>'Lớp 5 - Phân công'!I97</f>
        <v/>
      </c>
      <c r="Y286" s="67" t="str">
        <f>'Lớp 5 - Phân công'!J97</f>
        <v/>
      </c>
      <c r="Z286" s="67" t="str">
        <f>'Lớp 5 - Phân công'!AA97</f>
        <v/>
      </c>
      <c r="AA286" s="67" t="str">
        <f>'Lớp 5 - Phân công'!Z97</f>
        <v/>
      </c>
      <c r="AB286" s="67" t="str">
        <f>'Lớp 5 - Phân công'!AC97</f>
        <v/>
      </c>
      <c r="AC286" s="67" t="str">
        <f>'Lớp 5 - Phân công'!AB97</f>
        <v/>
      </c>
      <c r="AD286" s="398" t="str">
        <f>'Lớp 5 - Phân công'!AG97</f>
        <v/>
      </c>
      <c r="AE286" s="358" t="str">
        <f>'Lớp 5 - Phân công'!AE97</f>
        <v/>
      </c>
      <c r="AF286" s="187" t="str">
        <f>'Lớp 5 - Phân công'!AH97</f>
        <v/>
      </c>
      <c r="AG286" s="104" t="str">
        <f>'Lớp 5 - Phân công'!AI97</f>
        <v/>
      </c>
      <c r="AH286" s="389" t="str">
        <f t="shared" si="27"/>
        <v/>
      </c>
      <c r="AI286" s="389" t="str">
        <f t="shared" si="37"/>
        <v>🔵 Chưa có hạn</v>
      </c>
      <c r="AJ286" s="67" t="str">
        <f>'Lớp 5 - Phân công'!AL97</f>
        <v/>
      </c>
      <c r="AS286" s="389" t="str">
        <f t="shared" si="217"/>
        <v/>
      </c>
      <c r="AT286" s="389" t="str">
        <f t="shared" si="32"/>
        <v/>
      </c>
      <c r="AU286" s="389" t="str">
        <f t="shared" si="33"/>
        <v/>
      </c>
      <c r="AV286" s="389" t="str">
        <f t="shared" si="34"/>
        <v/>
      </c>
      <c r="AW286" s="389" t="str">
        <f t="shared" si="35"/>
        <v/>
      </c>
      <c r="AX286" s="67" t="str">
        <f t="shared" ref="AX286:BH286" si="300">Z286</f>
        <v/>
      </c>
      <c r="AY286" s="67" t="str">
        <f t="shared" si="300"/>
        <v/>
      </c>
      <c r="AZ286" s="67" t="str">
        <f t="shared" si="300"/>
        <v/>
      </c>
      <c r="BA286" s="67" t="str">
        <f t="shared" si="300"/>
        <v/>
      </c>
      <c r="BB286" s="398" t="str">
        <f t="shared" si="300"/>
        <v/>
      </c>
      <c r="BC286" s="358" t="str">
        <f t="shared" si="300"/>
        <v/>
      </c>
      <c r="BD286" s="187" t="str">
        <f t="shared" si="300"/>
        <v/>
      </c>
      <c r="BE286" s="104" t="str">
        <f t="shared" si="300"/>
        <v/>
      </c>
      <c r="BF286" s="389" t="str">
        <f t="shared" si="300"/>
        <v/>
      </c>
      <c r="BG286" s="389" t="str">
        <f t="shared" si="300"/>
        <v>🔵 Chưa có hạn</v>
      </c>
      <c r="BH286" s="67" t="str">
        <f t="shared" si="300"/>
        <v/>
      </c>
      <c r="BI286" s="389" t="str">
        <f t="array" ref="BI286">IF($X286="","",SWITCH($W286,3,IFERROR(INDEX('Lớp 3 - Công việc chính'!$AF$14:$AF$73,MATCH($X286,'Lớp 3 - Công việc chính'!$I$14:$I$73,0)),""),4,IFERROR(INDEX('Lớp 4 - Danh mục'!$AI$14:$AI$132,MATCH($X286,'Lớp 4 - Danh mục'!$I$14:$I$132,0)),""),5,IFERROR(INDEX('Lớp 5 - Phân công'!$AJ$14:$AJ$262,MATCH($X286,'Lớp 5 - Phân công'!$I$14:$I$262,0)),""),6,IFERROR(INDEX('Lớp 6 - Chi tiết'!$AM$14:$AM$267,MATCH($X286,'Lớp 6 - Chi tiết'!$I$14:$I$267,0)),""),""))</f>
        <v/>
      </c>
      <c r="BJ286" s="389" t="str">
        <f t="array" ref="BJ286">IF($X286="","",SWITCH($W286,3,IFERROR(INDEX('Lớp 3 - Công việc chính'!$AR$14:$AR$73,MATCH($X286,'Lớp 3 - Công việc chính'!$I$14:$I$73,0)),""),4,IFERROR(INDEX('Lớp 4 - Danh mục'!$AU$14:$AU$132,MATCH($X286,'Lớp 4 - Danh mục'!$I$14:$I$132,0)),""),5,IFERROR(INDEX('Lớp 5 - Phân công'!$AV$14:$AV$262,MATCH($X286,'Lớp 5 - Phân công'!$I$14:$I$262,0)),""),6,IFERROR(INDEX('Lớp 6 - Chi tiết'!$AY$14:$AY$267,MATCH($X286,'Lớp 6 - Chi tiết'!$I$14:$I$267,0)),""),""))</f>
        <v/>
      </c>
    </row>
    <row r="287" ht="15.75" customHeight="1">
      <c r="A287" s="294" t="str">
        <f t="shared" si="12"/>
        <v/>
      </c>
      <c r="B287" s="301" t="str">
        <f t="shared" si="13"/>
        <v/>
      </c>
      <c r="C287" s="301" t="str">
        <f t="shared" si="14"/>
        <v/>
      </c>
      <c r="D287" s="301" t="str">
        <f t="shared" si="15"/>
        <v/>
      </c>
      <c r="E287" s="301" t="str">
        <f t="shared" si="16"/>
        <v/>
      </c>
      <c r="F287" s="317" t="str">
        <f t="shared" si="17"/>
        <v/>
      </c>
      <c r="G287" s="323" t="str">
        <f t="shared" si="18"/>
        <v/>
      </c>
      <c r="H287" s="327" t="str">
        <f t="shared" si="19"/>
        <v/>
      </c>
      <c r="I287" s="327" t="str">
        <f t="shared" si="20"/>
        <v/>
      </c>
      <c r="J287" s="301" t="str">
        <f t="shared" si="21"/>
        <v/>
      </c>
      <c r="K287" s="301" t="str">
        <f t="shared" si="22"/>
        <v/>
      </c>
      <c r="L287" s="344" t="str">
        <f t="array" ref="L287">IF($T287="","",LET(m,MATCH($T287,$AS$24:$AS$700,0),lvl,INDEX($W$24:$W$700,m),id,INDEX($X$24:$X$700,m),SWITCH(lvl,3,"Lớp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7" s="351" t="str">
        <f t="shared" si="23"/>
        <v/>
      </c>
      <c r="N287" s="356" t="str">
        <f t="shared" si="24"/>
        <v/>
      </c>
      <c r="O287" s="358"/>
      <c r="P287" s="360"/>
      <c r="Q287" s="360"/>
      <c r="R287" s="67"/>
      <c r="S287" s="67"/>
      <c r="T287" s="67"/>
      <c r="U287" s="389" t="str">
        <f>IF('Lớp 5 - Phân công'!I98="","",'Lớp 5 - Phân công'!K98&amp;"|"&amp;'Lớp 5 - Phân công'!J98&amp;"|"&amp;'Lớp 5 - Phân công'!I98)</f>
        <v/>
      </c>
      <c r="V287" s="389" t="str">
        <f>IF('Lớp 5 - Phân công'!I98="","","       ├─ "&amp;'Lớp 5 - Phân công'!Q98)</f>
        <v/>
      </c>
      <c r="W287" s="389" t="str">
        <f>IF('Lớp 5 - Phân công'!I98="","",5)</f>
        <v/>
      </c>
      <c r="X287" s="67" t="str">
        <f>'Lớp 5 - Phân công'!I98</f>
        <v/>
      </c>
      <c r="Y287" s="67" t="str">
        <f>'Lớp 5 - Phân công'!J98</f>
        <v/>
      </c>
      <c r="Z287" s="67" t="str">
        <f>'Lớp 5 - Phân công'!AA98</f>
        <v/>
      </c>
      <c r="AA287" s="67" t="str">
        <f>'Lớp 5 - Phân công'!Z98</f>
        <v/>
      </c>
      <c r="AB287" s="67" t="str">
        <f>'Lớp 5 - Phân công'!AC98</f>
        <v/>
      </c>
      <c r="AC287" s="67" t="str">
        <f>'Lớp 5 - Phân công'!AB98</f>
        <v/>
      </c>
      <c r="AD287" s="398" t="str">
        <f>'Lớp 5 - Phân công'!AG98</f>
        <v/>
      </c>
      <c r="AE287" s="358" t="str">
        <f>'Lớp 5 - Phân công'!AE98</f>
        <v/>
      </c>
      <c r="AF287" s="187" t="str">
        <f>'Lớp 5 - Phân công'!AH98</f>
        <v/>
      </c>
      <c r="AG287" s="104" t="str">
        <f>'Lớp 5 - Phân công'!AI98</f>
        <v/>
      </c>
      <c r="AH287" s="389" t="str">
        <f t="shared" si="27"/>
        <v/>
      </c>
      <c r="AI287" s="389" t="str">
        <f t="shared" si="37"/>
        <v>🔵 Chưa có hạn</v>
      </c>
      <c r="AJ287" s="67" t="str">
        <f>'Lớp 5 - Phân công'!AL98</f>
        <v/>
      </c>
      <c r="AS287" s="389" t="str">
        <f t="shared" si="217"/>
        <v/>
      </c>
      <c r="AT287" s="389" t="str">
        <f t="shared" si="32"/>
        <v/>
      </c>
      <c r="AU287" s="389" t="str">
        <f t="shared" si="33"/>
        <v/>
      </c>
      <c r="AV287" s="389" t="str">
        <f t="shared" si="34"/>
        <v/>
      </c>
      <c r="AW287" s="389" t="str">
        <f t="shared" si="35"/>
        <v/>
      </c>
      <c r="AX287" s="67" t="str">
        <f t="shared" ref="AX287:BH287" si="301">Z287</f>
        <v/>
      </c>
      <c r="AY287" s="67" t="str">
        <f t="shared" si="301"/>
        <v/>
      </c>
      <c r="AZ287" s="67" t="str">
        <f t="shared" si="301"/>
        <v/>
      </c>
      <c r="BA287" s="67" t="str">
        <f t="shared" si="301"/>
        <v/>
      </c>
      <c r="BB287" s="398" t="str">
        <f t="shared" si="301"/>
        <v/>
      </c>
      <c r="BC287" s="358" t="str">
        <f t="shared" si="301"/>
        <v/>
      </c>
      <c r="BD287" s="187" t="str">
        <f t="shared" si="301"/>
        <v/>
      </c>
      <c r="BE287" s="104" t="str">
        <f t="shared" si="301"/>
        <v/>
      </c>
      <c r="BF287" s="389" t="str">
        <f t="shared" si="301"/>
        <v/>
      </c>
      <c r="BG287" s="389" t="str">
        <f t="shared" si="301"/>
        <v>🔵 Chưa có hạn</v>
      </c>
      <c r="BH287" s="67" t="str">
        <f t="shared" si="301"/>
        <v/>
      </c>
      <c r="BI287" s="389" t="str">
        <f t="array" ref="BI287">IF($X287="","",SWITCH($W287,3,IFERROR(INDEX('Lớp 3 - Công việc chính'!$AF$14:$AF$73,MATCH($X287,'Lớp 3 - Công việc chính'!$I$14:$I$73,0)),""),4,IFERROR(INDEX('Lớp 4 - Danh mục'!$AI$14:$AI$132,MATCH($X287,'Lớp 4 - Danh mục'!$I$14:$I$132,0)),""),5,IFERROR(INDEX('Lớp 5 - Phân công'!$AJ$14:$AJ$262,MATCH($X287,'Lớp 5 - Phân công'!$I$14:$I$262,0)),""),6,IFERROR(INDEX('Lớp 6 - Chi tiết'!$AM$14:$AM$267,MATCH($X287,'Lớp 6 - Chi tiết'!$I$14:$I$267,0)),""),""))</f>
        <v/>
      </c>
      <c r="BJ287" s="389" t="str">
        <f t="array" ref="BJ287">IF($X287="","",SWITCH($W287,3,IFERROR(INDEX('Lớp 3 - Công việc chính'!$AR$14:$AR$73,MATCH($X287,'Lớp 3 - Công việc chính'!$I$14:$I$73,0)),""),4,IFERROR(INDEX('Lớp 4 - Danh mục'!$AU$14:$AU$132,MATCH($X287,'Lớp 4 - Danh mục'!$I$14:$I$132,0)),""),5,IFERROR(INDEX('Lớp 5 - Phân công'!$AV$14:$AV$262,MATCH($X287,'Lớp 5 - Phân công'!$I$14:$I$262,0)),""),6,IFERROR(INDEX('Lớp 6 - Chi tiết'!$AY$14:$AY$267,MATCH($X287,'Lớp 6 - Chi tiết'!$I$14:$I$267,0)),""),""))</f>
        <v/>
      </c>
    </row>
    <row r="288" ht="15.75" customHeight="1">
      <c r="A288" s="294" t="str">
        <f t="shared" si="12"/>
        <v/>
      </c>
      <c r="B288" s="301" t="str">
        <f t="shared" si="13"/>
        <v/>
      </c>
      <c r="C288" s="301" t="str">
        <f t="shared" si="14"/>
        <v/>
      </c>
      <c r="D288" s="301" t="str">
        <f t="shared" si="15"/>
        <v/>
      </c>
      <c r="E288" s="301" t="str">
        <f t="shared" si="16"/>
        <v/>
      </c>
      <c r="F288" s="317" t="str">
        <f t="shared" si="17"/>
        <v/>
      </c>
      <c r="G288" s="323" t="str">
        <f t="shared" si="18"/>
        <v/>
      </c>
      <c r="H288" s="327" t="str">
        <f t="shared" si="19"/>
        <v/>
      </c>
      <c r="I288" s="327" t="str">
        <f t="shared" si="20"/>
        <v/>
      </c>
      <c r="J288" s="301" t="str">
        <f t="shared" si="21"/>
        <v/>
      </c>
      <c r="K288" s="301" t="str">
        <f t="shared" si="22"/>
        <v/>
      </c>
      <c r="L288" s="344" t="str">
        <f t="array" ref="L288">IF($T288="","",LET(m,MATCH($T288,$AS$24:$AS$700,0),lvl,INDEX($W$24:$W$700,m),id,INDEX($X$24:$X$700,m),SWITCH(lvl,3,"Lớp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8" s="351" t="str">
        <f t="shared" si="23"/>
        <v/>
      </c>
      <c r="N288" s="356" t="str">
        <f t="shared" si="24"/>
        <v/>
      </c>
      <c r="O288" s="358"/>
      <c r="P288" s="360"/>
      <c r="Q288" s="360"/>
      <c r="R288" s="67"/>
      <c r="S288" s="67"/>
      <c r="T288" s="67"/>
      <c r="U288" s="389" t="str">
        <f>IF('Lớp 5 - Phân công'!I99="","",'Lớp 5 - Phân công'!K99&amp;"|"&amp;'Lớp 5 - Phân công'!J99&amp;"|"&amp;'Lớp 5 - Phân công'!I99)</f>
        <v/>
      </c>
      <c r="V288" s="389" t="str">
        <f>IF('Lớp 5 - Phân công'!I99="","","       ├─ "&amp;'Lớp 5 - Phân công'!Q99)</f>
        <v/>
      </c>
      <c r="W288" s="389" t="str">
        <f>IF('Lớp 5 - Phân công'!I99="","",5)</f>
        <v/>
      </c>
      <c r="X288" s="67" t="str">
        <f>'Lớp 5 - Phân công'!I99</f>
        <v/>
      </c>
      <c r="Y288" s="67" t="str">
        <f>'Lớp 5 - Phân công'!J99</f>
        <v/>
      </c>
      <c r="Z288" s="67" t="str">
        <f>'Lớp 5 - Phân công'!AA99</f>
        <v/>
      </c>
      <c r="AA288" s="67" t="str">
        <f>'Lớp 5 - Phân công'!Z99</f>
        <v/>
      </c>
      <c r="AB288" s="67" t="str">
        <f>'Lớp 5 - Phân công'!AC99</f>
        <v/>
      </c>
      <c r="AC288" s="67" t="str">
        <f>'Lớp 5 - Phân công'!AB99</f>
        <v/>
      </c>
      <c r="AD288" s="398" t="str">
        <f>'Lớp 5 - Phân công'!AG99</f>
        <v/>
      </c>
      <c r="AE288" s="358" t="str">
        <f>'Lớp 5 - Phân công'!AE99</f>
        <v/>
      </c>
      <c r="AF288" s="187" t="str">
        <f>'Lớp 5 - Phân công'!AH99</f>
        <v/>
      </c>
      <c r="AG288" s="104" t="str">
        <f>'Lớp 5 - Phân công'!AI99</f>
        <v/>
      </c>
      <c r="AH288" s="389" t="str">
        <f t="shared" si="27"/>
        <v/>
      </c>
      <c r="AI288" s="389" t="str">
        <f t="shared" si="37"/>
        <v>🔵 Chưa có hạn</v>
      </c>
      <c r="AJ288" s="67" t="str">
        <f>'Lớp 5 - Phân công'!AL99</f>
        <v/>
      </c>
      <c r="AS288" s="389" t="str">
        <f t="shared" si="217"/>
        <v/>
      </c>
      <c r="AT288" s="389" t="str">
        <f t="shared" si="32"/>
        <v/>
      </c>
      <c r="AU288" s="389" t="str">
        <f t="shared" si="33"/>
        <v/>
      </c>
      <c r="AV288" s="389" t="str">
        <f t="shared" si="34"/>
        <v/>
      </c>
      <c r="AW288" s="389" t="str">
        <f t="shared" si="35"/>
        <v/>
      </c>
      <c r="AX288" s="67" t="str">
        <f t="shared" ref="AX288:BH288" si="302">Z288</f>
        <v/>
      </c>
      <c r="AY288" s="67" t="str">
        <f t="shared" si="302"/>
        <v/>
      </c>
      <c r="AZ288" s="67" t="str">
        <f t="shared" si="302"/>
        <v/>
      </c>
      <c r="BA288" s="67" t="str">
        <f t="shared" si="302"/>
        <v/>
      </c>
      <c r="BB288" s="398" t="str">
        <f t="shared" si="302"/>
        <v/>
      </c>
      <c r="BC288" s="358" t="str">
        <f t="shared" si="302"/>
        <v/>
      </c>
      <c r="BD288" s="187" t="str">
        <f t="shared" si="302"/>
        <v/>
      </c>
      <c r="BE288" s="104" t="str">
        <f t="shared" si="302"/>
        <v/>
      </c>
      <c r="BF288" s="389" t="str">
        <f t="shared" si="302"/>
        <v/>
      </c>
      <c r="BG288" s="389" t="str">
        <f t="shared" si="302"/>
        <v>🔵 Chưa có hạn</v>
      </c>
      <c r="BH288" s="67" t="str">
        <f t="shared" si="302"/>
        <v/>
      </c>
      <c r="BI288" s="389" t="str">
        <f t="array" ref="BI288">IF($X288="","",SWITCH($W288,3,IFERROR(INDEX('Lớp 3 - Công việc chính'!$AF$14:$AF$73,MATCH($X288,'Lớp 3 - Công việc chính'!$I$14:$I$73,0)),""),4,IFERROR(INDEX('Lớp 4 - Danh mục'!$AI$14:$AI$132,MATCH($X288,'Lớp 4 - Danh mục'!$I$14:$I$132,0)),""),5,IFERROR(INDEX('Lớp 5 - Phân công'!$AJ$14:$AJ$262,MATCH($X288,'Lớp 5 - Phân công'!$I$14:$I$262,0)),""),6,IFERROR(INDEX('Lớp 6 - Chi tiết'!$AM$14:$AM$267,MATCH($X288,'Lớp 6 - Chi tiết'!$I$14:$I$267,0)),""),""))</f>
        <v/>
      </c>
      <c r="BJ288" s="389" t="str">
        <f t="array" ref="BJ288">IF($X288="","",SWITCH($W288,3,IFERROR(INDEX('Lớp 3 - Công việc chính'!$AR$14:$AR$73,MATCH($X288,'Lớp 3 - Công việc chính'!$I$14:$I$73,0)),""),4,IFERROR(INDEX('Lớp 4 - Danh mục'!$AU$14:$AU$132,MATCH($X288,'Lớp 4 - Danh mục'!$I$14:$I$132,0)),""),5,IFERROR(INDEX('Lớp 5 - Phân công'!$AV$14:$AV$262,MATCH($X288,'Lớp 5 - Phân công'!$I$14:$I$262,0)),""),6,IFERROR(INDEX('Lớp 6 - Chi tiết'!$AY$14:$AY$267,MATCH($X288,'Lớp 6 - Chi tiết'!$I$14:$I$267,0)),""),""))</f>
        <v/>
      </c>
    </row>
    <row r="289" ht="15.75" customHeight="1">
      <c r="A289" s="294" t="str">
        <f t="shared" si="12"/>
        <v/>
      </c>
      <c r="B289" s="301" t="str">
        <f t="shared" si="13"/>
        <v/>
      </c>
      <c r="C289" s="301" t="str">
        <f t="shared" si="14"/>
        <v/>
      </c>
      <c r="D289" s="301" t="str">
        <f t="shared" si="15"/>
        <v/>
      </c>
      <c r="E289" s="301" t="str">
        <f t="shared" si="16"/>
        <v/>
      </c>
      <c r="F289" s="317" t="str">
        <f t="shared" si="17"/>
        <v/>
      </c>
      <c r="G289" s="323" t="str">
        <f t="shared" si="18"/>
        <v/>
      </c>
      <c r="H289" s="327" t="str">
        <f t="shared" si="19"/>
        <v/>
      </c>
      <c r="I289" s="327" t="str">
        <f t="shared" si="20"/>
        <v/>
      </c>
      <c r="J289" s="301" t="str">
        <f t="shared" si="21"/>
        <v/>
      </c>
      <c r="K289" s="301" t="str">
        <f t="shared" si="22"/>
        <v/>
      </c>
      <c r="L289" s="344" t="str">
        <f t="array" ref="L289">IF($T289="","",LET(m,MATCH($T289,$AS$24:$AS$700,0),lvl,INDEX($W$24:$W$700,m),id,INDEX($X$24:$X$700,m),SWITCH(lvl,3,"Lớp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89" s="351" t="str">
        <f t="shared" si="23"/>
        <v/>
      </c>
      <c r="N289" s="356" t="str">
        <f t="shared" si="24"/>
        <v/>
      </c>
      <c r="O289" s="358"/>
      <c r="P289" s="360"/>
      <c r="Q289" s="360"/>
      <c r="R289" s="67"/>
      <c r="S289" s="67"/>
      <c r="T289" s="67"/>
      <c r="U289" s="389" t="str">
        <f>IF('Lớp 5 - Phân công'!I100="","",'Lớp 5 - Phân công'!K100&amp;"|"&amp;'Lớp 5 - Phân công'!J100&amp;"|"&amp;'Lớp 5 - Phân công'!I100)</f>
        <v/>
      </c>
      <c r="V289" s="389" t="str">
        <f>IF('Lớp 5 - Phân công'!I100="","","       ├─ "&amp;'Lớp 5 - Phân công'!Q100)</f>
        <v/>
      </c>
      <c r="W289" s="389" t="str">
        <f>IF('Lớp 5 - Phân công'!I100="","",5)</f>
        <v/>
      </c>
      <c r="X289" s="67" t="str">
        <f>'Lớp 5 - Phân công'!I100</f>
        <v/>
      </c>
      <c r="Y289" s="67" t="str">
        <f>'Lớp 5 - Phân công'!J100</f>
        <v/>
      </c>
      <c r="Z289" s="67" t="str">
        <f>'Lớp 5 - Phân công'!AA100</f>
        <v/>
      </c>
      <c r="AA289" s="67" t="str">
        <f>'Lớp 5 - Phân công'!Z100</f>
        <v/>
      </c>
      <c r="AB289" s="67" t="str">
        <f>'Lớp 5 - Phân công'!AC100</f>
        <v/>
      </c>
      <c r="AC289" s="67" t="str">
        <f>'Lớp 5 - Phân công'!AB100</f>
        <v/>
      </c>
      <c r="AD289" s="398" t="str">
        <f>'Lớp 5 - Phân công'!AG100</f>
        <v/>
      </c>
      <c r="AE289" s="358" t="str">
        <f>'Lớp 5 - Phân công'!AE100</f>
        <v/>
      </c>
      <c r="AF289" s="187" t="str">
        <f>'Lớp 5 - Phân công'!AH100</f>
        <v/>
      </c>
      <c r="AG289" s="104" t="str">
        <f>'Lớp 5 - Phân công'!AI100</f>
        <v/>
      </c>
      <c r="AH289" s="389" t="str">
        <f t="shared" si="27"/>
        <v/>
      </c>
      <c r="AI289" s="389" t="str">
        <f t="shared" si="37"/>
        <v>🔵 Chưa có hạn</v>
      </c>
      <c r="AJ289" s="67" t="str">
        <f>'Lớp 5 - Phân công'!AL100</f>
        <v/>
      </c>
      <c r="AS289" s="389" t="str">
        <f t="shared" si="217"/>
        <v/>
      </c>
      <c r="AT289" s="389" t="str">
        <f t="shared" si="32"/>
        <v/>
      </c>
      <c r="AU289" s="389" t="str">
        <f t="shared" si="33"/>
        <v/>
      </c>
      <c r="AV289" s="389" t="str">
        <f t="shared" si="34"/>
        <v/>
      </c>
      <c r="AW289" s="389" t="str">
        <f t="shared" si="35"/>
        <v/>
      </c>
      <c r="AX289" s="67" t="str">
        <f t="shared" ref="AX289:BH289" si="303">Z289</f>
        <v/>
      </c>
      <c r="AY289" s="67" t="str">
        <f t="shared" si="303"/>
        <v/>
      </c>
      <c r="AZ289" s="67" t="str">
        <f t="shared" si="303"/>
        <v/>
      </c>
      <c r="BA289" s="67" t="str">
        <f t="shared" si="303"/>
        <v/>
      </c>
      <c r="BB289" s="398" t="str">
        <f t="shared" si="303"/>
        <v/>
      </c>
      <c r="BC289" s="358" t="str">
        <f t="shared" si="303"/>
        <v/>
      </c>
      <c r="BD289" s="187" t="str">
        <f t="shared" si="303"/>
        <v/>
      </c>
      <c r="BE289" s="104" t="str">
        <f t="shared" si="303"/>
        <v/>
      </c>
      <c r="BF289" s="389" t="str">
        <f t="shared" si="303"/>
        <v/>
      </c>
      <c r="BG289" s="389" t="str">
        <f t="shared" si="303"/>
        <v>🔵 Chưa có hạn</v>
      </c>
      <c r="BH289" s="67" t="str">
        <f t="shared" si="303"/>
        <v/>
      </c>
      <c r="BI289" s="389" t="str">
        <f t="array" ref="BI289">IF($X289="","",SWITCH($W289,3,IFERROR(INDEX('Lớp 3 - Công việc chính'!$AF$14:$AF$73,MATCH($X289,'Lớp 3 - Công việc chính'!$I$14:$I$73,0)),""),4,IFERROR(INDEX('Lớp 4 - Danh mục'!$AI$14:$AI$132,MATCH($X289,'Lớp 4 - Danh mục'!$I$14:$I$132,0)),""),5,IFERROR(INDEX('Lớp 5 - Phân công'!$AJ$14:$AJ$262,MATCH($X289,'Lớp 5 - Phân công'!$I$14:$I$262,0)),""),6,IFERROR(INDEX('Lớp 6 - Chi tiết'!$AM$14:$AM$267,MATCH($X289,'Lớp 6 - Chi tiết'!$I$14:$I$267,0)),""),""))</f>
        <v/>
      </c>
      <c r="BJ289" s="389" t="str">
        <f t="array" ref="BJ289">IF($X289="","",SWITCH($W289,3,IFERROR(INDEX('Lớp 3 - Công việc chính'!$AR$14:$AR$73,MATCH($X289,'Lớp 3 - Công việc chính'!$I$14:$I$73,0)),""),4,IFERROR(INDEX('Lớp 4 - Danh mục'!$AU$14:$AU$132,MATCH($X289,'Lớp 4 - Danh mục'!$I$14:$I$132,0)),""),5,IFERROR(INDEX('Lớp 5 - Phân công'!$AV$14:$AV$262,MATCH($X289,'Lớp 5 - Phân công'!$I$14:$I$262,0)),""),6,IFERROR(INDEX('Lớp 6 - Chi tiết'!$AY$14:$AY$267,MATCH($X289,'Lớp 6 - Chi tiết'!$I$14:$I$267,0)),""),""))</f>
        <v/>
      </c>
    </row>
    <row r="290" ht="15.75" customHeight="1">
      <c r="A290" s="294" t="str">
        <f t="shared" si="12"/>
        <v/>
      </c>
      <c r="B290" s="301" t="str">
        <f t="shared" si="13"/>
        <v/>
      </c>
      <c r="C290" s="301" t="str">
        <f t="shared" si="14"/>
        <v/>
      </c>
      <c r="D290" s="301" t="str">
        <f t="shared" si="15"/>
        <v/>
      </c>
      <c r="E290" s="301" t="str">
        <f t="shared" si="16"/>
        <v/>
      </c>
      <c r="F290" s="317" t="str">
        <f t="shared" si="17"/>
        <v/>
      </c>
      <c r="G290" s="323" t="str">
        <f t="shared" si="18"/>
        <v/>
      </c>
      <c r="H290" s="327" t="str">
        <f t="shared" si="19"/>
        <v/>
      </c>
      <c r="I290" s="327" t="str">
        <f t="shared" si="20"/>
        <v/>
      </c>
      <c r="J290" s="301" t="str">
        <f t="shared" si="21"/>
        <v/>
      </c>
      <c r="K290" s="301" t="str">
        <f t="shared" si="22"/>
        <v/>
      </c>
      <c r="L290" s="344" t="str">
        <f t="array" ref="L290">IF($T290="","",LET(m,MATCH($T290,$AS$24:$AS$700,0),lvl,INDEX($W$24:$W$700,m),id,INDEX($X$24:$X$700,m),SWITCH(lvl,3,"Lớp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0" s="351" t="str">
        <f t="shared" si="23"/>
        <v/>
      </c>
      <c r="N290" s="356" t="str">
        <f t="shared" si="24"/>
        <v/>
      </c>
      <c r="O290" s="358"/>
      <c r="P290" s="360"/>
      <c r="Q290" s="360"/>
      <c r="R290" s="67"/>
      <c r="S290" s="67"/>
      <c r="T290" s="67"/>
      <c r="U290" s="389" t="str">
        <f>IF('Lớp 5 - Phân công'!I101="","",'Lớp 5 - Phân công'!K101&amp;"|"&amp;'Lớp 5 - Phân công'!J101&amp;"|"&amp;'Lớp 5 - Phân công'!I101)</f>
        <v/>
      </c>
      <c r="V290" s="389" t="str">
        <f>IF('Lớp 5 - Phân công'!I101="","","       ├─ "&amp;'Lớp 5 - Phân công'!Q101)</f>
        <v/>
      </c>
      <c r="W290" s="389" t="str">
        <f>IF('Lớp 5 - Phân công'!I101="","",5)</f>
        <v/>
      </c>
      <c r="X290" s="67" t="str">
        <f>'Lớp 5 - Phân công'!I101</f>
        <v/>
      </c>
      <c r="Y290" s="67" t="str">
        <f>'Lớp 5 - Phân công'!J101</f>
        <v/>
      </c>
      <c r="Z290" s="67" t="str">
        <f>'Lớp 5 - Phân công'!AA101</f>
        <v/>
      </c>
      <c r="AA290" s="67" t="str">
        <f>'Lớp 5 - Phân công'!Z101</f>
        <v/>
      </c>
      <c r="AB290" s="67" t="str">
        <f>'Lớp 5 - Phân công'!AC101</f>
        <v/>
      </c>
      <c r="AC290" s="67" t="str">
        <f>'Lớp 5 - Phân công'!AB101</f>
        <v/>
      </c>
      <c r="AD290" s="398" t="str">
        <f>'Lớp 5 - Phân công'!AG101</f>
        <v/>
      </c>
      <c r="AE290" s="358" t="str">
        <f>'Lớp 5 - Phân công'!AE101</f>
        <v/>
      </c>
      <c r="AF290" s="187" t="str">
        <f>'Lớp 5 - Phân công'!AH101</f>
        <v/>
      </c>
      <c r="AG290" s="104" t="str">
        <f>'Lớp 5 - Phân công'!AI101</f>
        <v/>
      </c>
      <c r="AH290" s="389" t="str">
        <f t="shared" si="27"/>
        <v/>
      </c>
      <c r="AI290" s="389" t="str">
        <f t="shared" si="37"/>
        <v>🔵 Chưa có hạn</v>
      </c>
      <c r="AJ290" s="67" t="str">
        <f>'Lớp 5 - Phân công'!AL101</f>
        <v/>
      </c>
      <c r="AS290" s="389" t="str">
        <f t="shared" si="217"/>
        <v/>
      </c>
      <c r="AT290" s="389" t="str">
        <f t="shared" si="32"/>
        <v/>
      </c>
      <c r="AU290" s="389" t="str">
        <f t="shared" si="33"/>
        <v/>
      </c>
      <c r="AV290" s="389" t="str">
        <f t="shared" si="34"/>
        <v/>
      </c>
      <c r="AW290" s="389" t="str">
        <f t="shared" si="35"/>
        <v/>
      </c>
      <c r="AX290" s="67" t="str">
        <f t="shared" ref="AX290:BH290" si="304">Z290</f>
        <v/>
      </c>
      <c r="AY290" s="67" t="str">
        <f t="shared" si="304"/>
        <v/>
      </c>
      <c r="AZ290" s="67" t="str">
        <f t="shared" si="304"/>
        <v/>
      </c>
      <c r="BA290" s="67" t="str">
        <f t="shared" si="304"/>
        <v/>
      </c>
      <c r="BB290" s="398" t="str">
        <f t="shared" si="304"/>
        <v/>
      </c>
      <c r="BC290" s="358" t="str">
        <f t="shared" si="304"/>
        <v/>
      </c>
      <c r="BD290" s="187" t="str">
        <f t="shared" si="304"/>
        <v/>
      </c>
      <c r="BE290" s="104" t="str">
        <f t="shared" si="304"/>
        <v/>
      </c>
      <c r="BF290" s="389" t="str">
        <f t="shared" si="304"/>
        <v/>
      </c>
      <c r="BG290" s="389" t="str">
        <f t="shared" si="304"/>
        <v>🔵 Chưa có hạn</v>
      </c>
      <c r="BH290" s="67" t="str">
        <f t="shared" si="304"/>
        <v/>
      </c>
      <c r="BI290" s="389" t="str">
        <f t="array" ref="BI290">IF($X290="","",SWITCH($W290,3,IFERROR(INDEX('Lớp 3 - Công việc chính'!$AF$14:$AF$73,MATCH($X290,'Lớp 3 - Công việc chính'!$I$14:$I$73,0)),""),4,IFERROR(INDEX('Lớp 4 - Danh mục'!$AI$14:$AI$132,MATCH($X290,'Lớp 4 - Danh mục'!$I$14:$I$132,0)),""),5,IFERROR(INDEX('Lớp 5 - Phân công'!$AJ$14:$AJ$262,MATCH($X290,'Lớp 5 - Phân công'!$I$14:$I$262,0)),""),6,IFERROR(INDEX('Lớp 6 - Chi tiết'!$AM$14:$AM$267,MATCH($X290,'Lớp 6 - Chi tiết'!$I$14:$I$267,0)),""),""))</f>
        <v/>
      </c>
      <c r="BJ290" s="389" t="str">
        <f t="array" ref="BJ290">IF($X290="","",SWITCH($W290,3,IFERROR(INDEX('Lớp 3 - Công việc chính'!$AR$14:$AR$73,MATCH($X290,'Lớp 3 - Công việc chính'!$I$14:$I$73,0)),""),4,IFERROR(INDEX('Lớp 4 - Danh mục'!$AU$14:$AU$132,MATCH($X290,'Lớp 4 - Danh mục'!$I$14:$I$132,0)),""),5,IFERROR(INDEX('Lớp 5 - Phân công'!$AV$14:$AV$262,MATCH($X290,'Lớp 5 - Phân công'!$I$14:$I$262,0)),""),6,IFERROR(INDEX('Lớp 6 - Chi tiết'!$AY$14:$AY$267,MATCH($X290,'Lớp 6 - Chi tiết'!$I$14:$I$267,0)),""),""))</f>
        <v/>
      </c>
    </row>
    <row r="291" ht="15.75" customHeight="1">
      <c r="A291" s="294" t="str">
        <f t="shared" si="12"/>
        <v/>
      </c>
      <c r="B291" s="301" t="str">
        <f t="shared" si="13"/>
        <v/>
      </c>
      <c r="C291" s="301" t="str">
        <f t="shared" si="14"/>
        <v/>
      </c>
      <c r="D291" s="301" t="str">
        <f t="shared" si="15"/>
        <v/>
      </c>
      <c r="E291" s="301" t="str">
        <f t="shared" si="16"/>
        <v/>
      </c>
      <c r="F291" s="317" t="str">
        <f t="shared" si="17"/>
        <v/>
      </c>
      <c r="G291" s="323" t="str">
        <f t="shared" si="18"/>
        <v/>
      </c>
      <c r="H291" s="327" t="str">
        <f t="shared" si="19"/>
        <v/>
      </c>
      <c r="I291" s="327" t="str">
        <f t="shared" si="20"/>
        <v/>
      </c>
      <c r="J291" s="301" t="str">
        <f t="shared" si="21"/>
        <v/>
      </c>
      <c r="K291" s="301" t="str">
        <f t="shared" si="22"/>
        <v/>
      </c>
      <c r="L291" s="344" t="str">
        <f t="array" ref="L291">IF($T291="","",LET(m,MATCH($T291,$AS$24:$AS$700,0),lvl,INDEX($W$24:$W$700,m),id,INDEX($X$24:$X$700,m),SWITCH(lvl,3,"Lớp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1" s="351" t="str">
        <f t="shared" si="23"/>
        <v/>
      </c>
      <c r="N291" s="356" t="str">
        <f t="shared" si="24"/>
        <v/>
      </c>
      <c r="O291" s="358"/>
      <c r="P291" s="360"/>
      <c r="Q291" s="360"/>
      <c r="R291" s="67"/>
      <c r="S291" s="67"/>
      <c r="T291" s="67"/>
      <c r="U291" s="389" t="str">
        <f>IF('Lớp 5 - Phân công'!I102="","",'Lớp 5 - Phân công'!K102&amp;"|"&amp;'Lớp 5 - Phân công'!J102&amp;"|"&amp;'Lớp 5 - Phân công'!I102)</f>
        <v/>
      </c>
      <c r="V291" s="389" t="str">
        <f>IF('Lớp 5 - Phân công'!I102="","","       ├─ "&amp;'Lớp 5 - Phân công'!Q102)</f>
        <v/>
      </c>
      <c r="W291" s="389" t="str">
        <f>IF('Lớp 5 - Phân công'!I102="","",5)</f>
        <v/>
      </c>
      <c r="X291" s="67" t="str">
        <f>'Lớp 5 - Phân công'!I102</f>
        <v/>
      </c>
      <c r="Y291" s="67" t="str">
        <f>'Lớp 5 - Phân công'!J102</f>
        <v/>
      </c>
      <c r="Z291" s="67" t="str">
        <f>'Lớp 5 - Phân công'!AA102</f>
        <v/>
      </c>
      <c r="AA291" s="67" t="str">
        <f>'Lớp 5 - Phân công'!Z102</f>
        <v/>
      </c>
      <c r="AB291" s="67" t="str">
        <f>'Lớp 5 - Phân công'!AC102</f>
        <v/>
      </c>
      <c r="AC291" s="67" t="str">
        <f>'Lớp 5 - Phân công'!AB102</f>
        <v/>
      </c>
      <c r="AD291" s="398" t="str">
        <f>'Lớp 5 - Phân công'!AG102</f>
        <v/>
      </c>
      <c r="AE291" s="358" t="str">
        <f>'Lớp 5 - Phân công'!AE102</f>
        <v/>
      </c>
      <c r="AF291" s="187" t="str">
        <f>'Lớp 5 - Phân công'!AH102</f>
        <v/>
      </c>
      <c r="AG291" s="104" t="str">
        <f>'Lớp 5 - Phân công'!AI102</f>
        <v/>
      </c>
      <c r="AH291" s="389" t="str">
        <f t="shared" si="27"/>
        <v/>
      </c>
      <c r="AI291" s="389" t="str">
        <f t="shared" si="37"/>
        <v>🔵 Chưa có hạn</v>
      </c>
      <c r="AJ291" s="67" t="str">
        <f>'Lớp 5 - Phân công'!AL102</f>
        <v/>
      </c>
      <c r="AS291" s="389" t="str">
        <f t="shared" si="217"/>
        <v/>
      </c>
      <c r="AT291" s="389" t="str">
        <f t="shared" si="32"/>
        <v/>
      </c>
      <c r="AU291" s="389" t="str">
        <f t="shared" si="33"/>
        <v/>
      </c>
      <c r="AV291" s="389" t="str">
        <f t="shared" si="34"/>
        <v/>
      </c>
      <c r="AW291" s="389" t="str">
        <f t="shared" si="35"/>
        <v/>
      </c>
      <c r="AX291" s="67" t="str">
        <f t="shared" ref="AX291:BH291" si="305">Z291</f>
        <v/>
      </c>
      <c r="AY291" s="67" t="str">
        <f t="shared" si="305"/>
        <v/>
      </c>
      <c r="AZ291" s="67" t="str">
        <f t="shared" si="305"/>
        <v/>
      </c>
      <c r="BA291" s="67" t="str">
        <f t="shared" si="305"/>
        <v/>
      </c>
      <c r="BB291" s="398" t="str">
        <f t="shared" si="305"/>
        <v/>
      </c>
      <c r="BC291" s="358" t="str">
        <f t="shared" si="305"/>
        <v/>
      </c>
      <c r="BD291" s="187" t="str">
        <f t="shared" si="305"/>
        <v/>
      </c>
      <c r="BE291" s="104" t="str">
        <f t="shared" si="305"/>
        <v/>
      </c>
      <c r="BF291" s="389" t="str">
        <f t="shared" si="305"/>
        <v/>
      </c>
      <c r="BG291" s="389" t="str">
        <f t="shared" si="305"/>
        <v>🔵 Chưa có hạn</v>
      </c>
      <c r="BH291" s="67" t="str">
        <f t="shared" si="305"/>
        <v/>
      </c>
      <c r="BI291" s="389" t="str">
        <f t="array" ref="BI291">IF($X291="","",SWITCH($W291,3,IFERROR(INDEX('Lớp 3 - Công việc chính'!$AF$14:$AF$73,MATCH($X291,'Lớp 3 - Công việc chính'!$I$14:$I$73,0)),""),4,IFERROR(INDEX('Lớp 4 - Danh mục'!$AI$14:$AI$132,MATCH($X291,'Lớp 4 - Danh mục'!$I$14:$I$132,0)),""),5,IFERROR(INDEX('Lớp 5 - Phân công'!$AJ$14:$AJ$262,MATCH($X291,'Lớp 5 - Phân công'!$I$14:$I$262,0)),""),6,IFERROR(INDEX('Lớp 6 - Chi tiết'!$AM$14:$AM$267,MATCH($X291,'Lớp 6 - Chi tiết'!$I$14:$I$267,0)),""),""))</f>
        <v/>
      </c>
      <c r="BJ291" s="389" t="str">
        <f t="array" ref="BJ291">IF($X291="","",SWITCH($W291,3,IFERROR(INDEX('Lớp 3 - Công việc chính'!$AR$14:$AR$73,MATCH($X291,'Lớp 3 - Công việc chính'!$I$14:$I$73,0)),""),4,IFERROR(INDEX('Lớp 4 - Danh mục'!$AU$14:$AU$132,MATCH($X291,'Lớp 4 - Danh mục'!$I$14:$I$132,0)),""),5,IFERROR(INDEX('Lớp 5 - Phân công'!$AV$14:$AV$262,MATCH($X291,'Lớp 5 - Phân công'!$I$14:$I$262,0)),""),6,IFERROR(INDEX('Lớp 6 - Chi tiết'!$AY$14:$AY$267,MATCH($X291,'Lớp 6 - Chi tiết'!$I$14:$I$267,0)),""),""))</f>
        <v/>
      </c>
    </row>
    <row r="292" ht="15.75" customHeight="1">
      <c r="A292" s="294" t="str">
        <f t="shared" si="12"/>
        <v/>
      </c>
      <c r="B292" s="301" t="str">
        <f t="shared" si="13"/>
        <v/>
      </c>
      <c r="C292" s="301" t="str">
        <f t="shared" si="14"/>
        <v/>
      </c>
      <c r="D292" s="301" t="str">
        <f t="shared" si="15"/>
        <v/>
      </c>
      <c r="E292" s="301" t="str">
        <f t="shared" si="16"/>
        <v/>
      </c>
      <c r="F292" s="317" t="str">
        <f t="shared" si="17"/>
        <v/>
      </c>
      <c r="G292" s="323" t="str">
        <f t="shared" si="18"/>
        <v/>
      </c>
      <c r="H292" s="327" t="str">
        <f t="shared" si="19"/>
        <v/>
      </c>
      <c r="I292" s="327" t="str">
        <f t="shared" si="20"/>
        <v/>
      </c>
      <c r="J292" s="301" t="str">
        <f t="shared" si="21"/>
        <v/>
      </c>
      <c r="K292" s="301" t="str">
        <f t="shared" si="22"/>
        <v/>
      </c>
      <c r="L292" s="344" t="str">
        <f t="array" ref="L292">IF($T292="","",LET(m,MATCH($T292,$AS$24:$AS$700,0),lvl,INDEX($W$24:$W$700,m),id,INDEX($X$24:$X$700,m),SWITCH(lvl,3,"Lớp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2" s="351" t="str">
        <f t="shared" si="23"/>
        <v/>
      </c>
      <c r="N292" s="356" t="str">
        <f t="shared" si="24"/>
        <v/>
      </c>
      <c r="O292" s="358"/>
      <c r="P292" s="360"/>
      <c r="Q292" s="360"/>
      <c r="R292" s="67"/>
      <c r="S292" s="67"/>
      <c r="T292" s="67"/>
      <c r="U292" s="389" t="str">
        <f>IF('Lớp 5 - Phân công'!I103="","",'Lớp 5 - Phân công'!K103&amp;"|"&amp;'Lớp 5 - Phân công'!J103&amp;"|"&amp;'Lớp 5 - Phân công'!I103)</f>
        <v/>
      </c>
      <c r="V292" s="389" t="str">
        <f>IF('Lớp 5 - Phân công'!I103="","","       ├─ "&amp;'Lớp 5 - Phân công'!Q103)</f>
        <v/>
      </c>
      <c r="W292" s="389" t="str">
        <f>IF('Lớp 5 - Phân công'!I103="","",5)</f>
        <v/>
      </c>
      <c r="X292" s="67" t="str">
        <f>'Lớp 5 - Phân công'!I103</f>
        <v/>
      </c>
      <c r="Y292" s="67" t="str">
        <f>'Lớp 5 - Phân công'!J103</f>
        <v/>
      </c>
      <c r="Z292" s="67" t="str">
        <f>'Lớp 5 - Phân công'!AA103</f>
        <v/>
      </c>
      <c r="AA292" s="67" t="str">
        <f>'Lớp 5 - Phân công'!Z103</f>
        <v/>
      </c>
      <c r="AB292" s="67" t="str">
        <f>'Lớp 5 - Phân công'!AC103</f>
        <v/>
      </c>
      <c r="AC292" s="67" t="str">
        <f>'Lớp 5 - Phân công'!AB103</f>
        <v/>
      </c>
      <c r="AD292" s="398" t="str">
        <f>'Lớp 5 - Phân công'!AG103</f>
        <v/>
      </c>
      <c r="AE292" s="358" t="str">
        <f>'Lớp 5 - Phân công'!AE103</f>
        <v/>
      </c>
      <c r="AF292" s="187" t="str">
        <f>'Lớp 5 - Phân công'!AH103</f>
        <v/>
      </c>
      <c r="AG292" s="104" t="str">
        <f>'Lớp 5 - Phân công'!AI103</f>
        <v/>
      </c>
      <c r="AH292" s="389" t="str">
        <f t="shared" si="27"/>
        <v/>
      </c>
      <c r="AI292" s="389" t="str">
        <f t="shared" si="37"/>
        <v>🔵 Chưa có hạn</v>
      </c>
      <c r="AJ292" s="67" t="str">
        <f>'Lớp 5 - Phân công'!AL103</f>
        <v/>
      </c>
      <c r="AS292" s="389" t="str">
        <f t="shared" si="217"/>
        <v/>
      </c>
      <c r="AT292" s="389" t="str">
        <f t="shared" si="32"/>
        <v/>
      </c>
      <c r="AU292" s="389" t="str">
        <f t="shared" si="33"/>
        <v/>
      </c>
      <c r="AV292" s="389" t="str">
        <f t="shared" si="34"/>
        <v/>
      </c>
      <c r="AW292" s="389" t="str">
        <f t="shared" si="35"/>
        <v/>
      </c>
      <c r="AX292" s="67" t="str">
        <f t="shared" ref="AX292:BH292" si="306">Z292</f>
        <v/>
      </c>
      <c r="AY292" s="67" t="str">
        <f t="shared" si="306"/>
        <v/>
      </c>
      <c r="AZ292" s="67" t="str">
        <f t="shared" si="306"/>
        <v/>
      </c>
      <c r="BA292" s="67" t="str">
        <f t="shared" si="306"/>
        <v/>
      </c>
      <c r="BB292" s="398" t="str">
        <f t="shared" si="306"/>
        <v/>
      </c>
      <c r="BC292" s="358" t="str">
        <f t="shared" si="306"/>
        <v/>
      </c>
      <c r="BD292" s="187" t="str">
        <f t="shared" si="306"/>
        <v/>
      </c>
      <c r="BE292" s="104" t="str">
        <f t="shared" si="306"/>
        <v/>
      </c>
      <c r="BF292" s="389" t="str">
        <f t="shared" si="306"/>
        <v/>
      </c>
      <c r="BG292" s="389" t="str">
        <f t="shared" si="306"/>
        <v>🔵 Chưa có hạn</v>
      </c>
      <c r="BH292" s="67" t="str">
        <f t="shared" si="306"/>
        <v/>
      </c>
      <c r="BI292" s="389" t="str">
        <f t="array" ref="BI292">IF($X292="","",SWITCH($W292,3,IFERROR(INDEX('Lớp 3 - Công việc chính'!$AF$14:$AF$73,MATCH($X292,'Lớp 3 - Công việc chính'!$I$14:$I$73,0)),""),4,IFERROR(INDEX('Lớp 4 - Danh mục'!$AI$14:$AI$132,MATCH($X292,'Lớp 4 - Danh mục'!$I$14:$I$132,0)),""),5,IFERROR(INDEX('Lớp 5 - Phân công'!$AJ$14:$AJ$262,MATCH($X292,'Lớp 5 - Phân công'!$I$14:$I$262,0)),""),6,IFERROR(INDEX('Lớp 6 - Chi tiết'!$AM$14:$AM$267,MATCH($X292,'Lớp 6 - Chi tiết'!$I$14:$I$267,0)),""),""))</f>
        <v/>
      </c>
      <c r="BJ292" s="389" t="str">
        <f t="array" ref="BJ292">IF($X292="","",SWITCH($W292,3,IFERROR(INDEX('Lớp 3 - Công việc chính'!$AR$14:$AR$73,MATCH($X292,'Lớp 3 - Công việc chính'!$I$14:$I$73,0)),""),4,IFERROR(INDEX('Lớp 4 - Danh mục'!$AU$14:$AU$132,MATCH($X292,'Lớp 4 - Danh mục'!$I$14:$I$132,0)),""),5,IFERROR(INDEX('Lớp 5 - Phân công'!$AV$14:$AV$262,MATCH($X292,'Lớp 5 - Phân công'!$I$14:$I$262,0)),""),6,IFERROR(INDEX('Lớp 6 - Chi tiết'!$AY$14:$AY$267,MATCH($X292,'Lớp 6 - Chi tiết'!$I$14:$I$267,0)),""),""))</f>
        <v/>
      </c>
    </row>
    <row r="293" ht="15.75" customHeight="1">
      <c r="A293" s="294" t="str">
        <f t="shared" si="12"/>
        <v/>
      </c>
      <c r="B293" s="301" t="str">
        <f t="shared" si="13"/>
        <v/>
      </c>
      <c r="C293" s="301" t="str">
        <f t="shared" si="14"/>
        <v/>
      </c>
      <c r="D293" s="301" t="str">
        <f t="shared" si="15"/>
        <v/>
      </c>
      <c r="E293" s="301" t="str">
        <f t="shared" si="16"/>
        <v/>
      </c>
      <c r="F293" s="317" t="str">
        <f t="shared" si="17"/>
        <v/>
      </c>
      <c r="G293" s="323" t="str">
        <f t="shared" si="18"/>
        <v/>
      </c>
      <c r="H293" s="327" t="str">
        <f t="shared" si="19"/>
        <v/>
      </c>
      <c r="I293" s="327" t="str">
        <f t="shared" si="20"/>
        <v/>
      </c>
      <c r="J293" s="301" t="str">
        <f t="shared" si="21"/>
        <v/>
      </c>
      <c r="K293" s="301" t="str">
        <f t="shared" si="22"/>
        <v/>
      </c>
      <c r="L293" s="344" t="str">
        <f t="array" ref="L293">IF($T293="","",LET(m,MATCH($T293,$AS$24:$AS$700,0),lvl,INDEX($W$24:$W$700,m),id,INDEX($X$24:$X$700,m),SWITCH(lvl,3,"Lớp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3" s="351" t="str">
        <f t="shared" si="23"/>
        <v/>
      </c>
      <c r="N293" s="356" t="str">
        <f t="shared" si="24"/>
        <v/>
      </c>
      <c r="O293" s="358"/>
      <c r="P293" s="360"/>
      <c r="Q293" s="360"/>
      <c r="R293" s="67"/>
      <c r="S293" s="67"/>
      <c r="T293" s="67"/>
      <c r="U293" s="389" t="str">
        <f>IF('Lớp 5 - Phân công'!I104="","",'Lớp 5 - Phân công'!K104&amp;"|"&amp;'Lớp 5 - Phân công'!J104&amp;"|"&amp;'Lớp 5 - Phân công'!I104)</f>
        <v/>
      </c>
      <c r="V293" s="389" t="str">
        <f>IF('Lớp 5 - Phân công'!I104="","","       ├─ "&amp;'Lớp 5 - Phân công'!Q104)</f>
        <v/>
      </c>
      <c r="W293" s="389" t="str">
        <f>IF('Lớp 5 - Phân công'!I104="","",5)</f>
        <v/>
      </c>
      <c r="X293" s="67" t="str">
        <f>'Lớp 5 - Phân công'!I104</f>
        <v/>
      </c>
      <c r="Y293" s="67" t="str">
        <f>'Lớp 5 - Phân công'!J104</f>
        <v/>
      </c>
      <c r="Z293" s="67" t="str">
        <f>'Lớp 5 - Phân công'!AA104</f>
        <v/>
      </c>
      <c r="AA293" s="67" t="str">
        <f>'Lớp 5 - Phân công'!Z104</f>
        <v/>
      </c>
      <c r="AB293" s="67" t="str">
        <f>'Lớp 5 - Phân công'!AC104</f>
        <v/>
      </c>
      <c r="AC293" s="67" t="str">
        <f>'Lớp 5 - Phân công'!AB104</f>
        <v/>
      </c>
      <c r="AD293" s="398" t="str">
        <f>'Lớp 5 - Phân công'!AG104</f>
        <v/>
      </c>
      <c r="AE293" s="358" t="str">
        <f>'Lớp 5 - Phân công'!AE104</f>
        <v/>
      </c>
      <c r="AF293" s="187" t="str">
        <f>'Lớp 5 - Phân công'!AH104</f>
        <v/>
      </c>
      <c r="AG293" s="104" t="str">
        <f>'Lớp 5 - Phân công'!AI104</f>
        <v/>
      </c>
      <c r="AH293" s="389" t="str">
        <f t="shared" si="27"/>
        <v/>
      </c>
      <c r="AI293" s="389" t="str">
        <f t="shared" si="37"/>
        <v>🔵 Chưa có hạn</v>
      </c>
      <c r="AJ293" s="67" t="str">
        <f>'Lớp 5 - Phân công'!AL104</f>
        <v/>
      </c>
      <c r="AS293" s="389" t="str">
        <f t="shared" si="217"/>
        <v/>
      </c>
      <c r="AT293" s="389" t="str">
        <f t="shared" si="32"/>
        <v/>
      </c>
      <c r="AU293" s="389" t="str">
        <f t="shared" si="33"/>
        <v/>
      </c>
      <c r="AV293" s="389" t="str">
        <f t="shared" si="34"/>
        <v/>
      </c>
      <c r="AW293" s="389" t="str">
        <f t="shared" si="35"/>
        <v/>
      </c>
      <c r="AX293" s="67" t="str">
        <f t="shared" ref="AX293:BH293" si="307">Z293</f>
        <v/>
      </c>
      <c r="AY293" s="67" t="str">
        <f t="shared" si="307"/>
        <v/>
      </c>
      <c r="AZ293" s="67" t="str">
        <f t="shared" si="307"/>
        <v/>
      </c>
      <c r="BA293" s="67" t="str">
        <f t="shared" si="307"/>
        <v/>
      </c>
      <c r="BB293" s="398" t="str">
        <f t="shared" si="307"/>
        <v/>
      </c>
      <c r="BC293" s="358" t="str">
        <f t="shared" si="307"/>
        <v/>
      </c>
      <c r="BD293" s="187" t="str">
        <f t="shared" si="307"/>
        <v/>
      </c>
      <c r="BE293" s="104" t="str">
        <f t="shared" si="307"/>
        <v/>
      </c>
      <c r="BF293" s="389" t="str">
        <f t="shared" si="307"/>
        <v/>
      </c>
      <c r="BG293" s="389" t="str">
        <f t="shared" si="307"/>
        <v>🔵 Chưa có hạn</v>
      </c>
      <c r="BH293" s="67" t="str">
        <f t="shared" si="307"/>
        <v/>
      </c>
      <c r="BI293" s="389" t="str">
        <f t="array" ref="BI293">IF($X293="","",SWITCH($W293,3,IFERROR(INDEX('Lớp 3 - Công việc chính'!$AF$14:$AF$73,MATCH($X293,'Lớp 3 - Công việc chính'!$I$14:$I$73,0)),""),4,IFERROR(INDEX('Lớp 4 - Danh mục'!$AI$14:$AI$132,MATCH($X293,'Lớp 4 - Danh mục'!$I$14:$I$132,0)),""),5,IFERROR(INDEX('Lớp 5 - Phân công'!$AJ$14:$AJ$262,MATCH($X293,'Lớp 5 - Phân công'!$I$14:$I$262,0)),""),6,IFERROR(INDEX('Lớp 6 - Chi tiết'!$AM$14:$AM$267,MATCH($X293,'Lớp 6 - Chi tiết'!$I$14:$I$267,0)),""),""))</f>
        <v/>
      </c>
      <c r="BJ293" s="389" t="str">
        <f t="array" ref="BJ293">IF($X293="","",SWITCH($W293,3,IFERROR(INDEX('Lớp 3 - Công việc chính'!$AR$14:$AR$73,MATCH($X293,'Lớp 3 - Công việc chính'!$I$14:$I$73,0)),""),4,IFERROR(INDEX('Lớp 4 - Danh mục'!$AU$14:$AU$132,MATCH($X293,'Lớp 4 - Danh mục'!$I$14:$I$132,0)),""),5,IFERROR(INDEX('Lớp 5 - Phân công'!$AV$14:$AV$262,MATCH($X293,'Lớp 5 - Phân công'!$I$14:$I$262,0)),""),6,IFERROR(INDEX('Lớp 6 - Chi tiết'!$AY$14:$AY$267,MATCH($X293,'Lớp 6 - Chi tiết'!$I$14:$I$267,0)),""),""))</f>
        <v/>
      </c>
    </row>
    <row r="294" ht="15.75" customHeight="1">
      <c r="A294" s="294" t="str">
        <f t="shared" si="12"/>
        <v/>
      </c>
      <c r="B294" s="301" t="str">
        <f t="shared" si="13"/>
        <v/>
      </c>
      <c r="C294" s="301" t="str">
        <f t="shared" si="14"/>
        <v/>
      </c>
      <c r="D294" s="301" t="str">
        <f t="shared" si="15"/>
        <v/>
      </c>
      <c r="E294" s="301" t="str">
        <f t="shared" si="16"/>
        <v/>
      </c>
      <c r="F294" s="317" t="str">
        <f t="shared" si="17"/>
        <v/>
      </c>
      <c r="G294" s="323" t="str">
        <f t="shared" si="18"/>
        <v/>
      </c>
      <c r="H294" s="327" t="str">
        <f t="shared" si="19"/>
        <v/>
      </c>
      <c r="I294" s="327" t="str">
        <f t="shared" si="20"/>
        <v/>
      </c>
      <c r="J294" s="301" t="str">
        <f t="shared" si="21"/>
        <v/>
      </c>
      <c r="K294" s="301" t="str">
        <f t="shared" si="22"/>
        <v/>
      </c>
      <c r="L294" s="344" t="str">
        <f t="array" ref="L294">IF($T294="","",LET(m,MATCH($T294,$AS$24:$AS$700,0),lvl,INDEX($W$24:$W$700,m),id,INDEX($X$24:$X$700,m),SWITCH(lvl,3,"Lớp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4" s="351" t="str">
        <f t="shared" si="23"/>
        <v/>
      </c>
      <c r="N294" s="356" t="str">
        <f t="shared" si="24"/>
        <v/>
      </c>
      <c r="O294" s="358"/>
      <c r="P294" s="360"/>
      <c r="Q294" s="360"/>
      <c r="R294" s="67"/>
      <c r="S294" s="67"/>
      <c r="T294" s="67"/>
      <c r="U294" s="389" t="str">
        <f>IF('Lớp 5 - Phân công'!I105="","",'Lớp 5 - Phân công'!K105&amp;"|"&amp;'Lớp 5 - Phân công'!J105&amp;"|"&amp;'Lớp 5 - Phân công'!I105)</f>
        <v/>
      </c>
      <c r="V294" s="389" t="str">
        <f>IF('Lớp 5 - Phân công'!I105="","","       ├─ "&amp;'Lớp 5 - Phân công'!Q105)</f>
        <v/>
      </c>
      <c r="W294" s="389" t="str">
        <f>IF('Lớp 5 - Phân công'!I105="","",5)</f>
        <v/>
      </c>
      <c r="X294" s="67" t="str">
        <f>'Lớp 5 - Phân công'!I105</f>
        <v/>
      </c>
      <c r="Y294" s="67" t="str">
        <f>'Lớp 5 - Phân công'!J105</f>
        <v/>
      </c>
      <c r="Z294" s="67" t="str">
        <f>'Lớp 5 - Phân công'!AA105</f>
        <v/>
      </c>
      <c r="AA294" s="67" t="str">
        <f>'Lớp 5 - Phân công'!Z105</f>
        <v/>
      </c>
      <c r="AB294" s="67" t="str">
        <f>'Lớp 5 - Phân công'!AC105</f>
        <v/>
      </c>
      <c r="AC294" s="67" t="str">
        <f>'Lớp 5 - Phân công'!AB105</f>
        <v/>
      </c>
      <c r="AD294" s="398" t="str">
        <f>'Lớp 5 - Phân công'!AG105</f>
        <v/>
      </c>
      <c r="AE294" s="358" t="str">
        <f>'Lớp 5 - Phân công'!AE105</f>
        <v/>
      </c>
      <c r="AF294" s="187" t="str">
        <f>'Lớp 5 - Phân công'!AH105</f>
        <v/>
      </c>
      <c r="AG294" s="104" t="str">
        <f>'Lớp 5 - Phân công'!AI105</f>
        <v/>
      </c>
      <c r="AH294" s="389" t="str">
        <f t="shared" si="27"/>
        <v/>
      </c>
      <c r="AI294" s="389" t="str">
        <f t="shared" si="37"/>
        <v>🔵 Chưa có hạn</v>
      </c>
      <c r="AJ294" s="67" t="str">
        <f>'Lớp 5 - Phân công'!AL105</f>
        <v/>
      </c>
      <c r="AS294" s="389" t="str">
        <f t="shared" si="217"/>
        <v/>
      </c>
      <c r="AT294" s="389" t="str">
        <f t="shared" si="32"/>
        <v/>
      </c>
      <c r="AU294" s="389" t="str">
        <f t="shared" si="33"/>
        <v/>
      </c>
      <c r="AV294" s="389" t="str">
        <f t="shared" si="34"/>
        <v/>
      </c>
      <c r="AW294" s="389" t="str">
        <f t="shared" si="35"/>
        <v/>
      </c>
      <c r="AX294" s="67" t="str">
        <f t="shared" ref="AX294:BH294" si="308">Z294</f>
        <v/>
      </c>
      <c r="AY294" s="67" t="str">
        <f t="shared" si="308"/>
        <v/>
      </c>
      <c r="AZ294" s="67" t="str">
        <f t="shared" si="308"/>
        <v/>
      </c>
      <c r="BA294" s="67" t="str">
        <f t="shared" si="308"/>
        <v/>
      </c>
      <c r="BB294" s="398" t="str">
        <f t="shared" si="308"/>
        <v/>
      </c>
      <c r="BC294" s="358" t="str">
        <f t="shared" si="308"/>
        <v/>
      </c>
      <c r="BD294" s="187" t="str">
        <f t="shared" si="308"/>
        <v/>
      </c>
      <c r="BE294" s="104" t="str">
        <f t="shared" si="308"/>
        <v/>
      </c>
      <c r="BF294" s="389" t="str">
        <f t="shared" si="308"/>
        <v/>
      </c>
      <c r="BG294" s="389" t="str">
        <f t="shared" si="308"/>
        <v>🔵 Chưa có hạn</v>
      </c>
      <c r="BH294" s="67" t="str">
        <f t="shared" si="308"/>
        <v/>
      </c>
      <c r="BI294" s="389" t="str">
        <f t="array" ref="BI294">IF($X294="","",SWITCH($W294,3,IFERROR(INDEX('Lớp 3 - Công việc chính'!$AF$14:$AF$73,MATCH($X294,'Lớp 3 - Công việc chính'!$I$14:$I$73,0)),""),4,IFERROR(INDEX('Lớp 4 - Danh mục'!$AI$14:$AI$132,MATCH($X294,'Lớp 4 - Danh mục'!$I$14:$I$132,0)),""),5,IFERROR(INDEX('Lớp 5 - Phân công'!$AJ$14:$AJ$262,MATCH($X294,'Lớp 5 - Phân công'!$I$14:$I$262,0)),""),6,IFERROR(INDEX('Lớp 6 - Chi tiết'!$AM$14:$AM$267,MATCH($X294,'Lớp 6 - Chi tiết'!$I$14:$I$267,0)),""),""))</f>
        <v/>
      </c>
      <c r="BJ294" s="389" t="str">
        <f t="array" ref="BJ294">IF($X294="","",SWITCH($W294,3,IFERROR(INDEX('Lớp 3 - Công việc chính'!$AR$14:$AR$73,MATCH($X294,'Lớp 3 - Công việc chính'!$I$14:$I$73,0)),""),4,IFERROR(INDEX('Lớp 4 - Danh mục'!$AU$14:$AU$132,MATCH($X294,'Lớp 4 - Danh mục'!$I$14:$I$132,0)),""),5,IFERROR(INDEX('Lớp 5 - Phân công'!$AV$14:$AV$262,MATCH($X294,'Lớp 5 - Phân công'!$I$14:$I$262,0)),""),6,IFERROR(INDEX('Lớp 6 - Chi tiết'!$AY$14:$AY$267,MATCH($X294,'Lớp 6 - Chi tiết'!$I$14:$I$267,0)),""),""))</f>
        <v/>
      </c>
    </row>
    <row r="295" ht="15.75" customHeight="1">
      <c r="A295" s="294" t="str">
        <f t="shared" si="12"/>
        <v/>
      </c>
      <c r="B295" s="301" t="str">
        <f t="shared" si="13"/>
        <v/>
      </c>
      <c r="C295" s="301" t="str">
        <f t="shared" si="14"/>
        <v/>
      </c>
      <c r="D295" s="301" t="str">
        <f t="shared" si="15"/>
        <v/>
      </c>
      <c r="E295" s="301" t="str">
        <f t="shared" si="16"/>
        <v/>
      </c>
      <c r="F295" s="317" t="str">
        <f t="shared" si="17"/>
        <v/>
      </c>
      <c r="G295" s="323" t="str">
        <f t="shared" si="18"/>
        <v/>
      </c>
      <c r="H295" s="327" t="str">
        <f t="shared" si="19"/>
        <v/>
      </c>
      <c r="I295" s="327" t="str">
        <f t="shared" si="20"/>
        <v/>
      </c>
      <c r="J295" s="301" t="str">
        <f t="shared" si="21"/>
        <v/>
      </c>
      <c r="K295" s="301" t="str">
        <f t="shared" si="22"/>
        <v/>
      </c>
      <c r="L295" s="344" t="str">
        <f t="array" ref="L295">IF($T295="","",LET(m,MATCH($T295,$AS$24:$AS$700,0),lvl,INDEX($W$24:$W$700,m),id,INDEX($X$24:$X$700,m),SWITCH(lvl,3,"Lớp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5" s="351" t="str">
        <f t="shared" si="23"/>
        <v/>
      </c>
      <c r="N295" s="356" t="str">
        <f t="shared" si="24"/>
        <v/>
      </c>
      <c r="O295" s="358"/>
      <c r="P295" s="360"/>
      <c r="Q295" s="360"/>
      <c r="R295" s="67"/>
      <c r="S295" s="67"/>
      <c r="T295" s="67"/>
      <c r="U295" s="389" t="str">
        <f>IF('Lớp 5 - Phân công'!I106="","",'Lớp 5 - Phân công'!K106&amp;"|"&amp;'Lớp 5 - Phân công'!J106&amp;"|"&amp;'Lớp 5 - Phân công'!I106)</f>
        <v/>
      </c>
      <c r="V295" s="389" t="str">
        <f>IF('Lớp 5 - Phân công'!I106="","","       ├─ "&amp;'Lớp 5 - Phân công'!Q106)</f>
        <v/>
      </c>
      <c r="W295" s="389" t="str">
        <f>IF('Lớp 5 - Phân công'!I106="","",5)</f>
        <v/>
      </c>
      <c r="X295" s="67" t="str">
        <f>'Lớp 5 - Phân công'!I106</f>
        <v/>
      </c>
      <c r="Y295" s="67" t="str">
        <f>'Lớp 5 - Phân công'!J106</f>
        <v/>
      </c>
      <c r="Z295" s="67" t="str">
        <f>'Lớp 5 - Phân công'!AA106</f>
        <v/>
      </c>
      <c r="AA295" s="67" t="str">
        <f>'Lớp 5 - Phân công'!Z106</f>
        <v/>
      </c>
      <c r="AB295" s="67" t="str">
        <f>'Lớp 5 - Phân công'!AC106</f>
        <v/>
      </c>
      <c r="AC295" s="67" t="str">
        <f>'Lớp 5 - Phân công'!AB106</f>
        <v/>
      </c>
      <c r="AD295" s="398" t="str">
        <f>'Lớp 5 - Phân công'!AG106</f>
        <v/>
      </c>
      <c r="AE295" s="358" t="str">
        <f>'Lớp 5 - Phân công'!AE106</f>
        <v/>
      </c>
      <c r="AF295" s="187" t="str">
        <f>'Lớp 5 - Phân công'!AH106</f>
        <v/>
      </c>
      <c r="AG295" s="104" t="str">
        <f>'Lớp 5 - Phân công'!AI106</f>
        <v/>
      </c>
      <c r="AH295" s="389" t="str">
        <f t="shared" si="27"/>
        <v/>
      </c>
      <c r="AI295" s="389" t="str">
        <f t="shared" si="37"/>
        <v>🔵 Chưa có hạn</v>
      </c>
      <c r="AJ295" s="67" t="str">
        <f>'Lớp 5 - Phân công'!AL106</f>
        <v/>
      </c>
      <c r="AS295" s="389" t="str">
        <f t="shared" si="217"/>
        <v/>
      </c>
      <c r="AT295" s="389" t="str">
        <f t="shared" si="32"/>
        <v/>
      </c>
      <c r="AU295" s="389" t="str">
        <f t="shared" si="33"/>
        <v/>
      </c>
      <c r="AV295" s="389" t="str">
        <f t="shared" si="34"/>
        <v/>
      </c>
      <c r="AW295" s="389" t="str">
        <f t="shared" si="35"/>
        <v/>
      </c>
      <c r="AX295" s="67" t="str">
        <f t="shared" ref="AX295:BH295" si="309">Z295</f>
        <v/>
      </c>
      <c r="AY295" s="67" t="str">
        <f t="shared" si="309"/>
        <v/>
      </c>
      <c r="AZ295" s="67" t="str">
        <f t="shared" si="309"/>
        <v/>
      </c>
      <c r="BA295" s="67" t="str">
        <f t="shared" si="309"/>
        <v/>
      </c>
      <c r="BB295" s="398" t="str">
        <f t="shared" si="309"/>
        <v/>
      </c>
      <c r="BC295" s="358" t="str">
        <f t="shared" si="309"/>
        <v/>
      </c>
      <c r="BD295" s="187" t="str">
        <f t="shared" si="309"/>
        <v/>
      </c>
      <c r="BE295" s="104" t="str">
        <f t="shared" si="309"/>
        <v/>
      </c>
      <c r="BF295" s="389" t="str">
        <f t="shared" si="309"/>
        <v/>
      </c>
      <c r="BG295" s="389" t="str">
        <f t="shared" si="309"/>
        <v>🔵 Chưa có hạn</v>
      </c>
      <c r="BH295" s="67" t="str">
        <f t="shared" si="309"/>
        <v/>
      </c>
      <c r="BI295" s="389" t="str">
        <f t="array" ref="BI295">IF($X295="","",SWITCH($W295,3,IFERROR(INDEX('Lớp 3 - Công việc chính'!$AF$14:$AF$73,MATCH($X295,'Lớp 3 - Công việc chính'!$I$14:$I$73,0)),""),4,IFERROR(INDEX('Lớp 4 - Danh mục'!$AI$14:$AI$132,MATCH($X295,'Lớp 4 - Danh mục'!$I$14:$I$132,0)),""),5,IFERROR(INDEX('Lớp 5 - Phân công'!$AJ$14:$AJ$262,MATCH($X295,'Lớp 5 - Phân công'!$I$14:$I$262,0)),""),6,IFERROR(INDEX('Lớp 6 - Chi tiết'!$AM$14:$AM$267,MATCH($X295,'Lớp 6 - Chi tiết'!$I$14:$I$267,0)),""),""))</f>
        <v/>
      </c>
      <c r="BJ295" s="389" t="str">
        <f t="array" ref="BJ295">IF($X295="","",SWITCH($W295,3,IFERROR(INDEX('Lớp 3 - Công việc chính'!$AR$14:$AR$73,MATCH($X295,'Lớp 3 - Công việc chính'!$I$14:$I$73,0)),""),4,IFERROR(INDEX('Lớp 4 - Danh mục'!$AU$14:$AU$132,MATCH($X295,'Lớp 4 - Danh mục'!$I$14:$I$132,0)),""),5,IFERROR(INDEX('Lớp 5 - Phân công'!$AV$14:$AV$262,MATCH($X295,'Lớp 5 - Phân công'!$I$14:$I$262,0)),""),6,IFERROR(INDEX('Lớp 6 - Chi tiết'!$AY$14:$AY$267,MATCH($X295,'Lớp 6 - Chi tiết'!$I$14:$I$267,0)),""),""))</f>
        <v/>
      </c>
    </row>
    <row r="296" ht="15.75" customHeight="1">
      <c r="A296" s="294" t="str">
        <f t="shared" si="12"/>
        <v/>
      </c>
      <c r="B296" s="301" t="str">
        <f t="shared" si="13"/>
        <v/>
      </c>
      <c r="C296" s="301" t="str">
        <f t="shared" si="14"/>
        <v/>
      </c>
      <c r="D296" s="301" t="str">
        <f t="shared" si="15"/>
        <v/>
      </c>
      <c r="E296" s="301" t="str">
        <f t="shared" si="16"/>
        <v/>
      </c>
      <c r="F296" s="317" t="str">
        <f t="shared" si="17"/>
        <v/>
      </c>
      <c r="G296" s="323" t="str">
        <f t="shared" si="18"/>
        <v/>
      </c>
      <c r="H296" s="327" t="str">
        <f t="shared" si="19"/>
        <v/>
      </c>
      <c r="I296" s="327" t="str">
        <f t="shared" si="20"/>
        <v/>
      </c>
      <c r="J296" s="301" t="str">
        <f t="shared" si="21"/>
        <v/>
      </c>
      <c r="K296" s="301" t="str">
        <f t="shared" si="22"/>
        <v/>
      </c>
      <c r="L296" s="344" t="str">
        <f t="array" ref="L296">IF($T296="","",LET(m,MATCH($T296,$AS$24:$AS$700,0),lvl,INDEX($W$24:$W$700,m),id,INDEX($X$24:$X$700,m),SWITCH(lvl,3,"Lớp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6" s="351" t="str">
        <f t="shared" si="23"/>
        <v/>
      </c>
      <c r="N296" s="356" t="str">
        <f t="shared" si="24"/>
        <v/>
      </c>
      <c r="O296" s="358"/>
      <c r="P296" s="360"/>
      <c r="Q296" s="360"/>
      <c r="R296" s="67"/>
      <c r="S296" s="67"/>
      <c r="T296" s="67"/>
      <c r="U296" s="389" t="str">
        <f>IF('Lớp 5 - Phân công'!I107="","",'Lớp 5 - Phân công'!K107&amp;"|"&amp;'Lớp 5 - Phân công'!J107&amp;"|"&amp;'Lớp 5 - Phân công'!I107)</f>
        <v/>
      </c>
      <c r="V296" s="389" t="str">
        <f>IF('Lớp 5 - Phân công'!I107="","","       ├─ "&amp;'Lớp 5 - Phân công'!Q107)</f>
        <v/>
      </c>
      <c r="W296" s="389" t="str">
        <f>IF('Lớp 5 - Phân công'!I107="","",5)</f>
        <v/>
      </c>
      <c r="X296" s="67" t="str">
        <f>'Lớp 5 - Phân công'!I107</f>
        <v/>
      </c>
      <c r="Y296" s="67" t="str">
        <f>'Lớp 5 - Phân công'!J107</f>
        <v/>
      </c>
      <c r="Z296" s="67" t="str">
        <f>'Lớp 5 - Phân công'!AA107</f>
        <v/>
      </c>
      <c r="AA296" s="67" t="str">
        <f>'Lớp 5 - Phân công'!Z107</f>
        <v/>
      </c>
      <c r="AB296" s="67" t="str">
        <f>'Lớp 5 - Phân công'!AC107</f>
        <v/>
      </c>
      <c r="AC296" s="67" t="str">
        <f>'Lớp 5 - Phân công'!AB107</f>
        <v/>
      </c>
      <c r="AD296" s="398" t="str">
        <f>'Lớp 5 - Phân công'!AG107</f>
        <v/>
      </c>
      <c r="AE296" s="358" t="str">
        <f>'Lớp 5 - Phân công'!AE107</f>
        <v/>
      </c>
      <c r="AF296" s="187" t="str">
        <f>'Lớp 5 - Phân công'!AH107</f>
        <v/>
      </c>
      <c r="AG296" s="104" t="str">
        <f>'Lớp 5 - Phân công'!AI107</f>
        <v/>
      </c>
      <c r="AH296" s="389" t="str">
        <f t="shared" si="27"/>
        <v/>
      </c>
      <c r="AI296" s="389" t="str">
        <f t="shared" si="37"/>
        <v>🔵 Chưa có hạn</v>
      </c>
      <c r="AJ296" s="67" t="str">
        <f>'Lớp 5 - Phân công'!AL107</f>
        <v/>
      </c>
      <c r="AS296" s="389" t="str">
        <f t="shared" si="217"/>
        <v/>
      </c>
      <c r="AT296" s="389" t="str">
        <f t="shared" si="32"/>
        <v/>
      </c>
      <c r="AU296" s="389" t="str">
        <f t="shared" si="33"/>
        <v/>
      </c>
      <c r="AV296" s="389" t="str">
        <f t="shared" si="34"/>
        <v/>
      </c>
      <c r="AW296" s="389" t="str">
        <f t="shared" si="35"/>
        <v/>
      </c>
      <c r="AX296" s="67" t="str">
        <f t="shared" ref="AX296:BH296" si="310">Z296</f>
        <v/>
      </c>
      <c r="AY296" s="67" t="str">
        <f t="shared" si="310"/>
        <v/>
      </c>
      <c r="AZ296" s="67" t="str">
        <f t="shared" si="310"/>
        <v/>
      </c>
      <c r="BA296" s="67" t="str">
        <f t="shared" si="310"/>
        <v/>
      </c>
      <c r="BB296" s="398" t="str">
        <f t="shared" si="310"/>
        <v/>
      </c>
      <c r="BC296" s="358" t="str">
        <f t="shared" si="310"/>
        <v/>
      </c>
      <c r="BD296" s="187" t="str">
        <f t="shared" si="310"/>
        <v/>
      </c>
      <c r="BE296" s="104" t="str">
        <f t="shared" si="310"/>
        <v/>
      </c>
      <c r="BF296" s="389" t="str">
        <f t="shared" si="310"/>
        <v/>
      </c>
      <c r="BG296" s="389" t="str">
        <f t="shared" si="310"/>
        <v>🔵 Chưa có hạn</v>
      </c>
      <c r="BH296" s="67" t="str">
        <f t="shared" si="310"/>
        <v/>
      </c>
      <c r="BI296" s="389" t="str">
        <f t="array" ref="BI296">IF($X296="","",SWITCH($W296,3,IFERROR(INDEX('Lớp 3 - Công việc chính'!$AF$14:$AF$73,MATCH($X296,'Lớp 3 - Công việc chính'!$I$14:$I$73,0)),""),4,IFERROR(INDEX('Lớp 4 - Danh mục'!$AI$14:$AI$132,MATCH($X296,'Lớp 4 - Danh mục'!$I$14:$I$132,0)),""),5,IFERROR(INDEX('Lớp 5 - Phân công'!$AJ$14:$AJ$262,MATCH($X296,'Lớp 5 - Phân công'!$I$14:$I$262,0)),""),6,IFERROR(INDEX('Lớp 6 - Chi tiết'!$AM$14:$AM$267,MATCH($X296,'Lớp 6 - Chi tiết'!$I$14:$I$267,0)),""),""))</f>
        <v/>
      </c>
      <c r="BJ296" s="389" t="str">
        <f t="array" ref="BJ296">IF($X296="","",SWITCH($W296,3,IFERROR(INDEX('Lớp 3 - Công việc chính'!$AR$14:$AR$73,MATCH($X296,'Lớp 3 - Công việc chính'!$I$14:$I$73,0)),""),4,IFERROR(INDEX('Lớp 4 - Danh mục'!$AU$14:$AU$132,MATCH($X296,'Lớp 4 - Danh mục'!$I$14:$I$132,0)),""),5,IFERROR(INDEX('Lớp 5 - Phân công'!$AV$14:$AV$262,MATCH($X296,'Lớp 5 - Phân công'!$I$14:$I$262,0)),""),6,IFERROR(INDEX('Lớp 6 - Chi tiết'!$AY$14:$AY$267,MATCH($X296,'Lớp 6 - Chi tiết'!$I$14:$I$267,0)),""),""))</f>
        <v/>
      </c>
    </row>
    <row r="297" ht="15.75" customHeight="1">
      <c r="A297" s="294" t="str">
        <f t="shared" si="12"/>
        <v/>
      </c>
      <c r="B297" s="301" t="str">
        <f t="shared" si="13"/>
        <v/>
      </c>
      <c r="C297" s="301" t="str">
        <f t="shared" si="14"/>
        <v/>
      </c>
      <c r="D297" s="301" t="str">
        <f t="shared" si="15"/>
        <v/>
      </c>
      <c r="E297" s="301" t="str">
        <f t="shared" si="16"/>
        <v/>
      </c>
      <c r="F297" s="317" t="str">
        <f t="shared" si="17"/>
        <v/>
      </c>
      <c r="G297" s="323" t="str">
        <f t="shared" si="18"/>
        <v/>
      </c>
      <c r="H297" s="327" t="str">
        <f t="shared" si="19"/>
        <v/>
      </c>
      <c r="I297" s="327" t="str">
        <f t="shared" si="20"/>
        <v/>
      </c>
      <c r="J297" s="301" t="str">
        <f t="shared" si="21"/>
        <v/>
      </c>
      <c r="K297" s="301" t="str">
        <f t="shared" si="22"/>
        <v/>
      </c>
      <c r="L297" s="344" t="str">
        <f t="array" ref="L297">IF($T297="","",LET(m,MATCH($T297,$AS$24:$AS$700,0),lvl,INDEX($W$24:$W$700,m),id,INDEX($X$24:$X$700,m),SWITCH(lvl,3,"Lớp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7" s="351" t="str">
        <f t="shared" si="23"/>
        <v/>
      </c>
      <c r="N297" s="356" t="str">
        <f t="shared" si="24"/>
        <v/>
      </c>
      <c r="O297" s="358"/>
      <c r="P297" s="360"/>
      <c r="Q297" s="360"/>
      <c r="R297" s="67"/>
      <c r="S297" s="67"/>
      <c r="T297" s="67"/>
      <c r="U297" s="389" t="str">
        <f>IF('Lớp 5 - Phân công'!I108="","",'Lớp 5 - Phân công'!K108&amp;"|"&amp;'Lớp 5 - Phân công'!J108&amp;"|"&amp;'Lớp 5 - Phân công'!I108)</f>
        <v/>
      </c>
      <c r="V297" s="389" t="str">
        <f>IF('Lớp 5 - Phân công'!I108="","","       ├─ "&amp;'Lớp 5 - Phân công'!Q108)</f>
        <v/>
      </c>
      <c r="W297" s="389" t="str">
        <f>IF('Lớp 5 - Phân công'!I108="","",5)</f>
        <v/>
      </c>
      <c r="X297" s="67" t="str">
        <f>'Lớp 5 - Phân công'!I108</f>
        <v/>
      </c>
      <c r="Y297" s="67" t="str">
        <f>'Lớp 5 - Phân công'!J108</f>
        <v/>
      </c>
      <c r="Z297" s="67" t="str">
        <f>'Lớp 5 - Phân công'!AA108</f>
        <v/>
      </c>
      <c r="AA297" s="67" t="str">
        <f>'Lớp 5 - Phân công'!Z108</f>
        <v/>
      </c>
      <c r="AB297" s="67" t="str">
        <f>'Lớp 5 - Phân công'!AC108</f>
        <v/>
      </c>
      <c r="AC297" s="67" t="str">
        <f>'Lớp 5 - Phân công'!AB108</f>
        <v/>
      </c>
      <c r="AD297" s="398" t="str">
        <f>'Lớp 5 - Phân công'!AG108</f>
        <v/>
      </c>
      <c r="AE297" s="358" t="str">
        <f>'Lớp 5 - Phân công'!AE108</f>
        <v/>
      </c>
      <c r="AF297" s="187" t="str">
        <f>'Lớp 5 - Phân công'!AH108</f>
        <v/>
      </c>
      <c r="AG297" s="104" t="str">
        <f>'Lớp 5 - Phân công'!AI108</f>
        <v/>
      </c>
      <c r="AH297" s="389" t="str">
        <f t="shared" si="27"/>
        <v/>
      </c>
      <c r="AI297" s="389" t="str">
        <f t="shared" si="37"/>
        <v>🔵 Chưa có hạn</v>
      </c>
      <c r="AJ297" s="67" t="str">
        <f>'Lớp 5 - Phân công'!AL108</f>
        <v/>
      </c>
      <c r="AS297" s="389" t="str">
        <f t="shared" si="217"/>
        <v/>
      </c>
      <c r="AT297" s="389" t="str">
        <f t="shared" si="32"/>
        <v/>
      </c>
      <c r="AU297" s="389" t="str">
        <f t="shared" si="33"/>
        <v/>
      </c>
      <c r="AV297" s="389" t="str">
        <f t="shared" si="34"/>
        <v/>
      </c>
      <c r="AW297" s="389" t="str">
        <f t="shared" si="35"/>
        <v/>
      </c>
      <c r="AX297" s="67" t="str">
        <f t="shared" ref="AX297:BH297" si="311">Z297</f>
        <v/>
      </c>
      <c r="AY297" s="67" t="str">
        <f t="shared" si="311"/>
        <v/>
      </c>
      <c r="AZ297" s="67" t="str">
        <f t="shared" si="311"/>
        <v/>
      </c>
      <c r="BA297" s="67" t="str">
        <f t="shared" si="311"/>
        <v/>
      </c>
      <c r="BB297" s="398" t="str">
        <f t="shared" si="311"/>
        <v/>
      </c>
      <c r="BC297" s="358" t="str">
        <f t="shared" si="311"/>
        <v/>
      </c>
      <c r="BD297" s="187" t="str">
        <f t="shared" si="311"/>
        <v/>
      </c>
      <c r="BE297" s="104" t="str">
        <f t="shared" si="311"/>
        <v/>
      </c>
      <c r="BF297" s="389" t="str">
        <f t="shared" si="311"/>
        <v/>
      </c>
      <c r="BG297" s="389" t="str">
        <f t="shared" si="311"/>
        <v>🔵 Chưa có hạn</v>
      </c>
      <c r="BH297" s="67" t="str">
        <f t="shared" si="311"/>
        <v/>
      </c>
      <c r="BI297" s="389" t="str">
        <f t="array" ref="BI297">IF($X297="","",SWITCH($W297,3,IFERROR(INDEX('Lớp 3 - Công việc chính'!$AF$14:$AF$73,MATCH($X297,'Lớp 3 - Công việc chính'!$I$14:$I$73,0)),""),4,IFERROR(INDEX('Lớp 4 - Danh mục'!$AI$14:$AI$132,MATCH($X297,'Lớp 4 - Danh mục'!$I$14:$I$132,0)),""),5,IFERROR(INDEX('Lớp 5 - Phân công'!$AJ$14:$AJ$262,MATCH($X297,'Lớp 5 - Phân công'!$I$14:$I$262,0)),""),6,IFERROR(INDEX('Lớp 6 - Chi tiết'!$AM$14:$AM$267,MATCH($X297,'Lớp 6 - Chi tiết'!$I$14:$I$267,0)),""),""))</f>
        <v/>
      </c>
      <c r="BJ297" s="389" t="str">
        <f t="array" ref="BJ297">IF($X297="","",SWITCH($W297,3,IFERROR(INDEX('Lớp 3 - Công việc chính'!$AR$14:$AR$73,MATCH($X297,'Lớp 3 - Công việc chính'!$I$14:$I$73,0)),""),4,IFERROR(INDEX('Lớp 4 - Danh mục'!$AU$14:$AU$132,MATCH($X297,'Lớp 4 - Danh mục'!$I$14:$I$132,0)),""),5,IFERROR(INDEX('Lớp 5 - Phân công'!$AV$14:$AV$262,MATCH($X297,'Lớp 5 - Phân công'!$I$14:$I$262,0)),""),6,IFERROR(INDEX('Lớp 6 - Chi tiết'!$AY$14:$AY$267,MATCH($X297,'Lớp 6 - Chi tiết'!$I$14:$I$267,0)),""),""))</f>
        <v/>
      </c>
    </row>
    <row r="298" ht="15.75" customHeight="1">
      <c r="A298" s="294" t="str">
        <f t="shared" si="12"/>
        <v/>
      </c>
      <c r="B298" s="301" t="str">
        <f t="shared" si="13"/>
        <v/>
      </c>
      <c r="C298" s="301" t="str">
        <f t="shared" si="14"/>
        <v/>
      </c>
      <c r="D298" s="301" t="str">
        <f t="shared" si="15"/>
        <v/>
      </c>
      <c r="E298" s="301" t="str">
        <f t="shared" si="16"/>
        <v/>
      </c>
      <c r="F298" s="317" t="str">
        <f t="shared" si="17"/>
        <v/>
      </c>
      <c r="G298" s="323" t="str">
        <f t="shared" si="18"/>
        <v/>
      </c>
      <c r="H298" s="327" t="str">
        <f t="shared" si="19"/>
        <v/>
      </c>
      <c r="I298" s="327" t="str">
        <f t="shared" si="20"/>
        <v/>
      </c>
      <c r="J298" s="301" t="str">
        <f t="shared" si="21"/>
        <v/>
      </c>
      <c r="K298" s="301" t="str">
        <f t="shared" si="22"/>
        <v/>
      </c>
      <c r="L298" s="344" t="str">
        <f t="array" ref="L298">IF($T298="","",LET(m,MATCH($T298,$AS$24:$AS$700,0),lvl,INDEX($W$24:$W$700,m),id,INDEX($X$24:$X$700,m),SWITCH(lvl,3,"Lớp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8" s="351" t="str">
        <f t="shared" si="23"/>
        <v/>
      </c>
      <c r="N298" s="356" t="str">
        <f t="shared" si="24"/>
        <v/>
      </c>
      <c r="O298" s="358"/>
      <c r="P298" s="360"/>
      <c r="Q298" s="360"/>
      <c r="R298" s="67"/>
      <c r="S298" s="67"/>
      <c r="T298" s="67"/>
      <c r="U298" s="389" t="str">
        <f>IF('Lớp 5 - Phân công'!I109="","",'Lớp 5 - Phân công'!K109&amp;"|"&amp;'Lớp 5 - Phân công'!J109&amp;"|"&amp;'Lớp 5 - Phân công'!I109)</f>
        <v/>
      </c>
      <c r="V298" s="389" t="str">
        <f>IF('Lớp 5 - Phân công'!I109="","","       ├─ "&amp;'Lớp 5 - Phân công'!Q109)</f>
        <v/>
      </c>
      <c r="W298" s="389" t="str">
        <f>IF('Lớp 5 - Phân công'!I109="","",5)</f>
        <v/>
      </c>
      <c r="X298" s="67" t="str">
        <f>'Lớp 5 - Phân công'!I109</f>
        <v/>
      </c>
      <c r="Y298" s="67" t="str">
        <f>'Lớp 5 - Phân công'!J109</f>
        <v/>
      </c>
      <c r="Z298" s="67" t="str">
        <f>'Lớp 5 - Phân công'!AA109</f>
        <v/>
      </c>
      <c r="AA298" s="67" t="str">
        <f>'Lớp 5 - Phân công'!Z109</f>
        <v/>
      </c>
      <c r="AB298" s="67" t="str">
        <f>'Lớp 5 - Phân công'!AC109</f>
        <v/>
      </c>
      <c r="AC298" s="67" t="str">
        <f>'Lớp 5 - Phân công'!AB109</f>
        <v/>
      </c>
      <c r="AD298" s="398" t="str">
        <f>'Lớp 5 - Phân công'!AG109</f>
        <v/>
      </c>
      <c r="AE298" s="358" t="str">
        <f>'Lớp 5 - Phân công'!AE109</f>
        <v/>
      </c>
      <c r="AF298" s="187" t="str">
        <f>'Lớp 5 - Phân công'!AH109</f>
        <v/>
      </c>
      <c r="AG298" s="104" t="str">
        <f>'Lớp 5 - Phân công'!AI109</f>
        <v/>
      </c>
      <c r="AH298" s="389" t="str">
        <f t="shared" si="27"/>
        <v/>
      </c>
      <c r="AI298" s="389" t="str">
        <f t="shared" si="37"/>
        <v>🔵 Chưa có hạn</v>
      </c>
      <c r="AJ298" s="67" t="str">
        <f>'Lớp 5 - Phân công'!AL109</f>
        <v/>
      </c>
      <c r="AS298" s="389" t="str">
        <f t="shared" si="217"/>
        <v/>
      </c>
      <c r="AT298" s="389" t="str">
        <f t="shared" si="32"/>
        <v/>
      </c>
      <c r="AU298" s="389" t="str">
        <f t="shared" si="33"/>
        <v/>
      </c>
      <c r="AV298" s="389" t="str">
        <f t="shared" si="34"/>
        <v/>
      </c>
      <c r="AW298" s="389" t="str">
        <f t="shared" si="35"/>
        <v/>
      </c>
      <c r="AX298" s="67" t="str">
        <f t="shared" ref="AX298:BH298" si="312">Z298</f>
        <v/>
      </c>
      <c r="AY298" s="67" t="str">
        <f t="shared" si="312"/>
        <v/>
      </c>
      <c r="AZ298" s="67" t="str">
        <f t="shared" si="312"/>
        <v/>
      </c>
      <c r="BA298" s="67" t="str">
        <f t="shared" si="312"/>
        <v/>
      </c>
      <c r="BB298" s="398" t="str">
        <f t="shared" si="312"/>
        <v/>
      </c>
      <c r="BC298" s="358" t="str">
        <f t="shared" si="312"/>
        <v/>
      </c>
      <c r="BD298" s="187" t="str">
        <f t="shared" si="312"/>
        <v/>
      </c>
      <c r="BE298" s="104" t="str">
        <f t="shared" si="312"/>
        <v/>
      </c>
      <c r="BF298" s="389" t="str">
        <f t="shared" si="312"/>
        <v/>
      </c>
      <c r="BG298" s="389" t="str">
        <f t="shared" si="312"/>
        <v>🔵 Chưa có hạn</v>
      </c>
      <c r="BH298" s="67" t="str">
        <f t="shared" si="312"/>
        <v/>
      </c>
      <c r="BI298" s="389" t="str">
        <f t="array" ref="BI298">IF($X298="","",SWITCH($W298,3,IFERROR(INDEX('Lớp 3 - Công việc chính'!$AF$14:$AF$73,MATCH($X298,'Lớp 3 - Công việc chính'!$I$14:$I$73,0)),""),4,IFERROR(INDEX('Lớp 4 - Danh mục'!$AI$14:$AI$132,MATCH($X298,'Lớp 4 - Danh mục'!$I$14:$I$132,0)),""),5,IFERROR(INDEX('Lớp 5 - Phân công'!$AJ$14:$AJ$262,MATCH($X298,'Lớp 5 - Phân công'!$I$14:$I$262,0)),""),6,IFERROR(INDEX('Lớp 6 - Chi tiết'!$AM$14:$AM$267,MATCH($X298,'Lớp 6 - Chi tiết'!$I$14:$I$267,0)),""),""))</f>
        <v/>
      </c>
      <c r="BJ298" s="389" t="str">
        <f t="array" ref="BJ298">IF($X298="","",SWITCH($W298,3,IFERROR(INDEX('Lớp 3 - Công việc chính'!$AR$14:$AR$73,MATCH($X298,'Lớp 3 - Công việc chính'!$I$14:$I$73,0)),""),4,IFERROR(INDEX('Lớp 4 - Danh mục'!$AU$14:$AU$132,MATCH($X298,'Lớp 4 - Danh mục'!$I$14:$I$132,0)),""),5,IFERROR(INDEX('Lớp 5 - Phân công'!$AV$14:$AV$262,MATCH($X298,'Lớp 5 - Phân công'!$I$14:$I$262,0)),""),6,IFERROR(INDEX('Lớp 6 - Chi tiết'!$AY$14:$AY$267,MATCH($X298,'Lớp 6 - Chi tiết'!$I$14:$I$267,0)),""),""))</f>
        <v/>
      </c>
    </row>
    <row r="299" ht="15.75" customHeight="1">
      <c r="A299" s="294" t="str">
        <f t="shared" si="12"/>
        <v/>
      </c>
      <c r="B299" s="301" t="str">
        <f t="shared" si="13"/>
        <v/>
      </c>
      <c r="C299" s="301" t="str">
        <f t="shared" si="14"/>
        <v/>
      </c>
      <c r="D299" s="301" t="str">
        <f t="shared" si="15"/>
        <v/>
      </c>
      <c r="E299" s="301" t="str">
        <f t="shared" si="16"/>
        <v/>
      </c>
      <c r="F299" s="317" t="str">
        <f t="shared" si="17"/>
        <v/>
      </c>
      <c r="G299" s="323" t="str">
        <f t="shared" si="18"/>
        <v/>
      </c>
      <c r="H299" s="327" t="str">
        <f t="shared" si="19"/>
        <v/>
      </c>
      <c r="I299" s="327" t="str">
        <f t="shared" si="20"/>
        <v/>
      </c>
      <c r="J299" s="301" t="str">
        <f t="shared" si="21"/>
        <v/>
      </c>
      <c r="K299" s="301" t="str">
        <f t="shared" si="22"/>
        <v/>
      </c>
      <c r="L299" s="344" t="str">
        <f t="array" ref="L299">IF($T299="","",LET(m,MATCH($T299,$AS$24:$AS$700,0),lvl,INDEX($W$24:$W$700,m),id,INDEX($X$24:$X$700,m),SWITCH(lvl,3,"Lớp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299" s="351" t="str">
        <f t="shared" si="23"/>
        <v/>
      </c>
      <c r="N299" s="356" t="str">
        <f t="shared" si="24"/>
        <v/>
      </c>
      <c r="O299" s="358"/>
      <c r="P299" s="360"/>
      <c r="Q299" s="360"/>
      <c r="R299" s="67"/>
      <c r="S299" s="67"/>
      <c r="T299" s="67"/>
      <c r="U299" s="389" t="str">
        <f>IF('Lớp 5 - Phân công'!I110="","",'Lớp 5 - Phân công'!K110&amp;"|"&amp;'Lớp 5 - Phân công'!J110&amp;"|"&amp;'Lớp 5 - Phân công'!I110)</f>
        <v/>
      </c>
      <c r="V299" s="389" t="str">
        <f>IF('Lớp 5 - Phân công'!I110="","","       ├─ "&amp;'Lớp 5 - Phân công'!Q110)</f>
        <v/>
      </c>
      <c r="W299" s="389" t="str">
        <f>IF('Lớp 5 - Phân công'!I110="","",5)</f>
        <v/>
      </c>
      <c r="X299" s="67" t="str">
        <f>'Lớp 5 - Phân công'!I110</f>
        <v/>
      </c>
      <c r="Y299" s="67" t="str">
        <f>'Lớp 5 - Phân công'!J110</f>
        <v/>
      </c>
      <c r="Z299" s="67" t="str">
        <f>'Lớp 5 - Phân công'!AA110</f>
        <v/>
      </c>
      <c r="AA299" s="67" t="str">
        <f>'Lớp 5 - Phân công'!Z110</f>
        <v/>
      </c>
      <c r="AB299" s="67" t="str">
        <f>'Lớp 5 - Phân công'!AC110</f>
        <v/>
      </c>
      <c r="AC299" s="67" t="str">
        <f>'Lớp 5 - Phân công'!AB110</f>
        <v/>
      </c>
      <c r="AD299" s="398" t="str">
        <f>'Lớp 5 - Phân công'!AG110</f>
        <v/>
      </c>
      <c r="AE299" s="358" t="str">
        <f>'Lớp 5 - Phân công'!AE110</f>
        <v/>
      </c>
      <c r="AF299" s="187" t="str">
        <f>'Lớp 5 - Phân công'!AH110</f>
        <v/>
      </c>
      <c r="AG299" s="104" t="str">
        <f>'Lớp 5 - Phân công'!AI110</f>
        <v/>
      </c>
      <c r="AH299" s="389" t="str">
        <f t="shared" si="27"/>
        <v/>
      </c>
      <c r="AI299" s="389" t="str">
        <f t="shared" si="37"/>
        <v>🔵 Chưa có hạn</v>
      </c>
      <c r="AJ299" s="67" t="str">
        <f>'Lớp 5 - Phân công'!AL110</f>
        <v/>
      </c>
      <c r="AS299" s="389" t="str">
        <f t="shared" si="217"/>
        <v/>
      </c>
      <c r="AT299" s="389" t="str">
        <f t="shared" si="32"/>
        <v/>
      </c>
      <c r="AU299" s="389" t="str">
        <f t="shared" si="33"/>
        <v/>
      </c>
      <c r="AV299" s="389" t="str">
        <f t="shared" si="34"/>
        <v/>
      </c>
      <c r="AW299" s="389" t="str">
        <f t="shared" si="35"/>
        <v/>
      </c>
      <c r="AX299" s="67" t="str">
        <f t="shared" ref="AX299:BH299" si="313">Z299</f>
        <v/>
      </c>
      <c r="AY299" s="67" t="str">
        <f t="shared" si="313"/>
        <v/>
      </c>
      <c r="AZ299" s="67" t="str">
        <f t="shared" si="313"/>
        <v/>
      </c>
      <c r="BA299" s="67" t="str">
        <f t="shared" si="313"/>
        <v/>
      </c>
      <c r="BB299" s="398" t="str">
        <f t="shared" si="313"/>
        <v/>
      </c>
      <c r="BC299" s="358" t="str">
        <f t="shared" si="313"/>
        <v/>
      </c>
      <c r="BD299" s="187" t="str">
        <f t="shared" si="313"/>
        <v/>
      </c>
      <c r="BE299" s="104" t="str">
        <f t="shared" si="313"/>
        <v/>
      </c>
      <c r="BF299" s="389" t="str">
        <f t="shared" si="313"/>
        <v/>
      </c>
      <c r="BG299" s="389" t="str">
        <f t="shared" si="313"/>
        <v>🔵 Chưa có hạn</v>
      </c>
      <c r="BH299" s="67" t="str">
        <f t="shared" si="313"/>
        <v/>
      </c>
      <c r="BI299" s="389" t="str">
        <f t="array" ref="BI299">IF($X299="","",SWITCH($W299,3,IFERROR(INDEX('Lớp 3 - Công việc chính'!$AF$14:$AF$73,MATCH($X299,'Lớp 3 - Công việc chính'!$I$14:$I$73,0)),""),4,IFERROR(INDEX('Lớp 4 - Danh mục'!$AI$14:$AI$132,MATCH($X299,'Lớp 4 - Danh mục'!$I$14:$I$132,0)),""),5,IFERROR(INDEX('Lớp 5 - Phân công'!$AJ$14:$AJ$262,MATCH($X299,'Lớp 5 - Phân công'!$I$14:$I$262,0)),""),6,IFERROR(INDEX('Lớp 6 - Chi tiết'!$AM$14:$AM$267,MATCH($X299,'Lớp 6 - Chi tiết'!$I$14:$I$267,0)),""),""))</f>
        <v/>
      </c>
      <c r="BJ299" s="389" t="str">
        <f t="array" ref="BJ299">IF($X299="","",SWITCH($W299,3,IFERROR(INDEX('Lớp 3 - Công việc chính'!$AR$14:$AR$73,MATCH($X299,'Lớp 3 - Công việc chính'!$I$14:$I$73,0)),""),4,IFERROR(INDEX('Lớp 4 - Danh mục'!$AU$14:$AU$132,MATCH($X299,'Lớp 4 - Danh mục'!$I$14:$I$132,0)),""),5,IFERROR(INDEX('Lớp 5 - Phân công'!$AV$14:$AV$262,MATCH($X299,'Lớp 5 - Phân công'!$I$14:$I$262,0)),""),6,IFERROR(INDEX('Lớp 6 - Chi tiết'!$AY$14:$AY$267,MATCH($X299,'Lớp 6 - Chi tiết'!$I$14:$I$267,0)),""),""))</f>
        <v/>
      </c>
    </row>
    <row r="300" ht="15.75" customHeight="1">
      <c r="A300" s="294" t="str">
        <f t="shared" si="12"/>
        <v/>
      </c>
      <c r="B300" s="301" t="str">
        <f t="shared" si="13"/>
        <v/>
      </c>
      <c r="C300" s="301" t="str">
        <f t="shared" si="14"/>
        <v/>
      </c>
      <c r="D300" s="301" t="str">
        <f t="shared" si="15"/>
        <v/>
      </c>
      <c r="E300" s="301" t="str">
        <f t="shared" si="16"/>
        <v/>
      </c>
      <c r="F300" s="317" t="str">
        <f t="shared" si="17"/>
        <v/>
      </c>
      <c r="G300" s="323" t="str">
        <f t="shared" si="18"/>
        <v/>
      </c>
      <c r="H300" s="327" t="str">
        <f t="shared" si="19"/>
        <v/>
      </c>
      <c r="I300" s="327" t="str">
        <f t="shared" si="20"/>
        <v/>
      </c>
      <c r="J300" s="301" t="str">
        <f t="shared" si="21"/>
        <v/>
      </c>
      <c r="K300" s="301" t="str">
        <f t="shared" si="22"/>
        <v/>
      </c>
      <c r="L300" s="344" t="str">
        <f t="array" ref="L300">IF($T300="","",LET(m,MATCH($T300,$AS$24:$AS$700,0),lvl,INDEX($W$24:$W$700,m),id,INDEX($X$24:$X$700,m),SWITCH(lvl,3,"Lớp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0" s="351" t="str">
        <f t="shared" si="23"/>
        <v/>
      </c>
      <c r="N300" s="356" t="str">
        <f t="shared" si="24"/>
        <v/>
      </c>
      <c r="O300" s="358"/>
      <c r="P300" s="360"/>
      <c r="Q300" s="360"/>
      <c r="R300" s="67"/>
      <c r="S300" s="67"/>
      <c r="T300" s="67"/>
      <c r="U300" s="389" t="str">
        <f>IF('Lớp 5 - Phân công'!I111="","",'Lớp 5 - Phân công'!K111&amp;"|"&amp;'Lớp 5 - Phân công'!J111&amp;"|"&amp;'Lớp 5 - Phân công'!I111)</f>
        <v/>
      </c>
      <c r="V300" s="389" t="str">
        <f>IF('Lớp 5 - Phân công'!I111="","","       ├─ "&amp;'Lớp 5 - Phân công'!Q111)</f>
        <v/>
      </c>
      <c r="W300" s="389" t="str">
        <f>IF('Lớp 5 - Phân công'!I111="","",5)</f>
        <v/>
      </c>
      <c r="X300" s="67" t="str">
        <f>'Lớp 5 - Phân công'!I111</f>
        <v/>
      </c>
      <c r="Y300" s="67" t="str">
        <f>'Lớp 5 - Phân công'!J111</f>
        <v/>
      </c>
      <c r="Z300" s="67" t="str">
        <f>'Lớp 5 - Phân công'!AA111</f>
        <v/>
      </c>
      <c r="AA300" s="67" t="str">
        <f>'Lớp 5 - Phân công'!Z111</f>
        <v/>
      </c>
      <c r="AB300" s="67" t="str">
        <f>'Lớp 5 - Phân công'!AC111</f>
        <v/>
      </c>
      <c r="AC300" s="67" t="str">
        <f>'Lớp 5 - Phân công'!AB111</f>
        <v/>
      </c>
      <c r="AD300" s="398" t="str">
        <f>'Lớp 5 - Phân công'!AG111</f>
        <v/>
      </c>
      <c r="AE300" s="358" t="str">
        <f>'Lớp 5 - Phân công'!AE111</f>
        <v/>
      </c>
      <c r="AF300" s="187" t="str">
        <f>'Lớp 5 - Phân công'!AH111</f>
        <v/>
      </c>
      <c r="AG300" s="104" t="str">
        <f>'Lớp 5 - Phân công'!AI111</f>
        <v/>
      </c>
      <c r="AH300" s="389" t="str">
        <f t="shared" si="27"/>
        <v/>
      </c>
      <c r="AI300" s="389" t="str">
        <f t="shared" si="37"/>
        <v>🔵 Chưa có hạn</v>
      </c>
      <c r="AJ300" s="67" t="str">
        <f>'Lớp 5 - Phân công'!AL111</f>
        <v/>
      </c>
      <c r="AS300" s="389" t="str">
        <f t="shared" si="217"/>
        <v/>
      </c>
      <c r="AT300" s="389" t="str">
        <f t="shared" si="32"/>
        <v/>
      </c>
      <c r="AU300" s="389" t="str">
        <f t="shared" si="33"/>
        <v/>
      </c>
      <c r="AV300" s="389" t="str">
        <f t="shared" si="34"/>
        <v/>
      </c>
      <c r="AW300" s="389" t="str">
        <f t="shared" si="35"/>
        <v/>
      </c>
      <c r="AX300" s="67" t="str">
        <f t="shared" ref="AX300:BH300" si="314">Z300</f>
        <v/>
      </c>
      <c r="AY300" s="67" t="str">
        <f t="shared" si="314"/>
        <v/>
      </c>
      <c r="AZ300" s="67" t="str">
        <f t="shared" si="314"/>
        <v/>
      </c>
      <c r="BA300" s="67" t="str">
        <f t="shared" si="314"/>
        <v/>
      </c>
      <c r="BB300" s="398" t="str">
        <f t="shared" si="314"/>
        <v/>
      </c>
      <c r="BC300" s="358" t="str">
        <f t="shared" si="314"/>
        <v/>
      </c>
      <c r="BD300" s="187" t="str">
        <f t="shared" si="314"/>
        <v/>
      </c>
      <c r="BE300" s="104" t="str">
        <f t="shared" si="314"/>
        <v/>
      </c>
      <c r="BF300" s="389" t="str">
        <f t="shared" si="314"/>
        <v/>
      </c>
      <c r="BG300" s="389" t="str">
        <f t="shared" si="314"/>
        <v>🔵 Chưa có hạn</v>
      </c>
      <c r="BH300" s="67" t="str">
        <f t="shared" si="314"/>
        <v/>
      </c>
      <c r="BI300" s="389" t="str">
        <f t="array" ref="BI300">IF($X300="","",SWITCH($W300,3,IFERROR(INDEX('Lớp 3 - Công việc chính'!$AF$14:$AF$73,MATCH($X300,'Lớp 3 - Công việc chính'!$I$14:$I$73,0)),""),4,IFERROR(INDEX('Lớp 4 - Danh mục'!$AI$14:$AI$132,MATCH($X300,'Lớp 4 - Danh mục'!$I$14:$I$132,0)),""),5,IFERROR(INDEX('Lớp 5 - Phân công'!$AJ$14:$AJ$262,MATCH($X300,'Lớp 5 - Phân công'!$I$14:$I$262,0)),""),6,IFERROR(INDEX('Lớp 6 - Chi tiết'!$AM$14:$AM$267,MATCH($X300,'Lớp 6 - Chi tiết'!$I$14:$I$267,0)),""),""))</f>
        <v/>
      </c>
      <c r="BJ300" s="389" t="str">
        <f t="array" ref="BJ300">IF($X300="","",SWITCH($W300,3,IFERROR(INDEX('Lớp 3 - Công việc chính'!$AR$14:$AR$73,MATCH($X300,'Lớp 3 - Công việc chính'!$I$14:$I$73,0)),""),4,IFERROR(INDEX('Lớp 4 - Danh mục'!$AU$14:$AU$132,MATCH($X300,'Lớp 4 - Danh mục'!$I$14:$I$132,0)),""),5,IFERROR(INDEX('Lớp 5 - Phân công'!$AV$14:$AV$262,MATCH($X300,'Lớp 5 - Phân công'!$I$14:$I$262,0)),""),6,IFERROR(INDEX('Lớp 6 - Chi tiết'!$AY$14:$AY$267,MATCH($X300,'Lớp 6 - Chi tiết'!$I$14:$I$267,0)),""),""))</f>
        <v/>
      </c>
    </row>
    <row r="301" ht="15.75" customHeight="1">
      <c r="A301" s="294" t="str">
        <f t="shared" si="12"/>
        <v/>
      </c>
      <c r="B301" s="301" t="str">
        <f t="shared" si="13"/>
        <v/>
      </c>
      <c r="C301" s="301" t="str">
        <f t="shared" si="14"/>
        <v/>
      </c>
      <c r="D301" s="301" t="str">
        <f t="shared" si="15"/>
        <v/>
      </c>
      <c r="E301" s="301" t="str">
        <f t="shared" si="16"/>
        <v/>
      </c>
      <c r="F301" s="317" t="str">
        <f t="shared" si="17"/>
        <v/>
      </c>
      <c r="G301" s="323" t="str">
        <f t="shared" si="18"/>
        <v/>
      </c>
      <c r="H301" s="327" t="str">
        <f t="shared" si="19"/>
        <v/>
      </c>
      <c r="I301" s="327" t="str">
        <f t="shared" si="20"/>
        <v/>
      </c>
      <c r="J301" s="301" t="str">
        <f t="shared" si="21"/>
        <v/>
      </c>
      <c r="K301" s="301" t="str">
        <f t="shared" si="22"/>
        <v/>
      </c>
      <c r="L301" s="344" t="str">
        <f t="array" ref="L301">IF($T301="","",LET(m,MATCH($T301,$AS$24:$AS$700,0),lvl,INDEX($W$24:$W$700,m),id,INDEX($X$24:$X$700,m),SWITCH(lvl,3,"Lớp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1" s="351" t="str">
        <f t="shared" si="23"/>
        <v/>
      </c>
      <c r="N301" s="356" t="str">
        <f t="shared" si="24"/>
        <v/>
      </c>
      <c r="O301" s="358"/>
      <c r="P301" s="360"/>
      <c r="Q301" s="360"/>
      <c r="R301" s="67"/>
      <c r="S301" s="67"/>
      <c r="T301" s="67"/>
      <c r="U301" s="389" t="str">
        <f>IF('Lớp 5 - Phân công'!I112="","",'Lớp 5 - Phân công'!K112&amp;"|"&amp;'Lớp 5 - Phân công'!J112&amp;"|"&amp;'Lớp 5 - Phân công'!I112)</f>
        <v/>
      </c>
      <c r="V301" s="389" t="str">
        <f>IF('Lớp 5 - Phân công'!I112="","","       ├─ "&amp;'Lớp 5 - Phân công'!Q112)</f>
        <v/>
      </c>
      <c r="W301" s="389" t="str">
        <f>IF('Lớp 5 - Phân công'!I112="","",5)</f>
        <v/>
      </c>
      <c r="X301" s="67" t="str">
        <f>'Lớp 5 - Phân công'!I112</f>
        <v/>
      </c>
      <c r="Y301" s="67" t="str">
        <f>'Lớp 5 - Phân công'!J112</f>
        <v/>
      </c>
      <c r="Z301" s="67" t="str">
        <f>'Lớp 5 - Phân công'!AA112</f>
        <v/>
      </c>
      <c r="AA301" s="67" t="str">
        <f>'Lớp 5 - Phân công'!Z112</f>
        <v/>
      </c>
      <c r="AB301" s="67" t="str">
        <f>'Lớp 5 - Phân công'!AC112</f>
        <v/>
      </c>
      <c r="AC301" s="67" t="str">
        <f>'Lớp 5 - Phân công'!AB112</f>
        <v/>
      </c>
      <c r="AD301" s="398" t="str">
        <f>'Lớp 5 - Phân công'!AG112</f>
        <v/>
      </c>
      <c r="AE301" s="358" t="str">
        <f>'Lớp 5 - Phân công'!AE112</f>
        <v/>
      </c>
      <c r="AF301" s="187" t="str">
        <f>'Lớp 5 - Phân công'!AH112</f>
        <v/>
      </c>
      <c r="AG301" s="104" t="str">
        <f>'Lớp 5 - Phân công'!AI112</f>
        <v/>
      </c>
      <c r="AH301" s="389" t="str">
        <f t="shared" si="27"/>
        <v/>
      </c>
      <c r="AI301" s="389" t="str">
        <f t="shared" si="37"/>
        <v>🔵 Chưa có hạn</v>
      </c>
      <c r="AJ301" s="67" t="str">
        <f>'Lớp 5 - Phân công'!AL112</f>
        <v/>
      </c>
      <c r="AS301" s="389" t="str">
        <f t="shared" si="217"/>
        <v/>
      </c>
      <c r="AT301" s="389" t="str">
        <f t="shared" si="32"/>
        <v/>
      </c>
      <c r="AU301" s="389" t="str">
        <f t="shared" si="33"/>
        <v/>
      </c>
      <c r="AV301" s="389" t="str">
        <f t="shared" si="34"/>
        <v/>
      </c>
      <c r="AW301" s="389" t="str">
        <f t="shared" si="35"/>
        <v/>
      </c>
      <c r="AX301" s="67" t="str">
        <f t="shared" ref="AX301:BH301" si="315">Z301</f>
        <v/>
      </c>
      <c r="AY301" s="67" t="str">
        <f t="shared" si="315"/>
        <v/>
      </c>
      <c r="AZ301" s="67" t="str">
        <f t="shared" si="315"/>
        <v/>
      </c>
      <c r="BA301" s="67" t="str">
        <f t="shared" si="315"/>
        <v/>
      </c>
      <c r="BB301" s="398" t="str">
        <f t="shared" si="315"/>
        <v/>
      </c>
      <c r="BC301" s="358" t="str">
        <f t="shared" si="315"/>
        <v/>
      </c>
      <c r="BD301" s="187" t="str">
        <f t="shared" si="315"/>
        <v/>
      </c>
      <c r="BE301" s="104" t="str">
        <f t="shared" si="315"/>
        <v/>
      </c>
      <c r="BF301" s="389" t="str">
        <f t="shared" si="315"/>
        <v/>
      </c>
      <c r="BG301" s="389" t="str">
        <f t="shared" si="315"/>
        <v>🔵 Chưa có hạn</v>
      </c>
      <c r="BH301" s="67" t="str">
        <f t="shared" si="315"/>
        <v/>
      </c>
      <c r="BI301" s="389" t="str">
        <f t="array" ref="BI301">IF($X301="","",SWITCH($W301,3,IFERROR(INDEX('Lớp 3 - Công việc chính'!$AF$14:$AF$73,MATCH($X301,'Lớp 3 - Công việc chính'!$I$14:$I$73,0)),""),4,IFERROR(INDEX('Lớp 4 - Danh mục'!$AI$14:$AI$132,MATCH($X301,'Lớp 4 - Danh mục'!$I$14:$I$132,0)),""),5,IFERROR(INDEX('Lớp 5 - Phân công'!$AJ$14:$AJ$262,MATCH($X301,'Lớp 5 - Phân công'!$I$14:$I$262,0)),""),6,IFERROR(INDEX('Lớp 6 - Chi tiết'!$AM$14:$AM$267,MATCH($X301,'Lớp 6 - Chi tiết'!$I$14:$I$267,0)),""),""))</f>
        <v/>
      </c>
      <c r="BJ301" s="389" t="str">
        <f t="array" ref="BJ301">IF($X301="","",SWITCH($W301,3,IFERROR(INDEX('Lớp 3 - Công việc chính'!$AR$14:$AR$73,MATCH($X301,'Lớp 3 - Công việc chính'!$I$14:$I$73,0)),""),4,IFERROR(INDEX('Lớp 4 - Danh mục'!$AU$14:$AU$132,MATCH($X301,'Lớp 4 - Danh mục'!$I$14:$I$132,0)),""),5,IFERROR(INDEX('Lớp 5 - Phân công'!$AV$14:$AV$262,MATCH($X301,'Lớp 5 - Phân công'!$I$14:$I$262,0)),""),6,IFERROR(INDEX('Lớp 6 - Chi tiết'!$AY$14:$AY$267,MATCH($X301,'Lớp 6 - Chi tiết'!$I$14:$I$267,0)),""),""))</f>
        <v/>
      </c>
    </row>
    <row r="302" ht="15.75" customHeight="1">
      <c r="A302" s="294" t="str">
        <f t="shared" si="12"/>
        <v/>
      </c>
      <c r="B302" s="301" t="str">
        <f t="shared" si="13"/>
        <v/>
      </c>
      <c r="C302" s="301" t="str">
        <f t="shared" si="14"/>
        <v/>
      </c>
      <c r="D302" s="301" t="str">
        <f t="shared" si="15"/>
        <v/>
      </c>
      <c r="E302" s="301" t="str">
        <f t="shared" si="16"/>
        <v/>
      </c>
      <c r="F302" s="317" t="str">
        <f t="shared" si="17"/>
        <v/>
      </c>
      <c r="G302" s="323" t="str">
        <f t="shared" si="18"/>
        <v/>
      </c>
      <c r="H302" s="327" t="str">
        <f t="shared" si="19"/>
        <v/>
      </c>
      <c r="I302" s="327" t="str">
        <f t="shared" si="20"/>
        <v/>
      </c>
      <c r="J302" s="301" t="str">
        <f t="shared" si="21"/>
        <v/>
      </c>
      <c r="K302" s="301" t="str">
        <f t="shared" si="22"/>
        <v/>
      </c>
      <c r="L302" s="344" t="str">
        <f t="array" ref="L302">IF($T302="","",LET(m,MATCH($T302,$AS$24:$AS$700,0),lvl,INDEX($W$24:$W$700,m),id,INDEX($X$24:$X$700,m),SWITCH(lvl,3,"Lớp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2" s="351" t="str">
        <f t="shared" si="23"/>
        <v/>
      </c>
      <c r="N302" s="356" t="str">
        <f t="shared" si="24"/>
        <v/>
      </c>
      <c r="O302" s="358"/>
      <c r="P302" s="360"/>
      <c r="Q302" s="360"/>
      <c r="R302" s="67"/>
      <c r="S302" s="67"/>
      <c r="T302" s="67"/>
      <c r="U302" s="389" t="str">
        <f>IF('Lớp 5 - Phân công'!I113="","",'Lớp 5 - Phân công'!K113&amp;"|"&amp;'Lớp 5 - Phân công'!J113&amp;"|"&amp;'Lớp 5 - Phân công'!I113)</f>
        <v/>
      </c>
      <c r="V302" s="389" t="str">
        <f>IF('Lớp 5 - Phân công'!I113="","","       ├─ "&amp;'Lớp 5 - Phân công'!Q113)</f>
        <v/>
      </c>
      <c r="W302" s="389" t="str">
        <f>IF('Lớp 5 - Phân công'!I113="","",5)</f>
        <v/>
      </c>
      <c r="X302" s="67" t="str">
        <f>'Lớp 5 - Phân công'!I113</f>
        <v/>
      </c>
      <c r="Y302" s="67" t="str">
        <f>'Lớp 5 - Phân công'!J113</f>
        <v/>
      </c>
      <c r="Z302" s="67" t="str">
        <f>'Lớp 5 - Phân công'!AA113</f>
        <v/>
      </c>
      <c r="AA302" s="67" t="str">
        <f>'Lớp 5 - Phân công'!Z113</f>
        <v/>
      </c>
      <c r="AB302" s="67" t="str">
        <f>'Lớp 5 - Phân công'!AC113</f>
        <v/>
      </c>
      <c r="AC302" s="67" t="str">
        <f>'Lớp 5 - Phân công'!AB113</f>
        <v/>
      </c>
      <c r="AD302" s="398" t="str">
        <f>'Lớp 5 - Phân công'!AG113</f>
        <v/>
      </c>
      <c r="AE302" s="358" t="str">
        <f>'Lớp 5 - Phân công'!AE113</f>
        <v/>
      </c>
      <c r="AF302" s="187" t="str">
        <f>'Lớp 5 - Phân công'!AH113</f>
        <v/>
      </c>
      <c r="AG302" s="104" t="str">
        <f>'Lớp 5 - Phân công'!AI113</f>
        <v/>
      </c>
      <c r="AH302" s="389" t="str">
        <f t="shared" si="27"/>
        <v/>
      </c>
      <c r="AI302" s="389" t="str">
        <f t="shared" si="37"/>
        <v>🔵 Chưa có hạn</v>
      </c>
      <c r="AJ302" s="67" t="str">
        <f>'Lớp 5 - Phân công'!AL113</f>
        <v/>
      </c>
      <c r="AS302" s="389" t="str">
        <f t="shared" si="217"/>
        <v/>
      </c>
      <c r="AT302" s="389" t="str">
        <f t="shared" si="32"/>
        <v/>
      </c>
      <c r="AU302" s="389" t="str">
        <f t="shared" si="33"/>
        <v/>
      </c>
      <c r="AV302" s="389" t="str">
        <f t="shared" si="34"/>
        <v/>
      </c>
      <c r="AW302" s="389" t="str">
        <f t="shared" si="35"/>
        <v/>
      </c>
      <c r="AX302" s="67" t="str">
        <f t="shared" ref="AX302:BH302" si="316">Z302</f>
        <v/>
      </c>
      <c r="AY302" s="67" t="str">
        <f t="shared" si="316"/>
        <v/>
      </c>
      <c r="AZ302" s="67" t="str">
        <f t="shared" si="316"/>
        <v/>
      </c>
      <c r="BA302" s="67" t="str">
        <f t="shared" si="316"/>
        <v/>
      </c>
      <c r="BB302" s="398" t="str">
        <f t="shared" si="316"/>
        <v/>
      </c>
      <c r="BC302" s="358" t="str">
        <f t="shared" si="316"/>
        <v/>
      </c>
      <c r="BD302" s="187" t="str">
        <f t="shared" si="316"/>
        <v/>
      </c>
      <c r="BE302" s="104" t="str">
        <f t="shared" si="316"/>
        <v/>
      </c>
      <c r="BF302" s="389" t="str">
        <f t="shared" si="316"/>
        <v/>
      </c>
      <c r="BG302" s="389" t="str">
        <f t="shared" si="316"/>
        <v>🔵 Chưa có hạn</v>
      </c>
      <c r="BH302" s="67" t="str">
        <f t="shared" si="316"/>
        <v/>
      </c>
      <c r="BI302" s="389" t="str">
        <f t="array" ref="BI302">IF($X302="","",SWITCH($W302,3,IFERROR(INDEX('Lớp 3 - Công việc chính'!$AF$14:$AF$73,MATCH($X302,'Lớp 3 - Công việc chính'!$I$14:$I$73,0)),""),4,IFERROR(INDEX('Lớp 4 - Danh mục'!$AI$14:$AI$132,MATCH($X302,'Lớp 4 - Danh mục'!$I$14:$I$132,0)),""),5,IFERROR(INDEX('Lớp 5 - Phân công'!$AJ$14:$AJ$262,MATCH($X302,'Lớp 5 - Phân công'!$I$14:$I$262,0)),""),6,IFERROR(INDEX('Lớp 6 - Chi tiết'!$AM$14:$AM$267,MATCH($X302,'Lớp 6 - Chi tiết'!$I$14:$I$267,0)),""),""))</f>
        <v/>
      </c>
      <c r="BJ302" s="389" t="str">
        <f t="array" ref="BJ302">IF($X302="","",SWITCH($W302,3,IFERROR(INDEX('Lớp 3 - Công việc chính'!$AR$14:$AR$73,MATCH($X302,'Lớp 3 - Công việc chính'!$I$14:$I$73,0)),""),4,IFERROR(INDEX('Lớp 4 - Danh mục'!$AU$14:$AU$132,MATCH($X302,'Lớp 4 - Danh mục'!$I$14:$I$132,0)),""),5,IFERROR(INDEX('Lớp 5 - Phân công'!$AV$14:$AV$262,MATCH($X302,'Lớp 5 - Phân công'!$I$14:$I$262,0)),""),6,IFERROR(INDEX('Lớp 6 - Chi tiết'!$AY$14:$AY$267,MATCH($X302,'Lớp 6 - Chi tiết'!$I$14:$I$267,0)),""),""))</f>
        <v/>
      </c>
    </row>
    <row r="303" ht="15.75" customHeight="1">
      <c r="A303" s="294" t="str">
        <f t="shared" si="12"/>
        <v/>
      </c>
      <c r="B303" s="301" t="str">
        <f t="shared" si="13"/>
        <v/>
      </c>
      <c r="C303" s="301" t="str">
        <f t="shared" si="14"/>
        <v/>
      </c>
      <c r="D303" s="301" t="str">
        <f t="shared" si="15"/>
        <v/>
      </c>
      <c r="E303" s="301" t="str">
        <f t="shared" si="16"/>
        <v/>
      </c>
      <c r="F303" s="317" t="str">
        <f t="shared" si="17"/>
        <v/>
      </c>
      <c r="G303" s="323" t="str">
        <f t="shared" si="18"/>
        <v/>
      </c>
      <c r="H303" s="327" t="str">
        <f t="shared" si="19"/>
        <v/>
      </c>
      <c r="I303" s="327" t="str">
        <f t="shared" si="20"/>
        <v/>
      </c>
      <c r="J303" s="301" t="str">
        <f t="shared" si="21"/>
        <v/>
      </c>
      <c r="K303" s="301" t="str">
        <f t="shared" si="22"/>
        <v/>
      </c>
      <c r="L303" s="344" t="str">
        <f t="array" ref="L303">IF($T303="","",LET(m,MATCH($T303,$AS$24:$AS$700,0),lvl,INDEX($W$24:$W$700,m),id,INDEX($X$24:$X$700,m),SWITCH(lvl,3,"Lớp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3" s="351" t="str">
        <f t="shared" si="23"/>
        <v/>
      </c>
      <c r="N303" s="356" t="str">
        <f t="shared" si="24"/>
        <v/>
      </c>
      <c r="O303" s="358"/>
      <c r="P303" s="360"/>
      <c r="Q303" s="360"/>
      <c r="R303" s="67"/>
      <c r="S303" s="67"/>
      <c r="T303" s="67"/>
      <c r="U303" s="389" t="str">
        <f>IF('Lớp 5 - Phân công'!I114="","",'Lớp 5 - Phân công'!K114&amp;"|"&amp;'Lớp 5 - Phân công'!J114&amp;"|"&amp;'Lớp 5 - Phân công'!I114)</f>
        <v/>
      </c>
      <c r="V303" s="389" t="str">
        <f>IF('Lớp 5 - Phân công'!I114="","","       ├─ "&amp;'Lớp 5 - Phân công'!Q114)</f>
        <v/>
      </c>
      <c r="W303" s="389" t="str">
        <f>IF('Lớp 5 - Phân công'!I114="","",5)</f>
        <v/>
      </c>
      <c r="X303" s="67" t="str">
        <f>'Lớp 5 - Phân công'!I114</f>
        <v/>
      </c>
      <c r="Y303" s="67" t="str">
        <f>'Lớp 5 - Phân công'!J114</f>
        <v/>
      </c>
      <c r="Z303" s="67" t="str">
        <f>'Lớp 5 - Phân công'!AA114</f>
        <v/>
      </c>
      <c r="AA303" s="67" t="str">
        <f>'Lớp 5 - Phân công'!Z114</f>
        <v/>
      </c>
      <c r="AB303" s="67" t="str">
        <f>'Lớp 5 - Phân công'!AC114</f>
        <v/>
      </c>
      <c r="AC303" s="67" t="str">
        <f>'Lớp 5 - Phân công'!AB114</f>
        <v/>
      </c>
      <c r="AD303" s="398" t="str">
        <f>'Lớp 5 - Phân công'!AG114</f>
        <v/>
      </c>
      <c r="AE303" s="358" t="str">
        <f>'Lớp 5 - Phân công'!AE114</f>
        <v/>
      </c>
      <c r="AF303" s="187" t="str">
        <f>'Lớp 5 - Phân công'!AH114</f>
        <v/>
      </c>
      <c r="AG303" s="104" t="str">
        <f>'Lớp 5 - Phân công'!AI114</f>
        <v/>
      </c>
      <c r="AH303" s="389" t="str">
        <f t="shared" si="27"/>
        <v/>
      </c>
      <c r="AI303" s="389" t="str">
        <f t="shared" si="37"/>
        <v>🔵 Chưa có hạn</v>
      </c>
      <c r="AJ303" s="67" t="str">
        <f>'Lớp 5 - Phân công'!AL114</f>
        <v/>
      </c>
      <c r="AS303" s="389" t="str">
        <f t="shared" si="217"/>
        <v/>
      </c>
      <c r="AT303" s="389" t="str">
        <f t="shared" si="32"/>
        <v/>
      </c>
      <c r="AU303" s="389" t="str">
        <f t="shared" si="33"/>
        <v/>
      </c>
      <c r="AV303" s="389" t="str">
        <f t="shared" si="34"/>
        <v/>
      </c>
      <c r="AW303" s="389" t="str">
        <f t="shared" si="35"/>
        <v/>
      </c>
      <c r="AX303" s="67" t="str">
        <f t="shared" ref="AX303:BH303" si="317">Z303</f>
        <v/>
      </c>
      <c r="AY303" s="67" t="str">
        <f t="shared" si="317"/>
        <v/>
      </c>
      <c r="AZ303" s="67" t="str">
        <f t="shared" si="317"/>
        <v/>
      </c>
      <c r="BA303" s="67" t="str">
        <f t="shared" si="317"/>
        <v/>
      </c>
      <c r="BB303" s="398" t="str">
        <f t="shared" si="317"/>
        <v/>
      </c>
      <c r="BC303" s="358" t="str">
        <f t="shared" si="317"/>
        <v/>
      </c>
      <c r="BD303" s="187" t="str">
        <f t="shared" si="317"/>
        <v/>
      </c>
      <c r="BE303" s="104" t="str">
        <f t="shared" si="317"/>
        <v/>
      </c>
      <c r="BF303" s="389" t="str">
        <f t="shared" si="317"/>
        <v/>
      </c>
      <c r="BG303" s="389" t="str">
        <f t="shared" si="317"/>
        <v>🔵 Chưa có hạn</v>
      </c>
      <c r="BH303" s="67" t="str">
        <f t="shared" si="317"/>
        <v/>
      </c>
      <c r="BI303" s="389" t="str">
        <f t="array" ref="BI303">IF($X303="","",SWITCH($W303,3,IFERROR(INDEX('Lớp 3 - Công việc chính'!$AF$14:$AF$73,MATCH($X303,'Lớp 3 - Công việc chính'!$I$14:$I$73,0)),""),4,IFERROR(INDEX('Lớp 4 - Danh mục'!$AI$14:$AI$132,MATCH($X303,'Lớp 4 - Danh mục'!$I$14:$I$132,0)),""),5,IFERROR(INDEX('Lớp 5 - Phân công'!$AJ$14:$AJ$262,MATCH($X303,'Lớp 5 - Phân công'!$I$14:$I$262,0)),""),6,IFERROR(INDEX('Lớp 6 - Chi tiết'!$AM$14:$AM$267,MATCH($X303,'Lớp 6 - Chi tiết'!$I$14:$I$267,0)),""),""))</f>
        <v/>
      </c>
      <c r="BJ303" s="389" t="str">
        <f t="array" ref="BJ303">IF($X303="","",SWITCH($W303,3,IFERROR(INDEX('Lớp 3 - Công việc chính'!$AR$14:$AR$73,MATCH($X303,'Lớp 3 - Công việc chính'!$I$14:$I$73,0)),""),4,IFERROR(INDEX('Lớp 4 - Danh mục'!$AU$14:$AU$132,MATCH($X303,'Lớp 4 - Danh mục'!$I$14:$I$132,0)),""),5,IFERROR(INDEX('Lớp 5 - Phân công'!$AV$14:$AV$262,MATCH($X303,'Lớp 5 - Phân công'!$I$14:$I$262,0)),""),6,IFERROR(INDEX('Lớp 6 - Chi tiết'!$AY$14:$AY$267,MATCH($X303,'Lớp 6 - Chi tiết'!$I$14:$I$267,0)),""),""))</f>
        <v/>
      </c>
    </row>
    <row r="304" ht="15.75" customHeight="1">
      <c r="A304" s="294" t="str">
        <f t="shared" si="12"/>
        <v/>
      </c>
      <c r="B304" s="301" t="str">
        <f t="shared" si="13"/>
        <v/>
      </c>
      <c r="C304" s="301" t="str">
        <f t="shared" si="14"/>
        <v/>
      </c>
      <c r="D304" s="301" t="str">
        <f t="shared" si="15"/>
        <v/>
      </c>
      <c r="E304" s="301" t="str">
        <f t="shared" si="16"/>
        <v/>
      </c>
      <c r="F304" s="317" t="str">
        <f t="shared" si="17"/>
        <v/>
      </c>
      <c r="G304" s="323" t="str">
        <f t="shared" si="18"/>
        <v/>
      </c>
      <c r="H304" s="327" t="str">
        <f t="shared" si="19"/>
        <v/>
      </c>
      <c r="I304" s="327" t="str">
        <f t="shared" si="20"/>
        <v/>
      </c>
      <c r="J304" s="301" t="str">
        <f t="shared" si="21"/>
        <v/>
      </c>
      <c r="K304" s="301" t="str">
        <f t="shared" si="22"/>
        <v/>
      </c>
      <c r="L304" s="344" t="str">
        <f t="array" ref="L304">IF($T304="","",LET(m,MATCH($T304,$AS$24:$AS$700,0),lvl,INDEX($W$24:$W$700,m),id,INDEX($X$24:$X$700,m),SWITCH(lvl,3,"Lớp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4" s="351" t="str">
        <f t="shared" si="23"/>
        <v/>
      </c>
      <c r="N304" s="356" t="str">
        <f t="shared" si="24"/>
        <v/>
      </c>
      <c r="O304" s="358"/>
      <c r="P304" s="360"/>
      <c r="Q304" s="360"/>
      <c r="R304" s="67"/>
      <c r="S304" s="67"/>
      <c r="T304" s="67"/>
      <c r="U304" s="389" t="str">
        <f>IF('Lớp 5 - Phân công'!I115="","",'Lớp 5 - Phân công'!K115&amp;"|"&amp;'Lớp 5 - Phân công'!J115&amp;"|"&amp;'Lớp 5 - Phân công'!I115)</f>
        <v/>
      </c>
      <c r="V304" s="389" t="str">
        <f>IF('Lớp 5 - Phân công'!I115="","","       ├─ "&amp;'Lớp 5 - Phân công'!Q115)</f>
        <v/>
      </c>
      <c r="W304" s="389" t="str">
        <f>IF('Lớp 5 - Phân công'!I115="","",5)</f>
        <v/>
      </c>
      <c r="X304" s="67" t="str">
        <f>'Lớp 5 - Phân công'!I115</f>
        <v/>
      </c>
      <c r="Y304" s="67" t="str">
        <f>'Lớp 5 - Phân công'!J115</f>
        <v/>
      </c>
      <c r="Z304" s="67" t="str">
        <f>'Lớp 5 - Phân công'!AA115</f>
        <v/>
      </c>
      <c r="AA304" s="67" t="str">
        <f>'Lớp 5 - Phân công'!Z115</f>
        <v/>
      </c>
      <c r="AB304" s="67" t="str">
        <f>'Lớp 5 - Phân công'!AC115</f>
        <v/>
      </c>
      <c r="AC304" s="67" t="str">
        <f>'Lớp 5 - Phân công'!AB115</f>
        <v/>
      </c>
      <c r="AD304" s="398" t="str">
        <f>'Lớp 5 - Phân công'!AG115</f>
        <v/>
      </c>
      <c r="AE304" s="358" t="str">
        <f>'Lớp 5 - Phân công'!AE115</f>
        <v/>
      </c>
      <c r="AF304" s="187" t="str">
        <f>'Lớp 5 - Phân công'!AH115</f>
        <v/>
      </c>
      <c r="AG304" s="104" t="str">
        <f>'Lớp 5 - Phân công'!AI115</f>
        <v/>
      </c>
      <c r="AH304" s="389" t="str">
        <f t="shared" si="27"/>
        <v/>
      </c>
      <c r="AI304" s="389" t="str">
        <f t="shared" si="37"/>
        <v>🔵 Chưa có hạn</v>
      </c>
      <c r="AJ304" s="67" t="str">
        <f>'Lớp 5 - Phân công'!AL115</f>
        <v/>
      </c>
      <c r="AS304" s="389" t="str">
        <f t="shared" si="217"/>
        <v/>
      </c>
      <c r="AT304" s="389" t="str">
        <f t="shared" si="32"/>
        <v/>
      </c>
      <c r="AU304" s="389" t="str">
        <f t="shared" si="33"/>
        <v/>
      </c>
      <c r="AV304" s="389" t="str">
        <f t="shared" si="34"/>
        <v/>
      </c>
      <c r="AW304" s="389" t="str">
        <f t="shared" si="35"/>
        <v/>
      </c>
      <c r="AX304" s="67" t="str">
        <f t="shared" ref="AX304:BH304" si="318">Z304</f>
        <v/>
      </c>
      <c r="AY304" s="67" t="str">
        <f t="shared" si="318"/>
        <v/>
      </c>
      <c r="AZ304" s="67" t="str">
        <f t="shared" si="318"/>
        <v/>
      </c>
      <c r="BA304" s="67" t="str">
        <f t="shared" si="318"/>
        <v/>
      </c>
      <c r="BB304" s="398" t="str">
        <f t="shared" si="318"/>
        <v/>
      </c>
      <c r="BC304" s="358" t="str">
        <f t="shared" si="318"/>
        <v/>
      </c>
      <c r="BD304" s="187" t="str">
        <f t="shared" si="318"/>
        <v/>
      </c>
      <c r="BE304" s="104" t="str">
        <f t="shared" si="318"/>
        <v/>
      </c>
      <c r="BF304" s="389" t="str">
        <f t="shared" si="318"/>
        <v/>
      </c>
      <c r="BG304" s="389" t="str">
        <f t="shared" si="318"/>
        <v>🔵 Chưa có hạn</v>
      </c>
      <c r="BH304" s="67" t="str">
        <f t="shared" si="318"/>
        <v/>
      </c>
      <c r="BI304" s="389" t="str">
        <f t="array" ref="BI304">IF($X304="","",SWITCH($W304,3,IFERROR(INDEX('Lớp 3 - Công việc chính'!$AF$14:$AF$73,MATCH($X304,'Lớp 3 - Công việc chính'!$I$14:$I$73,0)),""),4,IFERROR(INDEX('Lớp 4 - Danh mục'!$AI$14:$AI$132,MATCH($X304,'Lớp 4 - Danh mục'!$I$14:$I$132,0)),""),5,IFERROR(INDEX('Lớp 5 - Phân công'!$AJ$14:$AJ$262,MATCH($X304,'Lớp 5 - Phân công'!$I$14:$I$262,0)),""),6,IFERROR(INDEX('Lớp 6 - Chi tiết'!$AM$14:$AM$267,MATCH($X304,'Lớp 6 - Chi tiết'!$I$14:$I$267,0)),""),""))</f>
        <v/>
      </c>
      <c r="BJ304" s="389" t="str">
        <f t="array" ref="BJ304">IF($X304="","",SWITCH($W304,3,IFERROR(INDEX('Lớp 3 - Công việc chính'!$AR$14:$AR$73,MATCH($X304,'Lớp 3 - Công việc chính'!$I$14:$I$73,0)),""),4,IFERROR(INDEX('Lớp 4 - Danh mục'!$AU$14:$AU$132,MATCH($X304,'Lớp 4 - Danh mục'!$I$14:$I$132,0)),""),5,IFERROR(INDEX('Lớp 5 - Phân công'!$AV$14:$AV$262,MATCH($X304,'Lớp 5 - Phân công'!$I$14:$I$262,0)),""),6,IFERROR(INDEX('Lớp 6 - Chi tiết'!$AY$14:$AY$267,MATCH($X304,'Lớp 6 - Chi tiết'!$I$14:$I$267,0)),""),""))</f>
        <v/>
      </c>
    </row>
    <row r="305" ht="15.75" customHeight="1">
      <c r="A305" s="294" t="str">
        <f t="shared" si="12"/>
        <v/>
      </c>
      <c r="B305" s="301" t="str">
        <f t="shared" si="13"/>
        <v/>
      </c>
      <c r="C305" s="301" t="str">
        <f t="shared" si="14"/>
        <v/>
      </c>
      <c r="D305" s="301" t="str">
        <f t="shared" si="15"/>
        <v/>
      </c>
      <c r="E305" s="301" t="str">
        <f t="shared" si="16"/>
        <v/>
      </c>
      <c r="F305" s="317" t="str">
        <f t="shared" si="17"/>
        <v/>
      </c>
      <c r="G305" s="323" t="str">
        <f t="shared" si="18"/>
        <v/>
      </c>
      <c r="H305" s="327" t="str">
        <f t="shared" si="19"/>
        <v/>
      </c>
      <c r="I305" s="327" t="str">
        <f t="shared" si="20"/>
        <v/>
      </c>
      <c r="J305" s="301" t="str">
        <f t="shared" si="21"/>
        <v/>
      </c>
      <c r="K305" s="301" t="str">
        <f t="shared" si="22"/>
        <v/>
      </c>
      <c r="L305" s="344" t="str">
        <f t="array" ref="L305">IF($T305="","",LET(m,MATCH($T305,$AS$24:$AS$700,0),lvl,INDEX($W$24:$W$700,m),id,INDEX($X$24:$X$700,m),SWITCH(lvl,3,"Lớp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5" s="351" t="str">
        <f t="shared" si="23"/>
        <v/>
      </c>
      <c r="N305" s="356" t="str">
        <f t="shared" si="24"/>
        <v/>
      </c>
      <c r="O305" s="358"/>
      <c r="P305" s="360"/>
      <c r="Q305" s="360"/>
      <c r="R305" s="67"/>
      <c r="S305" s="67"/>
      <c r="T305" s="67"/>
      <c r="U305" s="389" t="str">
        <f>IF('Lớp 5 - Phân công'!I116="","",'Lớp 5 - Phân công'!K116&amp;"|"&amp;'Lớp 5 - Phân công'!J116&amp;"|"&amp;'Lớp 5 - Phân công'!I116)</f>
        <v/>
      </c>
      <c r="V305" s="389" t="str">
        <f>IF('Lớp 5 - Phân công'!I116="","","       ├─ "&amp;'Lớp 5 - Phân công'!Q116)</f>
        <v/>
      </c>
      <c r="W305" s="389" t="str">
        <f>IF('Lớp 5 - Phân công'!I116="","",5)</f>
        <v/>
      </c>
      <c r="X305" s="67" t="str">
        <f>'Lớp 5 - Phân công'!I116</f>
        <v/>
      </c>
      <c r="Y305" s="67" t="str">
        <f>'Lớp 5 - Phân công'!J116</f>
        <v/>
      </c>
      <c r="Z305" s="67" t="str">
        <f>'Lớp 5 - Phân công'!AA116</f>
        <v/>
      </c>
      <c r="AA305" s="67" t="str">
        <f>'Lớp 5 - Phân công'!Z116</f>
        <v/>
      </c>
      <c r="AB305" s="67" t="str">
        <f>'Lớp 5 - Phân công'!AC116</f>
        <v/>
      </c>
      <c r="AC305" s="67" t="str">
        <f>'Lớp 5 - Phân công'!AB116</f>
        <v/>
      </c>
      <c r="AD305" s="398" t="str">
        <f>'Lớp 5 - Phân công'!AG116</f>
        <v/>
      </c>
      <c r="AE305" s="358" t="str">
        <f>'Lớp 5 - Phân công'!AE116</f>
        <v/>
      </c>
      <c r="AF305" s="187" t="str">
        <f>'Lớp 5 - Phân công'!AH116</f>
        <v/>
      </c>
      <c r="AG305" s="104" t="str">
        <f>'Lớp 5 - Phân công'!AI116</f>
        <v/>
      </c>
      <c r="AH305" s="389" t="str">
        <f t="shared" si="27"/>
        <v/>
      </c>
      <c r="AI305" s="389" t="str">
        <f t="shared" si="37"/>
        <v>🔵 Chưa có hạn</v>
      </c>
      <c r="AJ305" s="67" t="str">
        <f>'Lớp 5 - Phân công'!AL116</f>
        <v/>
      </c>
      <c r="AS305" s="389" t="str">
        <f t="shared" si="217"/>
        <v/>
      </c>
      <c r="AT305" s="389" t="str">
        <f t="shared" si="32"/>
        <v/>
      </c>
      <c r="AU305" s="389" t="str">
        <f t="shared" si="33"/>
        <v/>
      </c>
      <c r="AV305" s="389" t="str">
        <f t="shared" si="34"/>
        <v/>
      </c>
      <c r="AW305" s="389" t="str">
        <f t="shared" si="35"/>
        <v/>
      </c>
      <c r="AX305" s="67" t="str">
        <f t="shared" ref="AX305:BH305" si="319">Z305</f>
        <v/>
      </c>
      <c r="AY305" s="67" t="str">
        <f t="shared" si="319"/>
        <v/>
      </c>
      <c r="AZ305" s="67" t="str">
        <f t="shared" si="319"/>
        <v/>
      </c>
      <c r="BA305" s="67" t="str">
        <f t="shared" si="319"/>
        <v/>
      </c>
      <c r="BB305" s="398" t="str">
        <f t="shared" si="319"/>
        <v/>
      </c>
      <c r="BC305" s="358" t="str">
        <f t="shared" si="319"/>
        <v/>
      </c>
      <c r="BD305" s="187" t="str">
        <f t="shared" si="319"/>
        <v/>
      </c>
      <c r="BE305" s="104" t="str">
        <f t="shared" si="319"/>
        <v/>
      </c>
      <c r="BF305" s="389" t="str">
        <f t="shared" si="319"/>
        <v/>
      </c>
      <c r="BG305" s="389" t="str">
        <f t="shared" si="319"/>
        <v>🔵 Chưa có hạn</v>
      </c>
      <c r="BH305" s="67" t="str">
        <f t="shared" si="319"/>
        <v/>
      </c>
      <c r="BI305" s="389" t="str">
        <f t="array" ref="BI305">IF($X305="","",SWITCH($W305,3,IFERROR(INDEX('Lớp 3 - Công việc chính'!$AF$14:$AF$73,MATCH($X305,'Lớp 3 - Công việc chính'!$I$14:$I$73,0)),""),4,IFERROR(INDEX('Lớp 4 - Danh mục'!$AI$14:$AI$132,MATCH($X305,'Lớp 4 - Danh mục'!$I$14:$I$132,0)),""),5,IFERROR(INDEX('Lớp 5 - Phân công'!$AJ$14:$AJ$262,MATCH($X305,'Lớp 5 - Phân công'!$I$14:$I$262,0)),""),6,IFERROR(INDEX('Lớp 6 - Chi tiết'!$AM$14:$AM$267,MATCH($X305,'Lớp 6 - Chi tiết'!$I$14:$I$267,0)),""),""))</f>
        <v/>
      </c>
      <c r="BJ305" s="389" t="str">
        <f t="array" ref="BJ305">IF($X305="","",SWITCH($W305,3,IFERROR(INDEX('Lớp 3 - Công việc chính'!$AR$14:$AR$73,MATCH($X305,'Lớp 3 - Công việc chính'!$I$14:$I$73,0)),""),4,IFERROR(INDEX('Lớp 4 - Danh mục'!$AU$14:$AU$132,MATCH($X305,'Lớp 4 - Danh mục'!$I$14:$I$132,0)),""),5,IFERROR(INDEX('Lớp 5 - Phân công'!$AV$14:$AV$262,MATCH($X305,'Lớp 5 - Phân công'!$I$14:$I$262,0)),""),6,IFERROR(INDEX('Lớp 6 - Chi tiết'!$AY$14:$AY$267,MATCH($X305,'Lớp 6 - Chi tiết'!$I$14:$I$267,0)),""),""))</f>
        <v/>
      </c>
    </row>
    <row r="306" ht="15.75" customHeight="1">
      <c r="A306" s="294" t="str">
        <f t="shared" si="12"/>
        <v/>
      </c>
      <c r="B306" s="301" t="str">
        <f t="shared" si="13"/>
        <v/>
      </c>
      <c r="C306" s="301" t="str">
        <f t="shared" si="14"/>
        <v/>
      </c>
      <c r="D306" s="301" t="str">
        <f t="shared" si="15"/>
        <v/>
      </c>
      <c r="E306" s="301" t="str">
        <f t="shared" si="16"/>
        <v/>
      </c>
      <c r="F306" s="317" t="str">
        <f t="shared" si="17"/>
        <v/>
      </c>
      <c r="G306" s="323" t="str">
        <f t="shared" si="18"/>
        <v/>
      </c>
      <c r="H306" s="327" t="str">
        <f t="shared" si="19"/>
        <v/>
      </c>
      <c r="I306" s="327" t="str">
        <f t="shared" si="20"/>
        <v/>
      </c>
      <c r="J306" s="301" t="str">
        <f t="shared" si="21"/>
        <v/>
      </c>
      <c r="K306" s="301" t="str">
        <f t="shared" si="22"/>
        <v/>
      </c>
      <c r="L306" s="344" t="str">
        <f t="array" ref="L306">IF($T306="","",LET(m,MATCH($T306,$AS$24:$AS$700,0),lvl,INDEX($W$24:$W$700,m),id,INDEX($X$24:$X$700,m),SWITCH(lvl,3,"Lớp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6" s="351" t="str">
        <f t="shared" si="23"/>
        <v/>
      </c>
      <c r="N306" s="356" t="str">
        <f t="shared" si="24"/>
        <v/>
      </c>
      <c r="O306" s="358"/>
      <c r="P306" s="360"/>
      <c r="Q306" s="360"/>
      <c r="R306" s="67"/>
      <c r="S306" s="67"/>
      <c r="T306" s="67"/>
      <c r="U306" s="389" t="str">
        <f>IF('Lớp 5 - Phân công'!I117="","",'Lớp 5 - Phân công'!K117&amp;"|"&amp;'Lớp 5 - Phân công'!J117&amp;"|"&amp;'Lớp 5 - Phân công'!I117)</f>
        <v/>
      </c>
      <c r="V306" s="389" t="str">
        <f>IF('Lớp 5 - Phân công'!I117="","","       ├─ "&amp;'Lớp 5 - Phân công'!Q117)</f>
        <v/>
      </c>
      <c r="W306" s="389" t="str">
        <f>IF('Lớp 5 - Phân công'!I117="","",5)</f>
        <v/>
      </c>
      <c r="X306" s="67" t="str">
        <f>'Lớp 5 - Phân công'!I117</f>
        <v/>
      </c>
      <c r="Y306" s="67" t="str">
        <f>'Lớp 5 - Phân công'!J117</f>
        <v/>
      </c>
      <c r="Z306" s="67" t="str">
        <f>'Lớp 5 - Phân công'!AA117</f>
        <v/>
      </c>
      <c r="AA306" s="67" t="str">
        <f>'Lớp 5 - Phân công'!Z117</f>
        <v/>
      </c>
      <c r="AB306" s="67" t="str">
        <f>'Lớp 5 - Phân công'!AC117</f>
        <v/>
      </c>
      <c r="AC306" s="67" t="str">
        <f>'Lớp 5 - Phân công'!AB117</f>
        <v/>
      </c>
      <c r="AD306" s="398" t="str">
        <f>'Lớp 5 - Phân công'!AG117</f>
        <v/>
      </c>
      <c r="AE306" s="358" t="str">
        <f>'Lớp 5 - Phân công'!AE117</f>
        <v/>
      </c>
      <c r="AF306" s="187" t="str">
        <f>'Lớp 5 - Phân công'!AH117</f>
        <v/>
      </c>
      <c r="AG306" s="104" t="str">
        <f>'Lớp 5 - Phân công'!AI117</f>
        <v/>
      </c>
      <c r="AH306" s="389" t="str">
        <f t="shared" si="27"/>
        <v/>
      </c>
      <c r="AI306" s="389" t="str">
        <f t="shared" si="37"/>
        <v>🔵 Chưa có hạn</v>
      </c>
      <c r="AJ306" s="67" t="str">
        <f>'Lớp 5 - Phân công'!AL117</f>
        <v/>
      </c>
      <c r="AS306" s="389" t="str">
        <f t="shared" si="217"/>
        <v/>
      </c>
      <c r="AT306" s="389" t="str">
        <f t="shared" si="32"/>
        <v/>
      </c>
      <c r="AU306" s="389" t="str">
        <f t="shared" si="33"/>
        <v/>
      </c>
      <c r="AV306" s="389" t="str">
        <f t="shared" si="34"/>
        <v/>
      </c>
      <c r="AW306" s="389" t="str">
        <f t="shared" si="35"/>
        <v/>
      </c>
      <c r="AX306" s="67" t="str">
        <f t="shared" ref="AX306:BH306" si="320">Z306</f>
        <v/>
      </c>
      <c r="AY306" s="67" t="str">
        <f t="shared" si="320"/>
        <v/>
      </c>
      <c r="AZ306" s="67" t="str">
        <f t="shared" si="320"/>
        <v/>
      </c>
      <c r="BA306" s="67" t="str">
        <f t="shared" si="320"/>
        <v/>
      </c>
      <c r="BB306" s="398" t="str">
        <f t="shared" si="320"/>
        <v/>
      </c>
      <c r="BC306" s="358" t="str">
        <f t="shared" si="320"/>
        <v/>
      </c>
      <c r="BD306" s="187" t="str">
        <f t="shared" si="320"/>
        <v/>
      </c>
      <c r="BE306" s="104" t="str">
        <f t="shared" si="320"/>
        <v/>
      </c>
      <c r="BF306" s="389" t="str">
        <f t="shared" si="320"/>
        <v/>
      </c>
      <c r="BG306" s="389" t="str">
        <f t="shared" si="320"/>
        <v>🔵 Chưa có hạn</v>
      </c>
      <c r="BH306" s="67" t="str">
        <f t="shared" si="320"/>
        <v/>
      </c>
      <c r="BI306" s="389" t="str">
        <f t="array" ref="BI306">IF($X306="","",SWITCH($W306,3,IFERROR(INDEX('Lớp 3 - Công việc chính'!$AF$14:$AF$73,MATCH($X306,'Lớp 3 - Công việc chính'!$I$14:$I$73,0)),""),4,IFERROR(INDEX('Lớp 4 - Danh mục'!$AI$14:$AI$132,MATCH($X306,'Lớp 4 - Danh mục'!$I$14:$I$132,0)),""),5,IFERROR(INDEX('Lớp 5 - Phân công'!$AJ$14:$AJ$262,MATCH($X306,'Lớp 5 - Phân công'!$I$14:$I$262,0)),""),6,IFERROR(INDEX('Lớp 6 - Chi tiết'!$AM$14:$AM$267,MATCH($X306,'Lớp 6 - Chi tiết'!$I$14:$I$267,0)),""),""))</f>
        <v/>
      </c>
      <c r="BJ306" s="389" t="str">
        <f t="array" ref="BJ306">IF($X306="","",SWITCH($W306,3,IFERROR(INDEX('Lớp 3 - Công việc chính'!$AR$14:$AR$73,MATCH($X306,'Lớp 3 - Công việc chính'!$I$14:$I$73,0)),""),4,IFERROR(INDEX('Lớp 4 - Danh mục'!$AU$14:$AU$132,MATCH($X306,'Lớp 4 - Danh mục'!$I$14:$I$132,0)),""),5,IFERROR(INDEX('Lớp 5 - Phân công'!$AV$14:$AV$262,MATCH($X306,'Lớp 5 - Phân công'!$I$14:$I$262,0)),""),6,IFERROR(INDEX('Lớp 6 - Chi tiết'!$AY$14:$AY$267,MATCH($X306,'Lớp 6 - Chi tiết'!$I$14:$I$267,0)),""),""))</f>
        <v/>
      </c>
    </row>
    <row r="307" ht="15.75" customHeight="1">
      <c r="A307" s="294" t="str">
        <f t="shared" si="12"/>
        <v/>
      </c>
      <c r="B307" s="301" t="str">
        <f t="shared" si="13"/>
        <v/>
      </c>
      <c r="C307" s="301" t="str">
        <f t="shared" si="14"/>
        <v/>
      </c>
      <c r="D307" s="301" t="str">
        <f t="shared" si="15"/>
        <v/>
      </c>
      <c r="E307" s="301" t="str">
        <f t="shared" si="16"/>
        <v/>
      </c>
      <c r="F307" s="317" t="str">
        <f t="shared" si="17"/>
        <v/>
      </c>
      <c r="G307" s="323" t="str">
        <f t="shared" si="18"/>
        <v/>
      </c>
      <c r="H307" s="327" t="str">
        <f t="shared" si="19"/>
        <v/>
      </c>
      <c r="I307" s="327" t="str">
        <f t="shared" si="20"/>
        <v/>
      </c>
      <c r="J307" s="301" t="str">
        <f t="shared" si="21"/>
        <v/>
      </c>
      <c r="K307" s="301" t="str">
        <f t="shared" si="22"/>
        <v/>
      </c>
      <c r="L307" s="344" t="str">
        <f t="array" ref="L307">IF($T307="","",LET(m,MATCH($T307,$AS$24:$AS$700,0),lvl,INDEX($W$24:$W$700,m),id,INDEX($X$24:$X$700,m),SWITCH(lvl,3,"Lớp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7" s="351" t="str">
        <f t="shared" si="23"/>
        <v/>
      </c>
      <c r="N307" s="356" t="str">
        <f t="shared" si="24"/>
        <v/>
      </c>
      <c r="O307" s="358"/>
      <c r="P307" s="360"/>
      <c r="Q307" s="360"/>
      <c r="R307" s="67"/>
      <c r="S307" s="67"/>
      <c r="T307" s="67"/>
      <c r="U307" s="389" t="str">
        <f>IF('Lớp 5 - Phân công'!I118="","",'Lớp 5 - Phân công'!K118&amp;"|"&amp;'Lớp 5 - Phân công'!J118&amp;"|"&amp;'Lớp 5 - Phân công'!I118)</f>
        <v/>
      </c>
      <c r="V307" s="389" t="str">
        <f>IF('Lớp 5 - Phân công'!I118="","","       ├─ "&amp;'Lớp 5 - Phân công'!Q118)</f>
        <v/>
      </c>
      <c r="W307" s="389" t="str">
        <f>IF('Lớp 5 - Phân công'!I118="","",5)</f>
        <v/>
      </c>
      <c r="X307" s="67" t="str">
        <f>'Lớp 5 - Phân công'!I118</f>
        <v/>
      </c>
      <c r="Y307" s="67" t="str">
        <f>'Lớp 5 - Phân công'!J118</f>
        <v/>
      </c>
      <c r="Z307" s="67" t="str">
        <f>'Lớp 5 - Phân công'!AA118</f>
        <v/>
      </c>
      <c r="AA307" s="67" t="str">
        <f>'Lớp 5 - Phân công'!Z118</f>
        <v/>
      </c>
      <c r="AB307" s="67" t="str">
        <f>'Lớp 5 - Phân công'!AC118</f>
        <v/>
      </c>
      <c r="AC307" s="67" t="str">
        <f>'Lớp 5 - Phân công'!AB118</f>
        <v/>
      </c>
      <c r="AD307" s="398" t="str">
        <f>'Lớp 5 - Phân công'!AG118</f>
        <v/>
      </c>
      <c r="AE307" s="358" t="str">
        <f>'Lớp 5 - Phân công'!AE118</f>
        <v/>
      </c>
      <c r="AF307" s="187" t="str">
        <f>'Lớp 5 - Phân công'!AH118</f>
        <v/>
      </c>
      <c r="AG307" s="104" t="str">
        <f>'Lớp 5 - Phân công'!AI118</f>
        <v/>
      </c>
      <c r="AH307" s="389" t="str">
        <f t="shared" si="27"/>
        <v/>
      </c>
      <c r="AI307" s="389" t="str">
        <f t="shared" si="37"/>
        <v>🔵 Chưa có hạn</v>
      </c>
      <c r="AJ307" s="67" t="str">
        <f>'Lớp 5 - Phân công'!AL118</f>
        <v/>
      </c>
      <c r="AS307" s="389" t="str">
        <f t="shared" si="217"/>
        <v/>
      </c>
      <c r="AT307" s="389" t="str">
        <f t="shared" si="32"/>
        <v/>
      </c>
      <c r="AU307" s="389" t="str">
        <f t="shared" si="33"/>
        <v/>
      </c>
      <c r="AV307" s="389" t="str">
        <f t="shared" si="34"/>
        <v/>
      </c>
      <c r="AW307" s="389" t="str">
        <f t="shared" si="35"/>
        <v/>
      </c>
      <c r="AX307" s="67" t="str">
        <f t="shared" ref="AX307:BH307" si="321">Z307</f>
        <v/>
      </c>
      <c r="AY307" s="67" t="str">
        <f t="shared" si="321"/>
        <v/>
      </c>
      <c r="AZ307" s="67" t="str">
        <f t="shared" si="321"/>
        <v/>
      </c>
      <c r="BA307" s="67" t="str">
        <f t="shared" si="321"/>
        <v/>
      </c>
      <c r="BB307" s="398" t="str">
        <f t="shared" si="321"/>
        <v/>
      </c>
      <c r="BC307" s="358" t="str">
        <f t="shared" si="321"/>
        <v/>
      </c>
      <c r="BD307" s="187" t="str">
        <f t="shared" si="321"/>
        <v/>
      </c>
      <c r="BE307" s="104" t="str">
        <f t="shared" si="321"/>
        <v/>
      </c>
      <c r="BF307" s="389" t="str">
        <f t="shared" si="321"/>
        <v/>
      </c>
      <c r="BG307" s="389" t="str">
        <f t="shared" si="321"/>
        <v>🔵 Chưa có hạn</v>
      </c>
      <c r="BH307" s="67" t="str">
        <f t="shared" si="321"/>
        <v/>
      </c>
      <c r="BI307" s="389" t="str">
        <f t="array" ref="BI307">IF($X307="","",SWITCH($W307,3,IFERROR(INDEX('Lớp 3 - Công việc chính'!$AF$14:$AF$73,MATCH($X307,'Lớp 3 - Công việc chính'!$I$14:$I$73,0)),""),4,IFERROR(INDEX('Lớp 4 - Danh mục'!$AI$14:$AI$132,MATCH($X307,'Lớp 4 - Danh mục'!$I$14:$I$132,0)),""),5,IFERROR(INDEX('Lớp 5 - Phân công'!$AJ$14:$AJ$262,MATCH($X307,'Lớp 5 - Phân công'!$I$14:$I$262,0)),""),6,IFERROR(INDEX('Lớp 6 - Chi tiết'!$AM$14:$AM$267,MATCH($X307,'Lớp 6 - Chi tiết'!$I$14:$I$267,0)),""),""))</f>
        <v/>
      </c>
      <c r="BJ307" s="389" t="str">
        <f t="array" ref="BJ307">IF($X307="","",SWITCH($W307,3,IFERROR(INDEX('Lớp 3 - Công việc chính'!$AR$14:$AR$73,MATCH($X307,'Lớp 3 - Công việc chính'!$I$14:$I$73,0)),""),4,IFERROR(INDEX('Lớp 4 - Danh mục'!$AU$14:$AU$132,MATCH($X307,'Lớp 4 - Danh mục'!$I$14:$I$132,0)),""),5,IFERROR(INDEX('Lớp 5 - Phân công'!$AV$14:$AV$262,MATCH($X307,'Lớp 5 - Phân công'!$I$14:$I$262,0)),""),6,IFERROR(INDEX('Lớp 6 - Chi tiết'!$AY$14:$AY$267,MATCH($X307,'Lớp 6 - Chi tiết'!$I$14:$I$267,0)),""),""))</f>
        <v/>
      </c>
    </row>
    <row r="308" ht="15.75" customHeight="1">
      <c r="A308" s="294" t="str">
        <f t="shared" si="12"/>
        <v/>
      </c>
      <c r="B308" s="301" t="str">
        <f t="shared" si="13"/>
        <v/>
      </c>
      <c r="C308" s="301" t="str">
        <f t="shared" si="14"/>
        <v/>
      </c>
      <c r="D308" s="301" t="str">
        <f t="shared" si="15"/>
        <v/>
      </c>
      <c r="E308" s="301" t="str">
        <f t="shared" si="16"/>
        <v/>
      </c>
      <c r="F308" s="317" t="str">
        <f t="shared" si="17"/>
        <v/>
      </c>
      <c r="G308" s="323" t="str">
        <f t="shared" si="18"/>
        <v/>
      </c>
      <c r="H308" s="327" t="str">
        <f t="shared" si="19"/>
        <v/>
      </c>
      <c r="I308" s="327" t="str">
        <f t="shared" si="20"/>
        <v/>
      </c>
      <c r="J308" s="301" t="str">
        <f t="shared" si="21"/>
        <v/>
      </c>
      <c r="K308" s="301" t="str">
        <f t="shared" si="22"/>
        <v/>
      </c>
      <c r="L308" s="344" t="str">
        <f t="array" ref="L308">IF($T308="","",LET(m,MATCH($T308,$AS$24:$AS$700,0),lvl,INDEX($W$24:$W$700,m),id,INDEX($X$24:$X$700,m),SWITCH(lvl,3,"Lớp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8" s="351" t="str">
        <f t="shared" si="23"/>
        <v/>
      </c>
      <c r="N308" s="356" t="str">
        <f t="shared" si="24"/>
        <v/>
      </c>
      <c r="O308" s="358"/>
      <c r="P308" s="360"/>
      <c r="Q308" s="360"/>
      <c r="R308" s="67"/>
      <c r="S308" s="67"/>
      <c r="T308" s="67"/>
      <c r="U308" s="389" t="str">
        <f>IF('Lớp 5 - Phân công'!I119="","",'Lớp 5 - Phân công'!K119&amp;"|"&amp;'Lớp 5 - Phân công'!J119&amp;"|"&amp;'Lớp 5 - Phân công'!I119)</f>
        <v/>
      </c>
      <c r="V308" s="389" t="str">
        <f>IF('Lớp 5 - Phân công'!I119="","","       ├─ "&amp;'Lớp 5 - Phân công'!Q119)</f>
        <v/>
      </c>
      <c r="W308" s="389" t="str">
        <f>IF('Lớp 5 - Phân công'!I119="","",5)</f>
        <v/>
      </c>
      <c r="X308" s="67" t="str">
        <f>'Lớp 5 - Phân công'!I119</f>
        <v/>
      </c>
      <c r="Y308" s="67" t="str">
        <f>'Lớp 5 - Phân công'!J119</f>
        <v/>
      </c>
      <c r="Z308" s="67" t="str">
        <f>'Lớp 5 - Phân công'!AA119</f>
        <v/>
      </c>
      <c r="AA308" s="67" t="str">
        <f>'Lớp 5 - Phân công'!Z119</f>
        <v/>
      </c>
      <c r="AB308" s="67" t="str">
        <f>'Lớp 5 - Phân công'!AC119</f>
        <v/>
      </c>
      <c r="AC308" s="67" t="str">
        <f>'Lớp 5 - Phân công'!AB119</f>
        <v/>
      </c>
      <c r="AD308" s="398" t="str">
        <f>'Lớp 5 - Phân công'!AG119</f>
        <v/>
      </c>
      <c r="AE308" s="358" t="str">
        <f>'Lớp 5 - Phân công'!AE119</f>
        <v/>
      </c>
      <c r="AF308" s="187" t="str">
        <f>'Lớp 5 - Phân công'!AH119</f>
        <v/>
      </c>
      <c r="AG308" s="104" t="str">
        <f>'Lớp 5 - Phân công'!AI119</f>
        <v/>
      </c>
      <c r="AH308" s="389" t="str">
        <f t="shared" si="27"/>
        <v/>
      </c>
      <c r="AI308" s="389" t="str">
        <f t="shared" si="37"/>
        <v>🔵 Chưa có hạn</v>
      </c>
      <c r="AJ308" s="67" t="str">
        <f>'Lớp 5 - Phân công'!AL119</f>
        <v/>
      </c>
      <c r="AS308" s="389" t="str">
        <f t="shared" si="217"/>
        <v/>
      </c>
      <c r="AT308" s="389" t="str">
        <f t="shared" si="32"/>
        <v/>
      </c>
      <c r="AU308" s="389" t="str">
        <f t="shared" si="33"/>
        <v/>
      </c>
      <c r="AV308" s="389" t="str">
        <f t="shared" si="34"/>
        <v/>
      </c>
      <c r="AW308" s="389" t="str">
        <f t="shared" si="35"/>
        <v/>
      </c>
      <c r="AX308" s="67" t="str">
        <f t="shared" ref="AX308:BH308" si="322">Z308</f>
        <v/>
      </c>
      <c r="AY308" s="67" t="str">
        <f t="shared" si="322"/>
        <v/>
      </c>
      <c r="AZ308" s="67" t="str">
        <f t="shared" si="322"/>
        <v/>
      </c>
      <c r="BA308" s="67" t="str">
        <f t="shared" si="322"/>
        <v/>
      </c>
      <c r="BB308" s="398" t="str">
        <f t="shared" si="322"/>
        <v/>
      </c>
      <c r="BC308" s="358" t="str">
        <f t="shared" si="322"/>
        <v/>
      </c>
      <c r="BD308" s="187" t="str">
        <f t="shared" si="322"/>
        <v/>
      </c>
      <c r="BE308" s="104" t="str">
        <f t="shared" si="322"/>
        <v/>
      </c>
      <c r="BF308" s="389" t="str">
        <f t="shared" si="322"/>
        <v/>
      </c>
      <c r="BG308" s="389" t="str">
        <f t="shared" si="322"/>
        <v>🔵 Chưa có hạn</v>
      </c>
      <c r="BH308" s="67" t="str">
        <f t="shared" si="322"/>
        <v/>
      </c>
      <c r="BI308" s="389" t="str">
        <f t="array" ref="BI308">IF($X308="","",SWITCH($W308,3,IFERROR(INDEX('Lớp 3 - Công việc chính'!$AF$14:$AF$73,MATCH($X308,'Lớp 3 - Công việc chính'!$I$14:$I$73,0)),""),4,IFERROR(INDEX('Lớp 4 - Danh mục'!$AI$14:$AI$132,MATCH($X308,'Lớp 4 - Danh mục'!$I$14:$I$132,0)),""),5,IFERROR(INDEX('Lớp 5 - Phân công'!$AJ$14:$AJ$262,MATCH($X308,'Lớp 5 - Phân công'!$I$14:$I$262,0)),""),6,IFERROR(INDEX('Lớp 6 - Chi tiết'!$AM$14:$AM$267,MATCH($X308,'Lớp 6 - Chi tiết'!$I$14:$I$267,0)),""),""))</f>
        <v/>
      </c>
      <c r="BJ308" s="389" t="str">
        <f t="array" ref="BJ308">IF($X308="","",SWITCH($W308,3,IFERROR(INDEX('Lớp 3 - Công việc chính'!$AR$14:$AR$73,MATCH($X308,'Lớp 3 - Công việc chính'!$I$14:$I$73,0)),""),4,IFERROR(INDEX('Lớp 4 - Danh mục'!$AU$14:$AU$132,MATCH($X308,'Lớp 4 - Danh mục'!$I$14:$I$132,0)),""),5,IFERROR(INDEX('Lớp 5 - Phân công'!$AV$14:$AV$262,MATCH($X308,'Lớp 5 - Phân công'!$I$14:$I$262,0)),""),6,IFERROR(INDEX('Lớp 6 - Chi tiết'!$AY$14:$AY$267,MATCH($X308,'Lớp 6 - Chi tiết'!$I$14:$I$267,0)),""),""))</f>
        <v/>
      </c>
    </row>
    <row r="309" ht="15.75" customHeight="1">
      <c r="A309" s="294" t="str">
        <f t="shared" si="12"/>
        <v/>
      </c>
      <c r="B309" s="301" t="str">
        <f t="shared" si="13"/>
        <v/>
      </c>
      <c r="C309" s="301" t="str">
        <f t="shared" si="14"/>
        <v/>
      </c>
      <c r="D309" s="301" t="str">
        <f t="shared" si="15"/>
        <v/>
      </c>
      <c r="E309" s="301" t="str">
        <f t="shared" si="16"/>
        <v/>
      </c>
      <c r="F309" s="317" t="str">
        <f t="shared" si="17"/>
        <v/>
      </c>
      <c r="G309" s="323" t="str">
        <f t="shared" si="18"/>
        <v/>
      </c>
      <c r="H309" s="327" t="str">
        <f t="shared" si="19"/>
        <v/>
      </c>
      <c r="I309" s="327" t="str">
        <f t="shared" si="20"/>
        <v/>
      </c>
      <c r="J309" s="301" t="str">
        <f t="shared" si="21"/>
        <v/>
      </c>
      <c r="K309" s="301" t="str">
        <f t="shared" si="22"/>
        <v/>
      </c>
      <c r="L309" s="344" t="str">
        <f t="array" ref="L309">IF($T309="","",LET(m,MATCH($T309,$AS$24:$AS$700,0),lvl,INDEX($W$24:$W$700,m),id,INDEX($X$24:$X$700,m),SWITCH(lvl,3,"Lớp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09" s="351" t="str">
        <f t="shared" si="23"/>
        <v/>
      </c>
      <c r="N309" s="356" t="str">
        <f t="shared" si="24"/>
        <v/>
      </c>
      <c r="O309" s="358"/>
      <c r="P309" s="360"/>
      <c r="Q309" s="360"/>
      <c r="R309" s="67"/>
      <c r="S309" s="67"/>
      <c r="T309" s="67"/>
      <c r="U309" s="389" t="str">
        <f>IF('Lớp 5 - Phân công'!I120="","",'Lớp 5 - Phân công'!K120&amp;"|"&amp;'Lớp 5 - Phân công'!J120&amp;"|"&amp;'Lớp 5 - Phân công'!I120)</f>
        <v/>
      </c>
      <c r="V309" s="389" t="str">
        <f>IF('Lớp 5 - Phân công'!I120="","","       ├─ "&amp;'Lớp 5 - Phân công'!Q120)</f>
        <v/>
      </c>
      <c r="W309" s="389" t="str">
        <f>IF('Lớp 5 - Phân công'!I120="","",5)</f>
        <v/>
      </c>
      <c r="X309" s="67" t="str">
        <f>'Lớp 5 - Phân công'!I120</f>
        <v/>
      </c>
      <c r="Y309" s="67" t="str">
        <f>'Lớp 5 - Phân công'!J120</f>
        <v/>
      </c>
      <c r="Z309" s="67" t="str">
        <f>'Lớp 5 - Phân công'!AA120</f>
        <v/>
      </c>
      <c r="AA309" s="67" t="str">
        <f>'Lớp 5 - Phân công'!Z120</f>
        <v/>
      </c>
      <c r="AB309" s="67" t="str">
        <f>'Lớp 5 - Phân công'!AC120</f>
        <v/>
      </c>
      <c r="AC309" s="67" t="str">
        <f>'Lớp 5 - Phân công'!AB120</f>
        <v/>
      </c>
      <c r="AD309" s="398" t="str">
        <f>'Lớp 5 - Phân công'!AG120</f>
        <v/>
      </c>
      <c r="AE309" s="358" t="str">
        <f>'Lớp 5 - Phân công'!AE120</f>
        <v/>
      </c>
      <c r="AF309" s="187" t="str">
        <f>'Lớp 5 - Phân công'!AH120</f>
        <v/>
      </c>
      <c r="AG309" s="104" t="str">
        <f>'Lớp 5 - Phân công'!AI120</f>
        <v/>
      </c>
      <c r="AH309" s="389" t="str">
        <f t="shared" si="27"/>
        <v/>
      </c>
      <c r="AI309" s="389" t="str">
        <f t="shared" si="37"/>
        <v>🔵 Chưa có hạn</v>
      </c>
      <c r="AJ309" s="67" t="str">
        <f>'Lớp 5 - Phân công'!AL120</f>
        <v/>
      </c>
      <c r="AS309" s="389" t="str">
        <f t="shared" si="217"/>
        <v/>
      </c>
      <c r="AT309" s="389" t="str">
        <f t="shared" si="32"/>
        <v/>
      </c>
      <c r="AU309" s="389" t="str">
        <f t="shared" si="33"/>
        <v/>
      </c>
      <c r="AV309" s="389" t="str">
        <f t="shared" si="34"/>
        <v/>
      </c>
      <c r="AW309" s="389" t="str">
        <f t="shared" si="35"/>
        <v/>
      </c>
      <c r="AX309" s="67" t="str">
        <f t="shared" ref="AX309:BH309" si="323">Z309</f>
        <v/>
      </c>
      <c r="AY309" s="67" t="str">
        <f t="shared" si="323"/>
        <v/>
      </c>
      <c r="AZ309" s="67" t="str">
        <f t="shared" si="323"/>
        <v/>
      </c>
      <c r="BA309" s="67" t="str">
        <f t="shared" si="323"/>
        <v/>
      </c>
      <c r="BB309" s="398" t="str">
        <f t="shared" si="323"/>
        <v/>
      </c>
      <c r="BC309" s="358" t="str">
        <f t="shared" si="323"/>
        <v/>
      </c>
      <c r="BD309" s="187" t="str">
        <f t="shared" si="323"/>
        <v/>
      </c>
      <c r="BE309" s="104" t="str">
        <f t="shared" si="323"/>
        <v/>
      </c>
      <c r="BF309" s="389" t="str">
        <f t="shared" si="323"/>
        <v/>
      </c>
      <c r="BG309" s="389" t="str">
        <f t="shared" si="323"/>
        <v>🔵 Chưa có hạn</v>
      </c>
      <c r="BH309" s="67" t="str">
        <f t="shared" si="323"/>
        <v/>
      </c>
      <c r="BI309" s="389" t="str">
        <f t="array" ref="BI309">IF($X309="","",SWITCH($W309,3,IFERROR(INDEX('Lớp 3 - Công việc chính'!$AF$14:$AF$73,MATCH($X309,'Lớp 3 - Công việc chính'!$I$14:$I$73,0)),""),4,IFERROR(INDEX('Lớp 4 - Danh mục'!$AI$14:$AI$132,MATCH($X309,'Lớp 4 - Danh mục'!$I$14:$I$132,0)),""),5,IFERROR(INDEX('Lớp 5 - Phân công'!$AJ$14:$AJ$262,MATCH($X309,'Lớp 5 - Phân công'!$I$14:$I$262,0)),""),6,IFERROR(INDEX('Lớp 6 - Chi tiết'!$AM$14:$AM$267,MATCH($X309,'Lớp 6 - Chi tiết'!$I$14:$I$267,0)),""),""))</f>
        <v/>
      </c>
      <c r="BJ309" s="389" t="str">
        <f t="array" ref="BJ309">IF($X309="","",SWITCH($W309,3,IFERROR(INDEX('Lớp 3 - Công việc chính'!$AR$14:$AR$73,MATCH($X309,'Lớp 3 - Công việc chính'!$I$14:$I$73,0)),""),4,IFERROR(INDEX('Lớp 4 - Danh mục'!$AU$14:$AU$132,MATCH($X309,'Lớp 4 - Danh mục'!$I$14:$I$132,0)),""),5,IFERROR(INDEX('Lớp 5 - Phân công'!$AV$14:$AV$262,MATCH($X309,'Lớp 5 - Phân công'!$I$14:$I$262,0)),""),6,IFERROR(INDEX('Lớp 6 - Chi tiết'!$AY$14:$AY$267,MATCH($X309,'Lớp 6 - Chi tiết'!$I$14:$I$267,0)),""),""))</f>
        <v/>
      </c>
    </row>
    <row r="310" ht="15.75" customHeight="1">
      <c r="A310" s="294" t="str">
        <f t="shared" si="12"/>
        <v/>
      </c>
      <c r="B310" s="301" t="str">
        <f t="shared" si="13"/>
        <v/>
      </c>
      <c r="C310" s="301" t="str">
        <f t="shared" si="14"/>
        <v/>
      </c>
      <c r="D310" s="301" t="str">
        <f t="shared" si="15"/>
        <v/>
      </c>
      <c r="E310" s="301" t="str">
        <f t="shared" si="16"/>
        <v/>
      </c>
      <c r="F310" s="317" t="str">
        <f t="shared" si="17"/>
        <v/>
      </c>
      <c r="G310" s="323" t="str">
        <f t="shared" si="18"/>
        <v/>
      </c>
      <c r="H310" s="327" t="str">
        <f t="shared" si="19"/>
        <v/>
      </c>
      <c r="I310" s="327" t="str">
        <f t="shared" si="20"/>
        <v/>
      </c>
      <c r="J310" s="301" t="str">
        <f t="shared" si="21"/>
        <v/>
      </c>
      <c r="K310" s="301" t="str">
        <f t="shared" si="22"/>
        <v/>
      </c>
      <c r="L310" s="344" t="str">
        <f t="array" ref="L310">IF($T310="","",LET(m,MATCH($T310,$AS$24:$AS$700,0),lvl,INDEX($W$24:$W$700,m),id,INDEX($X$24:$X$700,m),SWITCH(lvl,3,"Lớp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0" s="351" t="str">
        <f t="shared" si="23"/>
        <v/>
      </c>
      <c r="N310" s="356" t="str">
        <f t="shared" si="24"/>
        <v/>
      </c>
      <c r="O310" s="358"/>
      <c r="P310" s="360"/>
      <c r="Q310" s="360"/>
      <c r="R310" s="67"/>
      <c r="S310" s="67"/>
      <c r="T310" s="67"/>
      <c r="U310" s="389" t="str">
        <f>IF('Lớp 5 - Phân công'!I121="","",'Lớp 5 - Phân công'!K121&amp;"|"&amp;'Lớp 5 - Phân công'!J121&amp;"|"&amp;'Lớp 5 - Phân công'!I121)</f>
        <v/>
      </c>
      <c r="V310" s="389" t="str">
        <f>IF('Lớp 5 - Phân công'!I121="","","       ├─ "&amp;'Lớp 5 - Phân công'!Q121)</f>
        <v/>
      </c>
      <c r="W310" s="389" t="str">
        <f>IF('Lớp 5 - Phân công'!I121="","",5)</f>
        <v/>
      </c>
      <c r="X310" s="67" t="str">
        <f>'Lớp 5 - Phân công'!I121</f>
        <v/>
      </c>
      <c r="Y310" s="67" t="str">
        <f>'Lớp 5 - Phân công'!J121</f>
        <v/>
      </c>
      <c r="Z310" s="67" t="str">
        <f>'Lớp 5 - Phân công'!AA121</f>
        <v/>
      </c>
      <c r="AA310" s="67" t="str">
        <f>'Lớp 5 - Phân công'!Z121</f>
        <v/>
      </c>
      <c r="AB310" s="67" t="str">
        <f>'Lớp 5 - Phân công'!AC121</f>
        <v/>
      </c>
      <c r="AC310" s="67" t="str">
        <f>'Lớp 5 - Phân công'!AB121</f>
        <v/>
      </c>
      <c r="AD310" s="398" t="str">
        <f>'Lớp 5 - Phân công'!AG121</f>
        <v/>
      </c>
      <c r="AE310" s="358" t="str">
        <f>'Lớp 5 - Phân công'!AE121</f>
        <v/>
      </c>
      <c r="AF310" s="187" t="str">
        <f>'Lớp 5 - Phân công'!AH121</f>
        <v/>
      </c>
      <c r="AG310" s="104" t="str">
        <f>'Lớp 5 - Phân công'!AI121</f>
        <v/>
      </c>
      <c r="AH310" s="389" t="str">
        <f t="shared" si="27"/>
        <v/>
      </c>
      <c r="AI310" s="389" t="str">
        <f t="shared" si="37"/>
        <v>🔵 Chưa có hạn</v>
      </c>
      <c r="AJ310" s="67" t="str">
        <f>'Lớp 5 - Phân công'!AL121</f>
        <v/>
      </c>
      <c r="AS310" s="389" t="str">
        <f t="shared" si="217"/>
        <v/>
      </c>
      <c r="AT310" s="389" t="str">
        <f t="shared" si="32"/>
        <v/>
      </c>
      <c r="AU310" s="389" t="str">
        <f t="shared" si="33"/>
        <v/>
      </c>
      <c r="AV310" s="389" t="str">
        <f t="shared" si="34"/>
        <v/>
      </c>
      <c r="AW310" s="389" t="str">
        <f t="shared" si="35"/>
        <v/>
      </c>
      <c r="AX310" s="67" t="str">
        <f t="shared" ref="AX310:BH310" si="324">Z310</f>
        <v/>
      </c>
      <c r="AY310" s="67" t="str">
        <f t="shared" si="324"/>
        <v/>
      </c>
      <c r="AZ310" s="67" t="str">
        <f t="shared" si="324"/>
        <v/>
      </c>
      <c r="BA310" s="67" t="str">
        <f t="shared" si="324"/>
        <v/>
      </c>
      <c r="BB310" s="398" t="str">
        <f t="shared" si="324"/>
        <v/>
      </c>
      <c r="BC310" s="358" t="str">
        <f t="shared" si="324"/>
        <v/>
      </c>
      <c r="BD310" s="187" t="str">
        <f t="shared" si="324"/>
        <v/>
      </c>
      <c r="BE310" s="104" t="str">
        <f t="shared" si="324"/>
        <v/>
      </c>
      <c r="BF310" s="389" t="str">
        <f t="shared" si="324"/>
        <v/>
      </c>
      <c r="BG310" s="389" t="str">
        <f t="shared" si="324"/>
        <v>🔵 Chưa có hạn</v>
      </c>
      <c r="BH310" s="67" t="str">
        <f t="shared" si="324"/>
        <v/>
      </c>
      <c r="BI310" s="389" t="str">
        <f t="array" ref="BI310">IF($X310="","",SWITCH($W310,3,IFERROR(INDEX('Lớp 3 - Công việc chính'!$AF$14:$AF$73,MATCH($X310,'Lớp 3 - Công việc chính'!$I$14:$I$73,0)),""),4,IFERROR(INDEX('Lớp 4 - Danh mục'!$AI$14:$AI$132,MATCH($X310,'Lớp 4 - Danh mục'!$I$14:$I$132,0)),""),5,IFERROR(INDEX('Lớp 5 - Phân công'!$AJ$14:$AJ$262,MATCH($X310,'Lớp 5 - Phân công'!$I$14:$I$262,0)),""),6,IFERROR(INDEX('Lớp 6 - Chi tiết'!$AM$14:$AM$267,MATCH($X310,'Lớp 6 - Chi tiết'!$I$14:$I$267,0)),""),""))</f>
        <v/>
      </c>
      <c r="BJ310" s="389" t="str">
        <f t="array" ref="BJ310">IF($X310="","",SWITCH($W310,3,IFERROR(INDEX('Lớp 3 - Công việc chính'!$AR$14:$AR$73,MATCH($X310,'Lớp 3 - Công việc chính'!$I$14:$I$73,0)),""),4,IFERROR(INDEX('Lớp 4 - Danh mục'!$AU$14:$AU$132,MATCH($X310,'Lớp 4 - Danh mục'!$I$14:$I$132,0)),""),5,IFERROR(INDEX('Lớp 5 - Phân công'!$AV$14:$AV$262,MATCH($X310,'Lớp 5 - Phân công'!$I$14:$I$262,0)),""),6,IFERROR(INDEX('Lớp 6 - Chi tiết'!$AY$14:$AY$267,MATCH($X310,'Lớp 6 - Chi tiết'!$I$14:$I$267,0)),""),""))</f>
        <v/>
      </c>
    </row>
    <row r="311" ht="15.75" customHeight="1">
      <c r="A311" s="294" t="str">
        <f t="shared" si="12"/>
        <v/>
      </c>
      <c r="B311" s="301" t="str">
        <f t="shared" si="13"/>
        <v/>
      </c>
      <c r="C311" s="301" t="str">
        <f t="shared" si="14"/>
        <v/>
      </c>
      <c r="D311" s="301" t="str">
        <f t="shared" si="15"/>
        <v/>
      </c>
      <c r="E311" s="301" t="str">
        <f t="shared" si="16"/>
        <v/>
      </c>
      <c r="F311" s="317" t="str">
        <f t="shared" si="17"/>
        <v/>
      </c>
      <c r="G311" s="323" t="str">
        <f t="shared" si="18"/>
        <v/>
      </c>
      <c r="H311" s="327" t="str">
        <f t="shared" si="19"/>
        <v/>
      </c>
      <c r="I311" s="327" t="str">
        <f t="shared" si="20"/>
        <v/>
      </c>
      <c r="J311" s="301" t="str">
        <f t="shared" si="21"/>
        <v/>
      </c>
      <c r="K311" s="301" t="str">
        <f t="shared" si="22"/>
        <v/>
      </c>
      <c r="L311" s="344" t="str">
        <f t="array" ref="L311">IF($T311="","",LET(m,MATCH($T311,$AS$24:$AS$700,0),lvl,INDEX($W$24:$W$700,m),id,INDEX($X$24:$X$700,m),SWITCH(lvl,3,"Lớp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1" s="351" t="str">
        <f t="shared" si="23"/>
        <v/>
      </c>
      <c r="N311" s="356" t="str">
        <f t="shared" si="24"/>
        <v/>
      </c>
      <c r="O311" s="358"/>
      <c r="P311" s="360"/>
      <c r="Q311" s="360"/>
      <c r="R311" s="67"/>
      <c r="S311" s="67"/>
      <c r="T311" s="67"/>
      <c r="U311" s="389" t="str">
        <f>IF('Lớp 5 - Phân công'!I122="","",'Lớp 5 - Phân công'!K122&amp;"|"&amp;'Lớp 5 - Phân công'!J122&amp;"|"&amp;'Lớp 5 - Phân công'!I122)</f>
        <v/>
      </c>
      <c r="V311" s="389" t="str">
        <f>IF('Lớp 5 - Phân công'!I122="","","       ├─ "&amp;'Lớp 5 - Phân công'!Q122)</f>
        <v/>
      </c>
      <c r="W311" s="389" t="str">
        <f>IF('Lớp 5 - Phân công'!I122="","",5)</f>
        <v/>
      </c>
      <c r="X311" s="67" t="str">
        <f>'Lớp 5 - Phân công'!I122</f>
        <v/>
      </c>
      <c r="Y311" s="67" t="str">
        <f>'Lớp 5 - Phân công'!J122</f>
        <v/>
      </c>
      <c r="Z311" s="67" t="str">
        <f>'Lớp 5 - Phân công'!AA122</f>
        <v/>
      </c>
      <c r="AA311" s="67" t="str">
        <f>'Lớp 5 - Phân công'!Z122</f>
        <v/>
      </c>
      <c r="AB311" s="67" t="str">
        <f>'Lớp 5 - Phân công'!AC122</f>
        <v/>
      </c>
      <c r="AC311" s="67" t="str">
        <f>'Lớp 5 - Phân công'!AB122</f>
        <v/>
      </c>
      <c r="AD311" s="398" t="str">
        <f>'Lớp 5 - Phân công'!AG122</f>
        <v/>
      </c>
      <c r="AE311" s="358" t="str">
        <f>'Lớp 5 - Phân công'!AE122</f>
        <v/>
      </c>
      <c r="AF311" s="187" t="str">
        <f>'Lớp 5 - Phân công'!AH122</f>
        <v/>
      </c>
      <c r="AG311" s="104" t="str">
        <f>'Lớp 5 - Phân công'!AI122</f>
        <v/>
      </c>
      <c r="AH311" s="389" t="str">
        <f t="shared" si="27"/>
        <v/>
      </c>
      <c r="AI311" s="389" t="str">
        <f t="shared" si="37"/>
        <v>🔵 Chưa có hạn</v>
      </c>
      <c r="AJ311" s="67" t="str">
        <f>'Lớp 5 - Phân công'!AL122</f>
        <v/>
      </c>
      <c r="AS311" s="389" t="str">
        <f t="shared" si="217"/>
        <v/>
      </c>
      <c r="AT311" s="389" t="str">
        <f t="shared" si="32"/>
        <v/>
      </c>
      <c r="AU311" s="389" t="str">
        <f t="shared" si="33"/>
        <v/>
      </c>
      <c r="AV311" s="389" t="str">
        <f t="shared" si="34"/>
        <v/>
      </c>
      <c r="AW311" s="389" t="str">
        <f t="shared" si="35"/>
        <v/>
      </c>
      <c r="AX311" s="67" t="str">
        <f t="shared" ref="AX311:BH311" si="325">Z311</f>
        <v/>
      </c>
      <c r="AY311" s="67" t="str">
        <f t="shared" si="325"/>
        <v/>
      </c>
      <c r="AZ311" s="67" t="str">
        <f t="shared" si="325"/>
        <v/>
      </c>
      <c r="BA311" s="67" t="str">
        <f t="shared" si="325"/>
        <v/>
      </c>
      <c r="BB311" s="398" t="str">
        <f t="shared" si="325"/>
        <v/>
      </c>
      <c r="BC311" s="358" t="str">
        <f t="shared" si="325"/>
        <v/>
      </c>
      <c r="BD311" s="187" t="str">
        <f t="shared" si="325"/>
        <v/>
      </c>
      <c r="BE311" s="104" t="str">
        <f t="shared" si="325"/>
        <v/>
      </c>
      <c r="BF311" s="389" t="str">
        <f t="shared" si="325"/>
        <v/>
      </c>
      <c r="BG311" s="389" t="str">
        <f t="shared" si="325"/>
        <v>🔵 Chưa có hạn</v>
      </c>
      <c r="BH311" s="67" t="str">
        <f t="shared" si="325"/>
        <v/>
      </c>
      <c r="BI311" s="389" t="str">
        <f t="array" ref="BI311">IF($X311="","",SWITCH($W311,3,IFERROR(INDEX('Lớp 3 - Công việc chính'!$AF$14:$AF$73,MATCH($X311,'Lớp 3 - Công việc chính'!$I$14:$I$73,0)),""),4,IFERROR(INDEX('Lớp 4 - Danh mục'!$AI$14:$AI$132,MATCH($X311,'Lớp 4 - Danh mục'!$I$14:$I$132,0)),""),5,IFERROR(INDEX('Lớp 5 - Phân công'!$AJ$14:$AJ$262,MATCH($X311,'Lớp 5 - Phân công'!$I$14:$I$262,0)),""),6,IFERROR(INDEX('Lớp 6 - Chi tiết'!$AM$14:$AM$267,MATCH($X311,'Lớp 6 - Chi tiết'!$I$14:$I$267,0)),""),""))</f>
        <v/>
      </c>
      <c r="BJ311" s="389" t="str">
        <f t="array" ref="BJ311">IF($X311="","",SWITCH($W311,3,IFERROR(INDEX('Lớp 3 - Công việc chính'!$AR$14:$AR$73,MATCH($X311,'Lớp 3 - Công việc chính'!$I$14:$I$73,0)),""),4,IFERROR(INDEX('Lớp 4 - Danh mục'!$AU$14:$AU$132,MATCH($X311,'Lớp 4 - Danh mục'!$I$14:$I$132,0)),""),5,IFERROR(INDEX('Lớp 5 - Phân công'!$AV$14:$AV$262,MATCH($X311,'Lớp 5 - Phân công'!$I$14:$I$262,0)),""),6,IFERROR(INDEX('Lớp 6 - Chi tiết'!$AY$14:$AY$267,MATCH($X311,'Lớp 6 - Chi tiết'!$I$14:$I$267,0)),""),""))</f>
        <v/>
      </c>
    </row>
    <row r="312" ht="15.75" customHeight="1">
      <c r="A312" s="294" t="str">
        <f t="shared" si="12"/>
        <v/>
      </c>
      <c r="B312" s="301" t="str">
        <f t="shared" si="13"/>
        <v/>
      </c>
      <c r="C312" s="301" t="str">
        <f t="shared" si="14"/>
        <v/>
      </c>
      <c r="D312" s="301" t="str">
        <f t="shared" si="15"/>
        <v/>
      </c>
      <c r="E312" s="301" t="str">
        <f t="shared" si="16"/>
        <v/>
      </c>
      <c r="F312" s="317" t="str">
        <f t="shared" si="17"/>
        <v/>
      </c>
      <c r="G312" s="323" t="str">
        <f t="shared" si="18"/>
        <v/>
      </c>
      <c r="H312" s="327" t="str">
        <f t="shared" si="19"/>
        <v/>
      </c>
      <c r="I312" s="327" t="str">
        <f t="shared" si="20"/>
        <v/>
      </c>
      <c r="J312" s="301" t="str">
        <f t="shared" si="21"/>
        <v/>
      </c>
      <c r="K312" s="301" t="str">
        <f t="shared" si="22"/>
        <v/>
      </c>
      <c r="L312" s="344" t="str">
        <f t="array" ref="L312">IF($T312="","",LET(m,MATCH($T312,$AS$24:$AS$700,0),lvl,INDEX($W$24:$W$700,m),id,INDEX($X$24:$X$700,m),SWITCH(lvl,3,"Lớp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2" s="351" t="str">
        <f t="shared" si="23"/>
        <v/>
      </c>
      <c r="N312" s="356" t="str">
        <f t="shared" si="24"/>
        <v/>
      </c>
      <c r="O312" s="358"/>
      <c r="P312" s="360"/>
      <c r="Q312" s="360"/>
      <c r="R312" s="67"/>
      <c r="S312" s="67"/>
      <c r="T312" s="67"/>
      <c r="U312" s="389" t="str">
        <f>IF('Lớp 5 - Phân công'!I123="","",'Lớp 5 - Phân công'!K123&amp;"|"&amp;'Lớp 5 - Phân công'!J123&amp;"|"&amp;'Lớp 5 - Phân công'!I123)</f>
        <v/>
      </c>
      <c r="V312" s="389" t="str">
        <f>IF('Lớp 5 - Phân công'!I123="","","       ├─ "&amp;'Lớp 5 - Phân công'!Q123)</f>
        <v/>
      </c>
      <c r="W312" s="389" t="str">
        <f>IF('Lớp 5 - Phân công'!I123="","",5)</f>
        <v/>
      </c>
      <c r="X312" s="67" t="str">
        <f>'Lớp 5 - Phân công'!I123</f>
        <v/>
      </c>
      <c r="Y312" s="67" t="str">
        <f>'Lớp 5 - Phân công'!J123</f>
        <v/>
      </c>
      <c r="Z312" s="67" t="str">
        <f>'Lớp 5 - Phân công'!AA123</f>
        <v/>
      </c>
      <c r="AA312" s="67" t="str">
        <f>'Lớp 5 - Phân công'!Z123</f>
        <v/>
      </c>
      <c r="AB312" s="67" t="str">
        <f>'Lớp 5 - Phân công'!AC123</f>
        <v/>
      </c>
      <c r="AC312" s="67" t="str">
        <f>'Lớp 5 - Phân công'!AB123</f>
        <v/>
      </c>
      <c r="AD312" s="398" t="str">
        <f>'Lớp 5 - Phân công'!AG123</f>
        <v/>
      </c>
      <c r="AE312" s="358" t="str">
        <f>'Lớp 5 - Phân công'!AE123</f>
        <v/>
      </c>
      <c r="AF312" s="187" t="str">
        <f>'Lớp 5 - Phân công'!AH123</f>
        <v/>
      </c>
      <c r="AG312" s="104" t="str">
        <f>'Lớp 5 - Phân công'!AI123</f>
        <v/>
      </c>
      <c r="AH312" s="389" t="str">
        <f t="shared" si="27"/>
        <v/>
      </c>
      <c r="AI312" s="389" t="str">
        <f t="shared" si="37"/>
        <v>🔵 Chưa có hạn</v>
      </c>
      <c r="AJ312" s="67" t="str">
        <f>'Lớp 5 - Phân công'!AL123</f>
        <v/>
      </c>
      <c r="AS312" s="389" t="str">
        <f t="shared" si="217"/>
        <v/>
      </c>
      <c r="AT312" s="389" t="str">
        <f t="shared" si="32"/>
        <v/>
      </c>
      <c r="AU312" s="389" t="str">
        <f t="shared" si="33"/>
        <v/>
      </c>
      <c r="AV312" s="389" t="str">
        <f t="shared" si="34"/>
        <v/>
      </c>
      <c r="AW312" s="389" t="str">
        <f t="shared" si="35"/>
        <v/>
      </c>
      <c r="AX312" s="67" t="str">
        <f t="shared" ref="AX312:BH312" si="326">Z312</f>
        <v/>
      </c>
      <c r="AY312" s="67" t="str">
        <f t="shared" si="326"/>
        <v/>
      </c>
      <c r="AZ312" s="67" t="str">
        <f t="shared" si="326"/>
        <v/>
      </c>
      <c r="BA312" s="67" t="str">
        <f t="shared" si="326"/>
        <v/>
      </c>
      <c r="BB312" s="398" t="str">
        <f t="shared" si="326"/>
        <v/>
      </c>
      <c r="BC312" s="358" t="str">
        <f t="shared" si="326"/>
        <v/>
      </c>
      <c r="BD312" s="187" t="str">
        <f t="shared" si="326"/>
        <v/>
      </c>
      <c r="BE312" s="104" t="str">
        <f t="shared" si="326"/>
        <v/>
      </c>
      <c r="BF312" s="389" t="str">
        <f t="shared" si="326"/>
        <v/>
      </c>
      <c r="BG312" s="389" t="str">
        <f t="shared" si="326"/>
        <v>🔵 Chưa có hạn</v>
      </c>
      <c r="BH312" s="67" t="str">
        <f t="shared" si="326"/>
        <v/>
      </c>
      <c r="BI312" s="389" t="str">
        <f t="array" ref="BI312">IF($X312="","",SWITCH($W312,3,IFERROR(INDEX('Lớp 3 - Công việc chính'!$AF$14:$AF$73,MATCH($X312,'Lớp 3 - Công việc chính'!$I$14:$I$73,0)),""),4,IFERROR(INDEX('Lớp 4 - Danh mục'!$AI$14:$AI$132,MATCH($X312,'Lớp 4 - Danh mục'!$I$14:$I$132,0)),""),5,IFERROR(INDEX('Lớp 5 - Phân công'!$AJ$14:$AJ$262,MATCH($X312,'Lớp 5 - Phân công'!$I$14:$I$262,0)),""),6,IFERROR(INDEX('Lớp 6 - Chi tiết'!$AM$14:$AM$267,MATCH($X312,'Lớp 6 - Chi tiết'!$I$14:$I$267,0)),""),""))</f>
        <v/>
      </c>
      <c r="BJ312" s="389" t="str">
        <f t="array" ref="BJ312">IF($X312="","",SWITCH($W312,3,IFERROR(INDEX('Lớp 3 - Công việc chính'!$AR$14:$AR$73,MATCH($X312,'Lớp 3 - Công việc chính'!$I$14:$I$73,0)),""),4,IFERROR(INDEX('Lớp 4 - Danh mục'!$AU$14:$AU$132,MATCH($X312,'Lớp 4 - Danh mục'!$I$14:$I$132,0)),""),5,IFERROR(INDEX('Lớp 5 - Phân công'!$AV$14:$AV$262,MATCH($X312,'Lớp 5 - Phân công'!$I$14:$I$262,0)),""),6,IFERROR(INDEX('Lớp 6 - Chi tiết'!$AY$14:$AY$267,MATCH($X312,'Lớp 6 - Chi tiết'!$I$14:$I$267,0)),""),""))</f>
        <v/>
      </c>
    </row>
    <row r="313" ht="15.75" customHeight="1">
      <c r="A313" s="294" t="str">
        <f t="shared" si="12"/>
        <v/>
      </c>
      <c r="B313" s="301" t="str">
        <f t="shared" si="13"/>
        <v/>
      </c>
      <c r="C313" s="301" t="str">
        <f t="shared" si="14"/>
        <v/>
      </c>
      <c r="D313" s="301" t="str">
        <f t="shared" si="15"/>
        <v/>
      </c>
      <c r="E313" s="301" t="str">
        <f t="shared" si="16"/>
        <v/>
      </c>
      <c r="F313" s="317" t="str">
        <f t="shared" si="17"/>
        <v/>
      </c>
      <c r="G313" s="323" t="str">
        <f t="shared" si="18"/>
        <v/>
      </c>
      <c r="H313" s="327" t="str">
        <f t="shared" si="19"/>
        <v/>
      </c>
      <c r="I313" s="327" t="str">
        <f t="shared" si="20"/>
        <v/>
      </c>
      <c r="J313" s="301" t="str">
        <f t="shared" si="21"/>
        <v/>
      </c>
      <c r="K313" s="301" t="str">
        <f t="shared" si="22"/>
        <v/>
      </c>
      <c r="L313" s="344" t="str">
        <f t="array" ref="L313">IF($T313="","",LET(m,MATCH($T313,$AS$24:$AS$700,0),lvl,INDEX($W$24:$W$700,m),id,INDEX($X$24:$X$700,m),SWITCH(lvl,3,"Lớp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3" s="351" t="str">
        <f t="shared" si="23"/>
        <v/>
      </c>
      <c r="N313" s="356" t="str">
        <f t="shared" si="24"/>
        <v/>
      </c>
      <c r="O313" s="358"/>
      <c r="P313" s="360"/>
      <c r="Q313" s="360"/>
      <c r="R313" s="67"/>
      <c r="S313" s="67"/>
      <c r="T313" s="67"/>
      <c r="U313" s="389" t="str">
        <f>IF('Lớp 5 - Phân công'!I124="","",'Lớp 5 - Phân công'!K124&amp;"|"&amp;'Lớp 5 - Phân công'!J124&amp;"|"&amp;'Lớp 5 - Phân công'!I124)</f>
        <v/>
      </c>
      <c r="V313" s="389" t="str">
        <f>IF('Lớp 5 - Phân công'!I124="","","       ├─ "&amp;'Lớp 5 - Phân công'!Q124)</f>
        <v/>
      </c>
      <c r="W313" s="389" t="str">
        <f>IF('Lớp 5 - Phân công'!I124="","",5)</f>
        <v/>
      </c>
      <c r="X313" s="67" t="str">
        <f>'Lớp 5 - Phân công'!I124</f>
        <v/>
      </c>
      <c r="Y313" s="67" t="str">
        <f>'Lớp 5 - Phân công'!J124</f>
        <v/>
      </c>
      <c r="Z313" s="67" t="str">
        <f>'Lớp 5 - Phân công'!AA124</f>
        <v/>
      </c>
      <c r="AA313" s="67" t="str">
        <f>'Lớp 5 - Phân công'!Z124</f>
        <v/>
      </c>
      <c r="AB313" s="67" t="str">
        <f>'Lớp 5 - Phân công'!AC124</f>
        <v/>
      </c>
      <c r="AC313" s="67" t="str">
        <f>'Lớp 5 - Phân công'!AB124</f>
        <v/>
      </c>
      <c r="AD313" s="398" t="str">
        <f>'Lớp 5 - Phân công'!AG124</f>
        <v/>
      </c>
      <c r="AE313" s="358" t="str">
        <f>'Lớp 5 - Phân công'!AE124</f>
        <v/>
      </c>
      <c r="AF313" s="187" t="str">
        <f>'Lớp 5 - Phân công'!AH124</f>
        <v/>
      </c>
      <c r="AG313" s="104" t="str">
        <f>'Lớp 5 - Phân công'!AI124</f>
        <v/>
      </c>
      <c r="AH313" s="389" t="str">
        <f t="shared" si="27"/>
        <v/>
      </c>
      <c r="AI313" s="389" t="str">
        <f t="shared" si="37"/>
        <v>🔵 Chưa có hạn</v>
      </c>
      <c r="AJ313" s="67" t="str">
        <f>'Lớp 5 - Phân công'!AL124</f>
        <v/>
      </c>
      <c r="AS313" s="389" t="str">
        <f t="shared" si="217"/>
        <v/>
      </c>
      <c r="AT313" s="389" t="str">
        <f t="shared" si="32"/>
        <v/>
      </c>
      <c r="AU313" s="389" t="str">
        <f t="shared" si="33"/>
        <v/>
      </c>
      <c r="AV313" s="389" t="str">
        <f t="shared" si="34"/>
        <v/>
      </c>
      <c r="AW313" s="389" t="str">
        <f t="shared" si="35"/>
        <v/>
      </c>
      <c r="AX313" s="67" t="str">
        <f t="shared" ref="AX313:BH313" si="327">Z313</f>
        <v/>
      </c>
      <c r="AY313" s="67" t="str">
        <f t="shared" si="327"/>
        <v/>
      </c>
      <c r="AZ313" s="67" t="str">
        <f t="shared" si="327"/>
        <v/>
      </c>
      <c r="BA313" s="67" t="str">
        <f t="shared" si="327"/>
        <v/>
      </c>
      <c r="BB313" s="398" t="str">
        <f t="shared" si="327"/>
        <v/>
      </c>
      <c r="BC313" s="358" t="str">
        <f t="shared" si="327"/>
        <v/>
      </c>
      <c r="BD313" s="187" t="str">
        <f t="shared" si="327"/>
        <v/>
      </c>
      <c r="BE313" s="104" t="str">
        <f t="shared" si="327"/>
        <v/>
      </c>
      <c r="BF313" s="389" t="str">
        <f t="shared" si="327"/>
        <v/>
      </c>
      <c r="BG313" s="389" t="str">
        <f t="shared" si="327"/>
        <v>🔵 Chưa có hạn</v>
      </c>
      <c r="BH313" s="67" t="str">
        <f t="shared" si="327"/>
        <v/>
      </c>
      <c r="BI313" s="389" t="str">
        <f t="array" ref="BI313">IF($X313="","",SWITCH($W313,3,IFERROR(INDEX('Lớp 3 - Công việc chính'!$AF$14:$AF$73,MATCH($X313,'Lớp 3 - Công việc chính'!$I$14:$I$73,0)),""),4,IFERROR(INDEX('Lớp 4 - Danh mục'!$AI$14:$AI$132,MATCH($X313,'Lớp 4 - Danh mục'!$I$14:$I$132,0)),""),5,IFERROR(INDEX('Lớp 5 - Phân công'!$AJ$14:$AJ$262,MATCH($X313,'Lớp 5 - Phân công'!$I$14:$I$262,0)),""),6,IFERROR(INDEX('Lớp 6 - Chi tiết'!$AM$14:$AM$267,MATCH($X313,'Lớp 6 - Chi tiết'!$I$14:$I$267,0)),""),""))</f>
        <v/>
      </c>
      <c r="BJ313" s="389" t="str">
        <f t="array" ref="BJ313">IF($X313="","",SWITCH($W313,3,IFERROR(INDEX('Lớp 3 - Công việc chính'!$AR$14:$AR$73,MATCH($X313,'Lớp 3 - Công việc chính'!$I$14:$I$73,0)),""),4,IFERROR(INDEX('Lớp 4 - Danh mục'!$AU$14:$AU$132,MATCH($X313,'Lớp 4 - Danh mục'!$I$14:$I$132,0)),""),5,IFERROR(INDEX('Lớp 5 - Phân công'!$AV$14:$AV$262,MATCH($X313,'Lớp 5 - Phân công'!$I$14:$I$262,0)),""),6,IFERROR(INDEX('Lớp 6 - Chi tiết'!$AY$14:$AY$267,MATCH($X313,'Lớp 6 - Chi tiết'!$I$14:$I$267,0)),""),""))</f>
        <v/>
      </c>
    </row>
    <row r="314" ht="15.75" customHeight="1">
      <c r="A314" s="294" t="str">
        <f t="shared" si="12"/>
        <v/>
      </c>
      <c r="B314" s="301" t="str">
        <f t="shared" si="13"/>
        <v/>
      </c>
      <c r="C314" s="301" t="str">
        <f t="shared" si="14"/>
        <v/>
      </c>
      <c r="D314" s="301" t="str">
        <f t="shared" si="15"/>
        <v/>
      </c>
      <c r="E314" s="301" t="str">
        <f t="shared" si="16"/>
        <v/>
      </c>
      <c r="F314" s="317" t="str">
        <f t="shared" si="17"/>
        <v/>
      </c>
      <c r="G314" s="323" t="str">
        <f t="shared" si="18"/>
        <v/>
      </c>
      <c r="H314" s="327" t="str">
        <f t="shared" si="19"/>
        <v/>
      </c>
      <c r="I314" s="327" t="str">
        <f t="shared" si="20"/>
        <v/>
      </c>
      <c r="J314" s="301" t="str">
        <f t="shared" si="21"/>
        <v/>
      </c>
      <c r="K314" s="301" t="str">
        <f t="shared" si="22"/>
        <v/>
      </c>
      <c r="L314" s="344" t="str">
        <f t="array" ref="L314">IF($T314="","",LET(m,MATCH($T314,$AS$24:$AS$700,0),lvl,INDEX($W$24:$W$700,m),id,INDEX($X$24:$X$700,m),SWITCH(lvl,3,"Lớp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4" s="351" t="str">
        <f t="shared" si="23"/>
        <v/>
      </c>
      <c r="N314" s="356" t="str">
        <f t="shared" si="24"/>
        <v/>
      </c>
      <c r="O314" s="358"/>
      <c r="P314" s="360"/>
      <c r="Q314" s="360"/>
      <c r="R314" s="67"/>
      <c r="S314" s="67"/>
      <c r="T314" s="67"/>
      <c r="U314" s="389" t="str">
        <f>IF('Lớp 5 - Phân công'!I125="","",'Lớp 5 - Phân công'!K125&amp;"|"&amp;'Lớp 5 - Phân công'!J125&amp;"|"&amp;'Lớp 5 - Phân công'!I125)</f>
        <v/>
      </c>
      <c r="V314" s="389" t="str">
        <f>IF('Lớp 5 - Phân công'!I125="","","       ├─ "&amp;'Lớp 5 - Phân công'!Q125)</f>
        <v/>
      </c>
      <c r="W314" s="389" t="str">
        <f>IF('Lớp 5 - Phân công'!I125="","",5)</f>
        <v/>
      </c>
      <c r="X314" s="67" t="str">
        <f>'Lớp 5 - Phân công'!I125</f>
        <v/>
      </c>
      <c r="Y314" s="67" t="str">
        <f>'Lớp 5 - Phân công'!J125</f>
        <v/>
      </c>
      <c r="Z314" s="67" t="str">
        <f>'Lớp 5 - Phân công'!AA125</f>
        <v/>
      </c>
      <c r="AA314" s="67" t="str">
        <f>'Lớp 5 - Phân công'!Z125</f>
        <v/>
      </c>
      <c r="AB314" s="67" t="str">
        <f>'Lớp 5 - Phân công'!AC125</f>
        <v/>
      </c>
      <c r="AC314" s="67" t="str">
        <f>'Lớp 5 - Phân công'!AB125</f>
        <v/>
      </c>
      <c r="AD314" s="398" t="str">
        <f>'Lớp 5 - Phân công'!AG125</f>
        <v/>
      </c>
      <c r="AE314" s="358" t="str">
        <f>'Lớp 5 - Phân công'!AE125</f>
        <v/>
      </c>
      <c r="AF314" s="187" t="str">
        <f>'Lớp 5 - Phân công'!AH125</f>
        <v/>
      </c>
      <c r="AG314" s="104" t="str">
        <f>'Lớp 5 - Phân công'!AI125</f>
        <v/>
      </c>
      <c r="AH314" s="389" t="str">
        <f t="shared" si="27"/>
        <v/>
      </c>
      <c r="AI314" s="389" t="str">
        <f t="shared" si="37"/>
        <v>🔵 Chưa có hạn</v>
      </c>
      <c r="AJ314" s="67" t="str">
        <f>'Lớp 5 - Phân công'!AL125</f>
        <v/>
      </c>
      <c r="AS314" s="389" t="str">
        <f t="shared" si="217"/>
        <v/>
      </c>
      <c r="AT314" s="389" t="str">
        <f t="shared" si="32"/>
        <v/>
      </c>
      <c r="AU314" s="389" t="str">
        <f t="shared" si="33"/>
        <v/>
      </c>
      <c r="AV314" s="389" t="str">
        <f t="shared" si="34"/>
        <v/>
      </c>
      <c r="AW314" s="389" t="str">
        <f t="shared" si="35"/>
        <v/>
      </c>
      <c r="AX314" s="67" t="str">
        <f t="shared" ref="AX314:BH314" si="328">Z314</f>
        <v/>
      </c>
      <c r="AY314" s="67" t="str">
        <f t="shared" si="328"/>
        <v/>
      </c>
      <c r="AZ314" s="67" t="str">
        <f t="shared" si="328"/>
        <v/>
      </c>
      <c r="BA314" s="67" t="str">
        <f t="shared" si="328"/>
        <v/>
      </c>
      <c r="BB314" s="398" t="str">
        <f t="shared" si="328"/>
        <v/>
      </c>
      <c r="BC314" s="358" t="str">
        <f t="shared" si="328"/>
        <v/>
      </c>
      <c r="BD314" s="187" t="str">
        <f t="shared" si="328"/>
        <v/>
      </c>
      <c r="BE314" s="104" t="str">
        <f t="shared" si="328"/>
        <v/>
      </c>
      <c r="BF314" s="389" t="str">
        <f t="shared" si="328"/>
        <v/>
      </c>
      <c r="BG314" s="389" t="str">
        <f t="shared" si="328"/>
        <v>🔵 Chưa có hạn</v>
      </c>
      <c r="BH314" s="67" t="str">
        <f t="shared" si="328"/>
        <v/>
      </c>
      <c r="BI314" s="389" t="str">
        <f t="array" ref="BI314">IF($X314="","",SWITCH($W314,3,IFERROR(INDEX('Lớp 3 - Công việc chính'!$AF$14:$AF$73,MATCH($X314,'Lớp 3 - Công việc chính'!$I$14:$I$73,0)),""),4,IFERROR(INDEX('Lớp 4 - Danh mục'!$AI$14:$AI$132,MATCH($X314,'Lớp 4 - Danh mục'!$I$14:$I$132,0)),""),5,IFERROR(INDEX('Lớp 5 - Phân công'!$AJ$14:$AJ$262,MATCH($X314,'Lớp 5 - Phân công'!$I$14:$I$262,0)),""),6,IFERROR(INDEX('Lớp 6 - Chi tiết'!$AM$14:$AM$267,MATCH($X314,'Lớp 6 - Chi tiết'!$I$14:$I$267,0)),""),""))</f>
        <v/>
      </c>
      <c r="BJ314" s="389" t="str">
        <f t="array" ref="BJ314">IF($X314="","",SWITCH($W314,3,IFERROR(INDEX('Lớp 3 - Công việc chính'!$AR$14:$AR$73,MATCH($X314,'Lớp 3 - Công việc chính'!$I$14:$I$73,0)),""),4,IFERROR(INDEX('Lớp 4 - Danh mục'!$AU$14:$AU$132,MATCH($X314,'Lớp 4 - Danh mục'!$I$14:$I$132,0)),""),5,IFERROR(INDEX('Lớp 5 - Phân công'!$AV$14:$AV$262,MATCH($X314,'Lớp 5 - Phân công'!$I$14:$I$262,0)),""),6,IFERROR(INDEX('Lớp 6 - Chi tiết'!$AY$14:$AY$267,MATCH($X314,'Lớp 6 - Chi tiết'!$I$14:$I$267,0)),""),""))</f>
        <v/>
      </c>
    </row>
    <row r="315" ht="15.75" customHeight="1">
      <c r="A315" s="294" t="str">
        <f t="shared" si="12"/>
        <v/>
      </c>
      <c r="B315" s="301" t="str">
        <f t="shared" si="13"/>
        <v/>
      </c>
      <c r="C315" s="301" t="str">
        <f t="shared" si="14"/>
        <v/>
      </c>
      <c r="D315" s="301" t="str">
        <f t="shared" si="15"/>
        <v/>
      </c>
      <c r="E315" s="301" t="str">
        <f t="shared" si="16"/>
        <v/>
      </c>
      <c r="F315" s="317" t="str">
        <f t="shared" si="17"/>
        <v/>
      </c>
      <c r="G315" s="323" t="str">
        <f t="shared" si="18"/>
        <v/>
      </c>
      <c r="H315" s="327" t="str">
        <f t="shared" si="19"/>
        <v/>
      </c>
      <c r="I315" s="327" t="str">
        <f t="shared" si="20"/>
        <v/>
      </c>
      <c r="J315" s="301" t="str">
        <f t="shared" si="21"/>
        <v/>
      </c>
      <c r="K315" s="301" t="str">
        <f t="shared" si="22"/>
        <v/>
      </c>
      <c r="L315" s="344" t="str">
        <f t="array" ref="L315">IF($T315="","",LET(m,MATCH($T315,$AS$24:$AS$700,0),lvl,INDEX($W$24:$W$700,m),id,INDEX($X$24:$X$700,m),SWITCH(lvl,3,"Lớp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5" s="351" t="str">
        <f t="shared" si="23"/>
        <v/>
      </c>
      <c r="N315" s="356" t="str">
        <f t="shared" si="24"/>
        <v/>
      </c>
      <c r="O315" s="358"/>
      <c r="P315" s="360"/>
      <c r="Q315" s="360"/>
      <c r="R315" s="67"/>
      <c r="S315" s="67"/>
      <c r="T315" s="67"/>
      <c r="U315" s="389" t="str">
        <f>IF('Lớp 5 - Phân công'!I126="","",'Lớp 5 - Phân công'!K126&amp;"|"&amp;'Lớp 5 - Phân công'!J126&amp;"|"&amp;'Lớp 5 - Phân công'!I126)</f>
        <v/>
      </c>
      <c r="V315" s="389" t="str">
        <f>IF('Lớp 5 - Phân công'!I126="","","       ├─ "&amp;'Lớp 5 - Phân công'!Q126)</f>
        <v/>
      </c>
      <c r="W315" s="389" t="str">
        <f>IF('Lớp 5 - Phân công'!I126="","",5)</f>
        <v/>
      </c>
      <c r="X315" s="67" t="str">
        <f>'Lớp 5 - Phân công'!I126</f>
        <v/>
      </c>
      <c r="Y315" s="67" t="str">
        <f>'Lớp 5 - Phân công'!J126</f>
        <v/>
      </c>
      <c r="Z315" s="67" t="str">
        <f>'Lớp 5 - Phân công'!AA126</f>
        <v/>
      </c>
      <c r="AA315" s="67" t="str">
        <f>'Lớp 5 - Phân công'!Z126</f>
        <v/>
      </c>
      <c r="AB315" s="67" t="str">
        <f>'Lớp 5 - Phân công'!AC126</f>
        <v/>
      </c>
      <c r="AC315" s="67" t="str">
        <f>'Lớp 5 - Phân công'!AB126</f>
        <v/>
      </c>
      <c r="AD315" s="398" t="str">
        <f>'Lớp 5 - Phân công'!AG126</f>
        <v/>
      </c>
      <c r="AE315" s="358" t="str">
        <f>'Lớp 5 - Phân công'!AE126</f>
        <v/>
      </c>
      <c r="AF315" s="187" t="str">
        <f>'Lớp 5 - Phân công'!AH126</f>
        <v/>
      </c>
      <c r="AG315" s="104" t="str">
        <f>'Lớp 5 - Phân công'!AI126</f>
        <v/>
      </c>
      <c r="AH315" s="389" t="str">
        <f t="shared" si="27"/>
        <v/>
      </c>
      <c r="AI315" s="389" t="str">
        <f t="shared" si="37"/>
        <v>🔵 Chưa có hạn</v>
      </c>
      <c r="AJ315" s="67" t="str">
        <f>'Lớp 5 - Phân công'!AL126</f>
        <v/>
      </c>
      <c r="AS315" s="389" t="str">
        <f t="shared" si="217"/>
        <v/>
      </c>
      <c r="AT315" s="389" t="str">
        <f t="shared" si="32"/>
        <v/>
      </c>
      <c r="AU315" s="389" t="str">
        <f t="shared" si="33"/>
        <v/>
      </c>
      <c r="AV315" s="389" t="str">
        <f t="shared" si="34"/>
        <v/>
      </c>
      <c r="AW315" s="389" t="str">
        <f t="shared" si="35"/>
        <v/>
      </c>
      <c r="AX315" s="67" t="str">
        <f t="shared" ref="AX315:BH315" si="329">Z315</f>
        <v/>
      </c>
      <c r="AY315" s="67" t="str">
        <f t="shared" si="329"/>
        <v/>
      </c>
      <c r="AZ315" s="67" t="str">
        <f t="shared" si="329"/>
        <v/>
      </c>
      <c r="BA315" s="67" t="str">
        <f t="shared" si="329"/>
        <v/>
      </c>
      <c r="BB315" s="398" t="str">
        <f t="shared" si="329"/>
        <v/>
      </c>
      <c r="BC315" s="358" t="str">
        <f t="shared" si="329"/>
        <v/>
      </c>
      <c r="BD315" s="187" t="str">
        <f t="shared" si="329"/>
        <v/>
      </c>
      <c r="BE315" s="104" t="str">
        <f t="shared" si="329"/>
        <v/>
      </c>
      <c r="BF315" s="389" t="str">
        <f t="shared" si="329"/>
        <v/>
      </c>
      <c r="BG315" s="389" t="str">
        <f t="shared" si="329"/>
        <v>🔵 Chưa có hạn</v>
      </c>
      <c r="BH315" s="67" t="str">
        <f t="shared" si="329"/>
        <v/>
      </c>
      <c r="BI315" s="389" t="str">
        <f t="array" ref="BI315">IF($X315="","",SWITCH($W315,3,IFERROR(INDEX('Lớp 3 - Công việc chính'!$AF$14:$AF$73,MATCH($X315,'Lớp 3 - Công việc chính'!$I$14:$I$73,0)),""),4,IFERROR(INDEX('Lớp 4 - Danh mục'!$AI$14:$AI$132,MATCH($X315,'Lớp 4 - Danh mục'!$I$14:$I$132,0)),""),5,IFERROR(INDEX('Lớp 5 - Phân công'!$AJ$14:$AJ$262,MATCH($X315,'Lớp 5 - Phân công'!$I$14:$I$262,0)),""),6,IFERROR(INDEX('Lớp 6 - Chi tiết'!$AM$14:$AM$267,MATCH($X315,'Lớp 6 - Chi tiết'!$I$14:$I$267,0)),""),""))</f>
        <v/>
      </c>
      <c r="BJ315" s="389" t="str">
        <f t="array" ref="BJ315">IF($X315="","",SWITCH($W315,3,IFERROR(INDEX('Lớp 3 - Công việc chính'!$AR$14:$AR$73,MATCH($X315,'Lớp 3 - Công việc chính'!$I$14:$I$73,0)),""),4,IFERROR(INDEX('Lớp 4 - Danh mục'!$AU$14:$AU$132,MATCH($X315,'Lớp 4 - Danh mục'!$I$14:$I$132,0)),""),5,IFERROR(INDEX('Lớp 5 - Phân công'!$AV$14:$AV$262,MATCH($X315,'Lớp 5 - Phân công'!$I$14:$I$262,0)),""),6,IFERROR(INDEX('Lớp 6 - Chi tiết'!$AY$14:$AY$267,MATCH($X315,'Lớp 6 - Chi tiết'!$I$14:$I$267,0)),""),""))</f>
        <v/>
      </c>
    </row>
    <row r="316" ht="15.75" customHeight="1">
      <c r="A316" s="294" t="str">
        <f t="shared" si="12"/>
        <v/>
      </c>
      <c r="B316" s="301" t="str">
        <f t="shared" si="13"/>
        <v/>
      </c>
      <c r="C316" s="301" t="str">
        <f t="shared" si="14"/>
        <v/>
      </c>
      <c r="D316" s="301" t="str">
        <f t="shared" si="15"/>
        <v/>
      </c>
      <c r="E316" s="301" t="str">
        <f t="shared" si="16"/>
        <v/>
      </c>
      <c r="F316" s="317" t="str">
        <f t="shared" si="17"/>
        <v/>
      </c>
      <c r="G316" s="323" t="str">
        <f t="shared" si="18"/>
        <v/>
      </c>
      <c r="H316" s="327" t="str">
        <f t="shared" si="19"/>
        <v/>
      </c>
      <c r="I316" s="327" t="str">
        <f t="shared" si="20"/>
        <v/>
      </c>
      <c r="J316" s="301" t="str">
        <f t="shared" si="21"/>
        <v/>
      </c>
      <c r="K316" s="301" t="str">
        <f t="shared" si="22"/>
        <v/>
      </c>
      <c r="L316" s="344" t="str">
        <f t="array" ref="L316">IF($T316="","",LET(m,MATCH($T316,$AS$24:$AS$700,0),lvl,INDEX($W$24:$W$700,m),id,INDEX($X$24:$X$700,m),SWITCH(lvl,3,"Lớp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6" s="351" t="str">
        <f t="shared" si="23"/>
        <v/>
      </c>
      <c r="N316" s="356" t="str">
        <f t="shared" si="24"/>
        <v/>
      </c>
      <c r="O316" s="358"/>
      <c r="P316" s="360"/>
      <c r="Q316" s="360"/>
      <c r="R316" s="67"/>
      <c r="S316" s="67"/>
      <c r="T316" s="67"/>
      <c r="U316" s="389" t="str">
        <f>IF('Lớp 5 - Phân công'!I127="","",'Lớp 5 - Phân công'!K127&amp;"|"&amp;'Lớp 5 - Phân công'!J127&amp;"|"&amp;'Lớp 5 - Phân công'!I127)</f>
        <v/>
      </c>
      <c r="V316" s="389" t="str">
        <f>IF('Lớp 5 - Phân công'!I127="","","       ├─ "&amp;'Lớp 5 - Phân công'!Q127)</f>
        <v/>
      </c>
      <c r="W316" s="389" t="str">
        <f>IF('Lớp 5 - Phân công'!I127="","",5)</f>
        <v/>
      </c>
      <c r="X316" s="67" t="str">
        <f>'Lớp 5 - Phân công'!I127</f>
        <v/>
      </c>
      <c r="Y316" s="67" t="str">
        <f>'Lớp 5 - Phân công'!J127</f>
        <v/>
      </c>
      <c r="Z316" s="67" t="str">
        <f>'Lớp 5 - Phân công'!AA127</f>
        <v/>
      </c>
      <c r="AA316" s="67" t="str">
        <f>'Lớp 5 - Phân công'!Z127</f>
        <v/>
      </c>
      <c r="AB316" s="67" t="str">
        <f>'Lớp 5 - Phân công'!AC127</f>
        <v/>
      </c>
      <c r="AC316" s="67" t="str">
        <f>'Lớp 5 - Phân công'!AB127</f>
        <v/>
      </c>
      <c r="AD316" s="398" t="str">
        <f>'Lớp 5 - Phân công'!AG127</f>
        <v/>
      </c>
      <c r="AE316" s="358" t="str">
        <f>'Lớp 5 - Phân công'!AE127</f>
        <v/>
      </c>
      <c r="AF316" s="187" t="str">
        <f>'Lớp 5 - Phân công'!AH127</f>
        <v/>
      </c>
      <c r="AG316" s="104" t="str">
        <f>'Lớp 5 - Phân công'!AI127</f>
        <v/>
      </c>
      <c r="AH316" s="389" t="str">
        <f t="shared" si="27"/>
        <v/>
      </c>
      <c r="AI316" s="389" t="str">
        <f t="shared" si="37"/>
        <v>🔵 Chưa có hạn</v>
      </c>
      <c r="AJ316" s="67" t="str">
        <f>'Lớp 5 - Phân công'!AL127</f>
        <v/>
      </c>
      <c r="AS316" s="389" t="str">
        <f t="shared" si="217"/>
        <v/>
      </c>
      <c r="AT316" s="389" t="str">
        <f t="shared" si="32"/>
        <v/>
      </c>
      <c r="AU316" s="389" t="str">
        <f t="shared" si="33"/>
        <v/>
      </c>
      <c r="AV316" s="389" t="str">
        <f t="shared" si="34"/>
        <v/>
      </c>
      <c r="AW316" s="389" t="str">
        <f t="shared" si="35"/>
        <v/>
      </c>
      <c r="AX316" s="67" t="str">
        <f t="shared" ref="AX316:BH316" si="330">Z316</f>
        <v/>
      </c>
      <c r="AY316" s="67" t="str">
        <f t="shared" si="330"/>
        <v/>
      </c>
      <c r="AZ316" s="67" t="str">
        <f t="shared" si="330"/>
        <v/>
      </c>
      <c r="BA316" s="67" t="str">
        <f t="shared" si="330"/>
        <v/>
      </c>
      <c r="BB316" s="398" t="str">
        <f t="shared" si="330"/>
        <v/>
      </c>
      <c r="BC316" s="358" t="str">
        <f t="shared" si="330"/>
        <v/>
      </c>
      <c r="BD316" s="187" t="str">
        <f t="shared" si="330"/>
        <v/>
      </c>
      <c r="BE316" s="104" t="str">
        <f t="shared" si="330"/>
        <v/>
      </c>
      <c r="BF316" s="389" t="str">
        <f t="shared" si="330"/>
        <v/>
      </c>
      <c r="BG316" s="389" t="str">
        <f t="shared" si="330"/>
        <v>🔵 Chưa có hạn</v>
      </c>
      <c r="BH316" s="67" t="str">
        <f t="shared" si="330"/>
        <v/>
      </c>
      <c r="BI316" s="389" t="str">
        <f t="array" ref="BI316">IF($X316="","",SWITCH($W316,3,IFERROR(INDEX('Lớp 3 - Công việc chính'!$AF$14:$AF$73,MATCH($X316,'Lớp 3 - Công việc chính'!$I$14:$I$73,0)),""),4,IFERROR(INDEX('Lớp 4 - Danh mục'!$AI$14:$AI$132,MATCH($X316,'Lớp 4 - Danh mục'!$I$14:$I$132,0)),""),5,IFERROR(INDEX('Lớp 5 - Phân công'!$AJ$14:$AJ$262,MATCH($X316,'Lớp 5 - Phân công'!$I$14:$I$262,0)),""),6,IFERROR(INDEX('Lớp 6 - Chi tiết'!$AM$14:$AM$267,MATCH($X316,'Lớp 6 - Chi tiết'!$I$14:$I$267,0)),""),""))</f>
        <v/>
      </c>
      <c r="BJ316" s="389" t="str">
        <f t="array" ref="BJ316">IF($X316="","",SWITCH($W316,3,IFERROR(INDEX('Lớp 3 - Công việc chính'!$AR$14:$AR$73,MATCH($X316,'Lớp 3 - Công việc chính'!$I$14:$I$73,0)),""),4,IFERROR(INDEX('Lớp 4 - Danh mục'!$AU$14:$AU$132,MATCH($X316,'Lớp 4 - Danh mục'!$I$14:$I$132,0)),""),5,IFERROR(INDEX('Lớp 5 - Phân công'!$AV$14:$AV$262,MATCH($X316,'Lớp 5 - Phân công'!$I$14:$I$262,0)),""),6,IFERROR(INDEX('Lớp 6 - Chi tiết'!$AY$14:$AY$267,MATCH($X316,'Lớp 6 - Chi tiết'!$I$14:$I$267,0)),""),""))</f>
        <v/>
      </c>
    </row>
    <row r="317" ht="15.75" customHeight="1">
      <c r="A317" s="294" t="str">
        <f t="shared" si="12"/>
        <v/>
      </c>
      <c r="B317" s="301" t="str">
        <f t="shared" si="13"/>
        <v/>
      </c>
      <c r="C317" s="301" t="str">
        <f t="shared" si="14"/>
        <v/>
      </c>
      <c r="D317" s="301" t="str">
        <f t="shared" si="15"/>
        <v/>
      </c>
      <c r="E317" s="301" t="str">
        <f t="shared" si="16"/>
        <v/>
      </c>
      <c r="F317" s="317" t="str">
        <f t="shared" si="17"/>
        <v/>
      </c>
      <c r="G317" s="323" t="str">
        <f t="shared" si="18"/>
        <v/>
      </c>
      <c r="H317" s="327" t="str">
        <f t="shared" si="19"/>
        <v/>
      </c>
      <c r="I317" s="327" t="str">
        <f t="shared" si="20"/>
        <v/>
      </c>
      <c r="J317" s="301" t="str">
        <f t="shared" si="21"/>
        <v/>
      </c>
      <c r="K317" s="301" t="str">
        <f t="shared" si="22"/>
        <v/>
      </c>
      <c r="L317" s="344" t="str">
        <f t="array" ref="L317">IF($T317="","",LET(m,MATCH($T317,$AS$24:$AS$700,0),lvl,INDEX($W$24:$W$700,m),id,INDEX($X$24:$X$700,m),SWITCH(lvl,3,"Lớp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7" s="351" t="str">
        <f t="shared" si="23"/>
        <v/>
      </c>
      <c r="N317" s="356" t="str">
        <f t="shared" si="24"/>
        <v/>
      </c>
      <c r="O317" s="358"/>
      <c r="P317" s="360"/>
      <c r="Q317" s="360"/>
      <c r="R317" s="67"/>
      <c r="S317" s="67"/>
      <c r="T317" s="67"/>
      <c r="U317" s="389" t="str">
        <f>IF('Lớp 5 - Phân công'!I128="","",'Lớp 5 - Phân công'!K128&amp;"|"&amp;'Lớp 5 - Phân công'!J128&amp;"|"&amp;'Lớp 5 - Phân công'!I128)</f>
        <v/>
      </c>
      <c r="V317" s="389" t="str">
        <f>IF('Lớp 5 - Phân công'!I128="","","       ├─ "&amp;'Lớp 5 - Phân công'!Q128)</f>
        <v/>
      </c>
      <c r="W317" s="389" t="str">
        <f>IF('Lớp 5 - Phân công'!I128="","",5)</f>
        <v/>
      </c>
      <c r="X317" s="67" t="str">
        <f>'Lớp 5 - Phân công'!I128</f>
        <v/>
      </c>
      <c r="Y317" s="67" t="str">
        <f>'Lớp 5 - Phân công'!J128</f>
        <v/>
      </c>
      <c r="Z317" s="67" t="str">
        <f>'Lớp 5 - Phân công'!AA128</f>
        <v/>
      </c>
      <c r="AA317" s="67" t="str">
        <f>'Lớp 5 - Phân công'!Z128</f>
        <v/>
      </c>
      <c r="AB317" s="67" t="str">
        <f>'Lớp 5 - Phân công'!AC128</f>
        <v/>
      </c>
      <c r="AC317" s="67" t="str">
        <f>'Lớp 5 - Phân công'!AB128</f>
        <v/>
      </c>
      <c r="AD317" s="398" t="str">
        <f>'Lớp 5 - Phân công'!AG128</f>
        <v/>
      </c>
      <c r="AE317" s="358" t="str">
        <f>'Lớp 5 - Phân công'!AE128</f>
        <v/>
      </c>
      <c r="AF317" s="187" t="str">
        <f>'Lớp 5 - Phân công'!AH128</f>
        <v/>
      </c>
      <c r="AG317" s="104" t="str">
        <f>'Lớp 5 - Phân công'!AI128</f>
        <v/>
      </c>
      <c r="AH317" s="389" t="str">
        <f t="shared" si="27"/>
        <v/>
      </c>
      <c r="AI317" s="389" t="str">
        <f t="shared" si="37"/>
        <v>🔵 Chưa có hạn</v>
      </c>
      <c r="AJ317" s="67" t="str">
        <f>'Lớp 5 - Phân công'!AL128</f>
        <v/>
      </c>
      <c r="AS317" s="389" t="str">
        <f t="shared" si="217"/>
        <v/>
      </c>
      <c r="AT317" s="389" t="str">
        <f t="shared" si="32"/>
        <v/>
      </c>
      <c r="AU317" s="389" t="str">
        <f t="shared" si="33"/>
        <v/>
      </c>
      <c r="AV317" s="389" t="str">
        <f t="shared" si="34"/>
        <v/>
      </c>
      <c r="AW317" s="389" t="str">
        <f t="shared" si="35"/>
        <v/>
      </c>
      <c r="AX317" s="67" t="str">
        <f t="shared" ref="AX317:BH317" si="331">Z317</f>
        <v/>
      </c>
      <c r="AY317" s="67" t="str">
        <f t="shared" si="331"/>
        <v/>
      </c>
      <c r="AZ317" s="67" t="str">
        <f t="shared" si="331"/>
        <v/>
      </c>
      <c r="BA317" s="67" t="str">
        <f t="shared" si="331"/>
        <v/>
      </c>
      <c r="BB317" s="398" t="str">
        <f t="shared" si="331"/>
        <v/>
      </c>
      <c r="BC317" s="358" t="str">
        <f t="shared" si="331"/>
        <v/>
      </c>
      <c r="BD317" s="187" t="str">
        <f t="shared" si="331"/>
        <v/>
      </c>
      <c r="BE317" s="104" t="str">
        <f t="shared" si="331"/>
        <v/>
      </c>
      <c r="BF317" s="389" t="str">
        <f t="shared" si="331"/>
        <v/>
      </c>
      <c r="BG317" s="389" t="str">
        <f t="shared" si="331"/>
        <v>🔵 Chưa có hạn</v>
      </c>
      <c r="BH317" s="67" t="str">
        <f t="shared" si="331"/>
        <v/>
      </c>
      <c r="BI317" s="389" t="str">
        <f t="array" ref="BI317">IF($X317="","",SWITCH($W317,3,IFERROR(INDEX('Lớp 3 - Công việc chính'!$AF$14:$AF$73,MATCH($X317,'Lớp 3 - Công việc chính'!$I$14:$I$73,0)),""),4,IFERROR(INDEX('Lớp 4 - Danh mục'!$AI$14:$AI$132,MATCH($X317,'Lớp 4 - Danh mục'!$I$14:$I$132,0)),""),5,IFERROR(INDEX('Lớp 5 - Phân công'!$AJ$14:$AJ$262,MATCH($X317,'Lớp 5 - Phân công'!$I$14:$I$262,0)),""),6,IFERROR(INDEX('Lớp 6 - Chi tiết'!$AM$14:$AM$267,MATCH($X317,'Lớp 6 - Chi tiết'!$I$14:$I$267,0)),""),""))</f>
        <v/>
      </c>
      <c r="BJ317" s="389" t="str">
        <f t="array" ref="BJ317">IF($X317="","",SWITCH($W317,3,IFERROR(INDEX('Lớp 3 - Công việc chính'!$AR$14:$AR$73,MATCH($X317,'Lớp 3 - Công việc chính'!$I$14:$I$73,0)),""),4,IFERROR(INDEX('Lớp 4 - Danh mục'!$AU$14:$AU$132,MATCH($X317,'Lớp 4 - Danh mục'!$I$14:$I$132,0)),""),5,IFERROR(INDEX('Lớp 5 - Phân công'!$AV$14:$AV$262,MATCH($X317,'Lớp 5 - Phân công'!$I$14:$I$262,0)),""),6,IFERROR(INDEX('Lớp 6 - Chi tiết'!$AY$14:$AY$267,MATCH($X317,'Lớp 6 - Chi tiết'!$I$14:$I$267,0)),""),""))</f>
        <v/>
      </c>
    </row>
    <row r="318" ht="15.75" customHeight="1">
      <c r="A318" s="294" t="str">
        <f t="shared" si="12"/>
        <v/>
      </c>
      <c r="B318" s="301" t="str">
        <f t="shared" si="13"/>
        <v/>
      </c>
      <c r="C318" s="301" t="str">
        <f t="shared" si="14"/>
        <v/>
      </c>
      <c r="D318" s="301" t="str">
        <f t="shared" si="15"/>
        <v/>
      </c>
      <c r="E318" s="301" t="str">
        <f t="shared" si="16"/>
        <v/>
      </c>
      <c r="F318" s="317" t="str">
        <f t="shared" si="17"/>
        <v/>
      </c>
      <c r="G318" s="323" t="str">
        <f t="shared" si="18"/>
        <v/>
      </c>
      <c r="H318" s="327" t="str">
        <f t="shared" si="19"/>
        <v/>
      </c>
      <c r="I318" s="327" t="str">
        <f t="shared" si="20"/>
        <v/>
      </c>
      <c r="J318" s="301" t="str">
        <f t="shared" si="21"/>
        <v/>
      </c>
      <c r="K318" s="301" t="str">
        <f t="shared" si="22"/>
        <v/>
      </c>
      <c r="L318" s="344" t="str">
        <f t="array" ref="L318">IF($T318="","",LET(m,MATCH($T318,$AS$24:$AS$700,0),lvl,INDEX($W$24:$W$700,m),id,INDEX($X$24:$X$700,m),SWITCH(lvl,3,"Lớp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8" s="351" t="str">
        <f t="shared" si="23"/>
        <v/>
      </c>
      <c r="N318" s="356" t="str">
        <f t="shared" si="24"/>
        <v/>
      </c>
      <c r="O318" s="358"/>
      <c r="P318" s="360"/>
      <c r="Q318" s="360"/>
      <c r="R318" s="67"/>
      <c r="S318" s="67"/>
      <c r="T318" s="67"/>
      <c r="U318" s="389" t="str">
        <f>IF('Lớp 5 - Phân công'!I129="","",'Lớp 5 - Phân công'!K129&amp;"|"&amp;'Lớp 5 - Phân công'!J129&amp;"|"&amp;'Lớp 5 - Phân công'!I129)</f>
        <v/>
      </c>
      <c r="V318" s="389" t="str">
        <f>IF('Lớp 5 - Phân công'!I129="","","       ├─ "&amp;'Lớp 5 - Phân công'!Q129)</f>
        <v/>
      </c>
      <c r="W318" s="389" t="str">
        <f>IF('Lớp 5 - Phân công'!I129="","",5)</f>
        <v/>
      </c>
      <c r="X318" s="67" t="str">
        <f>'Lớp 5 - Phân công'!I129</f>
        <v/>
      </c>
      <c r="Y318" s="67" t="str">
        <f>'Lớp 5 - Phân công'!J129</f>
        <v/>
      </c>
      <c r="Z318" s="67" t="str">
        <f>'Lớp 5 - Phân công'!AA129</f>
        <v/>
      </c>
      <c r="AA318" s="67" t="str">
        <f>'Lớp 5 - Phân công'!Z129</f>
        <v/>
      </c>
      <c r="AB318" s="67" t="str">
        <f>'Lớp 5 - Phân công'!AC129</f>
        <v/>
      </c>
      <c r="AC318" s="67" t="str">
        <f>'Lớp 5 - Phân công'!AB129</f>
        <v/>
      </c>
      <c r="AD318" s="398" t="str">
        <f>'Lớp 5 - Phân công'!AG129</f>
        <v/>
      </c>
      <c r="AE318" s="358" t="str">
        <f>'Lớp 5 - Phân công'!AE129</f>
        <v/>
      </c>
      <c r="AF318" s="187" t="str">
        <f>'Lớp 5 - Phân công'!AH129</f>
        <v/>
      </c>
      <c r="AG318" s="104" t="str">
        <f>'Lớp 5 - Phân công'!AI129</f>
        <v/>
      </c>
      <c r="AH318" s="389" t="str">
        <f t="shared" si="27"/>
        <v/>
      </c>
      <c r="AI318" s="389" t="str">
        <f t="shared" si="37"/>
        <v>🔵 Chưa có hạn</v>
      </c>
      <c r="AJ318" s="67" t="str">
        <f>'Lớp 5 - Phân công'!AL129</f>
        <v/>
      </c>
      <c r="AS318" s="389" t="str">
        <f t="shared" si="217"/>
        <v/>
      </c>
      <c r="AT318" s="389" t="str">
        <f t="shared" si="32"/>
        <v/>
      </c>
      <c r="AU318" s="389" t="str">
        <f t="shared" si="33"/>
        <v/>
      </c>
      <c r="AV318" s="389" t="str">
        <f t="shared" si="34"/>
        <v/>
      </c>
      <c r="AW318" s="389" t="str">
        <f t="shared" si="35"/>
        <v/>
      </c>
      <c r="AX318" s="67" t="str">
        <f t="shared" ref="AX318:BH318" si="332">Z318</f>
        <v/>
      </c>
      <c r="AY318" s="67" t="str">
        <f t="shared" si="332"/>
        <v/>
      </c>
      <c r="AZ318" s="67" t="str">
        <f t="shared" si="332"/>
        <v/>
      </c>
      <c r="BA318" s="67" t="str">
        <f t="shared" si="332"/>
        <v/>
      </c>
      <c r="BB318" s="398" t="str">
        <f t="shared" si="332"/>
        <v/>
      </c>
      <c r="BC318" s="358" t="str">
        <f t="shared" si="332"/>
        <v/>
      </c>
      <c r="BD318" s="187" t="str">
        <f t="shared" si="332"/>
        <v/>
      </c>
      <c r="BE318" s="104" t="str">
        <f t="shared" si="332"/>
        <v/>
      </c>
      <c r="BF318" s="389" t="str">
        <f t="shared" si="332"/>
        <v/>
      </c>
      <c r="BG318" s="389" t="str">
        <f t="shared" si="332"/>
        <v>🔵 Chưa có hạn</v>
      </c>
      <c r="BH318" s="67" t="str">
        <f t="shared" si="332"/>
        <v/>
      </c>
      <c r="BI318" s="389" t="str">
        <f t="array" ref="BI318">IF($X318="","",SWITCH($W318,3,IFERROR(INDEX('Lớp 3 - Công việc chính'!$AF$14:$AF$73,MATCH($X318,'Lớp 3 - Công việc chính'!$I$14:$I$73,0)),""),4,IFERROR(INDEX('Lớp 4 - Danh mục'!$AI$14:$AI$132,MATCH($X318,'Lớp 4 - Danh mục'!$I$14:$I$132,0)),""),5,IFERROR(INDEX('Lớp 5 - Phân công'!$AJ$14:$AJ$262,MATCH($X318,'Lớp 5 - Phân công'!$I$14:$I$262,0)),""),6,IFERROR(INDEX('Lớp 6 - Chi tiết'!$AM$14:$AM$267,MATCH($X318,'Lớp 6 - Chi tiết'!$I$14:$I$267,0)),""),""))</f>
        <v/>
      </c>
      <c r="BJ318" s="389" t="str">
        <f t="array" ref="BJ318">IF($X318="","",SWITCH($W318,3,IFERROR(INDEX('Lớp 3 - Công việc chính'!$AR$14:$AR$73,MATCH($X318,'Lớp 3 - Công việc chính'!$I$14:$I$73,0)),""),4,IFERROR(INDEX('Lớp 4 - Danh mục'!$AU$14:$AU$132,MATCH($X318,'Lớp 4 - Danh mục'!$I$14:$I$132,0)),""),5,IFERROR(INDEX('Lớp 5 - Phân công'!$AV$14:$AV$262,MATCH($X318,'Lớp 5 - Phân công'!$I$14:$I$262,0)),""),6,IFERROR(INDEX('Lớp 6 - Chi tiết'!$AY$14:$AY$267,MATCH($X318,'Lớp 6 - Chi tiết'!$I$14:$I$267,0)),""),""))</f>
        <v/>
      </c>
    </row>
    <row r="319" ht="15.75" customHeight="1">
      <c r="A319" s="294" t="str">
        <f t="shared" si="12"/>
        <v/>
      </c>
      <c r="B319" s="301" t="str">
        <f t="shared" si="13"/>
        <v/>
      </c>
      <c r="C319" s="301" t="str">
        <f t="shared" si="14"/>
        <v/>
      </c>
      <c r="D319" s="301" t="str">
        <f t="shared" si="15"/>
        <v/>
      </c>
      <c r="E319" s="301" t="str">
        <f t="shared" si="16"/>
        <v/>
      </c>
      <c r="F319" s="317" t="str">
        <f t="shared" si="17"/>
        <v/>
      </c>
      <c r="G319" s="323" t="str">
        <f t="shared" si="18"/>
        <v/>
      </c>
      <c r="H319" s="327" t="str">
        <f t="shared" si="19"/>
        <v/>
      </c>
      <c r="I319" s="327" t="str">
        <f t="shared" si="20"/>
        <v/>
      </c>
      <c r="J319" s="301" t="str">
        <f t="shared" si="21"/>
        <v/>
      </c>
      <c r="K319" s="301" t="str">
        <f t="shared" si="22"/>
        <v/>
      </c>
      <c r="L319" s="344" t="str">
        <f t="array" ref="L319">IF($T319="","",LET(m,MATCH($T319,$AS$24:$AS$700,0),lvl,INDEX($W$24:$W$700,m),id,INDEX($X$24:$X$700,m),SWITCH(lvl,3,"Lớp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19" s="351" t="str">
        <f t="shared" si="23"/>
        <v/>
      </c>
      <c r="N319" s="356" t="str">
        <f t="shared" si="24"/>
        <v/>
      </c>
      <c r="O319" s="358"/>
      <c r="P319" s="360"/>
      <c r="Q319" s="360"/>
      <c r="R319" s="67"/>
      <c r="S319" s="67"/>
      <c r="T319" s="67"/>
      <c r="U319" s="389" t="str">
        <f>IF('Lớp 5 - Phân công'!I130="","",'Lớp 5 - Phân công'!K130&amp;"|"&amp;'Lớp 5 - Phân công'!J130&amp;"|"&amp;'Lớp 5 - Phân công'!I130)</f>
        <v/>
      </c>
      <c r="V319" s="389" t="str">
        <f>IF('Lớp 5 - Phân công'!I130="","","       ├─ "&amp;'Lớp 5 - Phân công'!Q130)</f>
        <v/>
      </c>
      <c r="W319" s="389" t="str">
        <f>IF('Lớp 5 - Phân công'!I130="","",5)</f>
        <v/>
      </c>
      <c r="X319" s="67" t="str">
        <f>'Lớp 5 - Phân công'!I130</f>
        <v/>
      </c>
      <c r="Y319" s="67" t="str">
        <f>'Lớp 5 - Phân công'!J130</f>
        <v/>
      </c>
      <c r="Z319" s="67" t="str">
        <f>'Lớp 5 - Phân công'!AA130</f>
        <v/>
      </c>
      <c r="AA319" s="67" t="str">
        <f>'Lớp 5 - Phân công'!Z130</f>
        <v/>
      </c>
      <c r="AB319" s="67" t="str">
        <f>'Lớp 5 - Phân công'!AC130</f>
        <v/>
      </c>
      <c r="AC319" s="67" t="str">
        <f>'Lớp 5 - Phân công'!AB130</f>
        <v/>
      </c>
      <c r="AD319" s="398" t="str">
        <f>'Lớp 5 - Phân công'!AG130</f>
        <v/>
      </c>
      <c r="AE319" s="358" t="str">
        <f>'Lớp 5 - Phân công'!AE130</f>
        <v/>
      </c>
      <c r="AF319" s="187" t="str">
        <f>'Lớp 5 - Phân công'!AH130</f>
        <v/>
      </c>
      <c r="AG319" s="104" t="str">
        <f>'Lớp 5 - Phân công'!AI130</f>
        <v/>
      </c>
      <c r="AH319" s="389" t="str">
        <f t="shared" si="27"/>
        <v/>
      </c>
      <c r="AI319" s="389" t="str">
        <f t="shared" si="37"/>
        <v>🔵 Chưa có hạn</v>
      </c>
      <c r="AJ319" s="67" t="str">
        <f>'Lớp 5 - Phân công'!AL130</f>
        <v/>
      </c>
      <c r="AS319" s="389" t="str">
        <f t="shared" si="217"/>
        <v/>
      </c>
      <c r="AT319" s="389" t="str">
        <f t="shared" si="32"/>
        <v/>
      </c>
      <c r="AU319" s="389" t="str">
        <f t="shared" si="33"/>
        <v/>
      </c>
      <c r="AV319" s="389" t="str">
        <f t="shared" si="34"/>
        <v/>
      </c>
      <c r="AW319" s="389" t="str">
        <f t="shared" si="35"/>
        <v/>
      </c>
      <c r="AX319" s="67" t="str">
        <f t="shared" ref="AX319:BH319" si="333">Z319</f>
        <v/>
      </c>
      <c r="AY319" s="67" t="str">
        <f t="shared" si="333"/>
        <v/>
      </c>
      <c r="AZ319" s="67" t="str">
        <f t="shared" si="333"/>
        <v/>
      </c>
      <c r="BA319" s="67" t="str">
        <f t="shared" si="333"/>
        <v/>
      </c>
      <c r="BB319" s="398" t="str">
        <f t="shared" si="333"/>
        <v/>
      </c>
      <c r="BC319" s="358" t="str">
        <f t="shared" si="333"/>
        <v/>
      </c>
      <c r="BD319" s="187" t="str">
        <f t="shared" si="333"/>
        <v/>
      </c>
      <c r="BE319" s="104" t="str">
        <f t="shared" si="333"/>
        <v/>
      </c>
      <c r="BF319" s="389" t="str">
        <f t="shared" si="333"/>
        <v/>
      </c>
      <c r="BG319" s="389" t="str">
        <f t="shared" si="333"/>
        <v>🔵 Chưa có hạn</v>
      </c>
      <c r="BH319" s="67" t="str">
        <f t="shared" si="333"/>
        <v/>
      </c>
      <c r="BI319" s="389" t="str">
        <f t="array" ref="BI319">IF($X319="","",SWITCH($W319,3,IFERROR(INDEX('Lớp 3 - Công việc chính'!$AF$14:$AF$73,MATCH($X319,'Lớp 3 - Công việc chính'!$I$14:$I$73,0)),""),4,IFERROR(INDEX('Lớp 4 - Danh mục'!$AI$14:$AI$132,MATCH($X319,'Lớp 4 - Danh mục'!$I$14:$I$132,0)),""),5,IFERROR(INDEX('Lớp 5 - Phân công'!$AJ$14:$AJ$262,MATCH($X319,'Lớp 5 - Phân công'!$I$14:$I$262,0)),""),6,IFERROR(INDEX('Lớp 6 - Chi tiết'!$AM$14:$AM$267,MATCH($X319,'Lớp 6 - Chi tiết'!$I$14:$I$267,0)),""),""))</f>
        <v/>
      </c>
      <c r="BJ319" s="389" t="str">
        <f t="array" ref="BJ319">IF($X319="","",SWITCH($W319,3,IFERROR(INDEX('Lớp 3 - Công việc chính'!$AR$14:$AR$73,MATCH($X319,'Lớp 3 - Công việc chính'!$I$14:$I$73,0)),""),4,IFERROR(INDEX('Lớp 4 - Danh mục'!$AU$14:$AU$132,MATCH($X319,'Lớp 4 - Danh mục'!$I$14:$I$132,0)),""),5,IFERROR(INDEX('Lớp 5 - Phân công'!$AV$14:$AV$262,MATCH($X319,'Lớp 5 - Phân công'!$I$14:$I$262,0)),""),6,IFERROR(INDEX('Lớp 6 - Chi tiết'!$AY$14:$AY$267,MATCH($X319,'Lớp 6 - Chi tiết'!$I$14:$I$267,0)),""),""))</f>
        <v/>
      </c>
    </row>
    <row r="320" ht="15.75" customHeight="1">
      <c r="A320" s="294" t="str">
        <f t="shared" si="12"/>
        <v/>
      </c>
      <c r="B320" s="301" t="str">
        <f t="shared" si="13"/>
        <v/>
      </c>
      <c r="C320" s="301" t="str">
        <f t="shared" si="14"/>
        <v/>
      </c>
      <c r="D320" s="301" t="str">
        <f t="shared" si="15"/>
        <v/>
      </c>
      <c r="E320" s="301" t="str">
        <f t="shared" si="16"/>
        <v/>
      </c>
      <c r="F320" s="317" t="str">
        <f t="shared" si="17"/>
        <v/>
      </c>
      <c r="G320" s="323" t="str">
        <f t="shared" si="18"/>
        <v/>
      </c>
      <c r="H320" s="327" t="str">
        <f t="shared" si="19"/>
        <v/>
      </c>
      <c r="I320" s="327" t="str">
        <f t="shared" si="20"/>
        <v/>
      </c>
      <c r="J320" s="301" t="str">
        <f t="shared" si="21"/>
        <v/>
      </c>
      <c r="K320" s="301" t="str">
        <f t="shared" si="22"/>
        <v/>
      </c>
      <c r="L320" s="344" t="str">
        <f t="array" ref="L320">IF($T320="","",LET(m,MATCH($T320,$AS$24:$AS$700,0),lvl,INDEX($W$24:$W$700,m),id,INDEX($X$24:$X$700,m),SWITCH(lvl,3,"Lớp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0" s="351" t="str">
        <f t="shared" si="23"/>
        <v/>
      </c>
      <c r="N320" s="356" t="str">
        <f t="shared" si="24"/>
        <v/>
      </c>
      <c r="O320" s="358"/>
      <c r="P320" s="360"/>
      <c r="Q320" s="360"/>
      <c r="R320" s="67"/>
      <c r="S320" s="67"/>
      <c r="T320" s="67"/>
      <c r="U320" s="389" t="str">
        <f>IF('Lớp 5 - Phân công'!I131="","",'Lớp 5 - Phân công'!K131&amp;"|"&amp;'Lớp 5 - Phân công'!J131&amp;"|"&amp;'Lớp 5 - Phân công'!I131)</f>
        <v/>
      </c>
      <c r="V320" s="389" t="str">
        <f>IF('Lớp 5 - Phân công'!I131="","","       ├─ "&amp;'Lớp 5 - Phân công'!Q131)</f>
        <v/>
      </c>
      <c r="W320" s="389" t="str">
        <f>IF('Lớp 5 - Phân công'!I131="","",5)</f>
        <v/>
      </c>
      <c r="X320" s="67" t="str">
        <f>'Lớp 5 - Phân công'!I131</f>
        <v/>
      </c>
      <c r="Y320" s="67" t="str">
        <f>'Lớp 5 - Phân công'!J131</f>
        <v/>
      </c>
      <c r="Z320" s="67" t="str">
        <f>'Lớp 5 - Phân công'!AA131</f>
        <v/>
      </c>
      <c r="AA320" s="67" t="str">
        <f>'Lớp 5 - Phân công'!Z131</f>
        <v/>
      </c>
      <c r="AB320" s="67" t="str">
        <f>'Lớp 5 - Phân công'!AC131</f>
        <v/>
      </c>
      <c r="AC320" s="67" t="str">
        <f>'Lớp 5 - Phân công'!AB131</f>
        <v/>
      </c>
      <c r="AD320" s="398" t="str">
        <f>'Lớp 5 - Phân công'!AG131</f>
        <v/>
      </c>
      <c r="AE320" s="358" t="str">
        <f>'Lớp 5 - Phân công'!AE131</f>
        <v/>
      </c>
      <c r="AF320" s="187" t="str">
        <f>'Lớp 5 - Phân công'!AH131</f>
        <v/>
      </c>
      <c r="AG320" s="104" t="str">
        <f>'Lớp 5 - Phân công'!AI131</f>
        <v/>
      </c>
      <c r="AH320" s="389" t="str">
        <f t="shared" si="27"/>
        <v/>
      </c>
      <c r="AI320" s="389" t="str">
        <f t="shared" si="37"/>
        <v>🔵 Chưa có hạn</v>
      </c>
      <c r="AJ320" s="67" t="str">
        <f>'Lớp 5 - Phân công'!AL131</f>
        <v/>
      </c>
      <c r="AS320" s="389" t="str">
        <f t="shared" si="217"/>
        <v/>
      </c>
      <c r="AT320" s="389" t="str">
        <f t="shared" si="32"/>
        <v/>
      </c>
      <c r="AU320" s="389" t="str">
        <f t="shared" si="33"/>
        <v/>
      </c>
      <c r="AV320" s="389" t="str">
        <f t="shared" si="34"/>
        <v/>
      </c>
      <c r="AW320" s="389" t="str">
        <f t="shared" si="35"/>
        <v/>
      </c>
      <c r="AX320" s="67" t="str">
        <f t="shared" ref="AX320:BH320" si="334">Z320</f>
        <v/>
      </c>
      <c r="AY320" s="67" t="str">
        <f t="shared" si="334"/>
        <v/>
      </c>
      <c r="AZ320" s="67" t="str">
        <f t="shared" si="334"/>
        <v/>
      </c>
      <c r="BA320" s="67" t="str">
        <f t="shared" si="334"/>
        <v/>
      </c>
      <c r="BB320" s="398" t="str">
        <f t="shared" si="334"/>
        <v/>
      </c>
      <c r="BC320" s="358" t="str">
        <f t="shared" si="334"/>
        <v/>
      </c>
      <c r="BD320" s="187" t="str">
        <f t="shared" si="334"/>
        <v/>
      </c>
      <c r="BE320" s="104" t="str">
        <f t="shared" si="334"/>
        <v/>
      </c>
      <c r="BF320" s="389" t="str">
        <f t="shared" si="334"/>
        <v/>
      </c>
      <c r="BG320" s="389" t="str">
        <f t="shared" si="334"/>
        <v>🔵 Chưa có hạn</v>
      </c>
      <c r="BH320" s="67" t="str">
        <f t="shared" si="334"/>
        <v/>
      </c>
      <c r="BI320" s="389" t="str">
        <f t="array" ref="BI320">IF($X320="","",SWITCH($W320,3,IFERROR(INDEX('Lớp 3 - Công việc chính'!$AF$14:$AF$73,MATCH($X320,'Lớp 3 - Công việc chính'!$I$14:$I$73,0)),""),4,IFERROR(INDEX('Lớp 4 - Danh mục'!$AI$14:$AI$132,MATCH($X320,'Lớp 4 - Danh mục'!$I$14:$I$132,0)),""),5,IFERROR(INDEX('Lớp 5 - Phân công'!$AJ$14:$AJ$262,MATCH($X320,'Lớp 5 - Phân công'!$I$14:$I$262,0)),""),6,IFERROR(INDEX('Lớp 6 - Chi tiết'!$AM$14:$AM$267,MATCH($X320,'Lớp 6 - Chi tiết'!$I$14:$I$267,0)),""),""))</f>
        <v/>
      </c>
      <c r="BJ320" s="389" t="str">
        <f t="array" ref="BJ320">IF($X320="","",SWITCH($W320,3,IFERROR(INDEX('Lớp 3 - Công việc chính'!$AR$14:$AR$73,MATCH($X320,'Lớp 3 - Công việc chính'!$I$14:$I$73,0)),""),4,IFERROR(INDEX('Lớp 4 - Danh mục'!$AU$14:$AU$132,MATCH($X320,'Lớp 4 - Danh mục'!$I$14:$I$132,0)),""),5,IFERROR(INDEX('Lớp 5 - Phân công'!$AV$14:$AV$262,MATCH($X320,'Lớp 5 - Phân công'!$I$14:$I$262,0)),""),6,IFERROR(INDEX('Lớp 6 - Chi tiết'!$AY$14:$AY$267,MATCH($X320,'Lớp 6 - Chi tiết'!$I$14:$I$267,0)),""),""))</f>
        <v/>
      </c>
    </row>
    <row r="321" ht="15.75" customHeight="1">
      <c r="A321" s="294" t="str">
        <f t="shared" si="12"/>
        <v/>
      </c>
      <c r="B321" s="301" t="str">
        <f t="shared" si="13"/>
        <v/>
      </c>
      <c r="C321" s="301" t="str">
        <f t="shared" si="14"/>
        <v/>
      </c>
      <c r="D321" s="301" t="str">
        <f t="shared" si="15"/>
        <v/>
      </c>
      <c r="E321" s="301" t="str">
        <f t="shared" si="16"/>
        <v/>
      </c>
      <c r="F321" s="317" t="str">
        <f t="shared" si="17"/>
        <v/>
      </c>
      <c r="G321" s="323" t="str">
        <f t="shared" si="18"/>
        <v/>
      </c>
      <c r="H321" s="327" t="str">
        <f t="shared" si="19"/>
        <v/>
      </c>
      <c r="I321" s="327" t="str">
        <f t="shared" si="20"/>
        <v/>
      </c>
      <c r="J321" s="301" t="str">
        <f t="shared" si="21"/>
        <v/>
      </c>
      <c r="K321" s="301" t="str">
        <f t="shared" si="22"/>
        <v/>
      </c>
      <c r="L321" s="344" t="str">
        <f t="array" ref="L321">IF($T321="","",LET(m,MATCH($T321,$AS$24:$AS$700,0),lvl,INDEX($W$24:$W$700,m),id,INDEX($X$24:$X$700,m),SWITCH(lvl,3,"Lớp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1" s="351" t="str">
        <f t="shared" si="23"/>
        <v/>
      </c>
      <c r="N321" s="356" t="str">
        <f t="shared" si="24"/>
        <v/>
      </c>
      <c r="O321" s="358"/>
      <c r="P321" s="360"/>
      <c r="Q321" s="360"/>
      <c r="R321" s="67"/>
      <c r="S321" s="67"/>
      <c r="T321" s="67"/>
      <c r="U321" s="389" t="str">
        <f>IF('Lớp 5 - Phân công'!I132="","",'Lớp 5 - Phân công'!K132&amp;"|"&amp;'Lớp 5 - Phân công'!J132&amp;"|"&amp;'Lớp 5 - Phân công'!I132)</f>
        <v/>
      </c>
      <c r="V321" s="389" t="str">
        <f>IF('Lớp 5 - Phân công'!I132="","","       ├─ "&amp;'Lớp 5 - Phân công'!Q132)</f>
        <v/>
      </c>
      <c r="W321" s="389" t="str">
        <f>IF('Lớp 5 - Phân công'!I132="","",5)</f>
        <v/>
      </c>
      <c r="X321" s="67" t="str">
        <f>'Lớp 5 - Phân công'!I132</f>
        <v/>
      </c>
      <c r="Y321" s="67" t="str">
        <f>'Lớp 5 - Phân công'!J132</f>
        <v/>
      </c>
      <c r="Z321" s="67" t="str">
        <f>'Lớp 5 - Phân công'!AA132</f>
        <v/>
      </c>
      <c r="AA321" s="67" t="str">
        <f>'Lớp 5 - Phân công'!Z132</f>
        <v/>
      </c>
      <c r="AB321" s="67" t="str">
        <f>'Lớp 5 - Phân công'!AC132</f>
        <v/>
      </c>
      <c r="AC321" s="67" t="str">
        <f>'Lớp 5 - Phân công'!AB132</f>
        <v/>
      </c>
      <c r="AD321" s="398" t="str">
        <f>'Lớp 5 - Phân công'!AG132</f>
        <v/>
      </c>
      <c r="AE321" s="358" t="str">
        <f>'Lớp 5 - Phân công'!AE132</f>
        <v/>
      </c>
      <c r="AF321" s="187" t="str">
        <f>'Lớp 5 - Phân công'!AH132</f>
        <v/>
      </c>
      <c r="AG321" s="104" t="str">
        <f>'Lớp 5 - Phân công'!AI132</f>
        <v/>
      </c>
      <c r="AH321" s="389" t="str">
        <f t="shared" si="27"/>
        <v/>
      </c>
      <c r="AI321" s="389" t="str">
        <f t="shared" si="37"/>
        <v>🔵 Chưa có hạn</v>
      </c>
      <c r="AJ321" s="67" t="str">
        <f>'Lớp 5 - Phân công'!AL132</f>
        <v/>
      </c>
      <c r="AS321" s="389" t="str">
        <f t="shared" si="217"/>
        <v/>
      </c>
      <c r="AT321" s="389" t="str">
        <f t="shared" si="32"/>
        <v/>
      </c>
      <c r="AU321" s="389" t="str">
        <f t="shared" si="33"/>
        <v/>
      </c>
      <c r="AV321" s="389" t="str">
        <f t="shared" si="34"/>
        <v/>
      </c>
      <c r="AW321" s="389" t="str">
        <f t="shared" si="35"/>
        <v/>
      </c>
      <c r="AX321" s="67" t="str">
        <f t="shared" ref="AX321:BH321" si="335">Z321</f>
        <v/>
      </c>
      <c r="AY321" s="67" t="str">
        <f t="shared" si="335"/>
        <v/>
      </c>
      <c r="AZ321" s="67" t="str">
        <f t="shared" si="335"/>
        <v/>
      </c>
      <c r="BA321" s="67" t="str">
        <f t="shared" si="335"/>
        <v/>
      </c>
      <c r="BB321" s="398" t="str">
        <f t="shared" si="335"/>
        <v/>
      </c>
      <c r="BC321" s="358" t="str">
        <f t="shared" si="335"/>
        <v/>
      </c>
      <c r="BD321" s="187" t="str">
        <f t="shared" si="335"/>
        <v/>
      </c>
      <c r="BE321" s="104" t="str">
        <f t="shared" si="335"/>
        <v/>
      </c>
      <c r="BF321" s="389" t="str">
        <f t="shared" si="335"/>
        <v/>
      </c>
      <c r="BG321" s="389" t="str">
        <f t="shared" si="335"/>
        <v>🔵 Chưa có hạn</v>
      </c>
      <c r="BH321" s="67" t="str">
        <f t="shared" si="335"/>
        <v/>
      </c>
      <c r="BI321" s="389" t="str">
        <f t="array" ref="BI321">IF($X321="","",SWITCH($W321,3,IFERROR(INDEX('Lớp 3 - Công việc chính'!$AF$14:$AF$73,MATCH($X321,'Lớp 3 - Công việc chính'!$I$14:$I$73,0)),""),4,IFERROR(INDEX('Lớp 4 - Danh mục'!$AI$14:$AI$132,MATCH($X321,'Lớp 4 - Danh mục'!$I$14:$I$132,0)),""),5,IFERROR(INDEX('Lớp 5 - Phân công'!$AJ$14:$AJ$262,MATCH($X321,'Lớp 5 - Phân công'!$I$14:$I$262,0)),""),6,IFERROR(INDEX('Lớp 6 - Chi tiết'!$AM$14:$AM$267,MATCH($X321,'Lớp 6 - Chi tiết'!$I$14:$I$267,0)),""),""))</f>
        <v/>
      </c>
      <c r="BJ321" s="389" t="str">
        <f t="array" ref="BJ321">IF($X321="","",SWITCH($W321,3,IFERROR(INDEX('Lớp 3 - Công việc chính'!$AR$14:$AR$73,MATCH($X321,'Lớp 3 - Công việc chính'!$I$14:$I$73,0)),""),4,IFERROR(INDEX('Lớp 4 - Danh mục'!$AU$14:$AU$132,MATCH($X321,'Lớp 4 - Danh mục'!$I$14:$I$132,0)),""),5,IFERROR(INDEX('Lớp 5 - Phân công'!$AV$14:$AV$262,MATCH($X321,'Lớp 5 - Phân công'!$I$14:$I$262,0)),""),6,IFERROR(INDEX('Lớp 6 - Chi tiết'!$AY$14:$AY$267,MATCH($X321,'Lớp 6 - Chi tiết'!$I$14:$I$267,0)),""),""))</f>
        <v/>
      </c>
    </row>
    <row r="322" ht="15.75" customHeight="1">
      <c r="A322" s="294" t="str">
        <f t="shared" si="12"/>
        <v/>
      </c>
      <c r="B322" s="301" t="str">
        <f t="shared" si="13"/>
        <v/>
      </c>
      <c r="C322" s="301" t="str">
        <f t="shared" si="14"/>
        <v/>
      </c>
      <c r="D322" s="301" t="str">
        <f t="shared" si="15"/>
        <v/>
      </c>
      <c r="E322" s="301" t="str">
        <f t="shared" si="16"/>
        <v/>
      </c>
      <c r="F322" s="317" t="str">
        <f t="shared" si="17"/>
        <v/>
      </c>
      <c r="G322" s="323" t="str">
        <f t="shared" si="18"/>
        <v/>
      </c>
      <c r="H322" s="327" t="str">
        <f t="shared" si="19"/>
        <v/>
      </c>
      <c r="I322" s="327" t="str">
        <f t="shared" si="20"/>
        <v/>
      </c>
      <c r="J322" s="301" t="str">
        <f t="shared" si="21"/>
        <v/>
      </c>
      <c r="K322" s="301" t="str">
        <f t="shared" si="22"/>
        <v/>
      </c>
      <c r="L322" s="344" t="str">
        <f t="array" ref="L322">IF($T322="","",LET(m,MATCH($T322,$AS$24:$AS$700,0),lvl,INDEX($W$24:$W$700,m),id,INDEX($X$24:$X$700,m),SWITCH(lvl,3,"Lớp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2" s="351" t="str">
        <f t="shared" si="23"/>
        <v/>
      </c>
      <c r="N322" s="356" t="str">
        <f t="shared" si="24"/>
        <v/>
      </c>
      <c r="O322" s="358"/>
      <c r="P322" s="360"/>
      <c r="Q322" s="360"/>
      <c r="R322" s="67"/>
      <c r="S322" s="67"/>
      <c r="T322" s="67"/>
      <c r="U322" s="389" t="str">
        <f>IF('Lớp 5 - Phân công'!I133="","",'Lớp 5 - Phân công'!K133&amp;"|"&amp;'Lớp 5 - Phân công'!J133&amp;"|"&amp;'Lớp 5 - Phân công'!I133)</f>
        <v/>
      </c>
      <c r="V322" s="389" t="str">
        <f>IF('Lớp 5 - Phân công'!I133="","","       ├─ "&amp;'Lớp 5 - Phân công'!Q133)</f>
        <v/>
      </c>
      <c r="W322" s="389" t="str">
        <f>IF('Lớp 5 - Phân công'!I133="","",5)</f>
        <v/>
      </c>
      <c r="X322" s="67" t="str">
        <f>'Lớp 5 - Phân công'!I133</f>
        <v/>
      </c>
      <c r="Y322" s="67" t="str">
        <f>'Lớp 5 - Phân công'!J133</f>
        <v/>
      </c>
      <c r="Z322" s="67" t="str">
        <f>'Lớp 5 - Phân công'!AA133</f>
        <v/>
      </c>
      <c r="AA322" s="67" t="str">
        <f>'Lớp 5 - Phân công'!Z133</f>
        <v/>
      </c>
      <c r="AB322" s="67" t="str">
        <f>'Lớp 5 - Phân công'!AC133</f>
        <v/>
      </c>
      <c r="AC322" s="67" t="str">
        <f>'Lớp 5 - Phân công'!AB133</f>
        <v/>
      </c>
      <c r="AD322" s="398" t="str">
        <f>'Lớp 5 - Phân công'!AG133</f>
        <v/>
      </c>
      <c r="AE322" s="358" t="str">
        <f>'Lớp 5 - Phân công'!AE133</f>
        <v/>
      </c>
      <c r="AF322" s="187" t="str">
        <f>'Lớp 5 - Phân công'!AH133</f>
        <v/>
      </c>
      <c r="AG322" s="104" t="str">
        <f>'Lớp 5 - Phân công'!AI133</f>
        <v/>
      </c>
      <c r="AH322" s="389" t="str">
        <f t="shared" si="27"/>
        <v/>
      </c>
      <c r="AI322" s="389" t="str">
        <f t="shared" si="37"/>
        <v>🔵 Chưa có hạn</v>
      </c>
      <c r="AJ322" s="67" t="str">
        <f>'Lớp 5 - Phân công'!AL133</f>
        <v/>
      </c>
      <c r="AS322" s="389" t="str">
        <f t="shared" si="217"/>
        <v/>
      </c>
      <c r="AT322" s="389" t="str">
        <f t="shared" si="32"/>
        <v/>
      </c>
      <c r="AU322" s="389" t="str">
        <f t="shared" si="33"/>
        <v/>
      </c>
      <c r="AV322" s="389" t="str">
        <f t="shared" si="34"/>
        <v/>
      </c>
      <c r="AW322" s="389" t="str">
        <f t="shared" si="35"/>
        <v/>
      </c>
      <c r="AX322" s="67" t="str">
        <f t="shared" ref="AX322:BH322" si="336">Z322</f>
        <v/>
      </c>
      <c r="AY322" s="67" t="str">
        <f t="shared" si="336"/>
        <v/>
      </c>
      <c r="AZ322" s="67" t="str">
        <f t="shared" si="336"/>
        <v/>
      </c>
      <c r="BA322" s="67" t="str">
        <f t="shared" si="336"/>
        <v/>
      </c>
      <c r="BB322" s="398" t="str">
        <f t="shared" si="336"/>
        <v/>
      </c>
      <c r="BC322" s="358" t="str">
        <f t="shared" si="336"/>
        <v/>
      </c>
      <c r="BD322" s="187" t="str">
        <f t="shared" si="336"/>
        <v/>
      </c>
      <c r="BE322" s="104" t="str">
        <f t="shared" si="336"/>
        <v/>
      </c>
      <c r="BF322" s="389" t="str">
        <f t="shared" si="336"/>
        <v/>
      </c>
      <c r="BG322" s="389" t="str">
        <f t="shared" si="336"/>
        <v>🔵 Chưa có hạn</v>
      </c>
      <c r="BH322" s="67" t="str">
        <f t="shared" si="336"/>
        <v/>
      </c>
      <c r="BI322" s="389" t="str">
        <f t="array" ref="BI322">IF($X322="","",SWITCH($W322,3,IFERROR(INDEX('Lớp 3 - Công việc chính'!$AF$14:$AF$73,MATCH($X322,'Lớp 3 - Công việc chính'!$I$14:$I$73,0)),""),4,IFERROR(INDEX('Lớp 4 - Danh mục'!$AI$14:$AI$132,MATCH($X322,'Lớp 4 - Danh mục'!$I$14:$I$132,0)),""),5,IFERROR(INDEX('Lớp 5 - Phân công'!$AJ$14:$AJ$262,MATCH($X322,'Lớp 5 - Phân công'!$I$14:$I$262,0)),""),6,IFERROR(INDEX('Lớp 6 - Chi tiết'!$AM$14:$AM$267,MATCH($X322,'Lớp 6 - Chi tiết'!$I$14:$I$267,0)),""),""))</f>
        <v/>
      </c>
      <c r="BJ322" s="389" t="str">
        <f t="array" ref="BJ322">IF($X322="","",SWITCH($W322,3,IFERROR(INDEX('Lớp 3 - Công việc chính'!$AR$14:$AR$73,MATCH($X322,'Lớp 3 - Công việc chính'!$I$14:$I$73,0)),""),4,IFERROR(INDEX('Lớp 4 - Danh mục'!$AU$14:$AU$132,MATCH($X322,'Lớp 4 - Danh mục'!$I$14:$I$132,0)),""),5,IFERROR(INDEX('Lớp 5 - Phân công'!$AV$14:$AV$262,MATCH($X322,'Lớp 5 - Phân công'!$I$14:$I$262,0)),""),6,IFERROR(INDEX('Lớp 6 - Chi tiết'!$AY$14:$AY$267,MATCH($X322,'Lớp 6 - Chi tiết'!$I$14:$I$267,0)),""),""))</f>
        <v/>
      </c>
    </row>
    <row r="323" ht="15.75" customHeight="1">
      <c r="A323" s="294" t="str">
        <f t="shared" si="12"/>
        <v/>
      </c>
      <c r="B323" s="301" t="str">
        <f t="shared" si="13"/>
        <v/>
      </c>
      <c r="C323" s="301" t="str">
        <f t="shared" si="14"/>
        <v/>
      </c>
      <c r="D323" s="301" t="str">
        <f t="shared" si="15"/>
        <v/>
      </c>
      <c r="E323" s="301" t="str">
        <f t="shared" si="16"/>
        <v/>
      </c>
      <c r="F323" s="317" t="str">
        <f t="shared" si="17"/>
        <v/>
      </c>
      <c r="G323" s="323" t="str">
        <f t="shared" si="18"/>
        <v/>
      </c>
      <c r="H323" s="327" t="str">
        <f t="shared" si="19"/>
        <v/>
      </c>
      <c r="I323" s="327" t="str">
        <f t="shared" si="20"/>
        <v/>
      </c>
      <c r="J323" s="301" t="str">
        <f t="shared" si="21"/>
        <v/>
      </c>
      <c r="K323" s="301" t="str">
        <f t="shared" si="22"/>
        <v/>
      </c>
      <c r="L323" s="344" t="str">
        <f t="array" ref="L323">IF($T323="","",LET(m,MATCH($T323,$AS$24:$AS$700,0),lvl,INDEX($W$24:$W$700,m),id,INDEX($X$24:$X$700,m),SWITCH(lvl,3,"Lớp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3" s="351" t="str">
        <f t="shared" si="23"/>
        <v/>
      </c>
      <c r="N323" s="356" t="str">
        <f t="shared" si="24"/>
        <v/>
      </c>
      <c r="O323" s="358"/>
      <c r="P323" s="360"/>
      <c r="Q323" s="360"/>
      <c r="R323" s="67"/>
      <c r="S323" s="67"/>
      <c r="T323" s="67"/>
      <c r="U323" s="389" t="str">
        <f>IF('Lớp 5 - Phân công'!I134="","",'Lớp 5 - Phân công'!K134&amp;"|"&amp;'Lớp 5 - Phân công'!J134&amp;"|"&amp;'Lớp 5 - Phân công'!I134)</f>
        <v/>
      </c>
      <c r="V323" s="389" t="str">
        <f>IF('Lớp 5 - Phân công'!I134="","","       ├─ "&amp;'Lớp 5 - Phân công'!Q134)</f>
        <v/>
      </c>
      <c r="W323" s="389" t="str">
        <f>IF('Lớp 5 - Phân công'!I134="","",5)</f>
        <v/>
      </c>
      <c r="X323" s="67" t="str">
        <f>'Lớp 5 - Phân công'!I134</f>
        <v/>
      </c>
      <c r="Y323" s="67" t="str">
        <f>'Lớp 5 - Phân công'!J134</f>
        <v/>
      </c>
      <c r="Z323" s="67" t="str">
        <f>'Lớp 5 - Phân công'!AA134</f>
        <v/>
      </c>
      <c r="AA323" s="67" t="str">
        <f>'Lớp 5 - Phân công'!Z134</f>
        <v/>
      </c>
      <c r="AB323" s="67" t="str">
        <f>'Lớp 5 - Phân công'!AC134</f>
        <v/>
      </c>
      <c r="AC323" s="67" t="str">
        <f>'Lớp 5 - Phân công'!AB134</f>
        <v/>
      </c>
      <c r="AD323" s="398" t="str">
        <f>'Lớp 5 - Phân công'!AG134</f>
        <v/>
      </c>
      <c r="AE323" s="358" t="str">
        <f>'Lớp 5 - Phân công'!AE134</f>
        <v/>
      </c>
      <c r="AF323" s="187" t="str">
        <f>'Lớp 5 - Phân công'!AH134</f>
        <v/>
      </c>
      <c r="AG323" s="104" t="str">
        <f>'Lớp 5 - Phân công'!AI134</f>
        <v/>
      </c>
      <c r="AH323" s="389" t="str">
        <f t="shared" si="27"/>
        <v/>
      </c>
      <c r="AI323" s="389" t="str">
        <f t="shared" si="37"/>
        <v>🔵 Chưa có hạn</v>
      </c>
      <c r="AJ323" s="67" t="str">
        <f>'Lớp 5 - Phân công'!AL134</f>
        <v/>
      </c>
      <c r="AS323" s="389" t="str">
        <f t="shared" si="217"/>
        <v/>
      </c>
      <c r="AT323" s="389" t="str">
        <f t="shared" si="32"/>
        <v/>
      </c>
      <c r="AU323" s="389" t="str">
        <f t="shared" si="33"/>
        <v/>
      </c>
      <c r="AV323" s="389" t="str">
        <f t="shared" si="34"/>
        <v/>
      </c>
      <c r="AW323" s="389" t="str">
        <f t="shared" si="35"/>
        <v/>
      </c>
      <c r="AX323" s="67" t="str">
        <f t="shared" ref="AX323:BH323" si="337">Z323</f>
        <v/>
      </c>
      <c r="AY323" s="67" t="str">
        <f t="shared" si="337"/>
        <v/>
      </c>
      <c r="AZ323" s="67" t="str">
        <f t="shared" si="337"/>
        <v/>
      </c>
      <c r="BA323" s="67" t="str">
        <f t="shared" si="337"/>
        <v/>
      </c>
      <c r="BB323" s="398" t="str">
        <f t="shared" si="337"/>
        <v/>
      </c>
      <c r="BC323" s="358" t="str">
        <f t="shared" si="337"/>
        <v/>
      </c>
      <c r="BD323" s="187" t="str">
        <f t="shared" si="337"/>
        <v/>
      </c>
      <c r="BE323" s="104" t="str">
        <f t="shared" si="337"/>
        <v/>
      </c>
      <c r="BF323" s="389" t="str">
        <f t="shared" si="337"/>
        <v/>
      </c>
      <c r="BG323" s="389" t="str">
        <f t="shared" si="337"/>
        <v>🔵 Chưa có hạn</v>
      </c>
      <c r="BH323" s="67" t="str">
        <f t="shared" si="337"/>
        <v/>
      </c>
      <c r="BI323" s="389" t="str">
        <f t="array" ref="BI323">IF($X323="","",SWITCH($W323,3,IFERROR(INDEX('Lớp 3 - Công việc chính'!$AF$14:$AF$73,MATCH($X323,'Lớp 3 - Công việc chính'!$I$14:$I$73,0)),""),4,IFERROR(INDEX('Lớp 4 - Danh mục'!$AI$14:$AI$132,MATCH($X323,'Lớp 4 - Danh mục'!$I$14:$I$132,0)),""),5,IFERROR(INDEX('Lớp 5 - Phân công'!$AJ$14:$AJ$262,MATCH($X323,'Lớp 5 - Phân công'!$I$14:$I$262,0)),""),6,IFERROR(INDEX('Lớp 6 - Chi tiết'!$AM$14:$AM$267,MATCH($X323,'Lớp 6 - Chi tiết'!$I$14:$I$267,0)),""),""))</f>
        <v/>
      </c>
      <c r="BJ323" s="389" t="str">
        <f t="array" ref="BJ323">IF($X323="","",SWITCH($W323,3,IFERROR(INDEX('Lớp 3 - Công việc chính'!$AR$14:$AR$73,MATCH($X323,'Lớp 3 - Công việc chính'!$I$14:$I$73,0)),""),4,IFERROR(INDEX('Lớp 4 - Danh mục'!$AU$14:$AU$132,MATCH($X323,'Lớp 4 - Danh mục'!$I$14:$I$132,0)),""),5,IFERROR(INDEX('Lớp 5 - Phân công'!$AV$14:$AV$262,MATCH($X323,'Lớp 5 - Phân công'!$I$14:$I$262,0)),""),6,IFERROR(INDEX('Lớp 6 - Chi tiết'!$AY$14:$AY$267,MATCH($X323,'Lớp 6 - Chi tiết'!$I$14:$I$267,0)),""),""))</f>
        <v/>
      </c>
    </row>
    <row r="324" ht="15.75" customHeight="1">
      <c r="A324" s="294" t="str">
        <f t="shared" si="12"/>
        <v/>
      </c>
      <c r="B324" s="301" t="str">
        <f t="shared" si="13"/>
        <v/>
      </c>
      <c r="C324" s="301" t="str">
        <f t="shared" si="14"/>
        <v/>
      </c>
      <c r="D324" s="301" t="str">
        <f t="shared" si="15"/>
        <v/>
      </c>
      <c r="E324" s="301" t="str">
        <f t="shared" si="16"/>
        <v/>
      </c>
      <c r="F324" s="317" t="str">
        <f t="shared" si="17"/>
        <v/>
      </c>
      <c r="G324" s="323" t="str">
        <f t="shared" si="18"/>
        <v/>
      </c>
      <c r="H324" s="327" t="str">
        <f t="shared" si="19"/>
        <v/>
      </c>
      <c r="I324" s="327" t="str">
        <f t="shared" si="20"/>
        <v/>
      </c>
      <c r="J324" s="301" t="str">
        <f t="shared" si="21"/>
        <v/>
      </c>
      <c r="K324" s="301" t="str">
        <f t="shared" si="22"/>
        <v/>
      </c>
      <c r="L324" s="344" t="str">
        <f t="array" ref="L324">IF($T324="","",LET(m,MATCH($T324,$AS$24:$AS$700,0),lvl,INDEX($W$24:$W$700,m),id,INDEX($X$24:$X$700,m),SWITCH(lvl,3,"Lớp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4" s="351" t="str">
        <f t="shared" si="23"/>
        <v/>
      </c>
      <c r="N324" s="356" t="str">
        <f t="shared" si="24"/>
        <v/>
      </c>
      <c r="O324" s="358"/>
      <c r="P324" s="360"/>
      <c r="Q324" s="360"/>
      <c r="R324" s="67"/>
      <c r="S324" s="67"/>
      <c r="T324" s="67"/>
      <c r="U324" s="389" t="str">
        <f>IF('Lớp 5 - Phân công'!I135="","",'Lớp 5 - Phân công'!K135&amp;"|"&amp;'Lớp 5 - Phân công'!J135&amp;"|"&amp;'Lớp 5 - Phân công'!I135)</f>
        <v/>
      </c>
      <c r="V324" s="389" t="str">
        <f>IF('Lớp 5 - Phân công'!I135="","","       ├─ "&amp;'Lớp 5 - Phân công'!Q135)</f>
        <v/>
      </c>
      <c r="W324" s="389" t="str">
        <f>IF('Lớp 5 - Phân công'!I135="","",5)</f>
        <v/>
      </c>
      <c r="X324" s="67" t="str">
        <f>'Lớp 5 - Phân công'!I135</f>
        <v/>
      </c>
      <c r="Y324" s="67" t="str">
        <f>'Lớp 5 - Phân công'!J135</f>
        <v/>
      </c>
      <c r="Z324" s="67" t="str">
        <f>'Lớp 5 - Phân công'!AA135</f>
        <v/>
      </c>
      <c r="AA324" s="67" t="str">
        <f>'Lớp 5 - Phân công'!Z135</f>
        <v/>
      </c>
      <c r="AB324" s="67" t="str">
        <f>'Lớp 5 - Phân công'!AC135</f>
        <v/>
      </c>
      <c r="AC324" s="67" t="str">
        <f>'Lớp 5 - Phân công'!AB135</f>
        <v/>
      </c>
      <c r="AD324" s="398" t="str">
        <f>'Lớp 5 - Phân công'!AG135</f>
        <v/>
      </c>
      <c r="AE324" s="358" t="str">
        <f>'Lớp 5 - Phân công'!AE135</f>
        <v/>
      </c>
      <c r="AF324" s="187" t="str">
        <f>'Lớp 5 - Phân công'!AH135</f>
        <v/>
      </c>
      <c r="AG324" s="104" t="str">
        <f>'Lớp 5 - Phân công'!AI135</f>
        <v/>
      </c>
      <c r="AH324" s="389" t="str">
        <f t="shared" si="27"/>
        <v/>
      </c>
      <c r="AI324" s="389" t="str">
        <f t="shared" si="37"/>
        <v>🔵 Chưa có hạn</v>
      </c>
      <c r="AJ324" s="67" t="str">
        <f>'Lớp 5 - Phân công'!AL135</f>
        <v/>
      </c>
      <c r="AS324" s="389" t="str">
        <f t="shared" si="217"/>
        <v/>
      </c>
      <c r="AT324" s="389" t="str">
        <f t="shared" si="32"/>
        <v/>
      </c>
      <c r="AU324" s="389" t="str">
        <f t="shared" si="33"/>
        <v/>
      </c>
      <c r="AV324" s="389" t="str">
        <f t="shared" si="34"/>
        <v/>
      </c>
      <c r="AW324" s="389" t="str">
        <f t="shared" si="35"/>
        <v/>
      </c>
      <c r="AX324" s="67" t="str">
        <f t="shared" ref="AX324:BH324" si="338">Z324</f>
        <v/>
      </c>
      <c r="AY324" s="67" t="str">
        <f t="shared" si="338"/>
        <v/>
      </c>
      <c r="AZ324" s="67" t="str">
        <f t="shared" si="338"/>
        <v/>
      </c>
      <c r="BA324" s="67" t="str">
        <f t="shared" si="338"/>
        <v/>
      </c>
      <c r="BB324" s="398" t="str">
        <f t="shared" si="338"/>
        <v/>
      </c>
      <c r="BC324" s="358" t="str">
        <f t="shared" si="338"/>
        <v/>
      </c>
      <c r="BD324" s="187" t="str">
        <f t="shared" si="338"/>
        <v/>
      </c>
      <c r="BE324" s="104" t="str">
        <f t="shared" si="338"/>
        <v/>
      </c>
      <c r="BF324" s="389" t="str">
        <f t="shared" si="338"/>
        <v/>
      </c>
      <c r="BG324" s="389" t="str">
        <f t="shared" si="338"/>
        <v>🔵 Chưa có hạn</v>
      </c>
      <c r="BH324" s="67" t="str">
        <f t="shared" si="338"/>
        <v/>
      </c>
      <c r="BI324" s="389" t="str">
        <f t="array" ref="BI324">IF($X324="","",SWITCH($W324,3,IFERROR(INDEX('Lớp 3 - Công việc chính'!$AF$14:$AF$73,MATCH($X324,'Lớp 3 - Công việc chính'!$I$14:$I$73,0)),""),4,IFERROR(INDEX('Lớp 4 - Danh mục'!$AI$14:$AI$132,MATCH($X324,'Lớp 4 - Danh mục'!$I$14:$I$132,0)),""),5,IFERROR(INDEX('Lớp 5 - Phân công'!$AJ$14:$AJ$262,MATCH($X324,'Lớp 5 - Phân công'!$I$14:$I$262,0)),""),6,IFERROR(INDEX('Lớp 6 - Chi tiết'!$AM$14:$AM$267,MATCH($X324,'Lớp 6 - Chi tiết'!$I$14:$I$267,0)),""),""))</f>
        <v/>
      </c>
      <c r="BJ324" s="389" t="str">
        <f t="array" ref="BJ324">IF($X324="","",SWITCH($W324,3,IFERROR(INDEX('Lớp 3 - Công việc chính'!$AR$14:$AR$73,MATCH($X324,'Lớp 3 - Công việc chính'!$I$14:$I$73,0)),""),4,IFERROR(INDEX('Lớp 4 - Danh mục'!$AU$14:$AU$132,MATCH($X324,'Lớp 4 - Danh mục'!$I$14:$I$132,0)),""),5,IFERROR(INDEX('Lớp 5 - Phân công'!$AV$14:$AV$262,MATCH($X324,'Lớp 5 - Phân công'!$I$14:$I$262,0)),""),6,IFERROR(INDEX('Lớp 6 - Chi tiết'!$AY$14:$AY$267,MATCH($X324,'Lớp 6 - Chi tiết'!$I$14:$I$267,0)),""),""))</f>
        <v/>
      </c>
    </row>
    <row r="325" ht="15.75" customHeight="1">
      <c r="A325" s="294" t="str">
        <f t="shared" si="12"/>
        <v/>
      </c>
      <c r="B325" s="301" t="str">
        <f t="shared" si="13"/>
        <v/>
      </c>
      <c r="C325" s="301" t="str">
        <f t="shared" si="14"/>
        <v/>
      </c>
      <c r="D325" s="301" t="str">
        <f t="shared" si="15"/>
        <v/>
      </c>
      <c r="E325" s="301" t="str">
        <f t="shared" si="16"/>
        <v/>
      </c>
      <c r="F325" s="317" t="str">
        <f t="shared" si="17"/>
        <v/>
      </c>
      <c r="G325" s="323" t="str">
        <f t="shared" si="18"/>
        <v/>
      </c>
      <c r="H325" s="327" t="str">
        <f t="shared" si="19"/>
        <v/>
      </c>
      <c r="I325" s="327" t="str">
        <f t="shared" si="20"/>
        <v/>
      </c>
      <c r="J325" s="301" t="str">
        <f t="shared" si="21"/>
        <v/>
      </c>
      <c r="K325" s="301" t="str">
        <f t="shared" si="22"/>
        <v/>
      </c>
      <c r="L325" s="344" t="str">
        <f t="array" ref="L325">IF($T325="","",LET(m,MATCH($T325,$AS$24:$AS$700,0),lvl,INDEX($W$24:$W$700,m),id,INDEX($X$24:$X$700,m),SWITCH(lvl,3,"Lớp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5" s="351" t="str">
        <f t="shared" si="23"/>
        <v/>
      </c>
      <c r="N325" s="356" t="str">
        <f t="shared" si="24"/>
        <v/>
      </c>
      <c r="O325" s="358"/>
      <c r="P325" s="360"/>
      <c r="Q325" s="360"/>
      <c r="R325" s="67"/>
      <c r="S325" s="67"/>
      <c r="T325" s="67"/>
      <c r="U325" s="389" t="str">
        <f>IF('Lớp 5 - Phân công'!I136="","",'Lớp 5 - Phân công'!K136&amp;"|"&amp;'Lớp 5 - Phân công'!J136&amp;"|"&amp;'Lớp 5 - Phân công'!I136)</f>
        <v/>
      </c>
      <c r="V325" s="389" t="str">
        <f>IF('Lớp 5 - Phân công'!I136="","","       ├─ "&amp;'Lớp 5 - Phân công'!Q136)</f>
        <v/>
      </c>
      <c r="W325" s="389" t="str">
        <f>IF('Lớp 5 - Phân công'!I136="","",5)</f>
        <v/>
      </c>
      <c r="X325" s="67" t="str">
        <f>'Lớp 5 - Phân công'!I136</f>
        <v/>
      </c>
      <c r="Y325" s="67" t="str">
        <f>'Lớp 5 - Phân công'!J136</f>
        <v/>
      </c>
      <c r="Z325" s="67" t="str">
        <f>'Lớp 5 - Phân công'!AA136</f>
        <v/>
      </c>
      <c r="AA325" s="67" t="str">
        <f>'Lớp 5 - Phân công'!Z136</f>
        <v/>
      </c>
      <c r="AB325" s="67" t="str">
        <f>'Lớp 5 - Phân công'!AC136</f>
        <v/>
      </c>
      <c r="AC325" s="67" t="str">
        <f>'Lớp 5 - Phân công'!AB136</f>
        <v/>
      </c>
      <c r="AD325" s="398" t="str">
        <f>'Lớp 5 - Phân công'!AG136</f>
        <v/>
      </c>
      <c r="AE325" s="358" t="str">
        <f>'Lớp 5 - Phân công'!AE136</f>
        <v/>
      </c>
      <c r="AF325" s="187" t="str">
        <f>'Lớp 5 - Phân công'!AH136</f>
        <v/>
      </c>
      <c r="AG325" s="104" t="str">
        <f>'Lớp 5 - Phân công'!AI136</f>
        <v/>
      </c>
      <c r="AH325" s="389" t="str">
        <f t="shared" si="27"/>
        <v/>
      </c>
      <c r="AI325" s="389" t="str">
        <f t="shared" si="37"/>
        <v>🔵 Chưa có hạn</v>
      </c>
      <c r="AJ325" s="67" t="str">
        <f>'Lớp 5 - Phân công'!AL136</f>
        <v/>
      </c>
      <c r="AS325" s="389" t="str">
        <f t="shared" si="217"/>
        <v/>
      </c>
      <c r="AT325" s="389" t="str">
        <f t="shared" si="32"/>
        <v/>
      </c>
      <c r="AU325" s="389" t="str">
        <f t="shared" si="33"/>
        <v/>
      </c>
      <c r="AV325" s="389" t="str">
        <f t="shared" si="34"/>
        <v/>
      </c>
      <c r="AW325" s="389" t="str">
        <f t="shared" si="35"/>
        <v/>
      </c>
      <c r="AX325" s="67" t="str">
        <f t="shared" ref="AX325:BH325" si="339">Z325</f>
        <v/>
      </c>
      <c r="AY325" s="67" t="str">
        <f t="shared" si="339"/>
        <v/>
      </c>
      <c r="AZ325" s="67" t="str">
        <f t="shared" si="339"/>
        <v/>
      </c>
      <c r="BA325" s="67" t="str">
        <f t="shared" si="339"/>
        <v/>
      </c>
      <c r="BB325" s="398" t="str">
        <f t="shared" si="339"/>
        <v/>
      </c>
      <c r="BC325" s="358" t="str">
        <f t="shared" si="339"/>
        <v/>
      </c>
      <c r="BD325" s="187" t="str">
        <f t="shared" si="339"/>
        <v/>
      </c>
      <c r="BE325" s="104" t="str">
        <f t="shared" si="339"/>
        <v/>
      </c>
      <c r="BF325" s="389" t="str">
        <f t="shared" si="339"/>
        <v/>
      </c>
      <c r="BG325" s="389" t="str">
        <f t="shared" si="339"/>
        <v>🔵 Chưa có hạn</v>
      </c>
      <c r="BH325" s="67" t="str">
        <f t="shared" si="339"/>
        <v/>
      </c>
      <c r="BI325" s="389" t="str">
        <f t="array" ref="BI325">IF($X325="","",SWITCH($W325,3,IFERROR(INDEX('Lớp 3 - Công việc chính'!$AF$14:$AF$73,MATCH($X325,'Lớp 3 - Công việc chính'!$I$14:$I$73,0)),""),4,IFERROR(INDEX('Lớp 4 - Danh mục'!$AI$14:$AI$132,MATCH($X325,'Lớp 4 - Danh mục'!$I$14:$I$132,0)),""),5,IFERROR(INDEX('Lớp 5 - Phân công'!$AJ$14:$AJ$262,MATCH($X325,'Lớp 5 - Phân công'!$I$14:$I$262,0)),""),6,IFERROR(INDEX('Lớp 6 - Chi tiết'!$AM$14:$AM$267,MATCH($X325,'Lớp 6 - Chi tiết'!$I$14:$I$267,0)),""),""))</f>
        <v/>
      </c>
      <c r="BJ325" s="389" t="str">
        <f t="array" ref="BJ325">IF($X325="","",SWITCH($W325,3,IFERROR(INDEX('Lớp 3 - Công việc chính'!$AR$14:$AR$73,MATCH($X325,'Lớp 3 - Công việc chính'!$I$14:$I$73,0)),""),4,IFERROR(INDEX('Lớp 4 - Danh mục'!$AU$14:$AU$132,MATCH($X325,'Lớp 4 - Danh mục'!$I$14:$I$132,0)),""),5,IFERROR(INDEX('Lớp 5 - Phân công'!$AV$14:$AV$262,MATCH($X325,'Lớp 5 - Phân công'!$I$14:$I$262,0)),""),6,IFERROR(INDEX('Lớp 6 - Chi tiết'!$AY$14:$AY$267,MATCH($X325,'Lớp 6 - Chi tiết'!$I$14:$I$267,0)),""),""))</f>
        <v/>
      </c>
    </row>
    <row r="326" ht="15.75" customHeight="1">
      <c r="A326" s="294" t="str">
        <f t="shared" si="12"/>
        <v/>
      </c>
      <c r="B326" s="301" t="str">
        <f t="shared" si="13"/>
        <v/>
      </c>
      <c r="C326" s="301" t="str">
        <f t="shared" si="14"/>
        <v/>
      </c>
      <c r="D326" s="301" t="str">
        <f t="shared" si="15"/>
        <v/>
      </c>
      <c r="E326" s="301" t="str">
        <f t="shared" si="16"/>
        <v/>
      </c>
      <c r="F326" s="317" t="str">
        <f t="shared" si="17"/>
        <v/>
      </c>
      <c r="G326" s="323" t="str">
        <f t="shared" si="18"/>
        <v/>
      </c>
      <c r="H326" s="327" t="str">
        <f t="shared" si="19"/>
        <v/>
      </c>
      <c r="I326" s="327" t="str">
        <f t="shared" si="20"/>
        <v/>
      </c>
      <c r="J326" s="301" t="str">
        <f t="shared" si="21"/>
        <v/>
      </c>
      <c r="K326" s="301" t="str">
        <f t="shared" si="22"/>
        <v/>
      </c>
      <c r="L326" s="344" t="str">
        <f t="array" ref="L326">IF($T326="","",LET(m,MATCH($T326,$AS$24:$AS$700,0),lvl,INDEX($W$24:$W$700,m),id,INDEX($X$24:$X$700,m),SWITCH(lvl,3,"Lớp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6" s="351" t="str">
        <f t="shared" si="23"/>
        <v/>
      </c>
      <c r="N326" s="356" t="str">
        <f t="shared" si="24"/>
        <v/>
      </c>
      <c r="O326" s="358"/>
      <c r="P326" s="360"/>
      <c r="Q326" s="360"/>
      <c r="R326" s="67"/>
      <c r="S326" s="67"/>
      <c r="T326" s="67"/>
      <c r="U326" s="389" t="str">
        <f>IF('Lớp 5 - Phân công'!I137="","",'Lớp 5 - Phân công'!K137&amp;"|"&amp;'Lớp 5 - Phân công'!J137&amp;"|"&amp;'Lớp 5 - Phân công'!I137)</f>
        <v/>
      </c>
      <c r="V326" s="389" t="str">
        <f>IF('Lớp 5 - Phân công'!I137="","","       ├─ "&amp;'Lớp 5 - Phân công'!Q137)</f>
        <v/>
      </c>
      <c r="W326" s="389" t="str">
        <f>IF('Lớp 5 - Phân công'!I137="","",5)</f>
        <v/>
      </c>
      <c r="X326" s="67" t="str">
        <f>'Lớp 5 - Phân công'!I137</f>
        <v/>
      </c>
      <c r="Y326" s="67" t="str">
        <f>'Lớp 5 - Phân công'!J137</f>
        <v/>
      </c>
      <c r="Z326" s="67" t="str">
        <f>'Lớp 5 - Phân công'!AA137</f>
        <v/>
      </c>
      <c r="AA326" s="67" t="str">
        <f>'Lớp 5 - Phân công'!Z137</f>
        <v/>
      </c>
      <c r="AB326" s="67" t="str">
        <f>'Lớp 5 - Phân công'!AC137</f>
        <v/>
      </c>
      <c r="AC326" s="67" t="str">
        <f>'Lớp 5 - Phân công'!AB137</f>
        <v/>
      </c>
      <c r="AD326" s="398" t="str">
        <f>'Lớp 5 - Phân công'!AG137</f>
        <v/>
      </c>
      <c r="AE326" s="358" t="str">
        <f>'Lớp 5 - Phân công'!AE137</f>
        <v/>
      </c>
      <c r="AF326" s="187" t="str">
        <f>'Lớp 5 - Phân công'!AH137</f>
        <v/>
      </c>
      <c r="AG326" s="104" t="str">
        <f>'Lớp 5 - Phân công'!AI137</f>
        <v/>
      </c>
      <c r="AH326" s="389" t="str">
        <f t="shared" si="27"/>
        <v/>
      </c>
      <c r="AI326" s="389" t="str">
        <f t="shared" si="37"/>
        <v>🔵 Chưa có hạn</v>
      </c>
      <c r="AJ326" s="67" t="str">
        <f>'Lớp 5 - Phân công'!AL137</f>
        <v/>
      </c>
      <c r="AS326" s="389" t="str">
        <f t="shared" si="217"/>
        <v/>
      </c>
      <c r="AT326" s="389" t="str">
        <f t="shared" si="32"/>
        <v/>
      </c>
      <c r="AU326" s="389" t="str">
        <f t="shared" si="33"/>
        <v/>
      </c>
      <c r="AV326" s="389" t="str">
        <f t="shared" si="34"/>
        <v/>
      </c>
      <c r="AW326" s="389" t="str">
        <f t="shared" si="35"/>
        <v/>
      </c>
      <c r="AX326" s="67" t="str">
        <f t="shared" ref="AX326:BH326" si="340">Z326</f>
        <v/>
      </c>
      <c r="AY326" s="67" t="str">
        <f t="shared" si="340"/>
        <v/>
      </c>
      <c r="AZ326" s="67" t="str">
        <f t="shared" si="340"/>
        <v/>
      </c>
      <c r="BA326" s="67" t="str">
        <f t="shared" si="340"/>
        <v/>
      </c>
      <c r="BB326" s="398" t="str">
        <f t="shared" si="340"/>
        <v/>
      </c>
      <c r="BC326" s="358" t="str">
        <f t="shared" si="340"/>
        <v/>
      </c>
      <c r="BD326" s="187" t="str">
        <f t="shared" si="340"/>
        <v/>
      </c>
      <c r="BE326" s="104" t="str">
        <f t="shared" si="340"/>
        <v/>
      </c>
      <c r="BF326" s="389" t="str">
        <f t="shared" si="340"/>
        <v/>
      </c>
      <c r="BG326" s="389" t="str">
        <f t="shared" si="340"/>
        <v>🔵 Chưa có hạn</v>
      </c>
      <c r="BH326" s="67" t="str">
        <f t="shared" si="340"/>
        <v/>
      </c>
      <c r="BI326" s="389" t="str">
        <f t="array" ref="BI326">IF($X326="","",SWITCH($W326,3,IFERROR(INDEX('Lớp 3 - Công việc chính'!$AF$14:$AF$73,MATCH($X326,'Lớp 3 - Công việc chính'!$I$14:$I$73,0)),""),4,IFERROR(INDEX('Lớp 4 - Danh mục'!$AI$14:$AI$132,MATCH($X326,'Lớp 4 - Danh mục'!$I$14:$I$132,0)),""),5,IFERROR(INDEX('Lớp 5 - Phân công'!$AJ$14:$AJ$262,MATCH($X326,'Lớp 5 - Phân công'!$I$14:$I$262,0)),""),6,IFERROR(INDEX('Lớp 6 - Chi tiết'!$AM$14:$AM$267,MATCH($X326,'Lớp 6 - Chi tiết'!$I$14:$I$267,0)),""),""))</f>
        <v/>
      </c>
      <c r="BJ326" s="389" t="str">
        <f t="array" ref="BJ326">IF($X326="","",SWITCH($W326,3,IFERROR(INDEX('Lớp 3 - Công việc chính'!$AR$14:$AR$73,MATCH($X326,'Lớp 3 - Công việc chính'!$I$14:$I$73,0)),""),4,IFERROR(INDEX('Lớp 4 - Danh mục'!$AU$14:$AU$132,MATCH($X326,'Lớp 4 - Danh mục'!$I$14:$I$132,0)),""),5,IFERROR(INDEX('Lớp 5 - Phân công'!$AV$14:$AV$262,MATCH($X326,'Lớp 5 - Phân công'!$I$14:$I$262,0)),""),6,IFERROR(INDEX('Lớp 6 - Chi tiết'!$AY$14:$AY$267,MATCH($X326,'Lớp 6 - Chi tiết'!$I$14:$I$267,0)),""),""))</f>
        <v/>
      </c>
    </row>
    <row r="327" ht="15.75" customHeight="1">
      <c r="A327" s="294" t="str">
        <f t="shared" si="12"/>
        <v/>
      </c>
      <c r="B327" s="301" t="str">
        <f t="shared" si="13"/>
        <v/>
      </c>
      <c r="C327" s="301" t="str">
        <f t="shared" si="14"/>
        <v/>
      </c>
      <c r="D327" s="301" t="str">
        <f t="shared" si="15"/>
        <v/>
      </c>
      <c r="E327" s="301" t="str">
        <f t="shared" si="16"/>
        <v/>
      </c>
      <c r="F327" s="317" t="str">
        <f t="shared" si="17"/>
        <v/>
      </c>
      <c r="G327" s="323" t="str">
        <f t="shared" si="18"/>
        <v/>
      </c>
      <c r="H327" s="327" t="str">
        <f t="shared" si="19"/>
        <v/>
      </c>
      <c r="I327" s="327" t="str">
        <f t="shared" si="20"/>
        <v/>
      </c>
      <c r="J327" s="301" t="str">
        <f t="shared" si="21"/>
        <v/>
      </c>
      <c r="K327" s="301" t="str">
        <f t="shared" si="22"/>
        <v/>
      </c>
      <c r="L327" s="344" t="str">
        <f t="array" ref="L327">IF($T327="","",LET(m,MATCH($T327,$AS$24:$AS$700,0),lvl,INDEX($W$24:$W$700,m),id,INDEX($X$24:$X$700,m),SWITCH(lvl,3,"Lớp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7" s="351" t="str">
        <f t="shared" si="23"/>
        <v/>
      </c>
      <c r="N327" s="356" t="str">
        <f t="shared" si="24"/>
        <v/>
      </c>
      <c r="O327" s="358"/>
      <c r="P327" s="360"/>
      <c r="Q327" s="360"/>
      <c r="R327" s="67"/>
      <c r="S327" s="67"/>
      <c r="T327" s="67"/>
      <c r="U327" s="389" t="str">
        <f>IF('Lớp 5 - Phân công'!I138="","",'Lớp 5 - Phân công'!K138&amp;"|"&amp;'Lớp 5 - Phân công'!J138&amp;"|"&amp;'Lớp 5 - Phân công'!I138)</f>
        <v/>
      </c>
      <c r="V327" s="389" t="str">
        <f>IF('Lớp 5 - Phân công'!I138="","","       ├─ "&amp;'Lớp 5 - Phân công'!Q138)</f>
        <v/>
      </c>
      <c r="W327" s="389" t="str">
        <f>IF('Lớp 5 - Phân công'!I138="","",5)</f>
        <v/>
      </c>
      <c r="X327" s="67" t="str">
        <f>'Lớp 5 - Phân công'!I138</f>
        <v/>
      </c>
      <c r="Y327" s="67" t="str">
        <f>'Lớp 5 - Phân công'!J138</f>
        <v/>
      </c>
      <c r="Z327" s="67" t="str">
        <f>'Lớp 5 - Phân công'!AA138</f>
        <v/>
      </c>
      <c r="AA327" s="67" t="str">
        <f>'Lớp 5 - Phân công'!Z138</f>
        <v/>
      </c>
      <c r="AB327" s="67" t="str">
        <f>'Lớp 5 - Phân công'!AC138</f>
        <v/>
      </c>
      <c r="AC327" s="67" t="str">
        <f>'Lớp 5 - Phân công'!AB138</f>
        <v/>
      </c>
      <c r="AD327" s="398" t="str">
        <f>'Lớp 5 - Phân công'!AG138</f>
        <v/>
      </c>
      <c r="AE327" s="358" t="str">
        <f>'Lớp 5 - Phân công'!AE138</f>
        <v/>
      </c>
      <c r="AF327" s="187" t="str">
        <f>'Lớp 5 - Phân công'!AH138</f>
        <v/>
      </c>
      <c r="AG327" s="104" t="str">
        <f>'Lớp 5 - Phân công'!AI138</f>
        <v/>
      </c>
      <c r="AH327" s="389" t="str">
        <f t="shared" si="27"/>
        <v/>
      </c>
      <c r="AI327" s="389" t="str">
        <f t="shared" si="37"/>
        <v>🔵 Chưa có hạn</v>
      </c>
      <c r="AJ327" s="67" t="str">
        <f>'Lớp 5 - Phân công'!AL138</f>
        <v/>
      </c>
      <c r="AS327" s="389" t="str">
        <f t="shared" si="217"/>
        <v/>
      </c>
      <c r="AT327" s="389" t="str">
        <f t="shared" si="32"/>
        <v/>
      </c>
      <c r="AU327" s="389" t="str">
        <f t="shared" si="33"/>
        <v/>
      </c>
      <c r="AV327" s="389" t="str">
        <f t="shared" si="34"/>
        <v/>
      </c>
      <c r="AW327" s="389" t="str">
        <f t="shared" si="35"/>
        <v/>
      </c>
      <c r="AX327" s="67" t="str">
        <f t="shared" ref="AX327:BH327" si="341">Z327</f>
        <v/>
      </c>
      <c r="AY327" s="67" t="str">
        <f t="shared" si="341"/>
        <v/>
      </c>
      <c r="AZ327" s="67" t="str">
        <f t="shared" si="341"/>
        <v/>
      </c>
      <c r="BA327" s="67" t="str">
        <f t="shared" si="341"/>
        <v/>
      </c>
      <c r="BB327" s="398" t="str">
        <f t="shared" si="341"/>
        <v/>
      </c>
      <c r="BC327" s="358" t="str">
        <f t="shared" si="341"/>
        <v/>
      </c>
      <c r="BD327" s="187" t="str">
        <f t="shared" si="341"/>
        <v/>
      </c>
      <c r="BE327" s="104" t="str">
        <f t="shared" si="341"/>
        <v/>
      </c>
      <c r="BF327" s="389" t="str">
        <f t="shared" si="341"/>
        <v/>
      </c>
      <c r="BG327" s="389" t="str">
        <f t="shared" si="341"/>
        <v>🔵 Chưa có hạn</v>
      </c>
      <c r="BH327" s="67" t="str">
        <f t="shared" si="341"/>
        <v/>
      </c>
      <c r="BI327" s="389" t="str">
        <f t="array" ref="BI327">IF($X327="","",SWITCH($W327,3,IFERROR(INDEX('Lớp 3 - Công việc chính'!$AF$14:$AF$73,MATCH($X327,'Lớp 3 - Công việc chính'!$I$14:$I$73,0)),""),4,IFERROR(INDEX('Lớp 4 - Danh mục'!$AI$14:$AI$132,MATCH($X327,'Lớp 4 - Danh mục'!$I$14:$I$132,0)),""),5,IFERROR(INDEX('Lớp 5 - Phân công'!$AJ$14:$AJ$262,MATCH($X327,'Lớp 5 - Phân công'!$I$14:$I$262,0)),""),6,IFERROR(INDEX('Lớp 6 - Chi tiết'!$AM$14:$AM$267,MATCH($X327,'Lớp 6 - Chi tiết'!$I$14:$I$267,0)),""),""))</f>
        <v/>
      </c>
      <c r="BJ327" s="389" t="str">
        <f t="array" ref="BJ327">IF($X327="","",SWITCH($W327,3,IFERROR(INDEX('Lớp 3 - Công việc chính'!$AR$14:$AR$73,MATCH($X327,'Lớp 3 - Công việc chính'!$I$14:$I$73,0)),""),4,IFERROR(INDEX('Lớp 4 - Danh mục'!$AU$14:$AU$132,MATCH($X327,'Lớp 4 - Danh mục'!$I$14:$I$132,0)),""),5,IFERROR(INDEX('Lớp 5 - Phân công'!$AV$14:$AV$262,MATCH($X327,'Lớp 5 - Phân công'!$I$14:$I$262,0)),""),6,IFERROR(INDEX('Lớp 6 - Chi tiết'!$AY$14:$AY$267,MATCH($X327,'Lớp 6 - Chi tiết'!$I$14:$I$267,0)),""),""))</f>
        <v/>
      </c>
    </row>
    <row r="328" ht="15.75" customHeight="1">
      <c r="A328" s="294" t="str">
        <f t="shared" si="12"/>
        <v/>
      </c>
      <c r="B328" s="301" t="str">
        <f t="shared" si="13"/>
        <v/>
      </c>
      <c r="C328" s="301" t="str">
        <f t="shared" si="14"/>
        <v/>
      </c>
      <c r="D328" s="301" t="str">
        <f t="shared" si="15"/>
        <v/>
      </c>
      <c r="E328" s="301" t="str">
        <f t="shared" si="16"/>
        <v/>
      </c>
      <c r="F328" s="317" t="str">
        <f t="shared" si="17"/>
        <v/>
      </c>
      <c r="G328" s="323" t="str">
        <f t="shared" si="18"/>
        <v/>
      </c>
      <c r="H328" s="327" t="str">
        <f t="shared" si="19"/>
        <v/>
      </c>
      <c r="I328" s="327" t="str">
        <f t="shared" si="20"/>
        <v/>
      </c>
      <c r="J328" s="301" t="str">
        <f t="shared" si="21"/>
        <v/>
      </c>
      <c r="K328" s="301" t="str">
        <f t="shared" si="22"/>
        <v/>
      </c>
      <c r="L328" s="344" t="str">
        <f t="array" ref="L328">IF($T328="","",LET(m,MATCH($T328,$AS$24:$AS$700,0),lvl,INDEX($W$24:$W$700,m),id,INDEX($X$24:$X$700,m),SWITCH(lvl,3,"Lớp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8" s="351" t="str">
        <f t="shared" si="23"/>
        <v/>
      </c>
      <c r="N328" s="356" t="str">
        <f t="shared" si="24"/>
        <v/>
      </c>
      <c r="O328" s="358"/>
      <c r="P328" s="360"/>
      <c r="Q328" s="360"/>
      <c r="R328" s="67"/>
      <c r="S328" s="67"/>
      <c r="T328" s="67"/>
      <c r="U328" s="389" t="str">
        <f>IF('Lớp 5 - Phân công'!I139="","",'Lớp 5 - Phân công'!K139&amp;"|"&amp;'Lớp 5 - Phân công'!J139&amp;"|"&amp;'Lớp 5 - Phân công'!I139)</f>
        <v/>
      </c>
      <c r="V328" s="389" t="str">
        <f>IF('Lớp 5 - Phân công'!I139="","","       ├─ "&amp;'Lớp 5 - Phân công'!Q139)</f>
        <v/>
      </c>
      <c r="W328" s="389" t="str">
        <f>IF('Lớp 5 - Phân công'!I139="","",5)</f>
        <v/>
      </c>
      <c r="X328" s="67" t="str">
        <f>'Lớp 5 - Phân công'!I139</f>
        <v/>
      </c>
      <c r="Y328" s="67" t="str">
        <f>'Lớp 5 - Phân công'!J139</f>
        <v/>
      </c>
      <c r="Z328" s="67" t="str">
        <f>'Lớp 5 - Phân công'!AA139</f>
        <v/>
      </c>
      <c r="AA328" s="67" t="str">
        <f>'Lớp 5 - Phân công'!Z139</f>
        <v/>
      </c>
      <c r="AB328" s="67" t="str">
        <f>'Lớp 5 - Phân công'!AC139</f>
        <v/>
      </c>
      <c r="AC328" s="67" t="str">
        <f>'Lớp 5 - Phân công'!AB139</f>
        <v/>
      </c>
      <c r="AD328" s="398" t="str">
        <f>'Lớp 5 - Phân công'!AG139</f>
        <v/>
      </c>
      <c r="AE328" s="358" t="str">
        <f>'Lớp 5 - Phân công'!AE139</f>
        <v/>
      </c>
      <c r="AF328" s="187" t="str">
        <f>'Lớp 5 - Phân công'!AH139</f>
        <v/>
      </c>
      <c r="AG328" s="104" t="str">
        <f>'Lớp 5 - Phân công'!AI139</f>
        <v/>
      </c>
      <c r="AH328" s="389" t="str">
        <f t="shared" si="27"/>
        <v/>
      </c>
      <c r="AI328" s="389" t="str">
        <f t="shared" si="37"/>
        <v>🔵 Chưa có hạn</v>
      </c>
      <c r="AJ328" s="67" t="str">
        <f>'Lớp 5 - Phân công'!AL139</f>
        <v/>
      </c>
      <c r="AS328" s="389" t="str">
        <f t="shared" si="217"/>
        <v/>
      </c>
      <c r="AT328" s="389" t="str">
        <f t="shared" si="32"/>
        <v/>
      </c>
      <c r="AU328" s="389" t="str">
        <f t="shared" si="33"/>
        <v/>
      </c>
      <c r="AV328" s="389" t="str">
        <f t="shared" si="34"/>
        <v/>
      </c>
      <c r="AW328" s="389" t="str">
        <f t="shared" si="35"/>
        <v/>
      </c>
      <c r="AX328" s="67" t="str">
        <f t="shared" ref="AX328:BH328" si="342">Z328</f>
        <v/>
      </c>
      <c r="AY328" s="67" t="str">
        <f t="shared" si="342"/>
        <v/>
      </c>
      <c r="AZ328" s="67" t="str">
        <f t="shared" si="342"/>
        <v/>
      </c>
      <c r="BA328" s="67" t="str">
        <f t="shared" si="342"/>
        <v/>
      </c>
      <c r="BB328" s="398" t="str">
        <f t="shared" si="342"/>
        <v/>
      </c>
      <c r="BC328" s="358" t="str">
        <f t="shared" si="342"/>
        <v/>
      </c>
      <c r="BD328" s="187" t="str">
        <f t="shared" si="342"/>
        <v/>
      </c>
      <c r="BE328" s="104" t="str">
        <f t="shared" si="342"/>
        <v/>
      </c>
      <c r="BF328" s="389" t="str">
        <f t="shared" si="342"/>
        <v/>
      </c>
      <c r="BG328" s="389" t="str">
        <f t="shared" si="342"/>
        <v>🔵 Chưa có hạn</v>
      </c>
      <c r="BH328" s="67" t="str">
        <f t="shared" si="342"/>
        <v/>
      </c>
      <c r="BI328" s="389" t="str">
        <f t="array" ref="BI328">IF($X328="","",SWITCH($W328,3,IFERROR(INDEX('Lớp 3 - Công việc chính'!$AF$14:$AF$73,MATCH($X328,'Lớp 3 - Công việc chính'!$I$14:$I$73,0)),""),4,IFERROR(INDEX('Lớp 4 - Danh mục'!$AI$14:$AI$132,MATCH($X328,'Lớp 4 - Danh mục'!$I$14:$I$132,0)),""),5,IFERROR(INDEX('Lớp 5 - Phân công'!$AJ$14:$AJ$262,MATCH($X328,'Lớp 5 - Phân công'!$I$14:$I$262,0)),""),6,IFERROR(INDEX('Lớp 6 - Chi tiết'!$AM$14:$AM$267,MATCH($X328,'Lớp 6 - Chi tiết'!$I$14:$I$267,0)),""),""))</f>
        <v/>
      </c>
      <c r="BJ328" s="389" t="str">
        <f t="array" ref="BJ328">IF($X328="","",SWITCH($W328,3,IFERROR(INDEX('Lớp 3 - Công việc chính'!$AR$14:$AR$73,MATCH($X328,'Lớp 3 - Công việc chính'!$I$14:$I$73,0)),""),4,IFERROR(INDEX('Lớp 4 - Danh mục'!$AU$14:$AU$132,MATCH($X328,'Lớp 4 - Danh mục'!$I$14:$I$132,0)),""),5,IFERROR(INDEX('Lớp 5 - Phân công'!$AV$14:$AV$262,MATCH($X328,'Lớp 5 - Phân công'!$I$14:$I$262,0)),""),6,IFERROR(INDEX('Lớp 6 - Chi tiết'!$AY$14:$AY$267,MATCH($X328,'Lớp 6 - Chi tiết'!$I$14:$I$267,0)),""),""))</f>
        <v/>
      </c>
    </row>
    <row r="329" ht="15.75" customHeight="1">
      <c r="A329" s="294" t="str">
        <f t="shared" si="12"/>
        <v/>
      </c>
      <c r="B329" s="301" t="str">
        <f t="shared" si="13"/>
        <v/>
      </c>
      <c r="C329" s="301" t="str">
        <f t="shared" si="14"/>
        <v/>
      </c>
      <c r="D329" s="301" t="str">
        <f t="shared" si="15"/>
        <v/>
      </c>
      <c r="E329" s="301" t="str">
        <f t="shared" si="16"/>
        <v/>
      </c>
      <c r="F329" s="317" t="str">
        <f t="shared" si="17"/>
        <v/>
      </c>
      <c r="G329" s="323" t="str">
        <f t="shared" si="18"/>
        <v/>
      </c>
      <c r="H329" s="327" t="str">
        <f t="shared" si="19"/>
        <v/>
      </c>
      <c r="I329" s="327" t="str">
        <f t="shared" si="20"/>
        <v/>
      </c>
      <c r="J329" s="301" t="str">
        <f t="shared" si="21"/>
        <v/>
      </c>
      <c r="K329" s="301" t="str">
        <f t="shared" si="22"/>
        <v/>
      </c>
      <c r="L329" s="344" t="str">
        <f t="array" ref="L329">IF($T329="","",LET(m,MATCH($T329,$AS$24:$AS$700,0),lvl,INDEX($W$24:$W$700,m),id,INDEX($X$24:$X$700,m),SWITCH(lvl,3,"Lớp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29" s="351" t="str">
        <f t="shared" si="23"/>
        <v/>
      </c>
      <c r="N329" s="356" t="str">
        <f t="shared" si="24"/>
        <v/>
      </c>
      <c r="O329" s="358"/>
      <c r="P329" s="360"/>
      <c r="Q329" s="360"/>
      <c r="R329" s="67"/>
      <c r="S329" s="67"/>
      <c r="T329" s="67"/>
      <c r="U329" s="389" t="str">
        <f>IF('Lớp 5 - Phân công'!I140="","",'Lớp 5 - Phân công'!K140&amp;"|"&amp;'Lớp 5 - Phân công'!J140&amp;"|"&amp;'Lớp 5 - Phân công'!I140)</f>
        <v/>
      </c>
      <c r="V329" s="389" t="str">
        <f>IF('Lớp 5 - Phân công'!I140="","","       ├─ "&amp;'Lớp 5 - Phân công'!Q140)</f>
        <v/>
      </c>
      <c r="W329" s="389" t="str">
        <f>IF('Lớp 5 - Phân công'!I140="","",5)</f>
        <v/>
      </c>
      <c r="X329" s="67" t="str">
        <f>'Lớp 5 - Phân công'!I140</f>
        <v/>
      </c>
      <c r="Y329" s="67" t="str">
        <f>'Lớp 5 - Phân công'!J140</f>
        <v/>
      </c>
      <c r="Z329" s="67" t="str">
        <f>'Lớp 5 - Phân công'!AA140</f>
        <v/>
      </c>
      <c r="AA329" s="67" t="str">
        <f>'Lớp 5 - Phân công'!Z140</f>
        <v/>
      </c>
      <c r="AB329" s="67" t="str">
        <f>'Lớp 5 - Phân công'!AC140</f>
        <v/>
      </c>
      <c r="AC329" s="67" t="str">
        <f>'Lớp 5 - Phân công'!AB140</f>
        <v/>
      </c>
      <c r="AD329" s="398" t="str">
        <f>'Lớp 5 - Phân công'!AG140</f>
        <v/>
      </c>
      <c r="AE329" s="358" t="str">
        <f>'Lớp 5 - Phân công'!AE140</f>
        <v/>
      </c>
      <c r="AF329" s="187" t="str">
        <f>'Lớp 5 - Phân công'!AH140</f>
        <v/>
      </c>
      <c r="AG329" s="104" t="str">
        <f>'Lớp 5 - Phân công'!AI140</f>
        <v/>
      </c>
      <c r="AH329" s="389" t="str">
        <f t="shared" si="27"/>
        <v/>
      </c>
      <c r="AI329" s="389" t="str">
        <f t="shared" si="37"/>
        <v>🔵 Chưa có hạn</v>
      </c>
      <c r="AJ329" s="67" t="str">
        <f>'Lớp 5 - Phân công'!AL140</f>
        <v/>
      </c>
      <c r="AS329" s="389" t="str">
        <f t="shared" si="217"/>
        <v/>
      </c>
      <c r="AT329" s="389" t="str">
        <f t="shared" si="32"/>
        <v/>
      </c>
      <c r="AU329" s="389" t="str">
        <f t="shared" si="33"/>
        <v/>
      </c>
      <c r="AV329" s="389" t="str">
        <f t="shared" si="34"/>
        <v/>
      </c>
      <c r="AW329" s="389" t="str">
        <f t="shared" si="35"/>
        <v/>
      </c>
      <c r="AX329" s="67" t="str">
        <f t="shared" ref="AX329:BH329" si="343">Z329</f>
        <v/>
      </c>
      <c r="AY329" s="67" t="str">
        <f t="shared" si="343"/>
        <v/>
      </c>
      <c r="AZ329" s="67" t="str">
        <f t="shared" si="343"/>
        <v/>
      </c>
      <c r="BA329" s="67" t="str">
        <f t="shared" si="343"/>
        <v/>
      </c>
      <c r="BB329" s="398" t="str">
        <f t="shared" si="343"/>
        <v/>
      </c>
      <c r="BC329" s="358" t="str">
        <f t="shared" si="343"/>
        <v/>
      </c>
      <c r="BD329" s="187" t="str">
        <f t="shared" si="343"/>
        <v/>
      </c>
      <c r="BE329" s="104" t="str">
        <f t="shared" si="343"/>
        <v/>
      </c>
      <c r="BF329" s="389" t="str">
        <f t="shared" si="343"/>
        <v/>
      </c>
      <c r="BG329" s="389" t="str">
        <f t="shared" si="343"/>
        <v>🔵 Chưa có hạn</v>
      </c>
      <c r="BH329" s="67" t="str">
        <f t="shared" si="343"/>
        <v/>
      </c>
      <c r="BI329" s="389" t="str">
        <f t="array" ref="BI329">IF($X329="","",SWITCH($W329,3,IFERROR(INDEX('Lớp 3 - Công việc chính'!$AF$14:$AF$73,MATCH($X329,'Lớp 3 - Công việc chính'!$I$14:$I$73,0)),""),4,IFERROR(INDEX('Lớp 4 - Danh mục'!$AI$14:$AI$132,MATCH($X329,'Lớp 4 - Danh mục'!$I$14:$I$132,0)),""),5,IFERROR(INDEX('Lớp 5 - Phân công'!$AJ$14:$AJ$262,MATCH($X329,'Lớp 5 - Phân công'!$I$14:$I$262,0)),""),6,IFERROR(INDEX('Lớp 6 - Chi tiết'!$AM$14:$AM$267,MATCH($X329,'Lớp 6 - Chi tiết'!$I$14:$I$267,0)),""),""))</f>
        <v/>
      </c>
      <c r="BJ329" s="389" t="str">
        <f t="array" ref="BJ329">IF($X329="","",SWITCH($W329,3,IFERROR(INDEX('Lớp 3 - Công việc chính'!$AR$14:$AR$73,MATCH($X329,'Lớp 3 - Công việc chính'!$I$14:$I$73,0)),""),4,IFERROR(INDEX('Lớp 4 - Danh mục'!$AU$14:$AU$132,MATCH($X329,'Lớp 4 - Danh mục'!$I$14:$I$132,0)),""),5,IFERROR(INDEX('Lớp 5 - Phân công'!$AV$14:$AV$262,MATCH($X329,'Lớp 5 - Phân công'!$I$14:$I$262,0)),""),6,IFERROR(INDEX('Lớp 6 - Chi tiết'!$AY$14:$AY$267,MATCH($X329,'Lớp 6 - Chi tiết'!$I$14:$I$267,0)),""),""))</f>
        <v/>
      </c>
    </row>
    <row r="330" ht="15.75" customHeight="1">
      <c r="A330" s="294" t="str">
        <f t="shared" si="12"/>
        <v/>
      </c>
      <c r="B330" s="301" t="str">
        <f t="shared" si="13"/>
        <v/>
      </c>
      <c r="C330" s="301" t="str">
        <f t="shared" si="14"/>
        <v/>
      </c>
      <c r="D330" s="301" t="str">
        <f t="shared" si="15"/>
        <v/>
      </c>
      <c r="E330" s="301" t="str">
        <f t="shared" si="16"/>
        <v/>
      </c>
      <c r="F330" s="317" t="str">
        <f t="shared" si="17"/>
        <v/>
      </c>
      <c r="G330" s="323" t="str">
        <f t="shared" si="18"/>
        <v/>
      </c>
      <c r="H330" s="327" t="str">
        <f t="shared" si="19"/>
        <v/>
      </c>
      <c r="I330" s="327" t="str">
        <f t="shared" si="20"/>
        <v/>
      </c>
      <c r="J330" s="301" t="str">
        <f t="shared" si="21"/>
        <v/>
      </c>
      <c r="K330" s="301" t="str">
        <f t="shared" si="22"/>
        <v/>
      </c>
      <c r="L330" s="344" t="str">
        <f t="array" ref="L330">IF($T330="","",LET(m,MATCH($T330,$AS$24:$AS$700,0),lvl,INDEX($W$24:$W$700,m),id,INDEX($X$24:$X$700,m),SWITCH(lvl,3,"Lớp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0" s="351" t="str">
        <f t="shared" si="23"/>
        <v/>
      </c>
      <c r="N330" s="356" t="str">
        <f t="shared" si="24"/>
        <v/>
      </c>
      <c r="O330" s="358"/>
      <c r="P330" s="360"/>
      <c r="Q330" s="360"/>
      <c r="R330" s="67"/>
      <c r="S330" s="67"/>
      <c r="T330" s="67"/>
      <c r="U330" s="389" t="str">
        <f>IF('Lớp 5 - Phân công'!I141="","",'Lớp 5 - Phân công'!K141&amp;"|"&amp;'Lớp 5 - Phân công'!J141&amp;"|"&amp;'Lớp 5 - Phân công'!I141)</f>
        <v/>
      </c>
      <c r="V330" s="389" t="str">
        <f>IF('Lớp 5 - Phân công'!I141="","","       ├─ "&amp;'Lớp 5 - Phân công'!Q141)</f>
        <v/>
      </c>
      <c r="W330" s="389" t="str">
        <f>IF('Lớp 5 - Phân công'!I141="","",5)</f>
        <v/>
      </c>
      <c r="X330" s="67" t="str">
        <f>'Lớp 5 - Phân công'!I141</f>
        <v/>
      </c>
      <c r="Y330" s="67" t="str">
        <f>'Lớp 5 - Phân công'!J141</f>
        <v/>
      </c>
      <c r="Z330" s="67" t="str">
        <f>'Lớp 5 - Phân công'!AA141</f>
        <v/>
      </c>
      <c r="AA330" s="67" t="str">
        <f>'Lớp 5 - Phân công'!Z141</f>
        <v/>
      </c>
      <c r="AB330" s="67" t="str">
        <f>'Lớp 5 - Phân công'!AC141</f>
        <v/>
      </c>
      <c r="AC330" s="67" t="str">
        <f>'Lớp 5 - Phân công'!AB141</f>
        <v/>
      </c>
      <c r="AD330" s="398" t="str">
        <f>'Lớp 5 - Phân công'!AG141</f>
        <v/>
      </c>
      <c r="AE330" s="358" t="str">
        <f>'Lớp 5 - Phân công'!AE141</f>
        <v/>
      </c>
      <c r="AF330" s="187" t="str">
        <f>'Lớp 5 - Phân công'!AH141</f>
        <v/>
      </c>
      <c r="AG330" s="104" t="str">
        <f>'Lớp 5 - Phân công'!AI141</f>
        <v/>
      </c>
      <c r="AH330" s="389" t="str">
        <f t="shared" si="27"/>
        <v/>
      </c>
      <c r="AI330" s="389" t="str">
        <f t="shared" si="37"/>
        <v>🔵 Chưa có hạn</v>
      </c>
      <c r="AJ330" s="67" t="str">
        <f>'Lớp 5 - Phân công'!AL141</f>
        <v/>
      </c>
      <c r="AS330" s="389" t="str">
        <f t="shared" si="217"/>
        <v/>
      </c>
      <c r="AT330" s="389" t="str">
        <f t="shared" si="32"/>
        <v/>
      </c>
      <c r="AU330" s="389" t="str">
        <f t="shared" si="33"/>
        <v/>
      </c>
      <c r="AV330" s="389" t="str">
        <f t="shared" si="34"/>
        <v/>
      </c>
      <c r="AW330" s="389" t="str">
        <f t="shared" si="35"/>
        <v/>
      </c>
      <c r="AX330" s="67" t="str">
        <f t="shared" ref="AX330:BH330" si="344">Z330</f>
        <v/>
      </c>
      <c r="AY330" s="67" t="str">
        <f t="shared" si="344"/>
        <v/>
      </c>
      <c r="AZ330" s="67" t="str">
        <f t="shared" si="344"/>
        <v/>
      </c>
      <c r="BA330" s="67" t="str">
        <f t="shared" si="344"/>
        <v/>
      </c>
      <c r="BB330" s="398" t="str">
        <f t="shared" si="344"/>
        <v/>
      </c>
      <c r="BC330" s="358" t="str">
        <f t="shared" si="344"/>
        <v/>
      </c>
      <c r="BD330" s="187" t="str">
        <f t="shared" si="344"/>
        <v/>
      </c>
      <c r="BE330" s="104" t="str">
        <f t="shared" si="344"/>
        <v/>
      </c>
      <c r="BF330" s="389" t="str">
        <f t="shared" si="344"/>
        <v/>
      </c>
      <c r="BG330" s="389" t="str">
        <f t="shared" si="344"/>
        <v>🔵 Chưa có hạn</v>
      </c>
      <c r="BH330" s="67" t="str">
        <f t="shared" si="344"/>
        <v/>
      </c>
      <c r="BI330" s="389" t="str">
        <f t="array" ref="BI330">IF($X330="","",SWITCH($W330,3,IFERROR(INDEX('Lớp 3 - Công việc chính'!$AF$14:$AF$73,MATCH($X330,'Lớp 3 - Công việc chính'!$I$14:$I$73,0)),""),4,IFERROR(INDEX('Lớp 4 - Danh mục'!$AI$14:$AI$132,MATCH($X330,'Lớp 4 - Danh mục'!$I$14:$I$132,0)),""),5,IFERROR(INDEX('Lớp 5 - Phân công'!$AJ$14:$AJ$262,MATCH($X330,'Lớp 5 - Phân công'!$I$14:$I$262,0)),""),6,IFERROR(INDEX('Lớp 6 - Chi tiết'!$AM$14:$AM$267,MATCH($X330,'Lớp 6 - Chi tiết'!$I$14:$I$267,0)),""),""))</f>
        <v/>
      </c>
      <c r="BJ330" s="389" t="str">
        <f t="array" ref="BJ330">IF($X330="","",SWITCH($W330,3,IFERROR(INDEX('Lớp 3 - Công việc chính'!$AR$14:$AR$73,MATCH($X330,'Lớp 3 - Công việc chính'!$I$14:$I$73,0)),""),4,IFERROR(INDEX('Lớp 4 - Danh mục'!$AU$14:$AU$132,MATCH($X330,'Lớp 4 - Danh mục'!$I$14:$I$132,0)),""),5,IFERROR(INDEX('Lớp 5 - Phân công'!$AV$14:$AV$262,MATCH($X330,'Lớp 5 - Phân công'!$I$14:$I$262,0)),""),6,IFERROR(INDEX('Lớp 6 - Chi tiết'!$AY$14:$AY$267,MATCH($X330,'Lớp 6 - Chi tiết'!$I$14:$I$267,0)),""),""))</f>
        <v/>
      </c>
    </row>
    <row r="331" ht="15.75" customHeight="1">
      <c r="A331" s="294" t="str">
        <f t="shared" si="12"/>
        <v/>
      </c>
      <c r="B331" s="301" t="str">
        <f t="shared" si="13"/>
        <v/>
      </c>
      <c r="C331" s="301" t="str">
        <f t="shared" si="14"/>
        <v/>
      </c>
      <c r="D331" s="301" t="str">
        <f t="shared" si="15"/>
        <v/>
      </c>
      <c r="E331" s="301" t="str">
        <f t="shared" si="16"/>
        <v/>
      </c>
      <c r="F331" s="317" t="str">
        <f t="shared" si="17"/>
        <v/>
      </c>
      <c r="G331" s="323" t="str">
        <f t="shared" si="18"/>
        <v/>
      </c>
      <c r="H331" s="327" t="str">
        <f t="shared" si="19"/>
        <v/>
      </c>
      <c r="I331" s="327" t="str">
        <f t="shared" si="20"/>
        <v/>
      </c>
      <c r="J331" s="301" t="str">
        <f t="shared" si="21"/>
        <v/>
      </c>
      <c r="K331" s="301" t="str">
        <f t="shared" si="22"/>
        <v/>
      </c>
      <c r="L331" s="344" t="str">
        <f t="array" ref="L331">IF($T331="","",LET(m,MATCH($T331,$AS$24:$AS$700,0),lvl,INDEX($W$24:$W$700,m),id,INDEX($X$24:$X$700,m),SWITCH(lvl,3,"Lớp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1" s="351" t="str">
        <f t="shared" si="23"/>
        <v/>
      </c>
      <c r="N331" s="356" t="str">
        <f t="shared" si="24"/>
        <v/>
      </c>
      <c r="O331" s="358"/>
      <c r="P331" s="360"/>
      <c r="Q331" s="360"/>
      <c r="R331" s="67"/>
      <c r="S331" s="67"/>
      <c r="T331" s="67"/>
      <c r="U331" s="389" t="str">
        <f>IF('Lớp 5 - Phân công'!I142="","",'Lớp 5 - Phân công'!K142&amp;"|"&amp;'Lớp 5 - Phân công'!J142&amp;"|"&amp;'Lớp 5 - Phân công'!I142)</f>
        <v/>
      </c>
      <c r="V331" s="389" t="str">
        <f>IF('Lớp 5 - Phân công'!I142="","","       ├─ "&amp;'Lớp 5 - Phân công'!Q142)</f>
        <v/>
      </c>
      <c r="W331" s="389" t="str">
        <f>IF('Lớp 5 - Phân công'!I142="","",5)</f>
        <v/>
      </c>
      <c r="X331" s="67" t="str">
        <f>'Lớp 5 - Phân công'!I142</f>
        <v/>
      </c>
      <c r="Y331" s="67" t="str">
        <f>'Lớp 5 - Phân công'!J142</f>
        <v/>
      </c>
      <c r="Z331" s="67" t="str">
        <f>'Lớp 5 - Phân công'!AA142</f>
        <v/>
      </c>
      <c r="AA331" s="67" t="str">
        <f>'Lớp 5 - Phân công'!Z142</f>
        <v/>
      </c>
      <c r="AB331" s="67" t="str">
        <f>'Lớp 5 - Phân công'!AC142</f>
        <v/>
      </c>
      <c r="AC331" s="67" t="str">
        <f>'Lớp 5 - Phân công'!AB142</f>
        <v/>
      </c>
      <c r="AD331" s="398" t="str">
        <f>'Lớp 5 - Phân công'!AG142</f>
        <v/>
      </c>
      <c r="AE331" s="358" t="str">
        <f>'Lớp 5 - Phân công'!AE142</f>
        <v/>
      </c>
      <c r="AF331" s="187" t="str">
        <f>'Lớp 5 - Phân công'!AH142</f>
        <v/>
      </c>
      <c r="AG331" s="104" t="str">
        <f>'Lớp 5 - Phân công'!AI142</f>
        <v/>
      </c>
      <c r="AH331" s="389" t="str">
        <f t="shared" si="27"/>
        <v/>
      </c>
      <c r="AI331" s="389" t="str">
        <f t="shared" si="37"/>
        <v>🔵 Chưa có hạn</v>
      </c>
      <c r="AJ331" s="67" t="str">
        <f>'Lớp 5 - Phân công'!AL142</f>
        <v/>
      </c>
      <c r="AS331" s="389" t="str">
        <f t="shared" si="217"/>
        <v/>
      </c>
      <c r="AT331" s="389" t="str">
        <f t="shared" si="32"/>
        <v/>
      </c>
      <c r="AU331" s="389" t="str">
        <f t="shared" si="33"/>
        <v/>
      </c>
      <c r="AV331" s="389" t="str">
        <f t="shared" si="34"/>
        <v/>
      </c>
      <c r="AW331" s="389" t="str">
        <f t="shared" si="35"/>
        <v/>
      </c>
      <c r="AX331" s="67" t="str">
        <f t="shared" ref="AX331:BH331" si="345">Z331</f>
        <v/>
      </c>
      <c r="AY331" s="67" t="str">
        <f t="shared" si="345"/>
        <v/>
      </c>
      <c r="AZ331" s="67" t="str">
        <f t="shared" si="345"/>
        <v/>
      </c>
      <c r="BA331" s="67" t="str">
        <f t="shared" si="345"/>
        <v/>
      </c>
      <c r="BB331" s="398" t="str">
        <f t="shared" si="345"/>
        <v/>
      </c>
      <c r="BC331" s="358" t="str">
        <f t="shared" si="345"/>
        <v/>
      </c>
      <c r="BD331" s="187" t="str">
        <f t="shared" si="345"/>
        <v/>
      </c>
      <c r="BE331" s="104" t="str">
        <f t="shared" si="345"/>
        <v/>
      </c>
      <c r="BF331" s="389" t="str">
        <f t="shared" si="345"/>
        <v/>
      </c>
      <c r="BG331" s="389" t="str">
        <f t="shared" si="345"/>
        <v>🔵 Chưa có hạn</v>
      </c>
      <c r="BH331" s="67" t="str">
        <f t="shared" si="345"/>
        <v/>
      </c>
      <c r="BI331" s="389" t="str">
        <f t="array" ref="BI331">IF($X331="","",SWITCH($W331,3,IFERROR(INDEX('Lớp 3 - Công việc chính'!$AF$14:$AF$73,MATCH($X331,'Lớp 3 - Công việc chính'!$I$14:$I$73,0)),""),4,IFERROR(INDEX('Lớp 4 - Danh mục'!$AI$14:$AI$132,MATCH($X331,'Lớp 4 - Danh mục'!$I$14:$I$132,0)),""),5,IFERROR(INDEX('Lớp 5 - Phân công'!$AJ$14:$AJ$262,MATCH($X331,'Lớp 5 - Phân công'!$I$14:$I$262,0)),""),6,IFERROR(INDEX('Lớp 6 - Chi tiết'!$AM$14:$AM$267,MATCH($X331,'Lớp 6 - Chi tiết'!$I$14:$I$267,0)),""),""))</f>
        <v/>
      </c>
      <c r="BJ331" s="389" t="str">
        <f t="array" ref="BJ331">IF($X331="","",SWITCH($W331,3,IFERROR(INDEX('Lớp 3 - Công việc chính'!$AR$14:$AR$73,MATCH($X331,'Lớp 3 - Công việc chính'!$I$14:$I$73,0)),""),4,IFERROR(INDEX('Lớp 4 - Danh mục'!$AU$14:$AU$132,MATCH($X331,'Lớp 4 - Danh mục'!$I$14:$I$132,0)),""),5,IFERROR(INDEX('Lớp 5 - Phân công'!$AV$14:$AV$262,MATCH($X331,'Lớp 5 - Phân công'!$I$14:$I$262,0)),""),6,IFERROR(INDEX('Lớp 6 - Chi tiết'!$AY$14:$AY$267,MATCH($X331,'Lớp 6 - Chi tiết'!$I$14:$I$267,0)),""),""))</f>
        <v/>
      </c>
    </row>
    <row r="332" ht="15.75" customHeight="1">
      <c r="A332" s="294" t="str">
        <f t="shared" si="12"/>
        <v/>
      </c>
      <c r="B332" s="301" t="str">
        <f t="shared" si="13"/>
        <v/>
      </c>
      <c r="C332" s="301" t="str">
        <f t="shared" si="14"/>
        <v/>
      </c>
      <c r="D332" s="301" t="str">
        <f t="shared" si="15"/>
        <v/>
      </c>
      <c r="E332" s="301" t="str">
        <f t="shared" si="16"/>
        <v/>
      </c>
      <c r="F332" s="317" t="str">
        <f t="shared" si="17"/>
        <v/>
      </c>
      <c r="G332" s="323" t="str">
        <f t="shared" si="18"/>
        <v/>
      </c>
      <c r="H332" s="327" t="str">
        <f t="shared" si="19"/>
        <v/>
      </c>
      <c r="I332" s="327" t="str">
        <f t="shared" si="20"/>
        <v/>
      </c>
      <c r="J332" s="301" t="str">
        <f t="shared" si="21"/>
        <v/>
      </c>
      <c r="K332" s="301" t="str">
        <f t="shared" si="22"/>
        <v/>
      </c>
      <c r="L332" s="344" t="str">
        <f t="array" ref="L332">IF($T332="","",LET(m,MATCH($T332,$AS$24:$AS$700,0),lvl,INDEX($W$24:$W$700,m),id,INDEX($X$24:$X$700,m),SWITCH(lvl,3,"Lớp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2" s="351" t="str">
        <f t="shared" si="23"/>
        <v/>
      </c>
      <c r="N332" s="356" t="str">
        <f t="shared" si="24"/>
        <v/>
      </c>
      <c r="O332" s="358"/>
      <c r="P332" s="360"/>
      <c r="Q332" s="360"/>
      <c r="R332" s="67"/>
      <c r="S332" s="67"/>
      <c r="T332" s="67"/>
      <c r="U332" s="389" t="str">
        <f>IF('Lớp 5 - Phân công'!I143="","",'Lớp 5 - Phân công'!K143&amp;"|"&amp;'Lớp 5 - Phân công'!J143&amp;"|"&amp;'Lớp 5 - Phân công'!I143)</f>
        <v/>
      </c>
      <c r="V332" s="389" t="str">
        <f>IF('Lớp 5 - Phân công'!I143="","","       ├─ "&amp;'Lớp 5 - Phân công'!Q143)</f>
        <v/>
      </c>
      <c r="W332" s="389" t="str">
        <f>IF('Lớp 5 - Phân công'!I143="","",5)</f>
        <v/>
      </c>
      <c r="X332" s="67" t="str">
        <f>'Lớp 5 - Phân công'!I143</f>
        <v/>
      </c>
      <c r="Y332" s="67" t="str">
        <f>'Lớp 5 - Phân công'!J143</f>
        <v/>
      </c>
      <c r="Z332" s="67" t="str">
        <f>'Lớp 5 - Phân công'!AA143</f>
        <v/>
      </c>
      <c r="AA332" s="67" t="str">
        <f>'Lớp 5 - Phân công'!Z143</f>
        <v/>
      </c>
      <c r="AB332" s="67" t="str">
        <f>'Lớp 5 - Phân công'!AC143</f>
        <v/>
      </c>
      <c r="AC332" s="67" t="str">
        <f>'Lớp 5 - Phân công'!AB143</f>
        <v/>
      </c>
      <c r="AD332" s="398" t="str">
        <f>'Lớp 5 - Phân công'!AG143</f>
        <v/>
      </c>
      <c r="AE332" s="358" t="str">
        <f>'Lớp 5 - Phân công'!AE143</f>
        <v/>
      </c>
      <c r="AF332" s="187" t="str">
        <f>'Lớp 5 - Phân công'!AH143</f>
        <v/>
      </c>
      <c r="AG332" s="104" t="str">
        <f>'Lớp 5 - Phân công'!AI143</f>
        <v/>
      </c>
      <c r="AH332" s="389" t="str">
        <f t="shared" si="27"/>
        <v/>
      </c>
      <c r="AI332" s="389" t="str">
        <f t="shared" si="37"/>
        <v>🔵 Chưa có hạn</v>
      </c>
      <c r="AJ332" s="67" t="str">
        <f>'Lớp 5 - Phân công'!AL143</f>
        <v/>
      </c>
      <c r="AS332" s="389" t="str">
        <f t="shared" si="217"/>
        <v/>
      </c>
      <c r="AT332" s="389" t="str">
        <f t="shared" si="32"/>
        <v/>
      </c>
      <c r="AU332" s="389" t="str">
        <f t="shared" si="33"/>
        <v/>
      </c>
      <c r="AV332" s="389" t="str">
        <f t="shared" si="34"/>
        <v/>
      </c>
      <c r="AW332" s="389" t="str">
        <f t="shared" si="35"/>
        <v/>
      </c>
      <c r="AX332" s="67" t="str">
        <f t="shared" ref="AX332:BH332" si="346">Z332</f>
        <v/>
      </c>
      <c r="AY332" s="67" t="str">
        <f t="shared" si="346"/>
        <v/>
      </c>
      <c r="AZ332" s="67" t="str">
        <f t="shared" si="346"/>
        <v/>
      </c>
      <c r="BA332" s="67" t="str">
        <f t="shared" si="346"/>
        <v/>
      </c>
      <c r="BB332" s="398" t="str">
        <f t="shared" si="346"/>
        <v/>
      </c>
      <c r="BC332" s="358" t="str">
        <f t="shared" si="346"/>
        <v/>
      </c>
      <c r="BD332" s="187" t="str">
        <f t="shared" si="346"/>
        <v/>
      </c>
      <c r="BE332" s="104" t="str">
        <f t="shared" si="346"/>
        <v/>
      </c>
      <c r="BF332" s="389" t="str">
        <f t="shared" si="346"/>
        <v/>
      </c>
      <c r="BG332" s="389" t="str">
        <f t="shared" si="346"/>
        <v>🔵 Chưa có hạn</v>
      </c>
      <c r="BH332" s="67" t="str">
        <f t="shared" si="346"/>
        <v/>
      </c>
      <c r="BI332" s="389" t="str">
        <f t="array" ref="BI332">IF($X332="","",SWITCH($W332,3,IFERROR(INDEX('Lớp 3 - Công việc chính'!$AF$14:$AF$73,MATCH($X332,'Lớp 3 - Công việc chính'!$I$14:$I$73,0)),""),4,IFERROR(INDEX('Lớp 4 - Danh mục'!$AI$14:$AI$132,MATCH($X332,'Lớp 4 - Danh mục'!$I$14:$I$132,0)),""),5,IFERROR(INDEX('Lớp 5 - Phân công'!$AJ$14:$AJ$262,MATCH($X332,'Lớp 5 - Phân công'!$I$14:$I$262,0)),""),6,IFERROR(INDEX('Lớp 6 - Chi tiết'!$AM$14:$AM$267,MATCH($X332,'Lớp 6 - Chi tiết'!$I$14:$I$267,0)),""),""))</f>
        <v/>
      </c>
      <c r="BJ332" s="389" t="str">
        <f t="array" ref="BJ332">IF($X332="","",SWITCH($W332,3,IFERROR(INDEX('Lớp 3 - Công việc chính'!$AR$14:$AR$73,MATCH($X332,'Lớp 3 - Công việc chính'!$I$14:$I$73,0)),""),4,IFERROR(INDEX('Lớp 4 - Danh mục'!$AU$14:$AU$132,MATCH($X332,'Lớp 4 - Danh mục'!$I$14:$I$132,0)),""),5,IFERROR(INDEX('Lớp 5 - Phân công'!$AV$14:$AV$262,MATCH($X332,'Lớp 5 - Phân công'!$I$14:$I$262,0)),""),6,IFERROR(INDEX('Lớp 6 - Chi tiết'!$AY$14:$AY$267,MATCH($X332,'Lớp 6 - Chi tiết'!$I$14:$I$267,0)),""),""))</f>
        <v/>
      </c>
    </row>
    <row r="333" ht="15.75" customHeight="1">
      <c r="A333" s="294" t="str">
        <f t="shared" si="12"/>
        <v/>
      </c>
      <c r="B333" s="301" t="str">
        <f t="shared" si="13"/>
        <v/>
      </c>
      <c r="C333" s="301" t="str">
        <f t="shared" si="14"/>
        <v/>
      </c>
      <c r="D333" s="301" t="str">
        <f t="shared" si="15"/>
        <v/>
      </c>
      <c r="E333" s="301" t="str">
        <f t="shared" si="16"/>
        <v/>
      </c>
      <c r="F333" s="317" t="str">
        <f t="shared" si="17"/>
        <v/>
      </c>
      <c r="G333" s="323" t="str">
        <f t="shared" si="18"/>
        <v/>
      </c>
      <c r="H333" s="327" t="str">
        <f t="shared" si="19"/>
        <v/>
      </c>
      <c r="I333" s="327" t="str">
        <f t="shared" si="20"/>
        <v/>
      </c>
      <c r="J333" s="301" t="str">
        <f t="shared" si="21"/>
        <v/>
      </c>
      <c r="K333" s="301" t="str">
        <f t="shared" si="22"/>
        <v/>
      </c>
      <c r="L333" s="344" t="str">
        <f t="array" ref="L333">IF($T333="","",LET(m,MATCH($T333,$AS$24:$AS$700,0),lvl,INDEX($W$24:$W$700,m),id,INDEX($X$24:$X$700,m),SWITCH(lvl,3,"Lớp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3" s="351" t="str">
        <f t="shared" si="23"/>
        <v/>
      </c>
      <c r="N333" s="356" t="str">
        <f t="shared" si="24"/>
        <v/>
      </c>
      <c r="O333" s="358"/>
      <c r="P333" s="360"/>
      <c r="Q333" s="360"/>
      <c r="R333" s="67"/>
      <c r="S333" s="67"/>
      <c r="T333" s="67"/>
      <c r="U333" s="389" t="str">
        <f>IF('Lớp 5 - Phân công'!I144="","",'Lớp 5 - Phân công'!K144&amp;"|"&amp;'Lớp 5 - Phân công'!J144&amp;"|"&amp;'Lớp 5 - Phân công'!I144)</f>
        <v/>
      </c>
      <c r="V333" s="389" t="str">
        <f>IF('Lớp 5 - Phân công'!I144="","","       ├─ "&amp;'Lớp 5 - Phân công'!Q144)</f>
        <v/>
      </c>
      <c r="W333" s="389" t="str">
        <f>IF('Lớp 5 - Phân công'!I144="","",5)</f>
        <v/>
      </c>
      <c r="X333" s="67" t="str">
        <f>'Lớp 5 - Phân công'!I144</f>
        <v/>
      </c>
      <c r="Y333" s="67" t="str">
        <f>'Lớp 5 - Phân công'!J144</f>
        <v/>
      </c>
      <c r="Z333" s="67" t="str">
        <f>'Lớp 5 - Phân công'!AA144</f>
        <v/>
      </c>
      <c r="AA333" s="67" t="str">
        <f>'Lớp 5 - Phân công'!Z144</f>
        <v/>
      </c>
      <c r="AB333" s="67" t="str">
        <f>'Lớp 5 - Phân công'!AC144</f>
        <v/>
      </c>
      <c r="AC333" s="67" t="str">
        <f>'Lớp 5 - Phân công'!AB144</f>
        <v/>
      </c>
      <c r="AD333" s="398" t="str">
        <f>'Lớp 5 - Phân công'!AG144</f>
        <v/>
      </c>
      <c r="AE333" s="358" t="str">
        <f>'Lớp 5 - Phân công'!AE144</f>
        <v/>
      </c>
      <c r="AF333" s="187" t="str">
        <f>'Lớp 5 - Phân công'!AH144</f>
        <v/>
      </c>
      <c r="AG333" s="104" t="str">
        <f>'Lớp 5 - Phân công'!AI144</f>
        <v/>
      </c>
      <c r="AH333" s="389" t="str">
        <f t="shared" si="27"/>
        <v/>
      </c>
      <c r="AI333" s="389" t="str">
        <f t="shared" si="37"/>
        <v>🔵 Chưa có hạn</v>
      </c>
      <c r="AJ333" s="67" t="str">
        <f>'Lớp 5 - Phân công'!AL144</f>
        <v/>
      </c>
      <c r="AS333" s="389" t="str">
        <f t="shared" si="217"/>
        <v/>
      </c>
      <c r="AT333" s="389" t="str">
        <f t="shared" si="32"/>
        <v/>
      </c>
      <c r="AU333" s="389" t="str">
        <f t="shared" si="33"/>
        <v/>
      </c>
      <c r="AV333" s="389" t="str">
        <f t="shared" si="34"/>
        <v/>
      </c>
      <c r="AW333" s="389" t="str">
        <f t="shared" si="35"/>
        <v/>
      </c>
      <c r="AX333" s="67" t="str">
        <f t="shared" ref="AX333:BH333" si="347">Z333</f>
        <v/>
      </c>
      <c r="AY333" s="67" t="str">
        <f t="shared" si="347"/>
        <v/>
      </c>
      <c r="AZ333" s="67" t="str">
        <f t="shared" si="347"/>
        <v/>
      </c>
      <c r="BA333" s="67" t="str">
        <f t="shared" si="347"/>
        <v/>
      </c>
      <c r="BB333" s="398" t="str">
        <f t="shared" si="347"/>
        <v/>
      </c>
      <c r="BC333" s="358" t="str">
        <f t="shared" si="347"/>
        <v/>
      </c>
      <c r="BD333" s="187" t="str">
        <f t="shared" si="347"/>
        <v/>
      </c>
      <c r="BE333" s="104" t="str">
        <f t="shared" si="347"/>
        <v/>
      </c>
      <c r="BF333" s="389" t="str">
        <f t="shared" si="347"/>
        <v/>
      </c>
      <c r="BG333" s="389" t="str">
        <f t="shared" si="347"/>
        <v>🔵 Chưa có hạn</v>
      </c>
      <c r="BH333" s="67" t="str">
        <f t="shared" si="347"/>
        <v/>
      </c>
      <c r="BI333" s="389" t="str">
        <f t="array" ref="BI333">IF($X333="","",SWITCH($W333,3,IFERROR(INDEX('Lớp 3 - Công việc chính'!$AF$14:$AF$73,MATCH($X333,'Lớp 3 - Công việc chính'!$I$14:$I$73,0)),""),4,IFERROR(INDEX('Lớp 4 - Danh mục'!$AI$14:$AI$132,MATCH($X333,'Lớp 4 - Danh mục'!$I$14:$I$132,0)),""),5,IFERROR(INDEX('Lớp 5 - Phân công'!$AJ$14:$AJ$262,MATCH($X333,'Lớp 5 - Phân công'!$I$14:$I$262,0)),""),6,IFERROR(INDEX('Lớp 6 - Chi tiết'!$AM$14:$AM$267,MATCH($X333,'Lớp 6 - Chi tiết'!$I$14:$I$267,0)),""),""))</f>
        <v/>
      </c>
      <c r="BJ333" s="389" t="str">
        <f t="array" ref="BJ333">IF($X333="","",SWITCH($W333,3,IFERROR(INDEX('Lớp 3 - Công việc chính'!$AR$14:$AR$73,MATCH($X333,'Lớp 3 - Công việc chính'!$I$14:$I$73,0)),""),4,IFERROR(INDEX('Lớp 4 - Danh mục'!$AU$14:$AU$132,MATCH($X333,'Lớp 4 - Danh mục'!$I$14:$I$132,0)),""),5,IFERROR(INDEX('Lớp 5 - Phân công'!$AV$14:$AV$262,MATCH($X333,'Lớp 5 - Phân công'!$I$14:$I$262,0)),""),6,IFERROR(INDEX('Lớp 6 - Chi tiết'!$AY$14:$AY$267,MATCH($X333,'Lớp 6 - Chi tiết'!$I$14:$I$267,0)),""),""))</f>
        <v/>
      </c>
    </row>
    <row r="334" ht="15.75" customHeight="1">
      <c r="A334" s="294" t="str">
        <f t="shared" si="12"/>
        <v/>
      </c>
      <c r="B334" s="301" t="str">
        <f t="shared" si="13"/>
        <v/>
      </c>
      <c r="C334" s="301" t="str">
        <f t="shared" si="14"/>
        <v/>
      </c>
      <c r="D334" s="301" t="str">
        <f t="shared" si="15"/>
        <v/>
      </c>
      <c r="E334" s="301" t="str">
        <f t="shared" si="16"/>
        <v/>
      </c>
      <c r="F334" s="317" t="str">
        <f t="shared" si="17"/>
        <v/>
      </c>
      <c r="G334" s="323" t="str">
        <f t="shared" si="18"/>
        <v/>
      </c>
      <c r="H334" s="327" t="str">
        <f t="shared" si="19"/>
        <v/>
      </c>
      <c r="I334" s="327" t="str">
        <f t="shared" si="20"/>
        <v/>
      </c>
      <c r="J334" s="301" t="str">
        <f t="shared" si="21"/>
        <v/>
      </c>
      <c r="K334" s="301" t="str">
        <f t="shared" si="22"/>
        <v/>
      </c>
      <c r="L334" s="344" t="str">
        <f t="array" ref="L334">IF($T334="","",LET(m,MATCH($T334,$AS$24:$AS$700,0),lvl,INDEX($W$24:$W$700,m),id,INDEX($X$24:$X$700,m),SWITCH(lvl,3,"Lớp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4" s="351" t="str">
        <f t="shared" si="23"/>
        <v/>
      </c>
      <c r="N334" s="356" t="str">
        <f t="shared" si="24"/>
        <v/>
      </c>
      <c r="O334" s="358"/>
      <c r="P334" s="360"/>
      <c r="Q334" s="360"/>
      <c r="R334" s="67"/>
      <c r="S334" s="67"/>
      <c r="T334" s="67"/>
      <c r="U334" s="389" t="str">
        <f>IF('Lớp 5 - Phân công'!I145="","",'Lớp 5 - Phân công'!K145&amp;"|"&amp;'Lớp 5 - Phân công'!J145&amp;"|"&amp;'Lớp 5 - Phân công'!I145)</f>
        <v/>
      </c>
      <c r="V334" s="389" t="str">
        <f>IF('Lớp 5 - Phân công'!I145="","","       ├─ "&amp;'Lớp 5 - Phân công'!Q145)</f>
        <v/>
      </c>
      <c r="W334" s="389" t="str">
        <f>IF('Lớp 5 - Phân công'!I145="","",5)</f>
        <v/>
      </c>
      <c r="X334" s="67" t="str">
        <f>'Lớp 5 - Phân công'!I145</f>
        <v/>
      </c>
      <c r="Y334" s="67" t="str">
        <f>'Lớp 5 - Phân công'!J145</f>
        <v/>
      </c>
      <c r="Z334" s="67" t="str">
        <f>'Lớp 5 - Phân công'!AA145</f>
        <v/>
      </c>
      <c r="AA334" s="67" t="str">
        <f>'Lớp 5 - Phân công'!Z145</f>
        <v/>
      </c>
      <c r="AB334" s="67" t="str">
        <f>'Lớp 5 - Phân công'!AC145</f>
        <v/>
      </c>
      <c r="AC334" s="67" t="str">
        <f>'Lớp 5 - Phân công'!AB145</f>
        <v/>
      </c>
      <c r="AD334" s="398" t="str">
        <f>'Lớp 5 - Phân công'!AG145</f>
        <v/>
      </c>
      <c r="AE334" s="358" t="str">
        <f>'Lớp 5 - Phân công'!AE145</f>
        <v/>
      </c>
      <c r="AF334" s="187" t="str">
        <f>'Lớp 5 - Phân công'!AH145</f>
        <v/>
      </c>
      <c r="AG334" s="104" t="str">
        <f>'Lớp 5 - Phân công'!AI145</f>
        <v/>
      </c>
      <c r="AH334" s="389" t="str">
        <f t="shared" si="27"/>
        <v/>
      </c>
      <c r="AI334" s="389" t="str">
        <f t="shared" si="37"/>
        <v>🔵 Chưa có hạn</v>
      </c>
      <c r="AJ334" s="67" t="str">
        <f>'Lớp 5 - Phân công'!AL145</f>
        <v/>
      </c>
      <c r="AS334" s="389" t="str">
        <f t="shared" si="217"/>
        <v/>
      </c>
      <c r="AT334" s="389" t="str">
        <f t="shared" si="32"/>
        <v/>
      </c>
      <c r="AU334" s="389" t="str">
        <f t="shared" si="33"/>
        <v/>
      </c>
      <c r="AV334" s="389" t="str">
        <f t="shared" si="34"/>
        <v/>
      </c>
      <c r="AW334" s="389" t="str">
        <f t="shared" si="35"/>
        <v/>
      </c>
      <c r="AX334" s="67" t="str">
        <f t="shared" ref="AX334:BH334" si="348">Z334</f>
        <v/>
      </c>
      <c r="AY334" s="67" t="str">
        <f t="shared" si="348"/>
        <v/>
      </c>
      <c r="AZ334" s="67" t="str">
        <f t="shared" si="348"/>
        <v/>
      </c>
      <c r="BA334" s="67" t="str">
        <f t="shared" si="348"/>
        <v/>
      </c>
      <c r="BB334" s="398" t="str">
        <f t="shared" si="348"/>
        <v/>
      </c>
      <c r="BC334" s="358" t="str">
        <f t="shared" si="348"/>
        <v/>
      </c>
      <c r="BD334" s="187" t="str">
        <f t="shared" si="348"/>
        <v/>
      </c>
      <c r="BE334" s="104" t="str">
        <f t="shared" si="348"/>
        <v/>
      </c>
      <c r="BF334" s="389" t="str">
        <f t="shared" si="348"/>
        <v/>
      </c>
      <c r="BG334" s="389" t="str">
        <f t="shared" si="348"/>
        <v>🔵 Chưa có hạn</v>
      </c>
      <c r="BH334" s="67" t="str">
        <f t="shared" si="348"/>
        <v/>
      </c>
      <c r="BI334" s="389" t="str">
        <f t="array" ref="BI334">IF($X334="","",SWITCH($W334,3,IFERROR(INDEX('Lớp 3 - Công việc chính'!$AF$14:$AF$73,MATCH($X334,'Lớp 3 - Công việc chính'!$I$14:$I$73,0)),""),4,IFERROR(INDEX('Lớp 4 - Danh mục'!$AI$14:$AI$132,MATCH($X334,'Lớp 4 - Danh mục'!$I$14:$I$132,0)),""),5,IFERROR(INDEX('Lớp 5 - Phân công'!$AJ$14:$AJ$262,MATCH($X334,'Lớp 5 - Phân công'!$I$14:$I$262,0)),""),6,IFERROR(INDEX('Lớp 6 - Chi tiết'!$AM$14:$AM$267,MATCH($X334,'Lớp 6 - Chi tiết'!$I$14:$I$267,0)),""),""))</f>
        <v/>
      </c>
      <c r="BJ334" s="389" t="str">
        <f t="array" ref="BJ334">IF($X334="","",SWITCH($W334,3,IFERROR(INDEX('Lớp 3 - Công việc chính'!$AR$14:$AR$73,MATCH($X334,'Lớp 3 - Công việc chính'!$I$14:$I$73,0)),""),4,IFERROR(INDEX('Lớp 4 - Danh mục'!$AU$14:$AU$132,MATCH($X334,'Lớp 4 - Danh mục'!$I$14:$I$132,0)),""),5,IFERROR(INDEX('Lớp 5 - Phân công'!$AV$14:$AV$262,MATCH($X334,'Lớp 5 - Phân công'!$I$14:$I$262,0)),""),6,IFERROR(INDEX('Lớp 6 - Chi tiết'!$AY$14:$AY$267,MATCH($X334,'Lớp 6 - Chi tiết'!$I$14:$I$267,0)),""),""))</f>
        <v/>
      </c>
    </row>
    <row r="335" ht="15.75" customHeight="1">
      <c r="A335" s="294" t="str">
        <f t="shared" si="12"/>
        <v/>
      </c>
      <c r="B335" s="301" t="str">
        <f t="shared" si="13"/>
        <v/>
      </c>
      <c r="C335" s="301" t="str">
        <f t="shared" si="14"/>
        <v/>
      </c>
      <c r="D335" s="301" t="str">
        <f t="shared" si="15"/>
        <v/>
      </c>
      <c r="E335" s="301" t="str">
        <f t="shared" si="16"/>
        <v/>
      </c>
      <c r="F335" s="317" t="str">
        <f t="shared" si="17"/>
        <v/>
      </c>
      <c r="G335" s="323" t="str">
        <f t="shared" si="18"/>
        <v/>
      </c>
      <c r="H335" s="327" t="str">
        <f t="shared" si="19"/>
        <v/>
      </c>
      <c r="I335" s="327" t="str">
        <f t="shared" si="20"/>
        <v/>
      </c>
      <c r="J335" s="301" t="str">
        <f t="shared" si="21"/>
        <v/>
      </c>
      <c r="K335" s="301" t="str">
        <f t="shared" si="22"/>
        <v/>
      </c>
      <c r="L335" s="344" t="str">
        <f t="array" ref="L335">IF($T335="","",LET(m,MATCH($T335,$AS$24:$AS$700,0),lvl,INDEX($W$24:$W$700,m),id,INDEX($X$24:$X$700,m),SWITCH(lvl,3,"Lớp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5" s="351" t="str">
        <f t="shared" si="23"/>
        <v/>
      </c>
      <c r="N335" s="356" t="str">
        <f t="shared" si="24"/>
        <v/>
      </c>
      <c r="O335" s="358"/>
      <c r="P335" s="360"/>
      <c r="Q335" s="360"/>
      <c r="R335" s="67"/>
      <c r="S335" s="67"/>
      <c r="T335" s="67"/>
      <c r="U335" s="389" t="str">
        <f>IF('Lớp 5 - Phân công'!I146="","",'Lớp 5 - Phân công'!K146&amp;"|"&amp;'Lớp 5 - Phân công'!J146&amp;"|"&amp;'Lớp 5 - Phân công'!I146)</f>
        <v/>
      </c>
      <c r="V335" s="389" t="str">
        <f>IF('Lớp 5 - Phân công'!I146="","","       ├─ "&amp;'Lớp 5 - Phân công'!Q146)</f>
        <v/>
      </c>
      <c r="W335" s="389" t="str">
        <f>IF('Lớp 5 - Phân công'!I146="","",5)</f>
        <v/>
      </c>
      <c r="X335" s="67" t="str">
        <f>'Lớp 5 - Phân công'!I146</f>
        <v/>
      </c>
      <c r="Y335" s="67" t="str">
        <f>'Lớp 5 - Phân công'!J146</f>
        <v/>
      </c>
      <c r="Z335" s="67" t="str">
        <f>'Lớp 5 - Phân công'!AA146</f>
        <v/>
      </c>
      <c r="AA335" s="67" t="str">
        <f>'Lớp 5 - Phân công'!Z146</f>
        <v/>
      </c>
      <c r="AB335" s="67" t="str">
        <f>'Lớp 5 - Phân công'!AC146</f>
        <v/>
      </c>
      <c r="AC335" s="67" t="str">
        <f>'Lớp 5 - Phân công'!AB146</f>
        <v/>
      </c>
      <c r="AD335" s="398" t="str">
        <f>'Lớp 5 - Phân công'!AG146</f>
        <v/>
      </c>
      <c r="AE335" s="358" t="str">
        <f>'Lớp 5 - Phân công'!AE146</f>
        <v/>
      </c>
      <c r="AF335" s="187" t="str">
        <f>'Lớp 5 - Phân công'!AH146</f>
        <v/>
      </c>
      <c r="AG335" s="104" t="str">
        <f>'Lớp 5 - Phân công'!AI146</f>
        <v/>
      </c>
      <c r="AH335" s="389" t="str">
        <f t="shared" si="27"/>
        <v/>
      </c>
      <c r="AI335" s="389" t="str">
        <f t="shared" si="37"/>
        <v>🔵 Chưa có hạn</v>
      </c>
      <c r="AJ335" s="67" t="str">
        <f>'Lớp 5 - Phân công'!AL146</f>
        <v/>
      </c>
      <c r="AS335" s="389" t="str">
        <f t="shared" si="217"/>
        <v/>
      </c>
      <c r="AT335" s="389" t="str">
        <f t="shared" si="32"/>
        <v/>
      </c>
      <c r="AU335" s="389" t="str">
        <f t="shared" si="33"/>
        <v/>
      </c>
      <c r="AV335" s="389" t="str">
        <f t="shared" si="34"/>
        <v/>
      </c>
      <c r="AW335" s="389" t="str">
        <f t="shared" si="35"/>
        <v/>
      </c>
      <c r="AX335" s="67" t="str">
        <f t="shared" ref="AX335:BH335" si="349">Z335</f>
        <v/>
      </c>
      <c r="AY335" s="67" t="str">
        <f t="shared" si="349"/>
        <v/>
      </c>
      <c r="AZ335" s="67" t="str">
        <f t="shared" si="349"/>
        <v/>
      </c>
      <c r="BA335" s="67" t="str">
        <f t="shared" si="349"/>
        <v/>
      </c>
      <c r="BB335" s="398" t="str">
        <f t="shared" si="349"/>
        <v/>
      </c>
      <c r="BC335" s="358" t="str">
        <f t="shared" si="349"/>
        <v/>
      </c>
      <c r="BD335" s="187" t="str">
        <f t="shared" si="349"/>
        <v/>
      </c>
      <c r="BE335" s="104" t="str">
        <f t="shared" si="349"/>
        <v/>
      </c>
      <c r="BF335" s="389" t="str">
        <f t="shared" si="349"/>
        <v/>
      </c>
      <c r="BG335" s="389" t="str">
        <f t="shared" si="349"/>
        <v>🔵 Chưa có hạn</v>
      </c>
      <c r="BH335" s="67" t="str">
        <f t="shared" si="349"/>
        <v/>
      </c>
      <c r="BI335" s="389" t="str">
        <f t="array" ref="BI335">IF($X335="","",SWITCH($W335,3,IFERROR(INDEX('Lớp 3 - Công việc chính'!$AF$14:$AF$73,MATCH($X335,'Lớp 3 - Công việc chính'!$I$14:$I$73,0)),""),4,IFERROR(INDEX('Lớp 4 - Danh mục'!$AI$14:$AI$132,MATCH($X335,'Lớp 4 - Danh mục'!$I$14:$I$132,0)),""),5,IFERROR(INDEX('Lớp 5 - Phân công'!$AJ$14:$AJ$262,MATCH($X335,'Lớp 5 - Phân công'!$I$14:$I$262,0)),""),6,IFERROR(INDEX('Lớp 6 - Chi tiết'!$AM$14:$AM$267,MATCH($X335,'Lớp 6 - Chi tiết'!$I$14:$I$267,0)),""),""))</f>
        <v/>
      </c>
      <c r="BJ335" s="389" t="str">
        <f t="array" ref="BJ335">IF($X335="","",SWITCH($W335,3,IFERROR(INDEX('Lớp 3 - Công việc chính'!$AR$14:$AR$73,MATCH($X335,'Lớp 3 - Công việc chính'!$I$14:$I$73,0)),""),4,IFERROR(INDEX('Lớp 4 - Danh mục'!$AU$14:$AU$132,MATCH($X335,'Lớp 4 - Danh mục'!$I$14:$I$132,0)),""),5,IFERROR(INDEX('Lớp 5 - Phân công'!$AV$14:$AV$262,MATCH($X335,'Lớp 5 - Phân công'!$I$14:$I$262,0)),""),6,IFERROR(INDEX('Lớp 6 - Chi tiết'!$AY$14:$AY$267,MATCH($X335,'Lớp 6 - Chi tiết'!$I$14:$I$267,0)),""),""))</f>
        <v/>
      </c>
    </row>
    <row r="336" ht="15.75" customHeight="1">
      <c r="A336" s="294" t="str">
        <f t="shared" si="12"/>
        <v/>
      </c>
      <c r="B336" s="301" t="str">
        <f t="shared" si="13"/>
        <v/>
      </c>
      <c r="C336" s="301" t="str">
        <f t="shared" si="14"/>
        <v/>
      </c>
      <c r="D336" s="301" t="str">
        <f t="shared" si="15"/>
        <v/>
      </c>
      <c r="E336" s="301" t="str">
        <f t="shared" si="16"/>
        <v/>
      </c>
      <c r="F336" s="317" t="str">
        <f t="shared" si="17"/>
        <v/>
      </c>
      <c r="G336" s="323" t="str">
        <f t="shared" si="18"/>
        <v/>
      </c>
      <c r="H336" s="327" t="str">
        <f t="shared" si="19"/>
        <v/>
      </c>
      <c r="I336" s="327" t="str">
        <f t="shared" si="20"/>
        <v/>
      </c>
      <c r="J336" s="301" t="str">
        <f t="shared" si="21"/>
        <v/>
      </c>
      <c r="K336" s="301" t="str">
        <f t="shared" si="22"/>
        <v/>
      </c>
      <c r="L336" s="344" t="str">
        <f t="array" ref="L336">IF($T336="","",LET(m,MATCH($T336,$AS$24:$AS$700,0),lvl,INDEX($W$24:$W$700,m),id,INDEX($X$24:$X$700,m),SWITCH(lvl,3,"Lớp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6" s="351" t="str">
        <f t="shared" si="23"/>
        <v/>
      </c>
      <c r="N336" s="356" t="str">
        <f t="shared" si="24"/>
        <v/>
      </c>
      <c r="O336" s="358"/>
      <c r="P336" s="360"/>
      <c r="Q336" s="360"/>
      <c r="R336" s="67"/>
      <c r="S336" s="67"/>
      <c r="T336" s="67"/>
      <c r="U336" s="389" t="str">
        <f>IF('Lớp 5 - Phân công'!I147="","",'Lớp 5 - Phân công'!K147&amp;"|"&amp;'Lớp 5 - Phân công'!J147&amp;"|"&amp;'Lớp 5 - Phân công'!I147)</f>
        <v/>
      </c>
      <c r="V336" s="389" t="str">
        <f>IF('Lớp 5 - Phân công'!I147="","","       ├─ "&amp;'Lớp 5 - Phân công'!Q147)</f>
        <v/>
      </c>
      <c r="W336" s="389" t="str">
        <f>IF('Lớp 5 - Phân công'!I147="","",5)</f>
        <v/>
      </c>
      <c r="X336" s="67" t="str">
        <f>'Lớp 5 - Phân công'!I147</f>
        <v/>
      </c>
      <c r="Y336" s="67" t="str">
        <f>'Lớp 5 - Phân công'!J147</f>
        <v/>
      </c>
      <c r="Z336" s="67" t="str">
        <f>'Lớp 5 - Phân công'!AA147</f>
        <v/>
      </c>
      <c r="AA336" s="67" t="str">
        <f>'Lớp 5 - Phân công'!Z147</f>
        <v/>
      </c>
      <c r="AB336" s="67" t="str">
        <f>'Lớp 5 - Phân công'!AC147</f>
        <v/>
      </c>
      <c r="AC336" s="67" t="str">
        <f>'Lớp 5 - Phân công'!AB147</f>
        <v/>
      </c>
      <c r="AD336" s="398" t="str">
        <f>'Lớp 5 - Phân công'!AG147</f>
        <v/>
      </c>
      <c r="AE336" s="358" t="str">
        <f>'Lớp 5 - Phân công'!AE147</f>
        <v/>
      </c>
      <c r="AF336" s="187" t="str">
        <f>'Lớp 5 - Phân công'!AH147</f>
        <v/>
      </c>
      <c r="AG336" s="104" t="str">
        <f>'Lớp 5 - Phân công'!AI147</f>
        <v/>
      </c>
      <c r="AH336" s="389" t="str">
        <f t="shared" si="27"/>
        <v/>
      </c>
      <c r="AI336" s="389" t="str">
        <f t="shared" si="37"/>
        <v>🔵 Chưa có hạn</v>
      </c>
      <c r="AJ336" s="67" t="str">
        <f>'Lớp 5 - Phân công'!AL147</f>
        <v/>
      </c>
      <c r="AS336" s="389" t="str">
        <f t="shared" si="217"/>
        <v/>
      </c>
      <c r="AT336" s="389" t="str">
        <f t="shared" si="32"/>
        <v/>
      </c>
      <c r="AU336" s="389" t="str">
        <f t="shared" si="33"/>
        <v/>
      </c>
      <c r="AV336" s="389" t="str">
        <f t="shared" si="34"/>
        <v/>
      </c>
      <c r="AW336" s="389" t="str">
        <f t="shared" si="35"/>
        <v/>
      </c>
      <c r="AX336" s="67" t="str">
        <f t="shared" ref="AX336:BH336" si="350">Z336</f>
        <v/>
      </c>
      <c r="AY336" s="67" t="str">
        <f t="shared" si="350"/>
        <v/>
      </c>
      <c r="AZ336" s="67" t="str">
        <f t="shared" si="350"/>
        <v/>
      </c>
      <c r="BA336" s="67" t="str">
        <f t="shared" si="350"/>
        <v/>
      </c>
      <c r="BB336" s="398" t="str">
        <f t="shared" si="350"/>
        <v/>
      </c>
      <c r="BC336" s="358" t="str">
        <f t="shared" si="350"/>
        <v/>
      </c>
      <c r="BD336" s="187" t="str">
        <f t="shared" si="350"/>
        <v/>
      </c>
      <c r="BE336" s="104" t="str">
        <f t="shared" si="350"/>
        <v/>
      </c>
      <c r="BF336" s="389" t="str">
        <f t="shared" si="350"/>
        <v/>
      </c>
      <c r="BG336" s="389" t="str">
        <f t="shared" si="350"/>
        <v>🔵 Chưa có hạn</v>
      </c>
      <c r="BH336" s="67" t="str">
        <f t="shared" si="350"/>
        <v/>
      </c>
      <c r="BI336" s="389" t="str">
        <f t="array" ref="BI336">IF($X336="","",SWITCH($W336,3,IFERROR(INDEX('Lớp 3 - Công việc chính'!$AF$14:$AF$73,MATCH($X336,'Lớp 3 - Công việc chính'!$I$14:$I$73,0)),""),4,IFERROR(INDEX('Lớp 4 - Danh mục'!$AI$14:$AI$132,MATCH($X336,'Lớp 4 - Danh mục'!$I$14:$I$132,0)),""),5,IFERROR(INDEX('Lớp 5 - Phân công'!$AJ$14:$AJ$262,MATCH($X336,'Lớp 5 - Phân công'!$I$14:$I$262,0)),""),6,IFERROR(INDEX('Lớp 6 - Chi tiết'!$AM$14:$AM$267,MATCH($X336,'Lớp 6 - Chi tiết'!$I$14:$I$267,0)),""),""))</f>
        <v/>
      </c>
      <c r="BJ336" s="389" t="str">
        <f t="array" ref="BJ336">IF($X336="","",SWITCH($W336,3,IFERROR(INDEX('Lớp 3 - Công việc chính'!$AR$14:$AR$73,MATCH($X336,'Lớp 3 - Công việc chính'!$I$14:$I$73,0)),""),4,IFERROR(INDEX('Lớp 4 - Danh mục'!$AU$14:$AU$132,MATCH($X336,'Lớp 4 - Danh mục'!$I$14:$I$132,0)),""),5,IFERROR(INDEX('Lớp 5 - Phân công'!$AV$14:$AV$262,MATCH($X336,'Lớp 5 - Phân công'!$I$14:$I$262,0)),""),6,IFERROR(INDEX('Lớp 6 - Chi tiết'!$AY$14:$AY$267,MATCH($X336,'Lớp 6 - Chi tiết'!$I$14:$I$267,0)),""),""))</f>
        <v/>
      </c>
    </row>
    <row r="337" ht="15.75" customHeight="1">
      <c r="A337" s="294" t="str">
        <f t="shared" si="12"/>
        <v/>
      </c>
      <c r="B337" s="301" t="str">
        <f t="shared" si="13"/>
        <v/>
      </c>
      <c r="C337" s="301" t="str">
        <f t="shared" si="14"/>
        <v/>
      </c>
      <c r="D337" s="301" t="str">
        <f t="shared" si="15"/>
        <v/>
      </c>
      <c r="E337" s="301" t="str">
        <f t="shared" si="16"/>
        <v/>
      </c>
      <c r="F337" s="317" t="str">
        <f t="shared" si="17"/>
        <v/>
      </c>
      <c r="G337" s="323" t="str">
        <f t="shared" si="18"/>
        <v/>
      </c>
      <c r="H337" s="327" t="str">
        <f t="shared" si="19"/>
        <v/>
      </c>
      <c r="I337" s="327" t="str">
        <f t="shared" si="20"/>
        <v/>
      </c>
      <c r="J337" s="301" t="str">
        <f t="shared" si="21"/>
        <v/>
      </c>
      <c r="K337" s="301" t="str">
        <f t="shared" si="22"/>
        <v/>
      </c>
      <c r="L337" s="344" t="str">
        <f t="array" ref="L337">IF($T337="","",LET(m,MATCH($T337,$AS$24:$AS$700,0),lvl,INDEX($W$24:$W$700,m),id,INDEX($X$24:$X$700,m),SWITCH(lvl,3,"Lớp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7" s="351" t="str">
        <f t="shared" si="23"/>
        <v/>
      </c>
      <c r="N337" s="356" t="str">
        <f t="shared" si="24"/>
        <v/>
      </c>
      <c r="O337" s="358"/>
      <c r="P337" s="360"/>
      <c r="Q337" s="360"/>
      <c r="R337" s="67"/>
      <c r="S337" s="67"/>
      <c r="T337" s="67"/>
      <c r="U337" s="389" t="str">
        <f>IF('Lớp 5 - Phân công'!I148="","",'Lớp 5 - Phân công'!K148&amp;"|"&amp;'Lớp 5 - Phân công'!J148&amp;"|"&amp;'Lớp 5 - Phân công'!I148)</f>
        <v/>
      </c>
      <c r="V337" s="389" t="str">
        <f>IF('Lớp 5 - Phân công'!I148="","","       ├─ "&amp;'Lớp 5 - Phân công'!Q148)</f>
        <v/>
      </c>
      <c r="W337" s="389" t="str">
        <f>IF('Lớp 5 - Phân công'!I148="","",5)</f>
        <v/>
      </c>
      <c r="X337" s="67" t="str">
        <f>'Lớp 5 - Phân công'!I148</f>
        <v/>
      </c>
      <c r="Y337" s="67" t="str">
        <f>'Lớp 5 - Phân công'!J148</f>
        <v/>
      </c>
      <c r="Z337" s="67" t="str">
        <f>'Lớp 5 - Phân công'!AA148</f>
        <v/>
      </c>
      <c r="AA337" s="67" t="str">
        <f>'Lớp 5 - Phân công'!Z148</f>
        <v/>
      </c>
      <c r="AB337" s="67" t="str">
        <f>'Lớp 5 - Phân công'!AC148</f>
        <v/>
      </c>
      <c r="AC337" s="67" t="str">
        <f>'Lớp 5 - Phân công'!AB148</f>
        <v/>
      </c>
      <c r="AD337" s="398" t="str">
        <f>'Lớp 5 - Phân công'!AG148</f>
        <v/>
      </c>
      <c r="AE337" s="358" t="str">
        <f>'Lớp 5 - Phân công'!AE148</f>
        <v/>
      </c>
      <c r="AF337" s="187" t="str">
        <f>'Lớp 5 - Phân công'!AH148</f>
        <v/>
      </c>
      <c r="AG337" s="104" t="str">
        <f>'Lớp 5 - Phân công'!AI148</f>
        <v/>
      </c>
      <c r="AH337" s="389" t="str">
        <f t="shared" si="27"/>
        <v/>
      </c>
      <c r="AI337" s="389" t="str">
        <f t="shared" si="37"/>
        <v>🔵 Chưa có hạn</v>
      </c>
      <c r="AJ337" s="67" t="str">
        <f>'Lớp 5 - Phân công'!AL148</f>
        <v/>
      </c>
      <c r="AS337" s="389" t="str">
        <f t="shared" si="217"/>
        <v/>
      </c>
      <c r="AT337" s="389" t="str">
        <f t="shared" si="32"/>
        <v/>
      </c>
      <c r="AU337" s="389" t="str">
        <f t="shared" si="33"/>
        <v/>
      </c>
      <c r="AV337" s="389" t="str">
        <f t="shared" si="34"/>
        <v/>
      </c>
      <c r="AW337" s="389" t="str">
        <f t="shared" si="35"/>
        <v/>
      </c>
      <c r="AX337" s="67" t="str">
        <f t="shared" ref="AX337:BH337" si="351">Z337</f>
        <v/>
      </c>
      <c r="AY337" s="67" t="str">
        <f t="shared" si="351"/>
        <v/>
      </c>
      <c r="AZ337" s="67" t="str">
        <f t="shared" si="351"/>
        <v/>
      </c>
      <c r="BA337" s="67" t="str">
        <f t="shared" si="351"/>
        <v/>
      </c>
      <c r="BB337" s="398" t="str">
        <f t="shared" si="351"/>
        <v/>
      </c>
      <c r="BC337" s="358" t="str">
        <f t="shared" si="351"/>
        <v/>
      </c>
      <c r="BD337" s="187" t="str">
        <f t="shared" si="351"/>
        <v/>
      </c>
      <c r="BE337" s="104" t="str">
        <f t="shared" si="351"/>
        <v/>
      </c>
      <c r="BF337" s="389" t="str">
        <f t="shared" si="351"/>
        <v/>
      </c>
      <c r="BG337" s="389" t="str">
        <f t="shared" si="351"/>
        <v>🔵 Chưa có hạn</v>
      </c>
      <c r="BH337" s="67" t="str">
        <f t="shared" si="351"/>
        <v/>
      </c>
      <c r="BI337" s="389" t="str">
        <f t="array" ref="BI337">IF($X337="","",SWITCH($W337,3,IFERROR(INDEX('Lớp 3 - Công việc chính'!$AF$14:$AF$73,MATCH($X337,'Lớp 3 - Công việc chính'!$I$14:$I$73,0)),""),4,IFERROR(INDEX('Lớp 4 - Danh mục'!$AI$14:$AI$132,MATCH($X337,'Lớp 4 - Danh mục'!$I$14:$I$132,0)),""),5,IFERROR(INDEX('Lớp 5 - Phân công'!$AJ$14:$AJ$262,MATCH($X337,'Lớp 5 - Phân công'!$I$14:$I$262,0)),""),6,IFERROR(INDEX('Lớp 6 - Chi tiết'!$AM$14:$AM$267,MATCH($X337,'Lớp 6 - Chi tiết'!$I$14:$I$267,0)),""),""))</f>
        <v/>
      </c>
      <c r="BJ337" s="389" t="str">
        <f t="array" ref="BJ337">IF($X337="","",SWITCH($W337,3,IFERROR(INDEX('Lớp 3 - Công việc chính'!$AR$14:$AR$73,MATCH($X337,'Lớp 3 - Công việc chính'!$I$14:$I$73,0)),""),4,IFERROR(INDEX('Lớp 4 - Danh mục'!$AU$14:$AU$132,MATCH($X337,'Lớp 4 - Danh mục'!$I$14:$I$132,0)),""),5,IFERROR(INDEX('Lớp 5 - Phân công'!$AV$14:$AV$262,MATCH($X337,'Lớp 5 - Phân công'!$I$14:$I$262,0)),""),6,IFERROR(INDEX('Lớp 6 - Chi tiết'!$AY$14:$AY$267,MATCH($X337,'Lớp 6 - Chi tiết'!$I$14:$I$267,0)),""),""))</f>
        <v/>
      </c>
    </row>
    <row r="338" ht="15.75" customHeight="1">
      <c r="A338" s="294" t="str">
        <f t="shared" si="12"/>
        <v/>
      </c>
      <c r="B338" s="301" t="str">
        <f t="shared" si="13"/>
        <v/>
      </c>
      <c r="C338" s="301" t="str">
        <f t="shared" si="14"/>
        <v/>
      </c>
      <c r="D338" s="301" t="str">
        <f t="shared" si="15"/>
        <v/>
      </c>
      <c r="E338" s="301" t="str">
        <f t="shared" si="16"/>
        <v/>
      </c>
      <c r="F338" s="317" t="str">
        <f t="shared" si="17"/>
        <v/>
      </c>
      <c r="G338" s="323" t="str">
        <f t="shared" si="18"/>
        <v/>
      </c>
      <c r="H338" s="327" t="str">
        <f t="shared" si="19"/>
        <v/>
      </c>
      <c r="I338" s="327" t="str">
        <f t="shared" si="20"/>
        <v/>
      </c>
      <c r="J338" s="301" t="str">
        <f t="shared" si="21"/>
        <v/>
      </c>
      <c r="K338" s="301" t="str">
        <f t="shared" si="22"/>
        <v/>
      </c>
      <c r="L338" s="344" t="str">
        <f t="array" ref="L338">IF($T338="","",LET(m,MATCH($T338,$AS$24:$AS$700,0),lvl,INDEX($W$24:$W$700,m),id,INDEX($X$24:$X$700,m),SWITCH(lvl,3,"Lớp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8" s="351" t="str">
        <f t="shared" si="23"/>
        <v/>
      </c>
      <c r="N338" s="356" t="str">
        <f t="shared" si="24"/>
        <v/>
      </c>
      <c r="O338" s="358"/>
      <c r="P338" s="360"/>
      <c r="Q338" s="360"/>
      <c r="R338" s="67"/>
      <c r="S338" s="67"/>
      <c r="T338" s="67"/>
      <c r="U338" s="389" t="str">
        <f>IF('Lớp 5 - Phân công'!I149="","",'Lớp 5 - Phân công'!K149&amp;"|"&amp;'Lớp 5 - Phân công'!J149&amp;"|"&amp;'Lớp 5 - Phân công'!I149)</f>
        <v/>
      </c>
      <c r="V338" s="389" t="str">
        <f>IF('Lớp 5 - Phân công'!I149="","","       ├─ "&amp;'Lớp 5 - Phân công'!Q149)</f>
        <v/>
      </c>
      <c r="W338" s="389" t="str">
        <f>IF('Lớp 5 - Phân công'!I149="","",5)</f>
        <v/>
      </c>
      <c r="X338" s="67" t="str">
        <f>'Lớp 5 - Phân công'!I149</f>
        <v/>
      </c>
      <c r="Y338" s="67" t="str">
        <f>'Lớp 5 - Phân công'!J149</f>
        <v/>
      </c>
      <c r="Z338" s="67" t="str">
        <f>'Lớp 5 - Phân công'!AA149</f>
        <v/>
      </c>
      <c r="AA338" s="67" t="str">
        <f>'Lớp 5 - Phân công'!Z149</f>
        <v/>
      </c>
      <c r="AB338" s="67" t="str">
        <f>'Lớp 5 - Phân công'!AC149</f>
        <v/>
      </c>
      <c r="AC338" s="67" t="str">
        <f>'Lớp 5 - Phân công'!AB149</f>
        <v/>
      </c>
      <c r="AD338" s="398" t="str">
        <f>'Lớp 5 - Phân công'!AG149</f>
        <v/>
      </c>
      <c r="AE338" s="358" t="str">
        <f>'Lớp 5 - Phân công'!AE149</f>
        <v/>
      </c>
      <c r="AF338" s="187" t="str">
        <f>'Lớp 5 - Phân công'!AH149</f>
        <v/>
      </c>
      <c r="AG338" s="104" t="str">
        <f>'Lớp 5 - Phân công'!AI149</f>
        <v/>
      </c>
      <c r="AH338" s="389" t="str">
        <f t="shared" si="27"/>
        <v/>
      </c>
      <c r="AI338" s="389" t="str">
        <f t="shared" si="37"/>
        <v>🔵 Chưa có hạn</v>
      </c>
      <c r="AJ338" s="67" t="str">
        <f>'Lớp 5 - Phân công'!AL149</f>
        <v/>
      </c>
      <c r="AS338" s="389" t="str">
        <f t="shared" si="217"/>
        <v/>
      </c>
      <c r="AT338" s="389" t="str">
        <f t="shared" si="32"/>
        <v/>
      </c>
      <c r="AU338" s="389" t="str">
        <f t="shared" si="33"/>
        <v/>
      </c>
      <c r="AV338" s="389" t="str">
        <f t="shared" si="34"/>
        <v/>
      </c>
      <c r="AW338" s="389" t="str">
        <f t="shared" si="35"/>
        <v/>
      </c>
      <c r="AX338" s="67" t="str">
        <f t="shared" ref="AX338:BH338" si="352">Z338</f>
        <v/>
      </c>
      <c r="AY338" s="67" t="str">
        <f t="shared" si="352"/>
        <v/>
      </c>
      <c r="AZ338" s="67" t="str">
        <f t="shared" si="352"/>
        <v/>
      </c>
      <c r="BA338" s="67" t="str">
        <f t="shared" si="352"/>
        <v/>
      </c>
      <c r="BB338" s="398" t="str">
        <f t="shared" si="352"/>
        <v/>
      </c>
      <c r="BC338" s="358" t="str">
        <f t="shared" si="352"/>
        <v/>
      </c>
      <c r="BD338" s="187" t="str">
        <f t="shared" si="352"/>
        <v/>
      </c>
      <c r="BE338" s="104" t="str">
        <f t="shared" si="352"/>
        <v/>
      </c>
      <c r="BF338" s="389" t="str">
        <f t="shared" si="352"/>
        <v/>
      </c>
      <c r="BG338" s="389" t="str">
        <f t="shared" si="352"/>
        <v>🔵 Chưa có hạn</v>
      </c>
      <c r="BH338" s="67" t="str">
        <f t="shared" si="352"/>
        <v/>
      </c>
      <c r="BI338" s="389" t="str">
        <f t="array" ref="BI338">IF($X338="","",SWITCH($W338,3,IFERROR(INDEX('Lớp 3 - Công việc chính'!$AF$14:$AF$73,MATCH($X338,'Lớp 3 - Công việc chính'!$I$14:$I$73,0)),""),4,IFERROR(INDEX('Lớp 4 - Danh mục'!$AI$14:$AI$132,MATCH($X338,'Lớp 4 - Danh mục'!$I$14:$I$132,0)),""),5,IFERROR(INDEX('Lớp 5 - Phân công'!$AJ$14:$AJ$262,MATCH($X338,'Lớp 5 - Phân công'!$I$14:$I$262,0)),""),6,IFERROR(INDEX('Lớp 6 - Chi tiết'!$AM$14:$AM$267,MATCH($X338,'Lớp 6 - Chi tiết'!$I$14:$I$267,0)),""),""))</f>
        <v/>
      </c>
      <c r="BJ338" s="389" t="str">
        <f t="array" ref="BJ338">IF($X338="","",SWITCH($W338,3,IFERROR(INDEX('Lớp 3 - Công việc chính'!$AR$14:$AR$73,MATCH($X338,'Lớp 3 - Công việc chính'!$I$14:$I$73,0)),""),4,IFERROR(INDEX('Lớp 4 - Danh mục'!$AU$14:$AU$132,MATCH($X338,'Lớp 4 - Danh mục'!$I$14:$I$132,0)),""),5,IFERROR(INDEX('Lớp 5 - Phân công'!$AV$14:$AV$262,MATCH($X338,'Lớp 5 - Phân công'!$I$14:$I$262,0)),""),6,IFERROR(INDEX('Lớp 6 - Chi tiết'!$AY$14:$AY$267,MATCH($X338,'Lớp 6 - Chi tiết'!$I$14:$I$267,0)),""),""))</f>
        <v/>
      </c>
    </row>
    <row r="339" ht="15.75" customHeight="1">
      <c r="A339" s="294" t="str">
        <f t="shared" si="12"/>
        <v/>
      </c>
      <c r="B339" s="301" t="str">
        <f t="shared" si="13"/>
        <v/>
      </c>
      <c r="C339" s="301" t="str">
        <f t="shared" si="14"/>
        <v/>
      </c>
      <c r="D339" s="301" t="str">
        <f t="shared" si="15"/>
        <v/>
      </c>
      <c r="E339" s="301" t="str">
        <f t="shared" si="16"/>
        <v/>
      </c>
      <c r="F339" s="317" t="str">
        <f t="shared" si="17"/>
        <v/>
      </c>
      <c r="G339" s="323" t="str">
        <f t="shared" si="18"/>
        <v/>
      </c>
      <c r="H339" s="327" t="str">
        <f t="shared" si="19"/>
        <v/>
      </c>
      <c r="I339" s="327" t="str">
        <f t="shared" si="20"/>
        <v/>
      </c>
      <c r="J339" s="301" t="str">
        <f t="shared" si="21"/>
        <v/>
      </c>
      <c r="K339" s="301" t="str">
        <f t="shared" si="22"/>
        <v/>
      </c>
      <c r="L339" s="344" t="str">
        <f t="array" ref="L339">IF($T339="","",LET(m,MATCH($T339,$AS$24:$AS$700,0),lvl,INDEX($W$24:$W$700,m),id,INDEX($X$24:$X$700,m),SWITCH(lvl,3,"Lớp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39" s="351" t="str">
        <f t="shared" si="23"/>
        <v/>
      </c>
      <c r="N339" s="356" t="str">
        <f t="shared" si="24"/>
        <v/>
      </c>
      <c r="O339" s="358"/>
      <c r="P339" s="360"/>
      <c r="Q339" s="360"/>
      <c r="R339" s="67"/>
      <c r="S339" s="67"/>
      <c r="T339" s="67"/>
      <c r="U339" s="389" t="str">
        <f>IF('Lớp 5 - Phân công'!I150="","",'Lớp 5 - Phân công'!K150&amp;"|"&amp;'Lớp 5 - Phân công'!J150&amp;"|"&amp;'Lớp 5 - Phân công'!I150)</f>
        <v/>
      </c>
      <c r="V339" s="389" t="str">
        <f>IF('Lớp 5 - Phân công'!I150="","","       ├─ "&amp;'Lớp 5 - Phân công'!Q150)</f>
        <v/>
      </c>
      <c r="W339" s="389" t="str">
        <f>IF('Lớp 5 - Phân công'!I150="","",5)</f>
        <v/>
      </c>
      <c r="X339" s="67" t="str">
        <f>'Lớp 5 - Phân công'!I150</f>
        <v/>
      </c>
      <c r="Y339" s="67" t="str">
        <f>'Lớp 5 - Phân công'!J150</f>
        <v/>
      </c>
      <c r="Z339" s="67" t="str">
        <f>'Lớp 5 - Phân công'!AA150</f>
        <v/>
      </c>
      <c r="AA339" s="67" t="str">
        <f>'Lớp 5 - Phân công'!Z150</f>
        <v/>
      </c>
      <c r="AB339" s="67" t="str">
        <f>'Lớp 5 - Phân công'!AC150</f>
        <v/>
      </c>
      <c r="AC339" s="67" t="str">
        <f>'Lớp 5 - Phân công'!AB150</f>
        <v/>
      </c>
      <c r="AD339" s="398" t="str">
        <f>'Lớp 5 - Phân công'!AG150</f>
        <v/>
      </c>
      <c r="AE339" s="358" t="str">
        <f>'Lớp 5 - Phân công'!AE150</f>
        <v/>
      </c>
      <c r="AF339" s="187" t="str">
        <f>'Lớp 5 - Phân công'!AH150</f>
        <v/>
      </c>
      <c r="AG339" s="104" t="str">
        <f>'Lớp 5 - Phân công'!AI150</f>
        <v/>
      </c>
      <c r="AH339" s="389" t="str">
        <f t="shared" si="27"/>
        <v/>
      </c>
      <c r="AI339" s="389" t="str">
        <f t="shared" si="37"/>
        <v>🔵 Chưa có hạn</v>
      </c>
      <c r="AJ339" s="67" t="str">
        <f>'Lớp 5 - Phân công'!AL150</f>
        <v/>
      </c>
      <c r="AS339" s="389" t="str">
        <f t="shared" si="217"/>
        <v/>
      </c>
      <c r="AT339" s="389" t="str">
        <f t="shared" si="32"/>
        <v/>
      </c>
      <c r="AU339" s="389" t="str">
        <f t="shared" si="33"/>
        <v/>
      </c>
      <c r="AV339" s="389" t="str">
        <f t="shared" si="34"/>
        <v/>
      </c>
      <c r="AW339" s="389" t="str">
        <f t="shared" si="35"/>
        <v/>
      </c>
      <c r="AX339" s="67" t="str">
        <f t="shared" ref="AX339:BH339" si="353">Z339</f>
        <v/>
      </c>
      <c r="AY339" s="67" t="str">
        <f t="shared" si="353"/>
        <v/>
      </c>
      <c r="AZ339" s="67" t="str">
        <f t="shared" si="353"/>
        <v/>
      </c>
      <c r="BA339" s="67" t="str">
        <f t="shared" si="353"/>
        <v/>
      </c>
      <c r="BB339" s="398" t="str">
        <f t="shared" si="353"/>
        <v/>
      </c>
      <c r="BC339" s="358" t="str">
        <f t="shared" si="353"/>
        <v/>
      </c>
      <c r="BD339" s="187" t="str">
        <f t="shared" si="353"/>
        <v/>
      </c>
      <c r="BE339" s="104" t="str">
        <f t="shared" si="353"/>
        <v/>
      </c>
      <c r="BF339" s="389" t="str">
        <f t="shared" si="353"/>
        <v/>
      </c>
      <c r="BG339" s="389" t="str">
        <f t="shared" si="353"/>
        <v>🔵 Chưa có hạn</v>
      </c>
      <c r="BH339" s="67" t="str">
        <f t="shared" si="353"/>
        <v/>
      </c>
      <c r="BI339" s="389" t="str">
        <f t="array" ref="BI339">IF($X339="","",SWITCH($W339,3,IFERROR(INDEX('Lớp 3 - Công việc chính'!$AF$14:$AF$73,MATCH($X339,'Lớp 3 - Công việc chính'!$I$14:$I$73,0)),""),4,IFERROR(INDEX('Lớp 4 - Danh mục'!$AI$14:$AI$132,MATCH($X339,'Lớp 4 - Danh mục'!$I$14:$I$132,0)),""),5,IFERROR(INDEX('Lớp 5 - Phân công'!$AJ$14:$AJ$262,MATCH($X339,'Lớp 5 - Phân công'!$I$14:$I$262,0)),""),6,IFERROR(INDEX('Lớp 6 - Chi tiết'!$AM$14:$AM$267,MATCH($X339,'Lớp 6 - Chi tiết'!$I$14:$I$267,0)),""),""))</f>
        <v/>
      </c>
      <c r="BJ339" s="389" t="str">
        <f t="array" ref="BJ339">IF($X339="","",SWITCH($W339,3,IFERROR(INDEX('Lớp 3 - Công việc chính'!$AR$14:$AR$73,MATCH($X339,'Lớp 3 - Công việc chính'!$I$14:$I$73,0)),""),4,IFERROR(INDEX('Lớp 4 - Danh mục'!$AU$14:$AU$132,MATCH($X339,'Lớp 4 - Danh mục'!$I$14:$I$132,0)),""),5,IFERROR(INDEX('Lớp 5 - Phân công'!$AV$14:$AV$262,MATCH($X339,'Lớp 5 - Phân công'!$I$14:$I$262,0)),""),6,IFERROR(INDEX('Lớp 6 - Chi tiết'!$AY$14:$AY$267,MATCH($X339,'Lớp 6 - Chi tiết'!$I$14:$I$267,0)),""),""))</f>
        <v/>
      </c>
    </row>
    <row r="340" ht="15.75" customHeight="1">
      <c r="A340" s="294" t="str">
        <f t="shared" si="12"/>
        <v/>
      </c>
      <c r="B340" s="301" t="str">
        <f t="shared" si="13"/>
        <v/>
      </c>
      <c r="C340" s="301" t="str">
        <f t="shared" si="14"/>
        <v/>
      </c>
      <c r="D340" s="301" t="str">
        <f t="shared" si="15"/>
        <v/>
      </c>
      <c r="E340" s="301" t="str">
        <f t="shared" si="16"/>
        <v/>
      </c>
      <c r="F340" s="317" t="str">
        <f t="shared" si="17"/>
        <v/>
      </c>
      <c r="G340" s="323" t="str">
        <f t="shared" si="18"/>
        <v/>
      </c>
      <c r="H340" s="327" t="str">
        <f t="shared" si="19"/>
        <v/>
      </c>
      <c r="I340" s="327" t="str">
        <f t="shared" si="20"/>
        <v/>
      </c>
      <c r="J340" s="301" t="str">
        <f t="shared" si="21"/>
        <v/>
      </c>
      <c r="K340" s="301" t="str">
        <f t="shared" si="22"/>
        <v/>
      </c>
      <c r="L340" s="344" t="str">
        <f t="array" ref="L340">IF($T340="","",LET(m,MATCH($T340,$AS$24:$AS$700,0),lvl,INDEX($W$24:$W$700,m),id,INDEX($X$24:$X$700,m),SWITCH(lvl,3,"Lớp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0" s="351" t="str">
        <f t="shared" si="23"/>
        <v/>
      </c>
      <c r="N340" s="356" t="str">
        <f t="shared" si="24"/>
        <v/>
      </c>
      <c r="O340" s="358"/>
      <c r="P340" s="360"/>
      <c r="Q340" s="360"/>
      <c r="R340" s="67"/>
      <c r="S340" s="67"/>
      <c r="T340" s="67"/>
      <c r="U340" s="389" t="str">
        <f>IF('Lớp 5 - Phân công'!I151="","",'Lớp 5 - Phân công'!K151&amp;"|"&amp;'Lớp 5 - Phân công'!J151&amp;"|"&amp;'Lớp 5 - Phân công'!I151)</f>
        <v/>
      </c>
      <c r="V340" s="389" t="str">
        <f>IF('Lớp 5 - Phân công'!I151="","","       ├─ "&amp;'Lớp 5 - Phân công'!Q151)</f>
        <v/>
      </c>
      <c r="W340" s="389" t="str">
        <f>IF('Lớp 5 - Phân công'!I151="","",5)</f>
        <v/>
      </c>
      <c r="X340" s="67" t="str">
        <f>'Lớp 5 - Phân công'!I151</f>
        <v/>
      </c>
      <c r="Y340" s="67" t="str">
        <f>'Lớp 5 - Phân công'!J151</f>
        <v/>
      </c>
      <c r="Z340" s="67" t="str">
        <f>'Lớp 5 - Phân công'!AA151</f>
        <v/>
      </c>
      <c r="AA340" s="67" t="str">
        <f>'Lớp 5 - Phân công'!Z151</f>
        <v/>
      </c>
      <c r="AB340" s="67" t="str">
        <f>'Lớp 5 - Phân công'!AC151</f>
        <v/>
      </c>
      <c r="AC340" s="67" t="str">
        <f>'Lớp 5 - Phân công'!AB151</f>
        <v/>
      </c>
      <c r="AD340" s="398" t="str">
        <f>'Lớp 5 - Phân công'!AG151</f>
        <v/>
      </c>
      <c r="AE340" s="358" t="str">
        <f>'Lớp 5 - Phân công'!AE151</f>
        <v/>
      </c>
      <c r="AF340" s="187" t="str">
        <f>'Lớp 5 - Phân công'!AH151</f>
        <v/>
      </c>
      <c r="AG340" s="104" t="str">
        <f>'Lớp 5 - Phân công'!AI151</f>
        <v/>
      </c>
      <c r="AH340" s="389" t="str">
        <f t="shared" si="27"/>
        <v/>
      </c>
      <c r="AI340" s="389" t="str">
        <f t="shared" si="37"/>
        <v>🔵 Chưa có hạn</v>
      </c>
      <c r="AJ340" s="67" t="str">
        <f>'Lớp 5 - Phân công'!AL151</f>
        <v/>
      </c>
      <c r="AS340" s="389" t="str">
        <f t="shared" si="217"/>
        <v/>
      </c>
      <c r="AT340" s="389" t="str">
        <f t="shared" si="32"/>
        <v/>
      </c>
      <c r="AU340" s="389" t="str">
        <f t="shared" si="33"/>
        <v/>
      </c>
      <c r="AV340" s="389" t="str">
        <f t="shared" si="34"/>
        <v/>
      </c>
      <c r="AW340" s="389" t="str">
        <f t="shared" si="35"/>
        <v/>
      </c>
      <c r="AX340" s="67" t="str">
        <f t="shared" ref="AX340:BH340" si="354">Z340</f>
        <v/>
      </c>
      <c r="AY340" s="67" t="str">
        <f t="shared" si="354"/>
        <v/>
      </c>
      <c r="AZ340" s="67" t="str">
        <f t="shared" si="354"/>
        <v/>
      </c>
      <c r="BA340" s="67" t="str">
        <f t="shared" si="354"/>
        <v/>
      </c>
      <c r="BB340" s="398" t="str">
        <f t="shared" si="354"/>
        <v/>
      </c>
      <c r="BC340" s="358" t="str">
        <f t="shared" si="354"/>
        <v/>
      </c>
      <c r="BD340" s="187" t="str">
        <f t="shared" si="354"/>
        <v/>
      </c>
      <c r="BE340" s="104" t="str">
        <f t="shared" si="354"/>
        <v/>
      </c>
      <c r="BF340" s="389" t="str">
        <f t="shared" si="354"/>
        <v/>
      </c>
      <c r="BG340" s="389" t="str">
        <f t="shared" si="354"/>
        <v>🔵 Chưa có hạn</v>
      </c>
      <c r="BH340" s="67" t="str">
        <f t="shared" si="354"/>
        <v/>
      </c>
      <c r="BI340" s="389" t="str">
        <f t="array" ref="BI340">IF($X340="","",SWITCH($W340,3,IFERROR(INDEX('Lớp 3 - Công việc chính'!$AF$14:$AF$73,MATCH($X340,'Lớp 3 - Công việc chính'!$I$14:$I$73,0)),""),4,IFERROR(INDEX('Lớp 4 - Danh mục'!$AI$14:$AI$132,MATCH($X340,'Lớp 4 - Danh mục'!$I$14:$I$132,0)),""),5,IFERROR(INDEX('Lớp 5 - Phân công'!$AJ$14:$AJ$262,MATCH($X340,'Lớp 5 - Phân công'!$I$14:$I$262,0)),""),6,IFERROR(INDEX('Lớp 6 - Chi tiết'!$AM$14:$AM$267,MATCH($X340,'Lớp 6 - Chi tiết'!$I$14:$I$267,0)),""),""))</f>
        <v/>
      </c>
      <c r="BJ340" s="389" t="str">
        <f t="array" ref="BJ340">IF($X340="","",SWITCH($W340,3,IFERROR(INDEX('Lớp 3 - Công việc chính'!$AR$14:$AR$73,MATCH($X340,'Lớp 3 - Công việc chính'!$I$14:$I$73,0)),""),4,IFERROR(INDEX('Lớp 4 - Danh mục'!$AU$14:$AU$132,MATCH($X340,'Lớp 4 - Danh mục'!$I$14:$I$132,0)),""),5,IFERROR(INDEX('Lớp 5 - Phân công'!$AV$14:$AV$262,MATCH($X340,'Lớp 5 - Phân công'!$I$14:$I$262,0)),""),6,IFERROR(INDEX('Lớp 6 - Chi tiết'!$AY$14:$AY$267,MATCH($X340,'Lớp 6 - Chi tiết'!$I$14:$I$267,0)),""),""))</f>
        <v/>
      </c>
    </row>
    <row r="341" ht="15.75" customHeight="1">
      <c r="A341" s="294" t="str">
        <f t="shared" si="12"/>
        <v/>
      </c>
      <c r="B341" s="301" t="str">
        <f t="shared" si="13"/>
        <v/>
      </c>
      <c r="C341" s="301" t="str">
        <f t="shared" si="14"/>
        <v/>
      </c>
      <c r="D341" s="301" t="str">
        <f t="shared" si="15"/>
        <v/>
      </c>
      <c r="E341" s="301" t="str">
        <f t="shared" si="16"/>
        <v/>
      </c>
      <c r="F341" s="317" t="str">
        <f t="shared" si="17"/>
        <v/>
      </c>
      <c r="G341" s="323" t="str">
        <f t="shared" si="18"/>
        <v/>
      </c>
      <c r="H341" s="327" t="str">
        <f t="shared" si="19"/>
        <v/>
      </c>
      <c r="I341" s="327" t="str">
        <f t="shared" si="20"/>
        <v/>
      </c>
      <c r="J341" s="301" t="str">
        <f t="shared" si="21"/>
        <v/>
      </c>
      <c r="K341" s="301" t="str">
        <f t="shared" si="22"/>
        <v/>
      </c>
      <c r="L341" s="344" t="str">
        <f t="array" ref="L341">IF($T341="","",LET(m,MATCH($T341,$AS$24:$AS$700,0),lvl,INDEX($W$24:$W$700,m),id,INDEX($X$24:$X$700,m),SWITCH(lvl,3,"Lớp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1" s="351" t="str">
        <f t="shared" si="23"/>
        <v/>
      </c>
      <c r="N341" s="356" t="str">
        <f t="shared" si="24"/>
        <v/>
      </c>
      <c r="O341" s="358"/>
      <c r="P341" s="360"/>
      <c r="Q341" s="360"/>
      <c r="R341" s="67"/>
      <c r="S341" s="67"/>
      <c r="T341" s="67"/>
      <c r="U341" s="389" t="str">
        <f>IF('Lớp 5 - Phân công'!I152="","",'Lớp 5 - Phân công'!K152&amp;"|"&amp;'Lớp 5 - Phân công'!J152&amp;"|"&amp;'Lớp 5 - Phân công'!I152)</f>
        <v/>
      </c>
      <c r="V341" s="389" t="str">
        <f>IF('Lớp 5 - Phân công'!I152="","","       ├─ "&amp;'Lớp 5 - Phân công'!Q152)</f>
        <v/>
      </c>
      <c r="W341" s="389" t="str">
        <f>IF('Lớp 5 - Phân công'!I152="","",5)</f>
        <v/>
      </c>
      <c r="X341" s="67" t="str">
        <f>'Lớp 5 - Phân công'!I152</f>
        <v/>
      </c>
      <c r="Y341" s="67" t="str">
        <f>'Lớp 5 - Phân công'!J152</f>
        <v/>
      </c>
      <c r="Z341" s="67" t="str">
        <f>'Lớp 5 - Phân công'!AA152</f>
        <v/>
      </c>
      <c r="AA341" s="67" t="str">
        <f>'Lớp 5 - Phân công'!Z152</f>
        <v/>
      </c>
      <c r="AB341" s="67" t="str">
        <f>'Lớp 5 - Phân công'!AC152</f>
        <v/>
      </c>
      <c r="AC341" s="67" t="str">
        <f>'Lớp 5 - Phân công'!AB152</f>
        <v/>
      </c>
      <c r="AD341" s="398" t="str">
        <f>'Lớp 5 - Phân công'!AG152</f>
        <v/>
      </c>
      <c r="AE341" s="358" t="str">
        <f>'Lớp 5 - Phân công'!AE152</f>
        <v/>
      </c>
      <c r="AF341" s="187" t="str">
        <f>'Lớp 5 - Phân công'!AH152</f>
        <v/>
      </c>
      <c r="AG341" s="104" t="str">
        <f>'Lớp 5 - Phân công'!AI152</f>
        <v/>
      </c>
      <c r="AH341" s="389" t="str">
        <f t="shared" si="27"/>
        <v/>
      </c>
      <c r="AI341" s="389" t="str">
        <f t="shared" si="37"/>
        <v>🔵 Chưa có hạn</v>
      </c>
      <c r="AJ341" s="67" t="str">
        <f>'Lớp 5 - Phân công'!AL152</f>
        <v/>
      </c>
      <c r="AS341" s="389" t="str">
        <f t="shared" si="217"/>
        <v/>
      </c>
      <c r="AT341" s="389" t="str">
        <f t="shared" si="32"/>
        <v/>
      </c>
      <c r="AU341" s="389" t="str">
        <f t="shared" si="33"/>
        <v/>
      </c>
      <c r="AV341" s="389" t="str">
        <f t="shared" si="34"/>
        <v/>
      </c>
      <c r="AW341" s="389" t="str">
        <f t="shared" si="35"/>
        <v/>
      </c>
      <c r="AX341" s="67" t="str">
        <f t="shared" ref="AX341:BH341" si="355">Z341</f>
        <v/>
      </c>
      <c r="AY341" s="67" t="str">
        <f t="shared" si="355"/>
        <v/>
      </c>
      <c r="AZ341" s="67" t="str">
        <f t="shared" si="355"/>
        <v/>
      </c>
      <c r="BA341" s="67" t="str">
        <f t="shared" si="355"/>
        <v/>
      </c>
      <c r="BB341" s="398" t="str">
        <f t="shared" si="355"/>
        <v/>
      </c>
      <c r="BC341" s="358" t="str">
        <f t="shared" si="355"/>
        <v/>
      </c>
      <c r="BD341" s="187" t="str">
        <f t="shared" si="355"/>
        <v/>
      </c>
      <c r="BE341" s="104" t="str">
        <f t="shared" si="355"/>
        <v/>
      </c>
      <c r="BF341" s="389" t="str">
        <f t="shared" si="355"/>
        <v/>
      </c>
      <c r="BG341" s="389" t="str">
        <f t="shared" si="355"/>
        <v>🔵 Chưa có hạn</v>
      </c>
      <c r="BH341" s="67" t="str">
        <f t="shared" si="355"/>
        <v/>
      </c>
      <c r="BI341" s="389" t="str">
        <f t="array" ref="BI341">IF($X341="","",SWITCH($W341,3,IFERROR(INDEX('Lớp 3 - Công việc chính'!$AF$14:$AF$73,MATCH($X341,'Lớp 3 - Công việc chính'!$I$14:$I$73,0)),""),4,IFERROR(INDEX('Lớp 4 - Danh mục'!$AI$14:$AI$132,MATCH($X341,'Lớp 4 - Danh mục'!$I$14:$I$132,0)),""),5,IFERROR(INDEX('Lớp 5 - Phân công'!$AJ$14:$AJ$262,MATCH($X341,'Lớp 5 - Phân công'!$I$14:$I$262,0)),""),6,IFERROR(INDEX('Lớp 6 - Chi tiết'!$AM$14:$AM$267,MATCH($X341,'Lớp 6 - Chi tiết'!$I$14:$I$267,0)),""),""))</f>
        <v/>
      </c>
      <c r="BJ341" s="389" t="str">
        <f t="array" ref="BJ341">IF($X341="","",SWITCH($W341,3,IFERROR(INDEX('Lớp 3 - Công việc chính'!$AR$14:$AR$73,MATCH($X341,'Lớp 3 - Công việc chính'!$I$14:$I$73,0)),""),4,IFERROR(INDEX('Lớp 4 - Danh mục'!$AU$14:$AU$132,MATCH($X341,'Lớp 4 - Danh mục'!$I$14:$I$132,0)),""),5,IFERROR(INDEX('Lớp 5 - Phân công'!$AV$14:$AV$262,MATCH($X341,'Lớp 5 - Phân công'!$I$14:$I$262,0)),""),6,IFERROR(INDEX('Lớp 6 - Chi tiết'!$AY$14:$AY$267,MATCH($X341,'Lớp 6 - Chi tiết'!$I$14:$I$267,0)),""),""))</f>
        <v/>
      </c>
    </row>
    <row r="342" ht="15.75" customHeight="1">
      <c r="A342" s="294" t="str">
        <f t="shared" si="12"/>
        <v/>
      </c>
      <c r="B342" s="301" t="str">
        <f t="shared" si="13"/>
        <v/>
      </c>
      <c r="C342" s="301" t="str">
        <f t="shared" si="14"/>
        <v/>
      </c>
      <c r="D342" s="301" t="str">
        <f t="shared" si="15"/>
        <v/>
      </c>
      <c r="E342" s="301" t="str">
        <f t="shared" si="16"/>
        <v/>
      </c>
      <c r="F342" s="317" t="str">
        <f t="shared" si="17"/>
        <v/>
      </c>
      <c r="G342" s="323" t="str">
        <f t="shared" si="18"/>
        <v/>
      </c>
      <c r="H342" s="327" t="str">
        <f t="shared" si="19"/>
        <v/>
      </c>
      <c r="I342" s="327" t="str">
        <f t="shared" si="20"/>
        <v/>
      </c>
      <c r="J342" s="301" t="str">
        <f t="shared" si="21"/>
        <v/>
      </c>
      <c r="K342" s="301" t="str">
        <f t="shared" si="22"/>
        <v/>
      </c>
      <c r="L342" s="344" t="str">
        <f t="array" ref="L342">IF($T342="","",LET(m,MATCH($T342,$AS$24:$AS$700,0),lvl,INDEX($W$24:$W$700,m),id,INDEX($X$24:$X$700,m),SWITCH(lvl,3,"Lớp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2" s="351" t="str">
        <f t="shared" si="23"/>
        <v/>
      </c>
      <c r="N342" s="356" t="str">
        <f t="shared" si="24"/>
        <v/>
      </c>
      <c r="O342" s="358"/>
      <c r="P342" s="360"/>
      <c r="Q342" s="360"/>
      <c r="R342" s="67"/>
      <c r="S342" s="67"/>
      <c r="T342" s="67"/>
      <c r="U342" s="389" t="str">
        <f>IF('Lớp 5 - Phân công'!I153="","",'Lớp 5 - Phân công'!K153&amp;"|"&amp;'Lớp 5 - Phân công'!J153&amp;"|"&amp;'Lớp 5 - Phân công'!I153)</f>
        <v/>
      </c>
      <c r="V342" s="389" t="str">
        <f>IF('Lớp 5 - Phân công'!I153="","","       ├─ "&amp;'Lớp 5 - Phân công'!Q153)</f>
        <v/>
      </c>
      <c r="W342" s="389" t="str">
        <f>IF('Lớp 5 - Phân công'!I153="","",5)</f>
        <v/>
      </c>
      <c r="X342" s="67" t="str">
        <f>'Lớp 5 - Phân công'!I153</f>
        <v/>
      </c>
      <c r="Y342" s="67" t="str">
        <f>'Lớp 5 - Phân công'!J153</f>
        <v/>
      </c>
      <c r="Z342" s="67" t="str">
        <f>'Lớp 5 - Phân công'!AA153</f>
        <v/>
      </c>
      <c r="AA342" s="67" t="str">
        <f>'Lớp 5 - Phân công'!Z153</f>
        <v/>
      </c>
      <c r="AB342" s="67" t="str">
        <f>'Lớp 5 - Phân công'!AC153</f>
        <v/>
      </c>
      <c r="AC342" s="67" t="str">
        <f>'Lớp 5 - Phân công'!AB153</f>
        <v/>
      </c>
      <c r="AD342" s="398" t="str">
        <f>'Lớp 5 - Phân công'!AG153</f>
        <v/>
      </c>
      <c r="AE342" s="358" t="str">
        <f>'Lớp 5 - Phân công'!AE153</f>
        <v/>
      </c>
      <c r="AF342" s="187" t="str">
        <f>'Lớp 5 - Phân công'!AH153</f>
        <v/>
      </c>
      <c r="AG342" s="104" t="str">
        <f>'Lớp 5 - Phân công'!AI153</f>
        <v/>
      </c>
      <c r="AH342" s="389" t="str">
        <f t="shared" si="27"/>
        <v/>
      </c>
      <c r="AI342" s="389" t="str">
        <f t="shared" si="37"/>
        <v>🔵 Chưa có hạn</v>
      </c>
      <c r="AJ342" s="67" t="str">
        <f>'Lớp 5 - Phân công'!AL153</f>
        <v/>
      </c>
      <c r="AS342" s="389" t="str">
        <f t="shared" si="217"/>
        <v/>
      </c>
      <c r="AT342" s="389" t="str">
        <f t="shared" si="32"/>
        <v/>
      </c>
      <c r="AU342" s="389" t="str">
        <f t="shared" si="33"/>
        <v/>
      </c>
      <c r="AV342" s="389" t="str">
        <f t="shared" si="34"/>
        <v/>
      </c>
      <c r="AW342" s="389" t="str">
        <f t="shared" si="35"/>
        <v/>
      </c>
      <c r="AX342" s="67" t="str">
        <f t="shared" ref="AX342:BH342" si="356">Z342</f>
        <v/>
      </c>
      <c r="AY342" s="67" t="str">
        <f t="shared" si="356"/>
        <v/>
      </c>
      <c r="AZ342" s="67" t="str">
        <f t="shared" si="356"/>
        <v/>
      </c>
      <c r="BA342" s="67" t="str">
        <f t="shared" si="356"/>
        <v/>
      </c>
      <c r="BB342" s="398" t="str">
        <f t="shared" si="356"/>
        <v/>
      </c>
      <c r="BC342" s="358" t="str">
        <f t="shared" si="356"/>
        <v/>
      </c>
      <c r="BD342" s="187" t="str">
        <f t="shared" si="356"/>
        <v/>
      </c>
      <c r="BE342" s="104" t="str">
        <f t="shared" si="356"/>
        <v/>
      </c>
      <c r="BF342" s="389" t="str">
        <f t="shared" si="356"/>
        <v/>
      </c>
      <c r="BG342" s="389" t="str">
        <f t="shared" si="356"/>
        <v>🔵 Chưa có hạn</v>
      </c>
      <c r="BH342" s="67" t="str">
        <f t="shared" si="356"/>
        <v/>
      </c>
      <c r="BI342" s="389" t="str">
        <f t="array" ref="BI342">IF($X342="","",SWITCH($W342,3,IFERROR(INDEX('Lớp 3 - Công việc chính'!$AF$14:$AF$73,MATCH($X342,'Lớp 3 - Công việc chính'!$I$14:$I$73,0)),""),4,IFERROR(INDEX('Lớp 4 - Danh mục'!$AI$14:$AI$132,MATCH($X342,'Lớp 4 - Danh mục'!$I$14:$I$132,0)),""),5,IFERROR(INDEX('Lớp 5 - Phân công'!$AJ$14:$AJ$262,MATCH($X342,'Lớp 5 - Phân công'!$I$14:$I$262,0)),""),6,IFERROR(INDEX('Lớp 6 - Chi tiết'!$AM$14:$AM$267,MATCH($X342,'Lớp 6 - Chi tiết'!$I$14:$I$267,0)),""),""))</f>
        <v/>
      </c>
      <c r="BJ342" s="389" t="str">
        <f t="array" ref="BJ342">IF($X342="","",SWITCH($W342,3,IFERROR(INDEX('Lớp 3 - Công việc chính'!$AR$14:$AR$73,MATCH($X342,'Lớp 3 - Công việc chính'!$I$14:$I$73,0)),""),4,IFERROR(INDEX('Lớp 4 - Danh mục'!$AU$14:$AU$132,MATCH($X342,'Lớp 4 - Danh mục'!$I$14:$I$132,0)),""),5,IFERROR(INDEX('Lớp 5 - Phân công'!$AV$14:$AV$262,MATCH($X342,'Lớp 5 - Phân công'!$I$14:$I$262,0)),""),6,IFERROR(INDEX('Lớp 6 - Chi tiết'!$AY$14:$AY$267,MATCH($X342,'Lớp 6 - Chi tiết'!$I$14:$I$267,0)),""),""))</f>
        <v/>
      </c>
    </row>
    <row r="343" ht="15.75" customHeight="1">
      <c r="A343" s="294" t="str">
        <f t="shared" si="12"/>
        <v/>
      </c>
      <c r="B343" s="301" t="str">
        <f t="shared" si="13"/>
        <v/>
      </c>
      <c r="C343" s="301" t="str">
        <f t="shared" si="14"/>
        <v/>
      </c>
      <c r="D343" s="301" t="str">
        <f t="shared" si="15"/>
        <v/>
      </c>
      <c r="E343" s="301" t="str">
        <f t="shared" si="16"/>
        <v/>
      </c>
      <c r="F343" s="317" t="str">
        <f t="shared" si="17"/>
        <v/>
      </c>
      <c r="G343" s="323" t="str">
        <f t="shared" si="18"/>
        <v/>
      </c>
      <c r="H343" s="327" t="str">
        <f t="shared" si="19"/>
        <v/>
      </c>
      <c r="I343" s="327" t="str">
        <f t="shared" si="20"/>
        <v/>
      </c>
      <c r="J343" s="301" t="str">
        <f t="shared" si="21"/>
        <v/>
      </c>
      <c r="K343" s="301" t="str">
        <f t="shared" si="22"/>
        <v/>
      </c>
      <c r="L343" s="344" t="str">
        <f t="array" ref="L343">IF($T343="","",LET(m,MATCH($T343,$AS$24:$AS$700,0),lvl,INDEX($W$24:$W$700,m),id,INDEX($X$24:$X$700,m),SWITCH(lvl,3,"Lớp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3" s="351" t="str">
        <f t="shared" si="23"/>
        <v/>
      </c>
      <c r="N343" s="356" t="str">
        <f t="shared" si="24"/>
        <v/>
      </c>
      <c r="O343" s="358"/>
      <c r="P343" s="360"/>
      <c r="Q343" s="360"/>
      <c r="R343" s="67"/>
      <c r="S343" s="67"/>
      <c r="T343" s="67"/>
      <c r="U343" s="389" t="str">
        <f>IF('Lớp 5 - Phân công'!I154="","",'Lớp 5 - Phân công'!K154&amp;"|"&amp;'Lớp 5 - Phân công'!J154&amp;"|"&amp;'Lớp 5 - Phân công'!I154)</f>
        <v/>
      </c>
      <c r="V343" s="389" t="str">
        <f>IF('Lớp 5 - Phân công'!I154="","","       ├─ "&amp;'Lớp 5 - Phân công'!Q154)</f>
        <v/>
      </c>
      <c r="W343" s="389" t="str">
        <f>IF('Lớp 5 - Phân công'!I154="","",5)</f>
        <v/>
      </c>
      <c r="X343" s="67" t="str">
        <f>'Lớp 5 - Phân công'!I154</f>
        <v/>
      </c>
      <c r="Y343" s="67" t="str">
        <f>'Lớp 5 - Phân công'!J154</f>
        <v/>
      </c>
      <c r="Z343" s="67" t="str">
        <f>'Lớp 5 - Phân công'!AA154</f>
        <v/>
      </c>
      <c r="AA343" s="67" t="str">
        <f>'Lớp 5 - Phân công'!Z154</f>
        <v/>
      </c>
      <c r="AB343" s="67" t="str">
        <f>'Lớp 5 - Phân công'!AC154</f>
        <v/>
      </c>
      <c r="AC343" s="67" t="str">
        <f>'Lớp 5 - Phân công'!AB154</f>
        <v/>
      </c>
      <c r="AD343" s="398" t="str">
        <f>'Lớp 5 - Phân công'!AG154</f>
        <v/>
      </c>
      <c r="AE343" s="358" t="str">
        <f>'Lớp 5 - Phân công'!AE154</f>
        <v/>
      </c>
      <c r="AF343" s="187" t="str">
        <f>'Lớp 5 - Phân công'!AH154</f>
        <v/>
      </c>
      <c r="AG343" s="104" t="str">
        <f>'Lớp 5 - Phân công'!AI154</f>
        <v/>
      </c>
      <c r="AH343" s="389" t="str">
        <f t="shared" si="27"/>
        <v/>
      </c>
      <c r="AI343" s="389" t="str">
        <f t="shared" si="37"/>
        <v>🔵 Chưa có hạn</v>
      </c>
      <c r="AJ343" s="67" t="str">
        <f>'Lớp 5 - Phân công'!AL154</f>
        <v/>
      </c>
      <c r="AS343" s="389" t="str">
        <f t="shared" si="217"/>
        <v/>
      </c>
      <c r="AT343" s="389" t="str">
        <f t="shared" si="32"/>
        <v/>
      </c>
      <c r="AU343" s="389" t="str">
        <f t="shared" si="33"/>
        <v/>
      </c>
      <c r="AV343" s="389" t="str">
        <f t="shared" si="34"/>
        <v/>
      </c>
      <c r="AW343" s="389" t="str">
        <f t="shared" si="35"/>
        <v/>
      </c>
      <c r="AX343" s="67" t="str">
        <f t="shared" ref="AX343:BH343" si="357">Z343</f>
        <v/>
      </c>
      <c r="AY343" s="67" t="str">
        <f t="shared" si="357"/>
        <v/>
      </c>
      <c r="AZ343" s="67" t="str">
        <f t="shared" si="357"/>
        <v/>
      </c>
      <c r="BA343" s="67" t="str">
        <f t="shared" si="357"/>
        <v/>
      </c>
      <c r="BB343" s="398" t="str">
        <f t="shared" si="357"/>
        <v/>
      </c>
      <c r="BC343" s="358" t="str">
        <f t="shared" si="357"/>
        <v/>
      </c>
      <c r="BD343" s="187" t="str">
        <f t="shared" si="357"/>
        <v/>
      </c>
      <c r="BE343" s="104" t="str">
        <f t="shared" si="357"/>
        <v/>
      </c>
      <c r="BF343" s="389" t="str">
        <f t="shared" si="357"/>
        <v/>
      </c>
      <c r="BG343" s="389" t="str">
        <f t="shared" si="357"/>
        <v>🔵 Chưa có hạn</v>
      </c>
      <c r="BH343" s="67" t="str">
        <f t="shared" si="357"/>
        <v/>
      </c>
      <c r="BI343" s="389" t="str">
        <f t="array" ref="BI343">IF($X343="","",SWITCH($W343,3,IFERROR(INDEX('Lớp 3 - Công việc chính'!$AF$14:$AF$73,MATCH($X343,'Lớp 3 - Công việc chính'!$I$14:$I$73,0)),""),4,IFERROR(INDEX('Lớp 4 - Danh mục'!$AI$14:$AI$132,MATCH($X343,'Lớp 4 - Danh mục'!$I$14:$I$132,0)),""),5,IFERROR(INDEX('Lớp 5 - Phân công'!$AJ$14:$AJ$262,MATCH($X343,'Lớp 5 - Phân công'!$I$14:$I$262,0)),""),6,IFERROR(INDEX('Lớp 6 - Chi tiết'!$AM$14:$AM$267,MATCH($X343,'Lớp 6 - Chi tiết'!$I$14:$I$267,0)),""),""))</f>
        <v/>
      </c>
      <c r="BJ343" s="389" t="str">
        <f t="array" ref="BJ343">IF($X343="","",SWITCH($W343,3,IFERROR(INDEX('Lớp 3 - Công việc chính'!$AR$14:$AR$73,MATCH($X343,'Lớp 3 - Công việc chính'!$I$14:$I$73,0)),""),4,IFERROR(INDEX('Lớp 4 - Danh mục'!$AU$14:$AU$132,MATCH($X343,'Lớp 4 - Danh mục'!$I$14:$I$132,0)),""),5,IFERROR(INDEX('Lớp 5 - Phân công'!$AV$14:$AV$262,MATCH($X343,'Lớp 5 - Phân công'!$I$14:$I$262,0)),""),6,IFERROR(INDEX('Lớp 6 - Chi tiết'!$AY$14:$AY$267,MATCH($X343,'Lớp 6 - Chi tiết'!$I$14:$I$267,0)),""),""))</f>
        <v/>
      </c>
    </row>
    <row r="344" ht="15.75" customHeight="1">
      <c r="A344" s="294" t="str">
        <f t="shared" si="12"/>
        <v/>
      </c>
      <c r="B344" s="301" t="str">
        <f t="shared" si="13"/>
        <v/>
      </c>
      <c r="C344" s="301" t="str">
        <f t="shared" si="14"/>
        <v/>
      </c>
      <c r="D344" s="301" t="str">
        <f t="shared" si="15"/>
        <v/>
      </c>
      <c r="E344" s="301" t="str">
        <f t="shared" si="16"/>
        <v/>
      </c>
      <c r="F344" s="317" t="str">
        <f t="shared" si="17"/>
        <v/>
      </c>
      <c r="G344" s="323" t="str">
        <f t="shared" si="18"/>
        <v/>
      </c>
      <c r="H344" s="327" t="str">
        <f t="shared" si="19"/>
        <v/>
      </c>
      <c r="I344" s="327" t="str">
        <f t="shared" si="20"/>
        <v/>
      </c>
      <c r="J344" s="301" t="str">
        <f t="shared" si="21"/>
        <v/>
      </c>
      <c r="K344" s="301" t="str">
        <f t="shared" si="22"/>
        <v/>
      </c>
      <c r="L344" s="344" t="str">
        <f t="array" ref="L344">IF($T344="","",LET(m,MATCH($T344,$AS$24:$AS$700,0),lvl,INDEX($W$24:$W$700,m),id,INDEX($X$24:$X$700,m),SWITCH(lvl,3,"Lớp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4" s="351" t="str">
        <f t="shared" si="23"/>
        <v/>
      </c>
      <c r="N344" s="356" t="str">
        <f t="shared" si="24"/>
        <v/>
      </c>
      <c r="O344" s="358"/>
      <c r="P344" s="360"/>
      <c r="Q344" s="360"/>
      <c r="R344" s="67"/>
      <c r="S344" s="67"/>
      <c r="T344" s="67"/>
      <c r="U344" s="389" t="str">
        <f>IF('Lớp 5 - Phân công'!I155="","",'Lớp 5 - Phân công'!K155&amp;"|"&amp;'Lớp 5 - Phân công'!J155&amp;"|"&amp;'Lớp 5 - Phân công'!I155)</f>
        <v/>
      </c>
      <c r="V344" s="389" t="str">
        <f>IF('Lớp 5 - Phân công'!I155="","","       ├─ "&amp;'Lớp 5 - Phân công'!Q155)</f>
        <v/>
      </c>
      <c r="W344" s="389" t="str">
        <f>IF('Lớp 5 - Phân công'!I155="","",5)</f>
        <v/>
      </c>
      <c r="X344" s="67" t="str">
        <f>'Lớp 5 - Phân công'!I155</f>
        <v/>
      </c>
      <c r="Y344" s="67" t="str">
        <f>'Lớp 5 - Phân công'!J155</f>
        <v/>
      </c>
      <c r="Z344" s="67" t="str">
        <f>'Lớp 5 - Phân công'!AA155</f>
        <v/>
      </c>
      <c r="AA344" s="67" t="str">
        <f>'Lớp 5 - Phân công'!Z155</f>
        <v/>
      </c>
      <c r="AB344" s="67" t="str">
        <f>'Lớp 5 - Phân công'!AC155</f>
        <v/>
      </c>
      <c r="AC344" s="67" t="str">
        <f>'Lớp 5 - Phân công'!AB155</f>
        <v/>
      </c>
      <c r="AD344" s="398" t="str">
        <f>'Lớp 5 - Phân công'!AG155</f>
        <v/>
      </c>
      <c r="AE344" s="358" t="str">
        <f>'Lớp 5 - Phân công'!AE155</f>
        <v/>
      </c>
      <c r="AF344" s="187" t="str">
        <f>'Lớp 5 - Phân công'!AH155</f>
        <v/>
      </c>
      <c r="AG344" s="104" t="str">
        <f>'Lớp 5 - Phân công'!AI155</f>
        <v/>
      </c>
      <c r="AH344" s="389" t="str">
        <f t="shared" si="27"/>
        <v/>
      </c>
      <c r="AI344" s="389" t="str">
        <f t="shared" si="37"/>
        <v>🔵 Chưa có hạn</v>
      </c>
      <c r="AJ344" s="67" t="str">
        <f>'Lớp 5 - Phân công'!AL155</f>
        <v/>
      </c>
      <c r="AS344" s="389" t="str">
        <f t="shared" si="217"/>
        <v/>
      </c>
      <c r="AT344" s="389" t="str">
        <f t="shared" si="32"/>
        <v/>
      </c>
      <c r="AU344" s="389" t="str">
        <f t="shared" si="33"/>
        <v/>
      </c>
      <c r="AV344" s="389" t="str">
        <f t="shared" si="34"/>
        <v/>
      </c>
      <c r="AW344" s="389" t="str">
        <f t="shared" si="35"/>
        <v/>
      </c>
      <c r="AX344" s="67" t="str">
        <f t="shared" ref="AX344:BH344" si="358">Z344</f>
        <v/>
      </c>
      <c r="AY344" s="67" t="str">
        <f t="shared" si="358"/>
        <v/>
      </c>
      <c r="AZ344" s="67" t="str">
        <f t="shared" si="358"/>
        <v/>
      </c>
      <c r="BA344" s="67" t="str">
        <f t="shared" si="358"/>
        <v/>
      </c>
      <c r="BB344" s="398" t="str">
        <f t="shared" si="358"/>
        <v/>
      </c>
      <c r="BC344" s="358" t="str">
        <f t="shared" si="358"/>
        <v/>
      </c>
      <c r="BD344" s="187" t="str">
        <f t="shared" si="358"/>
        <v/>
      </c>
      <c r="BE344" s="104" t="str">
        <f t="shared" si="358"/>
        <v/>
      </c>
      <c r="BF344" s="389" t="str">
        <f t="shared" si="358"/>
        <v/>
      </c>
      <c r="BG344" s="389" t="str">
        <f t="shared" si="358"/>
        <v>🔵 Chưa có hạn</v>
      </c>
      <c r="BH344" s="67" t="str">
        <f t="shared" si="358"/>
        <v/>
      </c>
      <c r="BI344" s="389" t="str">
        <f t="array" ref="BI344">IF($X344="","",SWITCH($W344,3,IFERROR(INDEX('Lớp 3 - Công việc chính'!$AF$14:$AF$73,MATCH($X344,'Lớp 3 - Công việc chính'!$I$14:$I$73,0)),""),4,IFERROR(INDEX('Lớp 4 - Danh mục'!$AI$14:$AI$132,MATCH($X344,'Lớp 4 - Danh mục'!$I$14:$I$132,0)),""),5,IFERROR(INDEX('Lớp 5 - Phân công'!$AJ$14:$AJ$262,MATCH($X344,'Lớp 5 - Phân công'!$I$14:$I$262,0)),""),6,IFERROR(INDEX('Lớp 6 - Chi tiết'!$AM$14:$AM$267,MATCH($X344,'Lớp 6 - Chi tiết'!$I$14:$I$267,0)),""),""))</f>
        <v/>
      </c>
      <c r="BJ344" s="389" t="str">
        <f t="array" ref="BJ344">IF($X344="","",SWITCH($W344,3,IFERROR(INDEX('Lớp 3 - Công việc chính'!$AR$14:$AR$73,MATCH($X344,'Lớp 3 - Công việc chính'!$I$14:$I$73,0)),""),4,IFERROR(INDEX('Lớp 4 - Danh mục'!$AU$14:$AU$132,MATCH($X344,'Lớp 4 - Danh mục'!$I$14:$I$132,0)),""),5,IFERROR(INDEX('Lớp 5 - Phân công'!$AV$14:$AV$262,MATCH($X344,'Lớp 5 - Phân công'!$I$14:$I$262,0)),""),6,IFERROR(INDEX('Lớp 6 - Chi tiết'!$AY$14:$AY$267,MATCH($X344,'Lớp 6 - Chi tiết'!$I$14:$I$267,0)),""),""))</f>
        <v/>
      </c>
    </row>
    <row r="345" ht="15.75" customHeight="1">
      <c r="A345" s="294" t="str">
        <f t="shared" si="12"/>
        <v/>
      </c>
      <c r="B345" s="301" t="str">
        <f t="shared" si="13"/>
        <v/>
      </c>
      <c r="C345" s="301" t="str">
        <f t="shared" si="14"/>
        <v/>
      </c>
      <c r="D345" s="301" t="str">
        <f t="shared" si="15"/>
        <v/>
      </c>
      <c r="E345" s="301" t="str">
        <f t="shared" si="16"/>
        <v/>
      </c>
      <c r="F345" s="317" t="str">
        <f t="shared" si="17"/>
        <v/>
      </c>
      <c r="G345" s="323" t="str">
        <f t="shared" si="18"/>
        <v/>
      </c>
      <c r="H345" s="327" t="str">
        <f t="shared" si="19"/>
        <v/>
      </c>
      <c r="I345" s="327" t="str">
        <f t="shared" si="20"/>
        <v/>
      </c>
      <c r="J345" s="301" t="str">
        <f t="shared" si="21"/>
        <v/>
      </c>
      <c r="K345" s="301" t="str">
        <f t="shared" si="22"/>
        <v/>
      </c>
      <c r="L345" s="344" t="str">
        <f t="array" ref="L345">IF($T345="","",LET(m,MATCH($T345,$AS$24:$AS$700,0),lvl,INDEX($W$24:$W$700,m),id,INDEX($X$24:$X$700,m),SWITCH(lvl,3,"Lớp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5" s="351" t="str">
        <f t="shared" si="23"/>
        <v/>
      </c>
      <c r="N345" s="356" t="str">
        <f t="shared" si="24"/>
        <v/>
      </c>
      <c r="O345" s="358"/>
      <c r="P345" s="360"/>
      <c r="Q345" s="360"/>
      <c r="R345" s="67"/>
      <c r="S345" s="67"/>
      <c r="T345" s="67"/>
      <c r="U345" s="389" t="str">
        <f>IF('Lớp 5 - Phân công'!I156="","",'Lớp 5 - Phân công'!K156&amp;"|"&amp;'Lớp 5 - Phân công'!J156&amp;"|"&amp;'Lớp 5 - Phân công'!I156)</f>
        <v/>
      </c>
      <c r="V345" s="389" t="str">
        <f>IF('Lớp 5 - Phân công'!I156="","","       ├─ "&amp;'Lớp 5 - Phân công'!Q156)</f>
        <v/>
      </c>
      <c r="W345" s="389" t="str">
        <f>IF('Lớp 5 - Phân công'!I156="","",5)</f>
        <v/>
      </c>
      <c r="X345" s="67" t="str">
        <f>'Lớp 5 - Phân công'!I156</f>
        <v/>
      </c>
      <c r="Y345" s="67" t="str">
        <f>'Lớp 5 - Phân công'!J156</f>
        <v/>
      </c>
      <c r="Z345" s="67" t="str">
        <f>'Lớp 5 - Phân công'!AA156</f>
        <v/>
      </c>
      <c r="AA345" s="67" t="str">
        <f>'Lớp 5 - Phân công'!Z156</f>
        <v/>
      </c>
      <c r="AB345" s="67" t="str">
        <f>'Lớp 5 - Phân công'!AC156</f>
        <v/>
      </c>
      <c r="AC345" s="67" t="str">
        <f>'Lớp 5 - Phân công'!AB156</f>
        <v/>
      </c>
      <c r="AD345" s="398" t="str">
        <f>'Lớp 5 - Phân công'!AG156</f>
        <v/>
      </c>
      <c r="AE345" s="358" t="str">
        <f>'Lớp 5 - Phân công'!AE156</f>
        <v/>
      </c>
      <c r="AF345" s="187" t="str">
        <f>'Lớp 5 - Phân công'!AH156</f>
        <v/>
      </c>
      <c r="AG345" s="104" t="str">
        <f>'Lớp 5 - Phân công'!AI156</f>
        <v/>
      </c>
      <c r="AH345" s="389" t="str">
        <f t="shared" si="27"/>
        <v/>
      </c>
      <c r="AI345" s="389" t="str">
        <f t="shared" si="37"/>
        <v>🔵 Chưa có hạn</v>
      </c>
      <c r="AJ345" s="67" t="str">
        <f>'Lớp 5 - Phân công'!AL156</f>
        <v/>
      </c>
      <c r="AS345" s="389" t="str">
        <f t="shared" si="217"/>
        <v/>
      </c>
      <c r="AT345" s="389" t="str">
        <f t="shared" si="32"/>
        <v/>
      </c>
      <c r="AU345" s="389" t="str">
        <f t="shared" si="33"/>
        <v/>
      </c>
      <c r="AV345" s="389" t="str">
        <f t="shared" si="34"/>
        <v/>
      </c>
      <c r="AW345" s="389" t="str">
        <f t="shared" si="35"/>
        <v/>
      </c>
      <c r="AX345" s="67" t="str">
        <f t="shared" ref="AX345:BH345" si="359">Z345</f>
        <v/>
      </c>
      <c r="AY345" s="67" t="str">
        <f t="shared" si="359"/>
        <v/>
      </c>
      <c r="AZ345" s="67" t="str">
        <f t="shared" si="359"/>
        <v/>
      </c>
      <c r="BA345" s="67" t="str">
        <f t="shared" si="359"/>
        <v/>
      </c>
      <c r="BB345" s="398" t="str">
        <f t="shared" si="359"/>
        <v/>
      </c>
      <c r="BC345" s="358" t="str">
        <f t="shared" si="359"/>
        <v/>
      </c>
      <c r="BD345" s="187" t="str">
        <f t="shared" si="359"/>
        <v/>
      </c>
      <c r="BE345" s="104" t="str">
        <f t="shared" si="359"/>
        <v/>
      </c>
      <c r="BF345" s="389" t="str">
        <f t="shared" si="359"/>
        <v/>
      </c>
      <c r="BG345" s="389" t="str">
        <f t="shared" si="359"/>
        <v>🔵 Chưa có hạn</v>
      </c>
      <c r="BH345" s="67" t="str">
        <f t="shared" si="359"/>
        <v/>
      </c>
      <c r="BI345" s="389" t="str">
        <f t="array" ref="BI345">IF($X345="","",SWITCH($W345,3,IFERROR(INDEX('Lớp 3 - Công việc chính'!$AF$14:$AF$73,MATCH($X345,'Lớp 3 - Công việc chính'!$I$14:$I$73,0)),""),4,IFERROR(INDEX('Lớp 4 - Danh mục'!$AI$14:$AI$132,MATCH($X345,'Lớp 4 - Danh mục'!$I$14:$I$132,0)),""),5,IFERROR(INDEX('Lớp 5 - Phân công'!$AJ$14:$AJ$262,MATCH($X345,'Lớp 5 - Phân công'!$I$14:$I$262,0)),""),6,IFERROR(INDEX('Lớp 6 - Chi tiết'!$AM$14:$AM$267,MATCH($X345,'Lớp 6 - Chi tiết'!$I$14:$I$267,0)),""),""))</f>
        <v/>
      </c>
      <c r="BJ345" s="389" t="str">
        <f t="array" ref="BJ345">IF($X345="","",SWITCH($W345,3,IFERROR(INDEX('Lớp 3 - Công việc chính'!$AR$14:$AR$73,MATCH($X345,'Lớp 3 - Công việc chính'!$I$14:$I$73,0)),""),4,IFERROR(INDEX('Lớp 4 - Danh mục'!$AU$14:$AU$132,MATCH($X345,'Lớp 4 - Danh mục'!$I$14:$I$132,0)),""),5,IFERROR(INDEX('Lớp 5 - Phân công'!$AV$14:$AV$262,MATCH($X345,'Lớp 5 - Phân công'!$I$14:$I$262,0)),""),6,IFERROR(INDEX('Lớp 6 - Chi tiết'!$AY$14:$AY$267,MATCH($X345,'Lớp 6 - Chi tiết'!$I$14:$I$267,0)),""),""))</f>
        <v/>
      </c>
    </row>
    <row r="346" ht="15.75" customHeight="1">
      <c r="A346" s="294" t="str">
        <f t="shared" si="12"/>
        <v/>
      </c>
      <c r="B346" s="301" t="str">
        <f t="shared" si="13"/>
        <v/>
      </c>
      <c r="C346" s="301" t="str">
        <f t="shared" si="14"/>
        <v/>
      </c>
      <c r="D346" s="301" t="str">
        <f t="shared" si="15"/>
        <v/>
      </c>
      <c r="E346" s="301" t="str">
        <f t="shared" si="16"/>
        <v/>
      </c>
      <c r="F346" s="317" t="str">
        <f t="shared" si="17"/>
        <v/>
      </c>
      <c r="G346" s="323" t="str">
        <f t="shared" si="18"/>
        <v/>
      </c>
      <c r="H346" s="327" t="str">
        <f t="shared" si="19"/>
        <v/>
      </c>
      <c r="I346" s="327" t="str">
        <f t="shared" si="20"/>
        <v/>
      </c>
      <c r="J346" s="301" t="str">
        <f t="shared" si="21"/>
        <v/>
      </c>
      <c r="K346" s="301" t="str">
        <f t="shared" si="22"/>
        <v/>
      </c>
      <c r="L346" s="344" t="str">
        <f t="array" ref="L346">IF($T346="","",LET(m,MATCH($T346,$AS$24:$AS$700,0),lvl,INDEX($W$24:$W$700,m),id,INDEX($X$24:$X$700,m),SWITCH(lvl,3,"Lớp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6" s="351" t="str">
        <f t="shared" si="23"/>
        <v/>
      </c>
      <c r="N346" s="356" t="str">
        <f t="shared" si="24"/>
        <v/>
      </c>
      <c r="O346" s="358"/>
      <c r="P346" s="360"/>
      <c r="Q346" s="360"/>
      <c r="R346" s="67"/>
      <c r="S346" s="67"/>
      <c r="T346" s="67"/>
      <c r="U346" s="389" t="str">
        <f>IF('Lớp 5 - Phân công'!I157="","",'Lớp 5 - Phân công'!K157&amp;"|"&amp;'Lớp 5 - Phân công'!J157&amp;"|"&amp;'Lớp 5 - Phân công'!I157)</f>
        <v/>
      </c>
      <c r="V346" s="389" t="str">
        <f>IF('Lớp 5 - Phân công'!I157="","","       ├─ "&amp;'Lớp 5 - Phân công'!Q157)</f>
        <v/>
      </c>
      <c r="W346" s="389" t="str">
        <f>IF('Lớp 5 - Phân công'!I157="","",5)</f>
        <v/>
      </c>
      <c r="X346" s="67" t="str">
        <f>'Lớp 5 - Phân công'!I157</f>
        <v/>
      </c>
      <c r="Y346" s="67" t="str">
        <f>'Lớp 5 - Phân công'!J157</f>
        <v/>
      </c>
      <c r="Z346" s="67" t="str">
        <f>'Lớp 5 - Phân công'!AA157</f>
        <v/>
      </c>
      <c r="AA346" s="67" t="str">
        <f>'Lớp 5 - Phân công'!Z157</f>
        <v/>
      </c>
      <c r="AB346" s="67" t="str">
        <f>'Lớp 5 - Phân công'!AC157</f>
        <v/>
      </c>
      <c r="AC346" s="67" t="str">
        <f>'Lớp 5 - Phân công'!AB157</f>
        <v/>
      </c>
      <c r="AD346" s="398" t="str">
        <f>'Lớp 5 - Phân công'!AG157</f>
        <v/>
      </c>
      <c r="AE346" s="358" t="str">
        <f>'Lớp 5 - Phân công'!AE157</f>
        <v/>
      </c>
      <c r="AF346" s="187" t="str">
        <f>'Lớp 5 - Phân công'!AH157</f>
        <v/>
      </c>
      <c r="AG346" s="104" t="str">
        <f>'Lớp 5 - Phân công'!AI157</f>
        <v/>
      </c>
      <c r="AH346" s="389" t="str">
        <f t="shared" si="27"/>
        <v/>
      </c>
      <c r="AI346" s="389" t="str">
        <f t="shared" si="37"/>
        <v>🔵 Chưa có hạn</v>
      </c>
      <c r="AJ346" s="67" t="str">
        <f>'Lớp 5 - Phân công'!AL157</f>
        <v/>
      </c>
      <c r="AS346" s="389" t="str">
        <f t="shared" si="217"/>
        <v/>
      </c>
      <c r="AT346" s="389" t="str">
        <f t="shared" si="32"/>
        <v/>
      </c>
      <c r="AU346" s="389" t="str">
        <f t="shared" si="33"/>
        <v/>
      </c>
      <c r="AV346" s="389" t="str">
        <f t="shared" si="34"/>
        <v/>
      </c>
      <c r="AW346" s="389" t="str">
        <f t="shared" si="35"/>
        <v/>
      </c>
      <c r="AX346" s="67" t="str">
        <f t="shared" ref="AX346:BH346" si="360">Z346</f>
        <v/>
      </c>
      <c r="AY346" s="67" t="str">
        <f t="shared" si="360"/>
        <v/>
      </c>
      <c r="AZ346" s="67" t="str">
        <f t="shared" si="360"/>
        <v/>
      </c>
      <c r="BA346" s="67" t="str">
        <f t="shared" si="360"/>
        <v/>
      </c>
      <c r="BB346" s="398" t="str">
        <f t="shared" si="360"/>
        <v/>
      </c>
      <c r="BC346" s="358" t="str">
        <f t="shared" si="360"/>
        <v/>
      </c>
      <c r="BD346" s="187" t="str">
        <f t="shared" si="360"/>
        <v/>
      </c>
      <c r="BE346" s="104" t="str">
        <f t="shared" si="360"/>
        <v/>
      </c>
      <c r="BF346" s="389" t="str">
        <f t="shared" si="360"/>
        <v/>
      </c>
      <c r="BG346" s="389" t="str">
        <f t="shared" si="360"/>
        <v>🔵 Chưa có hạn</v>
      </c>
      <c r="BH346" s="67" t="str">
        <f t="shared" si="360"/>
        <v/>
      </c>
      <c r="BI346" s="389" t="str">
        <f t="array" ref="BI346">IF($X346="","",SWITCH($W346,3,IFERROR(INDEX('Lớp 3 - Công việc chính'!$AF$14:$AF$73,MATCH($X346,'Lớp 3 - Công việc chính'!$I$14:$I$73,0)),""),4,IFERROR(INDEX('Lớp 4 - Danh mục'!$AI$14:$AI$132,MATCH($X346,'Lớp 4 - Danh mục'!$I$14:$I$132,0)),""),5,IFERROR(INDEX('Lớp 5 - Phân công'!$AJ$14:$AJ$262,MATCH($X346,'Lớp 5 - Phân công'!$I$14:$I$262,0)),""),6,IFERROR(INDEX('Lớp 6 - Chi tiết'!$AM$14:$AM$267,MATCH($X346,'Lớp 6 - Chi tiết'!$I$14:$I$267,0)),""),""))</f>
        <v/>
      </c>
      <c r="BJ346" s="389" t="str">
        <f t="array" ref="BJ346">IF($X346="","",SWITCH($W346,3,IFERROR(INDEX('Lớp 3 - Công việc chính'!$AR$14:$AR$73,MATCH($X346,'Lớp 3 - Công việc chính'!$I$14:$I$73,0)),""),4,IFERROR(INDEX('Lớp 4 - Danh mục'!$AU$14:$AU$132,MATCH($X346,'Lớp 4 - Danh mục'!$I$14:$I$132,0)),""),5,IFERROR(INDEX('Lớp 5 - Phân công'!$AV$14:$AV$262,MATCH($X346,'Lớp 5 - Phân công'!$I$14:$I$262,0)),""),6,IFERROR(INDEX('Lớp 6 - Chi tiết'!$AY$14:$AY$267,MATCH($X346,'Lớp 6 - Chi tiết'!$I$14:$I$267,0)),""),""))</f>
        <v/>
      </c>
    </row>
    <row r="347" ht="15.75" customHeight="1">
      <c r="A347" s="294" t="str">
        <f t="shared" si="12"/>
        <v/>
      </c>
      <c r="B347" s="301" t="str">
        <f t="shared" si="13"/>
        <v/>
      </c>
      <c r="C347" s="301" t="str">
        <f t="shared" si="14"/>
        <v/>
      </c>
      <c r="D347" s="301" t="str">
        <f t="shared" si="15"/>
        <v/>
      </c>
      <c r="E347" s="301" t="str">
        <f t="shared" si="16"/>
        <v/>
      </c>
      <c r="F347" s="317" t="str">
        <f t="shared" si="17"/>
        <v/>
      </c>
      <c r="G347" s="323" t="str">
        <f t="shared" si="18"/>
        <v/>
      </c>
      <c r="H347" s="327" t="str">
        <f t="shared" si="19"/>
        <v/>
      </c>
      <c r="I347" s="327" t="str">
        <f t="shared" si="20"/>
        <v/>
      </c>
      <c r="J347" s="301" t="str">
        <f t="shared" si="21"/>
        <v/>
      </c>
      <c r="K347" s="301" t="str">
        <f t="shared" si="22"/>
        <v/>
      </c>
      <c r="L347" s="344" t="str">
        <f t="array" ref="L347">IF($T347="","",LET(m,MATCH($T347,$AS$24:$AS$700,0),lvl,INDEX($W$24:$W$700,m),id,INDEX($X$24:$X$700,m),SWITCH(lvl,3,"Lớp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7" s="351" t="str">
        <f t="shared" si="23"/>
        <v/>
      </c>
      <c r="N347" s="356" t="str">
        <f t="shared" si="24"/>
        <v/>
      </c>
      <c r="O347" s="358"/>
      <c r="P347" s="360"/>
      <c r="Q347" s="360"/>
      <c r="R347" s="67"/>
      <c r="S347" s="67"/>
      <c r="T347" s="67"/>
      <c r="U347" s="389" t="str">
        <f>IF('Lớp 5 - Phân công'!I158="","",'Lớp 5 - Phân công'!K158&amp;"|"&amp;'Lớp 5 - Phân công'!J158&amp;"|"&amp;'Lớp 5 - Phân công'!I158)</f>
        <v/>
      </c>
      <c r="V347" s="389" t="str">
        <f>IF('Lớp 5 - Phân công'!I158="","","       ├─ "&amp;'Lớp 5 - Phân công'!Q158)</f>
        <v/>
      </c>
      <c r="W347" s="389" t="str">
        <f>IF('Lớp 5 - Phân công'!I158="","",5)</f>
        <v/>
      </c>
      <c r="X347" s="67" t="str">
        <f>'Lớp 5 - Phân công'!I158</f>
        <v/>
      </c>
      <c r="Y347" s="67" t="str">
        <f>'Lớp 5 - Phân công'!J158</f>
        <v/>
      </c>
      <c r="Z347" s="67" t="str">
        <f>'Lớp 5 - Phân công'!AA158</f>
        <v/>
      </c>
      <c r="AA347" s="67" t="str">
        <f>'Lớp 5 - Phân công'!Z158</f>
        <v/>
      </c>
      <c r="AB347" s="67" t="str">
        <f>'Lớp 5 - Phân công'!AC158</f>
        <v/>
      </c>
      <c r="AC347" s="67" t="str">
        <f>'Lớp 5 - Phân công'!AB158</f>
        <v/>
      </c>
      <c r="AD347" s="398" t="str">
        <f>'Lớp 5 - Phân công'!AG158</f>
        <v/>
      </c>
      <c r="AE347" s="358" t="str">
        <f>'Lớp 5 - Phân công'!AE158</f>
        <v/>
      </c>
      <c r="AF347" s="187" t="str">
        <f>'Lớp 5 - Phân công'!AH158</f>
        <v/>
      </c>
      <c r="AG347" s="104" t="str">
        <f>'Lớp 5 - Phân công'!AI158</f>
        <v/>
      </c>
      <c r="AH347" s="389" t="str">
        <f t="shared" si="27"/>
        <v/>
      </c>
      <c r="AI347" s="389" t="str">
        <f t="shared" si="37"/>
        <v>🔵 Chưa có hạn</v>
      </c>
      <c r="AJ347" s="67" t="str">
        <f>'Lớp 5 - Phân công'!AL158</f>
        <v/>
      </c>
      <c r="AS347" s="389" t="str">
        <f t="shared" si="217"/>
        <v/>
      </c>
      <c r="AT347" s="389" t="str">
        <f t="shared" si="32"/>
        <v/>
      </c>
      <c r="AU347" s="389" t="str">
        <f t="shared" si="33"/>
        <v/>
      </c>
      <c r="AV347" s="389" t="str">
        <f t="shared" si="34"/>
        <v/>
      </c>
      <c r="AW347" s="389" t="str">
        <f t="shared" si="35"/>
        <v/>
      </c>
      <c r="AX347" s="67" t="str">
        <f t="shared" ref="AX347:BH347" si="361">Z347</f>
        <v/>
      </c>
      <c r="AY347" s="67" t="str">
        <f t="shared" si="361"/>
        <v/>
      </c>
      <c r="AZ347" s="67" t="str">
        <f t="shared" si="361"/>
        <v/>
      </c>
      <c r="BA347" s="67" t="str">
        <f t="shared" si="361"/>
        <v/>
      </c>
      <c r="BB347" s="398" t="str">
        <f t="shared" si="361"/>
        <v/>
      </c>
      <c r="BC347" s="358" t="str">
        <f t="shared" si="361"/>
        <v/>
      </c>
      <c r="BD347" s="187" t="str">
        <f t="shared" si="361"/>
        <v/>
      </c>
      <c r="BE347" s="104" t="str">
        <f t="shared" si="361"/>
        <v/>
      </c>
      <c r="BF347" s="389" t="str">
        <f t="shared" si="361"/>
        <v/>
      </c>
      <c r="BG347" s="389" t="str">
        <f t="shared" si="361"/>
        <v>🔵 Chưa có hạn</v>
      </c>
      <c r="BH347" s="67" t="str">
        <f t="shared" si="361"/>
        <v/>
      </c>
      <c r="BI347" s="389" t="str">
        <f t="array" ref="BI347">IF($X347="","",SWITCH($W347,3,IFERROR(INDEX('Lớp 3 - Công việc chính'!$AF$14:$AF$73,MATCH($X347,'Lớp 3 - Công việc chính'!$I$14:$I$73,0)),""),4,IFERROR(INDEX('Lớp 4 - Danh mục'!$AI$14:$AI$132,MATCH($X347,'Lớp 4 - Danh mục'!$I$14:$I$132,0)),""),5,IFERROR(INDEX('Lớp 5 - Phân công'!$AJ$14:$AJ$262,MATCH($X347,'Lớp 5 - Phân công'!$I$14:$I$262,0)),""),6,IFERROR(INDEX('Lớp 6 - Chi tiết'!$AM$14:$AM$267,MATCH($X347,'Lớp 6 - Chi tiết'!$I$14:$I$267,0)),""),""))</f>
        <v/>
      </c>
      <c r="BJ347" s="389" t="str">
        <f t="array" ref="BJ347">IF($X347="","",SWITCH($W347,3,IFERROR(INDEX('Lớp 3 - Công việc chính'!$AR$14:$AR$73,MATCH($X347,'Lớp 3 - Công việc chính'!$I$14:$I$73,0)),""),4,IFERROR(INDEX('Lớp 4 - Danh mục'!$AU$14:$AU$132,MATCH($X347,'Lớp 4 - Danh mục'!$I$14:$I$132,0)),""),5,IFERROR(INDEX('Lớp 5 - Phân công'!$AV$14:$AV$262,MATCH($X347,'Lớp 5 - Phân công'!$I$14:$I$262,0)),""),6,IFERROR(INDEX('Lớp 6 - Chi tiết'!$AY$14:$AY$267,MATCH($X347,'Lớp 6 - Chi tiết'!$I$14:$I$267,0)),""),""))</f>
        <v/>
      </c>
    </row>
    <row r="348" ht="15.75" customHeight="1">
      <c r="A348" s="294" t="str">
        <f t="shared" si="12"/>
        <v/>
      </c>
      <c r="B348" s="301" t="str">
        <f t="shared" si="13"/>
        <v/>
      </c>
      <c r="C348" s="301" t="str">
        <f t="shared" si="14"/>
        <v/>
      </c>
      <c r="D348" s="301" t="str">
        <f t="shared" si="15"/>
        <v/>
      </c>
      <c r="E348" s="301" t="str">
        <f t="shared" si="16"/>
        <v/>
      </c>
      <c r="F348" s="317" t="str">
        <f t="shared" si="17"/>
        <v/>
      </c>
      <c r="G348" s="323" t="str">
        <f t="shared" si="18"/>
        <v/>
      </c>
      <c r="H348" s="327" t="str">
        <f t="shared" si="19"/>
        <v/>
      </c>
      <c r="I348" s="327" t="str">
        <f t="shared" si="20"/>
        <v/>
      </c>
      <c r="J348" s="301" t="str">
        <f t="shared" si="21"/>
        <v/>
      </c>
      <c r="K348" s="301" t="str">
        <f t="shared" si="22"/>
        <v/>
      </c>
      <c r="L348" s="344" t="str">
        <f t="array" ref="L348">IF($T348="","",LET(m,MATCH($T348,$AS$24:$AS$700,0),lvl,INDEX($W$24:$W$700,m),id,INDEX($X$24:$X$700,m),SWITCH(lvl,3,"Lớp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8" s="351" t="str">
        <f t="shared" si="23"/>
        <v/>
      </c>
      <c r="N348" s="356" t="str">
        <f t="shared" si="24"/>
        <v/>
      </c>
      <c r="O348" s="358"/>
      <c r="P348" s="360"/>
      <c r="Q348" s="360"/>
      <c r="R348" s="67"/>
      <c r="S348" s="67"/>
      <c r="T348" s="67"/>
      <c r="U348" s="389" t="str">
        <f>IF('Lớp 5 - Phân công'!I159="","",'Lớp 5 - Phân công'!K159&amp;"|"&amp;'Lớp 5 - Phân công'!J159&amp;"|"&amp;'Lớp 5 - Phân công'!I159)</f>
        <v/>
      </c>
      <c r="V348" s="389" t="str">
        <f>IF('Lớp 5 - Phân công'!I159="","","       ├─ "&amp;'Lớp 5 - Phân công'!Q159)</f>
        <v/>
      </c>
      <c r="W348" s="389" t="str">
        <f>IF('Lớp 5 - Phân công'!I159="","",5)</f>
        <v/>
      </c>
      <c r="X348" s="67" t="str">
        <f>'Lớp 5 - Phân công'!I159</f>
        <v/>
      </c>
      <c r="Y348" s="67" t="str">
        <f>'Lớp 5 - Phân công'!J159</f>
        <v/>
      </c>
      <c r="Z348" s="67" t="str">
        <f>'Lớp 5 - Phân công'!AA159</f>
        <v/>
      </c>
      <c r="AA348" s="67" t="str">
        <f>'Lớp 5 - Phân công'!Z159</f>
        <v/>
      </c>
      <c r="AB348" s="67" t="str">
        <f>'Lớp 5 - Phân công'!AC159</f>
        <v/>
      </c>
      <c r="AC348" s="67" t="str">
        <f>'Lớp 5 - Phân công'!AB159</f>
        <v/>
      </c>
      <c r="AD348" s="398" t="str">
        <f>'Lớp 5 - Phân công'!AG159</f>
        <v/>
      </c>
      <c r="AE348" s="358" t="str">
        <f>'Lớp 5 - Phân công'!AE159</f>
        <v/>
      </c>
      <c r="AF348" s="187" t="str">
        <f>'Lớp 5 - Phân công'!AH159</f>
        <v/>
      </c>
      <c r="AG348" s="104" t="str">
        <f>'Lớp 5 - Phân công'!AI159</f>
        <v/>
      </c>
      <c r="AH348" s="389" t="str">
        <f t="shared" si="27"/>
        <v/>
      </c>
      <c r="AI348" s="389" t="str">
        <f t="shared" si="37"/>
        <v>🔵 Chưa có hạn</v>
      </c>
      <c r="AJ348" s="67" t="str">
        <f>'Lớp 5 - Phân công'!AL159</f>
        <v/>
      </c>
      <c r="AS348" s="389" t="str">
        <f t="shared" si="217"/>
        <v/>
      </c>
      <c r="AT348" s="389" t="str">
        <f t="shared" si="32"/>
        <v/>
      </c>
      <c r="AU348" s="389" t="str">
        <f t="shared" si="33"/>
        <v/>
      </c>
      <c r="AV348" s="389" t="str">
        <f t="shared" si="34"/>
        <v/>
      </c>
      <c r="AW348" s="389" t="str">
        <f t="shared" si="35"/>
        <v/>
      </c>
      <c r="AX348" s="67" t="str">
        <f t="shared" ref="AX348:BH348" si="362">Z348</f>
        <v/>
      </c>
      <c r="AY348" s="67" t="str">
        <f t="shared" si="362"/>
        <v/>
      </c>
      <c r="AZ348" s="67" t="str">
        <f t="shared" si="362"/>
        <v/>
      </c>
      <c r="BA348" s="67" t="str">
        <f t="shared" si="362"/>
        <v/>
      </c>
      <c r="BB348" s="398" t="str">
        <f t="shared" si="362"/>
        <v/>
      </c>
      <c r="BC348" s="358" t="str">
        <f t="shared" si="362"/>
        <v/>
      </c>
      <c r="BD348" s="187" t="str">
        <f t="shared" si="362"/>
        <v/>
      </c>
      <c r="BE348" s="104" t="str">
        <f t="shared" si="362"/>
        <v/>
      </c>
      <c r="BF348" s="389" t="str">
        <f t="shared" si="362"/>
        <v/>
      </c>
      <c r="BG348" s="389" t="str">
        <f t="shared" si="362"/>
        <v>🔵 Chưa có hạn</v>
      </c>
      <c r="BH348" s="67" t="str">
        <f t="shared" si="362"/>
        <v/>
      </c>
      <c r="BI348" s="389" t="str">
        <f t="array" ref="BI348">IF($X348="","",SWITCH($W348,3,IFERROR(INDEX('Lớp 3 - Công việc chính'!$AF$14:$AF$73,MATCH($X348,'Lớp 3 - Công việc chính'!$I$14:$I$73,0)),""),4,IFERROR(INDEX('Lớp 4 - Danh mục'!$AI$14:$AI$132,MATCH($X348,'Lớp 4 - Danh mục'!$I$14:$I$132,0)),""),5,IFERROR(INDEX('Lớp 5 - Phân công'!$AJ$14:$AJ$262,MATCH($X348,'Lớp 5 - Phân công'!$I$14:$I$262,0)),""),6,IFERROR(INDEX('Lớp 6 - Chi tiết'!$AM$14:$AM$267,MATCH($X348,'Lớp 6 - Chi tiết'!$I$14:$I$267,0)),""),""))</f>
        <v/>
      </c>
      <c r="BJ348" s="389" t="str">
        <f t="array" ref="BJ348">IF($X348="","",SWITCH($W348,3,IFERROR(INDEX('Lớp 3 - Công việc chính'!$AR$14:$AR$73,MATCH($X348,'Lớp 3 - Công việc chính'!$I$14:$I$73,0)),""),4,IFERROR(INDEX('Lớp 4 - Danh mục'!$AU$14:$AU$132,MATCH($X348,'Lớp 4 - Danh mục'!$I$14:$I$132,0)),""),5,IFERROR(INDEX('Lớp 5 - Phân công'!$AV$14:$AV$262,MATCH($X348,'Lớp 5 - Phân công'!$I$14:$I$262,0)),""),6,IFERROR(INDEX('Lớp 6 - Chi tiết'!$AY$14:$AY$267,MATCH($X348,'Lớp 6 - Chi tiết'!$I$14:$I$267,0)),""),""))</f>
        <v/>
      </c>
    </row>
    <row r="349" ht="15.75" customHeight="1">
      <c r="A349" s="294" t="str">
        <f t="shared" si="12"/>
        <v/>
      </c>
      <c r="B349" s="301" t="str">
        <f t="shared" si="13"/>
        <v/>
      </c>
      <c r="C349" s="301" t="str">
        <f t="shared" si="14"/>
        <v/>
      </c>
      <c r="D349" s="301" t="str">
        <f t="shared" si="15"/>
        <v/>
      </c>
      <c r="E349" s="301" t="str">
        <f t="shared" si="16"/>
        <v/>
      </c>
      <c r="F349" s="317" t="str">
        <f t="shared" si="17"/>
        <v/>
      </c>
      <c r="G349" s="323" t="str">
        <f t="shared" si="18"/>
        <v/>
      </c>
      <c r="H349" s="327" t="str">
        <f t="shared" si="19"/>
        <v/>
      </c>
      <c r="I349" s="327" t="str">
        <f t="shared" si="20"/>
        <v/>
      </c>
      <c r="J349" s="301" t="str">
        <f t="shared" si="21"/>
        <v/>
      </c>
      <c r="K349" s="301" t="str">
        <f t="shared" si="22"/>
        <v/>
      </c>
      <c r="L349" s="344" t="str">
        <f t="array" ref="L349">IF($T349="","",LET(m,MATCH($T349,$AS$24:$AS$700,0),lvl,INDEX($W$24:$W$700,m),id,INDEX($X$24:$X$700,m),SWITCH(lvl,3,"Lớp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49" s="351" t="str">
        <f t="shared" si="23"/>
        <v/>
      </c>
      <c r="N349" s="356" t="str">
        <f t="shared" si="24"/>
        <v/>
      </c>
      <c r="O349" s="358"/>
      <c r="P349" s="360"/>
      <c r="Q349" s="360"/>
      <c r="R349" s="67"/>
      <c r="S349" s="67"/>
      <c r="T349" s="67"/>
      <c r="U349" s="389" t="str">
        <f>IF('Lớp 5 - Phân công'!I160="","",'Lớp 5 - Phân công'!K160&amp;"|"&amp;'Lớp 5 - Phân công'!J160&amp;"|"&amp;'Lớp 5 - Phân công'!I160)</f>
        <v/>
      </c>
      <c r="V349" s="389" t="str">
        <f>IF('Lớp 5 - Phân công'!I160="","","       ├─ "&amp;'Lớp 5 - Phân công'!Q160)</f>
        <v/>
      </c>
      <c r="W349" s="389" t="str">
        <f>IF('Lớp 5 - Phân công'!I160="","",5)</f>
        <v/>
      </c>
      <c r="X349" s="67" t="str">
        <f>'Lớp 5 - Phân công'!I160</f>
        <v/>
      </c>
      <c r="Y349" s="67" t="str">
        <f>'Lớp 5 - Phân công'!J160</f>
        <v/>
      </c>
      <c r="Z349" s="67" t="str">
        <f>'Lớp 5 - Phân công'!AA160</f>
        <v/>
      </c>
      <c r="AA349" s="67" t="str">
        <f>'Lớp 5 - Phân công'!Z160</f>
        <v/>
      </c>
      <c r="AB349" s="67" t="str">
        <f>'Lớp 5 - Phân công'!AC160</f>
        <v/>
      </c>
      <c r="AC349" s="67" t="str">
        <f>'Lớp 5 - Phân công'!AB160</f>
        <v/>
      </c>
      <c r="AD349" s="398" t="str">
        <f>'Lớp 5 - Phân công'!AG160</f>
        <v/>
      </c>
      <c r="AE349" s="358" t="str">
        <f>'Lớp 5 - Phân công'!AE160</f>
        <v/>
      </c>
      <c r="AF349" s="187" t="str">
        <f>'Lớp 5 - Phân công'!AH160</f>
        <v/>
      </c>
      <c r="AG349" s="104" t="str">
        <f>'Lớp 5 - Phân công'!AI160</f>
        <v/>
      </c>
      <c r="AH349" s="389" t="str">
        <f t="shared" si="27"/>
        <v/>
      </c>
      <c r="AI349" s="389" t="str">
        <f t="shared" si="37"/>
        <v>🔵 Chưa có hạn</v>
      </c>
      <c r="AJ349" s="67" t="str">
        <f>'Lớp 5 - Phân công'!AL160</f>
        <v/>
      </c>
      <c r="AS349" s="389" t="str">
        <f t="shared" si="217"/>
        <v/>
      </c>
      <c r="AT349" s="389" t="str">
        <f t="shared" si="32"/>
        <v/>
      </c>
      <c r="AU349" s="389" t="str">
        <f t="shared" si="33"/>
        <v/>
      </c>
      <c r="AV349" s="389" t="str">
        <f t="shared" si="34"/>
        <v/>
      </c>
      <c r="AW349" s="389" t="str">
        <f t="shared" si="35"/>
        <v/>
      </c>
      <c r="AX349" s="67" t="str">
        <f t="shared" ref="AX349:BH349" si="363">Z349</f>
        <v/>
      </c>
      <c r="AY349" s="67" t="str">
        <f t="shared" si="363"/>
        <v/>
      </c>
      <c r="AZ349" s="67" t="str">
        <f t="shared" si="363"/>
        <v/>
      </c>
      <c r="BA349" s="67" t="str">
        <f t="shared" si="363"/>
        <v/>
      </c>
      <c r="BB349" s="398" t="str">
        <f t="shared" si="363"/>
        <v/>
      </c>
      <c r="BC349" s="358" t="str">
        <f t="shared" si="363"/>
        <v/>
      </c>
      <c r="BD349" s="187" t="str">
        <f t="shared" si="363"/>
        <v/>
      </c>
      <c r="BE349" s="104" t="str">
        <f t="shared" si="363"/>
        <v/>
      </c>
      <c r="BF349" s="389" t="str">
        <f t="shared" si="363"/>
        <v/>
      </c>
      <c r="BG349" s="389" t="str">
        <f t="shared" si="363"/>
        <v>🔵 Chưa có hạn</v>
      </c>
      <c r="BH349" s="67" t="str">
        <f t="shared" si="363"/>
        <v/>
      </c>
      <c r="BI349" s="389" t="str">
        <f t="array" ref="BI349">IF($X349="","",SWITCH($W349,3,IFERROR(INDEX('Lớp 3 - Công việc chính'!$AF$14:$AF$73,MATCH($X349,'Lớp 3 - Công việc chính'!$I$14:$I$73,0)),""),4,IFERROR(INDEX('Lớp 4 - Danh mục'!$AI$14:$AI$132,MATCH($X349,'Lớp 4 - Danh mục'!$I$14:$I$132,0)),""),5,IFERROR(INDEX('Lớp 5 - Phân công'!$AJ$14:$AJ$262,MATCH($X349,'Lớp 5 - Phân công'!$I$14:$I$262,0)),""),6,IFERROR(INDEX('Lớp 6 - Chi tiết'!$AM$14:$AM$267,MATCH($X349,'Lớp 6 - Chi tiết'!$I$14:$I$267,0)),""),""))</f>
        <v/>
      </c>
      <c r="BJ349" s="389" t="str">
        <f t="array" ref="BJ349">IF($X349="","",SWITCH($W349,3,IFERROR(INDEX('Lớp 3 - Công việc chính'!$AR$14:$AR$73,MATCH($X349,'Lớp 3 - Công việc chính'!$I$14:$I$73,0)),""),4,IFERROR(INDEX('Lớp 4 - Danh mục'!$AU$14:$AU$132,MATCH($X349,'Lớp 4 - Danh mục'!$I$14:$I$132,0)),""),5,IFERROR(INDEX('Lớp 5 - Phân công'!$AV$14:$AV$262,MATCH($X349,'Lớp 5 - Phân công'!$I$14:$I$262,0)),""),6,IFERROR(INDEX('Lớp 6 - Chi tiết'!$AY$14:$AY$267,MATCH($X349,'Lớp 6 - Chi tiết'!$I$14:$I$267,0)),""),""))</f>
        <v/>
      </c>
    </row>
    <row r="350" ht="15.75" customHeight="1">
      <c r="A350" s="294" t="str">
        <f t="shared" si="12"/>
        <v/>
      </c>
      <c r="B350" s="301" t="str">
        <f t="shared" si="13"/>
        <v/>
      </c>
      <c r="C350" s="301" t="str">
        <f t="shared" si="14"/>
        <v/>
      </c>
      <c r="D350" s="301" t="str">
        <f t="shared" si="15"/>
        <v/>
      </c>
      <c r="E350" s="301" t="str">
        <f t="shared" si="16"/>
        <v/>
      </c>
      <c r="F350" s="317" t="str">
        <f t="shared" si="17"/>
        <v/>
      </c>
      <c r="G350" s="323" t="str">
        <f t="shared" si="18"/>
        <v/>
      </c>
      <c r="H350" s="327" t="str">
        <f t="shared" si="19"/>
        <v/>
      </c>
      <c r="I350" s="327" t="str">
        <f t="shared" si="20"/>
        <v/>
      </c>
      <c r="J350" s="301" t="str">
        <f t="shared" si="21"/>
        <v/>
      </c>
      <c r="K350" s="301" t="str">
        <f t="shared" si="22"/>
        <v/>
      </c>
      <c r="L350" s="344" t="str">
        <f t="array" ref="L350">IF($T350="","",LET(m,MATCH($T350,$AS$24:$AS$700,0),lvl,INDEX($W$24:$W$700,m),id,INDEX($X$24:$X$700,m),SWITCH(lvl,3,"Lớp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0" s="351" t="str">
        <f t="shared" si="23"/>
        <v/>
      </c>
      <c r="N350" s="356" t="str">
        <f t="shared" si="24"/>
        <v/>
      </c>
      <c r="O350" s="358"/>
      <c r="P350" s="360"/>
      <c r="Q350" s="360"/>
      <c r="R350" s="67"/>
      <c r="S350" s="67"/>
      <c r="T350" s="67"/>
      <c r="U350" s="389" t="str">
        <f>IF('Lớp 5 - Phân công'!I161="","",'Lớp 5 - Phân công'!K161&amp;"|"&amp;'Lớp 5 - Phân công'!J161&amp;"|"&amp;'Lớp 5 - Phân công'!I161)</f>
        <v/>
      </c>
      <c r="V350" s="389" t="str">
        <f>IF('Lớp 5 - Phân công'!I161="","","       ├─ "&amp;'Lớp 5 - Phân công'!Q161)</f>
        <v/>
      </c>
      <c r="W350" s="389" t="str">
        <f>IF('Lớp 5 - Phân công'!I161="","",5)</f>
        <v/>
      </c>
      <c r="X350" s="67" t="str">
        <f>'Lớp 5 - Phân công'!I161</f>
        <v/>
      </c>
      <c r="Y350" s="67" t="str">
        <f>'Lớp 5 - Phân công'!J161</f>
        <v/>
      </c>
      <c r="Z350" s="67" t="str">
        <f>'Lớp 5 - Phân công'!AA161</f>
        <v/>
      </c>
      <c r="AA350" s="67" t="str">
        <f>'Lớp 5 - Phân công'!Z161</f>
        <v/>
      </c>
      <c r="AB350" s="67" t="str">
        <f>'Lớp 5 - Phân công'!AC161</f>
        <v/>
      </c>
      <c r="AC350" s="67" t="str">
        <f>'Lớp 5 - Phân công'!AB161</f>
        <v/>
      </c>
      <c r="AD350" s="398" t="str">
        <f>'Lớp 5 - Phân công'!AG161</f>
        <v/>
      </c>
      <c r="AE350" s="358" t="str">
        <f>'Lớp 5 - Phân công'!AE161</f>
        <v/>
      </c>
      <c r="AF350" s="187" t="str">
        <f>'Lớp 5 - Phân công'!AH161</f>
        <v/>
      </c>
      <c r="AG350" s="104" t="str">
        <f>'Lớp 5 - Phân công'!AI161</f>
        <v/>
      </c>
      <c r="AH350" s="389" t="str">
        <f t="shared" si="27"/>
        <v/>
      </c>
      <c r="AI350" s="389" t="str">
        <f t="shared" si="37"/>
        <v>🔵 Chưa có hạn</v>
      </c>
      <c r="AJ350" s="67" t="str">
        <f>'Lớp 5 - Phân công'!AL161</f>
        <v/>
      </c>
      <c r="AS350" s="389" t="str">
        <f t="shared" si="217"/>
        <v/>
      </c>
      <c r="AT350" s="389" t="str">
        <f t="shared" si="32"/>
        <v/>
      </c>
      <c r="AU350" s="389" t="str">
        <f t="shared" si="33"/>
        <v/>
      </c>
      <c r="AV350" s="389" t="str">
        <f t="shared" si="34"/>
        <v/>
      </c>
      <c r="AW350" s="389" t="str">
        <f t="shared" si="35"/>
        <v/>
      </c>
      <c r="AX350" s="67" t="str">
        <f t="shared" ref="AX350:BH350" si="364">Z350</f>
        <v/>
      </c>
      <c r="AY350" s="67" t="str">
        <f t="shared" si="364"/>
        <v/>
      </c>
      <c r="AZ350" s="67" t="str">
        <f t="shared" si="364"/>
        <v/>
      </c>
      <c r="BA350" s="67" t="str">
        <f t="shared" si="364"/>
        <v/>
      </c>
      <c r="BB350" s="398" t="str">
        <f t="shared" si="364"/>
        <v/>
      </c>
      <c r="BC350" s="358" t="str">
        <f t="shared" si="364"/>
        <v/>
      </c>
      <c r="BD350" s="187" t="str">
        <f t="shared" si="364"/>
        <v/>
      </c>
      <c r="BE350" s="104" t="str">
        <f t="shared" si="364"/>
        <v/>
      </c>
      <c r="BF350" s="389" t="str">
        <f t="shared" si="364"/>
        <v/>
      </c>
      <c r="BG350" s="389" t="str">
        <f t="shared" si="364"/>
        <v>🔵 Chưa có hạn</v>
      </c>
      <c r="BH350" s="67" t="str">
        <f t="shared" si="364"/>
        <v/>
      </c>
      <c r="BI350" s="389" t="str">
        <f t="array" ref="BI350">IF($X350="","",SWITCH($W350,3,IFERROR(INDEX('Lớp 3 - Công việc chính'!$AF$14:$AF$73,MATCH($X350,'Lớp 3 - Công việc chính'!$I$14:$I$73,0)),""),4,IFERROR(INDEX('Lớp 4 - Danh mục'!$AI$14:$AI$132,MATCH($X350,'Lớp 4 - Danh mục'!$I$14:$I$132,0)),""),5,IFERROR(INDEX('Lớp 5 - Phân công'!$AJ$14:$AJ$262,MATCH($X350,'Lớp 5 - Phân công'!$I$14:$I$262,0)),""),6,IFERROR(INDEX('Lớp 6 - Chi tiết'!$AM$14:$AM$267,MATCH($X350,'Lớp 6 - Chi tiết'!$I$14:$I$267,0)),""),""))</f>
        <v/>
      </c>
      <c r="BJ350" s="389" t="str">
        <f t="array" ref="BJ350">IF($X350="","",SWITCH($W350,3,IFERROR(INDEX('Lớp 3 - Công việc chính'!$AR$14:$AR$73,MATCH($X350,'Lớp 3 - Công việc chính'!$I$14:$I$73,0)),""),4,IFERROR(INDEX('Lớp 4 - Danh mục'!$AU$14:$AU$132,MATCH($X350,'Lớp 4 - Danh mục'!$I$14:$I$132,0)),""),5,IFERROR(INDEX('Lớp 5 - Phân công'!$AV$14:$AV$262,MATCH($X350,'Lớp 5 - Phân công'!$I$14:$I$262,0)),""),6,IFERROR(INDEX('Lớp 6 - Chi tiết'!$AY$14:$AY$267,MATCH($X350,'Lớp 6 - Chi tiết'!$I$14:$I$267,0)),""),""))</f>
        <v/>
      </c>
    </row>
    <row r="351" ht="15.75" customHeight="1">
      <c r="A351" s="294" t="str">
        <f t="shared" si="12"/>
        <v/>
      </c>
      <c r="B351" s="301" t="str">
        <f t="shared" si="13"/>
        <v/>
      </c>
      <c r="C351" s="301" t="str">
        <f t="shared" si="14"/>
        <v/>
      </c>
      <c r="D351" s="301" t="str">
        <f t="shared" si="15"/>
        <v/>
      </c>
      <c r="E351" s="301" t="str">
        <f t="shared" si="16"/>
        <v/>
      </c>
      <c r="F351" s="317" t="str">
        <f t="shared" si="17"/>
        <v/>
      </c>
      <c r="G351" s="323" t="str">
        <f t="shared" si="18"/>
        <v/>
      </c>
      <c r="H351" s="327" t="str">
        <f t="shared" si="19"/>
        <v/>
      </c>
      <c r="I351" s="327" t="str">
        <f t="shared" si="20"/>
        <v/>
      </c>
      <c r="J351" s="301" t="str">
        <f t="shared" si="21"/>
        <v/>
      </c>
      <c r="K351" s="301" t="str">
        <f t="shared" si="22"/>
        <v/>
      </c>
      <c r="L351" s="344" t="str">
        <f t="array" ref="L351">IF($T351="","",LET(m,MATCH($T351,$AS$24:$AS$700,0),lvl,INDEX($W$24:$W$700,m),id,INDEX($X$24:$X$700,m),SWITCH(lvl,3,"Lớp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1" s="351" t="str">
        <f t="shared" si="23"/>
        <v/>
      </c>
      <c r="N351" s="356" t="str">
        <f t="shared" si="24"/>
        <v/>
      </c>
      <c r="O351" s="358"/>
      <c r="P351" s="360"/>
      <c r="Q351" s="360"/>
      <c r="R351" s="67"/>
      <c r="S351" s="67"/>
      <c r="T351" s="67"/>
      <c r="U351" s="389" t="str">
        <f>IF('Lớp 5 - Phân công'!I162="","",'Lớp 5 - Phân công'!K162&amp;"|"&amp;'Lớp 5 - Phân công'!J162&amp;"|"&amp;'Lớp 5 - Phân công'!I162)</f>
        <v/>
      </c>
      <c r="V351" s="389" t="str">
        <f>IF('Lớp 5 - Phân công'!I162="","","       ├─ "&amp;'Lớp 5 - Phân công'!Q162)</f>
        <v/>
      </c>
      <c r="W351" s="389" t="str">
        <f>IF('Lớp 5 - Phân công'!I162="","",5)</f>
        <v/>
      </c>
      <c r="X351" s="67" t="str">
        <f>'Lớp 5 - Phân công'!I162</f>
        <v/>
      </c>
      <c r="Y351" s="67" t="str">
        <f>'Lớp 5 - Phân công'!J162</f>
        <v/>
      </c>
      <c r="Z351" s="67" t="str">
        <f>'Lớp 5 - Phân công'!AA162</f>
        <v/>
      </c>
      <c r="AA351" s="67" t="str">
        <f>'Lớp 5 - Phân công'!Z162</f>
        <v/>
      </c>
      <c r="AB351" s="67" t="str">
        <f>'Lớp 5 - Phân công'!AC162</f>
        <v/>
      </c>
      <c r="AC351" s="67" t="str">
        <f>'Lớp 5 - Phân công'!AB162</f>
        <v/>
      </c>
      <c r="AD351" s="398" t="str">
        <f>'Lớp 5 - Phân công'!AG162</f>
        <v/>
      </c>
      <c r="AE351" s="358" t="str">
        <f>'Lớp 5 - Phân công'!AE162</f>
        <v/>
      </c>
      <c r="AF351" s="187" t="str">
        <f>'Lớp 5 - Phân công'!AH162</f>
        <v/>
      </c>
      <c r="AG351" s="104" t="str">
        <f>'Lớp 5 - Phân công'!AI162</f>
        <v/>
      </c>
      <c r="AH351" s="389" t="str">
        <f t="shared" si="27"/>
        <v/>
      </c>
      <c r="AI351" s="389" t="str">
        <f t="shared" si="37"/>
        <v>🔵 Chưa có hạn</v>
      </c>
      <c r="AJ351" s="67" t="str">
        <f>'Lớp 5 - Phân công'!AL162</f>
        <v/>
      </c>
      <c r="AS351" s="389" t="str">
        <f t="shared" si="217"/>
        <v/>
      </c>
      <c r="AT351" s="389" t="str">
        <f t="shared" si="32"/>
        <v/>
      </c>
      <c r="AU351" s="389" t="str">
        <f t="shared" si="33"/>
        <v/>
      </c>
      <c r="AV351" s="389" t="str">
        <f t="shared" si="34"/>
        <v/>
      </c>
      <c r="AW351" s="389" t="str">
        <f t="shared" si="35"/>
        <v/>
      </c>
      <c r="AX351" s="67" t="str">
        <f t="shared" ref="AX351:BH351" si="365">Z351</f>
        <v/>
      </c>
      <c r="AY351" s="67" t="str">
        <f t="shared" si="365"/>
        <v/>
      </c>
      <c r="AZ351" s="67" t="str">
        <f t="shared" si="365"/>
        <v/>
      </c>
      <c r="BA351" s="67" t="str">
        <f t="shared" si="365"/>
        <v/>
      </c>
      <c r="BB351" s="398" t="str">
        <f t="shared" si="365"/>
        <v/>
      </c>
      <c r="BC351" s="358" t="str">
        <f t="shared" si="365"/>
        <v/>
      </c>
      <c r="BD351" s="187" t="str">
        <f t="shared" si="365"/>
        <v/>
      </c>
      <c r="BE351" s="104" t="str">
        <f t="shared" si="365"/>
        <v/>
      </c>
      <c r="BF351" s="389" t="str">
        <f t="shared" si="365"/>
        <v/>
      </c>
      <c r="BG351" s="389" t="str">
        <f t="shared" si="365"/>
        <v>🔵 Chưa có hạn</v>
      </c>
      <c r="BH351" s="67" t="str">
        <f t="shared" si="365"/>
        <v/>
      </c>
      <c r="BI351" s="389" t="str">
        <f t="array" ref="BI351">IF($X351="","",SWITCH($W351,3,IFERROR(INDEX('Lớp 3 - Công việc chính'!$AF$14:$AF$73,MATCH($X351,'Lớp 3 - Công việc chính'!$I$14:$I$73,0)),""),4,IFERROR(INDEX('Lớp 4 - Danh mục'!$AI$14:$AI$132,MATCH($X351,'Lớp 4 - Danh mục'!$I$14:$I$132,0)),""),5,IFERROR(INDEX('Lớp 5 - Phân công'!$AJ$14:$AJ$262,MATCH($X351,'Lớp 5 - Phân công'!$I$14:$I$262,0)),""),6,IFERROR(INDEX('Lớp 6 - Chi tiết'!$AM$14:$AM$267,MATCH($X351,'Lớp 6 - Chi tiết'!$I$14:$I$267,0)),""),""))</f>
        <v/>
      </c>
      <c r="BJ351" s="389" t="str">
        <f t="array" ref="BJ351">IF($X351="","",SWITCH($W351,3,IFERROR(INDEX('Lớp 3 - Công việc chính'!$AR$14:$AR$73,MATCH($X351,'Lớp 3 - Công việc chính'!$I$14:$I$73,0)),""),4,IFERROR(INDEX('Lớp 4 - Danh mục'!$AU$14:$AU$132,MATCH($X351,'Lớp 4 - Danh mục'!$I$14:$I$132,0)),""),5,IFERROR(INDEX('Lớp 5 - Phân công'!$AV$14:$AV$262,MATCH($X351,'Lớp 5 - Phân công'!$I$14:$I$262,0)),""),6,IFERROR(INDEX('Lớp 6 - Chi tiết'!$AY$14:$AY$267,MATCH($X351,'Lớp 6 - Chi tiết'!$I$14:$I$267,0)),""),""))</f>
        <v/>
      </c>
    </row>
    <row r="352" ht="15.75" customHeight="1">
      <c r="A352" s="294" t="str">
        <f t="shared" si="12"/>
        <v/>
      </c>
      <c r="B352" s="301" t="str">
        <f t="shared" si="13"/>
        <v/>
      </c>
      <c r="C352" s="301" t="str">
        <f t="shared" si="14"/>
        <v/>
      </c>
      <c r="D352" s="301" t="str">
        <f t="shared" si="15"/>
        <v/>
      </c>
      <c r="E352" s="301" t="str">
        <f t="shared" si="16"/>
        <v/>
      </c>
      <c r="F352" s="317" t="str">
        <f t="shared" si="17"/>
        <v/>
      </c>
      <c r="G352" s="323" t="str">
        <f t="shared" si="18"/>
        <v/>
      </c>
      <c r="H352" s="327" t="str">
        <f t="shared" si="19"/>
        <v/>
      </c>
      <c r="I352" s="327" t="str">
        <f t="shared" si="20"/>
        <v/>
      </c>
      <c r="J352" s="301" t="str">
        <f t="shared" si="21"/>
        <v/>
      </c>
      <c r="K352" s="301" t="str">
        <f t="shared" si="22"/>
        <v/>
      </c>
      <c r="L352" s="344" t="str">
        <f t="array" ref="L352">IF($T352="","",LET(m,MATCH($T352,$AS$24:$AS$700,0),lvl,INDEX($W$24:$W$700,m),id,INDEX($X$24:$X$700,m),SWITCH(lvl,3,"Lớp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2" s="351" t="str">
        <f t="shared" si="23"/>
        <v/>
      </c>
      <c r="N352" s="356" t="str">
        <f t="shared" si="24"/>
        <v/>
      </c>
      <c r="O352" s="358"/>
      <c r="P352" s="360"/>
      <c r="Q352" s="360"/>
      <c r="R352" s="67"/>
      <c r="S352" s="67"/>
      <c r="T352" s="67"/>
      <c r="U352" s="389" t="str">
        <f>IF('Lớp 5 - Phân công'!I163="","",'Lớp 5 - Phân công'!K163&amp;"|"&amp;'Lớp 5 - Phân công'!J163&amp;"|"&amp;'Lớp 5 - Phân công'!I163)</f>
        <v/>
      </c>
      <c r="V352" s="389" t="str">
        <f>IF('Lớp 5 - Phân công'!I163="","","       ├─ "&amp;'Lớp 5 - Phân công'!Q163)</f>
        <v/>
      </c>
      <c r="W352" s="389" t="str">
        <f>IF('Lớp 5 - Phân công'!I163="","",5)</f>
        <v/>
      </c>
      <c r="X352" s="67" t="str">
        <f>'Lớp 5 - Phân công'!I163</f>
        <v/>
      </c>
      <c r="Y352" s="67" t="str">
        <f>'Lớp 5 - Phân công'!J163</f>
        <v/>
      </c>
      <c r="Z352" s="67" t="str">
        <f>'Lớp 5 - Phân công'!AA163</f>
        <v/>
      </c>
      <c r="AA352" s="67" t="str">
        <f>'Lớp 5 - Phân công'!Z163</f>
        <v/>
      </c>
      <c r="AB352" s="67" t="str">
        <f>'Lớp 5 - Phân công'!AC163</f>
        <v/>
      </c>
      <c r="AC352" s="67" t="str">
        <f>'Lớp 5 - Phân công'!AB163</f>
        <v/>
      </c>
      <c r="AD352" s="398" t="str">
        <f>'Lớp 5 - Phân công'!AG163</f>
        <v/>
      </c>
      <c r="AE352" s="358" t="str">
        <f>'Lớp 5 - Phân công'!AE163</f>
        <v/>
      </c>
      <c r="AF352" s="187" t="str">
        <f>'Lớp 5 - Phân công'!AH163</f>
        <v/>
      </c>
      <c r="AG352" s="104" t="str">
        <f>'Lớp 5 - Phân công'!AI163</f>
        <v/>
      </c>
      <c r="AH352" s="389" t="str">
        <f t="shared" si="27"/>
        <v/>
      </c>
      <c r="AI352" s="389" t="str">
        <f t="shared" si="37"/>
        <v>🔵 Chưa có hạn</v>
      </c>
      <c r="AJ352" s="67" t="str">
        <f>'Lớp 5 - Phân công'!AL163</f>
        <v/>
      </c>
      <c r="AS352" s="389" t="str">
        <f t="shared" si="217"/>
        <v/>
      </c>
      <c r="AT352" s="389" t="str">
        <f t="shared" si="32"/>
        <v/>
      </c>
      <c r="AU352" s="389" t="str">
        <f t="shared" si="33"/>
        <v/>
      </c>
      <c r="AV352" s="389" t="str">
        <f t="shared" si="34"/>
        <v/>
      </c>
      <c r="AW352" s="389" t="str">
        <f t="shared" si="35"/>
        <v/>
      </c>
      <c r="AX352" s="67" t="str">
        <f t="shared" ref="AX352:BH352" si="366">Z352</f>
        <v/>
      </c>
      <c r="AY352" s="67" t="str">
        <f t="shared" si="366"/>
        <v/>
      </c>
      <c r="AZ352" s="67" t="str">
        <f t="shared" si="366"/>
        <v/>
      </c>
      <c r="BA352" s="67" t="str">
        <f t="shared" si="366"/>
        <v/>
      </c>
      <c r="BB352" s="398" t="str">
        <f t="shared" si="366"/>
        <v/>
      </c>
      <c r="BC352" s="358" t="str">
        <f t="shared" si="366"/>
        <v/>
      </c>
      <c r="BD352" s="187" t="str">
        <f t="shared" si="366"/>
        <v/>
      </c>
      <c r="BE352" s="104" t="str">
        <f t="shared" si="366"/>
        <v/>
      </c>
      <c r="BF352" s="389" t="str">
        <f t="shared" si="366"/>
        <v/>
      </c>
      <c r="BG352" s="389" t="str">
        <f t="shared" si="366"/>
        <v>🔵 Chưa có hạn</v>
      </c>
      <c r="BH352" s="67" t="str">
        <f t="shared" si="366"/>
        <v/>
      </c>
      <c r="BI352" s="389" t="str">
        <f t="array" ref="BI352">IF($X352="","",SWITCH($W352,3,IFERROR(INDEX('Lớp 3 - Công việc chính'!$AF$14:$AF$73,MATCH($X352,'Lớp 3 - Công việc chính'!$I$14:$I$73,0)),""),4,IFERROR(INDEX('Lớp 4 - Danh mục'!$AI$14:$AI$132,MATCH($X352,'Lớp 4 - Danh mục'!$I$14:$I$132,0)),""),5,IFERROR(INDEX('Lớp 5 - Phân công'!$AJ$14:$AJ$262,MATCH($X352,'Lớp 5 - Phân công'!$I$14:$I$262,0)),""),6,IFERROR(INDEX('Lớp 6 - Chi tiết'!$AM$14:$AM$267,MATCH($X352,'Lớp 6 - Chi tiết'!$I$14:$I$267,0)),""),""))</f>
        <v/>
      </c>
      <c r="BJ352" s="389" t="str">
        <f t="array" ref="BJ352">IF($X352="","",SWITCH($W352,3,IFERROR(INDEX('Lớp 3 - Công việc chính'!$AR$14:$AR$73,MATCH($X352,'Lớp 3 - Công việc chính'!$I$14:$I$73,0)),""),4,IFERROR(INDEX('Lớp 4 - Danh mục'!$AU$14:$AU$132,MATCH($X352,'Lớp 4 - Danh mục'!$I$14:$I$132,0)),""),5,IFERROR(INDEX('Lớp 5 - Phân công'!$AV$14:$AV$262,MATCH($X352,'Lớp 5 - Phân công'!$I$14:$I$262,0)),""),6,IFERROR(INDEX('Lớp 6 - Chi tiết'!$AY$14:$AY$267,MATCH($X352,'Lớp 6 - Chi tiết'!$I$14:$I$267,0)),""),""))</f>
        <v/>
      </c>
    </row>
    <row r="353" ht="15.75" customHeight="1">
      <c r="A353" s="294" t="str">
        <f t="shared" si="12"/>
        <v/>
      </c>
      <c r="B353" s="301" t="str">
        <f t="shared" si="13"/>
        <v/>
      </c>
      <c r="C353" s="301" t="str">
        <f t="shared" si="14"/>
        <v/>
      </c>
      <c r="D353" s="301" t="str">
        <f t="shared" si="15"/>
        <v/>
      </c>
      <c r="E353" s="301" t="str">
        <f t="shared" si="16"/>
        <v/>
      </c>
      <c r="F353" s="317" t="str">
        <f t="shared" si="17"/>
        <v/>
      </c>
      <c r="G353" s="323" t="str">
        <f t="shared" si="18"/>
        <v/>
      </c>
      <c r="H353" s="327" t="str">
        <f t="shared" si="19"/>
        <v/>
      </c>
      <c r="I353" s="327" t="str">
        <f t="shared" si="20"/>
        <v/>
      </c>
      <c r="J353" s="301" t="str">
        <f t="shared" si="21"/>
        <v/>
      </c>
      <c r="K353" s="301" t="str">
        <f t="shared" si="22"/>
        <v/>
      </c>
      <c r="L353" s="344" t="str">
        <f t="array" ref="L353">IF($T353="","",LET(m,MATCH($T353,$AS$24:$AS$700,0),lvl,INDEX($W$24:$W$700,m),id,INDEX($X$24:$X$700,m),SWITCH(lvl,3,"Lớp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3" s="351" t="str">
        <f t="shared" si="23"/>
        <v/>
      </c>
      <c r="N353" s="356" t="str">
        <f t="shared" si="24"/>
        <v/>
      </c>
      <c r="O353" s="358"/>
      <c r="P353" s="360"/>
      <c r="Q353" s="360"/>
      <c r="R353" s="67"/>
      <c r="S353" s="67"/>
      <c r="T353" s="67"/>
      <c r="U353" s="389" t="str">
        <f>IF('Lớp 5 - Phân công'!I164="","",'Lớp 5 - Phân công'!K164&amp;"|"&amp;'Lớp 5 - Phân công'!J164&amp;"|"&amp;'Lớp 5 - Phân công'!I164)</f>
        <v/>
      </c>
      <c r="V353" s="389" t="str">
        <f>IF('Lớp 5 - Phân công'!I164="","","       ├─ "&amp;'Lớp 5 - Phân công'!Q164)</f>
        <v/>
      </c>
      <c r="W353" s="389" t="str">
        <f>IF('Lớp 5 - Phân công'!I164="","",5)</f>
        <v/>
      </c>
      <c r="X353" s="67" t="str">
        <f>'Lớp 5 - Phân công'!I164</f>
        <v/>
      </c>
      <c r="Y353" s="67" t="str">
        <f>'Lớp 5 - Phân công'!J164</f>
        <v/>
      </c>
      <c r="Z353" s="67" t="str">
        <f>'Lớp 5 - Phân công'!AA164</f>
        <v/>
      </c>
      <c r="AA353" s="67" t="str">
        <f>'Lớp 5 - Phân công'!Z164</f>
        <v/>
      </c>
      <c r="AB353" s="67" t="str">
        <f>'Lớp 5 - Phân công'!AC164</f>
        <v/>
      </c>
      <c r="AC353" s="67" t="str">
        <f>'Lớp 5 - Phân công'!AB164</f>
        <v/>
      </c>
      <c r="AD353" s="398" t="str">
        <f>'Lớp 5 - Phân công'!AG164</f>
        <v/>
      </c>
      <c r="AE353" s="358" t="str">
        <f>'Lớp 5 - Phân công'!AE164</f>
        <v/>
      </c>
      <c r="AF353" s="187" t="str">
        <f>'Lớp 5 - Phân công'!AH164</f>
        <v/>
      </c>
      <c r="AG353" s="104" t="str">
        <f>'Lớp 5 - Phân công'!AI164</f>
        <v/>
      </c>
      <c r="AH353" s="389" t="str">
        <f t="shared" si="27"/>
        <v/>
      </c>
      <c r="AI353" s="389" t="str">
        <f t="shared" si="37"/>
        <v>🔵 Chưa có hạn</v>
      </c>
      <c r="AJ353" s="67" t="str">
        <f>'Lớp 5 - Phân công'!AL164</f>
        <v/>
      </c>
      <c r="AS353" s="389" t="str">
        <f t="shared" si="217"/>
        <v/>
      </c>
      <c r="AT353" s="389" t="str">
        <f t="shared" si="32"/>
        <v/>
      </c>
      <c r="AU353" s="389" t="str">
        <f t="shared" si="33"/>
        <v/>
      </c>
      <c r="AV353" s="389" t="str">
        <f t="shared" si="34"/>
        <v/>
      </c>
      <c r="AW353" s="389" t="str">
        <f t="shared" si="35"/>
        <v/>
      </c>
      <c r="AX353" s="67" t="str">
        <f t="shared" ref="AX353:BH353" si="367">Z353</f>
        <v/>
      </c>
      <c r="AY353" s="67" t="str">
        <f t="shared" si="367"/>
        <v/>
      </c>
      <c r="AZ353" s="67" t="str">
        <f t="shared" si="367"/>
        <v/>
      </c>
      <c r="BA353" s="67" t="str">
        <f t="shared" si="367"/>
        <v/>
      </c>
      <c r="BB353" s="398" t="str">
        <f t="shared" si="367"/>
        <v/>
      </c>
      <c r="BC353" s="358" t="str">
        <f t="shared" si="367"/>
        <v/>
      </c>
      <c r="BD353" s="187" t="str">
        <f t="shared" si="367"/>
        <v/>
      </c>
      <c r="BE353" s="104" t="str">
        <f t="shared" si="367"/>
        <v/>
      </c>
      <c r="BF353" s="389" t="str">
        <f t="shared" si="367"/>
        <v/>
      </c>
      <c r="BG353" s="389" t="str">
        <f t="shared" si="367"/>
        <v>🔵 Chưa có hạn</v>
      </c>
      <c r="BH353" s="67" t="str">
        <f t="shared" si="367"/>
        <v/>
      </c>
      <c r="BI353" s="389" t="str">
        <f t="array" ref="BI353">IF($X353="","",SWITCH($W353,3,IFERROR(INDEX('Lớp 3 - Công việc chính'!$AF$14:$AF$73,MATCH($X353,'Lớp 3 - Công việc chính'!$I$14:$I$73,0)),""),4,IFERROR(INDEX('Lớp 4 - Danh mục'!$AI$14:$AI$132,MATCH($X353,'Lớp 4 - Danh mục'!$I$14:$I$132,0)),""),5,IFERROR(INDEX('Lớp 5 - Phân công'!$AJ$14:$AJ$262,MATCH($X353,'Lớp 5 - Phân công'!$I$14:$I$262,0)),""),6,IFERROR(INDEX('Lớp 6 - Chi tiết'!$AM$14:$AM$267,MATCH($X353,'Lớp 6 - Chi tiết'!$I$14:$I$267,0)),""),""))</f>
        <v/>
      </c>
      <c r="BJ353" s="389" t="str">
        <f t="array" ref="BJ353">IF($X353="","",SWITCH($W353,3,IFERROR(INDEX('Lớp 3 - Công việc chính'!$AR$14:$AR$73,MATCH($X353,'Lớp 3 - Công việc chính'!$I$14:$I$73,0)),""),4,IFERROR(INDEX('Lớp 4 - Danh mục'!$AU$14:$AU$132,MATCH($X353,'Lớp 4 - Danh mục'!$I$14:$I$132,0)),""),5,IFERROR(INDEX('Lớp 5 - Phân công'!$AV$14:$AV$262,MATCH($X353,'Lớp 5 - Phân công'!$I$14:$I$262,0)),""),6,IFERROR(INDEX('Lớp 6 - Chi tiết'!$AY$14:$AY$267,MATCH($X353,'Lớp 6 - Chi tiết'!$I$14:$I$267,0)),""),""))</f>
        <v/>
      </c>
    </row>
    <row r="354" ht="15.75" customHeight="1">
      <c r="A354" s="294" t="str">
        <f t="shared" si="12"/>
        <v/>
      </c>
      <c r="B354" s="301" t="str">
        <f t="shared" si="13"/>
        <v/>
      </c>
      <c r="C354" s="301" t="str">
        <f t="shared" si="14"/>
        <v/>
      </c>
      <c r="D354" s="301" t="str">
        <f t="shared" si="15"/>
        <v/>
      </c>
      <c r="E354" s="301" t="str">
        <f t="shared" si="16"/>
        <v/>
      </c>
      <c r="F354" s="317" t="str">
        <f t="shared" si="17"/>
        <v/>
      </c>
      <c r="G354" s="323" t="str">
        <f t="shared" si="18"/>
        <v/>
      </c>
      <c r="H354" s="327" t="str">
        <f t="shared" si="19"/>
        <v/>
      </c>
      <c r="I354" s="327" t="str">
        <f t="shared" si="20"/>
        <v/>
      </c>
      <c r="J354" s="301" t="str">
        <f t="shared" si="21"/>
        <v/>
      </c>
      <c r="K354" s="301" t="str">
        <f t="shared" si="22"/>
        <v/>
      </c>
      <c r="L354" s="344" t="str">
        <f t="array" ref="L354">IF($T354="","",LET(m,MATCH($T354,$AS$24:$AS$700,0),lvl,INDEX($W$24:$W$700,m),id,INDEX($X$24:$X$700,m),SWITCH(lvl,3,"Lớp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4" s="351" t="str">
        <f t="shared" si="23"/>
        <v/>
      </c>
      <c r="N354" s="356" t="str">
        <f t="shared" si="24"/>
        <v/>
      </c>
      <c r="O354" s="358"/>
      <c r="P354" s="360"/>
      <c r="Q354" s="360"/>
      <c r="R354" s="67"/>
      <c r="S354" s="67"/>
      <c r="T354" s="67"/>
      <c r="U354" s="389" t="str">
        <f>IF('Lớp 5 - Phân công'!I165="","",'Lớp 5 - Phân công'!K165&amp;"|"&amp;'Lớp 5 - Phân công'!J165&amp;"|"&amp;'Lớp 5 - Phân công'!I165)</f>
        <v/>
      </c>
      <c r="V354" s="389" t="str">
        <f>IF('Lớp 5 - Phân công'!I165="","","       ├─ "&amp;'Lớp 5 - Phân công'!Q165)</f>
        <v/>
      </c>
      <c r="W354" s="389" t="str">
        <f>IF('Lớp 5 - Phân công'!I165="","",5)</f>
        <v/>
      </c>
      <c r="X354" s="67" t="str">
        <f>'Lớp 5 - Phân công'!I165</f>
        <v/>
      </c>
      <c r="Y354" s="67" t="str">
        <f>'Lớp 5 - Phân công'!J165</f>
        <v/>
      </c>
      <c r="Z354" s="67" t="str">
        <f>'Lớp 5 - Phân công'!AA165</f>
        <v/>
      </c>
      <c r="AA354" s="67" t="str">
        <f>'Lớp 5 - Phân công'!Z165</f>
        <v/>
      </c>
      <c r="AB354" s="67" t="str">
        <f>'Lớp 5 - Phân công'!AC165</f>
        <v/>
      </c>
      <c r="AC354" s="67" t="str">
        <f>'Lớp 5 - Phân công'!AB165</f>
        <v/>
      </c>
      <c r="AD354" s="398" t="str">
        <f>'Lớp 5 - Phân công'!AG165</f>
        <v/>
      </c>
      <c r="AE354" s="358" t="str">
        <f>'Lớp 5 - Phân công'!AE165</f>
        <v/>
      </c>
      <c r="AF354" s="187" t="str">
        <f>'Lớp 5 - Phân công'!AH165</f>
        <v/>
      </c>
      <c r="AG354" s="104" t="str">
        <f>'Lớp 5 - Phân công'!AI165</f>
        <v/>
      </c>
      <c r="AH354" s="389" t="str">
        <f t="shared" si="27"/>
        <v/>
      </c>
      <c r="AI354" s="389" t="str">
        <f t="shared" si="37"/>
        <v>🔵 Chưa có hạn</v>
      </c>
      <c r="AJ354" s="67" t="str">
        <f>'Lớp 5 - Phân công'!AL165</f>
        <v/>
      </c>
      <c r="AS354" s="389" t="str">
        <f t="shared" si="217"/>
        <v/>
      </c>
      <c r="AT354" s="389" t="str">
        <f t="shared" si="32"/>
        <v/>
      </c>
      <c r="AU354" s="389" t="str">
        <f t="shared" si="33"/>
        <v/>
      </c>
      <c r="AV354" s="389" t="str">
        <f t="shared" si="34"/>
        <v/>
      </c>
      <c r="AW354" s="389" t="str">
        <f t="shared" si="35"/>
        <v/>
      </c>
      <c r="AX354" s="67" t="str">
        <f t="shared" ref="AX354:BH354" si="368">Z354</f>
        <v/>
      </c>
      <c r="AY354" s="67" t="str">
        <f t="shared" si="368"/>
        <v/>
      </c>
      <c r="AZ354" s="67" t="str">
        <f t="shared" si="368"/>
        <v/>
      </c>
      <c r="BA354" s="67" t="str">
        <f t="shared" si="368"/>
        <v/>
      </c>
      <c r="BB354" s="398" t="str">
        <f t="shared" si="368"/>
        <v/>
      </c>
      <c r="BC354" s="358" t="str">
        <f t="shared" si="368"/>
        <v/>
      </c>
      <c r="BD354" s="187" t="str">
        <f t="shared" si="368"/>
        <v/>
      </c>
      <c r="BE354" s="104" t="str">
        <f t="shared" si="368"/>
        <v/>
      </c>
      <c r="BF354" s="389" t="str">
        <f t="shared" si="368"/>
        <v/>
      </c>
      <c r="BG354" s="389" t="str">
        <f t="shared" si="368"/>
        <v>🔵 Chưa có hạn</v>
      </c>
      <c r="BH354" s="67" t="str">
        <f t="shared" si="368"/>
        <v/>
      </c>
      <c r="BI354" s="389" t="str">
        <f t="array" ref="BI354">IF($X354="","",SWITCH($W354,3,IFERROR(INDEX('Lớp 3 - Công việc chính'!$AF$14:$AF$73,MATCH($X354,'Lớp 3 - Công việc chính'!$I$14:$I$73,0)),""),4,IFERROR(INDEX('Lớp 4 - Danh mục'!$AI$14:$AI$132,MATCH($X354,'Lớp 4 - Danh mục'!$I$14:$I$132,0)),""),5,IFERROR(INDEX('Lớp 5 - Phân công'!$AJ$14:$AJ$262,MATCH($X354,'Lớp 5 - Phân công'!$I$14:$I$262,0)),""),6,IFERROR(INDEX('Lớp 6 - Chi tiết'!$AM$14:$AM$267,MATCH($X354,'Lớp 6 - Chi tiết'!$I$14:$I$267,0)),""),""))</f>
        <v/>
      </c>
      <c r="BJ354" s="389" t="str">
        <f t="array" ref="BJ354">IF($X354="","",SWITCH($W354,3,IFERROR(INDEX('Lớp 3 - Công việc chính'!$AR$14:$AR$73,MATCH($X354,'Lớp 3 - Công việc chính'!$I$14:$I$73,0)),""),4,IFERROR(INDEX('Lớp 4 - Danh mục'!$AU$14:$AU$132,MATCH($X354,'Lớp 4 - Danh mục'!$I$14:$I$132,0)),""),5,IFERROR(INDEX('Lớp 5 - Phân công'!$AV$14:$AV$262,MATCH($X354,'Lớp 5 - Phân công'!$I$14:$I$262,0)),""),6,IFERROR(INDEX('Lớp 6 - Chi tiết'!$AY$14:$AY$267,MATCH($X354,'Lớp 6 - Chi tiết'!$I$14:$I$267,0)),""),""))</f>
        <v/>
      </c>
    </row>
    <row r="355" ht="15.75" customHeight="1">
      <c r="A355" s="294" t="str">
        <f t="shared" si="12"/>
        <v/>
      </c>
      <c r="B355" s="301" t="str">
        <f t="shared" si="13"/>
        <v/>
      </c>
      <c r="C355" s="301" t="str">
        <f t="shared" si="14"/>
        <v/>
      </c>
      <c r="D355" s="301" t="str">
        <f t="shared" si="15"/>
        <v/>
      </c>
      <c r="E355" s="301" t="str">
        <f t="shared" si="16"/>
        <v/>
      </c>
      <c r="F355" s="317" t="str">
        <f t="shared" si="17"/>
        <v/>
      </c>
      <c r="G355" s="323" t="str">
        <f t="shared" si="18"/>
        <v/>
      </c>
      <c r="H355" s="327" t="str">
        <f t="shared" si="19"/>
        <v/>
      </c>
      <c r="I355" s="327" t="str">
        <f t="shared" si="20"/>
        <v/>
      </c>
      <c r="J355" s="301" t="str">
        <f t="shared" si="21"/>
        <v/>
      </c>
      <c r="K355" s="301" t="str">
        <f t="shared" si="22"/>
        <v/>
      </c>
      <c r="L355" s="344" t="str">
        <f t="array" ref="L355">IF($T355="","",LET(m,MATCH($T355,$AS$24:$AS$700,0),lvl,INDEX($W$24:$W$700,m),id,INDEX($X$24:$X$700,m),SWITCH(lvl,3,"Lớp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5" s="351" t="str">
        <f t="shared" si="23"/>
        <v/>
      </c>
      <c r="N355" s="356" t="str">
        <f t="shared" si="24"/>
        <v/>
      </c>
      <c r="O355" s="358"/>
      <c r="P355" s="360"/>
      <c r="Q355" s="360"/>
      <c r="R355" s="67"/>
      <c r="S355" s="67"/>
      <c r="T355" s="67"/>
      <c r="U355" s="389" t="str">
        <f>IF('Lớp 5 - Phân công'!I166="","",'Lớp 5 - Phân công'!K166&amp;"|"&amp;'Lớp 5 - Phân công'!J166&amp;"|"&amp;'Lớp 5 - Phân công'!I166)</f>
        <v/>
      </c>
      <c r="V355" s="389" t="str">
        <f>IF('Lớp 5 - Phân công'!I166="","","       ├─ "&amp;'Lớp 5 - Phân công'!Q166)</f>
        <v/>
      </c>
      <c r="W355" s="389" t="str">
        <f>IF('Lớp 5 - Phân công'!I166="","",5)</f>
        <v/>
      </c>
      <c r="X355" s="67" t="str">
        <f>'Lớp 5 - Phân công'!I166</f>
        <v/>
      </c>
      <c r="Y355" s="67" t="str">
        <f>'Lớp 5 - Phân công'!J166</f>
        <v/>
      </c>
      <c r="Z355" s="67" t="str">
        <f>'Lớp 5 - Phân công'!AA166</f>
        <v/>
      </c>
      <c r="AA355" s="67" t="str">
        <f>'Lớp 5 - Phân công'!Z166</f>
        <v/>
      </c>
      <c r="AB355" s="67" t="str">
        <f>'Lớp 5 - Phân công'!AC166</f>
        <v/>
      </c>
      <c r="AC355" s="67" t="str">
        <f>'Lớp 5 - Phân công'!AB166</f>
        <v/>
      </c>
      <c r="AD355" s="398" t="str">
        <f>'Lớp 5 - Phân công'!AG166</f>
        <v/>
      </c>
      <c r="AE355" s="358" t="str">
        <f>'Lớp 5 - Phân công'!AE166</f>
        <v/>
      </c>
      <c r="AF355" s="187" t="str">
        <f>'Lớp 5 - Phân công'!AH166</f>
        <v/>
      </c>
      <c r="AG355" s="104" t="str">
        <f>'Lớp 5 - Phân công'!AI166</f>
        <v/>
      </c>
      <c r="AH355" s="389" t="str">
        <f t="shared" si="27"/>
        <v/>
      </c>
      <c r="AI355" s="389" t="str">
        <f t="shared" si="37"/>
        <v>🔵 Chưa có hạn</v>
      </c>
      <c r="AJ355" s="67" t="str">
        <f>'Lớp 5 - Phân công'!AL166</f>
        <v/>
      </c>
      <c r="AS355" s="389" t="str">
        <f t="shared" si="217"/>
        <v/>
      </c>
      <c r="AT355" s="389" t="str">
        <f t="shared" si="32"/>
        <v/>
      </c>
      <c r="AU355" s="389" t="str">
        <f t="shared" si="33"/>
        <v/>
      </c>
      <c r="AV355" s="389" t="str">
        <f t="shared" si="34"/>
        <v/>
      </c>
      <c r="AW355" s="389" t="str">
        <f t="shared" si="35"/>
        <v/>
      </c>
      <c r="AX355" s="67" t="str">
        <f t="shared" ref="AX355:BH355" si="369">Z355</f>
        <v/>
      </c>
      <c r="AY355" s="67" t="str">
        <f t="shared" si="369"/>
        <v/>
      </c>
      <c r="AZ355" s="67" t="str">
        <f t="shared" si="369"/>
        <v/>
      </c>
      <c r="BA355" s="67" t="str">
        <f t="shared" si="369"/>
        <v/>
      </c>
      <c r="BB355" s="398" t="str">
        <f t="shared" si="369"/>
        <v/>
      </c>
      <c r="BC355" s="358" t="str">
        <f t="shared" si="369"/>
        <v/>
      </c>
      <c r="BD355" s="187" t="str">
        <f t="shared" si="369"/>
        <v/>
      </c>
      <c r="BE355" s="104" t="str">
        <f t="shared" si="369"/>
        <v/>
      </c>
      <c r="BF355" s="389" t="str">
        <f t="shared" si="369"/>
        <v/>
      </c>
      <c r="BG355" s="389" t="str">
        <f t="shared" si="369"/>
        <v>🔵 Chưa có hạn</v>
      </c>
      <c r="BH355" s="67" t="str">
        <f t="shared" si="369"/>
        <v/>
      </c>
      <c r="BI355" s="389" t="str">
        <f t="array" ref="BI355">IF($X355="","",SWITCH($W355,3,IFERROR(INDEX('Lớp 3 - Công việc chính'!$AF$14:$AF$73,MATCH($X355,'Lớp 3 - Công việc chính'!$I$14:$I$73,0)),""),4,IFERROR(INDEX('Lớp 4 - Danh mục'!$AI$14:$AI$132,MATCH($X355,'Lớp 4 - Danh mục'!$I$14:$I$132,0)),""),5,IFERROR(INDEX('Lớp 5 - Phân công'!$AJ$14:$AJ$262,MATCH($X355,'Lớp 5 - Phân công'!$I$14:$I$262,0)),""),6,IFERROR(INDEX('Lớp 6 - Chi tiết'!$AM$14:$AM$267,MATCH($X355,'Lớp 6 - Chi tiết'!$I$14:$I$267,0)),""),""))</f>
        <v/>
      </c>
      <c r="BJ355" s="389" t="str">
        <f t="array" ref="BJ355">IF($X355="","",SWITCH($W355,3,IFERROR(INDEX('Lớp 3 - Công việc chính'!$AR$14:$AR$73,MATCH($X355,'Lớp 3 - Công việc chính'!$I$14:$I$73,0)),""),4,IFERROR(INDEX('Lớp 4 - Danh mục'!$AU$14:$AU$132,MATCH($X355,'Lớp 4 - Danh mục'!$I$14:$I$132,0)),""),5,IFERROR(INDEX('Lớp 5 - Phân công'!$AV$14:$AV$262,MATCH($X355,'Lớp 5 - Phân công'!$I$14:$I$262,0)),""),6,IFERROR(INDEX('Lớp 6 - Chi tiết'!$AY$14:$AY$267,MATCH($X355,'Lớp 6 - Chi tiết'!$I$14:$I$267,0)),""),""))</f>
        <v/>
      </c>
    </row>
    <row r="356" ht="15.75" customHeight="1">
      <c r="A356" s="294" t="str">
        <f t="shared" si="12"/>
        <v/>
      </c>
      <c r="B356" s="301" t="str">
        <f t="shared" si="13"/>
        <v/>
      </c>
      <c r="C356" s="301" t="str">
        <f t="shared" si="14"/>
        <v/>
      </c>
      <c r="D356" s="301" t="str">
        <f t="shared" si="15"/>
        <v/>
      </c>
      <c r="E356" s="301" t="str">
        <f t="shared" si="16"/>
        <v/>
      </c>
      <c r="F356" s="317" t="str">
        <f t="shared" si="17"/>
        <v/>
      </c>
      <c r="G356" s="323" t="str">
        <f t="shared" si="18"/>
        <v/>
      </c>
      <c r="H356" s="327" t="str">
        <f t="shared" si="19"/>
        <v/>
      </c>
      <c r="I356" s="327" t="str">
        <f t="shared" si="20"/>
        <v/>
      </c>
      <c r="J356" s="301" t="str">
        <f t="shared" si="21"/>
        <v/>
      </c>
      <c r="K356" s="301" t="str">
        <f t="shared" si="22"/>
        <v/>
      </c>
      <c r="L356" s="344" t="str">
        <f t="array" ref="L356">IF($T356="","",LET(m,MATCH($T356,$AS$24:$AS$700,0),lvl,INDEX($W$24:$W$700,m),id,INDEX($X$24:$X$700,m),SWITCH(lvl,3,"Lớp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6" s="351" t="str">
        <f t="shared" si="23"/>
        <v/>
      </c>
      <c r="N356" s="356" t="str">
        <f t="shared" si="24"/>
        <v/>
      </c>
      <c r="O356" s="358"/>
      <c r="P356" s="360"/>
      <c r="Q356" s="360"/>
      <c r="R356" s="67"/>
      <c r="S356" s="67"/>
      <c r="T356" s="67"/>
      <c r="U356" s="389" t="str">
        <f>IF('Lớp 5 - Phân công'!I167="","",'Lớp 5 - Phân công'!K167&amp;"|"&amp;'Lớp 5 - Phân công'!J167&amp;"|"&amp;'Lớp 5 - Phân công'!I167)</f>
        <v/>
      </c>
      <c r="V356" s="389" t="str">
        <f>IF('Lớp 5 - Phân công'!I167="","","       ├─ "&amp;'Lớp 5 - Phân công'!Q167)</f>
        <v/>
      </c>
      <c r="W356" s="389" t="str">
        <f>IF('Lớp 5 - Phân công'!I167="","",5)</f>
        <v/>
      </c>
      <c r="X356" s="67" t="str">
        <f>'Lớp 5 - Phân công'!I167</f>
        <v/>
      </c>
      <c r="Y356" s="67" t="str">
        <f>'Lớp 5 - Phân công'!J167</f>
        <v/>
      </c>
      <c r="Z356" s="67" t="str">
        <f>'Lớp 5 - Phân công'!AA167</f>
        <v/>
      </c>
      <c r="AA356" s="67" t="str">
        <f>'Lớp 5 - Phân công'!Z167</f>
        <v/>
      </c>
      <c r="AB356" s="67" t="str">
        <f>'Lớp 5 - Phân công'!AC167</f>
        <v/>
      </c>
      <c r="AC356" s="67" t="str">
        <f>'Lớp 5 - Phân công'!AB167</f>
        <v/>
      </c>
      <c r="AD356" s="398" t="str">
        <f>'Lớp 5 - Phân công'!AG167</f>
        <v/>
      </c>
      <c r="AE356" s="358" t="str">
        <f>'Lớp 5 - Phân công'!AE167</f>
        <v/>
      </c>
      <c r="AF356" s="187" t="str">
        <f>'Lớp 5 - Phân công'!AH167</f>
        <v/>
      </c>
      <c r="AG356" s="104" t="str">
        <f>'Lớp 5 - Phân công'!AI167</f>
        <v/>
      </c>
      <c r="AH356" s="389" t="str">
        <f t="shared" si="27"/>
        <v/>
      </c>
      <c r="AI356" s="389" t="str">
        <f t="shared" si="37"/>
        <v>🔵 Chưa có hạn</v>
      </c>
      <c r="AJ356" s="67" t="str">
        <f>'Lớp 5 - Phân công'!AL167</f>
        <v/>
      </c>
      <c r="AS356" s="389" t="str">
        <f t="shared" si="217"/>
        <v/>
      </c>
      <c r="AT356" s="389" t="str">
        <f t="shared" si="32"/>
        <v/>
      </c>
      <c r="AU356" s="389" t="str">
        <f t="shared" si="33"/>
        <v/>
      </c>
      <c r="AV356" s="389" t="str">
        <f t="shared" si="34"/>
        <v/>
      </c>
      <c r="AW356" s="389" t="str">
        <f t="shared" si="35"/>
        <v/>
      </c>
      <c r="AX356" s="67" t="str">
        <f t="shared" ref="AX356:BH356" si="370">Z356</f>
        <v/>
      </c>
      <c r="AY356" s="67" t="str">
        <f t="shared" si="370"/>
        <v/>
      </c>
      <c r="AZ356" s="67" t="str">
        <f t="shared" si="370"/>
        <v/>
      </c>
      <c r="BA356" s="67" t="str">
        <f t="shared" si="370"/>
        <v/>
      </c>
      <c r="BB356" s="398" t="str">
        <f t="shared" si="370"/>
        <v/>
      </c>
      <c r="BC356" s="358" t="str">
        <f t="shared" si="370"/>
        <v/>
      </c>
      <c r="BD356" s="187" t="str">
        <f t="shared" si="370"/>
        <v/>
      </c>
      <c r="BE356" s="104" t="str">
        <f t="shared" si="370"/>
        <v/>
      </c>
      <c r="BF356" s="389" t="str">
        <f t="shared" si="370"/>
        <v/>
      </c>
      <c r="BG356" s="389" t="str">
        <f t="shared" si="370"/>
        <v>🔵 Chưa có hạn</v>
      </c>
      <c r="BH356" s="67" t="str">
        <f t="shared" si="370"/>
        <v/>
      </c>
      <c r="BI356" s="389" t="str">
        <f t="array" ref="BI356">IF($X356="","",SWITCH($W356,3,IFERROR(INDEX('Lớp 3 - Công việc chính'!$AF$14:$AF$73,MATCH($X356,'Lớp 3 - Công việc chính'!$I$14:$I$73,0)),""),4,IFERROR(INDEX('Lớp 4 - Danh mục'!$AI$14:$AI$132,MATCH($X356,'Lớp 4 - Danh mục'!$I$14:$I$132,0)),""),5,IFERROR(INDEX('Lớp 5 - Phân công'!$AJ$14:$AJ$262,MATCH($X356,'Lớp 5 - Phân công'!$I$14:$I$262,0)),""),6,IFERROR(INDEX('Lớp 6 - Chi tiết'!$AM$14:$AM$267,MATCH($X356,'Lớp 6 - Chi tiết'!$I$14:$I$267,0)),""),""))</f>
        <v/>
      </c>
      <c r="BJ356" s="389" t="str">
        <f t="array" ref="BJ356">IF($X356="","",SWITCH($W356,3,IFERROR(INDEX('Lớp 3 - Công việc chính'!$AR$14:$AR$73,MATCH($X356,'Lớp 3 - Công việc chính'!$I$14:$I$73,0)),""),4,IFERROR(INDEX('Lớp 4 - Danh mục'!$AU$14:$AU$132,MATCH($X356,'Lớp 4 - Danh mục'!$I$14:$I$132,0)),""),5,IFERROR(INDEX('Lớp 5 - Phân công'!$AV$14:$AV$262,MATCH($X356,'Lớp 5 - Phân công'!$I$14:$I$262,0)),""),6,IFERROR(INDEX('Lớp 6 - Chi tiết'!$AY$14:$AY$267,MATCH($X356,'Lớp 6 - Chi tiết'!$I$14:$I$267,0)),""),""))</f>
        <v/>
      </c>
    </row>
    <row r="357" ht="15.75" customHeight="1">
      <c r="A357" s="294" t="str">
        <f t="shared" si="12"/>
        <v/>
      </c>
      <c r="B357" s="301" t="str">
        <f t="shared" si="13"/>
        <v/>
      </c>
      <c r="C357" s="301" t="str">
        <f t="shared" si="14"/>
        <v/>
      </c>
      <c r="D357" s="301" t="str">
        <f t="shared" si="15"/>
        <v/>
      </c>
      <c r="E357" s="301" t="str">
        <f t="shared" si="16"/>
        <v/>
      </c>
      <c r="F357" s="317" t="str">
        <f t="shared" si="17"/>
        <v/>
      </c>
      <c r="G357" s="323" t="str">
        <f t="shared" si="18"/>
        <v/>
      </c>
      <c r="H357" s="327" t="str">
        <f t="shared" si="19"/>
        <v/>
      </c>
      <c r="I357" s="327" t="str">
        <f t="shared" si="20"/>
        <v/>
      </c>
      <c r="J357" s="301" t="str">
        <f t="shared" si="21"/>
        <v/>
      </c>
      <c r="K357" s="301" t="str">
        <f t="shared" si="22"/>
        <v/>
      </c>
      <c r="L357" s="344" t="str">
        <f t="array" ref="L357">IF($T357="","",LET(m,MATCH($T357,$AS$24:$AS$700,0),lvl,INDEX($W$24:$W$700,m),id,INDEX($X$24:$X$700,m),SWITCH(lvl,3,"Lớp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7" s="351" t="str">
        <f t="shared" si="23"/>
        <v/>
      </c>
      <c r="N357" s="356" t="str">
        <f t="shared" si="24"/>
        <v/>
      </c>
      <c r="O357" s="358"/>
      <c r="P357" s="360"/>
      <c r="Q357" s="360"/>
      <c r="R357" s="67"/>
      <c r="S357" s="67"/>
      <c r="T357" s="67"/>
      <c r="U357" s="389" t="str">
        <f>IF('Lớp 5 - Phân công'!I168="","",'Lớp 5 - Phân công'!K168&amp;"|"&amp;'Lớp 5 - Phân công'!J168&amp;"|"&amp;'Lớp 5 - Phân công'!I168)</f>
        <v/>
      </c>
      <c r="V357" s="389" t="str">
        <f>IF('Lớp 5 - Phân công'!I168="","","       ├─ "&amp;'Lớp 5 - Phân công'!Q168)</f>
        <v/>
      </c>
      <c r="W357" s="389" t="str">
        <f>IF('Lớp 5 - Phân công'!I168="","",5)</f>
        <v/>
      </c>
      <c r="X357" s="67" t="str">
        <f>'Lớp 5 - Phân công'!I168</f>
        <v/>
      </c>
      <c r="Y357" s="67" t="str">
        <f>'Lớp 5 - Phân công'!J168</f>
        <v/>
      </c>
      <c r="Z357" s="67" t="str">
        <f>'Lớp 5 - Phân công'!AA168</f>
        <v/>
      </c>
      <c r="AA357" s="67" t="str">
        <f>'Lớp 5 - Phân công'!Z168</f>
        <v/>
      </c>
      <c r="AB357" s="67" t="str">
        <f>'Lớp 5 - Phân công'!AC168</f>
        <v/>
      </c>
      <c r="AC357" s="67" t="str">
        <f>'Lớp 5 - Phân công'!AB168</f>
        <v/>
      </c>
      <c r="AD357" s="398" t="str">
        <f>'Lớp 5 - Phân công'!AG168</f>
        <v/>
      </c>
      <c r="AE357" s="358" t="str">
        <f>'Lớp 5 - Phân công'!AE168</f>
        <v/>
      </c>
      <c r="AF357" s="187" t="str">
        <f>'Lớp 5 - Phân công'!AH168</f>
        <v/>
      </c>
      <c r="AG357" s="104" t="str">
        <f>'Lớp 5 - Phân công'!AI168</f>
        <v/>
      </c>
      <c r="AH357" s="389" t="str">
        <f t="shared" si="27"/>
        <v/>
      </c>
      <c r="AI357" s="389" t="str">
        <f t="shared" si="37"/>
        <v>🔵 Chưa có hạn</v>
      </c>
      <c r="AJ357" s="67" t="str">
        <f>'Lớp 5 - Phân công'!AL168</f>
        <v/>
      </c>
      <c r="AS357" s="389" t="str">
        <f t="shared" si="217"/>
        <v/>
      </c>
      <c r="AT357" s="389" t="str">
        <f t="shared" si="32"/>
        <v/>
      </c>
      <c r="AU357" s="389" t="str">
        <f t="shared" si="33"/>
        <v/>
      </c>
      <c r="AV357" s="389" t="str">
        <f t="shared" si="34"/>
        <v/>
      </c>
      <c r="AW357" s="389" t="str">
        <f t="shared" si="35"/>
        <v/>
      </c>
      <c r="AX357" s="67" t="str">
        <f t="shared" ref="AX357:BH357" si="371">Z357</f>
        <v/>
      </c>
      <c r="AY357" s="67" t="str">
        <f t="shared" si="371"/>
        <v/>
      </c>
      <c r="AZ357" s="67" t="str">
        <f t="shared" si="371"/>
        <v/>
      </c>
      <c r="BA357" s="67" t="str">
        <f t="shared" si="371"/>
        <v/>
      </c>
      <c r="BB357" s="398" t="str">
        <f t="shared" si="371"/>
        <v/>
      </c>
      <c r="BC357" s="358" t="str">
        <f t="shared" si="371"/>
        <v/>
      </c>
      <c r="BD357" s="187" t="str">
        <f t="shared" si="371"/>
        <v/>
      </c>
      <c r="BE357" s="104" t="str">
        <f t="shared" si="371"/>
        <v/>
      </c>
      <c r="BF357" s="389" t="str">
        <f t="shared" si="371"/>
        <v/>
      </c>
      <c r="BG357" s="389" t="str">
        <f t="shared" si="371"/>
        <v>🔵 Chưa có hạn</v>
      </c>
      <c r="BH357" s="67" t="str">
        <f t="shared" si="371"/>
        <v/>
      </c>
      <c r="BI357" s="389" t="str">
        <f t="array" ref="BI357">IF($X357="","",SWITCH($W357,3,IFERROR(INDEX('Lớp 3 - Công việc chính'!$AF$14:$AF$73,MATCH($X357,'Lớp 3 - Công việc chính'!$I$14:$I$73,0)),""),4,IFERROR(INDEX('Lớp 4 - Danh mục'!$AI$14:$AI$132,MATCH($X357,'Lớp 4 - Danh mục'!$I$14:$I$132,0)),""),5,IFERROR(INDEX('Lớp 5 - Phân công'!$AJ$14:$AJ$262,MATCH($X357,'Lớp 5 - Phân công'!$I$14:$I$262,0)),""),6,IFERROR(INDEX('Lớp 6 - Chi tiết'!$AM$14:$AM$267,MATCH($X357,'Lớp 6 - Chi tiết'!$I$14:$I$267,0)),""),""))</f>
        <v/>
      </c>
      <c r="BJ357" s="389" t="str">
        <f t="array" ref="BJ357">IF($X357="","",SWITCH($W357,3,IFERROR(INDEX('Lớp 3 - Công việc chính'!$AR$14:$AR$73,MATCH($X357,'Lớp 3 - Công việc chính'!$I$14:$I$73,0)),""),4,IFERROR(INDEX('Lớp 4 - Danh mục'!$AU$14:$AU$132,MATCH($X357,'Lớp 4 - Danh mục'!$I$14:$I$132,0)),""),5,IFERROR(INDEX('Lớp 5 - Phân công'!$AV$14:$AV$262,MATCH($X357,'Lớp 5 - Phân công'!$I$14:$I$262,0)),""),6,IFERROR(INDEX('Lớp 6 - Chi tiết'!$AY$14:$AY$267,MATCH($X357,'Lớp 6 - Chi tiết'!$I$14:$I$267,0)),""),""))</f>
        <v/>
      </c>
    </row>
    <row r="358" ht="15.75" customHeight="1">
      <c r="A358" s="294" t="str">
        <f t="shared" si="12"/>
        <v/>
      </c>
      <c r="B358" s="301" t="str">
        <f t="shared" si="13"/>
        <v/>
      </c>
      <c r="C358" s="301" t="str">
        <f t="shared" si="14"/>
        <v/>
      </c>
      <c r="D358" s="301" t="str">
        <f t="shared" si="15"/>
        <v/>
      </c>
      <c r="E358" s="301" t="str">
        <f t="shared" si="16"/>
        <v/>
      </c>
      <c r="F358" s="317" t="str">
        <f t="shared" si="17"/>
        <v/>
      </c>
      <c r="G358" s="323" t="str">
        <f t="shared" si="18"/>
        <v/>
      </c>
      <c r="H358" s="327" t="str">
        <f t="shared" si="19"/>
        <v/>
      </c>
      <c r="I358" s="327" t="str">
        <f t="shared" si="20"/>
        <v/>
      </c>
      <c r="J358" s="301" t="str">
        <f t="shared" si="21"/>
        <v/>
      </c>
      <c r="K358" s="301" t="str">
        <f t="shared" si="22"/>
        <v/>
      </c>
      <c r="L358" s="344" t="str">
        <f t="array" ref="L358">IF($T358="","",LET(m,MATCH($T358,$AS$24:$AS$700,0),lvl,INDEX($W$24:$W$700,m),id,INDEX($X$24:$X$700,m),SWITCH(lvl,3,"Lớp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8" s="351" t="str">
        <f t="shared" si="23"/>
        <v/>
      </c>
      <c r="N358" s="356" t="str">
        <f t="shared" si="24"/>
        <v/>
      </c>
      <c r="O358" s="358"/>
      <c r="P358" s="360"/>
      <c r="Q358" s="360"/>
      <c r="R358" s="67"/>
      <c r="S358" s="67"/>
      <c r="T358" s="67"/>
      <c r="U358" s="389" t="str">
        <f>IF('Lớp 5 - Phân công'!I169="","",'Lớp 5 - Phân công'!K169&amp;"|"&amp;'Lớp 5 - Phân công'!J169&amp;"|"&amp;'Lớp 5 - Phân công'!I169)</f>
        <v/>
      </c>
      <c r="V358" s="389" t="str">
        <f>IF('Lớp 5 - Phân công'!I169="","","       ├─ "&amp;'Lớp 5 - Phân công'!Q169)</f>
        <v/>
      </c>
      <c r="W358" s="389" t="str">
        <f>IF('Lớp 5 - Phân công'!I169="","",5)</f>
        <v/>
      </c>
      <c r="X358" s="67" t="str">
        <f>'Lớp 5 - Phân công'!I169</f>
        <v/>
      </c>
      <c r="Y358" s="67" t="str">
        <f>'Lớp 5 - Phân công'!J169</f>
        <v/>
      </c>
      <c r="Z358" s="67" t="str">
        <f>'Lớp 5 - Phân công'!AA169</f>
        <v/>
      </c>
      <c r="AA358" s="67" t="str">
        <f>'Lớp 5 - Phân công'!Z169</f>
        <v/>
      </c>
      <c r="AB358" s="67" t="str">
        <f>'Lớp 5 - Phân công'!AC169</f>
        <v/>
      </c>
      <c r="AC358" s="67" t="str">
        <f>'Lớp 5 - Phân công'!AB169</f>
        <v/>
      </c>
      <c r="AD358" s="398" t="str">
        <f>'Lớp 5 - Phân công'!AG169</f>
        <v/>
      </c>
      <c r="AE358" s="358" t="str">
        <f>'Lớp 5 - Phân công'!AE169</f>
        <v/>
      </c>
      <c r="AF358" s="187" t="str">
        <f>'Lớp 5 - Phân công'!AH169</f>
        <v/>
      </c>
      <c r="AG358" s="104" t="str">
        <f>'Lớp 5 - Phân công'!AI169</f>
        <v/>
      </c>
      <c r="AH358" s="389" t="str">
        <f t="shared" si="27"/>
        <v/>
      </c>
      <c r="AI358" s="389" t="str">
        <f t="shared" si="37"/>
        <v>🔵 Chưa có hạn</v>
      </c>
      <c r="AJ358" s="67" t="str">
        <f>'Lớp 5 - Phân công'!AL169</f>
        <v/>
      </c>
      <c r="AS358" s="389" t="str">
        <f t="shared" si="217"/>
        <v/>
      </c>
      <c r="AT358" s="389" t="str">
        <f t="shared" si="32"/>
        <v/>
      </c>
      <c r="AU358" s="389" t="str">
        <f t="shared" si="33"/>
        <v/>
      </c>
      <c r="AV358" s="389" t="str">
        <f t="shared" si="34"/>
        <v/>
      </c>
      <c r="AW358" s="389" t="str">
        <f t="shared" si="35"/>
        <v/>
      </c>
      <c r="AX358" s="67" t="str">
        <f t="shared" ref="AX358:BH358" si="372">Z358</f>
        <v/>
      </c>
      <c r="AY358" s="67" t="str">
        <f t="shared" si="372"/>
        <v/>
      </c>
      <c r="AZ358" s="67" t="str">
        <f t="shared" si="372"/>
        <v/>
      </c>
      <c r="BA358" s="67" t="str">
        <f t="shared" si="372"/>
        <v/>
      </c>
      <c r="BB358" s="398" t="str">
        <f t="shared" si="372"/>
        <v/>
      </c>
      <c r="BC358" s="358" t="str">
        <f t="shared" si="372"/>
        <v/>
      </c>
      <c r="BD358" s="187" t="str">
        <f t="shared" si="372"/>
        <v/>
      </c>
      <c r="BE358" s="104" t="str">
        <f t="shared" si="372"/>
        <v/>
      </c>
      <c r="BF358" s="389" t="str">
        <f t="shared" si="372"/>
        <v/>
      </c>
      <c r="BG358" s="389" t="str">
        <f t="shared" si="372"/>
        <v>🔵 Chưa có hạn</v>
      </c>
      <c r="BH358" s="67" t="str">
        <f t="shared" si="372"/>
        <v/>
      </c>
      <c r="BI358" s="389" t="str">
        <f t="array" ref="BI358">IF($X358="","",SWITCH($W358,3,IFERROR(INDEX('Lớp 3 - Công việc chính'!$AF$14:$AF$73,MATCH($X358,'Lớp 3 - Công việc chính'!$I$14:$I$73,0)),""),4,IFERROR(INDEX('Lớp 4 - Danh mục'!$AI$14:$AI$132,MATCH($X358,'Lớp 4 - Danh mục'!$I$14:$I$132,0)),""),5,IFERROR(INDEX('Lớp 5 - Phân công'!$AJ$14:$AJ$262,MATCH($X358,'Lớp 5 - Phân công'!$I$14:$I$262,0)),""),6,IFERROR(INDEX('Lớp 6 - Chi tiết'!$AM$14:$AM$267,MATCH($X358,'Lớp 6 - Chi tiết'!$I$14:$I$267,0)),""),""))</f>
        <v/>
      </c>
      <c r="BJ358" s="389" t="str">
        <f t="array" ref="BJ358">IF($X358="","",SWITCH($W358,3,IFERROR(INDEX('Lớp 3 - Công việc chính'!$AR$14:$AR$73,MATCH($X358,'Lớp 3 - Công việc chính'!$I$14:$I$73,0)),""),4,IFERROR(INDEX('Lớp 4 - Danh mục'!$AU$14:$AU$132,MATCH($X358,'Lớp 4 - Danh mục'!$I$14:$I$132,0)),""),5,IFERROR(INDEX('Lớp 5 - Phân công'!$AV$14:$AV$262,MATCH($X358,'Lớp 5 - Phân công'!$I$14:$I$262,0)),""),6,IFERROR(INDEX('Lớp 6 - Chi tiết'!$AY$14:$AY$267,MATCH($X358,'Lớp 6 - Chi tiết'!$I$14:$I$267,0)),""),""))</f>
        <v/>
      </c>
    </row>
    <row r="359" ht="15.75" customHeight="1">
      <c r="A359" s="294" t="str">
        <f t="shared" si="12"/>
        <v/>
      </c>
      <c r="B359" s="301" t="str">
        <f t="shared" si="13"/>
        <v/>
      </c>
      <c r="C359" s="301" t="str">
        <f t="shared" si="14"/>
        <v/>
      </c>
      <c r="D359" s="301" t="str">
        <f t="shared" si="15"/>
        <v/>
      </c>
      <c r="E359" s="301" t="str">
        <f t="shared" si="16"/>
        <v/>
      </c>
      <c r="F359" s="317" t="str">
        <f t="shared" si="17"/>
        <v/>
      </c>
      <c r="G359" s="323" t="str">
        <f t="shared" si="18"/>
        <v/>
      </c>
      <c r="H359" s="327" t="str">
        <f t="shared" si="19"/>
        <v/>
      </c>
      <c r="I359" s="327" t="str">
        <f t="shared" si="20"/>
        <v/>
      </c>
      <c r="J359" s="301" t="str">
        <f t="shared" si="21"/>
        <v/>
      </c>
      <c r="K359" s="301" t="str">
        <f t="shared" si="22"/>
        <v/>
      </c>
      <c r="L359" s="344" t="str">
        <f t="array" ref="L359">IF($T359="","",LET(m,MATCH($T359,$AS$24:$AS$700,0),lvl,INDEX($W$24:$W$700,m),id,INDEX($X$24:$X$700,m),SWITCH(lvl,3,"Lớp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59" s="351" t="str">
        <f t="shared" si="23"/>
        <v/>
      </c>
      <c r="N359" s="356" t="str">
        <f t="shared" si="24"/>
        <v/>
      </c>
      <c r="O359" s="358"/>
      <c r="P359" s="360"/>
      <c r="Q359" s="360"/>
      <c r="R359" s="67"/>
      <c r="S359" s="67"/>
      <c r="T359" s="67"/>
      <c r="U359" s="389" t="str">
        <f>IF('Lớp 5 - Phân công'!I170="","",'Lớp 5 - Phân công'!K170&amp;"|"&amp;'Lớp 5 - Phân công'!J170&amp;"|"&amp;'Lớp 5 - Phân công'!I170)</f>
        <v/>
      </c>
      <c r="V359" s="389" t="str">
        <f>IF('Lớp 5 - Phân công'!I170="","","       ├─ "&amp;'Lớp 5 - Phân công'!Q170)</f>
        <v/>
      </c>
      <c r="W359" s="389" t="str">
        <f>IF('Lớp 5 - Phân công'!I170="","",5)</f>
        <v/>
      </c>
      <c r="X359" s="67" t="str">
        <f>'Lớp 5 - Phân công'!I170</f>
        <v/>
      </c>
      <c r="Y359" s="67" t="str">
        <f>'Lớp 5 - Phân công'!J170</f>
        <v/>
      </c>
      <c r="Z359" s="67" t="str">
        <f>'Lớp 5 - Phân công'!AA170</f>
        <v/>
      </c>
      <c r="AA359" s="67" t="str">
        <f>'Lớp 5 - Phân công'!Z170</f>
        <v/>
      </c>
      <c r="AB359" s="67" t="str">
        <f>'Lớp 5 - Phân công'!AC170</f>
        <v/>
      </c>
      <c r="AC359" s="67" t="str">
        <f>'Lớp 5 - Phân công'!AB170</f>
        <v/>
      </c>
      <c r="AD359" s="398" t="str">
        <f>'Lớp 5 - Phân công'!AG170</f>
        <v/>
      </c>
      <c r="AE359" s="358" t="str">
        <f>'Lớp 5 - Phân công'!AE170</f>
        <v/>
      </c>
      <c r="AF359" s="187" t="str">
        <f>'Lớp 5 - Phân công'!AH170</f>
        <v/>
      </c>
      <c r="AG359" s="104" t="str">
        <f>'Lớp 5 - Phân công'!AI170</f>
        <v/>
      </c>
      <c r="AH359" s="389" t="str">
        <f t="shared" si="27"/>
        <v/>
      </c>
      <c r="AI359" s="389" t="str">
        <f t="shared" si="37"/>
        <v>🔵 Chưa có hạn</v>
      </c>
      <c r="AJ359" s="67" t="str">
        <f>'Lớp 5 - Phân công'!AL170</f>
        <v/>
      </c>
      <c r="AS359" s="389" t="str">
        <f t="shared" si="217"/>
        <v/>
      </c>
      <c r="AT359" s="389" t="str">
        <f t="shared" si="32"/>
        <v/>
      </c>
      <c r="AU359" s="389" t="str">
        <f t="shared" si="33"/>
        <v/>
      </c>
      <c r="AV359" s="389" t="str">
        <f t="shared" si="34"/>
        <v/>
      </c>
      <c r="AW359" s="389" t="str">
        <f t="shared" si="35"/>
        <v/>
      </c>
      <c r="AX359" s="67" t="str">
        <f t="shared" ref="AX359:BH359" si="373">Z359</f>
        <v/>
      </c>
      <c r="AY359" s="67" t="str">
        <f t="shared" si="373"/>
        <v/>
      </c>
      <c r="AZ359" s="67" t="str">
        <f t="shared" si="373"/>
        <v/>
      </c>
      <c r="BA359" s="67" t="str">
        <f t="shared" si="373"/>
        <v/>
      </c>
      <c r="BB359" s="398" t="str">
        <f t="shared" si="373"/>
        <v/>
      </c>
      <c r="BC359" s="358" t="str">
        <f t="shared" si="373"/>
        <v/>
      </c>
      <c r="BD359" s="187" t="str">
        <f t="shared" si="373"/>
        <v/>
      </c>
      <c r="BE359" s="104" t="str">
        <f t="shared" si="373"/>
        <v/>
      </c>
      <c r="BF359" s="389" t="str">
        <f t="shared" si="373"/>
        <v/>
      </c>
      <c r="BG359" s="389" t="str">
        <f t="shared" si="373"/>
        <v>🔵 Chưa có hạn</v>
      </c>
      <c r="BH359" s="67" t="str">
        <f t="shared" si="373"/>
        <v/>
      </c>
      <c r="BI359" s="389" t="str">
        <f t="array" ref="BI359">IF($X359="","",SWITCH($W359,3,IFERROR(INDEX('Lớp 3 - Công việc chính'!$AF$14:$AF$73,MATCH($X359,'Lớp 3 - Công việc chính'!$I$14:$I$73,0)),""),4,IFERROR(INDEX('Lớp 4 - Danh mục'!$AI$14:$AI$132,MATCH($X359,'Lớp 4 - Danh mục'!$I$14:$I$132,0)),""),5,IFERROR(INDEX('Lớp 5 - Phân công'!$AJ$14:$AJ$262,MATCH($X359,'Lớp 5 - Phân công'!$I$14:$I$262,0)),""),6,IFERROR(INDEX('Lớp 6 - Chi tiết'!$AM$14:$AM$267,MATCH($X359,'Lớp 6 - Chi tiết'!$I$14:$I$267,0)),""),""))</f>
        <v/>
      </c>
      <c r="BJ359" s="389" t="str">
        <f t="array" ref="BJ359">IF($X359="","",SWITCH($W359,3,IFERROR(INDEX('Lớp 3 - Công việc chính'!$AR$14:$AR$73,MATCH($X359,'Lớp 3 - Công việc chính'!$I$14:$I$73,0)),""),4,IFERROR(INDEX('Lớp 4 - Danh mục'!$AU$14:$AU$132,MATCH($X359,'Lớp 4 - Danh mục'!$I$14:$I$132,0)),""),5,IFERROR(INDEX('Lớp 5 - Phân công'!$AV$14:$AV$262,MATCH($X359,'Lớp 5 - Phân công'!$I$14:$I$262,0)),""),6,IFERROR(INDEX('Lớp 6 - Chi tiết'!$AY$14:$AY$267,MATCH($X359,'Lớp 6 - Chi tiết'!$I$14:$I$267,0)),""),""))</f>
        <v/>
      </c>
    </row>
    <row r="360" ht="15.75" customHeight="1">
      <c r="A360" s="294" t="str">
        <f t="shared" si="12"/>
        <v/>
      </c>
      <c r="B360" s="301" t="str">
        <f t="shared" si="13"/>
        <v/>
      </c>
      <c r="C360" s="301" t="str">
        <f t="shared" si="14"/>
        <v/>
      </c>
      <c r="D360" s="301" t="str">
        <f t="shared" si="15"/>
        <v/>
      </c>
      <c r="E360" s="301" t="str">
        <f t="shared" si="16"/>
        <v/>
      </c>
      <c r="F360" s="317" t="str">
        <f t="shared" si="17"/>
        <v/>
      </c>
      <c r="G360" s="323" t="str">
        <f t="shared" si="18"/>
        <v/>
      </c>
      <c r="H360" s="327" t="str">
        <f t="shared" si="19"/>
        <v/>
      </c>
      <c r="I360" s="327" t="str">
        <f t="shared" si="20"/>
        <v/>
      </c>
      <c r="J360" s="301" t="str">
        <f t="shared" si="21"/>
        <v/>
      </c>
      <c r="K360" s="301" t="str">
        <f t="shared" si="22"/>
        <v/>
      </c>
      <c r="L360" s="344" t="str">
        <f t="array" ref="L360">IF($T360="","",LET(m,MATCH($T360,$AS$24:$AS$700,0),lvl,INDEX($W$24:$W$700,m),id,INDEX($X$24:$X$700,m),SWITCH(lvl,3,"Lớp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0" s="351" t="str">
        <f t="shared" si="23"/>
        <v/>
      </c>
      <c r="N360" s="356" t="str">
        <f t="shared" si="24"/>
        <v/>
      </c>
      <c r="O360" s="358"/>
      <c r="P360" s="360"/>
      <c r="Q360" s="360"/>
      <c r="R360" s="67"/>
      <c r="S360" s="67"/>
      <c r="T360" s="67"/>
      <c r="U360" s="389" t="str">
        <f>IF('Lớp 5 - Phân công'!I171="","",'Lớp 5 - Phân công'!K171&amp;"|"&amp;'Lớp 5 - Phân công'!J171&amp;"|"&amp;'Lớp 5 - Phân công'!I171)</f>
        <v/>
      </c>
      <c r="V360" s="389" t="str">
        <f>IF('Lớp 5 - Phân công'!I171="","","       ├─ "&amp;'Lớp 5 - Phân công'!Q171)</f>
        <v/>
      </c>
      <c r="W360" s="389" t="str">
        <f>IF('Lớp 5 - Phân công'!I171="","",5)</f>
        <v/>
      </c>
      <c r="X360" s="67" t="str">
        <f>'Lớp 5 - Phân công'!I171</f>
        <v/>
      </c>
      <c r="Y360" s="67" t="str">
        <f>'Lớp 5 - Phân công'!J171</f>
        <v/>
      </c>
      <c r="Z360" s="67" t="str">
        <f>'Lớp 5 - Phân công'!AA171</f>
        <v/>
      </c>
      <c r="AA360" s="67" t="str">
        <f>'Lớp 5 - Phân công'!Z171</f>
        <v/>
      </c>
      <c r="AB360" s="67" t="str">
        <f>'Lớp 5 - Phân công'!AC171</f>
        <v/>
      </c>
      <c r="AC360" s="67" t="str">
        <f>'Lớp 5 - Phân công'!AB171</f>
        <v/>
      </c>
      <c r="AD360" s="398" t="str">
        <f>'Lớp 5 - Phân công'!AG171</f>
        <v/>
      </c>
      <c r="AE360" s="358" t="str">
        <f>'Lớp 5 - Phân công'!AE171</f>
        <v/>
      </c>
      <c r="AF360" s="187" t="str">
        <f>'Lớp 5 - Phân công'!AH171</f>
        <v/>
      </c>
      <c r="AG360" s="104" t="str">
        <f>'Lớp 5 - Phân công'!AI171</f>
        <v/>
      </c>
      <c r="AH360" s="389" t="str">
        <f t="shared" si="27"/>
        <v/>
      </c>
      <c r="AI360" s="389" t="str">
        <f t="shared" si="37"/>
        <v>🔵 Chưa có hạn</v>
      </c>
      <c r="AJ360" s="67" t="str">
        <f>'Lớp 5 - Phân công'!AL171</f>
        <v/>
      </c>
      <c r="AS360" s="389" t="str">
        <f t="shared" si="217"/>
        <v/>
      </c>
      <c r="AT360" s="389" t="str">
        <f t="shared" si="32"/>
        <v/>
      </c>
      <c r="AU360" s="389" t="str">
        <f t="shared" si="33"/>
        <v/>
      </c>
      <c r="AV360" s="389" t="str">
        <f t="shared" si="34"/>
        <v/>
      </c>
      <c r="AW360" s="389" t="str">
        <f t="shared" si="35"/>
        <v/>
      </c>
      <c r="AX360" s="67" t="str">
        <f t="shared" ref="AX360:BH360" si="374">Z360</f>
        <v/>
      </c>
      <c r="AY360" s="67" t="str">
        <f t="shared" si="374"/>
        <v/>
      </c>
      <c r="AZ360" s="67" t="str">
        <f t="shared" si="374"/>
        <v/>
      </c>
      <c r="BA360" s="67" t="str">
        <f t="shared" si="374"/>
        <v/>
      </c>
      <c r="BB360" s="398" t="str">
        <f t="shared" si="374"/>
        <v/>
      </c>
      <c r="BC360" s="358" t="str">
        <f t="shared" si="374"/>
        <v/>
      </c>
      <c r="BD360" s="187" t="str">
        <f t="shared" si="374"/>
        <v/>
      </c>
      <c r="BE360" s="104" t="str">
        <f t="shared" si="374"/>
        <v/>
      </c>
      <c r="BF360" s="389" t="str">
        <f t="shared" si="374"/>
        <v/>
      </c>
      <c r="BG360" s="389" t="str">
        <f t="shared" si="374"/>
        <v>🔵 Chưa có hạn</v>
      </c>
      <c r="BH360" s="67" t="str">
        <f t="shared" si="374"/>
        <v/>
      </c>
      <c r="BI360" s="389" t="str">
        <f t="array" ref="BI360">IF($X360="","",SWITCH($W360,3,IFERROR(INDEX('Lớp 3 - Công việc chính'!$AF$14:$AF$73,MATCH($X360,'Lớp 3 - Công việc chính'!$I$14:$I$73,0)),""),4,IFERROR(INDEX('Lớp 4 - Danh mục'!$AI$14:$AI$132,MATCH($X360,'Lớp 4 - Danh mục'!$I$14:$I$132,0)),""),5,IFERROR(INDEX('Lớp 5 - Phân công'!$AJ$14:$AJ$262,MATCH($X360,'Lớp 5 - Phân công'!$I$14:$I$262,0)),""),6,IFERROR(INDEX('Lớp 6 - Chi tiết'!$AM$14:$AM$267,MATCH($X360,'Lớp 6 - Chi tiết'!$I$14:$I$267,0)),""),""))</f>
        <v/>
      </c>
      <c r="BJ360" s="389" t="str">
        <f t="array" ref="BJ360">IF($X360="","",SWITCH($W360,3,IFERROR(INDEX('Lớp 3 - Công việc chính'!$AR$14:$AR$73,MATCH($X360,'Lớp 3 - Công việc chính'!$I$14:$I$73,0)),""),4,IFERROR(INDEX('Lớp 4 - Danh mục'!$AU$14:$AU$132,MATCH($X360,'Lớp 4 - Danh mục'!$I$14:$I$132,0)),""),5,IFERROR(INDEX('Lớp 5 - Phân công'!$AV$14:$AV$262,MATCH($X360,'Lớp 5 - Phân công'!$I$14:$I$262,0)),""),6,IFERROR(INDEX('Lớp 6 - Chi tiết'!$AY$14:$AY$267,MATCH($X360,'Lớp 6 - Chi tiết'!$I$14:$I$267,0)),""),""))</f>
        <v/>
      </c>
    </row>
    <row r="361" ht="15.75" customHeight="1">
      <c r="A361" s="294" t="str">
        <f t="shared" si="12"/>
        <v/>
      </c>
      <c r="B361" s="301" t="str">
        <f t="shared" si="13"/>
        <v/>
      </c>
      <c r="C361" s="301" t="str">
        <f t="shared" si="14"/>
        <v/>
      </c>
      <c r="D361" s="301" t="str">
        <f t="shared" si="15"/>
        <v/>
      </c>
      <c r="E361" s="301" t="str">
        <f t="shared" si="16"/>
        <v/>
      </c>
      <c r="F361" s="317" t="str">
        <f t="shared" si="17"/>
        <v/>
      </c>
      <c r="G361" s="323" t="str">
        <f t="shared" si="18"/>
        <v/>
      </c>
      <c r="H361" s="327" t="str">
        <f t="shared" si="19"/>
        <v/>
      </c>
      <c r="I361" s="327" t="str">
        <f t="shared" si="20"/>
        <v/>
      </c>
      <c r="J361" s="301" t="str">
        <f t="shared" si="21"/>
        <v/>
      </c>
      <c r="K361" s="301" t="str">
        <f t="shared" si="22"/>
        <v/>
      </c>
      <c r="L361" s="344" t="str">
        <f t="array" ref="L361">IF($T361="","",LET(m,MATCH($T361,$AS$24:$AS$700,0),lvl,INDEX($W$24:$W$700,m),id,INDEX($X$24:$X$700,m),SWITCH(lvl,3,"Lớp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1" s="351" t="str">
        <f t="shared" si="23"/>
        <v/>
      </c>
      <c r="N361" s="356" t="str">
        <f t="shared" si="24"/>
        <v/>
      </c>
      <c r="O361" s="358"/>
      <c r="P361" s="360"/>
      <c r="Q361" s="360"/>
      <c r="R361" s="67"/>
      <c r="S361" s="67"/>
      <c r="T361" s="67"/>
      <c r="U361" s="389" t="str">
        <f>IF('Lớp 5 - Phân công'!I172="","",'Lớp 5 - Phân công'!K172&amp;"|"&amp;'Lớp 5 - Phân công'!J172&amp;"|"&amp;'Lớp 5 - Phân công'!I172)</f>
        <v/>
      </c>
      <c r="V361" s="389" t="str">
        <f>IF('Lớp 5 - Phân công'!I172="","","       ├─ "&amp;'Lớp 5 - Phân công'!Q172)</f>
        <v/>
      </c>
      <c r="W361" s="389" t="str">
        <f>IF('Lớp 5 - Phân công'!I172="","",5)</f>
        <v/>
      </c>
      <c r="X361" s="67" t="str">
        <f>'Lớp 5 - Phân công'!I172</f>
        <v/>
      </c>
      <c r="Y361" s="67" t="str">
        <f>'Lớp 5 - Phân công'!J172</f>
        <v/>
      </c>
      <c r="Z361" s="67" t="str">
        <f>'Lớp 5 - Phân công'!AA172</f>
        <v/>
      </c>
      <c r="AA361" s="67" t="str">
        <f>'Lớp 5 - Phân công'!Z172</f>
        <v/>
      </c>
      <c r="AB361" s="67" t="str">
        <f>'Lớp 5 - Phân công'!AC172</f>
        <v/>
      </c>
      <c r="AC361" s="67" t="str">
        <f>'Lớp 5 - Phân công'!AB172</f>
        <v/>
      </c>
      <c r="AD361" s="398" t="str">
        <f>'Lớp 5 - Phân công'!AG172</f>
        <v/>
      </c>
      <c r="AE361" s="358" t="str">
        <f>'Lớp 5 - Phân công'!AE172</f>
        <v/>
      </c>
      <c r="AF361" s="187" t="str">
        <f>'Lớp 5 - Phân công'!AH172</f>
        <v/>
      </c>
      <c r="AG361" s="104" t="str">
        <f>'Lớp 5 - Phân công'!AI172</f>
        <v/>
      </c>
      <c r="AH361" s="389" t="str">
        <f t="shared" si="27"/>
        <v/>
      </c>
      <c r="AI361" s="389" t="str">
        <f t="shared" si="37"/>
        <v>🔵 Chưa có hạn</v>
      </c>
      <c r="AJ361" s="67" t="str">
        <f>'Lớp 5 - Phân công'!AL172</f>
        <v/>
      </c>
      <c r="AS361" s="389" t="str">
        <f t="shared" si="217"/>
        <v/>
      </c>
      <c r="AT361" s="389" t="str">
        <f t="shared" si="32"/>
        <v/>
      </c>
      <c r="AU361" s="389" t="str">
        <f t="shared" si="33"/>
        <v/>
      </c>
      <c r="AV361" s="389" t="str">
        <f t="shared" si="34"/>
        <v/>
      </c>
      <c r="AW361" s="389" t="str">
        <f t="shared" si="35"/>
        <v/>
      </c>
      <c r="AX361" s="67" t="str">
        <f t="shared" ref="AX361:BH361" si="375">Z361</f>
        <v/>
      </c>
      <c r="AY361" s="67" t="str">
        <f t="shared" si="375"/>
        <v/>
      </c>
      <c r="AZ361" s="67" t="str">
        <f t="shared" si="375"/>
        <v/>
      </c>
      <c r="BA361" s="67" t="str">
        <f t="shared" si="375"/>
        <v/>
      </c>
      <c r="BB361" s="398" t="str">
        <f t="shared" si="375"/>
        <v/>
      </c>
      <c r="BC361" s="358" t="str">
        <f t="shared" si="375"/>
        <v/>
      </c>
      <c r="BD361" s="187" t="str">
        <f t="shared" si="375"/>
        <v/>
      </c>
      <c r="BE361" s="104" t="str">
        <f t="shared" si="375"/>
        <v/>
      </c>
      <c r="BF361" s="389" t="str">
        <f t="shared" si="375"/>
        <v/>
      </c>
      <c r="BG361" s="389" t="str">
        <f t="shared" si="375"/>
        <v>🔵 Chưa có hạn</v>
      </c>
      <c r="BH361" s="67" t="str">
        <f t="shared" si="375"/>
        <v/>
      </c>
      <c r="BI361" s="389" t="str">
        <f t="array" ref="BI361">IF($X361="","",SWITCH($W361,3,IFERROR(INDEX('Lớp 3 - Công việc chính'!$AF$14:$AF$73,MATCH($X361,'Lớp 3 - Công việc chính'!$I$14:$I$73,0)),""),4,IFERROR(INDEX('Lớp 4 - Danh mục'!$AI$14:$AI$132,MATCH($X361,'Lớp 4 - Danh mục'!$I$14:$I$132,0)),""),5,IFERROR(INDEX('Lớp 5 - Phân công'!$AJ$14:$AJ$262,MATCH($X361,'Lớp 5 - Phân công'!$I$14:$I$262,0)),""),6,IFERROR(INDEX('Lớp 6 - Chi tiết'!$AM$14:$AM$267,MATCH($X361,'Lớp 6 - Chi tiết'!$I$14:$I$267,0)),""),""))</f>
        <v/>
      </c>
      <c r="BJ361" s="389" t="str">
        <f t="array" ref="BJ361">IF($X361="","",SWITCH($W361,3,IFERROR(INDEX('Lớp 3 - Công việc chính'!$AR$14:$AR$73,MATCH($X361,'Lớp 3 - Công việc chính'!$I$14:$I$73,0)),""),4,IFERROR(INDEX('Lớp 4 - Danh mục'!$AU$14:$AU$132,MATCH($X361,'Lớp 4 - Danh mục'!$I$14:$I$132,0)),""),5,IFERROR(INDEX('Lớp 5 - Phân công'!$AV$14:$AV$262,MATCH($X361,'Lớp 5 - Phân công'!$I$14:$I$262,0)),""),6,IFERROR(INDEX('Lớp 6 - Chi tiết'!$AY$14:$AY$267,MATCH($X361,'Lớp 6 - Chi tiết'!$I$14:$I$267,0)),""),""))</f>
        <v/>
      </c>
    </row>
    <row r="362" ht="15.75" customHeight="1">
      <c r="A362" s="294" t="str">
        <f t="shared" si="12"/>
        <v/>
      </c>
      <c r="B362" s="301" t="str">
        <f t="shared" si="13"/>
        <v/>
      </c>
      <c r="C362" s="301" t="str">
        <f t="shared" si="14"/>
        <v/>
      </c>
      <c r="D362" s="301" t="str">
        <f t="shared" si="15"/>
        <v/>
      </c>
      <c r="E362" s="301" t="str">
        <f t="shared" si="16"/>
        <v/>
      </c>
      <c r="F362" s="317" t="str">
        <f t="shared" si="17"/>
        <v/>
      </c>
      <c r="G362" s="323" t="str">
        <f t="shared" si="18"/>
        <v/>
      </c>
      <c r="H362" s="327" t="str">
        <f t="shared" si="19"/>
        <v/>
      </c>
      <c r="I362" s="327" t="str">
        <f t="shared" si="20"/>
        <v/>
      </c>
      <c r="J362" s="301" t="str">
        <f t="shared" si="21"/>
        <v/>
      </c>
      <c r="K362" s="301" t="str">
        <f t="shared" si="22"/>
        <v/>
      </c>
      <c r="L362" s="344" t="str">
        <f t="array" ref="L362">IF($T362="","",LET(m,MATCH($T362,$AS$24:$AS$700,0),lvl,INDEX($W$24:$W$700,m),id,INDEX($X$24:$X$700,m),SWITCH(lvl,3,"Lớp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2" s="351" t="str">
        <f t="shared" si="23"/>
        <v/>
      </c>
      <c r="N362" s="356" t="str">
        <f t="shared" si="24"/>
        <v/>
      </c>
      <c r="O362" s="358"/>
      <c r="P362" s="360"/>
      <c r="Q362" s="360"/>
      <c r="R362" s="67"/>
      <c r="S362" s="67"/>
      <c r="T362" s="67"/>
      <c r="U362" s="389" t="str">
        <f>IF('Lớp 5 - Phân công'!I173="","",'Lớp 5 - Phân công'!K173&amp;"|"&amp;'Lớp 5 - Phân công'!J173&amp;"|"&amp;'Lớp 5 - Phân công'!I173)</f>
        <v/>
      </c>
      <c r="V362" s="389" t="str">
        <f>IF('Lớp 5 - Phân công'!I173="","","       ├─ "&amp;'Lớp 5 - Phân công'!Q173)</f>
        <v/>
      </c>
      <c r="W362" s="389" t="str">
        <f>IF('Lớp 5 - Phân công'!I173="","",5)</f>
        <v/>
      </c>
      <c r="X362" s="67" t="str">
        <f>'Lớp 5 - Phân công'!I173</f>
        <v/>
      </c>
      <c r="Y362" s="67" t="str">
        <f>'Lớp 5 - Phân công'!J173</f>
        <v/>
      </c>
      <c r="Z362" s="67" t="str">
        <f>'Lớp 5 - Phân công'!AA173</f>
        <v/>
      </c>
      <c r="AA362" s="67" t="str">
        <f>'Lớp 5 - Phân công'!Z173</f>
        <v/>
      </c>
      <c r="AB362" s="67" t="str">
        <f>'Lớp 5 - Phân công'!AC173</f>
        <v/>
      </c>
      <c r="AC362" s="67" t="str">
        <f>'Lớp 5 - Phân công'!AB173</f>
        <v/>
      </c>
      <c r="AD362" s="398" t="str">
        <f>'Lớp 5 - Phân công'!AG173</f>
        <v/>
      </c>
      <c r="AE362" s="358" t="str">
        <f>'Lớp 5 - Phân công'!AE173</f>
        <v/>
      </c>
      <c r="AF362" s="187" t="str">
        <f>'Lớp 5 - Phân công'!AH173</f>
        <v/>
      </c>
      <c r="AG362" s="104" t="str">
        <f>'Lớp 5 - Phân công'!AI173</f>
        <v/>
      </c>
      <c r="AH362" s="389" t="str">
        <f t="shared" si="27"/>
        <v/>
      </c>
      <c r="AI362" s="389" t="str">
        <f t="shared" si="37"/>
        <v>🔵 Chưa có hạn</v>
      </c>
      <c r="AJ362" s="67" t="str">
        <f>'Lớp 5 - Phân công'!AL173</f>
        <v/>
      </c>
      <c r="AS362" s="389" t="str">
        <f t="shared" si="217"/>
        <v/>
      </c>
      <c r="AT362" s="389" t="str">
        <f t="shared" si="32"/>
        <v/>
      </c>
      <c r="AU362" s="389" t="str">
        <f t="shared" si="33"/>
        <v/>
      </c>
      <c r="AV362" s="389" t="str">
        <f t="shared" si="34"/>
        <v/>
      </c>
      <c r="AW362" s="389" t="str">
        <f t="shared" si="35"/>
        <v/>
      </c>
      <c r="AX362" s="67" t="str">
        <f t="shared" ref="AX362:BH362" si="376">Z362</f>
        <v/>
      </c>
      <c r="AY362" s="67" t="str">
        <f t="shared" si="376"/>
        <v/>
      </c>
      <c r="AZ362" s="67" t="str">
        <f t="shared" si="376"/>
        <v/>
      </c>
      <c r="BA362" s="67" t="str">
        <f t="shared" si="376"/>
        <v/>
      </c>
      <c r="BB362" s="398" t="str">
        <f t="shared" si="376"/>
        <v/>
      </c>
      <c r="BC362" s="358" t="str">
        <f t="shared" si="376"/>
        <v/>
      </c>
      <c r="BD362" s="187" t="str">
        <f t="shared" si="376"/>
        <v/>
      </c>
      <c r="BE362" s="104" t="str">
        <f t="shared" si="376"/>
        <v/>
      </c>
      <c r="BF362" s="389" t="str">
        <f t="shared" si="376"/>
        <v/>
      </c>
      <c r="BG362" s="389" t="str">
        <f t="shared" si="376"/>
        <v>🔵 Chưa có hạn</v>
      </c>
      <c r="BH362" s="67" t="str">
        <f t="shared" si="376"/>
        <v/>
      </c>
      <c r="BI362" s="389" t="str">
        <f t="array" ref="BI362">IF($X362="","",SWITCH($W362,3,IFERROR(INDEX('Lớp 3 - Công việc chính'!$AF$14:$AF$73,MATCH($X362,'Lớp 3 - Công việc chính'!$I$14:$I$73,0)),""),4,IFERROR(INDEX('Lớp 4 - Danh mục'!$AI$14:$AI$132,MATCH($X362,'Lớp 4 - Danh mục'!$I$14:$I$132,0)),""),5,IFERROR(INDEX('Lớp 5 - Phân công'!$AJ$14:$AJ$262,MATCH($X362,'Lớp 5 - Phân công'!$I$14:$I$262,0)),""),6,IFERROR(INDEX('Lớp 6 - Chi tiết'!$AM$14:$AM$267,MATCH($X362,'Lớp 6 - Chi tiết'!$I$14:$I$267,0)),""),""))</f>
        <v/>
      </c>
      <c r="BJ362" s="389" t="str">
        <f t="array" ref="BJ362">IF($X362="","",SWITCH($W362,3,IFERROR(INDEX('Lớp 3 - Công việc chính'!$AR$14:$AR$73,MATCH($X362,'Lớp 3 - Công việc chính'!$I$14:$I$73,0)),""),4,IFERROR(INDEX('Lớp 4 - Danh mục'!$AU$14:$AU$132,MATCH($X362,'Lớp 4 - Danh mục'!$I$14:$I$132,0)),""),5,IFERROR(INDEX('Lớp 5 - Phân công'!$AV$14:$AV$262,MATCH($X362,'Lớp 5 - Phân công'!$I$14:$I$262,0)),""),6,IFERROR(INDEX('Lớp 6 - Chi tiết'!$AY$14:$AY$267,MATCH($X362,'Lớp 6 - Chi tiết'!$I$14:$I$267,0)),""),""))</f>
        <v/>
      </c>
    </row>
    <row r="363" ht="15.75" customHeight="1">
      <c r="A363" s="294" t="str">
        <f t="shared" si="12"/>
        <v/>
      </c>
      <c r="B363" s="301" t="str">
        <f t="shared" si="13"/>
        <v/>
      </c>
      <c r="C363" s="301" t="str">
        <f t="shared" si="14"/>
        <v/>
      </c>
      <c r="D363" s="301" t="str">
        <f t="shared" si="15"/>
        <v/>
      </c>
      <c r="E363" s="301" t="str">
        <f t="shared" si="16"/>
        <v/>
      </c>
      <c r="F363" s="317" t="str">
        <f t="shared" si="17"/>
        <v/>
      </c>
      <c r="G363" s="323" t="str">
        <f t="shared" si="18"/>
        <v/>
      </c>
      <c r="H363" s="327" t="str">
        <f t="shared" si="19"/>
        <v/>
      </c>
      <c r="I363" s="327" t="str">
        <f t="shared" si="20"/>
        <v/>
      </c>
      <c r="J363" s="301" t="str">
        <f t="shared" si="21"/>
        <v/>
      </c>
      <c r="K363" s="301" t="str">
        <f t="shared" si="22"/>
        <v/>
      </c>
      <c r="L363" s="344" t="str">
        <f t="array" ref="L363">IF($T363="","",LET(m,MATCH($T363,$AS$24:$AS$700,0),lvl,INDEX($W$24:$W$700,m),id,INDEX($X$24:$X$700,m),SWITCH(lvl,3,"Lớp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3" s="351" t="str">
        <f t="shared" si="23"/>
        <v/>
      </c>
      <c r="N363" s="356" t="str">
        <f t="shared" si="24"/>
        <v/>
      </c>
      <c r="O363" s="358"/>
      <c r="P363" s="360"/>
      <c r="Q363" s="360"/>
      <c r="R363" s="67"/>
      <c r="S363" s="67"/>
      <c r="T363" s="67"/>
      <c r="U363" s="389" t="str">
        <f>IF('Lớp 5 - Phân công'!I174="","",'Lớp 5 - Phân công'!K174&amp;"|"&amp;'Lớp 5 - Phân công'!J174&amp;"|"&amp;'Lớp 5 - Phân công'!I174)</f>
        <v/>
      </c>
      <c r="V363" s="389" t="str">
        <f>IF('Lớp 5 - Phân công'!I174="","","       ├─ "&amp;'Lớp 5 - Phân công'!Q174)</f>
        <v/>
      </c>
      <c r="W363" s="389" t="str">
        <f>IF('Lớp 5 - Phân công'!I174="","",5)</f>
        <v/>
      </c>
      <c r="X363" s="67" t="str">
        <f>'Lớp 5 - Phân công'!I174</f>
        <v/>
      </c>
      <c r="Y363" s="67" t="str">
        <f>'Lớp 5 - Phân công'!J174</f>
        <v/>
      </c>
      <c r="Z363" s="67" t="str">
        <f>'Lớp 5 - Phân công'!AA174</f>
        <v/>
      </c>
      <c r="AA363" s="67" t="str">
        <f>'Lớp 5 - Phân công'!Z174</f>
        <v/>
      </c>
      <c r="AB363" s="67" t="str">
        <f>'Lớp 5 - Phân công'!AC174</f>
        <v/>
      </c>
      <c r="AC363" s="67" t="str">
        <f>'Lớp 5 - Phân công'!AB174</f>
        <v/>
      </c>
      <c r="AD363" s="398" t="str">
        <f>'Lớp 5 - Phân công'!AG174</f>
        <v/>
      </c>
      <c r="AE363" s="358" t="str">
        <f>'Lớp 5 - Phân công'!AE174</f>
        <v/>
      </c>
      <c r="AF363" s="187" t="str">
        <f>'Lớp 5 - Phân công'!AH174</f>
        <v/>
      </c>
      <c r="AG363" s="104" t="str">
        <f>'Lớp 5 - Phân công'!AI174</f>
        <v/>
      </c>
      <c r="AH363" s="389" t="str">
        <f t="shared" si="27"/>
        <v/>
      </c>
      <c r="AI363" s="389" t="str">
        <f t="shared" si="37"/>
        <v>🔵 Chưa có hạn</v>
      </c>
      <c r="AJ363" s="67" t="str">
        <f>'Lớp 5 - Phân công'!AL174</f>
        <v/>
      </c>
      <c r="AS363" s="389" t="str">
        <f t="shared" si="217"/>
        <v/>
      </c>
      <c r="AT363" s="389" t="str">
        <f t="shared" si="32"/>
        <v/>
      </c>
      <c r="AU363" s="389" t="str">
        <f t="shared" si="33"/>
        <v/>
      </c>
      <c r="AV363" s="389" t="str">
        <f t="shared" si="34"/>
        <v/>
      </c>
      <c r="AW363" s="389" t="str">
        <f t="shared" si="35"/>
        <v/>
      </c>
      <c r="AX363" s="67" t="str">
        <f t="shared" ref="AX363:BH363" si="377">Z363</f>
        <v/>
      </c>
      <c r="AY363" s="67" t="str">
        <f t="shared" si="377"/>
        <v/>
      </c>
      <c r="AZ363" s="67" t="str">
        <f t="shared" si="377"/>
        <v/>
      </c>
      <c r="BA363" s="67" t="str">
        <f t="shared" si="377"/>
        <v/>
      </c>
      <c r="BB363" s="398" t="str">
        <f t="shared" si="377"/>
        <v/>
      </c>
      <c r="BC363" s="358" t="str">
        <f t="shared" si="377"/>
        <v/>
      </c>
      <c r="BD363" s="187" t="str">
        <f t="shared" si="377"/>
        <v/>
      </c>
      <c r="BE363" s="104" t="str">
        <f t="shared" si="377"/>
        <v/>
      </c>
      <c r="BF363" s="389" t="str">
        <f t="shared" si="377"/>
        <v/>
      </c>
      <c r="BG363" s="389" t="str">
        <f t="shared" si="377"/>
        <v>🔵 Chưa có hạn</v>
      </c>
      <c r="BH363" s="67" t="str">
        <f t="shared" si="377"/>
        <v/>
      </c>
      <c r="BI363" s="389" t="str">
        <f t="array" ref="BI363">IF($X363="","",SWITCH($W363,3,IFERROR(INDEX('Lớp 3 - Công việc chính'!$AF$14:$AF$73,MATCH($X363,'Lớp 3 - Công việc chính'!$I$14:$I$73,0)),""),4,IFERROR(INDEX('Lớp 4 - Danh mục'!$AI$14:$AI$132,MATCH($X363,'Lớp 4 - Danh mục'!$I$14:$I$132,0)),""),5,IFERROR(INDEX('Lớp 5 - Phân công'!$AJ$14:$AJ$262,MATCH($X363,'Lớp 5 - Phân công'!$I$14:$I$262,0)),""),6,IFERROR(INDEX('Lớp 6 - Chi tiết'!$AM$14:$AM$267,MATCH($X363,'Lớp 6 - Chi tiết'!$I$14:$I$267,0)),""),""))</f>
        <v/>
      </c>
      <c r="BJ363" s="389" t="str">
        <f t="array" ref="BJ363">IF($X363="","",SWITCH($W363,3,IFERROR(INDEX('Lớp 3 - Công việc chính'!$AR$14:$AR$73,MATCH($X363,'Lớp 3 - Công việc chính'!$I$14:$I$73,0)),""),4,IFERROR(INDEX('Lớp 4 - Danh mục'!$AU$14:$AU$132,MATCH($X363,'Lớp 4 - Danh mục'!$I$14:$I$132,0)),""),5,IFERROR(INDEX('Lớp 5 - Phân công'!$AV$14:$AV$262,MATCH($X363,'Lớp 5 - Phân công'!$I$14:$I$262,0)),""),6,IFERROR(INDEX('Lớp 6 - Chi tiết'!$AY$14:$AY$267,MATCH($X363,'Lớp 6 - Chi tiết'!$I$14:$I$267,0)),""),""))</f>
        <v/>
      </c>
    </row>
    <row r="364" ht="15.75" customHeight="1">
      <c r="A364" s="294" t="str">
        <f t="shared" si="12"/>
        <v/>
      </c>
      <c r="B364" s="301" t="str">
        <f t="shared" si="13"/>
        <v/>
      </c>
      <c r="C364" s="301" t="str">
        <f t="shared" si="14"/>
        <v/>
      </c>
      <c r="D364" s="301" t="str">
        <f t="shared" si="15"/>
        <v/>
      </c>
      <c r="E364" s="301" t="str">
        <f t="shared" si="16"/>
        <v/>
      </c>
      <c r="F364" s="317" t="str">
        <f t="shared" si="17"/>
        <v/>
      </c>
      <c r="G364" s="323" t="str">
        <f t="shared" si="18"/>
        <v/>
      </c>
      <c r="H364" s="327" t="str">
        <f t="shared" si="19"/>
        <v/>
      </c>
      <c r="I364" s="327" t="str">
        <f t="shared" si="20"/>
        <v/>
      </c>
      <c r="J364" s="301" t="str">
        <f t="shared" si="21"/>
        <v/>
      </c>
      <c r="K364" s="301" t="str">
        <f t="shared" si="22"/>
        <v/>
      </c>
      <c r="L364" s="344" t="str">
        <f t="array" ref="L364">IF($T364="","",LET(m,MATCH($T364,$AS$24:$AS$700,0),lvl,INDEX($W$24:$W$700,m),id,INDEX($X$24:$X$700,m),SWITCH(lvl,3,"Lớp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4" s="351" t="str">
        <f t="shared" si="23"/>
        <v/>
      </c>
      <c r="N364" s="356" t="str">
        <f t="shared" si="24"/>
        <v/>
      </c>
      <c r="O364" s="358"/>
      <c r="P364" s="360"/>
      <c r="Q364" s="360"/>
      <c r="R364" s="67"/>
      <c r="S364" s="67"/>
      <c r="T364" s="67"/>
      <c r="U364" s="389" t="str">
        <f>IF('Lớp 5 - Phân công'!I175="","",'Lớp 5 - Phân công'!K175&amp;"|"&amp;'Lớp 5 - Phân công'!J175&amp;"|"&amp;'Lớp 5 - Phân công'!I175)</f>
        <v/>
      </c>
      <c r="V364" s="389" t="str">
        <f>IF('Lớp 5 - Phân công'!I175="","","       ├─ "&amp;'Lớp 5 - Phân công'!Q175)</f>
        <v/>
      </c>
      <c r="W364" s="389" t="str">
        <f>IF('Lớp 5 - Phân công'!I175="","",5)</f>
        <v/>
      </c>
      <c r="X364" s="67" t="str">
        <f>'Lớp 5 - Phân công'!I175</f>
        <v/>
      </c>
      <c r="Y364" s="67" t="str">
        <f>'Lớp 5 - Phân công'!J175</f>
        <v/>
      </c>
      <c r="Z364" s="67" t="str">
        <f>'Lớp 5 - Phân công'!AA175</f>
        <v/>
      </c>
      <c r="AA364" s="67" t="str">
        <f>'Lớp 5 - Phân công'!Z175</f>
        <v/>
      </c>
      <c r="AB364" s="67" t="str">
        <f>'Lớp 5 - Phân công'!AC175</f>
        <v/>
      </c>
      <c r="AC364" s="67" t="str">
        <f>'Lớp 5 - Phân công'!AB175</f>
        <v/>
      </c>
      <c r="AD364" s="398" t="str">
        <f>'Lớp 5 - Phân công'!AG175</f>
        <v/>
      </c>
      <c r="AE364" s="358" t="str">
        <f>'Lớp 5 - Phân công'!AE175</f>
        <v/>
      </c>
      <c r="AF364" s="187" t="str">
        <f>'Lớp 5 - Phân công'!AH175</f>
        <v/>
      </c>
      <c r="AG364" s="104" t="str">
        <f>'Lớp 5 - Phân công'!AI175</f>
        <v/>
      </c>
      <c r="AH364" s="389" t="str">
        <f t="shared" si="27"/>
        <v/>
      </c>
      <c r="AI364" s="389" t="str">
        <f t="shared" si="37"/>
        <v>🔵 Chưa có hạn</v>
      </c>
      <c r="AJ364" s="67" t="str">
        <f>'Lớp 5 - Phân công'!AL175</f>
        <v/>
      </c>
      <c r="AS364" s="389" t="str">
        <f t="shared" si="217"/>
        <v/>
      </c>
      <c r="AT364" s="389" t="str">
        <f t="shared" si="32"/>
        <v/>
      </c>
      <c r="AU364" s="389" t="str">
        <f t="shared" si="33"/>
        <v/>
      </c>
      <c r="AV364" s="389" t="str">
        <f t="shared" si="34"/>
        <v/>
      </c>
      <c r="AW364" s="389" t="str">
        <f t="shared" si="35"/>
        <v/>
      </c>
      <c r="AX364" s="67" t="str">
        <f t="shared" ref="AX364:BH364" si="378">Z364</f>
        <v/>
      </c>
      <c r="AY364" s="67" t="str">
        <f t="shared" si="378"/>
        <v/>
      </c>
      <c r="AZ364" s="67" t="str">
        <f t="shared" si="378"/>
        <v/>
      </c>
      <c r="BA364" s="67" t="str">
        <f t="shared" si="378"/>
        <v/>
      </c>
      <c r="BB364" s="398" t="str">
        <f t="shared" si="378"/>
        <v/>
      </c>
      <c r="BC364" s="358" t="str">
        <f t="shared" si="378"/>
        <v/>
      </c>
      <c r="BD364" s="187" t="str">
        <f t="shared" si="378"/>
        <v/>
      </c>
      <c r="BE364" s="104" t="str">
        <f t="shared" si="378"/>
        <v/>
      </c>
      <c r="BF364" s="389" t="str">
        <f t="shared" si="378"/>
        <v/>
      </c>
      <c r="BG364" s="389" t="str">
        <f t="shared" si="378"/>
        <v>🔵 Chưa có hạn</v>
      </c>
      <c r="BH364" s="67" t="str">
        <f t="shared" si="378"/>
        <v/>
      </c>
      <c r="BI364" s="389" t="str">
        <f t="array" ref="BI364">IF($X364="","",SWITCH($W364,3,IFERROR(INDEX('Lớp 3 - Công việc chính'!$AF$14:$AF$73,MATCH($X364,'Lớp 3 - Công việc chính'!$I$14:$I$73,0)),""),4,IFERROR(INDEX('Lớp 4 - Danh mục'!$AI$14:$AI$132,MATCH($X364,'Lớp 4 - Danh mục'!$I$14:$I$132,0)),""),5,IFERROR(INDEX('Lớp 5 - Phân công'!$AJ$14:$AJ$262,MATCH($X364,'Lớp 5 - Phân công'!$I$14:$I$262,0)),""),6,IFERROR(INDEX('Lớp 6 - Chi tiết'!$AM$14:$AM$267,MATCH($X364,'Lớp 6 - Chi tiết'!$I$14:$I$267,0)),""),""))</f>
        <v/>
      </c>
      <c r="BJ364" s="389" t="str">
        <f t="array" ref="BJ364">IF($X364="","",SWITCH($W364,3,IFERROR(INDEX('Lớp 3 - Công việc chính'!$AR$14:$AR$73,MATCH($X364,'Lớp 3 - Công việc chính'!$I$14:$I$73,0)),""),4,IFERROR(INDEX('Lớp 4 - Danh mục'!$AU$14:$AU$132,MATCH($X364,'Lớp 4 - Danh mục'!$I$14:$I$132,0)),""),5,IFERROR(INDEX('Lớp 5 - Phân công'!$AV$14:$AV$262,MATCH($X364,'Lớp 5 - Phân công'!$I$14:$I$262,0)),""),6,IFERROR(INDEX('Lớp 6 - Chi tiết'!$AY$14:$AY$267,MATCH($X364,'Lớp 6 - Chi tiết'!$I$14:$I$267,0)),""),""))</f>
        <v/>
      </c>
    </row>
    <row r="365" ht="15.75" customHeight="1">
      <c r="A365" s="294" t="str">
        <f t="shared" si="12"/>
        <v/>
      </c>
      <c r="B365" s="301" t="str">
        <f t="shared" si="13"/>
        <v/>
      </c>
      <c r="C365" s="301" t="str">
        <f t="shared" si="14"/>
        <v/>
      </c>
      <c r="D365" s="301" t="str">
        <f t="shared" si="15"/>
        <v/>
      </c>
      <c r="E365" s="301" t="str">
        <f t="shared" si="16"/>
        <v/>
      </c>
      <c r="F365" s="317" t="str">
        <f t="shared" si="17"/>
        <v/>
      </c>
      <c r="G365" s="323" t="str">
        <f t="shared" si="18"/>
        <v/>
      </c>
      <c r="H365" s="327" t="str">
        <f t="shared" si="19"/>
        <v/>
      </c>
      <c r="I365" s="327" t="str">
        <f t="shared" si="20"/>
        <v/>
      </c>
      <c r="J365" s="301" t="str">
        <f t="shared" si="21"/>
        <v/>
      </c>
      <c r="K365" s="301" t="str">
        <f t="shared" si="22"/>
        <v/>
      </c>
      <c r="L365" s="344" t="str">
        <f t="array" ref="L365">IF($T365="","",LET(m,MATCH($T365,$AS$24:$AS$700,0),lvl,INDEX($W$24:$W$700,m),id,INDEX($X$24:$X$700,m),SWITCH(lvl,3,"Lớp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5" s="351" t="str">
        <f t="shared" si="23"/>
        <v/>
      </c>
      <c r="N365" s="356" t="str">
        <f t="shared" si="24"/>
        <v/>
      </c>
      <c r="O365" s="358"/>
      <c r="P365" s="360"/>
      <c r="Q365" s="360"/>
      <c r="R365" s="67"/>
      <c r="S365" s="67"/>
      <c r="T365" s="67"/>
      <c r="U365" s="389" t="str">
        <f>IF('Lớp 5 - Phân công'!I176="","",'Lớp 5 - Phân công'!K176&amp;"|"&amp;'Lớp 5 - Phân công'!J176&amp;"|"&amp;'Lớp 5 - Phân công'!I176)</f>
        <v/>
      </c>
      <c r="V365" s="389" t="str">
        <f>IF('Lớp 5 - Phân công'!I176="","","       ├─ "&amp;'Lớp 5 - Phân công'!Q176)</f>
        <v/>
      </c>
      <c r="W365" s="389" t="str">
        <f>IF('Lớp 5 - Phân công'!I176="","",5)</f>
        <v/>
      </c>
      <c r="X365" s="67" t="str">
        <f>'Lớp 5 - Phân công'!I176</f>
        <v/>
      </c>
      <c r="Y365" s="67" t="str">
        <f>'Lớp 5 - Phân công'!J176</f>
        <v/>
      </c>
      <c r="Z365" s="67" t="str">
        <f>'Lớp 5 - Phân công'!AA176</f>
        <v/>
      </c>
      <c r="AA365" s="67" t="str">
        <f>'Lớp 5 - Phân công'!Z176</f>
        <v/>
      </c>
      <c r="AB365" s="67" t="str">
        <f>'Lớp 5 - Phân công'!AC176</f>
        <v/>
      </c>
      <c r="AC365" s="67" t="str">
        <f>'Lớp 5 - Phân công'!AB176</f>
        <v/>
      </c>
      <c r="AD365" s="398" t="str">
        <f>'Lớp 5 - Phân công'!AG176</f>
        <v/>
      </c>
      <c r="AE365" s="358" t="str">
        <f>'Lớp 5 - Phân công'!AE176</f>
        <v/>
      </c>
      <c r="AF365" s="187" t="str">
        <f>'Lớp 5 - Phân công'!AH176</f>
        <v/>
      </c>
      <c r="AG365" s="104" t="str">
        <f>'Lớp 5 - Phân công'!AI176</f>
        <v/>
      </c>
      <c r="AH365" s="389" t="str">
        <f t="shared" si="27"/>
        <v/>
      </c>
      <c r="AI365" s="389" t="str">
        <f t="shared" si="37"/>
        <v>🔵 Chưa có hạn</v>
      </c>
      <c r="AJ365" s="67" t="str">
        <f>'Lớp 5 - Phân công'!AL176</f>
        <v/>
      </c>
      <c r="AS365" s="389" t="str">
        <f t="shared" si="217"/>
        <v/>
      </c>
      <c r="AT365" s="389" t="str">
        <f t="shared" si="32"/>
        <v/>
      </c>
      <c r="AU365" s="389" t="str">
        <f t="shared" si="33"/>
        <v/>
      </c>
      <c r="AV365" s="389" t="str">
        <f t="shared" si="34"/>
        <v/>
      </c>
      <c r="AW365" s="389" t="str">
        <f t="shared" si="35"/>
        <v/>
      </c>
      <c r="AX365" s="67" t="str">
        <f t="shared" ref="AX365:BH365" si="379">Z365</f>
        <v/>
      </c>
      <c r="AY365" s="67" t="str">
        <f t="shared" si="379"/>
        <v/>
      </c>
      <c r="AZ365" s="67" t="str">
        <f t="shared" si="379"/>
        <v/>
      </c>
      <c r="BA365" s="67" t="str">
        <f t="shared" si="379"/>
        <v/>
      </c>
      <c r="BB365" s="398" t="str">
        <f t="shared" si="379"/>
        <v/>
      </c>
      <c r="BC365" s="358" t="str">
        <f t="shared" si="379"/>
        <v/>
      </c>
      <c r="BD365" s="187" t="str">
        <f t="shared" si="379"/>
        <v/>
      </c>
      <c r="BE365" s="104" t="str">
        <f t="shared" si="379"/>
        <v/>
      </c>
      <c r="BF365" s="389" t="str">
        <f t="shared" si="379"/>
        <v/>
      </c>
      <c r="BG365" s="389" t="str">
        <f t="shared" si="379"/>
        <v>🔵 Chưa có hạn</v>
      </c>
      <c r="BH365" s="67" t="str">
        <f t="shared" si="379"/>
        <v/>
      </c>
      <c r="BI365" s="389" t="str">
        <f t="array" ref="BI365">IF($X365="","",SWITCH($W365,3,IFERROR(INDEX('Lớp 3 - Công việc chính'!$AF$14:$AF$73,MATCH($X365,'Lớp 3 - Công việc chính'!$I$14:$I$73,0)),""),4,IFERROR(INDEX('Lớp 4 - Danh mục'!$AI$14:$AI$132,MATCH($X365,'Lớp 4 - Danh mục'!$I$14:$I$132,0)),""),5,IFERROR(INDEX('Lớp 5 - Phân công'!$AJ$14:$AJ$262,MATCH($X365,'Lớp 5 - Phân công'!$I$14:$I$262,0)),""),6,IFERROR(INDEX('Lớp 6 - Chi tiết'!$AM$14:$AM$267,MATCH($X365,'Lớp 6 - Chi tiết'!$I$14:$I$267,0)),""),""))</f>
        <v/>
      </c>
      <c r="BJ365" s="389" t="str">
        <f t="array" ref="BJ365">IF($X365="","",SWITCH($W365,3,IFERROR(INDEX('Lớp 3 - Công việc chính'!$AR$14:$AR$73,MATCH($X365,'Lớp 3 - Công việc chính'!$I$14:$I$73,0)),""),4,IFERROR(INDEX('Lớp 4 - Danh mục'!$AU$14:$AU$132,MATCH($X365,'Lớp 4 - Danh mục'!$I$14:$I$132,0)),""),5,IFERROR(INDEX('Lớp 5 - Phân công'!$AV$14:$AV$262,MATCH($X365,'Lớp 5 - Phân công'!$I$14:$I$262,0)),""),6,IFERROR(INDEX('Lớp 6 - Chi tiết'!$AY$14:$AY$267,MATCH($X365,'Lớp 6 - Chi tiết'!$I$14:$I$267,0)),""),""))</f>
        <v/>
      </c>
    </row>
    <row r="366" ht="15.75" customHeight="1">
      <c r="A366" s="294" t="str">
        <f t="shared" si="12"/>
        <v/>
      </c>
      <c r="B366" s="301" t="str">
        <f t="shared" si="13"/>
        <v/>
      </c>
      <c r="C366" s="301" t="str">
        <f t="shared" si="14"/>
        <v/>
      </c>
      <c r="D366" s="301" t="str">
        <f t="shared" si="15"/>
        <v/>
      </c>
      <c r="E366" s="301" t="str">
        <f t="shared" si="16"/>
        <v/>
      </c>
      <c r="F366" s="317" t="str">
        <f t="shared" si="17"/>
        <v/>
      </c>
      <c r="G366" s="323" t="str">
        <f t="shared" si="18"/>
        <v/>
      </c>
      <c r="H366" s="327" t="str">
        <f t="shared" si="19"/>
        <v/>
      </c>
      <c r="I366" s="327" t="str">
        <f t="shared" si="20"/>
        <v/>
      </c>
      <c r="J366" s="301" t="str">
        <f t="shared" si="21"/>
        <v/>
      </c>
      <c r="K366" s="301" t="str">
        <f t="shared" si="22"/>
        <v/>
      </c>
      <c r="L366" s="344" t="str">
        <f t="array" ref="L366">IF($T366="","",LET(m,MATCH($T366,$AS$24:$AS$700,0),lvl,INDEX($W$24:$W$700,m),id,INDEX($X$24:$X$700,m),SWITCH(lvl,3,"Lớp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6" s="351" t="str">
        <f t="shared" si="23"/>
        <v/>
      </c>
      <c r="N366" s="356" t="str">
        <f t="shared" si="24"/>
        <v/>
      </c>
      <c r="O366" s="358"/>
      <c r="P366" s="360"/>
      <c r="Q366" s="360"/>
      <c r="R366" s="67"/>
      <c r="S366" s="67"/>
      <c r="T366" s="67"/>
      <c r="U366" s="389" t="str">
        <f>IF('Lớp 5 - Phân công'!I177="","",'Lớp 5 - Phân công'!K177&amp;"|"&amp;'Lớp 5 - Phân công'!J177&amp;"|"&amp;'Lớp 5 - Phân công'!I177)</f>
        <v/>
      </c>
      <c r="V366" s="389" t="str">
        <f>IF('Lớp 5 - Phân công'!I177="","","       ├─ "&amp;'Lớp 5 - Phân công'!Q177)</f>
        <v/>
      </c>
      <c r="W366" s="389" t="str">
        <f>IF('Lớp 5 - Phân công'!I177="","",5)</f>
        <v/>
      </c>
      <c r="X366" s="67" t="str">
        <f>'Lớp 5 - Phân công'!I177</f>
        <v/>
      </c>
      <c r="Y366" s="67" t="str">
        <f>'Lớp 5 - Phân công'!J177</f>
        <v/>
      </c>
      <c r="Z366" s="67" t="str">
        <f>'Lớp 5 - Phân công'!AA177</f>
        <v/>
      </c>
      <c r="AA366" s="67" t="str">
        <f>'Lớp 5 - Phân công'!Z177</f>
        <v/>
      </c>
      <c r="AB366" s="67" t="str">
        <f>'Lớp 5 - Phân công'!AC177</f>
        <v/>
      </c>
      <c r="AC366" s="67" t="str">
        <f>'Lớp 5 - Phân công'!AB177</f>
        <v/>
      </c>
      <c r="AD366" s="398" t="str">
        <f>'Lớp 5 - Phân công'!AG177</f>
        <v/>
      </c>
      <c r="AE366" s="358" t="str">
        <f>'Lớp 5 - Phân công'!AE177</f>
        <v/>
      </c>
      <c r="AF366" s="187" t="str">
        <f>'Lớp 5 - Phân công'!AH177</f>
        <v/>
      </c>
      <c r="AG366" s="104" t="str">
        <f>'Lớp 5 - Phân công'!AI177</f>
        <v/>
      </c>
      <c r="AH366" s="389" t="str">
        <f t="shared" si="27"/>
        <v/>
      </c>
      <c r="AI366" s="389" t="str">
        <f t="shared" si="37"/>
        <v>🔵 Chưa có hạn</v>
      </c>
      <c r="AJ366" s="67" t="str">
        <f>'Lớp 5 - Phân công'!AL177</f>
        <v/>
      </c>
      <c r="AS366" s="389" t="str">
        <f t="shared" si="217"/>
        <v/>
      </c>
      <c r="AT366" s="389" t="str">
        <f t="shared" si="32"/>
        <v/>
      </c>
      <c r="AU366" s="389" t="str">
        <f t="shared" si="33"/>
        <v/>
      </c>
      <c r="AV366" s="389" t="str">
        <f t="shared" si="34"/>
        <v/>
      </c>
      <c r="AW366" s="389" t="str">
        <f t="shared" si="35"/>
        <v/>
      </c>
      <c r="AX366" s="67" t="str">
        <f t="shared" ref="AX366:BH366" si="380">Z366</f>
        <v/>
      </c>
      <c r="AY366" s="67" t="str">
        <f t="shared" si="380"/>
        <v/>
      </c>
      <c r="AZ366" s="67" t="str">
        <f t="shared" si="380"/>
        <v/>
      </c>
      <c r="BA366" s="67" t="str">
        <f t="shared" si="380"/>
        <v/>
      </c>
      <c r="BB366" s="398" t="str">
        <f t="shared" si="380"/>
        <v/>
      </c>
      <c r="BC366" s="358" t="str">
        <f t="shared" si="380"/>
        <v/>
      </c>
      <c r="BD366" s="187" t="str">
        <f t="shared" si="380"/>
        <v/>
      </c>
      <c r="BE366" s="104" t="str">
        <f t="shared" si="380"/>
        <v/>
      </c>
      <c r="BF366" s="389" t="str">
        <f t="shared" si="380"/>
        <v/>
      </c>
      <c r="BG366" s="389" t="str">
        <f t="shared" si="380"/>
        <v>🔵 Chưa có hạn</v>
      </c>
      <c r="BH366" s="67" t="str">
        <f t="shared" si="380"/>
        <v/>
      </c>
      <c r="BI366" s="389" t="str">
        <f t="array" ref="BI366">IF($X366="","",SWITCH($W366,3,IFERROR(INDEX('Lớp 3 - Công việc chính'!$AF$14:$AF$73,MATCH($X366,'Lớp 3 - Công việc chính'!$I$14:$I$73,0)),""),4,IFERROR(INDEX('Lớp 4 - Danh mục'!$AI$14:$AI$132,MATCH($X366,'Lớp 4 - Danh mục'!$I$14:$I$132,0)),""),5,IFERROR(INDEX('Lớp 5 - Phân công'!$AJ$14:$AJ$262,MATCH($X366,'Lớp 5 - Phân công'!$I$14:$I$262,0)),""),6,IFERROR(INDEX('Lớp 6 - Chi tiết'!$AM$14:$AM$267,MATCH($X366,'Lớp 6 - Chi tiết'!$I$14:$I$267,0)),""),""))</f>
        <v/>
      </c>
      <c r="BJ366" s="389" t="str">
        <f t="array" ref="BJ366">IF($X366="","",SWITCH($W366,3,IFERROR(INDEX('Lớp 3 - Công việc chính'!$AR$14:$AR$73,MATCH($X366,'Lớp 3 - Công việc chính'!$I$14:$I$73,0)),""),4,IFERROR(INDEX('Lớp 4 - Danh mục'!$AU$14:$AU$132,MATCH($X366,'Lớp 4 - Danh mục'!$I$14:$I$132,0)),""),5,IFERROR(INDEX('Lớp 5 - Phân công'!$AV$14:$AV$262,MATCH($X366,'Lớp 5 - Phân công'!$I$14:$I$262,0)),""),6,IFERROR(INDEX('Lớp 6 - Chi tiết'!$AY$14:$AY$267,MATCH($X366,'Lớp 6 - Chi tiết'!$I$14:$I$267,0)),""),""))</f>
        <v/>
      </c>
    </row>
    <row r="367" ht="15.75" customHeight="1">
      <c r="A367" s="294" t="str">
        <f t="shared" si="12"/>
        <v/>
      </c>
      <c r="B367" s="301" t="str">
        <f t="shared" si="13"/>
        <v/>
      </c>
      <c r="C367" s="301" t="str">
        <f t="shared" si="14"/>
        <v/>
      </c>
      <c r="D367" s="301" t="str">
        <f t="shared" si="15"/>
        <v/>
      </c>
      <c r="E367" s="301" t="str">
        <f t="shared" si="16"/>
        <v/>
      </c>
      <c r="F367" s="317" t="str">
        <f t="shared" si="17"/>
        <v/>
      </c>
      <c r="G367" s="323" t="str">
        <f t="shared" si="18"/>
        <v/>
      </c>
      <c r="H367" s="327" t="str">
        <f t="shared" si="19"/>
        <v/>
      </c>
      <c r="I367" s="327" t="str">
        <f t="shared" si="20"/>
        <v/>
      </c>
      <c r="J367" s="301" t="str">
        <f t="shared" si="21"/>
        <v/>
      </c>
      <c r="K367" s="301" t="str">
        <f t="shared" si="22"/>
        <v/>
      </c>
      <c r="L367" s="344" t="str">
        <f t="array" ref="L367">IF($T367="","",LET(m,MATCH($T367,$AS$24:$AS$700,0),lvl,INDEX($W$24:$W$700,m),id,INDEX($X$24:$X$700,m),SWITCH(lvl,3,"Lớp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7" s="351" t="str">
        <f t="shared" si="23"/>
        <v/>
      </c>
      <c r="N367" s="356" t="str">
        <f t="shared" si="24"/>
        <v/>
      </c>
      <c r="O367" s="358"/>
      <c r="P367" s="360"/>
      <c r="Q367" s="360"/>
      <c r="R367" s="67"/>
      <c r="S367" s="67"/>
      <c r="T367" s="67"/>
      <c r="U367" s="389" t="str">
        <f>IF('Lớp 5 - Phân công'!I178="","",'Lớp 5 - Phân công'!K178&amp;"|"&amp;'Lớp 5 - Phân công'!J178&amp;"|"&amp;'Lớp 5 - Phân công'!I178)</f>
        <v/>
      </c>
      <c r="V367" s="389" t="str">
        <f>IF('Lớp 5 - Phân công'!I178="","","       ├─ "&amp;'Lớp 5 - Phân công'!Q178)</f>
        <v/>
      </c>
      <c r="W367" s="389" t="str">
        <f>IF('Lớp 5 - Phân công'!I178="","",5)</f>
        <v/>
      </c>
      <c r="X367" s="67" t="str">
        <f>'Lớp 5 - Phân công'!I178</f>
        <v/>
      </c>
      <c r="Y367" s="67" t="str">
        <f>'Lớp 5 - Phân công'!J178</f>
        <v/>
      </c>
      <c r="Z367" s="67" t="str">
        <f>'Lớp 5 - Phân công'!AA178</f>
        <v/>
      </c>
      <c r="AA367" s="67" t="str">
        <f>'Lớp 5 - Phân công'!Z178</f>
        <v/>
      </c>
      <c r="AB367" s="67" t="str">
        <f>'Lớp 5 - Phân công'!AC178</f>
        <v/>
      </c>
      <c r="AC367" s="67" t="str">
        <f>'Lớp 5 - Phân công'!AB178</f>
        <v/>
      </c>
      <c r="AD367" s="398" t="str">
        <f>'Lớp 5 - Phân công'!AG178</f>
        <v/>
      </c>
      <c r="AE367" s="358" t="str">
        <f>'Lớp 5 - Phân công'!AE178</f>
        <v/>
      </c>
      <c r="AF367" s="187" t="str">
        <f>'Lớp 5 - Phân công'!AH178</f>
        <v/>
      </c>
      <c r="AG367" s="104" t="str">
        <f>'Lớp 5 - Phân công'!AI178</f>
        <v/>
      </c>
      <c r="AH367" s="389" t="str">
        <f t="shared" si="27"/>
        <v/>
      </c>
      <c r="AI367" s="389" t="str">
        <f t="shared" si="37"/>
        <v>🔵 Chưa có hạn</v>
      </c>
      <c r="AJ367" s="67" t="str">
        <f>'Lớp 5 - Phân công'!AL178</f>
        <v/>
      </c>
      <c r="AS367" s="389" t="str">
        <f t="shared" si="217"/>
        <v/>
      </c>
      <c r="AT367" s="389" t="str">
        <f t="shared" si="32"/>
        <v/>
      </c>
      <c r="AU367" s="389" t="str">
        <f t="shared" si="33"/>
        <v/>
      </c>
      <c r="AV367" s="389" t="str">
        <f t="shared" si="34"/>
        <v/>
      </c>
      <c r="AW367" s="389" t="str">
        <f t="shared" si="35"/>
        <v/>
      </c>
      <c r="AX367" s="67" t="str">
        <f t="shared" ref="AX367:BH367" si="381">Z367</f>
        <v/>
      </c>
      <c r="AY367" s="67" t="str">
        <f t="shared" si="381"/>
        <v/>
      </c>
      <c r="AZ367" s="67" t="str">
        <f t="shared" si="381"/>
        <v/>
      </c>
      <c r="BA367" s="67" t="str">
        <f t="shared" si="381"/>
        <v/>
      </c>
      <c r="BB367" s="398" t="str">
        <f t="shared" si="381"/>
        <v/>
      </c>
      <c r="BC367" s="358" t="str">
        <f t="shared" si="381"/>
        <v/>
      </c>
      <c r="BD367" s="187" t="str">
        <f t="shared" si="381"/>
        <v/>
      </c>
      <c r="BE367" s="104" t="str">
        <f t="shared" si="381"/>
        <v/>
      </c>
      <c r="BF367" s="389" t="str">
        <f t="shared" si="381"/>
        <v/>
      </c>
      <c r="BG367" s="389" t="str">
        <f t="shared" si="381"/>
        <v>🔵 Chưa có hạn</v>
      </c>
      <c r="BH367" s="67" t="str">
        <f t="shared" si="381"/>
        <v/>
      </c>
      <c r="BI367" s="389" t="str">
        <f t="array" ref="BI367">IF($X367="","",SWITCH($W367,3,IFERROR(INDEX('Lớp 3 - Công việc chính'!$AF$14:$AF$73,MATCH($X367,'Lớp 3 - Công việc chính'!$I$14:$I$73,0)),""),4,IFERROR(INDEX('Lớp 4 - Danh mục'!$AI$14:$AI$132,MATCH($X367,'Lớp 4 - Danh mục'!$I$14:$I$132,0)),""),5,IFERROR(INDEX('Lớp 5 - Phân công'!$AJ$14:$AJ$262,MATCH($X367,'Lớp 5 - Phân công'!$I$14:$I$262,0)),""),6,IFERROR(INDEX('Lớp 6 - Chi tiết'!$AM$14:$AM$267,MATCH($X367,'Lớp 6 - Chi tiết'!$I$14:$I$267,0)),""),""))</f>
        <v/>
      </c>
      <c r="BJ367" s="389" t="str">
        <f t="array" ref="BJ367">IF($X367="","",SWITCH($W367,3,IFERROR(INDEX('Lớp 3 - Công việc chính'!$AR$14:$AR$73,MATCH($X367,'Lớp 3 - Công việc chính'!$I$14:$I$73,0)),""),4,IFERROR(INDEX('Lớp 4 - Danh mục'!$AU$14:$AU$132,MATCH($X367,'Lớp 4 - Danh mục'!$I$14:$I$132,0)),""),5,IFERROR(INDEX('Lớp 5 - Phân công'!$AV$14:$AV$262,MATCH($X367,'Lớp 5 - Phân công'!$I$14:$I$262,0)),""),6,IFERROR(INDEX('Lớp 6 - Chi tiết'!$AY$14:$AY$267,MATCH($X367,'Lớp 6 - Chi tiết'!$I$14:$I$267,0)),""),""))</f>
        <v/>
      </c>
    </row>
    <row r="368" ht="15.75" customHeight="1">
      <c r="A368" s="294" t="str">
        <f t="shared" si="12"/>
        <v/>
      </c>
      <c r="B368" s="301" t="str">
        <f t="shared" si="13"/>
        <v/>
      </c>
      <c r="C368" s="301" t="str">
        <f t="shared" si="14"/>
        <v/>
      </c>
      <c r="D368" s="301" t="str">
        <f t="shared" si="15"/>
        <v/>
      </c>
      <c r="E368" s="301" t="str">
        <f t="shared" si="16"/>
        <v/>
      </c>
      <c r="F368" s="317" t="str">
        <f t="shared" si="17"/>
        <v/>
      </c>
      <c r="G368" s="323" t="str">
        <f t="shared" si="18"/>
        <v/>
      </c>
      <c r="H368" s="327" t="str">
        <f t="shared" si="19"/>
        <v/>
      </c>
      <c r="I368" s="327" t="str">
        <f t="shared" si="20"/>
        <v/>
      </c>
      <c r="J368" s="301" t="str">
        <f t="shared" si="21"/>
        <v/>
      </c>
      <c r="K368" s="301" t="str">
        <f t="shared" si="22"/>
        <v/>
      </c>
      <c r="L368" s="344" t="str">
        <f t="array" ref="L368">IF($T368="","",LET(m,MATCH($T368,$AS$24:$AS$700,0),lvl,INDEX($W$24:$W$700,m),id,INDEX($X$24:$X$700,m),SWITCH(lvl,3,"Lớp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8" s="351" t="str">
        <f t="shared" si="23"/>
        <v/>
      </c>
      <c r="N368" s="356" t="str">
        <f t="shared" si="24"/>
        <v/>
      </c>
      <c r="O368" s="358"/>
      <c r="P368" s="360"/>
      <c r="Q368" s="360"/>
      <c r="R368" s="67"/>
      <c r="S368" s="67"/>
      <c r="T368" s="67"/>
      <c r="U368" s="389" t="str">
        <f>IF('Lớp 5 - Phân công'!I179="","",'Lớp 5 - Phân công'!K179&amp;"|"&amp;'Lớp 5 - Phân công'!J179&amp;"|"&amp;'Lớp 5 - Phân công'!I179)</f>
        <v/>
      </c>
      <c r="V368" s="389" t="str">
        <f>IF('Lớp 5 - Phân công'!I179="","","       ├─ "&amp;'Lớp 5 - Phân công'!Q179)</f>
        <v/>
      </c>
      <c r="W368" s="389" t="str">
        <f>IF('Lớp 5 - Phân công'!I179="","",5)</f>
        <v/>
      </c>
      <c r="X368" s="67" t="str">
        <f>'Lớp 5 - Phân công'!I179</f>
        <v/>
      </c>
      <c r="Y368" s="67" t="str">
        <f>'Lớp 5 - Phân công'!J179</f>
        <v/>
      </c>
      <c r="Z368" s="67" t="str">
        <f>'Lớp 5 - Phân công'!AA179</f>
        <v/>
      </c>
      <c r="AA368" s="67" t="str">
        <f>'Lớp 5 - Phân công'!Z179</f>
        <v/>
      </c>
      <c r="AB368" s="67" t="str">
        <f>'Lớp 5 - Phân công'!AC179</f>
        <v/>
      </c>
      <c r="AC368" s="67" t="str">
        <f>'Lớp 5 - Phân công'!AB179</f>
        <v/>
      </c>
      <c r="AD368" s="398" t="str">
        <f>'Lớp 5 - Phân công'!AG179</f>
        <v/>
      </c>
      <c r="AE368" s="358" t="str">
        <f>'Lớp 5 - Phân công'!AE179</f>
        <v/>
      </c>
      <c r="AF368" s="187" t="str">
        <f>'Lớp 5 - Phân công'!AH179</f>
        <v/>
      </c>
      <c r="AG368" s="104" t="str">
        <f>'Lớp 5 - Phân công'!AI179</f>
        <v/>
      </c>
      <c r="AH368" s="389" t="str">
        <f t="shared" si="27"/>
        <v/>
      </c>
      <c r="AI368" s="389" t="str">
        <f t="shared" si="37"/>
        <v>🔵 Chưa có hạn</v>
      </c>
      <c r="AJ368" s="67" t="str">
        <f>'Lớp 5 - Phân công'!AL179</f>
        <v/>
      </c>
      <c r="AS368" s="389" t="str">
        <f t="shared" si="217"/>
        <v/>
      </c>
      <c r="AT368" s="389" t="str">
        <f t="shared" si="32"/>
        <v/>
      </c>
      <c r="AU368" s="389" t="str">
        <f t="shared" si="33"/>
        <v/>
      </c>
      <c r="AV368" s="389" t="str">
        <f t="shared" si="34"/>
        <v/>
      </c>
      <c r="AW368" s="389" t="str">
        <f t="shared" si="35"/>
        <v/>
      </c>
      <c r="AX368" s="67" t="str">
        <f t="shared" ref="AX368:BH368" si="382">Z368</f>
        <v/>
      </c>
      <c r="AY368" s="67" t="str">
        <f t="shared" si="382"/>
        <v/>
      </c>
      <c r="AZ368" s="67" t="str">
        <f t="shared" si="382"/>
        <v/>
      </c>
      <c r="BA368" s="67" t="str">
        <f t="shared" si="382"/>
        <v/>
      </c>
      <c r="BB368" s="398" t="str">
        <f t="shared" si="382"/>
        <v/>
      </c>
      <c r="BC368" s="358" t="str">
        <f t="shared" si="382"/>
        <v/>
      </c>
      <c r="BD368" s="187" t="str">
        <f t="shared" si="382"/>
        <v/>
      </c>
      <c r="BE368" s="104" t="str">
        <f t="shared" si="382"/>
        <v/>
      </c>
      <c r="BF368" s="389" t="str">
        <f t="shared" si="382"/>
        <v/>
      </c>
      <c r="BG368" s="389" t="str">
        <f t="shared" si="382"/>
        <v>🔵 Chưa có hạn</v>
      </c>
      <c r="BH368" s="67" t="str">
        <f t="shared" si="382"/>
        <v/>
      </c>
      <c r="BI368" s="389" t="str">
        <f t="array" ref="BI368">IF($X368="","",SWITCH($W368,3,IFERROR(INDEX('Lớp 3 - Công việc chính'!$AF$14:$AF$73,MATCH($X368,'Lớp 3 - Công việc chính'!$I$14:$I$73,0)),""),4,IFERROR(INDEX('Lớp 4 - Danh mục'!$AI$14:$AI$132,MATCH($X368,'Lớp 4 - Danh mục'!$I$14:$I$132,0)),""),5,IFERROR(INDEX('Lớp 5 - Phân công'!$AJ$14:$AJ$262,MATCH($X368,'Lớp 5 - Phân công'!$I$14:$I$262,0)),""),6,IFERROR(INDEX('Lớp 6 - Chi tiết'!$AM$14:$AM$267,MATCH($X368,'Lớp 6 - Chi tiết'!$I$14:$I$267,0)),""),""))</f>
        <v/>
      </c>
      <c r="BJ368" s="389" t="str">
        <f t="array" ref="BJ368">IF($X368="","",SWITCH($W368,3,IFERROR(INDEX('Lớp 3 - Công việc chính'!$AR$14:$AR$73,MATCH($X368,'Lớp 3 - Công việc chính'!$I$14:$I$73,0)),""),4,IFERROR(INDEX('Lớp 4 - Danh mục'!$AU$14:$AU$132,MATCH($X368,'Lớp 4 - Danh mục'!$I$14:$I$132,0)),""),5,IFERROR(INDEX('Lớp 5 - Phân công'!$AV$14:$AV$262,MATCH($X368,'Lớp 5 - Phân công'!$I$14:$I$262,0)),""),6,IFERROR(INDEX('Lớp 6 - Chi tiết'!$AY$14:$AY$267,MATCH($X368,'Lớp 6 - Chi tiết'!$I$14:$I$267,0)),""),""))</f>
        <v/>
      </c>
    </row>
    <row r="369" ht="15.75" customHeight="1">
      <c r="A369" s="294" t="str">
        <f t="shared" si="12"/>
        <v/>
      </c>
      <c r="B369" s="301" t="str">
        <f t="shared" si="13"/>
        <v/>
      </c>
      <c r="C369" s="301" t="str">
        <f t="shared" si="14"/>
        <v/>
      </c>
      <c r="D369" s="301" t="str">
        <f t="shared" si="15"/>
        <v/>
      </c>
      <c r="E369" s="301" t="str">
        <f t="shared" si="16"/>
        <v/>
      </c>
      <c r="F369" s="317" t="str">
        <f t="shared" si="17"/>
        <v/>
      </c>
      <c r="G369" s="323" t="str">
        <f t="shared" si="18"/>
        <v/>
      </c>
      <c r="H369" s="327" t="str">
        <f t="shared" si="19"/>
        <v/>
      </c>
      <c r="I369" s="327" t="str">
        <f t="shared" si="20"/>
        <v/>
      </c>
      <c r="J369" s="301" t="str">
        <f t="shared" si="21"/>
        <v/>
      </c>
      <c r="K369" s="301" t="str">
        <f t="shared" si="22"/>
        <v/>
      </c>
      <c r="L369" s="344" t="str">
        <f t="array" ref="L369">IF($T369="","",LET(m,MATCH($T369,$AS$24:$AS$700,0),lvl,INDEX($W$24:$W$700,m),id,INDEX($X$24:$X$700,m),SWITCH(lvl,3,"Lớp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69" s="351" t="str">
        <f t="shared" si="23"/>
        <v/>
      </c>
      <c r="N369" s="356" t="str">
        <f t="shared" si="24"/>
        <v/>
      </c>
      <c r="O369" s="358"/>
      <c r="P369" s="360"/>
      <c r="Q369" s="360"/>
      <c r="R369" s="67"/>
      <c r="S369" s="67"/>
      <c r="T369" s="67"/>
      <c r="U369" s="389" t="str">
        <f>IF('Lớp 5 - Phân công'!I180="","",'Lớp 5 - Phân công'!K180&amp;"|"&amp;'Lớp 5 - Phân công'!J180&amp;"|"&amp;'Lớp 5 - Phân công'!I180)</f>
        <v/>
      </c>
      <c r="V369" s="389" t="str">
        <f>IF('Lớp 5 - Phân công'!I180="","","       ├─ "&amp;'Lớp 5 - Phân công'!Q180)</f>
        <v/>
      </c>
      <c r="W369" s="389" t="str">
        <f>IF('Lớp 5 - Phân công'!I180="","",5)</f>
        <v/>
      </c>
      <c r="X369" s="67" t="str">
        <f>'Lớp 5 - Phân công'!I180</f>
        <v/>
      </c>
      <c r="Y369" s="67" t="str">
        <f>'Lớp 5 - Phân công'!J180</f>
        <v/>
      </c>
      <c r="Z369" s="67" t="str">
        <f>'Lớp 5 - Phân công'!AA180</f>
        <v/>
      </c>
      <c r="AA369" s="67" t="str">
        <f>'Lớp 5 - Phân công'!Z180</f>
        <v/>
      </c>
      <c r="AB369" s="67" t="str">
        <f>'Lớp 5 - Phân công'!AC180</f>
        <v/>
      </c>
      <c r="AC369" s="67" t="str">
        <f>'Lớp 5 - Phân công'!AB180</f>
        <v/>
      </c>
      <c r="AD369" s="398" t="str">
        <f>'Lớp 5 - Phân công'!AG180</f>
        <v/>
      </c>
      <c r="AE369" s="358" t="str">
        <f>'Lớp 5 - Phân công'!AE180</f>
        <v/>
      </c>
      <c r="AF369" s="187" t="str">
        <f>'Lớp 5 - Phân công'!AH180</f>
        <v/>
      </c>
      <c r="AG369" s="104" t="str">
        <f>'Lớp 5 - Phân công'!AI180</f>
        <v/>
      </c>
      <c r="AH369" s="389" t="str">
        <f t="shared" si="27"/>
        <v/>
      </c>
      <c r="AI369" s="389" t="str">
        <f t="shared" si="37"/>
        <v>🔵 Chưa có hạn</v>
      </c>
      <c r="AJ369" s="67" t="str">
        <f>'Lớp 5 - Phân công'!AL180</f>
        <v/>
      </c>
      <c r="AS369" s="389" t="str">
        <f t="shared" si="217"/>
        <v/>
      </c>
      <c r="AT369" s="389" t="str">
        <f t="shared" si="32"/>
        <v/>
      </c>
      <c r="AU369" s="389" t="str">
        <f t="shared" si="33"/>
        <v/>
      </c>
      <c r="AV369" s="389" t="str">
        <f t="shared" si="34"/>
        <v/>
      </c>
      <c r="AW369" s="389" t="str">
        <f t="shared" si="35"/>
        <v/>
      </c>
      <c r="AX369" s="67" t="str">
        <f t="shared" ref="AX369:BH369" si="383">Z369</f>
        <v/>
      </c>
      <c r="AY369" s="67" t="str">
        <f t="shared" si="383"/>
        <v/>
      </c>
      <c r="AZ369" s="67" t="str">
        <f t="shared" si="383"/>
        <v/>
      </c>
      <c r="BA369" s="67" t="str">
        <f t="shared" si="383"/>
        <v/>
      </c>
      <c r="BB369" s="398" t="str">
        <f t="shared" si="383"/>
        <v/>
      </c>
      <c r="BC369" s="358" t="str">
        <f t="shared" si="383"/>
        <v/>
      </c>
      <c r="BD369" s="187" t="str">
        <f t="shared" si="383"/>
        <v/>
      </c>
      <c r="BE369" s="104" t="str">
        <f t="shared" si="383"/>
        <v/>
      </c>
      <c r="BF369" s="389" t="str">
        <f t="shared" si="383"/>
        <v/>
      </c>
      <c r="BG369" s="389" t="str">
        <f t="shared" si="383"/>
        <v>🔵 Chưa có hạn</v>
      </c>
      <c r="BH369" s="67" t="str">
        <f t="shared" si="383"/>
        <v/>
      </c>
      <c r="BI369" s="389" t="str">
        <f t="array" ref="BI369">IF($X369="","",SWITCH($W369,3,IFERROR(INDEX('Lớp 3 - Công việc chính'!$AF$14:$AF$73,MATCH($X369,'Lớp 3 - Công việc chính'!$I$14:$I$73,0)),""),4,IFERROR(INDEX('Lớp 4 - Danh mục'!$AI$14:$AI$132,MATCH($X369,'Lớp 4 - Danh mục'!$I$14:$I$132,0)),""),5,IFERROR(INDEX('Lớp 5 - Phân công'!$AJ$14:$AJ$262,MATCH($X369,'Lớp 5 - Phân công'!$I$14:$I$262,0)),""),6,IFERROR(INDEX('Lớp 6 - Chi tiết'!$AM$14:$AM$267,MATCH($X369,'Lớp 6 - Chi tiết'!$I$14:$I$267,0)),""),""))</f>
        <v/>
      </c>
      <c r="BJ369" s="389" t="str">
        <f t="array" ref="BJ369">IF($X369="","",SWITCH($W369,3,IFERROR(INDEX('Lớp 3 - Công việc chính'!$AR$14:$AR$73,MATCH($X369,'Lớp 3 - Công việc chính'!$I$14:$I$73,0)),""),4,IFERROR(INDEX('Lớp 4 - Danh mục'!$AU$14:$AU$132,MATCH($X369,'Lớp 4 - Danh mục'!$I$14:$I$132,0)),""),5,IFERROR(INDEX('Lớp 5 - Phân công'!$AV$14:$AV$262,MATCH($X369,'Lớp 5 - Phân công'!$I$14:$I$262,0)),""),6,IFERROR(INDEX('Lớp 6 - Chi tiết'!$AY$14:$AY$267,MATCH($X369,'Lớp 6 - Chi tiết'!$I$14:$I$267,0)),""),""))</f>
        <v/>
      </c>
    </row>
    <row r="370" ht="15.75" customHeight="1">
      <c r="A370" s="294" t="str">
        <f t="shared" si="12"/>
        <v/>
      </c>
      <c r="B370" s="301" t="str">
        <f t="shared" si="13"/>
        <v/>
      </c>
      <c r="C370" s="301" t="str">
        <f t="shared" si="14"/>
        <v/>
      </c>
      <c r="D370" s="301" t="str">
        <f t="shared" si="15"/>
        <v/>
      </c>
      <c r="E370" s="301" t="str">
        <f t="shared" si="16"/>
        <v/>
      </c>
      <c r="F370" s="317" t="str">
        <f t="shared" si="17"/>
        <v/>
      </c>
      <c r="G370" s="323" t="str">
        <f t="shared" si="18"/>
        <v/>
      </c>
      <c r="H370" s="327" t="str">
        <f t="shared" si="19"/>
        <v/>
      </c>
      <c r="I370" s="327" t="str">
        <f t="shared" si="20"/>
        <v/>
      </c>
      <c r="J370" s="301" t="str">
        <f t="shared" si="21"/>
        <v/>
      </c>
      <c r="K370" s="301" t="str">
        <f t="shared" si="22"/>
        <v/>
      </c>
      <c r="L370" s="344" t="str">
        <f t="array" ref="L370">IF($T370="","",LET(m,MATCH($T370,$AS$24:$AS$700,0),lvl,INDEX($W$24:$W$700,m),id,INDEX($X$24:$X$700,m),SWITCH(lvl,3,"Lớp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0" s="351" t="str">
        <f t="shared" si="23"/>
        <v/>
      </c>
      <c r="N370" s="356" t="str">
        <f t="shared" si="24"/>
        <v/>
      </c>
      <c r="O370" s="358"/>
      <c r="P370" s="360"/>
      <c r="Q370" s="360"/>
      <c r="R370" s="67"/>
      <c r="S370" s="67"/>
      <c r="T370" s="67"/>
      <c r="U370" s="389" t="str">
        <f>IF('Lớp 5 - Phân công'!I181="","",'Lớp 5 - Phân công'!K181&amp;"|"&amp;'Lớp 5 - Phân công'!J181&amp;"|"&amp;'Lớp 5 - Phân công'!I181)</f>
        <v/>
      </c>
      <c r="V370" s="389" t="str">
        <f>IF('Lớp 5 - Phân công'!I181="","","       ├─ "&amp;'Lớp 5 - Phân công'!Q181)</f>
        <v/>
      </c>
      <c r="W370" s="389" t="str">
        <f>IF('Lớp 5 - Phân công'!I181="","",5)</f>
        <v/>
      </c>
      <c r="X370" s="67" t="str">
        <f>'Lớp 5 - Phân công'!I181</f>
        <v/>
      </c>
      <c r="Y370" s="67" t="str">
        <f>'Lớp 5 - Phân công'!J181</f>
        <v/>
      </c>
      <c r="Z370" s="67" t="str">
        <f>'Lớp 5 - Phân công'!AA181</f>
        <v/>
      </c>
      <c r="AA370" s="67" t="str">
        <f>'Lớp 5 - Phân công'!Z181</f>
        <v/>
      </c>
      <c r="AB370" s="67" t="str">
        <f>'Lớp 5 - Phân công'!AC181</f>
        <v/>
      </c>
      <c r="AC370" s="67" t="str">
        <f>'Lớp 5 - Phân công'!AB181</f>
        <v/>
      </c>
      <c r="AD370" s="398" t="str">
        <f>'Lớp 5 - Phân công'!AG181</f>
        <v/>
      </c>
      <c r="AE370" s="358" t="str">
        <f>'Lớp 5 - Phân công'!AE181</f>
        <v/>
      </c>
      <c r="AF370" s="187" t="str">
        <f>'Lớp 5 - Phân công'!AH181</f>
        <v/>
      </c>
      <c r="AG370" s="104" t="str">
        <f>'Lớp 5 - Phân công'!AI181</f>
        <v/>
      </c>
      <c r="AH370" s="389" t="str">
        <f t="shared" si="27"/>
        <v/>
      </c>
      <c r="AI370" s="389" t="str">
        <f t="shared" si="37"/>
        <v>🔵 Chưa có hạn</v>
      </c>
      <c r="AJ370" s="67" t="str">
        <f>'Lớp 5 - Phân công'!AL181</f>
        <v/>
      </c>
      <c r="AS370" s="389" t="str">
        <f t="shared" si="217"/>
        <v/>
      </c>
      <c r="AT370" s="389" t="str">
        <f t="shared" si="32"/>
        <v/>
      </c>
      <c r="AU370" s="389" t="str">
        <f t="shared" si="33"/>
        <v/>
      </c>
      <c r="AV370" s="389" t="str">
        <f t="shared" si="34"/>
        <v/>
      </c>
      <c r="AW370" s="389" t="str">
        <f t="shared" si="35"/>
        <v/>
      </c>
      <c r="AX370" s="67" t="str">
        <f t="shared" ref="AX370:BH370" si="384">Z370</f>
        <v/>
      </c>
      <c r="AY370" s="67" t="str">
        <f t="shared" si="384"/>
        <v/>
      </c>
      <c r="AZ370" s="67" t="str">
        <f t="shared" si="384"/>
        <v/>
      </c>
      <c r="BA370" s="67" t="str">
        <f t="shared" si="384"/>
        <v/>
      </c>
      <c r="BB370" s="398" t="str">
        <f t="shared" si="384"/>
        <v/>
      </c>
      <c r="BC370" s="358" t="str">
        <f t="shared" si="384"/>
        <v/>
      </c>
      <c r="BD370" s="187" t="str">
        <f t="shared" si="384"/>
        <v/>
      </c>
      <c r="BE370" s="104" t="str">
        <f t="shared" si="384"/>
        <v/>
      </c>
      <c r="BF370" s="389" t="str">
        <f t="shared" si="384"/>
        <v/>
      </c>
      <c r="BG370" s="389" t="str">
        <f t="shared" si="384"/>
        <v>🔵 Chưa có hạn</v>
      </c>
      <c r="BH370" s="67" t="str">
        <f t="shared" si="384"/>
        <v/>
      </c>
      <c r="BI370" s="389" t="str">
        <f t="array" ref="BI370">IF($X370="","",SWITCH($W370,3,IFERROR(INDEX('Lớp 3 - Công việc chính'!$AF$14:$AF$73,MATCH($X370,'Lớp 3 - Công việc chính'!$I$14:$I$73,0)),""),4,IFERROR(INDEX('Lớp 4 - Danh mục'!$AI$14:$AI$132,MATCH($X370,'Lớp 4 - Danh mục'!$I$14:$I$132,0)),""),5,IFERROR(INDEX('Lớp 5 - Phân công'!$AJ$14:$AJ$262,MATCH($X370,'Lớp 5 - Phân công'!$I$14:$I$262,0)),""),6,IFERROR(INDEX('Lớp 6 - Chi tiết'!$AM$14:$AM$267,MATCH($X370,'Lớp 6 - Chi tiết'!$I$14:$I$267,0)),""),""))</f>
        <v/>
      </c>
      <c r="BJ370" s="389" t="str">
        <f t="array" ref="BJ370">IF($X370="","",SWITCH($W370,3,IFERROR(INDEX('Lớp 3 - Công việc chính'!$AR$14:$AR$73,MATCH($X370,'Lớp 3 - Công việc chính'!$I$14:$I$73,0)),""),4,IFERROR(INDEX('Lớp 4 - Danh mục'!$AU$14:$AU$132,MATCH($X370,'Lớp 4 - Danh mục'!$I$14:$I$132,0)),""),5,IFERROR(INDEX('Lớp 5 - Phân công'!$AV$14:$AV$262,MATCH($X370,'Lớp 5 - Phân công'!$I$14:$I$262,0)),""),6,IFERROR(INDEX('Lớp 6 - Chi tiết'!$AY$14:$AY$267,MATCH($X370,'Lớp 6 - Chi tiết'!$I$14:$I$267,0)),""),""))</f>
        <v/>
      </c>
    </row>
    <row r="371" ht="15.75" customHeight="1">
      <c r="A371" s="294" t="str">
        <f t="shared" si="12"/>
        <v/>
      </c>
      <c r="B371" s="301" t="str">
        <f t="shared" si="13"/>
        <v/>
      </c>
      <c r="C371" s="301" t="str">
        <f t="shared" si="14"/>
        <v/>
      </c>
      <c r="D371" s="301" t="str">
        <f t="shared" si="15"/>
        <v/>
      </c>
      <c r="E371" s="301" t="str">
        <f t="shared" si="16"/>
        <v/>
      </c>
      <c r="F371" s="317" t="str">
        <f t="shared" si="17"/>
        <v/>
      </c>
      <c r="G371" s="323" t="str">
        <f t="shared" si="18"/>
        <v/>
      </c>
      <c r="H371" s="327" t="str">
        <f t="shared" si="19"/>
        <v/>
      </c>
      <c r="I371" s="327" t="str">
        <f t="shared" si="20"/>
        <v/>
      </c>
      <c r="J371" s="301" t="str">
        <f t="shared" si="21"/>
        <v/>
      </c>
      <c r="K371" s="301" t="str">
        <f t="shared" si="22"/>
        <v/>
      </c>
      <c r="L371" s="344" t="str">
        <f t="array" ref="L371">IF($T371="","",LET(m,MATCH($T371,$AS$24:$AS$700,0),lvl,INDEX($W$24:$W$700,m),id,INDEX($X$24:$X$700,m),SWITCH(lvl,3,"Lớp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1" s="351" t="str">
        <f t="shared" si="23"/>
        <v/>
      </c>
      <c r="N371" s="356" t="str">
        <f t="shared" si="24"/>
        <v/>
      </c>
      <c r="O371" s="358"/>
      <c r="P371" s="360"/>
      <c r="Q371" s="360"/>
      <c r="R371" s="67"/>
      <c r="S371" s="67"/>
      <c r="T371" s="67"/>
      <c r="U371" s="389" t="str">
        <f>IF('Lớp 5 - Phân công'!I182="","",'Lớp 5 - Phân công'!K182&amp;"|"&amp;'Lớp 5 - Phân công'!J182&amp;"|"&amp;'Lớp 5 - Phân công'!I182)</f>
        <v/>
      </c>
      <c r="V371" s="389" t="str">
        <f>IF('Lớp 5 - Phân công'!I182="","","       ├─ "&amp;'Lớp 5 - Phân công'!Q182)</f>
        <v/>
      </c>
      <c r="W371" s="389" t="str">
        <f>IF('Lớp 5 - Phân công'!I182="","",5)</f>
        <v/>
      </c>
      <c r="X371" s="67" t="str">
        <f>'Lớp 5 - Phân công'!I182</f>
        <v/>
      </c>
      <c r="Y371" s="67" t="str">
        <f>'Lớp 5 - Phân công'!J182</f>
        <v/>
      </c>
      <c r="Z371" s="67" t="str">
        <f>'Lớp 5 - Phân công'!AA182</f>
        <v/>
      </c>
      <c r="AA371" s="67" t="str">
        <f>'Lớp 5 - Phân công'!Z182</f>
        <v/>
      </c>
      <c r="AB371" s="67" t="str">
        <f>'Lớp 5 - Phân công'!AC182</f>
        <v/>
      </c>
      <c r="AC371" s="67" t="str">
        <f>'Lớp 5 - Phân công'!AB182</f>
        <v/>
      </c>
      <c r="AD371" s="398" t="str">
        <f>'Lớp 5 - Phân công'!AG182</f>
        <v/>
      </c>
      <c r="AE371" s="358" t="str">
        <f>'Lớp 5 - Phân công'!AE182</f>
        <v/>
      </c>
      <c r="AF371" s="187" t="str">
        <f>'Lớp 5 - Phân công'!AH182</f>
        <v/>
      </c>
      <c r="AG371" s="104" t="str">
        <f>'Lớp 5 - Phân công'!AI182</f>
        <v/>
      </c>
      <c r="AH371" s="389" t="str">
        <f t="shared" si="27"/>
        <v/>
      </c>
      <c r="AI371" s="389" t="str">
        <f t="shared" si="37"/>
        <v>🔵 Chưa có hạn</v>
      </c>
      <c r="AJ371" s="67" t="str">
        <f>'Lớp 5 - Phân công'!AL182</f>
        <v/>
      </c>
      <c r="AS371" s="389" t="str">
        <f t="shared" si="217"/>
        <v/>
      </c>
      <c r="AT371" s="389" t="str">
        <f t="shared" si="32"/>
        <v/>
      </c>
      <c r="AU371" s="389" t="str">
        <f t="shared" si="33"/>
        <v/>
      </c>
      <c r="AV371" s="389" t="str">
        <f t="shared" si="34"/>
        <v/>
      </c>
      <c r="AW371" s="389" t="str">
        <f t="shared" si="35"/>
        <v/>
      </c>
      <c r="AX371" s="67" t="str">
        <f t="shared" ref="AX371:BH371" si="385">Z371</f>
        <v/>
      </c>
      <c r="AY371" s="67" t="str">
        <f t="shared" si="385"/>
        <v/>
      </c>
      <c r="AZ371" s="67" t="str">
        <f t="shared" si="385"/>
        <v/>
      </c>
      <c r="BA371" s="67" t="str">
        <f t="shared" si="385"/>
        <v/>
      </c>
      <c r="BB371" s="398" t="str">
        <f t="shared" si="385"/>
        <v/>
      </c>
      <c r="BC371" s="358" t="str">
        <f t="shared" si="385"/>
        <v/>
      </c>
      <c r="BD371" s="187" t="str">
        <f t="shared" si="385"/>
        <v/>
      </c>
      <c r="BE371" s="104" t="str">
        <f t="shared" si="385"/>
        <v/>
      </c>
      <c r="BF371" s="389" t="str">
        <f t="shared" si="385"/>
        <v/>
      </c>
      <c r="BG371" s="389" t="str">
        <f t="shared" si="385"/>
        <v>🔵 Chưa có hạn</v>
      </c>
      <c r="BH371" s="67" t="str">
        <f t="shared" si="385"/>
        <v/>
      </c>
      <c r="BI371" s="389" t="str">
        <f t="array" ref="BI371">IF($X371="","",SWITCH($W371,3,IFERROR(INDEX('Lớp 3 - Công việc chính'!$AF$14:$AF$73,MATCH($X371,'Lớp 3 - Công việc chính'!$I$14:$I$73,0)),""),4,IFERROR(INDEX('Lớp 4 - Danh mục'!$AI$14:$AI$132,MATCH($X371,'Lớp 4 - Danh mục'!$I$14:$I$132,0)),""),5,IFERROR(INDEX('Lớp 5 - Phân công'!$AJ$14:$AJ$262,MATCH($X371,'Lớp 5 - Phân công'!$I$14:$I$262,0)),""),6,IFERROR(INDEX('Lớp 6 - Chi tiết'!$AM$14:$AM$267,MATCH($X371,'Lớp 6 - Chi tiết'!$I$14:$I$267,0)),""),""))</f>
        <v/>
      </c>
      <c r="BJ371" s="389" t="str">
        <f t="array" ref="BJ371">IF($X371="","",SWITCH($W371,3,IFERROR(INDEX('Lớp 3 - Công việc chính'!$AR$14:$AR$73,MATCH($X371,'Lớp 3 - Công việc chính'!$I$14:$I$73,0)),""),4,IFERROR(INDEX('Lớp 4 - Danh mục'!$AU$14:$AU$132,MATCH($X371,'Lớp 4 - Danh mục'!$I$14:$I$132,0)),""),5,IFERROR(INDEX('Lớp 5 - Phân công'!$AV$14:$AV$262,MATCH($X371,'Lớp 5 - Phân công'!$I$14:$I$262,0)),""),6,IFERROR(INDEX('Lớp 6 - Chi tiết'!$AY$14:$AY$267,MATCH($X371,'Lớp 6 - Chi tiết'!$I$14:$I$267,0)),""),""))</f>
        <v/>
      </c>
    </row>
    <row r="372" ht="15.75" customHeight="1">
      <c r="A372" s="294" t="str">
        <f t="shared" si="12"/>
        <v/>
      </c>
      <c r="B372" s="301" t="str">
        <f t="shared" si="13"/>
        <v/>
      </c>
      <c r="C372" s="301" t="str">
        <f t="shared" si="14"/>
        <v/>
      </c>
      <c r="D372" s="301" t="str">
        <f t="shared" si="15"/>
        <v/>
      </c>
      <c r="E372" s="301" t="str">
        <f t="shared" si="16"/>
        <v/>
      </c>
      <c r="F372" s="317" t="str">
        <f t="shared" si="17"/>
        <v/>
      </c>
      <c r="G372" s="323" t="str">
        <f t="shared" si="18"/>
        <v/>
      </c>
      <c r="H372" s="327" t="str">
        <f t="shared" si="19"/>
        <v/>
      </c>
      <c r="I372" s="327" t="str">
        <f t="shared" si="20"/>
        <v/>
      </c>
      <c r="J372" s="301" t="str">
        <f t="shared" si="21"/>
        <v/>
      </c>
      <c r="K372" s="301" t="str">
        <f t="shared" si="22"/>
        <v/>
      </c>
      <c r="L372" s="344" t="str">
        <f t="array" ref="L372">IF($T372="","",LET(m,MATCH($T372,$AS$24:$AS$700,0),lvl,INDEX($W$24:$W$700,m),id,INDEX($X$24:$X$700,m),SWITCH(lvl,3,"Lớp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2" s="351" t="str">
        <f t="shared" si="23"/>
        <v/>
      </c>
      <c r="N372" s="356" t="str">
        <f t="shared" si="24"/>
        <v/>
      </c>
      <c r="O372" s="358"/>
      <c r="P372" s="360"/>
      <c r="Q372" s="360"/>
      <c r="R372" s="67"/>
      <c r="S372" s="67"/>
      <c r="T372" s="67"/>
      <c r="U372" s="389" t="str">
        <f>IF('Lớp 5 - Phân công'!I183="","",'Lớp 5 - Phân công'!K183&amp;"|"&amp;'Lớp 5 - Phân công'!J183&amp;"|"&amp;'Lớp 5 - Phân công'!I183)</f>
        <v/>
      </c>
      <c r="V372" s="389" t="str">
        <f>IF('Lớp 5 - Phân công'!I183="","","       ├─ "&amp;'Lớp 5 - Phân công'!Q183)</f>
        <v/>
      </c>
      <c r="W372" s="389" t="str">
        <f>IF('Lớp 5 - Phân công'!I183="","",5)</f>
        <v/>
      </c>
      <c r="X372" s="67" t="str">
        <f>'Lớp 5 - Phân công'!I183</f>
        <v/>
      </c>
      <c r="Y372" s="67" t="str">
        <f>'Lớp 5 - Phân công'!J183</f>
        <v/>
      </c>
      <c r="Z372" s="67" t="str">
        <f>'Lớp 5 - Phân công'!AA183</f>
        <v/>
      </c>
      <c r="AA372" s="67" t="str">
        <f>'Lớp 5 - Phân công'!Z183</f>
        <v/>
      </c>
      <c r="AB372" s="67" t="str">
        <f>'Lớp 5 - Phân công'!AC183</f>
        <v/>
      </c>
      <c r="AC372" s="67" t="str">
        <f>'Lớp 5 - Phân công'!AB183</f>
        <v/>
      </c>
      <c r="AD372" s="398" t="str">
        <f>'Lớp 5 - Phân công'!AG183</f>
        <v/>
      </c>
      <c r="AE372" s="358" t="str">
        <f>'Lớp 5 - Phân công'!AE183</f>
        <v/>
      </c>
      <c r="AF372" s="187" t="str">
        <f>'Lớp 5 - Phân công'!AH183</f>
        <v/>
      </c>
      <c r="AG372" s="104" t="str">
        <f>'Lớp 5 - Phân công'!AI183</f>
        <v/>
      </c>
      <c r="AH372" s="389" t="str">
        <f t="shared" si="27"/>
        <v/>
      </c>
      <c r="AI372" s="389" t="str">
        <f t="shared" si="37"/>
        <v>🔵 Chưa có hạn</v>
      </c>
      <c r="AJ372" s="67" t="str">
        <f>'Lớp 5 - Phân công'!AL183</f>
        <v/>
      </c>
      <c r="AS372" s="389" t="str">
        <f t="shared" si="217"/>
        <v/>
      </c>
      <c r="AT372" s="389" t="str">
        <f t="shared" si="32"/>
        <v/>
      </c>
      <c r="AU372" s="389" t="str">
        <f t="shared" si="33"/>
        <v/>
      </c>
      <c r="AV372" s="389" t="str">
        <f t="shared" si="34"/>
        <v/>
      </c>
      <c r="AW372" s="389" t="str">
        <f t="shared" si="35"/>
        <v/>
      </c>
      <c r="AX372" s="67" t="str">
        <f t="shared" ref="AX372:BH372" si="386">Z372</f>
        <v/>
      </c>
      <c r="AY372" s="67" t="str">
        <f t="shared" si="386"/>
        <v/>
      </c>
      <c r="AZ372" s="67" t="str">
        <f t="shared" si="386"/>
        <v/>
      </c>
      <c r="BA372" s="67" t="str">
        <f t="shared" si="386"/>
        <v/>
      </c>
      <c r="BB372" s="398" t="str">
        <f t="shared" si="386"/>
        <v/>
      </c>
      <c r="BC372" s="358" t="str">
        <f t="shared" si="386"/>
        <v/>
      </c>
      <c r="BD372" s="187" t="str">
        <f t="shared" si="386"/>
        <v/>
      </c>
      <c r="BE372" s="104" t="str">
        <f t="shared" si="386"/>
        <v/>
      </c>
      <c r="BF372" s="389" t="str">
        <f t="shared" si="386"/>
        <v/>
      </c>
      <c r="BG372" s="389" t="str">
        <f t="shared" si="386"/>
        <v>🔵 Chưa có hạn</v>
      </c>
      <c r="BH372" s="67" t="str">
        <f t="shared" si="386"/>
        <v/>
      </c>
      <c r="BI372" s="389" t="str">
        <f t="array" ref="BI372">IF($X372="","",SWITCH($W372,3,IFERROR(INDEX('Lớp 3 - Công việc chính'!$AF$14:$AF$73,MATCH($X372,'Lớp 3 - Công việc chính'!$I$14:$I$73,0)),""),4,IFERROR(INDEX('Lớp 4 - Danh mục'!$AI$14:$AI$132,MATCH($X372,'Lớp 4 - Danh mục'!$I$14:$I$132,0)),""),5,IFERROR(INDEX('Lớp 5 - Phân công'!$AJ$14:$AJ$262,MATCH($X372,'Lớp 5 - Phân công'!$I$14:$I$262,0)),""),6,IFERROR(INDEX('Lớp 6 - Chi tiết'!$AM$14:$AM$267,MATCH($X372,'Lớp 6 - Chi tiết'!$I$14:$I$267,0)),""),""))</f>
        <v/>
      </c>
      <c r="BJ372" s="389" t="str">
        <f t="array" ref="BJ372">IF($X372="","",SWITCH($W372,3,IFERROR(INDEX('Lớp 3 - Công việc chính'!$AR$14:$AR$73,MATCH($X372,'Lớp 3 - Công việc chính'!$I$14:$I$73,0)),""),4,IFERROR(INDEX('Lớp 4 - Danh mục'!$AU$14:$AU$132,MATCH($X372,'Lớp 4 - Danh mục'!$I$14:$I$132,0)),""),5,IFERROR(INDEX('Lớp 5 - Phân công'!$AV$14:$AV$262,MATCH($X372,'Lớp 5 - Phân công'!$I$14:$I$262,0)),""),6,IFERROR(INDEX('Lớp 6 - Chi tiết'!$AY$14:$AY$267,MATCH($X372,'Lớp 6 - Chi tiết'!$I$14:$I$267,0)),""),""))</f>
        <v/>
      </c>
    </row>
    <row r="373" ht="15.75" customHeight="1">
      <c r="A373" s="294" t="str">
        <f t="shared" si="12"/>
        <v/>
      </c>
      <c r="B373" s="301" t="str">
        <f t="shared" si="13"/>
        <v/>
      </c>
      <c r="C373" s="301" t="str">
        <f t="shared" si="14"/>
        <v/>
      </c>
      <c r="D373" s="301" t="str">
        <f t="shared" si="15"/>
        <v/>
      </c>
      <c r="E373" s="301" t="str">
        <f t="shared" si="16"/>
        <v/>
      </c>
      <c r="F373" s="317" t="str">
        <f t="shared" si="17"/>
        <v/>
      </c>
      <c r="G373" s="323" t="str">
        <f t="shared" si="18"/>
        <v/>
      </c>
      <c r="H373" s="327" t="str">
        <f t="shared" si="19"/>
        <v/>
      </c>
      <c r="I373" s="327" t="str">
        <f t="shared" si="20"/>
        <v/>
      </c>
      <c r="J373" s="301" t="str">
        <f t="shared" si="21"/>
        <v/>
      </c>
      <c r="K373" s="301" t="str">
        <f t="shared" si="22"/>
        <v/>
      </c>
      <c r="L373" s="344" t="str">
        <f t="array" ref="L373">IF($T373="","",LET(m,MATCH($T373,$AS$24:$AS$700,0),lvl,INDEX($W$24:$W$700,m),id,INDEX($X$24:$X$700,m),SWITCH(lvl,3,"Lớp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3" s="351" t="str">
        <f t="shared" si="23"/>
        <v/>
      </c>
      <c r="N373" s="356" t="str">
        <f t="shared" si="24"/>
        <v/>
      </c>
      <c r="O373" s="358"/>
      <c r="P373" s="360"/>
      <c r="Q373" s="360"/>
      <c r="R373" s="67"/>
      <c r="S373" s="67"/>
      <c r="T373" s="67"/>
      <c r="U373" s="389" t="str">
        <f>IF('Lớp 5 - Phân công'!I184="","",'Lớp 5 - Phân công'!K184&amp;"|"&amp;'Lớp 5 - Phân công'!J184&amp;"|"&amp;'Lớp 5 - Phân công'!I184)</f>
        <v/>
      </c>
      <c r="V373" s="389" t="str">
        <f>IF('Lớp 5 - Phân công'!I184="","","       ├─ "&amp;'Lớp 5 - Phân công'!Q184)</f>
        <v/>
      </c>
      <c r="W373" s="389" t="str">
        <f>IF('Lớp 5 - Phân công'!I184="","",5)</f>
        <v/>
      </c>
      <c r="X373" s="67" t="str">
        <f>'Lớp 5 - Phân công'!I184</f>
        <v/>
      </c>
      <c r="Y373" s="67" t="str">
        <f>'Lớp 5 - Phân công'!J184</f>
        <v/>
      </c>
      <c r="Z373" s="67" t="str">
        <f>'Lớp 5 - Phân công'!AA184</f>
        <v/>
      </c>
      <c r="AA373" s="67" t="str">
        <f>'Lớp 5 - Phân công'!Z184</f>
        <v/>
      </c>
      <c r="AB373" s="67" t="str">
        <f>'Lớp 5 - Phân công'!AC184</f>
        <v/>
      </c>
      <c r="AC373" s="67" t="str">
        <f>'Lớp 5 - Phân công'!AB184</f>
        <v/>
      </c>
      <c r="AD373" s="398" t="str">
        <f>'Lớp 5 - Phân công'!AG184</f>
        <v/>
      </c>
      <c r="AE373" s="358" t="str">
        <f>'Lớp 5 - Phân công'!AE184</f>
        <v/>
      </c>
      <c r="AF373" s="187" t="str">
        <f>'Lớp 5 - Phân công'!AH184</f>
        <v/>
      </c>
      <c r="AG373" s="104" t="str">
        <f>'Lớp 5 - Phân công'!AI184</f>
        <v/>
      </c>
      <c r="AH373" s="389" t="str">
        <f t="shared" si="27"/>
        <v/>
      </c>
      <c r="AI373" s="389" t="str">
        <f t="shared" si="37"/>
        <v>🔵 Chưa có hạn</v>
      </c>
      <c r="AJ373" s="67" t="str">
        <f>'Lớp 5 - Phân công'!AL184</f>
        <v/>
      </c>
      <c r="AS373" s="389" t="str">
        <f t="shared" si="217"/>
        <v/>
      </c>
      <c r="AT373" s="389" t="str">
        <f t="shared" si="32"/>
        <v/>
      </c>
      <c r="AU373" s="389" t="str">
        <f t="shared" si="33"/>
        <v/>
      </c>
      <c r="AV373" s="389" t="str">
        <f t="shared" si="34"/>
        <v/>
      </c>
      <c r="AW373" s="389" t="str">
        <f t="shared" si="35"/>
        <v/>
      </c>
      <c r="AX373" s="67" t="str">
        <f t="shared" ref="AX373:BH373" si="387">Z373</f>
        <v/>
      </c>
      <c r="AY373" s="67" t="str">
        <f t="shared" si="387"/>
        <v/>
      </c>
      <c r="AZ373" s="67" t="str">
        <f t="shared" si="387"/>
        <v/>
      </c>
      <c r="BA373" s="67" t="str">
        <f t="shared" si="387"/>
        <v/>
      </c>
      <c r="BB373" s="398" t="str">
        <f t="shared" si="387"/>
        <v/>
      </c>
      <c r="BC373" s="358" t="str">
        <f t="shared" si="387"/>
        <v/>
      </c>
      <c r="BD373" s="187" t="str">
        <f t="shared" si="387"/>
        <v/>
      </c>
      <c r="BE373" s="104" t="str">
        <f t="shared" si="387"/>
        <v/>
      </c>
      <c r="BF373" s="389" t="str">
        <f t="shared" si="387"/>
        <v/>
      </c>
      <c r="BG373" s="389" t="str">
        <f t="shared" si="387"/>
        <v>🔵 Chưa có hạn</v>
      </c>
      <c r="BH373" s="67" t="str">
        <f t="shared" si="387"/>
        <v/>
      </c>
      <c r="BI373" s="389" t="str">
        <f t="array" ref="BI373">IF($X373="","",SWITCH($W373,3,IFERROR(INDEX('Lớp 3 - Công việc chính'!$AF$14:$AF$73,MATCH($X373,'Lớp 3 - Công việc chính'!$I$14:$I$73,0)),""),4,IFERROR(INDEX('Lớp 4 - Danh mục'!$AI$14:$AI$132,MATCH($X373,'Lớp 4 - Danh mục'!$I$14:$I$132,0)),""),5,IFERROR(INDEX('Lớp 5 - Phân công'!$AJ$14:$AJ$262,MATCH($X373,'Lớp 5 - Phân công'!$I$14:$I$262,0)),""),6,IFERROR(INDEX('Lớp 6 - Chi tiết'!$AM$14:$AM$267,MATCH($X373,'Lớp 6 - Chi tiết'!$I$14:$I$267,0)),""),""))</f>
        <v/>
      </c>
      <c r="BJ373" s="389" t="str">
        <f t="array" ref="BJ373">IF($X373="","",SWITCH($W373,3,IFERROR(INDEX('Lớp 3 - Công việc chính'!$AR$14:$AR$73,MATCH($X373,'Lớp 3 - Công việc chính'!$I$14:$I$73,0)),""),4,IFERROR(INDEX('Lớp 4 - Danh mục'!$AU$14:$AU$132,MATCH($X373,'Lớp 4 - Danh mục'!$I$14:$I$132,0)),""),5,IFERROR(INDEX('Lớp 5 - Phân công'!$AV$14:$AV$262,MATCH($X373,'Lớp 5 - Phân công'!$I$14:$I$262,0)),""),6,IFERROR(INDEX('Lớp 6 - Chi tiết'!$AY$14:$AY$267,MATCH($X373,'Lớp 6 - Chi tiết'!$I$14:$I$267,0)),""),""))</f>
        <v/>
      </c>
    </row>
    <row r="374" ht="15.75" customHeight="1">
      <c r="A374" s="294" t="str">
        <f t="shared" si="12"/>
        <v/>
      </c>
      <c r="B374" s="301" t="str">
        <f t="shared" si="13"/>
        <v/>
      </c>
      <c r="C374" s="301" t="str">
        <f t="shared" si="14"/>
        <v/>
      </c>
      <c r="D374" s="301" t="str">
        <f t="shared" si="15"/>
        <v/>
      </c>
      <c r="E374" s="301" t="str">
        <f t="shared" si="16"/>
        <v/>
      </c>
      <c r="F374" s="317" t="str">
        <f t="shared" si="17"/>
        <v/>
      </c>
      <c r="G374" s="323" t="str">
        <f t="shared" si="18"/>
        <v/>
      </c>
      <c r="H374" s="327" t="str">
        <f t="shared" si="19"/>
        <v/>
      </c>
      <c r="I374" s="327" t="str">
        <f t="shared" si="20"/>
        <v/>
      </c>
      <c r="J374" s="301" t="str">
        <f t="shared" si="21"/>
        <v/>
      </c>
      <c r="K374" s="301" t="str">
        <f t="shared" si="22"/>
        <v/>
      </c>
      <c r="L374" s="344" t="str">
        <f t="array" ref="L374">IF($T374="","",LET(m,MATCH($T374,$AS$24:$AS$700,0),lvl,INDEX($W$24:$W$700,m),id,INDEX($X$24:$X$700,m),SWITCH(lvl,3,"Lớp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4" s="351" t="str">
        <f t="shared" si="23"/>
        <v/>
      </c>
      <c r="N374" s="356" t="str">
        <f t="shared" si="24"/>
        <v/>
      </c>
      <c r="O374" s="358"/>
      <c r="P374" s="360"/>
      <c r="Q374" s="360"/>
      <c r="R374" s="67"/>
      <c r="S374" s="67"/>
      <c r="T374" s="67"/>
      <c r="U374" s="389" t="str">
        <f>IF('Lớp 5 - Phân công'!I185="","",'Lớp 5 - Phân công'!K185&amp;"|"&amp;'Lớp 5 - Phân công'!J185&amp;"|"&amp;'Lớp 5 - Phân công'!I185)</f>
        <v/>
      </c>
      <c r="V374" s="389" t="str">
        <f>IF('Lớp 5 - Phân công'!I185="","","       ├─ "&amp;'Lớp 5 - Phân công'!Q185)</f>
        <v/>
      </c>
      <c r="W374" s="389" t="str">
        <f>IF('Lớp 5 - Phân công'!I185="","",5)</f>
        <v/>
      </c>
      <c r="X374" s="67" t="str">
        <f>'Lớp 5 - Phân công'!I185</f>
        <v/>
      </c>
      <c r="Y374" s="67" t="str">
        <f>'Lớp 5 - Phân công'!J185</f>
        <v/>
      </c>
      <c r="Z374" s="67" t="str">
        <f>'Lớp 5 - Phân công'!AA185</f>
        <v/>
      </c>
      <c r="AA374" s="67" t="str">
        <f>'Lớp 5 - Phân công'!Z185</f>
        <v/>
      </c>
      <c r="AB374" s="67" t="str">
        <f>'Lớp 5 - Phân công'!AC185</f>
        <v/>
      </c>
      <c r="AC374" s="67" t="str">
        <f>'Lớp 5 - Phân công'!AB185</f>
        <v/>
      </c>
      <c r="AD374" s="398" t="str">
        <f>'Lớp 5 - Phân công'!AG185</f>
        <v/>
      </c>
      <c r="AE374" s="358" t="str">
        <f>'Lớp 5 - Phân công'!AE185</f>
        <v/>
      </c>
      <c r="AF374" s="187" t="str">
        <f>'Lớp 5 - Phân công'!AH185</f>
        <v/>
      </c>
      <c r="AG374" s="104" t="str">
        <f>'Lớp 5 - Phân công'!AI185</f>
        <v/>
      </c>
      <c r="AH374" s="389" t="str">
        <f t="shared" si="27"/>
        <v/>
      </c>
      <c r="AI374" s="389" t="str">
        <f t="shared" si="37"/>
        <v>🔵 Chưa có hạn</v>
      </c>
      <c r="AJ374" s="67" t="str">
        <f>'Lớp 5 - Phân công'!AL185</f>
        <v/>
      </c>
      <c r="AS374" s="389" t="str">
        <f t="shared" si="217"/>
        <v/>
      </c>
      <c r="AT374" s="389" t="str">
        <f t="shared" si="32"/>
        <v/>
      </c>
      <c r="AU374" s="389" t="str">
        <f t="shared" si="33"/>
        <v/>
      </c>
      <c r="AV374" s="389" t="str">
        <f t="shared" si="34"/>
        <v/>
      </c>
      <c r="AW374" s="389" t="str">
        <f t="shared" si="35"/>
        <v/>
      </c>
      <c r="AX374" s="67" t="str">
        <f t="shared" ref="AX374:BH374" si="388">Z374</f>
        <v/>
      </c>
      <c r="AY374" s="67" t="str">
        <f t="shared" si="388"/>
        <v/>
      </c>
      <c r="AZ374" s="67" t="str">
        <f t="shared" si="388"/>
        <v/>
      </c>
      <c r="BA374" s="67" t="str">
        <f t="shared" si="388"/>
        <v/>
      </c>
      <c r="BB374" s="398" t="str">
        <f t="shared" si="388"/>
        <v/>
      </c>
      <c r="BC374" s="358" t="str">
        <f t="shared" si="388"/>
        <v/>
      </c>
      <c r="BD374" s="187" t="str">
        <f t="shared" si="388"/>
        <v/>
      </c>
      <c r="BE374" s="104" t="str">
        <f t="shared" si="388"/>
        <v/>
      </c>
      <c r="BF374" s="389" t="str">
        <f t="shared" si="388"/>
        <v/>
      </c>
      <c r="BG374" s="389" t="str">
        <f t="shared" si="388"/>
        <v>🔵 Chưa có hạn</v>
      </c>
      <c r="BH374" s="67" t="str">
        <f t="shared" si="388"/>
        <v/>
      </c>
      <c r="BI374" s="389" t="str">
        <f t="array" ref="BI374">IF($X374="","",SWITCH($W374,3,IFERROR(INDEX('Lớp 3 - Công việc chính'!$AF$14:$AF$73,MATCH($X374,'Lớp 3 - Công việc chính'!$I$14:$I$73,0)),""),4,IFERROR(INDEX('Lớp 4 - Danh mục'!$AI$14:$AI$132,MATCH($X374,'Lớp 4 - Danh mục'!$I$14:$I$132,0)),""),5,IFERROR(INDEX('Lớp 5 - Phân công'!$AJ$14:$AJ$262,MATCH($X374,'Lớp 5 - Phân công'!$I$14:$I$262,0)),""),6,IFERROR(INDEX('Lớp 6 - Chi tiết'!$AM$14:$AM$267,MATCH($X374,'Lớp 6 - Chi tiết'!$I$14:$I$267,0)),""),""))</f>
        <v/>
      </c>
      <c r="BJ374" s="389" t="str">
        <f t="array" ref="BJ374">IF($X374="","",SWITCH($W374,3,IFERROR(INDEX('Lớp 3 - Công việc chính'!$AR$14:$AR$73,MATCH($X374,'Lớp 3 - Công việc chính'!$I$14:$I$73,0)),""),4,IFERROR(INDEX('Lớp 4 - Danh mục'!$AU$14:$AU$132,MATCH($X374,'Lớp 4 - Danh mục'!$I$14:$I$132,0)),""),5,IFERROR(INDEX('Lớp 5 - Phân công'!$AV$14:$AV$262,MATCH($X374,'Lớp 5 - Phân công'!$I$14:$I$262,0)),""),6,IFERROR(INDEX('Lớp 6 - Chi tiết'!$AY$14:$AY$267,MATCH($X374,'Lớp 6 - Chi tiết'!$I$14:$I$267,0)),""),""))</f>
        <v/>
      </c>
    </row>
    <row r="375" ht="15.75" customHeight="1">
      <c r="A375" s="294" t="str">
        <f t="shared" si="12"/>
        <v/>
      </c>
      <c r="B375" s="301" t="str">
        <f t="shared" si="13"/>
        <v/>
      </c>
      <c r="C375" s="301" t="str">
        <f t="shared" si="14"/>
        <v/>
      </c>
      <c r="D375" s="301" t="str">
        <f t="shared" si="15"/>
        <v/>
      </c>
      <c r="E375" s="301" t="str">
        <f t="shared" si="16"/>
        <v/>
      </c>
      <c r="F375" s="317" t="str">
        <f t="shared" si="17"/>
        <v/>
      </c>
      <c r="G375" s="323" t="str">
        <f t="shared" si="18"/>
        <v/>
      </c>
      <c r="H375" s="327" t="str">
        <f t="shared" si="19"/>
        <v/>
      </c>
      <c r="I375" s="327" t="str">
        <f t="shared" si="20"/>
        <v/>
      </c>
      <c r="J375" s="301" t="str">
        <f t="shared" si="21"/>
        <v/>
      </c>
      <c r="K375" s="301" t="str">
        <f t="shared" si="22"/>
        <v/>
      </c>
      <c r="L375" s="344" t="str">
        <f t="array" ref="L375">IF($T375="","",LET(m,MATCH($T375,$AS$24:$AS$700,0),lvl,INDEX($W$24:$W$700,m),id,INDEX($X$24:$X$700,m),SWITCH(lvl,3,"Lớp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5" s="351" t="str">
        <f t="shared" si="23"/>
        <v/>
      </c>
      <c r="N375" s="356" t="str">
        <f t="shared" si="24"/>
        <v/>
      </c>
      <c r="O375" s="358"/>
      <c r="P375" s="360"/>
      <c r="Q375" s="360"/>
      <c r="R375" s="67"/>
      <c r="S375" s="67"/>
      <c r="T375" s="67"/>
      <c r="U375" s="389" t="str">
        <f>IF('Lớp 5 - Phân công'!I186="","",'Lớp 5 - Phân công'!K186&amp;"|"&amp;'Lớp 5 - Phân công'!J186&amp;"|"&amp;'Lớp 5 - Phân công'!I186)</f>
        <v/>
      </c>
      <c r="V375" s="389" t="str">
        <f>IF('Lớp 5 - Phân công'!I186="","","       ├─ "&amp;'Lớp 5 - Phân công'!Q186)</f>
        <v/>
      </c>
      <c r="W375" s="389" t="str">
        <f>IF('Lớp 5 - Phân công'!I186="","",5)</f>
        <v/>
      </c>
      <c r="X375" s="67" t="str">
        <f>'Lớp 5 - Phân công'!I186</f>
        <v/>
      </c>
      <c r="Y375" s="67" t="str">
        <f>'Lớp 5 - Phân công'!J186</f>
        <v/>
      </c>
      <c r="Z375" s="67" t="str">
        <f>'Lớp 5 - Phân công'!AA186</f>
        <v/>
      </c>
      <c r="AA375" s="67" t="str">
        <f>'Lớp 5 - Phân công'!Z186</f>
        <v/>
      </c>
      <c r="AB375" s="67" t="str">
        <f>'Lớp 5 - Phân công'!AC186</f>
        <v/>
      </c>
      <c r="AC375" s="67" t="str">
        <f>'Lớp 5 - Phân công'!AB186</f>
        <v/>
      </c>
      <c r="AD375" s="398" t="str">
        <f>'Lớp 5 - Phân công'!AG186</f>
        <v/>
      </c>
      <c r="AE375" s="358" t="str">
        <f>'Lớp 5 - Phân công'!AE186</f>
        <v/>
      </c>
      <c r="AF375" s="187" t="str">
        <f>'Lớp 5 - Phân công'!AH186</f>
        <v/>
      </c>
      <c r="AG375" s="104" t="str">
        <f>'Lớp 5 - Phân công'!AI186</f>
        <v/>
      </c>
      <c r="AH375" s="389" t="str">
        <f t="shared" si="27"/>
        <v/>
      </c>
      <c r="AI375" s="389" t="str">
        <f t="shared" si="37"/>
        <v>🔵 Chưa có hạn</v>
      </c>
      <c r="AJ375" s="67" t="str">
        <f>'Lớp 5 - Phân công'!AL186</f>
        <v/>
      </c>
      <c r="AS375" s="389" t="str">
        <f t="shared" si="217"/>
        <v/>
      </c>
      <c r="AT375" s="389" t="str">
        <f t="shared" si="32"/>
        <v/>
      </c>
      <c r="AU375" s="389" t="str">
        <f t="shared" si="33"/>
        <v/>
      </c>
      <c r="AV375" s="389" t="str">
        <f t="shared" si="34"/>
        <v/>
      </c>
      <c r="AW375" s="389" t="str">
        <f t="shared" si="35"/>
        <v/>
      </c>
      <c r="AX375" s="67" t="str">
        <f t="shared" ref="AX375:BH375" si="389">Z375</f>
        <v/>
      </c>
      <c r="AY375" s="67" t="str">
        <f t="shared" si="389"/>
        <v/>
      </c>
      <c r="AZ375" s="67" t="str">
        <f t="shared" si="389"/>
        <v/>
      </c>
      <c r="BA375" s="67" t="str">
        <f t="shared" si="389"/>
        <v/>
      </c>
      <c r="BB375" s="398" t="str">
        <f t="shared" si="389"/>
        <v/>
      </c>
      <c r="BC375" s="358" t="str">
        <f t="shared" si="389"/>
        <v/>
      </c>
      <c r="BD375" s="187" t="str">
        <f t="shared" si="389"/>
        <v/>
      </c>
      <c r="BE375" s="104" t="str">
        <f t="shared" si="389"/>
        <v/>
      </c>
      <c r="BF375" s="389" t="str">
        <f t="shared" si="389"/>
        <v/>
      </c>
      <c r="BG375" s="389" t="str">
        <f t="shared" si="389"/>
        <v>🔵 Chưa có hạn</v>
      </c>
      <c r="BH375" s="67" t="str">
        <f t="shared" si="389"/>
        <v/>
      </c>
      <c r="BI375" s="389" t="str">
        <f t="array" ref="BI375">IF($X375="","",SWITCH($W375,3,IFERROR(INDEX('Lớp 3 - Công việc chính'!$AF$14:$AF$73,MATCH($X375,'Lớp 3 - Công việc chính'!$I$14:$I$73,0)),""),4,IFERROR(INDEX('Lớp 4 - Danh mục'!$AI$14:$AI$132,MATCH($X375,'Lớp 4 - Danh mục'!$I$14:$I$132,0)),""),5,IFERROR(INDEX('Lớp 5 - Phân công'!$AJ$14:$AJ$262,MATCH($X375,'Lớp 5 - Phân công'!$I$14:$I$262,0)),""),6,IFERROR(INDEX('Lớp 6 - Chi tiết'!$AM$14:$AM$267,MATCH($X375,'Lớp 6 - Chi tiết'!$I$14:$I$267,0)),""),""))</f>
        <v/>
      </c>
      <c r="BJ375" s="389" t="str">
        <f t="array" ref="BJ375">IF($X375="","",SWITCH($W375,3,IFERROR(INDEX('Lớp 3 - Công việc chính'!$AR$14:$AR$73,MATCH($X375,'Lớp 3 - Công việc chính'!$I$14:$I$73,0)),""),4,IFERROR(INDEX('Lớp 4 - Danh mục'!$AU$14:$AU$132,MATCH($X375,'Lớp 4 - Danh mục'!$I$14:$I$132,0)),""),5,IFERROR(INDEX('Lớp 5 - Phân công'!$AV$14:$AV$262,MATCH($X375,'Lớp 5 - Phân công'!$I$14:$I$262,0)),""),6,IFERROR(INDEX('Lớp 6 - Chi tiết'!$AY$14:$AY$267,MATCH($X375,'Lớp 6 - Chi tiết'!$I$14:$I$267,0)),""),""))</f>
        <v/>
      </c>
    </row>
    <row r="376" ht="15.75" customHeight="1">
      <c r="A376" s="294" t="str">
        <f t="shared" si="12"/>
        <v/>
      </c>
      <c r="B376" s="301" t="str">
        <f t="shared" si="13"/>
        <v/>
      </c>
      <c r="C376" s="301" t="str">
        <f t="shared" si="14"/>
        <v/>
      </c>
      <c r="D376" s="301" t="str">
        <f t="shared" si="15"/>
        <v/>
      </c>
      <c r="E376" s="301" t="str">
        <f t="shared" si="16"/>
        <v/>
      </c>
      <c r="F376" s="317" t="str">
        <f t="shared" si="17"/>
        <v/>
      </c>
      <c r="G376" s="323" t="str">
        <f t="shared" si="18"/>
        <v/>
      </c>
      <c r="H376" s="327" t="str">
        <f t="shared" si="19"/>
        <v/>
      </c>
      <c r="I376" s="327" t="str">
        <f t="shared" si="20"/>
        <v/>
      </c>
      <c r="J376" s="301" t="str">
        <f t="shared" si="21"/>
        <v/>
      </c>
      <c r="K376" s="301" t="str">
        <f t="shared" si="22"/>
        <v/>
      </c>
      <c r="L376" s="344" t="str">
        <f t="array" ref="L376">IF($T376="","",LET(m,MATCH($T376,$AS$24:$AS$700,0),lvl,INDEX($W$24:$W$700,m),id,INDEX($X$24:$X$700,m),SWITCH(lvl,3,"Lớp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6" s="351" t="str">
        <f t="shared" si="23"/>
        <v/>
      </c>
      <c r="N376" s="356" t="str">
        <f t="shared" si="24"/>
        <v/>
      </c>
      <c r="O376" s="358"/>
      <c r="P376" s="360"/>
      <c r="Q376" s="360"/>
      <c r="R376" s="67"/>
      <c r="S376" s="67"/>
      <c r="T376" s="67"/>
      <c r="U376" s="389" t="str">
        <f>IF('Lớp 5 - Phân công'!I187="","",'Lớp 5 - Phân công'!K187&amp;"|"&amp;'Lớp 5 - Phân công'!J187&amp;"|"&amp;'Lớp 5 - Phân công'!I187)</f>
        <v/>
      </c>
      <c r="V376" s="389" t="str">
        <f>IF('Lớp 5 - Phân công'!I187="","","       ├─ "&amp;'Lớp 5 - Phân công'!Q187)</f>
        <v/>
      </c>
      <c r="W376" s="389" t="str">
        <f>IF('Lớp 5 - Phân công'!I187="","",5)</f>
        <v/>
      </c>
      <c r="X376" s="67" t="str">
        <f>'Lớp 5 - Phân công'!I187</f>
        <v/>
      </c>
      <c r="Y376" s="67" t="str">
        <f>'Lớp 5 - Phân công'!J187</f>
        <v/>
      </c>
      <c r="Z376" s="67" t="str">
        <f>'Lớp 5 - Phân công'!AA187</f>
        <v/>
      </c>
      <c r="AA376" s="67" t="str">
        <f>'Lớp 5 - Phân công'!Z187</f>
        <v/>
      </c>
      <c r="AB376" s="67" t="str">
        <f>'Lớp 5 - Phân công'!AC187</f>
        <v/>
      </c>
      <c r="AC376" s="67" t="str">
        <f>'Lớp 5 - Phân công'!AB187</f>
        <v/>
      </c>
      <c r="AD376" s="398" t="str">
        <f>'Lớp 5 - Phân công'!AG187</f>
        <v/>
      </c>
      <c r="AE376" s="358" t="str">
        <f>'Lớp 5 - Phân công'!AE187</f>
        <v/>
      </c>
      <c r="AF376" s="187" t="str">
        <f>'Lớp 5 - Phân công'!AH187</f>
        <v/>
      </c>
      <c r="AG376" s="104" t="str">
        <f>'Lớp 5 - Phân công'!AI187</f>
        <v/>
      </c>
      <c r="AH376" s="389" t="str">
        <f t="shared" si="27"/>
        <v/>
      </c>
      <c r="AI376" s="389" t="str">
        <f t="shared" si="37"/>
        <v>🔵 Chưa có hạn</v>
      </c>
      <c r="AJ376" s="67" t="str">
        <f>'Lớp 5 - Phân công'!AL187</f>
        <v/>
      </c>
      <c r="AS376" s="389" t="str">
        <f t="shared" si="217"/>
        <v/>
      </c>
      <c r="AT376" s="389" t="str">
        <f t="shared" si="32"/>
        <v/>
      </c>
      <c r="AU376" s="389" t="str">
        <f t="shared" si="33"/>
        <v/>
      </c>
      <c r="AV376" s="389" t="str">
        <f t="shared" si="34"/>
        <v/>
      </c>
      <c r="AW376" s="389" t="str">
        <f t="shared" si="35"/>
        <v/>
      </c>
      <c r="AX376" s="67" t="str">
        <f t="shared" ref="AX376:BH376" si="390">Z376</f>
        <v/>
      </c>
      <c r="AY376" s="67" t="str">
        <f t="shared" si="390"/>
        <v/>
      </c>
      <c r="AZ376" s="67" t="str">
        <f t="shared" si="390"/>
        <v/>
      </c>
      <c r="BA376" s="67" t="str">
        <f t="shared" si="390"/>
        <v/>
      </c>
      <c r="BB376" s="398" t="str">
        <f t="shared" si="390"/>
        <v/>
      </c>
      <c r="BC376" s="358" t="str">
        <f t="shared" si="390"/>
        <v/>
      </c>
      <c r="BD376" s="187" t="str">
        <f t="shared" si="390"/>
        <v/>
      </c>
      <c r="BE376" s="104" t="str">
        <f t="shared" si="390"/>
        <v/>
      </c>
      <c r="BF376" s="389" t="str">
        <f t="shared" si="390"/>
        <v/>
      </c>
      <c r="BG376" s="389" t="str">
        <f t="shared" si="390"/>
        <v>🔵 Chưa có hạn</v>
      </c>
      <c r="BH376" s="67" t="str">
        <f t="shared" si="390"/>
        <v/>
      </c>
      <c r="BI376" s="389" t="str">
        <f t="array" ref="BI376">IF($X376="","",SWITCH($W376,3,IFERROR(INDEX('Lớp 3 - Công việc chính'!$AF$14:$AF$73,MATCH($X376,'Lớp 3 - Công việc chính'!$I$14:$I$73,0)),""),4,IFERROR(INDEX('Lớp 4 - Danh mục'!$AI$14:$AI$132,MATCH($X376,'Lớp 4 - Danh mục'!$I$14:$I$132,0)),""),5,IFERROR(INDEX('Lớp 5 - Phân công'!$AJ$14:$AJ$262,MATCH($X376,'Lớp 5 - Phân công'!$I$14:$I$262,0)),""),6,IFERROR(INDEX('Lớp 6 - Chi tiết'!$AM$14:$AM$267,MATCH($X376,'Lớp 6 - Chi tiết'!$I$14:$I$267,0)),""),""))</f>
        <v/>
      </c>
      <c r="BJ376" s="389" t="str">
        <f t="array" ref="BJ376">IF($X376="","",SWITCH($W376,3,IFERROR(INDEX('Lớp 3 - Công việc chính'!$AR$14:$AR$73,MATCH($X376,'Lớp 3 - Công việc chính'!$I$14:$I$73,0)),""),4,IFERROR(INDEX('Lớp 4 - Danh mục'!$AU$14:$AU$132,MATCH($X376,'Lớp 4 - Danh mục'!$I$14:$I$132,0)),""),5,IFERROR(INDEX('Lớp 5 - Phân công'!$AV$14:$AV$262,MATCH($X376,'Lớp 5 - Phân công'!$I$14:$I$262,0)),""),6,IFERROR(INDEX('Lớp 6 - Chi tiết'!$AY$14:$AY$267,MATCH($X376,'Lớp 6 - Chi tiết'!$I$14:$I$267,0)),""),""))</f>
        <v/>
      </c>
    </row>
    <row r="377" ht="15.75" customHeight="1">
      <c r="A377" s="294" t="str">
        <f t="shared" si="12"/>
        <v/>
      </c>
      <c r="B377" s="301" t="str">
        <f t="shared" si="13"/>
        <v/>
      </c>
      <c r="C377" s="301" t="str">
        <f t="shared" si="14"/>
        <v/>
      </c>
      <c r="D377" s="301" t="str">
        <f t="shared" si="15"/>
        <v/>
      </c>
      <c r="E377" s="301" t="str">
        <f t="shared" si="16"/>
        <v/>
      </c>
      <c r="F377" s="317" t="str">
        <f t="shared" si="17"/>
        <v/>
      </c>
      <c r="G377" s="323" t="str">
        <f t="shared" si="18"/>
        <v/>
      </c>
      <c r="H377" s="327" t="str">
        <f t="shared" si="19"/>
        <v/>
      </c>
      <c r="I377" s="327" t="str">
        <f t="shared" si="20"/>
        <v/>
      </c>
      <c r="J377" s="301" t="str">
        <f t="shared" si="21"/>
        <v/>
      </c>
      <c r="K377" s="301" t="str">
        <f t="shared" si="22"/>
        <v/>
      </c>
      <c r="L377" s="344" t="str">
        <f t="array" ref="L377">IF($T377="","",LET(m,MATCH($T377,$AS$24:$AS$700,0),lvl,INDEX($W$24:$W$700,m),id,INDEX($X$24:$X$700,m),SWITCH(lvl,3,"Lớp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7" s="351" t="str">
        <f t="shared" si="23"/>
        <v/>
      </c>
      <c r="N377" s="356" t="str">
        <f t="shared" si="24"/>
        <v/>
      </c>
      <c r="O377" s="358"/>
      <c r="P377" s="360"/>
      <c r="Q377" s="360"/>
      <c r="R377" s="67"/>
      <c r="S377" s="67"/>
      <c r="T377" s="67"/>
      <c r="U377" s="389" t="str">
        <f>IF('Lớp 5 - Phân công'!I188="","",'Lớp 5 - Phân công'!K188&amp;"|"&amp;'Lớp 5 - Phân công'!J188&amp;"|"&amp;'Lớp 5 - Phân công'!I188)</f>
        <v/>
      </c>
      <c r="V377" s="389" t="str">
        <f>IF('Lớp 5 - Phân công'!I188="","","       ├─ "&amp;'Lớp 5 - Phân công'!Q188)</f>
        <v/>
      </c>
      <c r="W377" s="389" t="str">
        <f>IF('Lớp 5 - Phân công'!I188="","",5)</f>
        <v/>
      </c>
      <c r="X377" s="67" t="str">
        <f>'Lớp 5 - Phân công'!I188</f>
        <v/>
      </c>
      <c r="Y377" s="67" t="str">
        <f>'Lớp 5 - Phân công'!J188</f>
        <v/>
      </c>
      <c r="Z377" s="67" t="str">
        <f>'Lớp 5 - Phân công'!AA188</f>
        <v/>
      </c>
      <c r="AA377" s="67" t="str">
        <f>'Lớp 5 - Phân công'!Z188</f>
        <v/>
      </c>
      <c r="AB377" s="67" t="str">
        <f>'Lớp 5 - Phân công'!AC188</f>
        <v/>
      </c>
      <c r="AC377" s="67" t="str">
        <f>'Lớp 5 - Phân công'!AB188</f>
        <v/>
      </c>
      <c r="AD377" s="398" t="str">
        <f>'Lớp 5 - Phân công'!AG188</f>
        <v/>
      </c>
      <c r="AE377" s="358" t="str">
        <f>'Lớp 5 - Phân công'!AE188</f>
        <v/>
      </c>
      <c r="AF377" s="187" t="str">
        <f>'Lớp 5 - Phân công'!AH188</f>
        <v/>
      </c>
      <c r="AG377" s="104" t="str">
        <f>'Lớp 5 - Phân công'!AI188</f>
        <v/>
      </c>
      <c r="AH377" s="389" t="str">
        <f t="shared" si="27"/>
        <v/>
      </c>
      <c r="AI377" s="389" t="str">
        <f t="shared" si="37"/>
        <v>🔵 Chưa có hạn</v>
      </c>
      <c r="AJ377" s="67" t="str">
        <f>'Lớp 5 - Phân công'!AL188</f>
        <v/>
      </c>
      <c r="AS377" s="389" t="str">
        <f t="shared" si="217"/>
        <v/>
      </c>
      <c r="AT377" s="389" t="str">
        <f t="shared" si="32"/>
        <v/>
      </c>
      <c r="AU377" s="389" t="str">
        <f t="shared" si="33"/>
        <v/>
      </c>
      <c r="AV377" s="389" t="str">
        <f t="shared" si="34"/>
        <v/>
      </c>
      <c r="AW377" s="389" t="str">
        <f t="shared" si="35"/>
        <v/>
      </c>
      <c r="AX377" s="67" t="str">
        <f t="shared" ref="AX377:BH377" si="391">Z377</f>
        <v/>
      </c>
      <c r="AY377" s="67" t="str">
        <f t="shared" si="391"/>
        <v/>
      </c>
      <c r="AZ377" s="67" t="str">
        <f t="shared" si="391"/>
        <v/>
      </c>
      <c r="BA377" s="67" t="str">
        <f t="shared" si="391"/>
        <v/>
      </c>
      <c r="BB377" s="398" t="str">
        <f t="shared" si="391"/>
        <v/>
      </c>
      <c r="BC377" s="358" t="str">
        <f t="shared" si="391"/>
        <v/>
      </c>
      <c r="BD377" s="187" t="str">
        <f t="shared" si="391"/>
        <v/>
      </c>
      <c r="BE377" s="104" t="str">
        <f t="shared" si="391"/>
        <v/>
      </c>
      <c r="BF377" s="389" t="str">
        <f t="shared" si="391"/>
        <v/>
      </c>
      <c r="BG377" s="389" t="str">
        <f t="shared" si="391"/>
        <v>🔵 Chưa có hạn</v>
      </c>
      <c r="BH377" s="67" t="str">
        <f t="shared" si="391"/>
        <v/>
      </c>
      <c r="BI377" s="389" t="str">
        <f t="array" ref="BI377">IF($X377="","",SWITCH($W377,3,IFERROR(INDEX('Lớp 3 - Công việc chính'!$AF$14:$AF$73,MATCH($X377,'Lớp 3 - Công việc chính'!$I$14:$I$73,0)),""),4,IFERROR(INDEX('Lớp 4 - Danh mục'!$AI$14:$AI$132,MATCH($X377,'Lớp 4 - Danh mục'!$I$14:$I$132,0)),""),5,IFERROR(INDEX('Lớp 5 - Phân công'!$AJ$14:$AJ$262,MATCH($X377,'Lớp 5 - Phân công'!$I$14:$I$262,0)),""),6,IFERROR(INDEX('Lớp 6 - Chi tiết'!$AM$14:$AM$267,MATCH($X377,'Lớp 6 - Chi tiết'!$I$14:$I$267,0)),""),""))</f>
        <v/>
      </c>
      <c r="BJ377" s="389" t="str">
        <f t="array" ref="BJ377">IF($X377="","",SWITCH($W377,3,IFERROR(INDEX('Lớp 3 - Công việc chính'!$AR$14:$AR$73,MATCH($X377,'Lớp 3 - Công việc chính'!$I$14:$I$73,0)),""),4,IFERROR(INDEX('Lớp 4 - Danh mục'!$AU$14:$AU$132,MATCH($X377,'Lớp 4 - Danh mục'!$I$14:$I$132,0)),""),5,IFERROR(INDEX('Lớp 5 - Phân công'!$AV$14:$AV$262,MATCH($X377,'Lớp 5 - Phân công'!$I$14:$I$262,0)),""),6,IFERROR(INDEX('Lớp 6 - Chi tiết'!$AY$14:$AY$267,MATCH($X377,'Lớp 6 - Chi tiết'!$I$14:$I$267,0)),""),""))</f>
        <v/>
      </c>
    </row>
    <row r="378" ht="15.75" customHeight="1">
      <c r="A378" s="294" t="str">
        <f t="shared" si="12"/>
        <v/>
      </c>
      <c r="B378" s="301" t="str">
        <f t="shared" si="13"/>
        <v/>
      </c>
      <c r="C378" s="301" t="str">
        <f t="shared" si="14"/>
        <v/>
      </c>
      <c r="D378" s="301" t="str">
        <f t="shared" si="15"/>
        <v/>
      </c>
      <c r="E378" s="301" t="str">
        <f t="shared" si="16"/>
        <v/>
      </c>
      <c r="F378" s="317" t="str">
        <f t="shared" si="17"/>
        <v/>
      </c>
      <c r="G378" s="323" t="str">
        <f t="shared" si="18"/>
        <v/>
      </c>
      <c r="H378" s="327" t="str">
        <f t="shared" si="19"/>
        <v/>
      </c>
      <c r="I378" s="327" t="str">
        <f t="shared" si="20"/>
        <v/>
      </c>
      <c r="J378" s="301" t="str">
        <f t="shared" si="21"/>
        <v/>
      </c>
      <c r="K378" s="301" t="str">
        <f t="shared" si="22"/>
        <v/>
      </c>
      <c r="L378" s="344" t="str">
        <f t="array" ref="L378">IF($T378="","",LET(m,MATCH($T378,$AS$24:$AS$700,0),lvl,INDEX($W$24:$W$700,m),id,INDEX($X$24:$X$700,m),SWITCH(lvl,3,"Lớp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8" s="351" t="str">
        <f t="shared" si="23"/>
        <v/>
      </c>
      <c r="N378" s="356" t="str">
        <f t="shared" si="24"/>
        <v/>
      </c>
      <c r="O378" s="358"/>
      <c r="P378" s="360"/>
      <c r="Q378" s="360"/>
      <c r="R378" s="67"/>
      <c r="S378" s="67"/>
      <c r="T378" s="67"/>
      <c r="U378" s="389" t="str">
        <f>IF('Lớp 5 - Phân công'!I189="","",'Lớp 5 - Phân công'!K189&amp;"|"&amp;'Lớp 5 - Phân công'!J189&amp;"|"&amp;'Lớp 5 - Phân công'!I189)</f>
        <v/>
      </c>
      <c r="V378" s="389" t="str">
        <f>IF('Lớp 5 - Phân công'!I189="","","       ├─ "&amp;'Lớp 5 - Phân công'!Q189)</f>
        <v/>
      </c>
      <c r="W378" s="389" t="str">
        <f>IF('Lớp 5 - Phân công'!I189="","",5)</f>
        <v/>
      </c>
      <c r="X378" s="67" t="str">
        <f>'Lớp 5 - Phân công'!I189</f>
        <v/>
      </c>
      <c r="Y378" s="67" t="str">
        <f>'Lớp 5 - Phân công'!J189</f>
        <v/>
      </c>
      <c r="Z378" s="67" t="str">
        <f>'Lớp 5 - Phân công'!AA189</f>
        <v/>
      </c>
      <c r="AA378" s="67" t="str">
        <f>'Lớp 5 - Phân công'!Z189</f>
        <v/>
      </c>
      <c r="AB378" s="67" t="str">
        <f>'Lớp 5 - Phân công'!AC189</f>
        <v/>
      </c>
      <c r="AC378" s="67" t="str">
        <f>'Lớp 5 - Phân công'!AB189</f>
        <v/>
      </c>
      <c r="AD378" s="398" t="str">
        <f>'Lớp 5 - Phân công'!AG189</f>
        <v/>
      </c>
      <c r="AE378" s="358" t="str">
        <f>'Lớp 5 - Phân công'!AE189</f>
        <v/>
      </c>
      <c r="AF378" s="187" t="str">
        <f>'Lớp 5 - Phân công'!AH189</f>
        <v/>
      </c>
      <c r="AG378" s="104" t="str">
        <f>'Lớp 5 - Phân công'!AI189</f>
        <v/>
      </c>
      <c r="AH378" s="389" t="str">
        <f t="shared" si="27"/>
        <v/>
      </c>
      <c r="AI378" s="389" t="str">
        <f t="shared" si="37"/>
        <v>🔵 Chưa có hạn</v>
      </c>
      <c r="AJ378" s="67" t="str">
        <f>'Lớp 5 - Phân công'!AL189</f>
        <v/>
      </c>
      <c r="AS378" s="389" t="str">
        <f t="shared" si="217"/>
        <v/>
      </c>
      <c r="AT378" s="389" t="str">
        <f t="shared" si="32"/>
        <v/>
      </c>
      <c r="AU378" s="389" t="str">
        <f t="shared" si="33"/>
        <v/>
      </c>
      <c r="AV378" s="389" t="str">
        <f t="shared" si="34"/>
        <v/>
      </c>
      <c r="AW378" s="389" t="str">
        <f t="shared" si="35"/>
        <v/>
      </c>
      <c r="AX378" s="67" t="str">
        <f t="shared" ref="AX378:BH378" si="392">Z378</f>
        <v/>
      </c>
      <c r="AY378" s="67" t="str">
        <f t="shared" si="392"/>
        <v/>
      </c>
      <c r="AZ378" s="67" t="str">
        <f t="shared" si="392"/>
        <v/>
      </c>
      <c r="BA378" s="67" t="str">
        <f t="shared" si="392"/>
        <v/>
      </c>
      <c r="BB378" s="398" t="str">
        <f t="shared" si="392"/>
        <v/>
      </c>
      <c r="BC378" s="358" t="str">
        <f t="shared" si="392"/>
        <v/>
      </c>
      <c r="BD378" s="187" t="str">
        <f t="shared" si="392"/>
        <v/>
      </c>
      <c r="BE378" s="104" t="str">
        <f t="shared" si="392"/>
        <v/>
      </c>
      <c r="BF378" s="389" t="str">
        <f t="shared" si="392"/>
        <v/>
      </c>
      <c r="BG378" s="389" t="str">
        <f t="shared" si="392"/>
        <v>🔵 Chưa có hạn</v>
      </c>
      <c r="BH378" s="67" t="str">
        <f t="shared" si="392"/>
        <v/>
      </c>
      <c r="BI378" s="389" t="str">
        <f t="array" ref="BI378">IF($X378="","",SWITCH($W378,3,IFERROR(INDEX('Lớp 3 - Công việc chính'!$AF$14:$AF$73,MATCH($X378,'Lớp 3 - Công việc chính'!$I$14:$I$73,0)),""),4,IFERROR(INDEX('Lớp 4 - Danh mục'!$AI$14:$AI$132,MATCH($X378,'Lớp 4 - Danh mục'!$I$14:$I$132,0)),""),5,IFERROR(INDEX('Lớp 5 - Phân công'!$AJ$14:$AJ$262,MATCH($X378,'Lớp 5 - Phân công'!$I$14:$I$262,0)),""),6,IFERROR(INDEX('Lớp 6 - Chi tiết'!$AM$14:$AM$267,MATCH($X378,'Lớp 6 - Chi tiết'!$I$14:$I$267,0)),""),""))</f>
        <v/>
      </c>
      <c r="BJ378" s="389" t="str">
        <f t="array" ref="BJ378">IF($X378="","",SWITCH($W378,3,IFERROR(INDEX('Lớp 3 - Công việc chính'!$AR$14:$AR$73,MATCH($X378,'Lớp 3 - Công việc chính'!$I$14:$I$73,0)),""),4,IFERROR(INDEX('Lớp 4 - Danh mục'!$AU$14:$AU$132,MATCH($X378,'Lớp 4 - Danh mục'!$I$14:$I$132,0)),""),5,IFERROR(INDEX('Lớp 5 - Phân công'!$AV$14:$AV$262,MATCH($X378,'Lớp 5 - Phân công'!$I$14:$I$262,0)),""),6,IFERROR(INDEX('Lớp 6 - Chi tiết'!$AY$14:$AY$267,MATCH($X378,'Lớp 6 - Chi tiết'!$I$14:$I$267,0)),""),""))</f>
        <v/>
      </c>
    </row>
    <row r="379" ht="15.75" customHeight="1">
      <c r="A379" s="294" t="str">
        <f t="shared" si="12"/>
        <v/>
      </c>
      <c r="B379" s="301" t="str">
        <f t="shared" si="13"/>
        <v/>
      </c>
      <c r="C379" s="301" t="str">
        <f t="shared" si="14"/>
        <v/>
      </c>
      <c r="D379" s="301" t="str">
        <f t="shared" si="15"/>
        <v/>
      </c>
      <c r="E379" s="301" t="str">
        <f t="shared" si="16"/>
        <v/>
      </c>
      <c r="F379" s="317" t="str">
        <f t="shared" si="17"/>
        <v/>
      </c>
      <c r="G379" s="323" t="str">
        <f t="shared" si="18"/>
        <v/>
      </c>
      <c r="H379" s="327" t="str">
        <f t="shared" si="19"/>
        <v/>
      </c>
      <c r="I379" s="327" t="str">
        <f t="shared" si="20"/>
        <v/>
      </c>
      <c r="J379" s="301" t="str">
        <f t="shared" si="21"/>
        <v/>
      </c>
      <c r="K379" s="301" t="str">
        <f t="shared" si="22"/>
        <v/>
      </c>
      <c r="L379" s="344" t="str">
        <f t="array" ref="L379">IF($T379="","",LET(m,MATCH($T379,$AS$24:$AS$700,0),lvl,INDEX($W$24:$W$700,m),id,INDEX($X$24:$X$700,m),SWITCH(lvl,3,"Lớp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79" s="351" t="str">
        <f t="shared" si="23"/>
        <v/>
      </c>
      <c r="N379" s="356" t="str">
        <f t="shared" si="24"/>
        <v/>
      </c>
      <c r="O379" s="358"/>
      <c r="P379" s="360"/>
      <c r="Q379" s="360"/>
      <c r="R379" s="67"/>
      <c r="S379" s="67"/>
      <c r="T379" s="67"/>
      <c r="U379" s="389" t="str">
        <f>IF('Lớp 5 - Phân công'!I190="","",'Lớp 5 - Phân công'!K190&amp;"|"&amp;'Lớp 5 - Phân công'!J190&amp;"|"&amp;'Lớp 5 - Phân công'!I190)</f>
        <v/>
      </c>
      <c r="V379" s="389" t="str">
        <f>IF('Lớp 5 - Phân công'!I190="","","       ├─ "&amp;'Lớp 5 - Phân công'!Q190)</f>
        <v/>
      </c>
      <c r="W379" s="389" t="str">
        <f>IF('Lớp 5 - Phân công'!I190="","",5)</f>
        <v/>
      </c>
      <c r="X379" s="67" t="str">
        <f>'Lớp 5 - Phân công'!I190</f>
        <v/>
      </c>
      <c r="Y379" s="67" t="str">
        <f>'Lớp 5 - Phân công'!J190</f>
        <v/>
      </c>
      <c r="Z379" s="67" t="str">
        <f>'Lớp 5 - Phân công'!AA190</f>
        <v/>
      </c>
      <c r="AA379" s="67" t="str">
        <f>'Lớp 5 - Phân công'!Z190</f>
        <v/>
      </c>
      <c r="AB379" s="67" t="str">
        <f>'Lớp 5 - Phân công'!AC190</f>
        <v/>
      </c>
      <c r="AC379" s="67" t="str">
        <f>'Lớp 5 - Phân công'!AB190</f>
        <v/>
      </c>
      <c r="AD379" s="398" t="str">
        <f>'Lớp 5 - Phân công'!AG190</f>
        <v/>
      </c>
      <c r="AE379" s="358" t="str">
        <f>'Lớp 5 - Phân công'!AE190</f>
        <v/>
      </c>
      <c r="AF379" s="187" t="str">
        <f>'Lớp 5 - Phân công'!AH190</f>
        <v/>
      </c>
      <c r="AG379" s="104" t="str">
        <f>'Lớp 5 - Phân công'!AI190</f>
        <v/>
      </c>
      <c r="AH379" s="389" t="str">
        <f t="shared" si="27"/>
        <v/>
      </c>
      <c r="AI379" s="389" t="str">
        <f t="shared" si="37"/>
        <v>🔵 Chưa có hạn</v>
      </c>
      <c r="AJ379" s="67" t="str">
        <f>'Lớp 5 - Phân công'!AL190</f>
        <v/>
      </c>
      <c r="AS379" s="389" t="str">
        <f t="shared" si="217"/>
        <v/>
      </c>
      <c r="AT379" s="389" t="str">
        <f t="shared" si="32"/>
        <v/>
      </c>
      <c r="AU379" s="389" t="str">
        <f t="shared" si="33"/>
        <v/>
      </c>
      <c r="AV379" s="389" t="str">
        <f t="shared" si="34"/>
        <v/>
      </c>
      <c r="AW379" s="389" t="str">
        <f t="shared" si="35"/>
        <v/>
      </c>
      <c r="AX379" s="67" t="str">
        <f t="shared" ref="AX379:BH379" si="393">Z379</f>
        <v/>
      </c>
      <c r="AY379" s="67" t="str">
        <f t="shared" si="393"/>
        <v/>
      </c>
      <c r="AZ379" s="67" t="str">
        <f t="shared" si="393"/>
        <v/>
      </c>
      <c r="BA379" s="67" t="str">
        <f t="shared" si="393"/>
        <v/>
      </c>
      <c r="BB379" s="398" t="str">
        <f t="shared" si="393"/>
        <v/>
      </c>
      <c r="BC379" s="358" t="str">
        <f t="shared" si="393"/>
        <v/>
      </c>
      <c r="BD379" s="187" t="str">
        <f t="shared" si="393"/>
        <v/>
      </c>
      <c r="BE379" s="104" t="str">
        <f t="shared" si="393"/>
        <v/>
      </c>
      <c r="BF379" s="389" t="str">
        <f t="shared" si="393"/>
        <v/>
      </c>
      <c r="BG379" s="389" t="str">
        <f t="shared" si="393"/>
        <v>🔵 Chưa có hạn</v>
      </c>
      <c r="BH379" s="67" t="str">
        <f t="shared" si="393"/>
        <v/>
      </c>
      <c r="BI379" s="389" t="str">
        <f t="array" ref="BI379">IF($X379="","",SWITCH($W379,3,IFERROR(INDEX('Lớp 3 - Công việc chính'!$AF$14:$AF$73,MATCH($X379,'Lớp 3 - Công việc chính'!$I$14:$I$73,0)),""),4,IFERROR(INDEX('Lớp 4 - Danh mục'!$AI$14:$AI$132,MATCH($X379,'Lớp 4 - Danh mục'!$I$14:$I$132,0)),""),5,IFERROR(INDEX('Lớp 5 - Phân công'!$AJ$14:$AJ$262,MATCH($X379,'Lớp 5 - Phân công'!$I$14:$I$262,0)),""),6,IFERROR(INDEX('Lớp 6 - Chi tiết'!$AM$14:$AM$267,MATCH($X379,'Lớp 6 - Chi tiết'!$I$14:$I$267,0)),""),""))</f>
        <v/>
      </c>
      <c r="BJ379" s="389" t="str">
        <f t="array" ref="BJ379">IF($X379="","",SWITCH($W379,3,IFERROR(INDEX('Lớp 3 - Công việc chính'!$AR$14:$AR$73,MATCH($X379,'Lớp 3 - Công việc chính'!$I$14:$I$73,0)),""),4,IFERROR(INDEX('Lớp 4 - Danh mục'!$AU$14:$AU$132,MATCH($X379,'Lớp 4 - Danh mục'!$I$14:$I$132,0)),""),5,IFERROR(INDEX('Lớp 5 - Phân công'!$AV$14:$AV$262,MATCH($X379,'Lớp 5 - Phân công'!$I$14:$I$262,0)),""),6,IFERROR(INDEX('Lớp 6 - Chi tiết'!$AY$14:$AY$267,MATCH($X379,'Lớp 6 - Chi tiết'!$I$14:$I$267,0)),""),""))</f>
        <v/>
      </c>
    </row>
    <row r="380" ht="15.75" customHeight="1">
      <c r="A380" s="294" t="str">
        <f t="shared" si="12"/>
        <v/>
      </c>
      <c r="B380" s="301" t="str">
        <f t="shared" si="13"/>
        <v/>
      </c>
      <c r="C380" s="301" t="str">
        <f t="shared" si="14"/>
        <v/>
      </c>
      <c r="D380" s="301" t="str">
        <f t="shared" si="15"/>
        <v/>
      </c>
      <c r="E380" s="301" t="str">
        <f t="shared" si="16"/>
        <v/>
      </c>
      <c r="F380" s="317" t="str">
        <f t="shared" si="17"/>
        <v/>
      </c>
      <c r="G380" s="323" t="str">
        <f t="shared" si="18"/>
        <v/>
      </c>
      <c r="H380" s="327" t="str">
        <f t="shared" si="19"/>
        <v/>
      </c>
      <c r="I380" s="327" t="str">
        <f t="shared" si="20"/>
        <v/>
      </c>
      <c r="J380" s="301" t="str">
        <f t="shared" si="21"/>
        <v/>
      </c>
      <c r="K380" s="301" t="str">
        <f t="shared" si="22"/>
        <v/>
      </c>
      <c r="L380" s="344" t="str">
        <f t="array" ref="L380">IF($T380="","",LET(m,MATCH($T380,$AS$24:$AS$700,0),lvl,INDEX($W$24:$W$700,m),id,INDEX($X$24:$X$700,m),SWITCH(lvl,3,"Lớp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0" s="351" t="str">
        <f t="shared" si="23"/>
        <v/>
      </c>
      <c r="N380" s="356" t="str">
        <f t="shared" si="24"/>
        <v/>
      </c>
      <c r="O380" s="358"/>
      <c r="P380" s="360"/>
      <c r="Q380" s="360"/>
      <c r="R380" s="67"/>
      <c r="S380" s="67"/>
      <c r="T380" s="67"/>
      <c r="U380" s="389" t="str">
        <f>IF('Lớp 5 - Phân công'!I191="","",'Lớp 5 - Phân công'!K191&amp;"|"&amp;'Lớp 5 - Phân công'!J191&amp;"|"&amp;'Lớp 5 - Phân công'!I191)</f>
        <v/>
      </c>
      <c r="V380" s="389" t="str">
        <f>IF('Lớp 5 - Phân công'!I191="","","       ├─ "&amp;'Lớp 5 - Phân công'!Q191)</f>
        <v/>
      </c>
      <c r="W380" s="389" t="str">
        <f>IF('Lớp 5 - Phân công'!I191="","",5)</f>
        <v/>
      </c>
      <c r="X380" s="67" t="str">
        <f>'Lớp 5 - Phân công'!I191</f>
        <v/>
      </c>
      <c r="Y380" s="67" t="str">
        <f>'Lớp 5 - Phân công'!J191</f>
        <v/>
      </c>
      <c r="Z380" s="67" t="str">
        <f>'Lớp 5 - Phân công'!AA191</f>
        <v/>
      </c>
      <c r="AA380" s="67" t="str">
        <f>'Lớp 5 - Phân công'!Z191</f>
        <v/>
      </c>
      <c r="AB380" s="67" t="str">
        <f>'Lớp 5 - Phân công'!AC191</f>
        <v/>
      </c>
      <c r="AC380" s="67" t="str">
        <f>'Lớp 5 - Phân công'!AB191</f>
        <v/>
      </c>
      <c r="AD380" s="398" t="str">
        <f>'Lớp 5 - Phân công'!AG191</f>
        <v/>
      </c>
      <c r="AE380" s="358" t="str">
        <f>'Lớp 5 - Phân công'!AE191</f>
        <v/>
      </c>
      <c r="AF380" s="187" t="str">
        <f>'Lớp 5 - Phân công'!AH191</f>
        <v/>
      </c>
      <c r="AG380" s="104" t="str">
        <f>'Lớp 5 - Phân công'!AI191</f>
        <v/>
      </c>
      <c r="AH380" s="389" t="str">
        <f t="shared" si="27"/>
        <v/>
      </c>
      <c r="AI380" s="389" t="str">
        <f t="shared" si="37"/>
        <v>🔵 Chưa có hạn</v>
      </c>
      <c r="AJ380" s="67" t="str">
        <f>'Lớp 5 - Phân công'!AL191</f>
        <v/>
      </c>
      <c r="AS380" s="389" t="str">
        <f t="shared" si="217"/>
        <v/>
      </c>
      <c r="AT380" s="389" t="str">
        <f t="shared" si="32"/>
        <v/>
      </c>
      <c r="AU380" s="389" t="str">
        <f t="shared" si="33"/>
        <v/>
      </c>
      <c r="AV380" s="389" t="str">
        <f t="shared" si="34"/>
        <v/>
      </c>
      <c r="AW380" s="389" t="str">
        <f t="shared" si="35"/>
        <v/>
      </c>
      <c r="AX380" s="67" t="str">
        <f t="shared" ref="AX380:BH380" si="394">Z380</f>
        <v/>
      </c>
      <c r="AY380" s="67" t="str">
        <f t="shared" si="394"/>
        <v/>
      </c>
      <c r="AZ380" s="67" t="str">
        <f t="shared" si="394"/>
        <v/>
      </c>
      <c r="BA380" s="67" t="str">
        <f t="shared" si="394"/>
        <v/>
      </c>
      <c r="BB380" s="398" t="str">
        <f t="shared" si="394"/>
        <v/>
      </c>
      <c r="BC380" s="358" t="str">
        <f t="shared" si="394"/>
        <v/>
      </c>
      <c r="BD380" s="187" t="str">
        <f t="shared" si="394"/>
        <v/>
      </c>
      <c r="BE380" s="104" t="str">
        <f t="shared" si="394"/>
        <v/>
      </c>
      <c r="BF380" s="389" t="str">
        <f t="shared" si="394"/>
        <v/>
      </c>
      <c r="BG380" s="389" t="str">
        <f t="shared" si="394"/>
        <v>🔵 Chưa có hạn</v>
      </c>
      <c r="BH380" s="67" t="str">
        <f t="shared" si="394"/>
        <v/>
      </c>
      <c r="BI380" s="389" t="str">
        <f t="array" ref="BI380">IF($X380="","",SWITCH($W380,3,IFERROR(INDEX('Lớp 3 - Công việc chính'!$AF$14:$AF$73,MATCH($X380,'Lớp 3 - Công việc chính'!$I$14:$I$73,0)),""),4,IFERROR(INDEX('Lớp 4 - Danh mục'!$AI$14:$AI$132,MATCH($X380,'Lớp 4 - Danh mục'!$I$14:$I$132,0)),""),5,IFERROR(INDEX('Lớp 5 - Phân công'!$AJ$14:$AJ$262,MATCH($X380,'Lớp 5 - Phân công'!$I$14:$I$262,0)),""),6,IFERROR(INDEX('Lớp 6 - Chi tiết'!$AM$14:$AM$267,MATCH($X380,'Lớp 6 - Chi tiết'!$I$14:$I$267,0)),""),""))</f>
        <v/>
      </c>
      <c r="BJ380" s="389" t="str">
        <f t="array" ref="BJ380">IF($X380="","",SWITCH($W380,3,IFERROR(INDEX('Lớp 3 - Công việc chính'!$AR$14:$AR$73,MATCH($X380,'Lớp 3 - Công việc chính'!$I$14:$I$73,0)),""),4,IFERROR(INDEX('Lớp 4 - Danh mục'!$AU$14:$AU$132,MATCH($X380,'Lớp 4 - Danh mục'!$I$14:$I$132,0)),""),5,IFERROR(INDEX('Lớp 5 - Phân công'!$AV$14:$AV$262,MATCH($X380,'Lớp 5 - Phân công'!$I$14:$I$262,0)),""),6,IFERROR(INDEX('Lớp 6 - Chi tiết'!$AY$14:$AY$267,MATCH($X380,'Lớp 6 - Chi tiết'!$I$14:$I$267,0)),""),""))</f>
        <v/>
      </c>
    </row>
    <row r="381" ht="15.75" customHeight="1">
      <c r="A381" s="294" t="str">
        <f t="shared" si="12"/>
        <v/>
      </c>
      <c r="B381" s="301" t="str">
        <f t="shared" si="13"/>
        <v/>
      </c>
      <c r="C381" s="301" t="str">
        <f t="shared" si="14"/>
        <v/>
      </c>
      <c r="D381" s="301" t="str">
        <f t="shared" si="15"/>
        <v/>
      </c>
      <c r="E381" s="301" t="str">
        <f t="shared" si="16"/>
        <v/>
      </c>
      <c r="F381" s="317" t="str">
        <f t="shared" si="17"/>
        <v/>
      </c>
      <c r="G381" s="323" t="str">
        <f t="shared" si="18"/>
        <v/>
      </c>
      <c r="H381" s="327" t="str">
        <f t="shared" si="19"/>
        <v/>
      </c>
      <c r="I381" s="327" t="str">
        <f t="shared" si="20"/>
        <v/>
      </c>
      <c r="J381" s="301" t="str">
        <f t="shared" si="21"/>
        <v/>
      </c>
      <c r="K381" s="301" t="str">
        <f t="shared" si="22"/>
        <v/>
      </c>
      <c r="L381" s="344" t="str">
        <f t="array" ref="L381">IF($T381="","",LET(m,MATCH($T381,$AS$24:$AS$700,0),lvl,INDEX($W$24:$W$700,m),id,INDEX($X$24:$X$700,m),SWITCH(lvl,3,"Lớp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1" s="351" t="str">
        <f t="shared" si="23"/>
        <v/>
      </c>
      <c r="N381" s="356" t="str">
        <f t="shared" si="24"/>
        <v/>
      </c>
      <c r="O381" s="358"/>
      <c r="P381" s="360"/>
      <c r="Q381" s="360"/>
      <c r="R381" s="67"/>
      <c r="S381" s="67"/>
      <c r="T381" s="67"/>
      <c r="U381" s="389" t="str">
        <f>IF('Lớp 5 - Phân công'!I192="","",'Lớp 5 - Phân công'!K192&amp;"|"&amp;'Lớp 5 - Phân công'!J192&amp;"|"&amp;'Lớp 5 - Phân công'!I192)</f>
        <v/>
      </c>
      <c r="V381" s="389" t="str">
        <f>IF('Lớp 5 - Phân công'!I192="","","       ├─ "&amp;'Lớp 5 - Phân công'!Q192)</f>
        <v/>
      </c>
      <c r="W381" s="389" t="str">
        <f>IF('Lớp 5 - Phân công'!I192="","",5)</f>
        <v/>
      </c>
      <c r="X381" s="67" t="str">
        <f>'Lớp 5 - Phân công'!I192</f>
        <v/>
      </c>
      <c r="Y381" s="67" t="str">
        <f>'Lớp 5 - Phân công'!J192</f>
        <v/>
      </c>
      <c r="Z381" s="67" t="str">
        <f>'Lớp 5 - Phân công'!AA192</f>
        <v/>
      </c>
      <c r="AA381" s="67" t="str">
        <f>'Lớp 5 - Phân công'!Z192</f>
        <v/>
      </c>
      <c r="AB381" s="67" t="str">
        <f>'Lớp 5 - Phân công'!AC192</f>
        <v/>
      </c>
      <c r="AC381" s="67" t="str">
        <f>'Lớp 5 - Phân công'!AB192</f>
        <v/>
      </c>
      <c r="AD381" s="398" t="str">
        <f>'Lớp 5 - Phân công'!AG192</f>
        <v/>
      </c>
      <c r="AE381" s="358" t="str">
        <f>'Lớp 5 - Phân công'!AE192</f>
        <v/>
      </c>
      <c r="AF381" s="187" t="str">
        <f>'Lớp 5 - Phân công'!AH192</f>
        <v/>
      </c>
      <c r="AG381" s="104" t="str">
        <f>'Lớp 5 - Phân công'!AI192</f>
        <v/>
      </c>
      <c r="AH381" s="389" t="str">
        <f t="shared" si="27"/>
        <v/>
      </c>
      <c r="AI381" s="389" t="str">
        <f t="shared" si="37"/>
        <v>🔵 Chưa có hạn</v>
      </c>
      <c r="AJ381" s="67" t="str">
        <f>'Lớp 5 - Phân công'!AL192</f>
        <v/>
      </c>
      <c r="AS381" s="389" t="str">
        <f t="shared" si="217"/>
        <v/>
      </c>
      <c r="AT381" s="389" t="str">
        <f t="shared" si="32"/>
        <v/>
      </c>
      <c r="AU381" s="389" t="str">
        <f t="shared" si="33"/>
        <v/>
      </c>
      <c r="AV381" s="389" t="str">
        <f t="shared" si="34"/>
        <v/>
      </c>
      <c r="AW381" s="389" t="str">
        <f t="shared" si="35"/>
        <v/>
      </c>
      <c r="AX381" s="67" t="str">
        <f t="shared" ref="AX381:BH381" si="395">Z381</f>
        <v/>
      </c>
      <c r="AY381" s="67" t="str">
        <f t="shared" si="395"/>
        <v/>
      </c>
      <c r="AZ381" s="67" t="str">
        <f t="shared" si="395"/>
        <v/>
      </c>
      <c r="BA381" s="67" t="str">
        <f t="shared" si="395"/>
        <v/>
      </c>
      <c r="BB381" s="398" t="str">
        <f t="shared" si="395"/>
        <v/>
      </c>
      <c r="BC381" s="358" t="str">
        <f t="shared" si="395"/>
        <v/>
      </c>
      <c r="BD381" s="187" t="str">
        <f t="shared" si="395"/>
        <v/>
      </c>
      <c r="BE381" s="104" t="str">
        <f t="shared" si="395"/>
        <v/>
      </c>
      <c r="BF381" s="389" t="str">
        <f t="shared" si="395"/>
        <v/>
      </c>
      <c r="BG381" s="389" t="str">
        <f t="shared" si="395"/>
        <v>🔵 Chưa có hạn</v>
      </c>
      <c r="BH381" s="67" t="str">
        <f t="shared" si="395"/>
        <v/>
      </c>
      <c r="BI381" s="389" t="str">
        <f t="array" ref="BI381">IF($X381="","",SWITCH($W381,3,IFERROR(INDEX('Lớp 3 - Công việc chính'!$AF$14:$AF$73,MATCH($X381,'Lớp 3 - Công việc chính'!$I$14:$I$73,0)),""),4,IFERROR(INDEX('Lớp 4 - Danh mục'!$AI$14:$AI$132,MATCH($X381,'Lớp 4 - Danh mục'!$I$14:$I$132,0)),""),5,IFERROR(INDEX('Lớp 5 - Phân công'!$AJ$14:$AJ$262,MATCH($X381,'Lớp 5 - Phân công'!$I$14:$I$262,0)),""),6,IFERROR(INDEX('Lớp 6 - Chi tiết'!$AM$14:$AM$267,MATCH($X381,'Lớp 6 - Chi tiết'!$I$14:$I$267,0)),""),""))</f>
        <v/>
      </c>
      <c r="BJ381" s="389" t="str">
        <f t="array" ref="BJ381">IF($X381="","",SWITCH($W381,3,IFERROR(INDEX('Lớp 3 - Công việc chính'!$AR$14:$AR$73,MATCH($X381,'Lớp 3 - Công việc chính'!$I$14:$I$73,0)),""),4,IFERROR(INDEX('Lớp 4 - Danh mục'!$AU$14:$AU$132,MATCH($X381,'Lớp 4 - Danh mục'!$I$14:$I$132,0)),""),5,IFERROR(INDEX('Lớp 5 - Phân công'!$AV$14:$AV$262,MATCH($X381,'Lớp 5 - Phân công'!$I$14:$I$262,0)),""),6,IFERROR(INDEX('Lớp 6 - Chi tiết'!$AY$14:$AY$267,MATCH($X381,'Lớp 6 - Chi tiết'!$I$14:$I$267,0)),""),""))</f>
        <v/>
      </c>
    </row>
    <row r="382" ht="15.75" customHeight="1">
      <c r="A382" s="294" t="str">
        <f t="shared" si="12"/>
        <v/>
      </c>
      <c r="B382" s="301" t="str">
        <f t="shared" si="13"/>
        <v/>
      </c>
      <c r="C382" s="301" t="str">
        <f t="shared" si="14"/>
        <v/>
      </c>
      <c r="D382" s="301" t="str">
        <f t="shared" si="15"/>
        <v/>
      </c>
      <c r="E382" s="301" t="str">
        <f t="shared" si="16"/>
        <v/>
      </c>
      <c r="F382" s="317" t="str">
        <f t="shared" si="17"/>
        <v/>
      </c>
      <c r="G382" s="323" t="str">
        <f t="shared" si="18"/>
        <v/>
      </c>
      <c r="H382" s="327" t="str">
        <f t="shared" si="19"/>
        <v/>
      </c>
      <c r="I382" s="327" t="str">
        <f t="shared" si="20"/>
        <v/>
      </c>
      <c r="J382" s="301" t="str">
        <f t="shared" si="21"/>
        <v/>
      </c>
      <c r="K382" s="301" t="str">
        <f t="shared" si="22"/>
        <v/>
      </c>
      <c r="L382" s="344" t="str">
        <f t="array" ref="L382">IF($T382="","",LET(m,MATCH($T382,$AS$24:$AS$700,0),lvl,INDEX($W$24:$W$700,m),id,INDEX($X$24:$X$700,m),SWITCH(lvl,3,"Lớp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2" s="351" t="str">
        <f t="shared" si="23"/>
        <v/>
      </c>
      <c r="N382" s="356" t="str">
        <f t="shared" si="24"/>
        <v/>
      </c>
      <c r="O382" s="358"/>
      <c r="P382" s="360"/>
      <c r="Q382" s="360"/>
      <c r="R382" s="67"/>
      <c r="S382" s="67"/>
      <c r="T382" s="67"/>
      <c r="U382" s="389" t="str">
        <f>IF('Lớp 5 - Phân công'!I193="","",'Lớp 5 - Phân công'!K193&amp;"|"&amp;'Lớp 5 - Phân công'!J193&amp;"|"&amp;'Lớp 5 - Phân công'!I193)</f>
        <v/>
      </c>
      <c r="V382" s="389" t="str">
        <f>IF('Lớp 5 - Phân công'!I193="","","       ├─ "&amp;'Lớp 5 - Phân công'!Q193)</f>
        <v/>
      </c>
      <c r="W382" s="389" t="str">
        <f>IF('Lớp 5 - Phân công'!I193="","",5)</f>
        <v/>
      </c>
      <c r="X382" s="67" t="str">
        <f>'Lớp 5 - Phân công'!I193</f>
        <v/>
      </c>
      <c r="Y382" s="67" t="str">
        <f>'Lớp 5 - Phân công'!J193</f>
        <v/>
      </c>
      <c r="Z382" s="67" t="str">
        <f>'Lớp 5 - Phân công'!AA193</f>
        <v/>
      </c>
      <c r="AA382" s="67" t="str">
        <f>'Lớp 5 - Phân công'!Z193</f>
        <v/>
      </c>
      <c r="AB382" s="67" t="str">
        <f>'Lớp 5 - Phân công'!AC193</f>
        <v/>
      </c>
      <c r="AC382" s="67" t="str">
        <f>'Lớp 5 - Phân công'!AB193</f>
        <v/>
      </c>
      <c r="AD382" s="398" t="str">
        <f>'Lớp 5 - Phân công'!AG193</f>
        <v/>
      </c>
      <c r="AE382" s="358" t="str">
        <f>'Lớp 5 - Phân công'!AE193</f>
        <v/>
      </c>
      <c r="AF382" s="187" t="str">
        <f>'Lớp 5 - Phân công'!AH193</f>
        <v/>
      </c>
      <c r="AG382" s="104" t="str">
        <f>'Lớp 5 - Phân công'!AI193</f>
        <v/>
      </c>
      <c r="AH382" s="389" t="str">
        <f t="shared" si="27"/>
        <v/>
      </c>
      <c r="AI382" s="389" t="str">
        <f t="shared" si="37"/>
        <v>🔵 Chưa có hạn</v>
      </c>
      <c r="AJ382" s="67" t="str">
        <f>'Lớp 5 - Phân công'!AL193</f>
        <v/>
      </c>
      <c r="AS382" s="389" t="str">
        <f t="shared" si="217"/>
        <v/>
      </c>
      <c r="AT382" s="389" t="str">
        <f t="shared" si="32"/>
        <v/>
      </c>
      <c r="AU382" s="389" t="str">
        <f t="shared" si="33"/>
        <v/>
      </c>
      <c r="AV382" s="389" t="str">
        <f t="shared" si="34"/>
        <v/>
      </c>
      <c r="AW382" s="389" t="str">
        <f t="shared" si="35"/>
        <v/>
      </c>
      <c r="AX382" s="67" t="str">
        <f t="shared" ref="AX382:BH382" si="396">Z382</f>
        <v/>
      </c>
      <c r="AY382" s="67" t="str">
        <f t="shared" si="396"/>
        <v/>
      </c>
      <c r="AZ382" s="67" t="str">
        <f t="shared" si="396"/>
        <v/>
      </c>
      <c r="BA382" s="67" t="str">
        <f t="shared" si="396"/>
        <v/>
      </c>
      <c r="BB382" s="398" t="str">
        <f t="shared" si="396"/>
        <v/>
      </c>
      <c r="BC382" s="358" t="str">
        <f t="shared" si="396"/>
        <v/>
      </c>
      <c r="BD382" s="187" t="str">
        <f t="shared" si="396"/>
        <v/>
      </c>
      <c r="BE382" s="104" t="str">
        <f t="shared" si="396"/>
        <v/>
      </c>
      <c r="BF382" s="389" t="str">
        <f t="shared" si="396"/>
        <v/>
      </c>
      <c r="BG382" s="389" t="str">
        <f t="shared" si="396"/>
        <v>🔵 Chưa có hạn</v>
      </c>
      <c r="BH382" s="67" t="str">
        <f t="shared" si="396"/>
        <v/>
      </c>
      <c r="BI382" s="389" t="str">
        <f t="array" ref="BI382">IF($X382="","",SWITCH($W382,3,IFERROR(INDEX('Lớp 3 - Công việc chính'!$AF$14:$AF$73,MATCH($X382,'Lớp 3 - Công việc chính'!$I$14:$I$73,0)),""),4,IFERROR(INDEX('Lớp 4 - Danh mục'!$AI$14:$AI$132,MATCH($X382,'Lớp 4 - Danh mục'!$I$14:$I$132,0)),""),5,IFERROR(INDEX('Lớp 5 - Phân công'!$AJ$14:$AJ$262,MATCH($X382,'Lớp 5 - Phân công'!$I$14:$I$262,0)),""),6,IFERROR(INDEX('Lớp 6 - Chi tiết'!$AM$14:$AM$267,MATCH($X382,'Lớp 6 - Chi tiết'!$I$14:$I$267,0)),""),""))</f>
        <v/>
      </c>
      <c r="BJ382" s="389" t="str">
        <f t="array" ref="BJ382">IF($X382="","",SWITCH($W382,3,IFERROR(INDEX('Lớp 3 - Công việc chính'!$AR$14:$AR$73,MATCH($X382,'Lớp 3 - Công việc chính'!$I$14:$I$73,0)),""),4,IFERROR(INDEX('Lớp 4 - Danh mục'!$AU$14:$AU$132,MATCH($X382,'Lớp 4 - Danh mục'!$I$14:$I$132,0)),""),5,IFERROR(INDEX('Lớp 5 - Phân công'!$AV$14:$AV$262,MATCH($X382,'Lớp 5 - Phân công'!$I$14:$I$262,0)),""),6,IFERROR(INDEX('Lớp 6 - Chi tiết'!$AY$14:$AY$267,MATCH($X382,'Lớp 6 - Chi tiết'!$I$14:$I$267,0)),""),""))</f>
        <v/>
      </c>
    </row>
    <row r="383" ht="15.75" customHeight="1">
      <c r="A383" s="294" t="str">
        <f t="shared" si="12"/>
        <v/>
      </c>
      <c r="B383" s="301" t="str">
        <f t="shared" si="13"/>
        <v/>
      </c>
      <c r="C383" s="301" t="str">
        <f t="shared" si="14"/>
        <v/>
      </c>
      <c r="D383" s="301" t="str">
        <f t="shared" si="15"/>
        <v/>
      </c>
      <c r="E383" s="301" t="str">
        <f t="shared" si="16"/>
        <v/>
      </c>
      <c r="F383" s="317" t="str">
        <f t="shared" si="17"/>
        <v/>
      </c>
      <c r="G383" s="323" t="str">
        <f t="shared" si="18"/>
        <v/>
      </c>
      <c r="H383" s="327" t="str">
        <f t="shared" si="19"/>
        <v/>
      </c>
      <c r="I383" s="327" t="str">
        <f t="shared" si="20"/>
        <v/>
      </c>
      <c r="J383" s="301" t="str">
        <f t="shared" si="21"/>
        <v/>
      </c>
      <c r="K383" s="301" t="str">
        <f t="shared" si="22"/>
        <v/>
      </c>
      <c r="L383" s="344" t="str">
        <f t="array" ref="L383">IF($T383="","",LET(m,MATCH($T383,$AS$24:$AS$700,0),lvl,INDEX($W$24:$W$700,m),id,INDEX($X$24:$X$700,m),SWITCH(lvl,3,"Lớp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3" s="351" t="str">
        <f t="shared" si="23"/>
        <v/>
      </c>
      <c r="N383" s="356" t="str">
        <f t="shared" si="24"/>
        <v/>
      </c>
      <c r="O383" s="358"/>
      <c r="P383" s="360"/>
      <c r="Q383" s="360"/>
      <c r="R383" s="67"/>
      <c r="S383" s="67"/>
      <c r="T383" s="67"/>
      <c r="U383" s="389" t="str">
        <f>IF('Lớp 5 - Phân công'!I194="","",'Lớp 5 - Phân công'!K194&amp;"|"&amp;'Lớp 5 - Phân công'!J194&amp;"|"&amp;'Lớp 5 - Phân công'!I194)</f>
        <v/>
      </c>
      <c r="V383" s="389" t="str">
        <f>IF('Lớp 5 - Phân công'!I194="","","       ├─ "&amp;'Lớp 5 - Phân công'!Q194)</f>
        <v/>
      </c>
      <c r="W383" s="389" t="str">
        <f>IF('Lớp 5 - Phân công'!I194="","",5)</f>
        <v/>
      </c>
      <c r="X383" s="67" t="str">
        <f>'Lớp 5 - Phân công'!I194</f>
        <v/>
      </c>
      <c r="Y383" s="67" t="str">
        <f>'Lớp 5 - Phân công'!J194</f>
        <v/>
      </c>
      <c r="Z383" s="67" t="str">
        <f>'Lớp 5 - Phân công'!AA194</f>
        <v/>
      </c>
      <c r="AA383" s="67" t="str">
        <f>'Lớp 5 - Phân công'!Z194</f>
        <v/>
      </c>
      <c r="AB383" s="67" t="str">
        <f>'Lớp 5 - Phân công'!AC194</f>
        <v/>
      </c>
      <c r="AC383" s="67" t="str">
        <f>'Lớp 5 - Phân công'!AB194</f>
        <v/>
      </c>
      <c r="AD383" s="398" t="str">
        <f>'Lớp 5 - Phân công'!AG194</f>
        <v/>
      </c>
      <c r="AE383" s="358" t="str">
        <f>'Lớp 5 - Phân công'!AE194</f>
        <v/>
      </c>
      <c r="AF383" s="187" t="str">
        <f>'Lớp 5 - Phân công'!AH194</f>
        <v/>
      </c>
      <c r="AG383" s="104" t="str">
        <f>'Lớp 5 - Phân công'!AI194</f>
        <v/>
      </c>
      <c r="AH383" s="389" t="str">
        <f t="shared" si="27"/>
        <v/>
      </c>
      <c r="AI383" s="389" t="str">
        <f t="shared" si="37"/>
        <v>🔵 Chưa có hạn</v>
      </c>
      <c r="AJ383" s="67" t="str">
        <f>'Lớp 5 - Phân công'!AL194</f>
        <v/>
      </c>
      <c r="AS383" s="389" t="str">
        <f t="shared" si="217"/>
        <v/>
      </c>
      <c r="AT383" s="389" t="str">
        <f t="shared" si="32"/>
        <v/>
      </c>
      <c r="AU383" s="389" t="str">
        <f t="shared" si="33"/>
        <v/>
      </c>
      <c r="AV383" s="389" t="str">
        <f t="shared" si="34"/>
        <v/>
      </c>
      <c r="AW383" s="389" t="str">
        <f t="shared" si="35"/>
        <v/>
      </c>
      <c r="AX383" s="67" t="str">
        <f t="shared" ref="AX383:BH383" si="397">Z383</f>
        <v/>
      </c>
      <c r="AY383" s="67" t="str">
        <f t="shared" si="397"/>
        <v/>
      </c>
      <c r="AZ383" s="67" t="str">
        <f t="shared" si="397"/>
        <v/>
      </c>
      <c r="BA383" s="67" t="str">
        <f t="shared" si="397"/>
        <v/>
      </c>
      <c r="BB383" s="398" t="str">
        <f t="shared" si="397"/>
        <v/>
      </c>
      <c r="BC383" s="358" t="str">
        <f t="shared" si="397"/>
        <v/>
      </c>
      <c r="BD383" s="187" t="str">
        <f t="shared" si="397"/>
        <v/>
      </c>
      <c r="BE383" s="104" t="str">
        <f t="shared" si="397"/>
        <v/>
      </c>
      <c r="BF383" s="389" t="str">
        <f t="shared" si="397"/>
        <v/>
      </c>
      <c r="BG383" s="389" t="str">
        <f t="shared" si="397"/>
        <v>🔵 Chưa có hạn</v>
      </c>
      <c r="BH383" s="67" t="str">
        <f t="shared" si="397"/>
        <v/>
      </c>
      <c r="BI383" s="389" t="str">
        <f t="array" ref="BI383">IF($X383="","",SWITCH($W383,3,IFERROR(INDEX('Lớp 3 - Công việc chính'!$AF$14:$AF$73,MATCH($X383,'Lớp 3 - Công việc chính'!$I$14:$I$73,0)),""),4,IFERROR(INDEX('Lớp 4 - Danh mục'!$AI$14:$AI$132,MATCH($X383,'Lớp 4 - Danh mục'!$I$14:$I$132,0)),""),5,IFERROR(INDEX('Lớp 5 - Phân công'!$AJ$14:$AJ$262,MATCH($X383,'Lớp 5 - Phân công'!$I$14:$I$262,0)),""),6,IFERROR(INDEX('Lớp 6 - Chi tiết'!$AM$14:$AM$267,MATCH($X383,'Lớp 6 - Chi tiết'!$I$14:$I$267,0)),""),""))</f>
        <v/>
      </c>
      <c r="BJ383" s="389" t="str">
        <f t="array" ref="BJ383">IF($X383="","",SWITCH($W383,3,IFERROR(INDEX('Lớp 3 - Công việc chính'!$AR$14:$AR$73,MATCH($X383,'Lớp 3 - Công việc chính'!$I$14:$I$73,0)),""),4,IFERROR(INDEX('Lớp 4 - Danh mục'!$AU$14:$AU$132,MATCH($X383,'Lớp 4 - Danh mục'!$I$14:$I$132,0)),""),5,IFERROR(INDEX('Lớp 5 - Phân công'!$AV$14:$AV$262,MATCH($X383,'Lớp 5 - Phân công'!$I$14:$I$262,0)),""),6,IFERROR(INDEX('Lớp 6 - Chi tiết'!$AY$14:$AY$267,MATCH($X383,'Lớp 6 - Chi tiết'!$I$14:$I$267,0)),""),""))</f>
        <v/>
      </c>
    </row>
    <row r="384" ht="15.75" customHeight="1">
      <c r="A384" s="294" t="str">
        <f t="shared" si="12"/>
        <v/>
      </c>
      <c r="B384" s="301" t="str">
        <f t="shared" si="13"/>
        <v/>
      </c>
      <c r="C384" s="301" t="str">
        <f t="shared" si="14"/>
        <v/>
      </c>
      <c r="D384" s="301" t="str">
        <f t="shared" si="15"/>
        <v/>
      </c>
      <c r="E384" s="301" t="str">
        <f t="shared" si="16"/>
        <v/>
      </c>
      <c r="F384" s="317" t="str">
        <f t="shared" si="17"/>
        <v/>
      </c>
      <c r="G384" s="323" t="str">
        <f t="shared" si="18"/>
        <v/>
      </c>
      <c r="H384" s="327" t="str">
        <f t="shared" si="19"/>
        <v/>
      </c>
      <c r="I384" s="327" t="str">
        <f t="shared" si="20"/>
        <v/>
      </c>
      <c r="J384" s="301" t="str">
        <f t="shared" si="21"/>
        <v/>
      </c>
      <c r="K384" s="301" t="str">
        <f t="shared" si="22"/>
        <v/>
      </c>
      <c r="L384" s="344" t="str">
        <f t="array" ref="L384">IF($T384="","",LET(m,MATCH($T384,$AS$24:$AS$700,0),lvl,INDEX($W$24:$W$700,m),id,INDEX($X$24:$X$700,m),SWITCH(lvl,3,"Lớp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4" s="351" t="str">
        <f t="shared" si="23"/>
        <v/>
      </c>
      <c r="N384" s="356" t="str">
        <f t="shared" si="24"/>
        <v/>
      </c>
      <c r="O384" s="358"/>
      <c r="P384" s="360"/>
      <c r="Q384" s="360"/>
      <c r="R384" s="67"/>
      <c r="S384" s="67"/>
      <c r="T384" s="67"/>
      <c r="U384" s="389" t="str">
        <f>IF('Lớp 5 - Phân công'!I195="","",'Lớp 5 - Phân công'!K195&amp;"|"&amp;'Lớp 5 - Phân công'!J195&amp;"|"&amp;'Lớp 5 - Phân công'!I195)</f>
        <v/>
      </c>
      <c r="V384" s="389" t="str">
        <f>IF('Lớp 5 - Phân công'!I195="","","       ├─ "&amp;'Lớp 5 - Phân công'!Q195)</f>
        <v/>
      </c>
      <c r="W384" s="389" t="str">
        <f>IF('Lớp 5 - Phân công'!I195="","",5)</f>
        <v/>
      </c>
      <c r="X384" s="67" t="str">
        <f>'Lớp 5 - Phân công'!I195</f>
        <v/>
      </c>
      <c r="Y384" s="67" t="str">
        <f>'Lớp 5 - Phân công'!J195</f>
        <v/>
      </c>
      <c r="Z384" s="67" t="str">
        <f>'Lớp 5 - Phân công'!AA195</f>
        <v/>
      </c>
      <c r="AA384" s="67" t="str">
        <f>'Lớp 5 - Phân công'!Z195</f>
        <v/>
      </c>
      <c r="AB384" s="67" t="str">
        <f>'Lớp 5 - Phân công'!AC195</f>
        <v/>
      </c>
      <c r="AC384" s="67" t="str">
        <f>'Lớp 5 - Phân công'!AB195</f>
        <v/>
      </c>
      <c r="AD384" s="398" t="str">
        <f>'Lớp 5 - Phân công'!AG195</f>
        <v/>
      </c>
      <c r="AE384" s="358" t="str">
        <f>'Lớp 5 - Phân công'!AE195</f>
        <v/>
      </c>
      <c r="AF384" s="187" t="str">
        <f>'Lớp 5 - Phân công'!AH195</f>
        <v/>
      </c>
      <c r="AG384" s="104" t="str">
        <f>'Lớp 5 - Phân công'!AI195</f>
        <v/>
      </c>
      <c r="AH384" s="389" t="str">
        <f t="shared" si="27"/>
        <v/>
      </c>
      <c r="AI384" s="389" t="str">
        <f t="shared" si="37"/>
        <v>🔵 Chưa có hạn</v>
      </c>
      <c r="AJ384" s="67" t="str">
        <f>'Lớp 5 - Phân công'!AL195</f>
        <v/>
      </c>
      <c r="AS384" s="389" t="str">
        <f t="shared" si="217"/>
        <v/>
      </c>
      <c r="AT384" s="389" t="str">
        <f t="shared" si="32"/>
        <v/>
      </c>
      <c r="AU384" s="389" t="str">
        <f t="shared" si="33"/>
        <v/>
      </c>
      <c r="AV384" s="389" t="str">
        <f t="shared" si="34"/>
        <v/>
      </c>
      <c r="AW384" s="389" t="str">
        <f t="shared" si="35"/>
        <v/>
      </c>
      <c r="AX384" s="67" t="str">
        <f t="shared" ref="AX384:BH384" si="398">Z384</f>
        <v/>
      </c>
      <c r="AY384" s="67" t="str">
        <f t="shared" si="398"/>
        <v/>
      </c>
      <c r="AZ384" s="67" t="str">
        <f t="shared" si="398"/>
        <v/>
      </c>
      <c r="BA384" s="67" t="str">
        <f t="shared" si="398"/>
        <v/>
      </c>
      <c r="BB384" s="398" t="str">
        <f t="shared" si="398"/>
        <v/>
      </c>
      <c r="BC384" s="358" t="str">
        <f t="shared" si="398"/>
        <v/>
      </c>
      <c r="BD384" s="187" t="str">
        <f t="shared" si="398"/>
        <v/>
      </c>
      <c r="BE384" s="104" t="str">
        <f t="shared" si="398"/>
        <v/>
      </c>
      <c r="BF384" s="389" t="str">
        <f t="shared" si="398"/>
        <v/>
      </c>
      <c r="BG384" s="389" t="str">
        <f t="shared" si="398"/>
        <v>🔵 Chưa có hạn</v>
      </c>
      <c r="BH384" s="67" t="str">
        <f t="shared" si="398"/>
        <v/>
      </c>
      <c r="BI384" s="389" t="str">
        <f t="array" ref="BI384">IF($X384="","",SWITCH($W384,3,IFERROR(INDEX('Lớp 3 - Công việc chính'!$AF$14:$AF$73,MATCH($X384,'Lớp 3 - Công việc chính'!$I$14:$I$73,0)),""),4,IFERROR(INDEX('Lớp 4 - Danh mục'!$AI$14:$AI$132,MATCH($X384,'Lớp 4 - Danh mục'!$I$14:$I$132,0)),""),5,IFERROR(INDEX('Lớp 5 - Phân công'!$AJ$14:$AJ$262,MATCH($X384,'Lớp 5 - Phân công'!$I$14:$I$262,0)),""),6,IFERROR(INDEX('Lớp 6 - Chi tiết'!$AM$14:$AM$267,MATCH($X384,'Lớp 6 - Chi tiết'!$I$14:$I$267,0)),""),""))</f>
        <v/>
      </c>
      <c r="BJ384" s="389" t="str">
        <f t="array" ref="BJ384">IF($X384="","",SWITCH($W384,3,IFERROR(INDEX('Lớp 3 - Công việc chính'!$AR$14:$AR$73,MATCH($X384,'Lớp 3 - Công việc chính'!$I$14:$I$73,0)),""),4,IFERROR(INDEX('Lớp 4 - Danh mục'!$AU$14:$AU$132,MATCH($X384,'Lớp 4 - Danh mục'!$I$14:$I$132,0)),""),5,IFERROR(INDEX('Lớp 5 - Phân công'!$AV$14:$AV$262,MATCH($X384,'Lớp 5 - Phân công'!$I$14:$I$262,0)),""),6,IFERROR(INDEX('Lớp 6 - Chi tiết'!$AY$14:$AY$267,MATCH($X384,'Lớp 6 - Chi tiết'!$I$14:$I$267,0)),""),""))</f>
        <v/>
      </c>
    </row>
    <row r="385" ht="15.75" customHeight="1">
      <c r="A385" s="294" t="str">
        <f t="shared" si="12"/>
        <v/>
      </c>
      <c r="B385" s="301" t="str">
        <f t="shared" si="13"/>
        <v/>
      </c>
      <c r="C385" s="301" t="str">
        <f t="shared" si="14"/>
        <v/>
      </c>
      <c r="D385" s="301" t="str">
        <f t="shared" si="15"/>
        <v/>
      </c>
      <c r="E385" s="301" t="str">
        <f t="shared" si="16"/>
        <v/>
      </c>
      <c r="F385" s="317" t="str">
        <f t="shared" si="17"/>
        <v/>
      </c>
      <c r="G385" s="323" t="str">
        <f t="shared" si="18"/>
        <v/>
      </c>
      <c r="H385" s="327" t="str">
        <f t="shared" si="19"/>
        <v/>
      </c>
      <c r="I385" s="327" t="str">
        <f t="shared" si="20"/>
        <v/>
      </c>
      <c r="J385" s="301" t="str">
        <f t="shared" si="21"/>
        <v/>
      </c>
      <c r="K385" s="301" t="str">
        <f t="shared" si="22"/>
        <v/>
      </c>
      <c r="L385" s="344" t="str">
        <f t="array" ref="L385">IF($T385="","",LET(m,MATCH($T385,$AS$24:$AS$700,0),lvl,INDEX($W$24:$W$700,m),id,INDEX($X$24:$X$700,m),SWITCH(lvl,3,"Lớp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5" s="351" t="str">
        <f t="shared" si="23"/>
        <v/>
      </c>
      <c r="N385" s="356" t="str">
        <f t="shared" si="24"/>
        <v/>
      </c>
      <c r="O385" s="358"/>
      <c r="P385" s="360"/>
      <c r="Q385" s="360"/>
      <c r="R385" s="67"/>
      <c r="S385" s="67"/>
      <c r="T385" s="67"/>
      <c r="U385" s="389" t="str">
        <f>IF('Lớp 5 - Phân công'!I196="","",'Lớp 5 - Phân công'!K196&amp;"|"&amp;'Lớp 5 - Phân công'!J196&amp;"|"&amp;'Lớp 5 - Phân công'!I196)</f>
        <v/>
      </c>
      <c r="V385" s="389" t="str">
        <f>IF('Lớp 5 - Phân công'!I196="","","       ├─ "&amp;'Lớp 5 - Phân công'!Q196)</f>
        <v/>
      </c>
      <c r="W385" s="389" t="str">
        <f>IF('Lớp 5 - Phân công'!I196="","",5)</f>
        <v/>
      </c>
      <c r="X385" s="67" t="str">
        <f>'Lớp 5 - Phân công'!I196</f>
        <v/>
      </c>
      <c r="Y385" s="67" t="str">
        <f>'Lớp 5 - Phân công'!J196</f>
        <v/>
      </c>
      <c r="Z385" s="67" t="str">
        <f>'Lớp 5 - Phân công'!AA196</f>
        <v/>
      </c>
      <c r="AA385" s="67" t="str">
        <f>'Lớp 5 - Phân công'!Z196</f>
        <v/>
      </c>
      <c r="AB385" s="67" t="str">
        <f>'Lớp 5 - Phân công'!AC196</f>
        <v/>
      </c>
      <c r="AC385" s="67" t="str">
        <f>'Lớp 5 - Phân công'!AB196</f>
        <v/>
      </c>
      <c r="AD385" s="398" t="str">
        <f>'Lớp 5 - Phân công'!AG196</f>
        <v/>
      </c>
      <c r="AE385" s="358" t="str">
        <f>'Lớp 5 - Phân công'!AE196</f>
        <v/>
      </c>
      <c r="AF385" s="187" t="str">
        <f>'Lớp 5 - Phân công'!AH196</f>
        <v/>
      </c>
      <c r="AG385" s="104" t="str">
        <f>'Lớp 5 - Phân công'!AI196</f>
        <v/>
      </c>
      <c r="AH385" s="389" t="str">
        <f t="shared" si="27"/>
        <v/>
      </c>
      <c r="AI385" s="389" t="str">
        <f t="shared" si="37"/>
        <v>🔵 Chưa có hạn</v>
      </c>
      <c r="AJ385" s="67" t="str">
        <f>'Lớp 5 - Phân công'!AL196</f>
        <v/>
      </c>
      <c r="AS385" s="389" t="str">
        <f t="shared" si="217"/>
        <v/>
      </c>
      <c r="AT385" s="389" t="str">
        <f t="shared" si="32"/>
        <v/>
      </c>
      <c r="AU385" s="389" t="str">
        <f t="shared" si="33"/>
        <v/>
      </c>
      <c r="AV385" s="389" t="str">
        <f t="shared" si="34"/>
        <v/>
      </c>
      <c r="AW385" s="389" t="str">
        <f t="shared" si="35"/>
        <v/>
      </c>
      <c r="AX385" s="67" t="str">
        <f t="shared" ref="AX385:BH385" si="399">Z385</f>
        <v/>
      </c>
      <c r="AY385" s="67" t="str">
        <f t="shared" si="399"/>
        <v/>
      </c>
      <c r="AZ385" s="67" t="str">
        <f t="shared" si="399"/>
        <v/>
      </c>
      <c r="BA385" s="67" t="str">
        <f t="shared" si="399"/>
        <v/>
      </c>
      <c r="BB385" s="398" t="str">
        <f t="shared" si="399"/>
        <v/>
      </c>
      <c r="BC385" s="358" t="str">
        <f t="shared" si="399"/>
        <v/>
      </c>
      <c r="BD385" s="187" t="str">
        <f t="shared" si="399"/>
        <v/>
      </c>
      <c r="BE385" s="104" t="str">
        <f t="shared" si="399"/>
        <v/>
      </c>
      <c r="BF385" s="389" t="str">
        <f t="shared" si="399"/>
        <v/>
      </c>
      <c r="BG385" s="389" t="str">
        <f t="shared" si="399"/>
        <v>🔵 Chưa có hạn</v>
      </c>
      <c r="BH385" s="67" t="str">
        <f t="shared" si="399"/>
        <v/>
      </c>
      <c r="BI385" s="389" t="str">
        <f t="array" ref="BI385">IF($X385="","",SWITCH($W385,3,IFERROR(INDEX('Lớp 3 - Công việc chính'!$AF$14:$AF$73,MATCH($X385,'Lớp 3 - Công việc chính'!$I$14:$I$73,0)),""),4,IFERROR(INDEX('Lớp 4 - Danh mục'!$AI$14:$AI$132,MATCH($X385,'Lớp 4 - Danh mục'!$I$14:$I$132,0)),""),5,IFERROR(INDEX('Lớp 5 - Phân công'!$AJ$14:$AJ$262,MATCH($X385,'Lớp 5 - Phân công'!$I$14:$I$262,0)),""),6,IFERROR(INDEX('Lớp 6 - Chi tiết'!$AM$14:$AM$267,MATCH($X385,'Lớp 6 - Chi tiết'!$I$14:$I$267,0)),""),""))</f>
        <v/>
      </c>
      <c r="BJ385" s="389" t="str">
        <f t="array" ref="BJ385">IF($X385="","",SWITCH($W385,3,IFERROR(INDEX('Lớp 3 - Công việc chính'!$AR$14:$AR$73,MATCH($X385,'Lớp 3 - Công việc chính'!$I$14:$I$73,0)),""),4,IFERROR(INDEX('Lớp 4 - Danh mục'!$AU$14:$AU$132,MATCH($X385,'Lớp 4 - Danh mục'!$I$14:$I$132,0)),""),5,IFERROR(INDEX('Lớp 5 - Phân công'!$AV$14:$AV$262,MATCH($X385,'Lớp 5 - Phân công'!$I$14:$I$262,0)),""),6,IFERROR(INDEX('Lớp 6 - Chi tiết'!$AY$14:$AY$267,MATCH($X385,'Lớp 6 - Chi tiết'!$I$14:$I$267,0)),""),""))</f>
        <v/>
      </c>
    </row>
    <row r="386" ht="15.75" customHeight="1">
      <c r="A386" s="294" t="str">
        <f t="shared" si="12"/>
        <v/>
      </c>
      <c r="B386" s="301" t="str">
        <f t="shared" si="13"/>
        <v/>
      </c>
      <c r="C386" s="301" t="str">
        <f t="shared" si="14"/>
        <v/>
      </c>
      <c r="D386" s="301" t="str">
        <f t="shared" si="15"/>
        <v/>
      </c>
      <c r="E386" s="301" t="str">
        <f t="shared" si="16"/>
        <v/>
      </c>
      <c r="F386" s="317" t="str">
        <f t="shared" si="17"/>
        <v/>
      </c>
      <c r="G386" s="323" t="str">
        <f t="shared" si="18"/>
        <v/>
      </c>
      <c r="H386" s="327" t="str">
        <f t="shared" si="19"/>
        <v/>
      </c>
      <c r="I386" s="327" t="str">
        <f t="shared" si="20"/>
        <v/>
      </c>
      <c r="J386" s="301" t="str">
        <f t="shared" si="21"/>
        <v/>
      </c>
      <c r="K386" s="301" t="str">
        <f t="shared" si="22"/>
        <v/>
      </c>
      <c r="L386" s="344" t="str">
        <f t="array" ref="L386">IF($T386="","",LET(m,MATCH($T386,$AS$24:$AS$700,0),lvl,INDEX($W$24:$W$700,m),id,INDEX($X$24:$X$700,m),SWITCH(lvl,3,"Lớp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6" s="351" t="str">
        <f t="shared" si="23"/>
        <v/>
      </c>
      <c r="N386" s="356" t="str">
        <f t="shared" si="24"/>
        <v/>
      </c>
      <c r="O386" s="358"/>
      <c r="P386" s="360"/>
      <c r="Q386" s="360"/>
      <c r="R386" s="67"/>
      <c r="S386" s="67"/>
      <c r="T386" s="67"/>
      <c r="U386" s="389" t="str">
        <f>IF('Lớp 5 - Phân công'!I197="","",'Lớp 5 - Phân công'!K197&amp;"|"&amp;'Lớp 5 - Phân công'!J197&amp;"|"&amp;'Lớp 5 - Phân công'!I197)</f>
        <v/>
      </c>
      <c r="V386" s="389" t="str">
        <f>IF('Lớp 5 - Phân công'!I197="","","       ├─ "&amp;'Lớp 5 - Phân công'!Q197)</f>
        <v/>
      </c>
      <c r="W386" s="389" t="str">
        <f>IF('Lớp 5 - Phân công'!I197="","",5)</f>
        <v/>
      </c>
      <c r="X386" s="67" t="str">
        <f>'Lớp 5 - Phân công'!I197</f>
        <v/>
      </c>
      <c r="Y386" s="67" t="str">
        <f>'Lớp 5 - Phân công'!J197</f>
        <v/>
      </c>
      <c r="Z386" s="67" t="str">
        <f>'Lớp 5 - Phân công'!AA197</f>
        <v/>
      </c>
      <c r="AA386" s="67" t="str">
        <f>'Lớp 5 - Phân công'!Z197</f>
        <v/>
      </c>
      <c r="AB386" s="67" t="str">
        <f>'Lớp 5 - Phân công'!AC197</f>
        <v/>
      </c>
      <c r="AC386" s="67" t="str">
        <f>'Lớp 5 - Phân công'!AB197</f>
        <v/>
      </c>
      <c r="AD386" s="398" t="str">
        <f>'Lớp 5 - Phân công'!AG197</f>
        <v/>
      </c>
      <c r="AE386" s="358" t="str">
        <f>'Lớp 5 - Phân công'!AE197</f>
        <v/>
      </c>
      <c r="AF386" s="187" t="str">
        <f>'Lớp 5 - Phân công'!AH197</f>
        <v/>
      </c>
      <c r="AG386" s="104" t="str">
        <f>'Lớp 5 - Phân công'!AI197</f>
        <v/>
      </c>
      <c r="AH386" s="389" t="str">
        <f t="shared" si="27"/>
        <v/>
      </c>
      <c r="AI386" s="389" t="str">
        <f t="shared" si="37"/>
        <v>🔵 Chưa có hạn</v>
      </c>
      <c r="AJ386" s="67" t="str">
        <f>'Lớp 5 - Phân công'!AL197</f>
        <v/>
      </c>
      <c r="AS386" s="389" t="str">
        <f t="shared" si="217"/>
        <v/>
      </c>
      <c r="AT386" s="389" t="str">
        <f t="shared" si="32"/>
        <v/>
      </c>
      <c r="AU386" s="389" t="str">
        <f t="shared" si="33"/>
        <v/>
      </c>
      <c r="AV386" s="389" t="str">
        <f t="shared" si="34"/>
        <v/>
      </c>
      <c r="AW386" s="389" t="str">
        <f t="shared" si="35"/>
        <v/>
      </c>
      <c r="AX386" s="67" t="str">
        <f t="shared" ref="AX386:BH386" si="400">Z386</f>
        <v/>
      </c>
      <c r="AY386" s="67" t="str">
        <f t="shared" si="400"/>
        <v/>
      </c>
      <c r="AZ386" s="67" t="str">
        <f t="shared" si="400"/>
        <v/>
      </c>
      <c r="BA386" s="67" t="str">
        <f t="shared" si="400"/>
        <v/>
      </c>
      <c r="BB386" s="398" t="str">
        <f t="shared" si="400"/>
        <v/>
      </c>
      <c r="BC386" s="358" t="str">
        <f t="shared" si="400"/>
        <v/>
      </c>
      <c r="BD386" s="187" t="str">
        <f t="shared" si="400"/>
        <v/>
      </c>
      <c r="BE386" s="104" t="str">
        <f t="shared" si="400"/>
        <v/>
      </c>
      <c r="BF386" s="389" t="str">
        <f t="shared" si="400"/>
        <v/>
      </c>
      <c r="BG386" s="389" t="str">
        <f t="shared" si="400"/>
        <v>🔵 Chưa có hạn</v>
      </c>
      <c r="BH386" s="67" t="str">
        <f t="shared" si="400"/>
        <v/>
      </c>
      <c r="BI386" s="389" t="str">
        <f t="array" ref="BI386">IF($X386="","",SWITCH($W386,3,IFERROR(INDEX('Lớp 3 - Công việc chính'!$AF$14:$AF$73,MATCH($X386,'Lớp 3 - Công việc chính'!$I$14:$I$73,0)),""),4,IFERROR(INDEX('Lớp 4 - Danh mục'!$AI$14:$AI$132,MATCH($X386,'Lớp 4 - Danh mục'!$I$14:$I$132,0)),""),5,IFERROR(INDEX('Lớp 5 - Phân công'!$AJ$14:$AJ$262,MATCH($X386,'Lớp 5 - Phân công'!$I$14:$I$262,0)),""),6,IFERROR(INDEX('Lớp 6 - Chi tiết'!$AM$14:$AM$267,MATCH($X386,'Lớp 6 - Chi tiết'!$I$14:$I$267,0)),""),""))</f>
        <v/>
      </c>
      <c r="BJ386" s="389" t="str">
        <f t="array" ref="BJ386">IF($X386="","",SWITCH($W386,3,IFERROR(INDEX('Lớp 3 - Công việc chính'!$AR$14:$AR$73,MATCH($X386,'Lớp 3 - Công việc chính'!$I$14:$I$73,0)),""),4,IFERROR(INDEX('Lớp 4 - Danh mục'!$AU$14:$AU$132,MATCH($X386,'Lớp 4 - Danh mục'!$I$14:$I$132,0)),""),5,IFERROR(INDEX('Lớp 5 - Phân công'!$AV$14:$AV$262,MATCH($X386,'Lớp 5 - Phân công'!$I$14:$I$262,0)),""),6,IFERROR(INDEX('Lớp 6 - Chi tiết'!$AY$14:$AY$267,MATCH($X386,'Lớp 6 - Chi tiết'!$I$14:$I$267,0)),""),""))</f>
        <v/>
      </c>
    </row>
    <row r="387" ht="15.75" customHeight="1">
      <c r="A387" s="294" t="str">
        <f t="shared" si="12"/>
        <v/>
      </c>
      <c r="B387" s="301" t="str">
        <f t="shared" si="13"/>
        <v/>
      </c>
      <c r="C387" s="301" t="str">
        <f t="shared" si="14"/>
        <v/>
      </c>
      <c r="D387" s="301" t="str">
        <f t="shared" si="15"/>
        <v/>
      </c>
      <c r="E387" s="301" t="str">
        <f t="shared" si="16"/>
        <v/>
      </c>
      <c r="F387" s="317" t="str">
        <f t="shared" si="17"/>
        <v/>
      </c>
      <c r="G387" s="323" t="str">
        <f t="shared" si="18"/>
        <v/>
      </c>
      <c r="H387" s="327" t="str">
        <f t="shared" si="19"/>
        <v/>
      </c>
      <c r="I387" s="327" t="str">
        <f t="shared" si="20"/>
        <v/>
      </c>
      <c r="J387" s="301" t="str">
        <f t="shared" si="21"/>
        <v/>
      </c>
      <c r="K387" s="301" t="str">
        <f t="shared" si="22"/>
        <v/>
      </c>
      <c r="L387" s="344" t="str">
        <f t="array" ref="L387">IF($T387="","",LET(m,MATCH($T387,$AS$24:$AS$700,0),lvl,INDEX($W$24:$W$700,m),id,INDEX($X$24:$X$700,m),SWITCH(lvl,3,"Lớp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7" s="351" t="str">
        <f t="shared" si="23"/>
        <v/>
      </c>
      <c r="N387" s="356" t="str">
        <f t="shared" si="24"/>
        <v/>
      </c>
      <c r="O387" s="358"/>
      <c r="P387" s="360"/>
      <c r="Q387" s="360"/>
      <c r="R387" s="67"/>
      <c r="S387" s="67"/>
      <c r="T387" s="67"/>
      <c r="U387" s="389" t="str">
        <f>IF('Lớp 5 - Phân công'!I198="","",'Lớp 5 - Phân công'!K198&amp;"|"&amp;'Lớp 5 - Phân công'!J198&amp;"|"&amp;'Lớp 5 - Phân công'!I198)</f>
        <v/>
      </c>
      <c r="V387" s="389" t="str">
        <f>IF('Lớp 5 - Phân công'!I198="","","       ├─ "&amp;'Lớp 5 - Phân công'!Q198)</f>
        <v/>
      </c>
      <c r="W387" s="389" t="str">
        <f>IF('Lớp 5 - Phân công'!I198="","",5)</f>
        <v/>
      </c>
      <c r="X387" s="67" t="str">
        <f>'Lớp 5 - Phân công'!I198</f>
        <v/>
      </c>
      <c r="Y387" s="67" t="str">
        <f>'Lớp 5 - Phân công'!J198</f>
        <v/>
      </c>
      <c r="Z387" s="67" t="str">
        <f>'Lớp 5 - Phân công'!AA198</f>
        <v/>
      </c>
      <c r="AA387" s="67" t="str">
        <f>'Lớp 5 - Phân công'!Z198</f>
        <v/>
      </c>
      <c r="AB387" s="67" t="str">
        <f>'Lớp 5 - Phân công'!AC198</f>
        <v/>
      </c>
      <c r="AC387" s="67" t="str">
        <f>'Lớp 5 - Phân công'!AB198</f>
        <v/>
      </c>
      <c r="AD387" s="398" t="str">
        <f>'Lớp 5 - Phân công'!AG198</f>
        <v/>
      </c>
      <c r="AE387" s="358" t="str">
        <f>'Lớp 5 - Phân công'!AE198</f>
        <v/>
      </c>
      <c r="AF387" s="187" t="str">
        <f>'Lớp 5 - Phân công'!AH198</f>
        <v/>
      </c>
      <c r="AG387" s="104" t="str">
        <f>'Lớp 5 - Phân công'!AI198</f>
        <v/>
      </c>
      <c r="AH387" s="389" t="str">
        <f t="shared" si="27"/>
        <v/>
      </c>
      <c r="AI387" s="389" t="str">
        <f t="shared" si="37"/>
        <v>🔵 Chưa có hạn</v>
      </c>
      <c r="AJ387" s="67" t="str">
        <f>'Lớp 5 - Phân công'!AL198</f>
        <v/>
      </c>
      <c r="AS387" s="389" t="str">
        <f t="shared" si="217"/>
        <v/>
      </c>
      <c r="AT387" s="389" t="str">
        <f t="shared" si="32"/>
        <v/>
      </c>
      <c r="AU387" s="389" t="str">
        <f t="shared" si="33"/>
        <v/>
      </c>
      <c r="AV387" s="389" t="str">
        <f t="shared" si="34"/>
        <v/>
      </c>
      <c r="AW387" s="389" t="str">
        <f t="shared" si="35"/>
        <v/>
      </c>
      <c r="AX387" s="67" t="str">
        <f t="shared" ref="AX387:BH387" si="401">Z387</f>
        <v/>
      </c>
      <c r="AY387" s="67" t="str">
        <f t="shared" si="401"/>
        <v/>
      </c>
      <c r="AZ387" s="67" t="str">
        <f t="shared" si="401"/>
        <v/>
      </c>
      <c r="BA387" s="67" t="str">
        <f t="shared" si="401"/>
        <v/>
      </c>
      <c r="BB387" s="398" t="str">
        <f t="shared" si="401"/>
        <v/>
      </c>
      <c r="BC387" s="358" t="str">
        <f t="shared" si="401"/>
        <v/>
      </c>
      <c r="BD387" s="187" t="str">
        <f t="shared" si="401"/>
        <v/>
      </c>
      <c r="BE387" s="104" t="str">
        <f t="shared" si="401"/>
        <v/>
      </c>
      <c r="BF387" s="389" t="str">
        <f t="shared" si="401"/>
        <v/>
      </c>
      <c r="BG387" s="389" t="str">
        <f t="shared" si="401"/>
        <v>🔵 Chưa có hạn</v>
      </c>
      <c r="BH387" s="67" t="str">
        <f t="shared" si="401"/>
        <v/>
      </c>
      <c r="BI387" s="389" t="str">
        <f t="array" ref="BI387">IF($X387="","",SWITCH($W387,3,IFERROR(INDEX('Lớp 3 - Công việc chính'!$AF$14:$AF$73,MATCH($X387,'Lớp 3 - Công việc chính'!$I$14:$I$73,0)),""),4,IFERROR(INDEX('Lớp 4 - Danh mục'!$AI$14:$AI$132,MATCH($X387,'Lớp 4 - Danh mục'!$I$14:$I$132,0)),""),5,IFERROR(INDEX('Lớp 5 - Phân công'!$AJ$14:$AJ$262,MATCH($X387,'Lớp 5 - Phân công'!$I$14:$I$262,0)),""),6,IFERROR(INDEX('Lớp 6 - Chi tiết'!$AM$14:$AM$267,MATCH($X387,'Lớp 6 - Chi tiết'!$I$14:$I$267,0)),""),""))</f>
        <v/>
      </c>
      <c r="BJ387" s="389" t="str">
        <f t="array" ref="BJ387">IF($X387="","",SWITCH($W387,3,IFERROR(INDEX('Lớp 3 - Công việc chính'!$AR$14:$AR$73,MATCH($X387,'Lớp 3 - Công việc chính'!$I$14:$I$73,0)),""),4,IFERROR(INDEX('Lớp 4 - Danh mục'!$AU$14:$AU$132,MATCH($X387,'Lớp 4 - Danh mục'!$I$14:$I$132,0)),""),5,IFERROR(INDEX('Lớp 5 - Phân công'!$AV$14:$AV$262,MATCH($X387,'Lớp 5 - Phân công'!$I$14:$I$262,0)),""),6,IFERROR(INDEX('Lớp 6 - Chi tiết'!$AY$14:$AY$267,MATCH($X387,'Lớp 6 - Chi tiết'!$I$14:$I$267,0)),""),""))</f>
        <v/>
      </c>
    </row>
    <row r="388" ht="15.75" customHeight="1">
      <c r="A388" s="294" t="str">
        <f t="shared" si="12"/>
        <v/>
      </c>
      <c r="B388" s="301" t="str">
        <f t="shared" si="13"/>
        <v/>
      </c>
      <c r="C388" s="301" t="str">
        <f t="shared" si="14"/>
        <v/>
      </c>
      <c r="D388" s="301" t="str">
        <f t="shared" si="15"/>
        <v/>
      </c>
      <c r="E388" s="301" t="str">
        <f t="shared" si="16"/>
        <v/>
      </c>
      <c r="F388" s="317" t="str">
        <f t="shared" si="17"/>
        <v/>
      </c>
      <c r="G388" s="323" t="str">
        <f t="shared" si="18"/>
        <v/>
      </c>
      <c r="H388" s="327" t="str">
        <f t="shared" si="19"/>
        <v/>
      </c>
      <c r="I388" s="327" t="str">
        <f t="shared" si="20"/>
        <v/>
      </c>
      <c r="J388" s="301" t="str">
        <f t="shared" si="21"/>
        <v/>
      </c>
      <c r="K388" s="301" t="str">
        <f t="shared" si="22"/>
        <v/>
      </c>
      <c r="L388" s="344" t="str">
        <f t="array" ref="L388">IF($T388="","",LET(m,MATCH($T388,$AS$24:$AS$700,0),lvl,INDEX($W$24:$W$700,m),id,INDEX($X$24:$X$700,m),SWITCH(lvl,3,"Lớp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8" s="351" t="str">
        <f t="shared" si="23"/>
        <v/>
      </c>
      <c r="N388" s="356" t="str">
        <f t="shared" si="24"/>
        <v/>
      </c>
      <c r="O388" s="358"/>
      <c r="P388" s="360"/>
      <c r="Q388" s="360"/>
      <c r="R388" s="67"/>
      <c r="S388" s="67"/>
      <c r="T388" s="67"/>
      <c r="U388" s="389" t="str">
        <f>IF('Lớp 5 - Phân công'!I199="","",'Lớp 5 - Phân công'!K199&amp;"|"&amp;'Lớp 5 - Phân công'!J199&amp;"|"&amp;'Lớp 5 - Phân công'!I199)</f>
        <v/>
      </c>
      <c r="V388" s="389" t="str">
        <f>IF('Lớp 5 - Phân công'!I199="","","       ├─ "&amp;'Lớp 5 - Phân công'!Q199)</f>
        <v/>
      </c>
      <c r="W388" s="389" t="str">
        <f>IF('Lớp 5 - Phân công'!I199="","",5)</f>
        <v/>
      </c>
      <c r="X388" s="67" t="str">
        <f>'Lớp 5 - Phân công'!I199</f>
        <v/>
      </c>
      <c r="Y388" s="67" t="str">
        <f>'Lớp 5 - Phân công'!J199</f>
        <v/>
      </c>
      <c r="Z388" s="67" t="str">
        <f>'Lớp 5 - Phân công'!AA199</f>
        <v/>
      </c>
      <c r="AA388" s="67" t="str">
        <f>'Lớp 5 - Phân công'!Z199</f>
        <v/>
      </c>
      <c r="AB388" s="67" t="str">
        <f>'Lớp 5 - Phân công'!AC199</f>
        <v/>
      </c>
      <c r="AC388" s="67" t="str">
        <f>'Lớp 5 - Phân công'!AB199</f>
        <v/>
      </c>
      <c r="AD388" s="398" t="str">
        <f>'Lớp 5 - Phân công'!AG199</f>
        <v/>
      </c>
      <c r="AE388" s="358" t="str">
        <f>'Lớp 5 - Phân công'!AE199</f>
        <v/>
      </c>
      <c r="AF388" s="187" t="str">
        <f>'Lớp 5 - Phân công'!AH199</f>
        <v/>
      </c>
      <c r="AG388" s="104" t="str">
        <f>'Lớp 5 - Phân công'!AI199</f>
        <v/>
      </c>
      <c r="AH388" s="389" t="str">
        <f t="shared" si="27"/>
        <v/>
      </c>
      <c r="AI388" s="389" t="str">
        <f t="shared" si="37"/>
        <v>🔵 Chưa có hạn</v>
      </c>
      <c r="AJ388" s="67" t="str">
        <f>'Lớp 5 - Phân công'!AL199</f>
        <v/>
      </c>
      <c r="AS388" s="389" t="str">
        <f t="shared" si="217"/>
        <v/>
      </c>
      <c r="AT388" s="389" t="str">
        <f t="shared" si="32"/>
        <v/>
      </c>
      <c r="AU388" s="389" t="str">
        <f t="shared" si="33"/>
        <v/>
      </c>
      <c r="AV388" s="389" t="str">
        <f t="shared" si="34"/>
        <v/>
      </c>
      <c r="AW388" s="389" t="str">
        <f t="shared" si="35"/>
        <v/>
      </c>
      <c r="AX388" s="67" t="str">
        <f t="shared" ref="AX388:BH388" si="402">Z388</f>
        <v/>
      </c>
      <c r="AY388" s="67" t="str">
        <f t="shared" si="402"/>
        <v/>
      </c>
      <c r="AZ388" s="67" t="str">
        <f t="shared" si="402"/>
        <v/>
      </c>
      <c r="BA388" s="67" t="str">
        <f t="shared" si="402"/>
        <v/>
      </c>
      <c r="BB388" s="398" t="str">
        <f t="shared" si="402"/>
        <v/>
      </c>
      <c r="BC388" s="358" t="str">
        <f t="shared" si="402"/>
        <v/>
      </c>
      <c r="BD388" s="187" t="str">
        <f t="shared" si="402"/>
        <v/>
      </c>
      <c r="BE388" s="104" t="str">
        <f t="shared" si="402"/>
        <v/>
      </c>
      <c r="BF388" s="389" t="str">
        <f t="shared" si="402"/>
        <v/>
      </c>
      <c r="BG388" s="389" t="str">
        <f t="shared" si="402"/>
        <v>🔵 Chưa có hạn</v>
      </c>
      <c r="BH388" s="67" t="str">
        <f t="shared" si="402"/>
        <v/>
      </c>
      <c r="BI388" s="389" t="str">
        <f t="array" ref="BI388">IF($X388="","",SWITCH($W388,3,IFERROR(INDEX('Lớp 3 - Công việc chính'!$AF$14:$AF$73,MATCH($X388,'Lớp 3 - Công việc chính'!$I$14:$I$73,0)),""),4,IFERROR(INDEX('Lớp 4 - Danh mục'!$AI$14:$AI$132,MATCH($X388,'Lớp 4 - Danh mục'!$I$14:$I$132,0)),""),5,IFERROR(INDEX('Lớp 5 - Phân công'!$AJ$14:$AJ$262,MATCH($X388,'Lớp 5 - Phân công'!$I$14:$I$262,0)),""),6,IFERROR(INDEX('Lớp 6 - Chi tiết'!$AM$14:$AM$267,MATCH($X388,'Lớp 6 - Chi tiết'!$I$14:$I$267,0)),""),""))</f>
        <v/>
      </c>
      <c r="BJ388" s="389" t="str">
        <f t="array" ref="BJ388">IF($X388="","",SWITCH($W388,3,IFERROR(INDEX('Lớp 3 - Công việc chính'!$AR$14:$AR$73,MATCH($X388,'Lớp 3 - Công việc chính'!$I$14:$I$73,0)),""),4,IFERROR(INDEX('Lớp 4 - Danh mục'!$AU$14:$AU$132,MATCH($X388,'Lớp 4 - Danh mục'!$I$14:$I$132,0)),""),5,IFERROR(INDEX('Lớp 5 - Phân công'!$AV$14:$AV$262,MATCH($X388,'Lớp 5 - Phân công'!$I$14:$I$262,0)),""),6,IFERROR(INDEX('Lớp 6 - Chi tiết'!$AY$14:$AY$267,MATCH($X388,'Lớp 6 - Chi tiết'!$I$14:$I$267,0)),""),""))</f>
        <v/>
      </c>
    </row>
    <row r="389" ht="15.75" customHeight="1">
      <c r="A389" s="294" t="str">
        <f t="shared" si="12"/>
        <v/>
      </c>
      <c r="B389" s="301" t="str">
        <f t="shared" si="13"/>
        <v/>
      </c>
      <c r="C389" s="301" t="str">
        <f t="shared" si="14"/>
        <v/>
      </c>
      <c r="D389" s="301" t="str">
        <f t="shared" si="15"/>
        <v/>
      </c>
      <c r="E389" s="301" t="str">
        <f t="shared" si="16"/>
        <v/>
      </c>
      <c r="F389" s="317" t="str">
        <f t="shared" si="17"/>
        <v/>
      </c>
      <c r="G389" s="323" t="str">
        <f t="shared" si="18"/>
        <v/>
      </c>
      <c r="H389" s="327" t="str">
        <f t="shared" si="19"/>
        <v/>
      </c>
      <c r="I389" s="327" t="str">
        <f t="shared" si="20"/>
        <v/>
      </c>
      <c r="J389" s="301" t="str">
        <f t="shared" si="21"/>
        <v/>
      </c>
      <c r="K389" s="301" t="str">
        <f t="shared" si="22"/>
        <v/>
      </c>
      <c r="L389" s="344" t="str">
        <f t="array" ref="L389">IF($T389="","",LET(m,MATCH($T389,$AS$24:$AS$700,0),lvl,INDEX($W$24:$W$700,m),id,INDEX($X$24:$X$700,m),SWITCH(lvl,3,"Lớp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89" s="351" t="str">
        <f t="shared" si="23"/>
        <v/>
      </c>
      <c r="N389" s="356" t="str">
        <f t="shared" si="24"/>
        <v/>
      </c>
      <c r="O389" s="358"/>
      <c r="P389" s="360"/>
      <c r="Q389" s="360"/>
      <c r="R389" s="67"/>
      <c r="S389" s="67"/>
      <c r="T389" s="67"/>
      <c r="U389" s="389" t="str">
        <f>IF('Lớp 5 - Phân công'!I200="","",'Lớp 5 - Phân công'!K200&amp;"|"&amp;'Lớp 5 - Phân công'!J200&amp;"|"&amp;'Lớp 5 - Phân công'!I200)</f>
        <v/>
      </c>
      <c r="V389" s="389" t="str">
        <f>IF('Lớp 5 - Phân công'!I200="","","       ├─ "&amp;'Lớp 5 - Phân công'!Q200)</f>
        <v/>
      </c>
      <c r="W389" s="389" t="str">
        <f>IF('Lớp 5 - Phân công'!I200="","",5)</f>
        <v/>
      </c>
      <c r="X389" s="67" t="str">
        <f>'Lớp 5 - Phân công'!I200</f>
        <v/>
      </c>
      <c r="Y389" s="67" t="str">
        <f>'Lớp 5 - Phân công'!J200</f>
        <v/>
      </c>
      <c r="Z389" s="67" t="str">
        <f>'Lớp 5 - Phân công'!AA200</f>
        <v/>
      </c>
      <c r="AA389" s="67" t="str">
        <f>'Lớp 5 - Phân công'!Z200</f>
        <v/>
      </c>
      <c r="AB389" s="67" t="str">
        <f>'Lớp 5 - Phân công'!AC200</f>
        <v/>
      </c>
      <c r="AC389" s="67" t="str">
        <f>'Lớp 5 - Phân công'!AB200</f>
        <v/>
      </c>
      <c r="AD389" s="398" t="str">
        <f>'Lớp 5 - Phân công'!AG200</f>
        <v/>
      </c>
      <c r="AE389" s="358" t="str">
        <f>'Lớp 5 - Phân công'!AE200</f>
        <v/>
      </c>
      <c r="AF389" s="187" t="str">
        <f>'Lớp 5 - Phân công'!AH200</f>
        <v/>
      </c>
      <c r="AG389" s="104" t="str">
        <f>'Lớp 5 - Phân công'!AI200</f>
        <v/>
      </c>
      <c r="AH389" s="389" t="str">
        <f t="shared" si="27"/>
        <v/>
      </c>
      <c r="AI389" s="389" t="str">
        <f t="shared" si="37"/>
        <v>🔵 Chưa có hạn</v>
      </c>
      <c r="AJ389" s="67" t="str">
        <f>'Lớp 5 - Phân công'!AL200</f>
        <v/>
      </c>
      <c r="AS389" s="389" t="str">
        <f t="shared" si="217"/>
        <v/>
      </c>
      <c r="AT389" s="389" t="str">
        <f t="shared" si="32"/>
        <v/>
      </c>
      <c r="AU389" s="389" t="str">
        <f t="shared" si="33"/>
        <v/>
      </c>
      <c r="AV389" s="389" t="str">
        <f t="shared" si="34"/>
        <v/>
      </c>
      <c r="AW389" s="389" t="str">
        <f t="shared" si="35"/>
        <v/>
      </c>
      <c r="AX389" s="67" t="str">
        <f t="shared" ref="AX389:BH389" si="403">Z389</f>
        <v/>
      </c>
      <c r="AY389" s="67" t="str">
        <f t="shared" si="403"/>
        <v/>
      </c>
      <c r="AZ389" s="67" t="str">
        <f t="shared" si="403"/>
        <v/>
      </c>
      <c r="BA389" s="67" t="str">
        <f t="shared" si="403"/>
        <v/>
      </c>
      <c r="BB389" s="398" t="str">
        <f t="shared" si="403"/>
        <v/>
      </c>
      <c r="BC389" s="358" t="str">
        <f t="shared" si="403"/>
        <v/>
      </c>
      <c r="BD389" s="187" t="str">
        <f t="shared" si="403"/>
        <v/>
      </c>
      <c r="BE389" s="104" t="str">
        <f t="shared" si="403"/>
        <v/>
      </c>
      <c r="BF389" s="389" t="str">
        <f t="shared" si="403"/>
        <v/>
      </c>
      <c r="BG389" s="389" t="str">
        <f t="shared" si="403"/>
        <v>🔵 Chưa có hạn</v>
      </c>
      <c r="BH389" s="67" t="str">
        <f t="shared" si="403"/>
        <v/>
      </c>
      <c r="BI389" s="389" t="str">
        <f t="array" ref="BI389">IF($X389="","",SWITCH($W389,3,IFERROR(INDEX('Lớp 3 - Công việc chính'!$AF$14:$AF$73,MATCH($X389,'Lớp 3 - Công việc chính'!$I$14:$I$73,0)),""),4,IFERROR(INDEX('Lớp 4 - Danh mục'!$AI$14:$AI$132,MATCH($X389,'Lớp 4 - Danh mục'!$I$14:$I$132,0)),""),5,IFERROR(INDEX('Lớp 5 - Phân công'!$AJ$14:$AJ$262,MATCH($X389,'Lớp 5 - Phân công'!$I$14:$I$262,0)),""),6,IFERROR(INDEX('Lớp 6 - Chi tiết'!$AM$14:$AM$267,MATCH($X389,'Lớp 6 - Chi tiết'!$I$14:$I$267,0)),""),""))</f>
        <v/>
      </c>
      <c r="BJ389" s="389" t="str">
        <f t="array" ref="BJ389">IF($X389="","",SWITCH($W389,3,IFERROR(INDEX('Lớp 3 - Công việc chính'!$AR$14:$AR$73,MATCH($X389,'Lớp 3 - Công việc chính'!$I$14:$I$73,0)),""),4,IFERROR(INDEX('Lớp 4 - Danh mục'!$AU$14:$AU$132,MATCH($X389,'Lớp 4 - Danh mục'!$I$14:$I$132,0)),""),5,IFERROR(INDEX('Lớp 5 - Phân công'!$AV$14:$AV$262,MATCH($X389,'Lớp 5 - Phân công'!$I$14:$I$262,0)),""),6,IFERROR(INDEX('Lớp 6 - Chi tiết'!$AY$14:$AY$267,MATCH($X389,'Lớp 6 - Chi tiết'!$I$14:$I$267,0)),""),""))</f>
        <v/>
      </c>
    </row>
    <row r="390" ht="15.75" customHeight="1">
      <c r="A390" s="294" t="str">
        <f t="shared" si="12"/>
        <v/>
      </c>
      <c r="B390" s="301" t="str">
        <f t="shared" si="13"/>
        <v/>
      </c>
      <c r="C390" s="301" t="str">
        <f t="shared" si="14"/>
        <v/>
      </c>
      <c r="D390" s="301" t="str">
        <f t="shared" si="15"/>
        <v/>
      </c>
      <c r="E390" s="301" t="str">
        <f t="shared" si="16"/>
        <v/>
      </c>
      <c r="F390" s="317" t="str">
        <f t="shared" si="17"/>
        <v/>
      </c>
      <c r="G390" s="323" t="str">
        <f t="shared" si="18"/>
        <v/>
      </c>
      <c r="H390" s="327" t="str">
        <f t="shared" si="19"/>
        <v/>
      </c>
      <c r="I390" s="327" t="str">
        <f t="shared" si="20"/>
        <v/>
      </c>
      <c r="J390" s="301" t="str">
        <f t="shared" si="21"/>
        <v/>
      </c>
      <c r="K390" s="301" t="str">
        <f t="shared" si="22"/>
        <v/>
      </c>
      <c r="L390" s="344" t="str">
        <f t="array" ref="L390">IF($T390="","",LET(m,MATCH($T390,$AS$24:$AS$700,0),lvl,INDEX($W$24:$W$700,m),id,INDEX($X$24:$X$700,m),SWITCH(lvl,3,"Lớp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0" s="351" t="str">
        <f t="shared" si="23"/>
        <v/>
      </c>
      <c r="N390" s="356" t="str">
        <f t="shared" si="24"/>
        <v/>
      </c>
      <c r="O390" s="358"/>
      <c r="P390" s="360"/>
      <c r="Q390" s="360"/>
      <c r="R390" s="67"/>
      <c r="S390" s="67"/>
      <c r="T390" s="67"/>
      <c r="U390" s="389" t="str">
        <f>IF('Lớp 5 - Phân công'!I201="","",'Lớp 5 - Phân công'!K201&amp;"|"&amp;'Lớp 5 - Phân công'!J201&amp;"|"&amp;'Lớp 5 - Phân công'!I201)</f>
        <v/>
      </c>
      <c r="V390" s="389" t="str">
        <f>IF('Lớp 5 - Phân công'!I201="","","       ├─ "&amp;'Lớp 5 - Phân công'!Q201)</f>
        <v/>
      </c>
      <c r="W390" s="389" t="str">
        <f>IF('Lớp 5 - Phân công'!I201="","",5)</f>
        <v/>
      </c>
      <c r="X390" s="67" t="str">
        <f>'Lớp 5 - Phân công'!I201</f>
        <v/>
      </c>
      <c r="Y390" s="67" t="str">
        <f>'Lớp 5 - Phân công'!J201</f>
        <v/>
      </c>
      <c r="Z390" s="67" t="str">
        <f>'Lớp 5 - Phân công'!AA201</f>
        <v/>
      </c>
      <c r="AA390" s="67" t="str">
        <f>'Lớp 5 - Phân công'!Z201</f>
        <v/>
      </c>
      <c r="AB390" s="67" t="str">
        <f>'Lớp 5 - Phân công'!AC201</f>
        <v/>
      </c>
      <c r="AC390" s="67" t="str">
        <f>'Lớp 5 - Phân công'!AB201</f>
        <v/>
      </c>
      <c r="AD390" s="398" t="str">
        <f>'Lớp 5 - Phân công'!AG201</f>
        <v/>
      </c>
      <c r="AE390" s="358" t="str">
        <f>'Lớp 5 - Phân công'!AE201</f>
        <v/>
      </c>
      <c r="AF390" s="187" t="str">
        <f>'Lớp 5 - Phân công'!AH201</f>
        <v/>
      </c>
      <c r="AG390" s="104" t="str">
        <f>'Lớp 5 - Phân công'!AI201</f>
        <v/>
      </c>
      <c r="AH390" s="389" t="str">
        <f t="shared" si="27"/>
        <v/>
      </c>
      <c r="AI390" s="389" t="str">
        <f t="shared" si="37"/>
        <v>🔵 Chưa có hạn</v>
      </c>
      <c r="AJ390" s="67" t="str">
        <f>'Lớp 5 - Phân công'!AL201</f>
        <v/>
      </c>
      <c r="AS390" s="389" t="str">
        <f t="shared" si="217"/>
        <v/>
      </c>
      <c r="AT390" s="389" t="str">
        <f t="shared" si="32"/>
        <v/>
      </c>
      <c r="AU390" s="389" t="str">
        <f t="shared" si="33"/>
        <v/>
      </c>
      <c r="AV390" s="389" t="str">
        <f t="shared" si="34"/>
        <v/>
      </c>
      <c r="AW390" s="389" t="str">
        <f t="shared" si="35"/>
        <v/>
      </c>
      <c r="AX390" s="67" t="str">
        <f t="shared" ref="AX390:BH390" si="404">Z390</f>
        <v/>
      </c>
      <c r="AY390" s="67" t="str">
        <f t="shared" si="404"/>
        <v/>
      </c>
      <c r="AZ390" s="67" t="str">
        <f t="shared" si="404"/>
        <v/>
      </c>
      <c r="BA390" s="67" t="str">
        <f t="shared" si="404"/>
        <v/>
      </c>
      <c r="BB390" s="398" t="str">
        <f t="shared" si="404"/>
        <v/>
      </c>
      <c r="BC390" s="358" t="str">
        <f t="shared" si="404"/>
        <v/>
      </c>
      <c r="BD390" s="187" t="str">
        <f t="shared" si="404"/>
        <v/>
      </c>
      <c r="BE390" s="104" t="str">
        <f t="shared" si="404"/>
        <v/>
      </c>
      <c r="BF390" s="389" t="str">
        <f t="shared" si="404"/>
        <v/>
      </c>
      <c r="BG390" s="389" t="str">
        <f t="shared" si="404"/>
        <v>🔵 Chưa có hạn</v>
      </c>
      <c r="BH390" s="67" t="str">
        <f t="shared" si="404"/>
        <v/>
      </c>
      <c r="BI390" s="389" t="str">
        <f t="array" ref="BI390">IF($X390="","",SWITCH($W390,3,IFERROR(INDEX('Lớp 3 - Công việc chính'!$AF$14:$AF$73,MATCH($X390,'Lớp 3 - Công việc chính'!$I$14:$I$73,0)),""),4,IFERROR(INDEX('Lớp 4 - Danh mục'!$AI$14:$AI$132,MATCH($X390,'Lớp 4 - Danh mục'!$I$14:$I$132,0)),""),5,IFERROR(INDEX('Lớp 5 - Phân công'!$AJ$14:$AJ$262,MATCH($X390,'Lớp 5 - Phân công'!$I$14:$I$262,0)),""),6,IFERROR(INDEX('Lớp 6 - Chi tiết'!$AM$14:$AM$267,MATCH($X390,'Lớp 6 - Chi tiết'!$I$14:$I$267,0)),""),""))</f>
        <v/>
      </c>
      <c r="BJ390" s="389" t="str">
        <f t="array" ref="BJ390">IF($X390="","",SWITCH($W390,3,IFERROR(INDEX('Lớp 3 - Công việc chính'!$AR$14:$AR$73,MATCH($X390,'Lớp 3 - Công việc chính'!$I$14:$I$73,0)),""),4,IFERROR(INDEX('Lớp 4 - Danh mục'!$AU$14:$AU$132,MATCH($X390,'Lớp 4 - Danh mục'!$I$14:$I$132,0)),""),5,IFERROR(INDEX('Lớp 5 - Phân công'!$AV$14:$AV$262,MATCH($X390,'Lớp 5 - Phân công'!$I$14:$I$262,0)),""),6,IFERROR(INDEX('Lớp 6 - Chi tiết'!$AY$14:$AY$267,MATCH($X390,'Lớp 6 - Chi tiết'!$I$14:$I$267,0)),""),""))</f>
        <v/>
      </c>
    </row>
    <row r="391" ht="15.75" customHeight="1">
      <c r="A391" s="294" t="str">
        <f t="shared" si="12"/>
        <v/>
      </c>
      <c r="B391" s="301" t="str">
        <f t="shared" si="13"/>
        <v/>
      </c>
      <c r="C391" s="301" t="str">
        <f t="shared" si="14"/>
        <v/>
      </c>
      <c r="D391" s="301" t="str">
        <f t="shared" si="15"/>
        <v/>
      </c>
      <c r="E391" s="301" t="str">
        <f t="shared" si="16"/>
        <v/>
      </c>
      <c r="F391" s="317" t="str">
        <f t="shared" si="17"/>
        <v/>
      </c>
      <c r="G391" s="323" t="str">
        <f t="shared" si="18"/>
        <v/>
      </c>
      <c r="H391" s="327" t="str">
        <f t="shared" si="19"/>
        <v/>
      </c>
      <c r="I391" s="327" t="str">
        <f t="shared" si="20"/>
        <v/>
      </c>
      <c r="J391" s="301" t="str">
        <f t="shared" si="21"/>
        <v/>
      </c>
      <c r="K391" s="301" t="str">
        <f t="shared" si="22"/>
        <v/>
      </c>
      <c r="L391" s="344" t="str">
        <f t="array" ref="L391">IF($T391="","",LET(m,MATCH($T391,$AS$24:$AS$700,0),lvl,INDEX($W$24:$W$700,m),id,INDEX($X$24:$X$700,m),SWITCH(lvl,3,"Lớp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1" s="351" t="str">
        <f t="shared" si="23"/>
        <v/>
      </c>
      <c r="N391" s="356" t="str">
        <f t="shared" si="24"/>
        <v/>
      </c>
      <c r="O391" s="358"/>
      <c r="P391" s="360"/>
      <c r="Q391" s="360"/>
      <c r="R391" s="67"/>
      <c r="S391" s="67"/>
      <c r="T391" s="67"/>
      <c r="U391" s="389" t="str">
        <f>IF('Lớp 5 - Phân công'!I202="","",'Lớp 5 - Phân công'!K202&amp;"|"&amp;'Lớp 5 - Phân công'!J202&amp;"|"&amp;'Lớp 5 - Phân công'!I202)</f>
        <v/>
      </c>
      <c r="V391" s="389" t="str">
        <f>IF('Lớp 5 - Phân công'!I202="","","       ├─ "&amp;'Lớp 5 - Phân công'!Q202)</f>
        <v/>
      </c>
      <c r="W391" s="389" t="str">
        <f>IF('Lớp 5 - Phân công'!I202="","",5)</f>
        <v/>
      </c>
      <c r="X391" s="67" t="str">
        <f>'Lớp 5 - Phân công'!I202</f>
        <v/>
      </c>
      <c r="Y391" s="67" t="str">
        <f>'Lớp 5 - Phân công'!J202</f>
        <v/>
      </c>
      <c r="Z391" s="67" t="str">
        <f>'Lớp 5 - Phân công'!AA202</f>
        <v/>
      </c>
      <c r="AA391" s="67" t="str">
        <f>'Lớp 5 - Phân công'!Z202</f>
        <v/>
      </c>
      <c r="AB391" s="67" t="str">
        <f>'Lớp 5 - Phân công'!AC202</f>
        <v/>
      </c>
      <c r="AC391" s="67" t="str">
        <f>'Lớp 5 - Phân công'!AB202</f>
        <v/>
      </c>
      <c r="AD391" s="398" t="str">
        <f>'Lớp 5 - Phân công'!AG202</f>
        <v/>
      </c>
      <c r="AE391" s="358" t="str">
        <f>'Lớp 5 - Phân công'!AE202</f>
        <v/>
      </c>
      <c r="AF391" s="187" t="str">
        <f>'Lớp 5 - Phân công'!AH202</f>
        <v/>
      </c>
      <c r="AG391" s="104" t="str">
        <f>'Lớp 5 - Phân công'!AI202</f>
        <v/>
      </c>
      <c r="AH391" s="389" t="str">
        <f t="shared" si="27"/>
        <v/>
      </c>
      <c r="AI391" s="389" t="str">
        <f t="shared" si="37"/>
        <v>🔵 Chưa có hạn</v>
      </c>
      <c r="AJ391" s="67" t="str">
        <f>'Lớp 5 - Phân công'!AL202</f>
        <v/>
      </c>
      <c r="AS391" s="389" t="str">
        <f t="shared" si="217"/>
        <v/>
      </c>
      <c r="AT391" s="389" t="str">
        <f t="shared" si="32"/>
        <v/>
      </c>
      <c r="AU391" s="389" t="str">
        <f t="shared" si="33"/>
        <v/>
      </c>
      <c r="AV391" s="389" t="str">
        <f t="shared" si="34"/>
        <v/>
      </c>
      <c r="AW391" s="389" t="str">
        <f t="shared" si="35"/>
        <v/>
      </c>
      <c r="AX391" s="67" t="str">
        <f t="shared" ref="AX391:BH391" si="405">Z391</f>
        <v/>
      </c>
      <c r="AY391" s="67" t="str">
        <f t="shared" si="405"/>
        <v/>
      </c>
      <c r="AZ391" s="67" t="str">
        <f t="shared" si="405"/>
        <v/>
      </c>
      <c r="BA391" s="67" t="str">
        <f t="shared" si="405"/>
        <v/>
      </c>
      <c r="BB391" s="398" t="str">
        <f t="shared" si="405"/>
        <v/>
      </c>
      <c r="BC391" s="358" t="str">
        <f t="shared" si="405"/>
        <v/>
      </c>
      <c r="BD391" s="187" t="str">
        <f t="shared" si="405"/>
        <v/>
      </c>
      <c r="BE391" s="104" t="str">
        <f t="shared" si="405"/>
        <v/>
      </c>
      <c r="BF391" s="389" t="str">
        <f t="shared" si="405"/>
        <v/>
      </c>
      <c r="BG391" s="389" t="str">
        <f t="shared" si="405"/>
        <v>🔵 Chưa có hạn</v>
      </c>
      <c r="BH391" s="67" t="str">
        <f t="shared" si="405"/>
        <v/>
      </c>
      <c r="BI391" s="389" t="str">
        <f t="array" ref="BI391">IF($X391="","",SWITCH($W391,3,IFERROR(INDEX('Lớp 3 - Công việc chính'!$AF$14:$AF$73,MATCH($X391,'Lớp 3 - Công việc chính'!$I$14:$I$73,0)),""),4,IFERROR(INDEX('Lớp 4 - Danh mục'!$AI$14:$AI$132,MATCH($X391,'Lớp 4 - Danh mục'!$I$14:$I$132,0)),""),5,IFERROR(INDEX('Lớp 5 - Phân công'!$AJ$14:$AJ$262,MATCH($X391,'Lớp 5 - Phân công'!$I$14:$I$262,0)),""),6,IFERROR(INDEX('Lớp 6 - Chi tiết'!$AM$14:$AM$267,MATCH($X391,'Lớp 6 - Chi tiết'!$I$14:$I$267,0)),""),""))</f>
        <v/>
      </c>
      <c r="BJ391" s="389" t="str">
        <f t="array" ref="BJ391">IF($X391="","",SWITCH($W391,3,IFERROR(INDEX('Lớp 3 - Công việc chính'!$AR$14:$AR$73,MATCH($X391,'Lớp 3 - Công việc chính'!$I$14:$I$73,0)),""),4,IFERROR(INDEX('Lớp 4 - Danh mục'!$AU$14:$AU$132,MATCH($X391,'Lớp 4 - Danh mục'!$I$14:$I$132,0)),""),5,IFERROR(INDEX('Lớp 5 - Phân công'!$AV$14:$AV$262,MATCH($X391,'Lớp 5 - Phân công'!$I$14:$I$262,0)),""),6,IFERROR(INDEX('Lớp 6 - Chi tiết'!$AY$14:$AY$267,MATCH($X391,'Lớp 6 - Chi tiết'!$I$14:$I$267,0)),""),""))</f>
        <v/>
      </c>
    </row>
    <row r="392" ht="15.75" customHeight="1">
      <c r="A392" s="294" t="str">
        <f t="shared" si="12"/>
        <v/>
      </c>
      <c r="B392" s="301" t="str">
        <f t="shared" si="13"/>
        <v/>
      </c>
      <c r="C392" s="301" t="str">
        <f t="shared" si="14"/>
        <v/>
      </c>
      <c r="D392" s="301" t="str">
        <f t="shared" si="15"/>
        <v/>
      </c>
      <c r="E392" s="301" t="str">
        <f t="shared" si="16"/>
        <v/>
      </c>
      <c r="F392" s="317" t="str">
        <f t="shared" si="17"/>
        <v/>
      </c>
      <c r="G392" s="323" t="str">
        <f t="shared" si="18"/>
        <v/>
      </c>
      <c r="H392" s="327" t="str">
        <f t="shared" si="19"/>
        <v/>
      </c>
      <c r="I392" s="327" t="str">
        <f t="shared" si="20"/>
        <v/>
      </c>
      <c r="J392" s="301" t="str">
        <f t="shared" si="21"/>
        <v/>
      </c>
      <c r="K392" s="301" t="str">
        <f t="shared" si="22"/>
        <v/>
      </c>
      <c r="L392" s="344" t="str">
        <f t="array" ref="L392">IF($T392="","",LET(m,MATCH($T392,$AS$24:$AS$700,0),lvl,INDEX($W$24:$W$700,m),id,INDEX($X$24:$X$700,m),SWITCH(lvl,3,"Lớp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2" s="351" t="str">
        <f t="shared" si="23"/>
        <v/>
      </c>
      <c r="N392" s="356" t="str">
        <f t="shared" si="24"/>
        <v/>
      </c>
      <c r="O392" s="358"/>
      <c r="P392" s="360"/>
      <c r="Q392" s="360"/>
      <c r="R392" s="67"/>
      <c r="S392" s="67"/>
      <c r="T392" s="67"/>
      <c r="U392" s="389" t="str">
        <f>IF('Lớp 5 - Phân công'!I203="","",'Lớp 5 - Phân công'!K203&amp;"|"&amp;'Lớp 5 - Phân công'!J203&amp;"|"&amp;'Lớp 5 - Phân công'!I203)</f>
        <v/>
      </c>
      <c r="V392" s="389" t="str">
        <f>IF('Lớp 5 - Phân công'!I203="","","       ├─ "&amp;'Lớp 5 - Phân công'!Q203)</f>
        <v/>
      </c>
      <c r="W392" s="389" t="str">
        <f>IF('Lớp 5 - Phân công'!I203="","",5)</f>
        <v/>
      </c>
      <c r="X392" s="67" t="str">
        <f>'Lớp 5 - Phân công'!I203</f>
        <v/>
      </c>
      <c r="Y392" s="67" t="str">
        <f>'Lớp 5 - Phân công'!J203</f>
        <v/>
      </c>
      <c r="Z392" s="67" t="str">
        <f>'Lớp 5 - Phân công'!AA203</f>
        <v/>
      </c>
      <c r="AA392" s="67" t="str">
        <f>'Lớp 5 - Phân công'!Z203</f>
        <v/>
      </c>
      <c r="AB392" s="67" t="str">
        <f>'Lớp 5 - Phân công'!AC203</f>
        <v/>
      </c>
      <c r="AC392" s="67" t="str">
        <f>'Lớp 5 - Phân công'!AB203</f>
        <v/>
      </c>
      <c r="AD392" s="398" t="str">
        <f>'Lớp 5 - Phân công'!AG203</f>
        <v/>
      </c>
      <c r="AE392" s="358" t="str">
        <f>'Lớp 5 - Phân công'!AE203</f>
        <v/>
      </c>
      <c r="AF392" s="187" t="str">
        <f>'Lớp 5 - Phân công'!AH203</f>
        <v/>
      </c>
      <c r="AG392" s="104" t="str">
        <f>'Lớp 5 - Phân công'!AI203</f>
        <v/>
      </c>
      <c r="AH392" s="389" t="str">
        <f t="shared" si="27"/>
        <v/>
      </c>
      <c r="AI392" s="389" t="str">
        <f t="shared" si="37"/>
        <v>🔵 Chưa có hạn</v>
      </c>
      <c r="AJ392" s="67" t="str">
        <f>'Lớp 5 - Phân công'!AL203</f>
        <v/>
      </c>
      <c r="AS392" s="389" t="str">
        <f t="shared" si="217"/>
        <v/>
      </c>
      <c r="AT392" s="389" t="str">
        <f t="shared" si="32"/>
        <v/>
      </c>
      <c r="AU392" s="389" t="str">
        <f t="shared" si="33"/>
        <v/>
      </c>
      <c r="AV392" s="389" t="str">
        <f t="shared" si="34"/>
        <v/>
      </c>
      <c r="AW392" s="389" t="str">
        <f t="shared" si="35"/>
        <v/>
      </c>
      <c r="AX392" s="67" t="str">
        <f t="shared" ref="AX392:BH392" si="406">Z392</f>
        <v/>
      </c>
      <c r="AY392" s="67" t="str">
        <f t="shared" si="406"/>
        <v/>
      </c>
      <c r="AZ392" s="67" t="str">
        <f t="shared" si="406"/>
        <v/>
      </c>
      <c r="BA392" s="67" t="str">
        <f t="shared" si="406"/>
        <v/>
      </c>
      <c r="BB392" s="398" t="str">
        <f t="shared" si="406"/>
        <v/>
      </c>
      <c r="BC392" s="358" t="str">
        <f t="shared" si="406"/>
        <v/>
      </c>
      <c r="BD392" s="187" t="str">
        <f t="shared" si="406"/>
        <v/>
      </c>
      <c r="BE392" s="104" t="str">
        <f t="shared" si="406"/>
        <v/>
      </c>
      <c r="BF392" s="389" t="str">
        <f t="shared" si="406"/>
        <v/>
      </c>
      <c r="BG392" s="389" t="str">
        <f t="shared" si="406"/>
        <v>🔵 Chưa có hạn</v>
      </c>
      <c r="BH392" s="67" t="str">
        <f t="shared" si="406"/>
        <v/>
      </c>
      <c r="BI392" s="389" t="str">
        <f t="array" ref="BI392">IF($X392="","",SWITCH($W392,3,IFERROR(INDEX('Lớp 3 - Công việc chính'!$AF$14:$AF$73,MATCH($X392,'Lớp 3 - Công việc chính'!$I$14:$I$73,0)),""),4,IFERROR(INDEX('Lớp 4 - Danh mục'!$AI$14:$AI$132,MATCH($X392,'Lớp 4 - Danh mục'!$I$14:$I$132,0)),""),5,IFERROR(INDEX('Lớp 5 - Phân công'!$AJ$14:$AJ$262,MATCH($X392,'Lớp 5 - Phân công'!$I$14:$I$262,0)),""),6,IFERROR(INDEX('Lớp 6 - Chi tiết'!$AM$14:$AM$267,MATCH($X392,'Lớp 6 - Chi tiết'!$I$14:$I$267,0)),""),""))</f>
        <v/>
      </c>
      <c r="BJ392" s="389" t="str">
        <f t="array" ref="BJ392">IF($X392="","",SWITCH($W392,3,IFERROR(INDEX('Lớp 3 - Công việc chính'!$AR$14:$AR$73,MATCH($X392,'Lớp 3 - Công việc chính'!$I$14:$I$73,0)),""),4,IFERROR(INDEX('Lớp 4 - Danh mục'!$AU$14:$AU$132,MATCH($X392,'Lớp 4 - Danh mục'!$I$14:$I$132,0)),""),5,IFERROR(INDEX('Lớp 5 - Phân công'!$AV$14:$AV$262,MATCH($X392,'Lớp 5 - Phân công'!$I$14:$I$262,0)),""),6,IFERROR(INDEX('Lớp 6 - Chi tiết'!$AY$14:$AY$267,MATCH($X392,'Lớp 6 - Chi tiết'!$I$14:$I$267,0)),""),""))</f>
        <v/>
      </c>
    </row>
    <row r="393" ht="15.75" customHeight="1">
      <c r="A393" s="294" t="str">
        <f t="shared" si="12"/>
        <v/>
      </c>
      <c r="B393" s="301" t="str">
        <f t="shared" si="13"/>
        <v/>
      </c>
      <c r="C393" s="301" t="str">
        <f t="shared" si="14"/>
        <v/>
      </c>
      <c r="D393" s="301" t="str">
        <f t="shared" si="15"/>
        <v/>
      </c>
      <c r="E393" s="301" t="str">
        <f t="shared" si="16"/>
        <v/>
      </c>
      <c r="F393" s="317" t="str">
        <f t="shared" si="17"/>
        <v/>
      </c>
      <c r="G393" s="323" t="str">
        <f t="shared" si="18"/>
        <v/>
      </c>
      <c r="H393" s="327" t="str">
        <f t="shared" si="19"/>
        <v/>
      </c>
      <c r="I393" s="327" t="str">
        <f t="shared" si="20"/>
        <v/>
      </c>
      <c r="J393" s="301" t="str">
        <f t="shared" si="21"/>
        <v/>
      </c>
      <c r="K393" s="301" t="str">
        <f t="shared" si="22"/>
        <v/>
      </c>
      <c r="L393" s="344" t="str">
        <f t="array" ref="L393">IF($T393="","",LET(m,MATCH($T393,$AS$24:$AS$700,0),lvl,INDEX($W$24:$W$700,m),id,INDEX($X$24:$X$700,m),SWITCH(lvl,3,"Lớp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3" s="351" t="str">
        <f t="shared" si="23"/>
        <v/>
      </c>
      <c r="N393" s="356" t="str">
        <f t="shared" si="24"/>
        <v/>
      </c>
      <c r="O393" s="358"/>
      <c r="P393" s="360"/>
      <c r="Q393" s="360"/>
      <c r="R393" s="67"/>
      <c r="S393" s="67"/>
      <c r="T393" s="67"/>
      <c r="U393" s="389" t="str">
        <f>IF('Lớp 5 - Phân công'!I204="","",'Lớp 5 - Phân công'!K204&amp;"|"&amp;'Lớp 5 - Phân công'!J204&amp;"|"&amp;'Lớp 5 - Phân công'!I204)</f>
        <v/>
      </c>
      <c r="V393" s="389" t="str">
        <f>IF('Lớp 5 - Phân công'!I204="","","       ├─ "&amp;'Lớp 5 - Phân công'!Q204)</f>
        <v/>
      </c>
      <c r="W393" s="389" t="str">
        <f>IF('Lớp 5 - Phân công'!I204="","",5)</f>
        <v/>
      </c>
      <c r="X393" s="67" t="str">
        <f>'Lớp 5 - Phân công'!I204</f>
        <v/>
      </c>
      <c r="Y393" s="67" t="str">
        <f>'Lớp 5 - Phân công'!J204</f>
        <v/>
      </c>
      <c r="Z393" s="67" t="str">
        <f>'Lớp 5 - Phân công'!AA204</f>
        <v/>
      </c>
      <c r="AA393" s="67" t="str">
        <f>'Lớp 5 - Phân công'!Z204</f>
        <v/>
      </c>
      <c r="AB393" s="67" t="str">
        <f>'Lớp 5 - Phân công'!AC204</f>
        <v/>
      </c>
      <c r="AC393" s="67" t="str">
        <f>'Lớp 5 - Phân công'!AB204</f>
        <v/>
      </c>
      <c r="AD393" s="398" t="str">
        <f>'Lớp 5 - Phân công'!AG204</f>
        <v/>
      </c>
      <c r="AE393" s="358" t="str">
        <f>'Lớp 5 - Phân công'!AE204</f>
        <v/>
      </c>
      <c r="AF393" s="187" t="str">
        <f>'Lớp 5 - Phân công'!AH204</f>
        <v/>
      </c>
      <c r="AG393" s="104" t="str">
        <f>'Lớp 5 - Phân công'!AI204</f>
        <v/>
      </c>
      <c r="AH393" s="389" t="str">
        <f t="shared" si="27"/>
        <v/>
      </c>
      <c r="AI393" s="389" t="str">
        <f t="shared" si="37"/>
        <v>🔵 Chưa có hạn</v>
      </c>
      <c r="AJ393" s="67" t="str">
        <f>'Lớp 5 - Phân công'!AL204</f>
        <v/>
      </c>
      <c r="AS393" s="389" t="str">
        <f t="shared" si="217"/>
        <v/>
      </c>
      <c r="AT393" s="389" t="str">
        <f t="shared" si="32"/>
        <v/>
      </c>
      <c r="AU393" s="389" t="str">
        <f t="shared" si="33"/>
        <v/>
      </c>
      <c r="AV393" s="389" t="str">
        <f t="shared" si="34"/>
        <v/>
      </c>
      <c r="AW393" s="389" t="str">
        <f t="shared" si="35"/>
        <v/>
      </c>
      <c r="AX393" s="67" t="str">
        <f t="shared" ref="AX393:BH393" si="407">Z393</f>
        <v/>
      </c>
      <c r="AY393" s="67" t="str">
        <f t="shared" si="407"/>
        <v/>
      </c>
      <c r="AZ393" s="67" t="str">
        <f t="shared" si="407"/>
        <v/>
      </c>
      <c r="BA393" s="67" t="str">
        <f t="shared" si="407"/>
        <v/>
      </c>
      <c r="BB393" s="398" t="str">
        <f t="shared" si="407"/>
        <v/>
      </c>
      <c r="BC393" s="358" t="str">
        <f t="shared" si="407"/>
        <v/>
      </c>
      <c r="BD393" s="187" t="str">
        <f t="shared" si="407"/>
        <v/>
      </c>
      <c r="BE393" s="104" t="str">
        <f t="shared" si="407"/>
        <v/>
      </c>
      <c r="BF393" s="389" t="str">
        <f t="shared" si="407"/>
        <v/>
      </c>
      <c r="BG393" s="389" t="str">
        <f t="shared" si="407"/>
        <v>🔵 Chưa có hạn</v>
      </c>
      <c r="BH393" s="67" t="str">
        <f t="shared" si="407"/>
        <v/>
      </c>
      <c r="BI393" s="389" t="str">
        <f t="array" ref="BI393">IF($X393="","",SWITCH($W393,3,IFERROR(INDEX('Lớp 3 - Công việc chính'!$AF$14:$AF$73,MATCH($X393,'Lớp 3 - Công việc chính'!$I$14:$I$73,0)),""),4,IFERROR(INDEX('Lớp 4 - Danh mục'!$AI$14:$AI$132,MATCH($X393,'Lớp 4 - Danh mục'!$I$14:$I$132,0)),""),5,IFERROR(INDEX('Lớp 5 - Phân công'!$AJ$14:$AJ$262,MATCH($X393,'Lớp 5 - Phân công'!$I$14:$I$262,0)),""),6,IFERROR(INDEX('Lớp 6 - Chi tiết'!$AM$14:$AM$267,MATCH($X393,'Lớp 6 - Chi tiết'!$I$14:$I$267,0)),""),""))</f>
        <v/>
      </c>
      <c r="BJ393" s="389" t="str">
        <f t="array" ref="BJ393">IF($X393="","",SWITCH($W393,3,IFERROR(INDEX('Lớp 3 - Công việc chính'!$AR$14:$AR$73,MATCH($X393,'Lớp 3 - Công việc chính'!$I$14:$I$73,0)),""),4,IFERROR(INDEX('Lớp 4 - Danh mục'!$AU$14:$AU$132,MATCH($X393,'Lớp 4 - Danh mục'!$I$14:$I$132,0)),""),5,IFERROR(INDEX('Lớp 5 - Phân công'!$AV$14:$AV$262,MATCH($X393,'Lớp 5 - Phân công'!$I$14:$I$262,0)),""),6,IFERROR(INDEX('Lớp 6 - Chi tiết'!$AY$14:$AY$267,MATCH($X393,'Lớp 6 - Chi tiết'!$I$14:$I$267,0)),""),""))</f>
        <v/>
      </c>
    </row>
    <row r="394" ht="15.75" customHeight="1">
      <c r="A394" s="294" t="str">
        <f t="shared" si="12"/>
        <v/>
      </c>
      <c r="B394" s="301" t="str">
        <f t="shared" si="13"/>
        <v/>
      </c>
      <c r="C394" s="301" t="str">
        <f t="shared" si="14"/>
        <v/>
      </c>
      <c r="D394" s="301" t="str">
        <f t="shared" si="15"/>
        <v/>
      </c>
      <c r="E394" s="301" t="str">
        <f t="shared" si="16"/>
        <v/>
      </c>
      <c r="F394" s="317" t="str">
        <f t="shared" si="17"/>
        <v/>
      </c>
      <c r="G394" s="323" t="str">
        <f t="shared" si="18"/>
        <v/>
      </c>
      <c r="H394" s="327" t="str">
        <f t="shared" si="19"/>
        <v/>
      </c>
      <c r="I394" s="327" t="str">
        <f t="shared" si="20"/>
        <v/>
      </c>
      <c r="J394" s="301" t="str">
        <f t="shared" si="21"/>
        <v/>
      </c>
      <c r="K394" s="301" t="str">
        <f t="shared" si="22"/>
        <v/>
      </c>
      <c r="L394" s="344" t="str">
        <f t="array" ref="L394">IF($T394="","",LET(m,MATCH($T394,$AS$24:$AS$700,0),lvl,INDEX($W$24:$W$700,m),id,INDEX($X$24:$X$700,m),SWITCH(lvl,3,"Lớp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4" s="351" t="str">
        <f t="shared" si="23"/>
        <v/>
      </c>
      <c r="N394" s="356" t="str">
        <f t="shared" si="24"/>
        <v/>
      </c>
      <c r="O394" s="358"/>
      <c r="P394" s="360"/>
      <c r="Q394" s="360"/>
      <c r="R394" s="67"/>
      <c r="S394" s="67"/>
      <c r="T394" s="67"/>
      <c r="U394" s="389" t="str">
        <f>IF('Lớp 5 - Phân công'!I205="","",'Lớp 5 - Phân công'!K205&amp;"|"&amp;'Lớp 5 - Phân công'!J205&amp;"|"&amp;'Lớp 5 - Phân công'!I205)</f>
        <v/>
      </c>
      <c r="V394" s="389" t="str">
        <f>IF('Lớp 5 - Phân công'!I205="","","       ├─ "&amp;'Lớp 5 - Phân công'!Q205)</f>
        <v/>
      </c>
      <c r="W394" s="389" t="str">
        <f>IF('Lớp 5 - Phân công'!I205="","",5)</f>
        <v/>
      </c>
      <c r="X394" s="67" t="str">
        <f>'Lớp 5 - Phân công'!I205</f>
        <v/>
      </c>
      <c r="Y394" s="67" t="str">
        <f>'Lớp 5 - Phân công'!J205</f>
        <v/>
      </c>
      <c r="Z394" s="67" t="str">
        <f>'Lớp 5 - Phân công'!AA205</f>
        <v/>
      </c>
      <c r="AA394" s="67" t="str">
        <f>'Lớp 5 - Phân công'!Z205</f>
        <v/>
      </c>
      <c r="AB394" s="67" t="str">
        <f>'Lớp 5 - Phân công'!AC205</f>
        <v/>
      </c>
      <c r="AC394" s="67" t="str">
        <f>'Lớp 5 - Phân công'!AB205</f>
        <v/>
      </c>
      <c r="AD394" s="398" t="str">
        <f>'Lớp 5 - Phân công'!AG205</f>
        <v/>
      </c>
      <c r="AE394" s="358" t="str">
        <f>'Lớp 5 - Phân công'!AE205</f>
        <v/>
      </c>
      <c r="AF394" s="187" t="str">
        <f>'Lớp 5 - Phân công'!AH205</f>
        <v/>
      </c>
      <c r="AG394" s="104" t="str">
        <f>'Lớp 5 - Phân công'!AI205</f>
        <v/>
      </c>
      <c r="AH394" s="389" t="str">
        <f t="shared" si="27"/>
        <v/>
      </c>
      <c r="AI394" s="389" t="str">
        <f t="shared" si="37"/>
        <v>🔵 Chưa có hạn</v>
      </c>
      <c r="AJ394" s="67" t="str">
        <f>'Lớp 5 - Phân công'!AL205</f>
        <v/>
      </c>
      <c r="AS394" s="389" t="str">
        <f t="shared" si="217"/>
        <v/>
      </c>
      <c r="AT394" s="389" t="str">
        <f t="shared" si="32"/>
        <v/>
      </c>
      <c r="AU394" s="389" t="str">
        <f t="shared" si="33"/>
        <v/>
      </c>
      <c r="AV394" s="389" t="str">
        <f t="shared" si="34"/>
        <v/>
      </c>
      <c r="AW394" s="389" t="str">
        <f t="shared" si="35"/>
        <v/>
      </c>
      <c r="AX394" s="67" t="str">
        <f t="shared" ref="AX394:BH394" si="408">Z394</f>
        <v/>
      </c>
      <c r="AY394" s="67" t="str">
        <f t="shared" si="408"/>
        <v/>
      </c>
      <c r="AZ394" s="67" t="str">
        <f t="shared" si="408"/>
        <v/>
      </c>
      <c r="BA394" s="67" t="str">
        <f t="shared" si="408"/>
        <v/>
      </c>
      <c r="BB394" s="398" t="str">
        <f t="shared" si="408"/>
        <v/>
      </c>
      <c r="BC394" s="358" t="str">
        <f t="shared" si="408"/>
        <v/>
      </c>
      <c r="BD394" s="187" t="str">
        <f t="shared" si="408"/>
        <v/>
      </c>
      <c r="BE394" s="104" t="str">
        <f t="shared" si="408"/>
        <v/>
      </c>
      <c r="BF394" s="389" t="str">
        <f t="shared" si="408"/>
        <v/>
      </c>
      <c r="BG394" s="389" t="str">
        <f t="shared" si="408"/>
        <v>🔵 Chưa có hạn</v>
      </c>
      <c r="BH394" s="67" t="str">
        <f t="shared" si="408"/>
        <v/>
      </c>
      <c r="BI394" s="389" t="str">
        <f t="array" ref="BI394">IF($X394="","",SWITCH($W394,3,IFERROR(INDEX('Lớp 3 - Công việc chính'!$AF$14:$AF$73,MATCH($X394,'Lớp 3 - Công việc chính'!$I$14:$I$73,0)),""),4,IFERROR(INDEX('Lớp 4 - Danh mục'!$AI$14:$AI$132,MATCH($X394,'Lớp 4 - Danh mục'!$I$14:$I$132,0)),""),5,IFERROR(INDEX('Lớp 5 - Phân công'!$AJ$14:$AJ$262,MATCH($X394,'Lớp 5 - Phân công'!$I$14:$I$262,0)),""),6,IFERROR(INDEX('Lớp 6 - Chi tiết'!$AM$14:$AM$267,MATCH($X394,'Lớp 6 - Chi tiết'!$I$14:$I$267,0)),""),""))</f>
        <v/>
      </c>
      <c r="BJ394" s="389" t="str">
        <f t="array" ref="BJ394">IF($X394="","",SWITCH($W394,3,IFERROR(INDEX('Lớp 3 - Công việc chính'!$AR$14:$AR$73,MATCH($X394,'Lớp 3 - Công việc chính'!$I$14:$I$73,0)),""),4,IFERROR(INDEX('Lớp 4 - Danh mục'!$AU$14:$AU$132,MATCH($X394,'Lớp 4 - Danh mục'!$I$14:$I$132,0)),""),5,IFERROR(INDEX('Lớp 5 - Phân công'!$AV$14:$AV$262,MATCH($X394,'Lớp 5 - Phân công'!$I$14:$I$262,0)),""),6,IFERROR(INDEX('Lớp 6 - Chi tiết'!$AY$14:$AY$267,MATCH($X394,'Lớp 6 - Chi tiết'!$I$14:$I$267,0)),""),""))</f>
        <v/>
      </c>
    </row>
    <row r="395" ht="15.75" customHeight="1">
      <c r="A395" s="294" t="str">
        <f t="shared" si="12"/>
        <v/>
      </c>
      <c r="B395" s="301" t="str">
        <f t="shared" si="13"/>
        <v/>
      </c>
      <c r="C395" s="301" t="str">
        <f t="shared" si="14"/>
        <v/>
      </c>
      <c r="D395" s="301" t="str">
        <f t="shared" si="15"/>
        <v/>
      </c>
      <c r="E395" s="301" t="str">
        <f t="shared" si="16"/>
        <v/>
      </c>
      <c r="F395" s="317" t="str">
        <f t="shared" si="17"/>
        <v/>
      </c>
      <c r="G395" s="323" t="str">
        <f t="shared" si="18"/>
        <v/>
      </c>
      <c r="H395" s="327" t="str">
        <f t="shared" si="19"/>
        <v/>
      </c>
      <c r="I395" s="327" t="str">
        <f t="shared" si="20"/>
        <v/>
      </c>
      <c r="J395" s="301" t="str">
        <f t="shared" si="21"/>
        <v/>
      </c>
      <c r="K395" s="301" t="str">
        <f t="shared" si="22"/>
        <v/>
      </c>
      <c r="L395" s="344" t="str">
        <f t="array" ref="L395">IF($T395="","",LET(m,MATCH($T395,$AS$24:$AS$700,0),lvl,INDEX($W$24:$W$700,m),id,INDEX($X$24:$X$700,m),SWITCH(lvl,3,"Lớp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5" s="351" t="str">
        <f t="shared" si="23"/>
        <v/>
      </c>
      <c r="N395" s="356" t="str">
        <f t="shared" si="24"/>
        <v/>
      </c>
      <c r="O395" s="358"/>
      <c r="P395" s="360"/>
      <c r="Q395" s="360"/>
      <c r="R395" s="67"/>
      <c r="S395" s="67"/>
      <c r="T395" s="67"/>
      <c r="U395" s="389" t="str">
        <f>IF('Lớp 5 - Phân công'!I206="","",'Lớp 5 - Phân công'!K206&amp;"|"&amp;'Lớp 5 - Phân công'!J206&amp;"|"&amp;'Lớp 5 - Phân công'!I206)</f>
        <v/>
      </c>
      <c r="V395" s="389" t="str">
        <f>IF('Lớp 5 - Phân công'!I206="","","       ├─ "&amp;'Lớp 5 - Phân công'!Q206)</f>
        <v/>
      </c>
      <c r="W395" s="389" t="str">
        <f>IF('Lớp 5 - Phân công'!I206="","",5)</f>
        <v/>
      </c>
      <c r="X395" s="67" t="str">
        <f>'Lớp 5 - Phân công'!I206</f>
        <v/>
      </c>
      <c r="Y395" s="67" t="str">
        <f>'Lớp 5 - Phân công'!J206</f>
        <v/>
      </c>
      <c r="Z395" s="67" t="str">
        <f>'Lớp 5 - Phân công'!AA206</f>
        <v/>
      </c>
      <c r="AA395" s="67" t="str">
        <f>'Lớp 5 - Phân công'!Z206</f>
        <v/>
      </c>
      <c r="AB395" s="67" t="str">
        <f>'Lớp 5 - Phân công'!AC206</f>
        <v/>
      </c>
      <c r="AC395" s="67" t="str">
        <f>'Lớp 5 - Phân công'!AB206</f>
        <v/>
      </c>
      <c r="AD395" s="398" t="str">
        <f>'Lớp 5 - Phân công'!AG206</f>
        <v/>
      </c>
      <c r="AE395" s="358" t="str">
        <f>'Lớp 5 - Phân công'!AE206</f>
        <v/>
      </c>
      <c r="AF395" s="187" t="str">
        <f>'Lớp 5 - Phân công'!AH206</f>
        <v/>
      </c>
      <c r="AG395" s="104" t="str">
        <f>'Lớp 5 - Phân công'!AI206</f>
        <v/>
      </c>
      <c r="AH395" s="389" t="str">
        <f t="shared" si="27"/>
        <v/>
      </c>
      <c r="AI395" s="389" t="str">
        <f t="shared" si="37"/>
        <v>🔵 Chưa có hạn</v>
      </c>
      <c r="AJ395" s="67" t="str">
        <f>'Lớp 5 - Phân công'!AL206</f>
        <v/>
      </c>
      <c r="AS395" s="389" t="str">
        <f t="shared" si="217"/>
        <v/>
      </c>
      <c r="AT395" s="389" t="str">
        <f t="shared" si="32"/>
        <v/>
      </c>
      <c r="AU395" s="389" t="str">
        <f t="shared" si="33"/>
        <v/>
      </c>
      <c r="AV395" s="389" t="str">
        <f t="shared" si="34"/>
        <v/>
      </c>
      <c r="AW395" s="389" t="str">
        <f t="shared" si="35"/>
        <v/>
      </c>
      <c r="AX395" s="67" t="str">
        <f t="shared" ref="AX395:BH395" si="409">Z395</f>
        <v/>
      </c>
      <c r="AY395" s="67" t="str">
        <f t="shared" si="409"/>
        <v/>
      </c>
      <c r="AZ395" s="67" t="str">
        <f t="shared" si="409"/>
        <v/>
      </c>
      <c r="BA395" s="67" t="str">
        <f t="shared" si="409"/>
        <v/>
      </c>
      <c r="BB395" s="398" t="str">
        <f t="shared" si="409"/>
        <v/>
      </c>
      <c r="BC395" s="358" t="str">
        <f t="shared" si="409"/>
        <v/>
      </c>
      <c r="BD395" s="187" t="str">
        <f t="shared" si="409"/>
        <v/>
      </c>
      <c r="BE395" s="104" t="str">
        <f t="shared" si="409"/>
        <v/>
      </c>
      <c r="BF395" s="389" t="str">
        <f t="shared" si="409"/>
        <v/>
      </c>
      <c r="BG395" s="389" t="str">
        <f t="shared" si="409"/>
        <v>🔵 Chưa có hạn</v>
      </c>
      <c r="BH395" s="67" t="str">
        <f t="shared" si="409"/>
        <v/>
      </c>
      <c r="BI395" s="389" t="str">
        <f t="array" ref="BI395">IF($X395="","",SWITCH($W395,3,IFERROR(INDEX('Lớp 3 - Công việc chính'!$AF$14:$AF$73,MATCH($X395,'Lớp 3 - Công việc chính'!$I$14:$I$73,0)),""),4,IFERROR(INDEX('Lớp 4 - Danh mục'!$AI$14:$AI$132,MATCH($X395,'Lớp 4 - Danh mục'!$I$14:$I$132,0)),""),5,IFERROR(INDEX('Lớp 5 - Phân công'!$AJ$14:$AJ$262,MATCH($X395,'Lớp 5 - Phân công'!$I$14:$I$262,0)),""),6,IFERROR(INDEX('Lớp 6 - Chi tiết'!$AM$14:$AM$267,MATCH($X395,'Lớp 6 - Chi tiết'!$I$14:$I$267,0)),""),""))</f>
        <v/>
      </c>
      <c r="BJ395" s="389" t="str">
        <f t="array" ref="BJ395">IF($X395="","",SWITCH($W395,3,IFERROR(INDEX('Lớp 3 - Công việc chính'!$AR$14:$AR$73,MATCH($X395,'Lớp 3 - Công việc chính'!$I$14:$I$73,0)),""),4,IFERROR(INDEX('Lớp 4 - Danh mục'!$AU$14:$AU$132,MATCH($X395,'Lớp 4 - Danh mục'!$I$14:$I$132,0)),""),5,IFERROR(INDEX('Lớp 5 - Phân công'!$AV$14:$AV$262,MATCH($X395,'Lớp 5 - Phân công'!$I$14:$I$262,0)),""),6,IFERROR(INDEX('Lớp 6 - Chi tiết'!$AY$14:$AY$267,MATCH($X395,'Lớp 6 - Chi tiết'!$I$14:$I$267,0)),""),""))</f>
        <v/>
      </c>
    </row>
    <row r="396" ht="15.75" customHeight="1">
      <c r="A396" s="294" t="str">
        <f t="shared" si="12"/>
        <v/>
      </c>
      <c r="B396" s="301" t="str">
        <f t="shared" si="13"/>
        <v/>
      </c>
      <c r="C396" s="301" t="str">
        <f t="shared" si="14"/>
        <v/>
      </c>
      <c r="D396" s="301" t="str">
        <f t="shared" si="15"/>
        <v/>
      </c>
      <c r="E396" s="301" t="str">
        <f t="shared" si="16"/>
        <v/>
      </c>
      <c r="F396" s="317" t="str">
        <f t="shared" si="17"/>
        <v/>
      </c>
      <c r="G396" s="323" t="str">
        <f t="shared" si="18"/>
        <v/>
      </c>
      <c r="H396" s="327" t="str">
        <f t="shared" si="19"/>
        <v/>
      </c>
      <c r="I396" s="327" t="str">
        <f t="shared" si="20"/>
        <v/>
      </c>
      <c r="J396" s="301" t="str">
        <f t="shared" si="21"/>
        <v/>
      </c>
      <c r="K396" s="301" t="str">
        <f t="shared" si="22"/>
        <v/>
      </c>
      <c r="L396" s="344" t="str">
        <f t="array" ref="L396">IF($T396="","",LET(m,MATCH($T396,$AS$24:$AS$700,0),lvl,INDEX($W$24:$W$700,m),id,INDEX($X$24:$X$700,m),SWITCH(lvl,3,"Lớp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6" s="351" t="str">
        <f t="shared" si="23"/>
        <v/>
      </c>
      <c r="N396" s="356" t="str">
        <f t="shared" si="24"/>
        <v/>
      </c>
      <c r="O396" s="358"/>
      <c r="P396" s="360"/>
      <c r="Q396" s="360"/>
      <c r="R396" s="67"/>
      <c r="S396" s="67"/>
      <c r="T396" s="67"/>
      <c r="U396" s="389" t="str">
        <f>IF('Lớp 5 - Phân công'!I207="","",'Lớp 5 - Phân công'!K207&amp;"|"&amp;'Lớp 5 - Phân công'!J207&amp;"|"&amp;'Lớp 5 - Phân công'!I207)</f>
        <v/>
      </c>
      <c r="V396" s="389" t="str">
        <f>IF('Lớp 5 - Phân công'!I207="","","       ├─ "&amp;'Lớp 5 - Phân công'!Q207)</f>
        <v/>
      </c>
      <c r="W396" s="389" t="str">
        <f>IF('Lớp 5 - Phân công'!I207="","",5)</f>
        <v/>
      </c>
      <c r="X396" s="67" t="str">
        <f>'Lớp 5 - Phân công'!I207</f>
        <v/>
      </c>
      <c r="Y396" s="67" t="str">
        <f>'Lớp 5 - Phân công'!J207</f>
        <v/>
      </c>
      <c r="Z396" s="67" t="str">
        <f>'Lớp 5 - Phân công'!AA207</f>
        <v/>
      </c>
      <c r="AA396" s="67" t="str">
        <f>'Lớp 5 - Phân công'!Z207</f>
        <v/>
      </c>
      <c r="AB396" s="67" t="str">
        <f>'Lớp 5 - Phân công'!AC207</f>
        <v/>
      </c>
      <c r="AC396" s="67" t="str">
        <f>'Lớp 5 - Phân công'!AB207</f>
        <v/>
      </c>
      <c r="AD396" s="398" t="str">
        <f>'Lớp 5 - Phân công'!AG207</f>
        <v/>
      </c>
      <c r="AE396" s="358" t="str">
        <f>'Lớp 5 - Phân công'!AE207</f>
        <v/>
      </c>
      <c r="AF396" s="187" t="str">
        <f>'Lớp 5 - Phân công'!AH207</f>
        <v/>
      </c>
      <c r="AG396" s="104" t="str">
        <f>'Lớp 5 - Phân công'!AI207</f>
        <v/>
      </c>
      <c r="AH396" s="389" t="str">
        <f t="shared" si="27"/>
        <v/>
      </c>
      <c r="AI396" s="389" t="str">
        <f t="shared" si="37"/>
        <v>🔵 Chưa có hạn</v>
      </c>
      <c r="AJ396" s="67" t="str">
        <f>'Lớp 5 - Phân công'!AL207</f>
        <v/>
      </c>
      <c r="AS396" s="389" t="str">
        <f t="shared" si="217"/>
        <v/>
      </c>
      <c r="AT396" s="389" t="str">
        <f t="shared" si="32"/>
        <v/>
      </c>
      <c r="AU396" s="389" t="str">
        <f t="shared" si="33"/>
        <v/>
      </c>
      <c r="AV396" s="389" t="str">
        <f t="shared" si="34"/>
        <v/>
      </c>
      <c r="AW396" s="389" t="str">
        <f t="shared" si="35"/>
        <v/>
      </c>
      <c r="AX396" s="67" t="str">
        <f t="shared" ref="AX396:BH396" si="410">Z396</f>
        <v/>
      </c>
      <c r="AY396" s="67" t="str">
        <f t="shared" si="410"/>
        <v/>
      </c>
      <c r="AZ396" s="67" t="str">
        <f t="shared" si="410"/>
        <v/>
      </c>
      <c r="BA396" s="67" t="str">
        <f t="shared" si="410"/>
        <v/>
      </c>
      <c r="BB396" s="398" t="str">
        <f t="shared" si="410"/>
        <v/>
      </c>
      <c r="BC396" s="358" t="str">
        <f t="shared" si="410"/>
        <v/>
      </c>
      <c r="BD396" s="187" t="str">
        <f t="shared" si="410"/>
        <v/>
      </c>
      <c r="BE396" s="104" t="str">
        <f t="shared" si="410"/>
        <v/>
      </c>
      <c r="BF396" s="389" t="str">
        <f t="shared" si="410"/>
        <v/>
      </c>
      <c r="BG396" s="389" t="str">
        <f t="shared" si="410"/>
        <v>🔵 Chưa có hạn</v>
      </c>
      <c r="BH396" s="67" t="str">
        <f t="shared" si="410"/>
        <v/>
      </c>
      <c r="BI396" s="389" t="str">
        <f t="array" ref="BI396">IF($X396="","",SWITCH($W396,3,IFERROR(INDEX('Lớp 3 - Công việc chính'!$AF$14:$AF$73,MATCH($X396,'Lớp 3 - Công việc chính'!$I$14:$I$73,0)),""),4,IFERROR(INDEX('Lớp 4 - Danh mục'!$AI$14:$AI$132,MATCH($X396,'Lớp 4 - Danh mục'!$I$14:$I$132,0)),""),5,IFERROR(INDEX('Lớp 5 - Phân công'!$AJ$14:$AJ$262,MATCH($X396,'Lớp 5 - Phân công'!$I$14:$I$262,0)),""),6,IFERROR(INDEX('Lớp 6 - Chi tiết'!$AM$14:$AM$267,MATCH($X396,'Lớp 6 - Chi tiết'!$I$14:$I$267,0)),""),""))</f>
        <v/>
      </c>
      <c r="BJ396" s="389" t="str">
        <f t="array" ref="BJ396">IF($X396="","",SWITCH($W396,3,IFERROR(INDEX('Lớp 3 - Công việc chính'!$AR$14:$AR$73,MATCH($X396,'Lớp 3 - Công việc chính'!$I$14:$I$73,0)),""),4,IFERROR(INDEX('Lớp 4 - Danh mục'!$AU$14:$AU$132,MATCH($X396,'Lớp 4 - Danh mục'!$I$14:$I$132,0)),""),5,IFERROR(INDEX('Lớp 5 - Phân công'!$AV$14:$AV$262,MATCH($X396,'Lớp 5 - Phân công'!$I$14:$I$262,0)),""),6,IFERROR(INDEX('Lớp 6 - Chi tiết'!$AY$14:$AY$267,MATCH($X396,'Lớp 6 - Chi tiết'!$I$14:$I$267,0)),""),""))</f>
        <v/>
      </c>
    </row>
    <row r="397" ht="15.75" customHeight="1">
      <c r="A397" s="294" t="str">
        <f t="shared" si="12"/>
        <v/>
      </c>
      <c r="B397" s="301" t="str">
        <f t="shared" si="13"/>
        <v/>
      </c>
      <c r="C397" s="301" t="str">
        <f t="shared" si="14"/>
        <v/>
      </c>
      <c r="D397" s="301" t="str">
        <f t="shared" si="15"/>
        <v/>
      </c>
      <c r="E397" s="301" t="str">
        <f t="shared" si="16"/>
        <v/>
      </c>
      <c r="F397" s="317" t="str">
        <f t="shared" si="17"/>
        <v/>
      </c>
      <c r="G397" s="323" t="str">
        <f t="shared" si="18"/>
        <v/>
      </c>
      <c r="H397" s="327" t="str">
        <f t="shared" si="19"/>
        <v/>
      </c>
      <c r="I397" s="327" t="str">
        <f t="shared" si="20"/>
        <v/>
      </c>
      <c r="J397" s="301" t="str">
        <f t="shared" si="21"/>
        <v/>
      </c>
      <c r="K397" s="301" t="str">
        <f t="shared" si="22"/>
        <v/>
      </c>
      <c r="L397" s="344" t="str">
        <f t="array" ref="L397">IF($T397="","",LET(m,MATCH($T397,$AS$24:$AS$700,0),lvl,INDEX($W$24:$W$700,m),id,INDEX($X$24:$X$700,m),SWITCH(lvl,3,"Lớp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7" s="351" t="str">
        <f t="shared" si="23"/>
        <v/>
      </c>
      <c r="N397" s="356" t="str">
        <f t="shared" si="24"/>
        <v/>
      </c>
      <c r="O397" s="358"/>
      <c r="P397" s="360"/>
      <c r="Q397" s="360"/>
      <c r="R397" s="67"/>
      <c r="S397" s="67"/>
      <c r="T397" s="67"/>
      <c r="U397" s="389" t="str">
        <f>IF('Lớp 5 - Phân công'!I208="","",'Lớp 5 - Phân công'!K208&amp;"|"&amp;'Lớp 5 - Phân công'!J208&amp;"|"&amp;'Lớp 5 - Phân công'!I208)</f>
        <v/>
      </c>
      <c r="V397" s="389" t="str">
        <f>IF('Lớp 5 - Phân công'!I208="","","       ├─ "&amp;'Lớp 5 - Phân công'!Q208)</f>
        <v/>
      </c>
      <c r="W397" s="389" t="str">
        <f>IF('Lớp 5 - Phân công'!I208="","",5)</f>
        <v/>
      </c>
      <c r="X397" s="67" t="str">
        <f>'Lớp 5 - Phân công'!I208</f>
        <v/>
      </c>
      <c r="Y397" s="67" t="str">
        <f>'Lớp 5 - Phân công'!J208</f>
        <v/>
      </c>
      <c r="Z397" s="67" t="str">
        <f>'Lớp 5 - Phân công'!AA208</f>
        <v/>
      </c>
      <c r="AA397" s="67" t="str">
        <f>'Lớp 5 - Phân công'!Z208</f>
        <v/>
      </c>
      <c r="AB397" s="67" t="str">
        <f>'Lớp 5 - Phân công'!AC208</f>
        <v/>
      </c>
      <c r="AC397" s="67" t="str">
        <f>'Lớp 5 - Phân công'!AB208</f>
        <v/>
      </c>
      <c r="AD397" s="398" t="str">
        <f>'Lớp 5 - Phân công'!AG208</f>
        <v/>
      </c>
      <c r="AE397" s="358" t="str">
        <f>'Lớp 5 - Phân công'!AE208</f>
        <v/>
      </c>
      <c r="AF397" s="187" t="str">
        <f>'Lớp 5 - Phân công'!AH208</f>
        <v/>
      </c>
      <c r="AG397" s="104" t="str">
        <f>'Lớp 5 - Phân công'!AI208</f>
        <v/>
      </c>
      <c r="AH397" s="389" t="str">
        <f t="shared" si="27"/>
        <v/>
      </c>
      <c r="AI397" s="389" t="str">
        <f t="shared" si="37"/>
        <v>🔵 Chưa có hạn</v>
      </c>
      <c r="AJ397" s="67" t="str">
        <f>'Lớp 5 - Phân công'!AL208</f>
        <v/>
      </c>
      <c r="AS397" s="389" t="str">
        <f t="shared" si="217"/>
        <v/>
      </c>
      <c r="AT397" s="389" t="str">
        <f t="shared" si="32"/>
        <v/>
      </c>
      <c r="AU397" s="389" t="str">
        <f t="shared" si="33"/>
        <v/>
      </c>
      <c r="AV397" s="389" t="str">
        <f t="shared" si="34"/>
        <v/>
      </c>
      <c r="AW397" s="389" t="str">
        <f t="shared" si="35"/>
        <v/>
      </c>
      <c r="AX397" s="67" t="str">
        <f t="shared" ref="AX397:BH397" si="411">Z397</f>
        <v/>
      </c>
      <c r="AY397" s="67" t="str">
        <f t="shared" si="411"/>
        <v/>
      </c>
      <c r="AZ397" s="67" t="str">
        <f t="shared" si="411"/>
        <v/>
      </c>
      <c r="BA397" s="67" t="str">
        <f t="shared" si="411"/>
        <v/>
      </c>
      <c r="BB397" s="398" t="str">
        <f t="shared" si="411"/>
        <v/>
      </c>
      <c r="BC397" s="358" t="str">
        <f t="shared" si="411"/>
        <v/>
      </c>
      <c r="BD397" s="187" t="str">
        <f t="shared" si="411"/>
        <v/>
      </c>
      <c r="BE397" s="104" t="str">
        <f t="shared" si="411"/>
        <v/>
      </c>
      <c r="BF397" s="389" t="str">
        <f t="shared" si="411"/>
        <v/>
      </c>
      <c r="BG397" s="389" t="str">
        <f t="shared" si="411"/>
        <v>🔵 Chưa có hạn</v>
      </c>
      <c r="BH397" s="67" t="str">
        <f t="shared" si="411"/>
        <v/>
      </c>
      <c r="BI397" s="389" t="str">
        <f t="array" ref="BI397">IF($X397="","",SWITCH($W397,3,IFERROR(INDEX('Lớp 3 - Công việc chính'!$AF$14:$AF$73,MATCH($X397,'Lớp 3 - Công việc chính'!$I$14:$I$73,0)),""),4,IFERROR(INDEX('Lớp 4 - Danh mục'!$AI$14:$AI$132,MATCH($X397,'Lớp 4 - Danh mục'!$I$14:$I$132,0)),""),5,IFERROR(INDEX('Lớp 5 - Phân công'!$AJ$14:$AJ$262,MATCH($X397,'Lớp 5 - Phân công'!$I$14:$I$262,0)),""),6,IFERROR(INDEX('Lớp 6 - Chi tiết'!$AM$14:$AM$267,MATCH($X397,'Lớp 6 - Chi tiết'!$I$14:$I$267,0)),""),""))</f>
        <v/>
      </c>
      <c r="BJ397" s="389" t="str">
        <f t="array" ref="BJ397">IF($X397="","",SWITCH($W397,3,IFERROR(INDEX('Lớp 3 - Công việc chính'!$AR$14:$AR$73,MATCH($X397,'Lớp 3 - Công việc chính'!$I$14:$I$73,0)),""),4,IFERROR(INDEX('Lớp 4 - Danh mục'!$AU$14:$AU$132,MATCH($X397,'Lớp 4 - Danh mục'!$I$14:$I$132,0)),""),5,IFERROR(INDEX('Lớp 5 - Phân công'!$AV$14:$AV$262,MATCH($X397,'Lớp 5 - Phân công'!$I$14:$I$262,0)),""),6,IFERROR(INDEX('Lớp 6 - Chi tiết'!$AY$14:$AY$267,MATCH($X397,'Lớp 6 - Chi tiết'!$I$14:$I$267,0)),""),""))</f>
        <v/>
      </c>
    </row>
    <row r="398" ht="15.75" customHeight="1">
      <c r="A398" s="294" t="str">
        <f t="shared" si="12"/>
        <v/>
      </c>
      <c r="B398" s="301" t="str">
        <f t="shared" si="13"/>
        <v/>
      </c>
      <c r="C398" s="301" t="str">
        <f t="shared" si="14"/>
        <v/>
      </c>
      <c r="D398" s="301" t="str">
        <f t="shared" si="15"/>
        <v/>
      </c>
      <c r="E398" s="301" t="str">
        <f t="shared" si="16"/>
        <v/>
      </c>
      <c r="F398" s="317" t="str">
        <f t="shared" si="17"/>
        <v/>
      </c>
      <c r="G398" s="323" t="str">
        <f t="shared" si="18"/>
        <v/>
      </c>
      <c r="H398" s="327" t="str">
        <f t="shared" si="19"/>
        <v/>
      </c>
      <c r="I398" s="327" t="str">
        <f t="shared" si="20"/>
        <v/>
      </c>
      <c r="J398" s="301" t="str">
        <f t="shared" si="21"/>
        <v/>
      </c>
      <c r="K398" s="301" t="str">
        <f t="shared" si="22"/>
        <v/>
      </c>
      <c r="L398" s="344" t="str">
        <f t="array" ref="L398">IF($T398="","",LET(m,MATCH($T398,$AS$24:$AS$700,0),lvl,INDEX($W$24:$W$700,m),id,INDEX($X$24:$X$700,m),SWITCH(lvl,3,"Lớp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8" s="351" t="str">
        <f t="shared" si="23"/>
        <v/>
      </c>
      <c r="N398" s="356" t="str">
        <f t="shared" si="24"/>
        <v/>
      </c>
      <c r="O398" s="358"/>
      <c r="P398" s="360"/>
      <c r="Q398" s="360"/>
      <c r="R398" s="67"/>
      <c r="S398" s="67"/>
      <c r="T398" s="67"/>
      <c r="U398" s="389" t="str">
        <f>IF('Lớp 5 - Phân công'!I209="","",'Lớp 5 - Phân công'!K209&amp;"|"&amp;'Lớp 5 - Phân công'!J209&amp;"|"&amp;'Lớp 5 - Phân công'!I209)</f>
        <v/>
      </c>
      <c r="V398" s="389" t="str">
        <f>IF('Lớp 5 - Phân công'!I209="","","       ├─ "&amp;'Lớp 5 - Phân công'!Q209)</f>
        <v/>
      </c>
      <c r="W398" s="389" t="str">
        <f>IF('Lớp 5 - Phân công'!I209="","",5)</f>
        <v/>
      </c>
      <c r="X398" s="67" t="str">
        <f>'Lớp 5 - Phân công'!I209</f>
        <v/>
      </c>
      <c r="Y398" s="67" t="str">
        <f>'Lớp 5 - Phân công'!J209</f>
        <v/>
      </c>
      <c r="Z398" s="67" t="str">
        <f>'Lớp 5 - Phân công'!AA209</f>
        <v/>
      </c>
      <c r="AA398" s="67" t="str">
        <f>'Lớp 5 - Phân công'!Z209</f>
        <v/>
      </c>
      <c r="AB398" s="67" t="str">
        <f>'Lớp 5 - Phân công'!AC209</f>
        <v/>
      </c>
      <c r="AC398" s="67" t="str">
        <f>'Lớp 5 - Phân công'!AB209</f>
        <v/>
      </c>
      <c r="AD398" s="398" t="str">
        <f>'Lớp 5 - Phân công'!AG209</f>
        <v/>
      </c>
      <c r="AE398" s="358" t="str">
        <f>'Lớp 5 - Phân công'!AE209</f>
        <v/>
      </c>
      <c r="AF398" s="187" t="str">
        <f>'Lớp 5 - Phân công'!AH209</f>
        <v/>
      </c>
      <c r="AG398" s="104" t="str">
        <f>'Lớp 5 - Phân công'!AI209</f>
        <v/>
      </c>
      <c r="AH398" s="389" t="str">
        <f t="shared" si="27"/>
        <v/>
      </c>
      <c r="AI398" s="389" t="str">
        <f t="shared" si="37"/>
        <v>🔵 Chưa có hạn</v>
      </c>
      <c r="AJ398" s="67" t="str">
        <f>'Lớp 5 - Phân công'!AL209</f>
        <v/>
      </c>
      <c r="AS398" s="389" t="str">
        <f t="shared" si="217"/>
        <v/>
      </c>
      <c r="AT398" s="389" t="str">
        <f t="shared" si="32"/>
        <v/>
      </c>
      <c r="AU398" s="389" t="str">
        <f t="shared" si="33"/>
        <v/>
      </c>
      <c r="AV398" s="389" t="str">
        <f t="shared" si="34"/>
        <v/>
      </c>
      <c r="AW398" s="389" t="str">
        <f t="shared" si="35"/>
        <v/>
      </c>
      <c r="AX398" s="67" t="str">
        <f t="shared" ref="AX398:BH398" si="412">Z398</f>
        <v/>
      </c>
      <c r="AY398" s="67" t="str">
        <f t="shared" si="412"/>
        <v/>
      </c>
      <c r="AZ398" s="67" t="str">
        <f t="shared" si="412"/>
        <v/>
      </c>
      <c r="BA398" s="67" t="str">
        <f t="shared" si="412"/>
        <v/>
      </c>
      <c r="BB398" s="398" t="str">
        <f t="shared" si="412"/>
        <v/>
      </c>
      <c r="BC398" s="358" t="str">
        <f t="shared" si="412"/>
        <v/>
      </c>
      <c r="BD398" s="187" t="str">
        <f t="shared" si="412"/>
        <v/>
      </c>
      <c r="BE398" s="104" t="str">
        <f t="shared" si="412"/>
        <v/>
      </c>
      <c r="BF398" s="389" t="str">
        <f t="shared" si="412"/>
        <v/>
      </c>
      <c r="BG398" s="389" t="str">
        <f t="shared" si="412"/>
        <v>🔵 Chưa có hạn</v>
      </c>
      <c r="BH398" s="67" t="str">
        <f t="shared" si="412"/>
        <v/>
      </c>
      <c r="BI398" s="389" t="str">
        <f t="array" ref="BI398">IF($X398="","",SWITCH($W398,3,IFERROR(INDEX('Lớp 3 - Công việc chính'!$AF$14:$AF$73,MATCH($X398,'Lớp 3 - Công việc chính'!$I$14:$I$73,0)),""),4,IFERROR(INDEX('Lớp 4 - Danh mục'!$AI$14:$AI$132,MATCH($X398,'Lớp 4 - Danh mục'!$I$14:$I$132,0)),""),5,IFERROR(INDEX('Lớp 5 - Phân công'!$AJ$14:$AJ$262,MATCH($X398,'Lớp 5 - Phân công'!$I$14:$I$262,0)),""),6,IFERROR(INDEX('Lớp 6 - Chi tiết'!$AM$14:$AM$267,MATCH($X398,'Lớp 6 - Chi tiết'!$I$14:$I$267,0)),""),""))</f>
        <v/>
      </c>
      <c r="BJ398" s="389" t="str">
        <f t="array" ref="BJ398">IF($X398="","",SWITCH($W398,3,IFERROR(INDEX('Lớp 3 - Công việc chính'!$AR$14:$AR$73,MATCH($X398,'Lớp 3 - Công việc chính'!$I$14:$I$73,0)),""),4,IFERROR(INDEX('Lớp 4 - Danh mục'!$AU$14:$AU$132,MATCH($X398,'Lớp 4 - Danh mục'!$I$14:$I$132,0)),""),5,IFERROR(INDEX('Lớp 5 - Phân công'!$AV$14:$AV$262,MATCH($X398,'Lớp 5 - Phân công'!$I$14:$I$262,0)),""),6,IFERROR(INDEX('Lớp 6 - Chi tiết'!$AY$14:$AY$267,MATCH($X398,'Lớp 6 - Chi tiết'!$I$14:$I$267,0)),""),""))</f>
        <v/>
      </c>
    </row>
    <row r="399" ht="15.75" customHeight="1">
      <c r="A399" s="294" t="str">
        <f t="shared" si="12"/>
        <v/>
      </c>
      <c r="B399" s="301" t="str">
        <f t="shared" si="13"/>
        <v/>
      </c>
      <c r="C399" s="301" t="str">
        <f t="shared" si="14"/>
        <v/>
      </c>
      <c r="D399" s="301" t="str">
        <f t="shared" si="15"/>
        <v/>
      </c>
      <c r="E399" s="301" t="str">
        <f t="shared" si="16"/>
        <v/>
      </c>
      <c r="F399" s="317" t="str">
        <f t="shared" si="17"/>
        <v/>
      </c>
      <c r="G399" s="323" t="str">
        <f t="shared" si="18"/>
        <v/>
      </c>
      <c r="H399" s="327" t="str">
        <f t="shared" si="19"/>
        <v/>
      </c>
      <c r="I399" s="327" t="str">
        <f t="shared" si="20"/>
        <v/>
      </c>
      <c r="J399" s="301" t="str">
        <f t="shared" si="21"/>
        <v/>
      </c>
      <c r="K399" s="301" t="str">
        <f t="shared" si="22"/>
        <v/>
      </c>
      <c r="L399" s="344" t="str">
        <f t="array" ref="L399">IF($T399="","",LET(m,MATCH($T399,$AS$24:$AS$700,0),lvl,INDEX($W$24:$W$700,m),id,INDEX($X$24:$X$700,m),SWITCH(lvl,3,"Lớp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399" s="351" t="str">
        <f t="shared" si="23"/>
        <v/>
      </c>
      <c r="N399" s="356" t="str">
        <f t="shared" si="24"/>
        <v/>
      </c>
      <c r="O399" s="358"/>
      <c r="P399" s="360"/>
      <c r="Q399" s="360"/>
      <c r="R399" s="67"/>
      <c r="S399" s="67"/>
      <c r="T399" s="67"/>
      <c r="U399" s="389" t="str">
        <f>IF('Lớp 5 - Phân công'!I210="","",'Lớp 5 - Phân công'!K210&amp;"|"&amp;'Lớp 5 - Phân công'!J210&amp;"|"&amp;'Lớp 5 - Phân công'!I210)</f>
        <v/>
      </c>
      <c r="V399" s="389" t="str">
        <f>IF('Lớp 5 - Phân công'!I210="","","       ├─ "&amp;'Lớp 5 - Phân công'!Q210)</f>
        <v/>
      </c>
      <c r="W399" s="389" t="str">
        <f>IF('Lớp 5 - Phân công'!I210="","",5)</f>
        <v/>
      </c>
      <c r="X399" s="67" t="str">
        <f>'Lớp 5 - Phân công'!I210</f>
        <v/>
      </c>
      <c r="Y399" s="67" t="str">
        <f>'Lớp 5 - Phân công'!J210</f>
        <v/>
      </c>
      <c r="Z399" s="67" t="str">
        <f>'Lớp 5 - Phân công'!AA210</f>
        <v/>
      </c>
      <c r="AA399" s="67" t="str">
        <f>'Lớp 5 - Phân công'!Z210</f>
        <v/>
      </c>
      <c r="AB399" s="67" t="str">
        <f>'Lớp 5 - Phân công'!AC210</f>
        <v/>
      </c>
      <c r="AC399" s="67" t="str">
        <f>'Lớp 5 - Phân công'!AB210</f>
        <v/>
      </c>
      <c r="AD399" s="398" t="str">
        <f>'Lớp 5 - Phân công'!AG210</f>
        <v/>
      </c>
      <c r="AE399" s="358" t="str">
        <f>'Lớp 5 - Phân công'!AE210</f>
        <v/>
      </c>
      <c r="AF399" s="187" t="str">
        <f>'Lớp 5 - Phân công'!AH210</f>
        <v/>
      </c>
      <c r="AG399" s="104" t="str">
        <f>'Lớp 5 - Phân công'!AI210</f>
        <v/>
      </c>
      <c r="AH399" s="389" t="str">
        <f t="shared" si="27"/>
        <v/>
      </c>
      <c r="AI399" s="389" t="str">
        <f t="shared" si="37"/>
        <v>🔵 Chưa có hạn</v>
      </c>
      <c r="AJ399" s="67" t="str">
        <f>'Lớp 5 - Phân công'!AL210</f>
        <v/>
      </c>
      <c r="AS399" s="389" t="str">
        <f t="shared" si="217"/>
        <v/>
      </c>
      <c r="AT399" s="389" t="str">
        <f t="shared" si="32"/>
        <v/>
      </c>
      <c r="AU399" s="389" t="str">
        <f t="shared" si="33"/>
        <v/>
      </c>
      <c r="AV399" s="389" t="str">
        <f t="shared" si="34"/>
        <v/>
      </c>
      <c r="AW399" s="389" t="str">
        <f t="shared" si="35"/>
        <v/>
      </c>
      <c r="AX399" s="67" t="str">
        <f t="shared" ref="AX399:BH399" si="413">Z399</f>
        <v/>
      </c>
      <c r="AY399" s="67" t="str">
        <f t="shared" si="413"/>
        <v/>
      </c>
      <c r="AZ399" s="67" t="str">
        <f t="shared" si="413"/>
        <v/>
      </c>
      <c r="BA399" s="67" t="str">
        <f t="shared" si="413"/>
        <v/>
      </c>
      <c r="BB399" s="398" t="str">
        <f t="shared" si="413"/>
        <v/>
      </c>
      <c r="BC399" s="358" t="str">
        <f t="shared" si="413"/>
        <v/>
      </c>
      <c r="BD399" s="187" t="str">
        <f t="shared" si="413"/>
        <v/>
      </c>
      <c r="BE399" s="104" t="str">
        <f t="shared" si="413"/>
        <v/>
      </c>
      <c r="BF399" s="389" t="str">
        <f t="shared" si="413"/>
        <v/>
      </c>
      <c r="BG399" s="389" t="str">
        <f t="shared" si="413"/>
        <v>🔵 Chưa có hạn</v>
      </c>
      <c r="BH399" s="67" t="str">
        <f t="shared" si="413"/>
        <v/>
      </c>
      <c r="BI399" s="389" t="str">
        <f t="array" ref="BI399">IF($X399="","",SWITCH($W399,3,IFERROR(INDEX('Lớp 3 - Công việc chính'!$AF$14:$AF$73,MATCH($X399,'Lớp 3 - Công việc chính'!$I$14:$I$73,0)),""),4,IFERROR(INDEX('Lớp 4 - Danh mục'!$AI$14:$AI$132,MATCH($X399,'Lớp 4 - Danh mục'!$I$14:$I$132,0)),""),5,IFERROR(INDEX('Lớp 5 - Phân công'!$AJ$14:$AJ$262,MATCH($X399,'Lớp 5 - Phân công'!$I$14:$I$262,0)),""),6,IFERROR(INDEX('Lớp 6 - Chi tiết'!$AM$14:$AM$267,MATCH($X399,'Lớp 6 - Chi tiết'!$I$14:$I$267,0)),""),""))</f>
        <v/>
      </c>
      <c r="BJ399" s="389" t="str">
        <f t="array" ref="BJ399">IF($X399="","",SWITCH($W399,3,IFERROR(INDEX('Lớp 3 - Công việc chính'!$AR$14:$AR$73,MATCH($X399,'Lớp 3 - Công việc chính'!$I$14:$I$73,0)),""),4,IFERROR(INDEX('Lớp 4 - Danh mục'!$AU$14:$AU$132,MATCH($X399,'Lớp 4 - Danh mục'!$I$14:$I$132,0)),""),5,IFERROR(INDEX('Lớp 5 - Phân công'!$AV$14:$AV$262,MATCH($X399,'Lớp 5 - Phân công'!$I$14:$I$262,0)),""),6,IFERROR(INDEX('Lớp 6 - Chi tiết'!$AY$14:$AY$267,MATCH($X399,'Lớp 6 - Chi tiết'!$I$14:$I$267,0)),""),""))</f>
        <v/>
      </c>
    </row>
    <row r="400" ht="15.75" customHeight="1">
      <c r="A400" s="294" t="str">
        <f t="shared" si="12"/>
        <v/>
      </c>
      <c r="B400" s="301" t="str">
        <f t="shared" si="13"/>
        <v/>
      </c>
      <c r="C400" s="301" t="str">
        <f t="shared" si="14"/>
        <v/>
      </c>
      <c r="D400" s="301" t="str">
        <f t="shared" si="15"/>
        <v/>
      </c>
      <c r="E400" s="301" t="str">
        <f t="shared" si="16"/>
        <v/>
      </c>
      <c r="F400" s="317" t="str">
        <f t="shared" si="17"/>
        <v/>
      </c>
      <c r="G400" s="323" t="str">
        <f t="shared" si="18"/>
        <v/>
      </c>
      <c r="H400" s="327" t="str">
        <f t="shared" si="19"/>
        <v/>
      </c>
      <c r="I400" s="327" t="str">
        <f t="shared" si="20"/>
        <v/>
      </c>
      <c r="J400" s="301" t="str">
        <f t="shared" si="21"/>
        <v/>
      </c>
      <c r="K400" s="301" t="str">
        <f t="shared" si="22"/>
        <v/>
      </c>
      <c r="L400" s="344" t="str">
        <f t="array" ref="L400">IF($T400="","",LET(m,MATCH($T400,$AS$24:$AS$700,0),lvl,INDEX($W$24:$W$700,m),id,INDEX($X$24:$X$700,m),SWITCH(lvl,3,"Lớp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0" s="351" t="str">
        <f t="shared" si="23"/>
        <v/>
      </c>
      <c r="N400" s="356" t="str">
        <f t="shared" si="24"/>
        <v/>
      </c>
      <c r="O400" s="358"/>
      <c r="P400" s="360"/>
      <c r="Q400" s="360"/>
      <c r="R400" s="67"/>
      <c r="S400" s="67"/>
      <c r="T400" s="67"/>
      <c r="U400" s="389" t="str">
        <f>IF('Lớp 5 - Phân công'!I211="","",'Lớp 5 - Phân công'!K211&amp;"|"&amp;'Lớp 5 - Phân công'!J211&amp;"|"&amp;'Lớp 5 - Phân công'!I211)</f>
        <v/>
      </c>
      <c r="V400" s="389" t="str">
        <f>IF('Lớp 5 - Phân công'!I211="","","       ├─ "&amp;'Lớp 5 - Phân công'!Q211)</f>
        <v/>
      </c>
      <c r="W400" s="389" t="str">
        <f>IF('Lớp 5 - Phân công'!I211="","",5)</f>
        <v/>
      </c>
      <c r="X400" s="67" t="str">
        <f>'Lớp 5 - Phân công'!I211</f>
        <v/>
      </c>
      <c r="Y400" s="67" t="str">
        <f>'Lớp 5 - Phân công'!J211</f>
        <v/>
      </c>
      <c r="Z400" s="67" t="str">
        <f>'Lớp 5 - Phân công'!AA211</f>
        <v/>
      </c>
      <c r="AA400" s="67" t="str">
        <f>'Lớp 5 - Phân công'!Z211</f>
        <v/>
      </c>
      <c r="AB400" s="67" t="str">
        <f>'Lớp 5 - Phân công'!AC211</f>
        <v/>
      </c>
      <c r="AC400" s="67" t="str">
        <f>'Lớp 5 - Phân công'!AB211</f>
        <v/>
      </c>
      <c r="AD400" s="398" t="str">
        <f>'Lớp 5 - Phân công'!AG211</f>
        <v/>
      </c>
      <c r="AE400" s="358" t="str">
        <f>'Lớp 5 - Phân công'!AE211</f>
        <v/>
      </c>
      <c r="AF400" s="187" t="str">
        <f>'Lớp 5 - Phân công'!AH211</f>
        <v/>
      </c>
      <c r="AG400" s="104" t="str">
        <f>'Lớp 5 - Phân công'!AI211</f>
        <v/>
      </c>
      <c r="AH400" s="389" t="str">
        <f t="shared" si="27"/>
        <v/>
      </c>
      <c r="AI400" s="389" t="str">
        <f t="shared" si="37"/>
        <v>🔵 Chưa có hạn</v>
      </c>
      <c r="AJ400" s="67" t="str">
        <f>'Lớp 5 - Phân công'!AL211</f>
        <v/>
      </c>
      <c r="AS400" s="389" t="str">
        <f t="shared" si="217"/>
        <v/>
      </c>
      <c r="AT400" s="389" t="str">
        <f t="shared" si="32"/>
        <v/>
      </c>
      <c r="AU400" s="389" t="str">
        <f t="shared" si="33"/>
        <v/>
      </c>
      <c r="AV400" s="389" t="str">
        <f t="shared" si="34"/>
        <v/>
      </c>
      <c r="AW400" s="389" t="str">
        <f t="shared" si="35"/>
        <v/>
      </c>
      <c r="AX400" s="67" t="str">
        <f t="shared" ref="AX400:BH400" si="414">Z400</f>
        <v/>
      </c>
      <c r="AY400" s="67" t="str">
        <f t="shared" si="414"/>
        <v/>
      </c>
      <c r="AZ400" s="67" t="str">
        <f t="shared" si="414"/>
        <v/>
      </c>
      <c r="BA400" s="67" t="str">
        <f t="shared" si="414"/>
        <v/>
      </c>
      <c r="BB400" s="398" t="str">
        <f t="shared" si="414"/>
        <v/>
      </c>
      <c r="BC400" s="358" t="str">
        <f t="shared" si="414"/>
        <v/>
      </c>
      <c r="BD400" s="187" t="str">
        <f t="shared" si="414"/>
        <v/>
      </c>
      <c r="BE400" s="104" t="str">
        <f t="shared" si="414"/>
        <v/>
      </c>
      <c r="BF400" s="389" t="str">
        <f t="shared" si="414"/>
        <v/>
      </c>
      <c r="BG400" s="389" t="str">
        <f t="shared" si="414"/>
        <v>🔵 Chưa có hạn</v>
      </c>
      <c r="BH400" s="67" t="str">
        <f t="shared" si="414"/>
        <v/>
      </c>
      <c r="BI400" s="389" t="str">
        <f t="array" ref="BI400">IF($X400="","",SWITCH($W400,3,IFERROR(INDEX('Lớp 3 - Công việc chính'!$AF$14:$AF$73,MATCH($X400,'Lớp 3 - Công việc chính'!$I$14:$I$73,0)),""),4,IFERROR(INDEX('Lớp 4 - Danh mục'!$AI$14:$AI$132,MATCH($X400,'Lớp 4 - Danh mục'!$I$14:$I$132,0)),""),5,IFERROR(INDEX('Lớp 5 - Phân công'!$AJ$14:$AJ$262,MATCH($X400,'Lớp 5 - Phân công'!$I$14:$I$262,0)),""),6,IFERROR(INDEX('Lớp 6 - Chi tiết'!$AM$14:$AM$267,MATCH($X400,'Lớp 6 - Chi tiết'!$I$14:$I$267,0)),""),""))</f>
        <v/>
      </c>
      <c r="BJ400" s="389" t="str">
        <f t="array" ref="BJ400">IF($X400="","",SWITCH($W400,3,IFERROR(INDEX('Lớp 3 - Công việc chính'!$AR$14:$AR$73,MATCH($X400,'Lớp 3 - Công việc chính'!$I$14:$I$73,0)),""),4,IFERROR(INDEX('Lớp 4 - Danh mục'!$AU$14:$AU$132,MATCH($X400,'Lớp 4 - Danh mục'!$I$14:$I$132,0)),""),5,IFERROR(INDEX('Lớp 5 - Phân công'!$AV$14:$AV$262,MATCH($X400,'Lớp 5 - Phân công'!$I$14:$I$262,0)),""),6,IFERROR(INDEX('Lớp 6 - Chi tiết'!$AY$14:$AY$267,MATCH($X400,'Lớp 6 - Chi tiết'!$I$14:$I$267,0)),""),""))</f>
        <v/>
      </c>
    </row>
    <row r="401" ht="15.75" customHeight="1">
      <c r="A401" s="294" t="str">
        <f t="shared" si="12"/>
        <v/>
      </c>
      <c r="B401" s="301" t="str">
        <f t="shared" si="13"/>
        <v/>
      </c>
      <c r="C401" s="301" t="str">
        <f t="shared" si="14"/>
        <v/>
      </c>
      <c r="D401" s="301" t="str">
        <f t="shared" si="15"/>
        <v/>
      </c>
      <c r="E401" s="301" t="str">
        <f t="shared" si="16"/>
        <v/>
      </c>
      <c r="F401" s="317" t="str">
        <f t="shared" si="17"/>
        <v/>
      </c>
      <c r="G401" s="323" t="str">
        <f t="shared" si="18"/>
        <v/>
      </c>
      <c r="H401" s="327" t="str">
        <f t="shared" si="19"/>
        <v/>
      </c>
      <c r="I401" s="327" t="str">
        <f t="shared" si="20"/>
        <v/>
      </c>
      <c r="J401" s="301" t="str">
        <f t="shared" si="21"/>
        <v/>
      </c>
      <c r="K401" s="301" t="str">
        <f t="shared" si="22"/>
        <v/>
      </c>
      <c r="L401" s="344" t="str">
        <f t="array" ref="L401">IF($T401="","",LET(m,MATCH($T401,$AS$24:$AS$700,0),lvl,INDEX($W$24:$W$700,m),id,INDEX($X$24:$X$700,m),SWITCH(lvl,3,"Lớp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1" s="351" t="str">
        <f t="shared" si="23"/>
        <v/>
      </c>
      <c r="N401" s="356" t="str">
        <f t="shared" si="24"/>
        <v/>
      </c>
      <c r="O401" s="358"/>
      <c r="P401" s="360"/>
      <c r="Q401" s="360"/>
      <c r="R401" s="67"/>
      <c r="S401" s="67"/>
      <c r="T401" s="67"/>
      <c r="U401" s="389" t="str">
        <f>IF('Lớp 5 - Phân công'!I212="","",'Lớp 5 - Phân công'!K212&amp;"|"&amp;'Lớp 5 - Phân công'!J212&amp;"|"&amp;'Lớp 5 - Phân công'!I212)</f>
        <v/>
      </c>
      <c r="V401" s="389" t="str">
        <f>IF('Lớp 5 - Phân công'!I212="","","       ├─ "&amp;'Lớp 5 - Phân công'!Q212)</f>
        <v/>
      </c>
      <c r="W401" s="389" t="str">
        <f>IF('Lớp 5 - Phân công'!I212="","",5)</f>
        <v/>
      </c>
      <c r="X401" s="67" t="str">
        <f>'Lớp 5 - Phân công'!I212</f>
        <v/>
      </c>
      <c r="Y401" s="67" t="str">
        <f>'Lớp 5 - Phân công'!J212</f>
        <v/>
      </c>
      <c r="Z401" s="67" t="str">
        <f>'Lớp 5 - Phân công'!AA212</f>
        <v/>
      </c>
      <c r="AA401" s="67" t="str">
        <f>'Lớp 5 - Phân công'!Z212</f>
        <v/>
      </c>
      <c r="AB401" s="67" t="str">
        <f>'Lớp 5 - Phân công'!AC212</f>
        <v/>
      </c>
      <c r="AC401" s="67" t="str">
        <f>'Lớp 5 - Phân công'!AB212</f>
        <v/>
      </c>
      <c r="AD401" s="398" t="str">
        <f>'Lớp 5 - Phân công'!AG212</f>
        <v/>
      </c>
      <c r="AE401" s="358" t="str">
        <f>'Lớp 5 - Phân công'!AE212</f>
        <v/>
      </c>
      <c r="AF401" s="187" t="str">
        <f>'Lớp 5 - Phân công'!AH212</f>
        <v/>
      </c>
      <c r="AG401" s="104" t="str">
        <f>'Lớp 5 - Phân công'!AI212</f>
        <v/>
      </c>
      <c r="AH401" s="389" t="str">
        <f t="shared" si="27"/>
        <v/>
      </c>
      <c r="AI401" s="389" t="str">
        <f t="shared" si="37"/>
        <v>🔵 Chưa có hạn</v>
      </c>
      <c r="AJ401" s="67" t="str">
        <f>'Lớp 5 - Phân công'!AL212</f>
        <v/>
      </c>
      <c r="AS401" s="389" t="str">
        <f t="shared" si="217"/>
        <v/>
      </c>
      <c r="AT401" s="389" t="str">
        <f t="shared" si="32"/>
        <v/>
      </c>
      <c r="AU401" s="389" t="str">
        <f t="shared" si="33"/>
        <v/>
      </c>
      <c r="AV401" s="389" t="str">
        <f t="shared" si="34"/>
        <v/>
      </c>
      <c r="AW401" s="389" t="str">
        <f t="shared" si="35"/>
        <v/>
      </c>
      <c r="AX401" s="67" t="str">
        <f t="shared" ref="AX401:BH401" si="415">Z401</f>
        <v/>
      </c>
      <c r="AY401" s="67" t="str">
        <f t="shared" si="415"/>
        <v/>
      </c>
      <c r="AZ401" s="67" t="str">
        <f t="shared" si="415"/>
        <v/>
      </c>
      <c r="BA401" s="67" t="str">
        <f t="shared" si="415"/>
        <v/>
      </c>
      <c r="BB401" s="398" t="str">
        <f t="shared" si="415"/>
        <v/>
      </c>
      <c r="BC401" s="358" t="str">
        <f t="shared" si="415"/>
        <v/>
      </c>
      <c r="BD401" s="187" t="str">
        <f t="shared" si="415"/>
        <v/>
      </c>
      <c r="BE401" s="104" t="str">
        <f t="shared" si="415"/>
        <v/>
      </c>
      <c r="BF401" s="389" t="str">
        <f t="shared" si="415"/>
        <v/>
      </c>
      <c r="BG401" s="389" t="str">
        <f t="shared" si="415"/>
        <v>🔵 Chưa có hạn</v>
      </c>
      <c r="BH401" s="67" t="str">
        <f t="shared" si="415"/>
        <v/>
      </c>
      <c r="BI401" s="389" t="str">
        <f t="array" ref="BI401">IF($X401="","",SWITCH($W401,3,IFERROR(INDEX('Lớp 3 - Công việc chính'!$AF$14:$AF$73,MATCH($X401,'Lớp 3 - Công việc chính'!$I$14:$I$73,0)),""),4,IFERROR(INDEX('Lớp 4 - Danh mục'!$AI$14:$AI$132,MATCH($X401,'Lớp 4 - Danh mục'!$I$14:$I$132,0)),""),5,IFERROR(INDEX('Lớp 5 - Phân công'!$AJ$14:$AJ$262,MATCH($X401,'Lớp 5 - Phân công'!$I$14:$I$262,0)),""),6,IFERROR(INDEX('Lớp 6 - Chi tiết'!$AM$14:$AM$267,MATCH($X401,'Lớp 6 - Chi tiết'!$I$14:$I$267,0)),""),""))</f>
        <v/>
      </c>
      <c r="BJ401" s="389" t="str">
        <f t="array" ref="BJ401">IF($X401="","",SWITCH($W401,3,IFERROR(INDEX('Lớp 3 - Công việc chính'!$AR$14:$AR$73,MATCH($X401,'Lớp 3 - Công việc chính'!$I$14:$I$73,0)),""),4,IFERROR(INDEX('Lớp 4 - Danh mục'!$AU$14:$AU$132,MATCH($X401,'Lớp 4 - Danh mục'!$I$14:$I$132,0)),""),5,IFERROR(INDEX('Lớp 5 - Phân công'!$AV$14:$AV$262,MATCH($X401,'Lớp 5 - Phân công'!$I$14:$I$262,0)),""),6,IFERROR(INDEX('Lớp 6 - Chi tiết'!$AY$14:$AY$267,MATCH($X401,'Lớp 6 - Chi tiết'!$I$14:$I$267,0)),""),""))</f>
        <v/>
      </c>
    </row>
    <row r="402" ht="15.75" customHeight="1">
      <c r="A402" s="294" t="str">
        <f t="shared" si="12"/>
        <v/>
      </c>
      <c r="B402" s="301" t="str">
        <f t="shared" si="13"/>
        <v/>
      </c>
      <c r="C402" s="301" t="str">
        <f t="shared" si="14"/>
        <v/>
      </c>
      <c r="D402" s="301" t="str">
        <f t="shared" si="15"/>
        <v/>
      </c>
      <c r="E402" s="301" t="str">
        <f t="shared" si="16"/>
        <v/>
      </c>
      <c r="F402" s="317" t="str">
        <f t="shared" si="17"/>
        <v/>
      </c>
      <c r="G402" s="323" t="str">
        <f t="shared" si="18"/>
        <v/>
      </c>
      <c r="H402" s="327" t="str">
        <f t="shared" si="19"/>
        <v/>
      </c>
      <c r="I402" s="327" t="str">
        <f t="shared" si="20"/>
        <v/>
      </c>
      <c r="J402" s="301" t="str">
        <f t="shared" si="21"/>
        <v/>
      </c>
      <c r="K402" s="301" t="str">
        <f t="shared" si="22"/>
        <v/>
      </c>
      <c r="L402" s="344" t="str">
        <f t="array" ref="L402">IF($T402="","",LET(m,MATCH($T402,$AS$24:$AS$700,0),lvl,INDEX($W$24:$W$700,m),id,INDEX($X$24:$X$700,m),SWITCH(lvl,3,"Lớp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2" s="351" t="str">
        <f t="shared" si="23"/>
        <v/>
      </c>
      <c r="N402" s="356" t="str">
        <f t="shared" si="24"/>
        <v/>
      </c>
      <c r="O402" s="358"/>
      <c r="P402" s="360"/>
      <c r="Q402" s="360"/>
      <c r="R402" s="67"/>
      <c r="S402" s="67"/>
      <c r="T402" s="67"/>
      <c r="U402" s="389" t="str">
        <f>IF('Lớp 5 - Phân công'!I213="","",'Lớp 5 - Phân công'!K213&amp;"|"&amp;'Lớp 5 - Phân công'!J213&amp;"|"&amp;'Lớp 5 - Phân công'!I213)</f>
        <v/>
      </c>
      <c r="V402" s="389" t="str">
        <f>IF('Lớp 5 - Phân công'!I213="","","       ├─ "&amp;'Lớp 5 - Phân công'!Q213)</f>
        <v/>
      </c>
      <c r="W402" s="389" t="str">
        <f>IF('Lớp 5 - Phân công'!I213="","",5)</f>
        <v/>
      </c>
      <c r="X402" s="67" t="str">
        <f>'Lớp 5 - Phân công'!I213</f>
        <v/>
      </c>
      <c r="Y402" s="67" t="str">
        <f>'Lớp 5 - Phân công'!J213</f>
        <v/>
      </c>
      <c r="Z402" s="67" t="str">
        <f>'Lớp 5 - Phân công'!AA213</f>
        <v/>
      </c>
      <c r="AA402" s="67" t="str">
        <f>'Lớp 5 - Phân công'!Z213</f>
        <v/>
      </c>
      <c r="AB402" s="67" t="str">
        <f>'Lớp 5 - Phân công'!AC213</f>
        <v/>
      </c>
      <c r="AC402" s="67" t="str">
        <f>'Lớp 5 - Phân công'!AB213</f>
        <v/>
      </c>
      <c r="AD402" s="398" t="str">
        <f>'Lớp 5 - Phân công'!AG213</f>
        <v/>
      </c>
      <c r="AE402" s="358" t="str">
        <f>'Lớp 5 - Phân công'!AE213</f>
        <v/>
      </c>
      <c r="AF402" s="187" t="str">
        <f>'Lớp 5 - Phân công'!AH213</f>
        <v/>
      </c>
      <c r="AG402" s="104" t="str">
        <f>'Lớp 5 - Phân công'!AI213</f>
        <v/>
      </c>
      <c r="AH402" s="389" t="str">
        <f t="shared" si="27"/>
        <v/>
      </c>
      <c r="AI402" s="389" t="str">
        <f t="shared" si="37"/>
        <v>🔵 Chưa có hạn</v>
      </c>
      <c r="AJ402" s="67" t="str">
        <f>'Lớp 5 - Phân công'!AL213</f>
        <v/>
      </c>
      <c r="AS402" s="389" t="str">
        <f t="shared" si="217"/>
        <v/>
      </c>
      <c r="AT402" s="389" t="str">
        <f t="shared" si="32"/>
        <v/>
      </c>
      <c r="AU402" s="389" t="str">
        <f t="shared" si="33"/>
        <v/>
      </c>
      <c r="AV402" s="389" t="str">
        <f t="shared" si="34"/>
        <v/>
      </c>
      <c r="AW402" s="389" t="str">
        <f t="shared" si="35"/>
        <v/>
      </c>
      <c r="AX402" s="67" t="str">
        <f t="shared" ref="AX402:BH402" si="416">Z402</f>
        <v/>
      </c>
      <c r="AY402" s="67" t="str">
        <f t="shared" si="416"/>
        <v/>
      </c>
      <c r="AZ402" s="67" t="str">
        <f t="shared" si="416"/>
        <v/>
      </c>
      <c r="BA402" s="67" t="str">
        <f t="shared" si="416"/>
        <v/>
      </c>
      <c r="BB402" s="398" t="str">
        <f t="shared" si="416"/>
        <v/>
      </c>
      <c r="BC402" s="358" t="str">
        <f t="shared" si="416"/>
        <v/>
      </c>
      <c r="BD402" s="187" t="str">
        <f t="shared" si="416"/>
        <v/>
      </c>
      <c r="BE402" s="104" t="str">
        <f t="shared" si="416"/>
        <v/>
      </c>
      <c r="BF402" s="389" t="str">
        <f t="shared" si="416"/>
        <v/>
      </c>
      <c r="BG402" s="389" t="str">
        <f t="shared" si="416"/>
        <v>🔵 Chưa có hạn</v>
      </c>
      <c r="BH402" s="67" t="str">
        <f t="shared" si="416"/>
        <v/>
      </c>
      <c r="BI402" s="389" t="str">
        <f t="array" ref="BI402">IF($X402="","",SWITCH($W402,3,IFERROR(INDEX('Lớp 3 - Công việc chính'!$AF$14:$AF$73,MATCH($X402,'Lớp 3 - Công việc chính'!$I$14:$I$73,0)),""),4,IFERROR(INDEX('Lớp 4 - Danh mục'!$AI$14:$AI$132,MATCH($X402,'Lớp 4 - Danh mục'!$I$14:$I$132,0)),""),5,IFERROR(INDEX('Lớp 5 - Phân công'!$AJ$14:$AJ$262,MATCH($X402,'Lớp 5 - Phân công'!$I$14:$I$262,0)),""),6,IFERROR(INDEX('Lớp 6 - Chi tiết'!$AM$14:$AM$267,MATCH($X402,'Lớp 6 - Chi tiết'!$I$14:$I$267,0)),""),""))</f>
        <v/>
      </c>
      <c r="BJ402" s="389" t="str">
        <f t="array" ref="BJ402">IF($X402="","",SWITCH($W402,3,IFERROR(INDEX('Lớp 3 - Công việc chính'!$AR$14:$AR$73,MATCH($X402,'Lớp 3 - Công việc chính'!$I$14:$I$73,0)),""),4,IFERROR(INDEX('Lớp 4 - Danh mục'!$AU$14:$AU$132,MATCH($X402,'Lớp 4 - Danh mục'!$I$14:$I$132,0)),""),5,IFERROR(INDEX('Lớp 5 - Phân công'!$AV$14:$AV$262,MATCH($X402,'Lớp 5 - Phân công'!$I$14:$I$262,0)),""),6,IFERROR(INDEX('Lớp 6 - Chi tiết'!$AY$14:$AY$267,MATCH($X402,'Lớp 6 - Chi tiết'!$I$14:$I$267,0)),""),""))</f>
        <v/>
      </c>
    </row>
    <row r="403" ht="15.75" customHeight="1">
      <c r="A403" s="294" t="str">
        <f t="shared" si="12"/>
        <v/>
      </c>
      <c r="B403" s="301" t="str">
        <f t="shared" si="13"/>
        <v/>
      </c>
      <c r="C403" s="301" t="str">
        <f t="shared" si="14"/>
        <v/>
      </c>
      <c r="D403" s="301" t="str">
        <f t="shared" si="15"/>
        <v/>
      </c>
      <c r="E403" s="301" t="str">
        <f t="shared" si="16"/>
        <v/>
      </c>
      <c r="F403" s="317" t="str">
        <f t="shared" si="17"/>
        <v/>
      </c>
      <c r="G403" s="323" t="str">
        <f t="shared" si="18"/>
        <v/>
      </c>
      <c r="H403" s="327" t="str">
        <f t="shared" si="19"/>
        <v/>
      </c>
      <c r="I403" s="327" t="str">
        <f t="shared" si="20"/>
        <v/>
      </c>
      <c r="J403" s="301" t="str">
        <f t="shared" si="21"/>
        <v/>
      </c>
      <c r="K403" s="301" t="str">
        <f t="shared" si="22"/>
        <v/>
      </c>
      <c r="L403" s="344" t="str">
        <f t="array" ref="L403">IF($T403="","",LET(m,MATCH($T403,$AS$24:$AS$700,0),lvl,INDEX($W$24:$W$700,m),id,INDEX($X$24:$X$700,m),SWITCH(lvl,3,"Lớp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3" s="351" t="str">
        <f t="shared" si="23"/>
        <v/>
      </c>
      <c r="N403" s="356" t="str">
        <f t="shared" si="24"/>
        <v/>
      </c>
      <c r="O403" s="358"/>
      <c r="P403" s="360"/>
      <c r="Q403" s="360"/>
      <c r="R403" s="67"/>
      <c r="S403" s="67"/>
      <c r="T403" s="67"/>
      <c r="U403" s="389" t="str">
        <f>IF('Lớp 5 - Phân công'!I214="","",'Lớp 5 - Phân công'!K214&amp;"|"&amp;'Lớp 5 - Phân công'!J214&amp;"|"&amp;'Lớp 5 - Phân công'!I214)</f>
        <v/>
      </c>
      <c r="V403" s="389" t="str">
        <f>IF('Lớp 5 - Phân công'!I214="","","       ├─ "&amp;'Lớp 5 - Phân công'!Q214)</f>
        <v/>
      </c>
      <c r="W403" s="389" t="str">
        <f>IF('Lớp 5 - Phân công'!I214="","",5)</f>
        <v/>
      </c>
      <c r="X403" s="67" t="str">
        <f>'Lớp 5 - Phân công'!I214</f>
        <v/>
      </c>
      <c r="Y403" s="67" t="str">
        <f>'Lớp 5 - Phân công'!J214</f>
        <v/>
      </c>
      <c r="Z403" s="67" t="str">
        <f>'Lớp 5 - Phân công'!AA214</f>
        <v/>
      </c>
      <c r="AA403" s="67" t="str">
        <f>'Lớp 5 - Phân công'!Z214</f>
        <v/>
      </c>
      <c r="AB403" s="67" t="str">
        <f>'Lớp 5 - Phân công'!AC214</f>
        <v/>
      </c>
      <c r="AC403" s="67" t="str">
        <f>'Lớp 5 - Phân công'!AB214</f>
        <v/>
      </c>
      <c r="AD403" s="398" t="str">
        <f>'Lớp 5 - Phân công'!AG214</f>
        <v/>
      </c>
      <c r="AE403" s="358" t="str">
        <f>'Lớp 5 - Phân công'!AE214</f>
        <v/>
      </c>
      <c r="AF403" s="187" t="str">
        <f>'Lớp 5 - Phân công'!AH214</f>
        <v/>
      </c>
      <c r="AG403" s="104" t="str">
        <f>'Lớp 5 - Phân công'!AI214</f>
        <v/>
      </c>
      <c r="AH403" s="389" t="str">
        <f t="shared" si="27"/>
        <v/>
      </c>
      <c r="AI403" s="389" t="str">
        <f t="shared" si="37"/>
        <v>🔵 Chưa có hạn</v>
      </c>
      <c r="AJ403" s="67" t="str">
        <f>'Lớp 5 - Phân công'!AL214</f>
        <v/>
      </c>
      <c r="AS403" s="389" t="str">
        <f t="shared" si="217"/>
        <v/>
      </c>
      <c r="AT403" s="389" t="str">
        <f t="shared" si="32"/>
        <v/>
      </c>
      <c r="AU403" s="389" t="str">
        <f t="shared" si="33"/>
        <v/>
      </c>
      <c r="AV403" s="389" t="str">
        <f t="shared" si="34"/>
        <v/>
      </c>
      <c r="AW403" s="389" t="str">
        <f t="shared" si="35"/>
        <v/>
      </c>
      <c r="AX403" s="67" t="str">
        <f t="shared" ref="AX403:BH403" si="417">Z403</f>
        <v/>
      </c>
      <c r="AY403" s="67" t="str">
        <f t="shared" si="417"/>
        <v/>
      </c>
      <c r="AZ403" s="67" t="str">
        <f t="shared" si="417"/>
        <v/>
      </c>
      <c r="BA403" s="67" t="str">
        <f t="shared" si="417"/>
        <v/>
      </c>
      <c r="BB403" s="398" t="str">
        <f t="shared" si="417"/>
        <v/>
      </c>
      <c r="BC403" s="358" t="str">
        <f t="shared" si="417"/>
        <v/>
      </c>
      <c r="BD403" s="187" t="str">
        <f t="shared" si="417"/>
        <v/>
      </c>
      <c r="BE403" s="104" t="str">
        <f t="shared" si="417"/>
        <v/>
      </c>
      <c r="BF403" s="389" t="str">
        <f t="shared" si="417"/>
        <v/>
      </c>
      <c r="BG403" s="389" t="str">
        <f t="shared" si="417"/>
        <v>🔵 Chưa có hạn</v>
      </c>
      <c r="BH403" s="67" t="str">
        <f t="shared" si="417"/>
        <v/>
      </c>
      <c r="BI403" s="389" t="str">
        <f t="array" ref="BI403">IF($X403="","",SWITCH($W403,3,IFERROR(INDEX('Lớp 3 - Công việc chính'!$AF$14:$AF$73,MATCH($X403,'Lớp 3 - Công việc chính'!$I$14:$I$73,0)),""),4,IFERROR(INDEX('Lớp 4 - Danh mục'!$AI$14:$AI$132,MATCH($X403,'Lớp 4 - Danh mục'!$I$14:$I$132,0)),""),5,IFERROR(INDEX('Lớp 5 - Phân công'!$AJ$14:$AJ$262,MATCH($X403,'Lớp 5 - Phân công'!$I$14:$I$262,0)),""),6,IFERROR(INDEX('Lớp 6 - Chi tiết'!$AM$14:$AM$267,MATCH($X403,'Lớp 6 - Chi tiết'!$I$14:$I$267,0)),""),""))</f>
        <v/>
      </c>
      <c r="BJ403" s="389" t="str">
        <f t="array" ref="BJ403">IF($X403="","",SWITCH($W403,3,IFERROR(INDEX('Lớp 3 - Công việc chính'!$AR$14:$AR$73,MATCH($X403,'Lớp 3 - Công việc chính'!$I$14:$I$73,0)),""),4,IFERROR(INDEX('Lớp 4 - Danh mục'!$AU$14:$AU$132,MATCH($X403,'Lớp 4 - Danh mục'!$I$14:$I$132,0)),""),5,IFERROR(INDEX('Lớp 5 - Phân công'!$AV$14:$AV$262,MATCH($X403,'Lớp 5 - Phân công'!$I$14:$I$262,0)),""),6,IFERROR(INDEX('Lớp 6 - Chi tiết'!$AY$14:$AY$267,MATCH($X403,'Lớp 6 - Chi tiết'!$I$14:$I$267,0)),""),""))</f>
        <v/>
      </c>
    </row>
    <row r="404" ht="15.75" customHeight="1">
      <c r="A404" s="294" t="str">
        <f t="shared" si="12"/>
        <v/>
      </c>
      <c r="B404" s="301" t="str">
        <f t="shared" si="13"/>
        <v/>
      </c>
      <c r="C404" s="301" t="str">
        <f t="shared" si="14"/>
        <v/>
      </c>
      <c r="D404" s="301" t="str">
        <f t="shared" si="15"/>
        <v/>
      </c>
      <c r="E404" s="301" t="str">
        <f t="shared" si="16"/>
        <v/>
      </c>
      <c r="F404" s="317" t="str">
        <f t="shared" si="17"/>
        <v/>
      </c>
      <c r="G404" s="323" t="str">
        <f t="shared" si="18"/>
        <v/>
      </c>
      <c r="H404" s="327" t="str">
        <f t="shared" si="19"/>
        <v/>
      </c>
      <c r="I404" s="327" t="str">
        <f t="shared" si="20"/>
        <v/>
      </c>
      <c r="J404" s="301" t="str">
        <f t="shared" si="21"/>
        <v/>
      </c>
      <c r="K404" s="301" t="str">
        <f t="shared" si="22"/>
        <v/>
      </c>
      <c r="L404" s="344" t="str">
        <f t="array" ref="L404">IF($T404="","",LET(m,MATCH($T404,$AS$24:$AS$700,0),lvl,INDEX($W$24:$W$700,m),id,INDEX($X$24:$X$700,m),SWITCH(lvl,3,"Lớp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4" s="351" t="str">
        <f t="shared" si="23"/>
        <v/>
      </c>
      <c r="N404" s="356" t="str">
        <f t="shared" si="24"/>
        <v/>
      </c>
      <c r="O404" s="358"/>
      <c r="P404" s="360"/>
      <c r="Q404" s="360"/>
      <c r="R404" s="67"/>
      <c r="S404" s="67"/>
      <c r="T404" s="67"/>
      <c r="U404" s="389" t="str">
        <f>IF('Lớp 5 - Phân công'!I215="","",'Lớp 5 - Phân công'!K215&amp;"|"&amp;'Lớp 5 - Phân công'!J215&amp;"|"&amp;'Lớp 5 - Phân công'!I215)</f>
        <v/>
      </c>
      <c r="V404" s="389" t="str">
        <f>IF('Lớp 5 - Phân công'!I215="","","       ├─ "&amp;'Lớp 5 - Phân công'!Q215)</f>
        <v/>
      </c>
      <c r="W404" s="389" t="str">
        <f>IF('Lớp 5 - Phân công'!I215="","",5)</f>
        <v/>
      </c>
      <c r="X404" s="67" t="str">
        <f>'Lớp 5 - Phân công'!I215</f>
        <v/>
      </c>
      <c r="Y404" s="67" t="str">
        <f>'Lớp 5 - Phân công'!J215</f>
        <v/>
      </c>
      <c r="Z404" s="67" t="str">
        <f>'Lớp 5 - Phân công'!AA215</f>
        <v/>
      </c>
      <c r="AA404" s="67" t="str">
        <f>'Lớp 5 - Phân công'!Z215</f>
        <v/>
      </c>
      <c r="AB404" s="67" t="str">
        <f>'Lớp 5 - Phân công'!AC215</f>
        <v/>
      </c>
      <c r="AC404" s="67" t="str">
        <f>'Lớp 5 - Phân công'!AB215</f>
        <v/>
      </c>
      <c r="AD404" s="398" t="str">
        <f>'Lớp 5 - Phân công'!AG215</f>
        <v/>
      </c>
      <c r="AE404" s="358" t="str">
        <f>'Lớp 5 - Phân công'!AE215</f>
        <v/>
      </c>
      <c r="AF404" s="187" t="str">
        <f>'Lớp 5 - Phân công'!AH215</f>
        <v/>
      </c>
      <c r="AG404" s="104" t="str">
        <f>'Lớp 5 - Phân công'!AI215</f>
        <v/>
      </c>
      <c r="AH404" s="389" t="str">
        <f t="shared" si="27"/>
        <v/>
      </c>
      <c r="AI404" s="389" t="str">
        <f t="shared" si="37"/>
        <v>🔵 Chưa có hạn</v>
      </c>
      <c r="AJ404" s="67" t="str">
        <f>'Lớp 5 - Phân công'!AL215</f>
        <v/>
      </c>
      <c r="AS404" s="389" t="str">
        <f t="shared" si="217"/>
        <v/>
      </c>
      <c r="AT404" s="389" t="str">
        <f t="shared" si="32"/>
        <v/>
      </c>
      <c r="AU404" s="389" t="str">
        <f t="shared" si="33"/>
        <v/>
      </c>
      <c r="AV404" s="389" t="str">
        <f t="shared" si="34"/>
        <v/>
      </c>
      <c r="AW404" s="389" t="str">
        <f t="shared" si="35"/>
        <v/>
      </c>
      <c r="AX404" s="67" t="str">
        <f t="shared" ref="AX404:BH404" si="418">Z404</f>
        <v/>
      </c>
      <c r="AY404" s="67" t="str">
        <f t="shared" si="418"/>
        <v/>
      </c>
      <c r="AZ404" s="67" t="str">
        <f t="shared" si="418"/>
        <v/>
      </c>
      <c r="BA404" s="67" t="str">
        <f t="shared" si="418"/>
        <v/>
      </c>
      <c r="BB404" s="398" t="str">
        <f t="shared" si="418"/>
        <v/>
      </c>
      <c r="BC404" s="358" t="str">
        <f t="shared" si="418"/>
        <v/>
      </c>
      <c r="BD404" s="187" t="str">
        <f t="shared" si="418"/>
        <v/>
      </c>
      <c r="BE404" s="104" t="str">
        <f t="shared" si="418"/>
        <v/>
      </c>
      <c r="BF404" s="389" t="str">
        <f t="shared" si="418"/>
        <v/>
      </c>
      <c r="BG404" s="389" t="str">
        <f t="shared" si="418"/>
        <v>🔵 Chưa có hạn</v>
      </c>
      <c r="BH404" s="67" t="str">
        <f t="shared" si="418"/>
        <v/>
      </c>
      <c r="BI404" s="389" t="str">
        <f t="array" ref="BI404">IF($X404="","",SWITCH($W404,3,IFERROR(INDEX('Lớp 3 - Công việc chính'!$AF$14:$AF$73,MATCH($X404,'Lớp 3 - Công việc chính'!$I$14:$I$73,0)),""),4,IFERROR(INDEX('Lớp 4 - Danh mục'!$AI$14:$AI$132,MATCH($X404,'Lớp 4 - Danh mục'!$I$14:$I$132,0)),""),5,IFERROR(INDEX('Lớp 5 - Phân công'!$AJ$14:$AJ$262,MATCH($X404,'Lớp 5 - Phân công'!$I$14:$I$262,0)),""),6,IFERROR(INDEX('Lớp 6 - Chi tiết'!$AM$14:$AM$267,MATCH($X404,'Lớp 6 - Chi tiết'!$I$14:$I$267,0)),""),""))</f>
        <v/>
      </c>
      <c r="BJ404" s="389" t="str">
        <f t="array" ref="BJ404">IF($X404="","",SWITCH($W404,3,IFERROR(INDEX('Lớp 3 - Công việc chính'!$AR$14:$AR$73,MATCH($X404,'Lớp 3 - Công việc chính'!$I$14:$I$73,0)),""),4,IFERROR(INDEX('Lớp 4 - Danh mục'!$AU$14:$AU$132,MATCH($X404,'Lớp 4 - Danh mục'!$I$14:$I$132,0)),""),5,IFERROR(INDEX('Lớp 5 - Phân công'!$AV$14:$AV$262,MATCH($X404,'Lớp 5 - Phân công'!$I$14:$I$262,0)),""),6,IFERROR(INDEX('Lớp 6 - Chi tiết'!$AY$14:$AY$267,MATCH($X404,'Lớp 6 - Chi tiết'!$I$14:$I$267,0)),""),""))</f>
        <v/>
      </c>
    </row>
    <row r="405" ht="15.75" customHeight="1">
      <c r="A405" s="294" t="str">
        <f t="shared" si="12"/>
        <v/>
      </c>
      <c r="B405" s="301" t="str">
        <f t="shared" si="13"/>
        <v/>
      </c>
      <c r="C405" s="301" t="str">
        <f t="shared" si="14"/>
        <v/>
      </c>
      <c r="D405" s="301" t="str">
        <f t="shared" si="15"/>
        <v/>
      </c>
      <c r="E405" s="301" t="str">
        <f t="shared" si="16"/>
        <v/>
      </c>
      <c r="F405" s="317" t="str">
        <f t="shared" si="17"/>
        <v/>
      </c>
      <c r="G405" s="323" t="str">
        <f t="shared" si="18"/>
        <v/>
      </c>
      <c r="H405" s="327" t="str">
        <f t="shared" si="19"/>
        <v/>
      </c>
      <c r="I405" s="327" t="str">
        <f t="shared" si="20"/>
        <v/>
      </c>
      <c r="J405" s="301" t="str">
        <f t="shared" si="21"/>
        <v/>
      </c>
      <c r="K405" s="301" t="str">
        <f t="shared" si="22"/>
        <v/>
      </c>
      <c r="L405" s="344" t="str">
        <f t="array" ref="L405">IF($T405="","",LET(m,MATCH($T405,$AS$24:$AS$700,0),lvl,INDEX($W$24:$W$700,m),id,INDEX($X$24:$X$700,m),SWITCH(lvl,3,"Lớp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5" s="351" t="str">
        <f t="shared" si="23"/>
        <v/>
      </c>
      <c r="N405" s="356" t="str">
        <f t="shared" si="24"/>
        <v/>
      </c>
      <c r="O405" s="358"/>
      <c r="P405" s="360"/>
      <c r="Q405" s="360"/>
      <c r="R405" s="67"/>
      <c r="S405" s="67"/>
      <c r="T405" s="67"/>
      <c r="U405" s="389" t="str">
        <f>IF('Lớp 5 - Phân công'!I216="","",'Lớp 5 - Phân công'!K216&amp;"|"&amp;'Lớp 5 - Phân công'!J216&amp;"|"&amp;'Lớp 5 - Phân công'!I216)</f>
        <v/>
      </c>
      <c r="V405" s="389" t="str">
        <f>IF('Lớp 5 - Phân công'!I216="","","       ├─ "&amp;'Lớp 5 - Phân công'!Q216)</f>
        <v/>
      </c>
      <c r="W405" s="389" t="str">
        <f>IF('Lớp 5 - Phân công'!I216="","",5)</f>
        <v/>
      </c>
      <c r="X405" s="67" t="str">
        <f>'Lớp 5 - Phân công'!I216</f>
        <v/>
      </c>
      <c r="Y405" s="67" t="str">
        <f>'Lớp 5 - Phân công'!J216</f>
        <v/>
      </c>
      <c r="Z405" s="67" t="str">
        <f>'Lớp 5 - Phân công'!AA216</f>
        <v/>
      </c>
      <c r="AA405" s="67" t="str">
        <f>'Lớp 5 - Phân công'!Z216</f>
        <v/>
      </c>
      <c r="AB405" s="67" t="str">
        <f>'Lớp 5 - Phân công'!AC216</f>
        <v/>
      </c>
      <c r="AC405" s="67" t="str">
        <f>'Lớp 5 - Phân công'!AB216</f>
        <v/>
      </c>
      <c r="AD405" s="398" t="str">
        <f>'Lớp 5 - Phân công'!AG216</f>
        <v/>
      </c>
      <c r="AE405" s="358" t="str">
        <f>'Lớp 5 - Phân công'!AE216</f>
        <v/>
      </c>
      <c r="AF405" s="187" t="str">
        <f>'Lớp 5 - Phân công'!AH216</f>
        <v/>
      </c>
      <c r="AG405" s="104" t="str">
        <f>'Lớp 5 - Phân công'!AI216</f>
        <v/>
      </c>
      <c r="AH405" s="389" t="str">
        <f t="shared" si="27"/>
        <v/>
      </c>
      <c r="AI405" s="389" t="str">
        <f t="shared" si="37"/>
        <v>🔵 Chưa có hạn</v>
      </c>
      <c r="AJ405" s="67" t="str">
        <f>'Lớp 5 - Phân công'!AL216</f>
        <v/>
      </c>
      <c r="AS405" s="389" t="str">
        <f t="shared" si="217"/>
        <v/>
      </c>
      <c r="AT405" s="389" t="str">
        <f t="shared" si="32"/>
        <v/>
      </c>
      <c r="AU405" s="389" t="str">
        <f t="shared" si="33"/>
        <v/>
      </c>
      <c r="AV405" s="389" t="str">
        <f t="shared" si="34"/>
        <v/>
      </c>
      <c r="AW405" s="389" t="str">
        <f t="shared" si="35"/>
        <v/>
      </c>
      <c r="AX405" s="67" t="str">
        <f t="shared" ref="AX405:BH405" si="419">Z405</f>
        <v/>
      </c>
      <c r="AY405" s="67" t="str">
        <f t="shared" si="419"/>
        <v/>
      </c>
      <c r="AZ405" s="67" t="str">
        <f t="shared" si="419"/>
        <v/>
      </c>
      <c r="BA405" s="67" t="str">
        <f t="shared" si="419"/>
        <v/>
      </c>
      <c r="BB405" s="398" t="str">
        <f t="shared" si="419"/>
        <v/>
      </c>
      <c r="BC405" s="358" t="str">
        <f t="shared" si="419"/>
        <v/>
      </c>
      <c r="BD405" s="187" t="str">
        <f t="shared" si="419"/>
        <v/>
      </c>
      <c r="BE405" s="104" t="str">
        <f t="shared" si="419"/>
        <v/>
      </c>
      <c r="BF405" s="389" t="str">
        <f t="shared" si="419"/>
        <v/>
      </c>
      <c r="BG405" s="389" t="str">
        <f t="shared" si="419"/>
        <v>🔵 Chưa có hạn</v>
      </c>
      <c r="BH405" s="67" t="str">
        <f t="shared" si="419"/>
        <v/>
      </c>
      <c r="BI405" s="389" t="str">
        <f t="array" ref="BI405">IF($X405="","",SWITCH($W405,3,IFERROR(INDEX('Lớp 3 - Công việc chính'!$AF$14:$AF$73,MATCH($X405,'Lớp 3 - Công việc chính'!$I$14:$I$73,0)),""),4,IFERROR(INDEX('Lớp 4 - Danh mục'!$AI$14:$AI$132,MATCH($X405,'Lớp 4 - Danh mục'!$I$14:$I$132,0)),""),5,IFERROR(INDEX('Lớp 5 - Phân công'!$AJ$14:$AJ$262,MATCH($X405,'Lớp 5 - Phân công'!$I$14:$I$262,0)),""),6,IFERROR(INDEX('Lớp 6 - Chi tiết'!$AM$14:$AM$267,MATCH($X405,'Lớp 6 - Chi tiết'!$I$14:$I$267,0)),""),""))</f>
        <v/>
      </c>
      <c r="BJ405" s="389" t="str">
        <f t="array" ref="BJ405">IF($X405="","",SWITCH($W405,3,IFERROR(INDEX('Lớp 3 - Công việc chính'!$AR$14:$AR$73,MATCH($X405,'Lớp 3 - Công việc chính'!$I$14:$I$73,0)),""),4,IFERROR(INDEX('Lớp 4 - Danh mục'!$AU$14:$AU$132,MATCH($X405,'Lớp 4 - Danh mục'!$I$14:$I$132,0)),""),5,IFERROR(INDEX('Lớp 5 - Phân công'!$AV$14:$AV$262,MATCH($X405,'Lớp 5 - Phân công'!$I$14:$I$262,0)),""),6,IFERROR(INDEX('Lớp 6 - Chi tiết'!$AY$14:$AY$267,MATCH($X405,'Lớp 6 - Chi tiết'!$I$14:$I$267,0)),""),""))</f>
        <v/>
      </c>
    </row>
    <row r="406" ht="15.75" customHeight="1">
      <c r="A406" s="294" t="str">
        <f t="shared" si="12"/>
        <v/>
      </c>
      <c r="B406" s="301" t="str">
        <f t="shared" si="13"/>
        <v/>
      </c>
      <c r="C406" s="301" t="str">
        <f t="shared" si="14"/>
        <v/>
      </c>
      <c r="D406" s="301" t="str">
        <f t="shared" si="15"/>
        <v/>
      </c>
      <c r="E406" s="301" t="str">
        <f t="shared" si="16"/>
        <v/>
      </c>
      <c r="F406" s="317" t="str">
        <f t="shared" si="17"/>
        <v/>
      </c>
      <c r="G406" s="323" t="str">
        <f t="shared" si="18"/>
        <v/>
      </c>
      <c r="H406" s="327" t="str">
        <f t="shared" si="19"/>
        <v/>
      </c>
      <c r="I406" s="327" t="str">
        <f t="shared" si="20"/>
        <v/>
      </c>
      <c r="J406" s="301" t="str">
        <f t="shared" si="21"/>
        <v/>
      </c>
      <c r="K406" s="301" t="str">
        <f t="shared" si="22"/>
        <v/>
      </c>
      <c r="L406" s="344" t="str">
        <f t="array" ref="L406">IF($T406="","",LET(m,MATCH($T406,$AS$24:$AS$700,0),lvl,INDEX($W$24:$W$700,m),id,INDEX($X$24:$X$700,m),SWITCH(lvl,3,"Lớp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6" s="351" t="str">
        <f t="shared" si="23"/>
        <v/>
      </c>
      <c r="N406" s="356" t="str">
        <f t="shared" si="24"/>
        <v/>
      </c>
      <c r="O406" s="358"/>
      <c r="P406" s="360"/>
      <c r="Q406" s="360"/>
      <c r="R406" s="67"/>
      <c r="S406" s="67"/>
      <c r="T406" s="67"/>
      <c r="U406" s="389" t="str">
        <f>IF('Lớp 5 - Phân công'!I217="","",'Lớp 5 - Phân công'!K217&amp;"|"&amp;'Lớp 5 - Phân công'!J217&amp;"|"&amp;'Lớp 5 - Phân công'!I217)</f>
        <v/>
      </c>
      <c r="V406" s="389" t="str">
        <f>IF('Lớp 5 - Phân công'!I217="","","       ├─ "&amp;'Lớp 5 - Phân công'!Q217)</f>
        <v/>
      </c>
      <c r="W406" s="389" t="str">
        <f>IF('Lớp 5 - Phân công'!I217="","",5)</f>
        <v/>
      </c>
      <c r="X406" s="67" t="str">
        <f>'Lớp 5 - Phân công'!I217</f>
        <v/>
      </c>
      <c r="Y406" s="67" t="str">
        <f>'Lớp 5 - Phân công'!J217</f>
        <v/>
      </c>
      <c r="Z406" s="67" t="str">
        <f>'Lớp 5 - Phân công'!AA217</f>
        <v/>
      </c>
      <c r="AA406" s="67" t="str">
        <f>'Lớp 5 - Phân công'!Z217</f>
        <v/>
      </c>
      <c r="AB406" s="67" t="str">
        <f>'Lớp 5 - Phân công'!AC217</f>
        <v/>
      </c>
      <c r="AC406" s="67" t="str">
        <f>'Lớp 5 - Phân công'!AB217</f>
        <v/>
      </c>
      <c r="AD406" s="398" t="str">
        <f>'Lớp 5 - Phân công'!AG217</f>
        <v/>
      </c>
      <c r="AE406" s="358" t="str">
        <f>'Lớp 5 - Phân công'!AE217</f>
        <v/>
      </c>
      <c r="AF406" s="187" t="str">
        <f>'Lớp 5 - Phân công'!AH217</f>
        <v/>
      </c>
      <c r="AG406" s="104" t="str">
        <f>'Lớp 5 - Phân công'!AI217</f>
        <v/>
      </c>
      <c r="AH406" s="389" t="str">
        <f t="shared" si="27"/>
        <v/>
      </c>
      <c r="AI406" s="389" t="str">
        <f t="shared" si="37"/>
        <v>🔵 Chưa có hạn</v>
      </c>
      <c r="AJ406" s="67" t="str">
        <f>'Lớp 5 - Phân công'!AL217</f>
        <v/>
      </c>
      <c r="AS406" s="389" t="str">
        <f t="shared" si="217"/>
        <v/>
      </c>
      <c r="AT406" s="389" t="str">
        <f t="shared" si="32"/>
        <v/>
      </c>
      <c r="AU406" s="389" t="str">
        <f t="shared" si="33"/>
        <v/>
      </c>
      <c r="AV406" s="389" t="str">
        <f t="shared" si="34"/>
        <v/>
      </c>
      <c r="AW406" s="389" t="str">
        <f t="shared" si="35"/>
        <v/>
      </c>
      <c r="AX406" s="67" t="str">
        <f t="shared" ref="AX406:BH406" si="420">Z406</f>
        <v/>
      </c>
      <c r="AY406" s="67" t="str">
        <f t="shared" si="420"/>
        <v/>
      </c>
      <c r="AZ406" s="67" t="str">
        <f t="shared" si="420"/>
        <v/>
      </c>
      <c r="BA406" s="67" t="str">
        <f t="shared" si="420"/>
        <v/>
      </c>
      <c r="BB406" s="398" t="str">
        <f t="shared" si="420"/>
        <v/>
      </c>
      <c r="BC406" s="358" t="str">
        <f t="shared" si="420"/>
        <v/>
      </c>
      <c r="BD406" s="187" t="str">
        <f t="shared" si="420"/>
        <v/>
      </c>
      <c r="BE406" s="104" t="str">
        <f t="shared" si="420"/>
        <v/>
      </c>
      <c r="BF406" s="389" t="str">
        <f t="shared" si="420"/>
        <v/>
      </c>
      <c r="BG406" s="389" t="str">
        <f t="shared" si="420"/>
        <v>🔵 Chưa có hạn</v>
      </c>
      <c r="BH406" s="67" t="str">
        <f t="shared" si="420"/>
        <v/>
      </c>
      <c r="BI406" s="389" t="str">
        <f t="array" ref="BI406">IF($X406="","",SWITCH($W406,3,IFERROR(INDEX('Lớp 3 - Công việc chính'!$AF$14:$AF$73,MATCH($X406,'Lớp 3 - Công việc chính'!$I$14:$I$73,0)),""),4,IFERROR(INDEX('Lớp 4 - Danh mục'!$AI$14:$AI$132,MATCH($X406,'Lớp 4 - Danh mục'!$I$14:$I$132,0)),""),5,IFERROR(INDEX('Lớp 5 - Phân công'!$AJ$14:$AJ$262,MATCH($X406,'Lớp 5 - Phân công'!$I$14:$I$262,0)),""),6,IFERROR(INDEX('Lớp 6 - Chi tiết'!$AM$14:$AM$267,MATCH($X406,'Lớp 6 - Chi tiết'!$I$14:$I$267,0)),""),""))</f>
        <v/>
      </c>
      <c r="BJ406" s="389" t="str">
        <f t="array" ref="BJ406">IF($X406="","",SWITCH($W406,3,IFERROR(INDEX('Lớp 3 - Công việc chính'!$AR$14:$AR$73,MATCH($X406,'Lớp 3 - Công việc chính'!$I$14:$I$73,0)),""),4,IFERROR(INDEX('Lớp 4 - Danh mục'!$AU$14:$AU$132,MATCH($X406,'Lớp 4 - Danh mục'!$I$14:$I$132,0)),""),5,IFERROR(INDEX('Lớp 5 - Phân công'!$AV$14:$AV$262,MATCH($X406,'Lớp 5 - Phân công'!$I$14:$I$262,0)),""),6,IFERROR(INDEX('Lớp 6 - Chi tiết'!$AY$14:$AY$267,MATCH($X406,'Lớp 6 - Chi tiết'!$I$14:$I$267,0)),""),""))</f>
        <v/>
      </c>
    </row>
    <row r="407" ht="15.75" customHeight="1">
      <c r="A407" s="294" t="str">
        <f t="shared" si="12"/>
        <v/>
      </c>
      <c r="B407" s="301" t="str">
        <f t="shared" si="13"/>
        <v/>
      </c>
      <c r="C407" s="301" t="str">
        <f t="shared" si="14"/>
        <v/>
      </c>
      <c r="D407" s="301" t="str">
        <f t="shared" si="15"/>
        <v/>
      </c>
      <c r="E407" s="301" t="str">
        <f t="shared" si="16"/>
        <v/>
      </c>
      <c r="F407" s="317" t="str">
        <f t="shared" si="17"/>
        <v/>
      </c>
      <c r="G407" s="323" t="str">
        <f t="shared" si="18"/>
        <v/>
      </c>
      <c r="H407" s="327" t="str">
        <f t="shared" si="19"/>
        <v/>
      </c>
      <c r="I407" s="327" t="str">
        <f t="shared" si="20"/>
        <v/>
      </c>
      <c r="J407" s="301" t="str">
        <f t="shared" si="21"/>
        <v/>
      </c>
      <c r="K407" s="301" t="str">
        <f t="shared" si="22"/>
        <v/>
      </c>
      <c r="L407" s="344" t="str">
        <f t="array" ref="L407">IF($T407="","",LET(m,MATCH($T407,$AS$24:$AS$700,0),lvl,INDEX($W$24:$W$700,m),id,INDEX($X$24:$X$700,m),SWITCH(lvl,3,"Lớp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7" s="351" t="str">
        <f t="shared" si="23"/>
        <v/>
      </c>
      <c r="N407" s="356" t="str">
        <f t="shared" si="24"/>
        <v/>
      </c>
      <c r="O407" s="358"/>
      <c r="P407" s="360"/>
      <c r="Q407" s="360"/>
      <c r="R407" s="67"/>
      <c r="S407" s="67"/>
      <c r="T407" s="67"/>
      <c r="U407" s="389" t="str">
        <f>IF('Lớp 5 - Phân công'!I218="","",'Lớp 5 - Phân công'!K218&amp;"|"&amp;'Lớp 5 - Phân công'!J218&amp;"|"&amp;'Lớp 5 - Phân công'!I218)</f>
        <v/>
      </c>
      <c r="V407" s="389" t="str">
        <f>IF('Lớp 5 - Phân công'!I218="","","       ├─ "&amp;'Lớp 5 - Phân công'!Q218)</f>
        <v/>
      </c>
      <c r="W407" s="389" t="str">
        <f>IF('Lớp 5 - Phân công'!I218="","",5)</f>
        <v/>
      </c>
      <c r="X407" s="67" t="str">
        <f>'Lớp 5 - Phân công'!I218</f>
        <v/>
      </c>
      <c r="Y407" s="67" t="str">
        <f>'Lớp 5 - Phân công'!J218</f>
        <v/>
      </c>
      <c r="Z407" s="67" t="str">
        <f>'Lớp 5 - Phân công'!AA218</f>
        <v/>
      </c>
      <c r="AA407" s="67" t="str">
        <f>'Lớp 5 - Phân công'!Z218</f>
        <v/>
      </c>
      <c r="AB407" s="67" t="str">
        <f>'Lớp 5 - Phân công'!AC218</f>
        <v/>
      </c>
      <c r="AC407" s="67" t="str">
        <f>'Lớp 5 - Phân công'!AB218</f>
        <v/>
      </c>
      <c r="AD407" s="398" t="str">
        <f>'Lớp 5 - Phân công'!AG218</f>
        <v/>
      </c>
      <c r="AE407" s="358" t="str">
        <f>'Lớp 5 - Phân công'!AE218</f>
        <v/>
      </c>
      <c r="AF407" s="187" t="str">
        <f>'Lớp 5 - Phân công'!AH218</f>
        <v/>
      </c>
      <c r="AG407" s="104" t="str">
        <f>'Lớp 5 - Phân công'!AI218</f>
        <v/>
      </c>
      <c r="AH407" s="389" t="str">
        <f t="shared" si="27"/>
        <v/>
      </c>
      <c r="AI407" s="389" t="str">
        <f t="shared" si="37"/>
        <v>🔵 Chưa có hạn</v>
      </c>
      <c r="AJ407" s="67" t="str">
        <f>'Lớp 5 - Phân công'!AL218</f>
        <v/>
      </c>
      <c r="AS407" s="389" t="str">
        <f t="shared" si="217"/>
        <v/>
      </c>
      <c r="AT407" s="389" t="str">
        <f t="shared" si="32"/>
        <v/>
      </c>
      <c r="AU407" s="389" t="str">
        <f t="shared" si="33"/>
        <v/>
      </c>
      <c r="AV407" s="389" t="str">
        <f t="shared" si="34"/>
        <v/>
      </c>
      <c r="AW407" s="389" t="str">
        <f t="shared" si="35"/>
        <v/>
      </c>
      <c r="AX407" s="67" t="str">
        <f t="shared" ref="AX407:BH407" si="421">Z407</f>
        <v/>
      </c>
      <c r="AY407" s="67" t="str">
        <f t="shared" si="421"/>
        <v/>
      </c>
      <c r="AZ407" s="67" t="str">
        <f t="shared" si="421"/>
        <v/>
      </c>
      <c r="BA407" s="67" t="str">
        <f t="shared" si="421"/>
        <v/>
      </c>
      <c r="BB407" s="398" t="str">
        <f t="shared" si="421"/>
        <v/>
      </c>
      <c r="BC407" s="358" t="str">
        <f t="shared" si="421"/>
        <v/>
      </c>
      <c r="BD407" s="187" t="str">
        <f t="shared" si="421"/>
        <v/>
      </c>
      <c r="BE407" s="104" t="str">
        <f t="shared" si="421"/>
        <v/>
      </c>
      <c r="BF407" s="389" t="str">
        <f t="shared" si="421"/>
        <v/>
      </c>
      <c r="BG407" s="389" t="str">
        <f t="shared" si="421"/>
        <v>🔵 Chưa có hạn</v>
      </c>
      <c r="BH407" s="67" t="str">
        <f t="shared" si="421"/>
        <v/>
      </c>
      <c r="BI407" s="389" t="str">
        <f t="array" ref="BI407">IF($X407="","",SWITCH($W407,3,IFERROR(INDEX('Lớp 3 - Công việc chính'!$AF$14:$AF$73,MATCH($X407,'Lớp 3 - Công việc chính'!$I$14:$I$73,0)),""),4,IFERROR(INDEX('Lớp 4 - Danh mục'!$AI$14:$AI$132,MATCH($X407,'Lớp 4 - Danh mục'!$I$14:$I$132,0)),""),5,IFERROR(INDEX('Lớp 5 - Phân công'!$AJ$14:$AJ$262,MATCH($X407,'Lớp 5 - Phân công'!$I$14:$I$262,0)),""),6,IFERROR(INDEX('Lớp 6 - Chi tiết'!$AM$14:$AM$267,MATCH($X407,'Lớp 6 - Chi tiết'!$I$14:$I$267,0)),""),""))</f>
        <v/>
      </c>
      <c r="BJ407" s="389" t="str">
        <f t="array" ref="BJ407">IF($X407="","",SWITCH($W407,3,IFERROR(INDEX('Lớp 3 - Công việc chính'!$AR$14:$AR$73,MATCH($X407,'Lớp 3 - Công việc chính'!$I$14:$I$73,0)),""),4,IFERROR(INDEX('Lớp 4 - Danh mục'!$AU$14:$AU$132,MATCH($X407,'Lớp 4 - Danh mục'!$I$14:$I$132,0)),""),5,IFERROR(INDEX('Lớp 5 - Phân công'!$AV$14:$AV$262,MATCH($X407,'Lớp 5 - Phân công'!$I$14:$I$262,0)),""),6,IFERROR(INDEX('Lớp 6 - Chi tiết'!$AY$14:$AY$267,MATCH($X407,'Lớp 6 - Chi tiết'!$I$14:$I$267,0)),""),""))</f>
        <v/>
      </c>
    </row>
    <row r="408" ht="15.75" customHeight="1">
      <c r="A408" s="294" t="str">
        <f t="shared" si="12"/>
        <v/>
      </c>
      <c r="B408" s="301" t="str">
        <f t="shared" si="13"/>
        <v/>
      </c>
      <c r="C408" s="301" t="str">
        <f t="shared" si="14"/>
        <v/>
      </c>
      <c r="D408" s="301" t="str">
        <f t="shared" si="15"/>
        <v/>
      </c>
      <c r="E408" s="301" t="str">
        <f t="shared" si="16"/>
        <v/>
      </c>
      <c r="F408" s="317" t="str">
        <f t="shared" si="17"/>
        <v/>
      </c>
      <c r="G408" s="323" t="str">
        <f t="shared" si="18"/>
        <v/>
      </c>
      <c r="H408" s="327" t="str">
        <f t="shared" si="19"/>
        <v/>
      </c>
      <c r="I408" s="327" t="str">
        <f t="shared" si="20"/>
        <v/>
      </c>
      <c r="J408" s="301" t="str">
        <f t="shared" si="21"/>
        <v/>
      </c>
      <c r="K408" s="301" t="str">
        <f t="shared" si="22"/>
        <v/>
      </c>
      <c r="L408" s="344" t="str">
        <f t="array" ref="L408">IF($T408="","",LET(m,MATCH($T408,$AS$24:$AS$700,0),lvl,INDEX($W$24:$W$700,m),id,INDEX($X$24:$X$700,m),SWITCH(lvl,3,"Lớp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8" s="351" t="str">
        <f t="shared" si="23"/>
        <v/>
      </c>
      <c r="N408" s="356" t="str">
        <f t="shared" si="24"/>
        <v/>
      </c>
      <c r="O408" s="358"/>
      <c r="P408" s="360"/>
      <c r="Q408" s="360"/>
      <c r="R408" s="67"/>
      <c r="S408" s="67"/>
      <c r="T408" s="67"/>
      <c r="U408" s="389" t="str">
        <f>IF('Lớp 5 - Phân công'!I219="","",'Lớp 5 - Phân công'!K219&amp;"|"&amp;'Lớp 5 - Phân công'!J219&amp;"|"&amp;'Lớp 5 - Phân công'!I219)</f>
        <v/>
      </c>
      <c r="V408" s="389" t="str">
        <f>IF('Lớp 5 - Phân công'!I219="","","       ├─ "&amp;'Lớp 5 - Phân công'!Q219)</f>
        <v/>
      </c>
      <c r="W408" s="389" t="str">
        <f>IF('Lớp 5 - Phân công'!I219="","",5)</f>
        <v/>
      </c>
      <c r="X408" s="67" t="str">
        <f>'Lớp 5 - Phân công'!I219</f>
        <v/>
      </c>
      <c r="Y408" s="67" t="str">
        <f>'Lớp 5 - Phân công'!J219</f>
        <v/>
      </c>
      <c r="Z408" s="67" t="str">
        <f>'Lớp 5 - Phân công'!AA219</f>
        <v/>
      </c>
      <c r="AA408" s="67" t="str">
        <f>'Lớp 5 - Phân công'!Z219</f>
        <v/>
      </c>
      <c r="AB408" s="67" t="str">
        <f>'Lớp 5 - Phân công'!AC219</f>
        <v/>
      </c>
      <c r="AC408" s="67" t="str">
        <f>'Lớp 5 - Phân công'!AB219</f>
        <v/>
      </c>
      <c r="AD408" s="398" t="str">
        <f>'Lớp 5 - Phân công'!AG219</f>
        <v/>
      </c>
      <c r="AE408" s="358" t="str">
        <f>'Lớp 5 - Phân công'!AE219</f>
        <v/>
      </c>
      <c r="AF408" s="187" t="str">
        <f>'Lớp 5 - Phân công'!AH219</f>
        <v/>
      </c>
      <c r="AG408" s="104" t="str">
        <f>'Lớp 5 - Phân công'!AI219</f>
        <v/>
      </c>
      <c r="AH408" s="389" t="str">
        <f t="shared" si="27"/>
        <v/>
      </c>
      <c r="AI408" s="389" t="str">
        <f t="shared" si="37"/>
        <v>🔵 Chưa có hạn</v>
      </c>
      <c r="AJ408" s="67" t="str">
        <f>'Lớp 5 - Phân công'!AL219</f>
        <v/>
      </c>
      <c r="AS408" s="389" t="str">
        <f t="shared" si="217"/>
        <v/>
      </c>
      <c r="AT408" s="389" t="str">
        <f t="shared" si="32"/>
        <v/>
      </c>
      <c r="AU408" s="389" t="str">
        <f t="shared" si="33"/>
        <v/>
      </c>
      <c r="AV408" s="389" t="str">
        <f t="shared" si="34"/>
        <v/>
      </c>
      <c r="AW408" s="389" t="str">
        <f t="shared" si="35"/>
        <v/>
      </c>
      <c r="AX408" s="67" t="str">
        <f t="shared" ref="AX408:BH408" si="422">Z408</f>
        <v/>
      </c>
      <c r="AY408" s="67" t="str">
        <f t="shared" si="422"/>
        <v/>
      </c>
      <c r="AZ408" s="67" t="str">
        <f t="shared" si="422"/>
        <v/>
      </c>
      <c r="BA408" s="67" t="str">
        <f t="shared" si="422"/>
        <v/>
      </c>
      <c r="BB408" s="398" t="str">
        <f t="shared" si="422"/>
        <v/>
      </c>
      <c r="BC408" s="358" t="str">
        <f t="shared" si="422"/>
        <v/>
      </c>
      <c r="BD408" s="187" t="str">
        <f t="shared" si="422"/>
        <v/>
      </c>
      <c r="BE408" s="104" t="str">
        <f t="shared" si="422"/>
        <v/>
      </c>
      <c r="BF408" s="389" t="str">
        <f t="shared" si="422"/>
        <v/>
      </c>
      <c r="BG408" s="389" t="str">
        <f t="shared" si="422"/>
        <v>🔵 Chưa có hạn</v>
      </c>
      <c r="BH408" s="67" t="str">
        <f t="shared" si="422"/>
        <v/>
      </c>
      <c r="BI408" s="389" t="str">
        <f t="array" ref="BI408">IF($X408="","",SWITCH($W408,3,IFERROR(INDEX('Lớp 3 - Công việc chính'!$AF$14:$AF$73,MATCH($X408,'Lớp 3 - Công việc chính'!$I$14:$I$73,0)),""),4,IFERROR(INDEX('Lớp 4 - Danh mục'!$AI$14:$AI$132,MATCH($X408,'Lớp 4 - Danh mục'!$I$14:$I$132,0)),""),5,IFERROR(INDEX('Lớp 5 - Phân công'!$AJ$14:$AJ$262,MATCH($X408,'Lớp 5 - Phân công'!$I$14:$I$262,0)),""),6,IFERROR(INDEX('Lớp 6 - Chi tiết'!$AM$14:$AM$267,MATCH($X408,'Lớp 6 - Chi tiết'!$I$14:$I$267,0)),""),""))</f>
        <v/>
      </c>
      <c r="BJ408" s="389" t="str">
        <f t="array" ref="BJ408">IF($X408="","",SWITCH($W408,3,IFERROR(INDEX('Lớp 3 - Công việc chính'!$AR$14:$AR$73,MATCH($X408,'Lớp 3 - Công việc chính'!$I$14:$I$73,0)),""),4,IFERROR(INDEX('Lớp 4 - Danh mục'!$AU$14:$AU$132,MATCH($X408,'Lớp 4 - Danh mục'!$I$14:$I$132,0)),""),5,IFERROR(INDEX('Lớp 5 - Phân công'!$AV$14:$AV$262,MATCH($X408,'Lớp 5 - Phân công'!$I$14:$I$262,0)),""),6,IFERROR(INDEX('Lớp 6 - Chi tiết'!$AY$14:$AY$267,MATCH($X408,'Lớp 6 - Chi tiết'!$I$14:$I$267,0)),""),""))</f>
        <v/>
      </c>
    </row>
    <row r="409" ht="15.75" customHeight="1">
      <c r="A409" s="294" t="str">
        <f t="shared" si="12"/>
        <v/>
      </c>
      <c r="B409" s="301" t="str">
        <f t="shared" si="13"/>
        <v/>
      </c>
      <c r="C409" s="301" t="str">
        <f t="shared" si="14"/>
        <v/>
      </c>
      <c r="D409" s="301" t="str">
        <f t="shared" si="15"/>
        <v/>
      </c>
      <c r="E409" s="301" t="str">
        <f t="shared" si="16"/>
        <v/>
      </c>
      <c r="F409" s="317" t="str">
        <f t="shared" si="17"/>
        <v/>
      </c>
      <c r="G409" s="323" t="str">
        <f t="shared" si="18"/>
        <v/>
      </c>
      <c r="H409" s="327" t="str">
        <f t="shared" si="19"/>
        <v/>
      </c>
      <c r="I409" s="327" t="str">
        <f t="shared" si="20"/>
        <v/>
      </c>
      <c r="J409" s="301" t="str">
        <f t="shared" si="21"/>
        <v/>
      </c>
      <c r="K409" s="301" t="str">
        <f t="shared" si="22"/>
        <v/>
      </c>
      <c r="L409" s="344" t="str">
        <f t="array" ref="L409">IF($T409="","",LET(m,MATCH($T409,$AS$24:$AS$700,0),lvl,INDEX($W$24:$W$700,m),id,INDEX($X$24:$X$700,m),SWITCH(lvl,3,"Lớp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09" s="351" t="str">
        <f t="shared" si="23"/>
        <v/>
      </c>
      <c r="N409" s="356" t="str">
        <f t="shared" si="24"/>
        <v/>
      </c>
      <c r="O409" s="358"/>
      <c r="P409" s="360"/>
      <c r="Q409" s="360"/>
      <c r="R409" s="67"/>
      <c r="S409" s="67"/>
      <c r="T409" s="67"/>
      <c r="U409" s="389" t="str">
        <f>IF('Lớp 5 - Phân công'!I220="","",'Lớp 5 - Phân công'!K220&amp;"|"&amp;'Lớp 5 - Phân công'!J220&amp;"|"&amp;'Lớp 5 - Phân công'!I220)</f>
        <v/>
      </c>
      <c r="V409" s="389" t="str">
        <f>IF('Lớp 5 - Phân công'!I220="","","       ├─ "&amp;'Lớp 5 - Phân công'!Q220)</f>
        <v/>
      </c>
      <c r="W409" s="389" t="str">
        <f>IF('Lớp 5 - Phân công'!I220="","",5)</f>
        <v/>
      </c>
      <c r="X409" s="67" t="str">
        <f>'Lớp 5 - Phân công'!I220</f>
        <v/>
      </c>
      <c r="Y409" s="67" t="str">
        <f>'Lớp 5 - Phân công'!J220</f>
        <v/>
      </c>
      <c r="Z409" s="67" t="str">
        <f>'Lớp 5 - Phân công'!AA220</f>
        <v/>
      </c>
      <c r="AA409" s="67" t="str">
        <f>'Lớp 5 - Phân công'!Z220</f>
        <v/>
      </c>
      <c r="AB409" s="67" t="str">
        <f>'Lớp 5 - Phân công'!AC220</f>
        <v/>
      </c>
      <c r="AC409" s="67" t="str">
        <f>'Lớp 5 - Phân công'!AB220</f>
        <v/>
      </c>
      <c r="AD409" s="398" t="str">
        <f>'Lớp 5 - Phân công'!AG220</f>
        <v/>
      </c>
      <c r="AE409" s="358" t="str">
        <f>'Lớp 5 - Phân công'!AE220</f>
        <v/>
      </c>
      <c r="AF409" s="187" t="str">
        <f>'Lớp 5 - Phân công'!AH220</f>
        <v/>
      </c>
      <c r="AG409" s="104" t="str">
        <f>'Lớp 5 - Phân công'!AI220</f>
        <v/>
      </c>
      <c r="AH409" s="389" t="str">
        <f t="shared" si="27"/>
        <v/>
      </c>
      <c r="AI409" s="389" t="str">
        <f t="shared" si="37"/>
        <v>🔵 Chưa có hạn</v>
      </c>
      <c r="AJ409" s="67" t="str">
        <f>'Lớp 5 - Phân công'!AL220</f>
        <v/>
      </c>
      <c r="AS409" s="389" t="str">
        <f t="shared" si="217"/>
        <v/>
      </c>
      <c r="AT409" s="389" t="str">
        <f t="shared" si="32"/>
        <v/>
      </c>
      <c r="AU409" s="389" t="str">
        <f t="shared" si="33"/>
        <v/>
      </c>
      <c r="AV409" s="389" t="str">
        <f t="shared" si="34"/>
        <v/>
      </c>
      <c r="AW409" s="389" t="str">
        <f t="shared" si="35"/>
        <v/>
      </c>
      <c r="AX409" s="67" t="str">
        <f t="shared" ref="AX409:BH409" si="423">Z409</f>
        <v/>
      </c>
      <c r="AY409" s="67" t="str">
        <f t="shared" si="423"/>
        <v/>
      </c>
      <c r="AZ409" s="67" t="str">
        <f t="shared" si="423"/>
        <v/>
      </c>
      <c r="BA409" s="67" t="str">
        <f t="shared" si="423"/>
        <v/>
      </c>
      <c r="BB409" s="398" t="str">
        <f t="shared" si="423"/>
        <v/>
      </c>
      <c r="BC409" s="358" t="str">
        <f t="shared" si="423"/>
        <v/>
      </c>
      <c r="BD409" s="187" t="str">
        <f t="shared" si="423"/>
        <v/>
      </c>
      <c r="BE409" s="104" t="str">
        <f t="shared" si="423"/>
        <v/>
      </c>
      <c r="BF409" s="389" t="str">
        <f t="shared" si="423"/>
        <v/>
      </c>
      <c r="BG409" s="389" t="str">
        <f t="shared" si="423"/>
        <v>🔵 Chưa có hạn</v>
      </c>
      <c r="BH409" s="67" t="str">
        <f t="shared" si="423"/>
        <v/>
      </c>
      <c r="BI409" s="389" t="str">
        <f t="array" ref="BI409">IF($X409="","",SWITCH($W409,3,IFERROR(INDEX('Lớp 3 - Công việc chính'!$AF$14:$AF$73,MATCH($X409,'Lớp 3 - Công việc chính'!$I$14:$I$73,0)),""),4,IFERROR(INDEX('Lớp 4 - Danh mục'!$AI$14:$AI$132,MATCH($X409,'Lớp 4 - Danh mục'!$I$14:$I$132,0)),""),5,IFERROR(INDEX('Lớp 5 - Phân công'!$AJ$14:$AJ$262,MATCH($X409,'Lớp 5 - Phân công'!$I$14:$I$262,0)),""),6,IFERROR(INDEX('Lớp 6 - Chi tiết'!$AM$14:$AM$267,MATCH($X409,'Lớp 6 - Chi tiết'!$I$14:$I$267,0)),""),""))</f>
        <v/>
      </c>
      <c r="BJ409" s="389" t="str">
        <f t="array" ref="BJ409">IF($X409="","",SWITCH($W409,3,IFERROR(INDEX('Lớp 3 - Công việc chính'!$AR$14:$AR$73,MATCH($X409,'Lớp 3 - Công việc chính'!$I$14:$I$73,0)),""),4,IFERROR(INDEX('Lớp 4 - Danh mục'!$AU$14:$AU$132,MATCH($X409,'Lớp 4 - Danh mục'!$I$14:$I$132,0)),""),5,IFERROR(INDEX('Lớp 5 - Phân công'!$AV$14:$AV$262,MATCH($X409,'Lớp 5 - Phân công'!$I$14:$I$262,0)),""),6,IFERROR(INDEX('Lớp 6 - Chi tiết'!$AY$14:$AY$267,MATCH($X409,'Lớp 6 - Chi tiết'!$I$14:$I$267,0)),""),""))</f>
        <v/>
      </c>
    </row>
    <row r="410" ht="15.75" customHeight="1">
      <c r="A410" s="294" t="str">
        <f t="shared" si="12"/>
        <v/>
      </c>
      <c r="B410" s="301" t="str">
        <f t="shared" si="13"/>
        <v/>
      </c>
      <c r="C410" s="301" t="str">
        <f t="shared" si="14"/>
        <v/>
      </c>
      <c r="D410" s="301" t="str">
        <f t="shared" si="15"/>
        <v/>
      </c>
      <c r="E410" s="301" t="str">
        <f t="shared" si="16"/>
        <v/>
      </c>
      <c r="F410" s="317" t="str">
        <f t="shared" si="17"/>
        <v/>
      </c>
      <c r="G410" s="323" t="str">
        <f t="shared" si="18"/>
        <v/>
      </c>
      <c r="H410" s="327" t="str">
        <f t="shared" si="19"/>
        <v/>
      </c>
      <c r="I410" s="327" t="str">
        <f t="shared" si="20"/>
        <v/>
      </c>
      <c r="J410" s="301" t="str">
        <f t="shared" si="21"/>
        <v/>
      </c>
      <c r="K410" s="301" t="str">
        <f t="shared" si="22"/>
        <v/>
      </c>
      <c r="L410" s="344" t="str">
        <f t="array" ref="L410">IF($T410="","",LET(m,MATCH($T410,$AS$24:$AS$700,0),lvl,INDEX($W$24:$W$700,m),id,INDEX($X$24:$X$700,m),SWITCH(lvl,3,"Lớp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0" s="351" t="str">
        <f t="shared" si="23"/>
        <v/>
      </c>
      <c r="N410" s="356" t="str">
        <f t="shared" si="24"/>
        <v/>
      </c>
      <c r="O410" s="358"/>
      <c r="P410" s="360"/>
      <c r="Q410" s="360"/>
      <c r="R410" s="67"/>
      <c r="S410" s="67"/>
      <c r="T410" s="67"/>
      <c r="U410" s="389" t="str">
        <f>IF('Lớp 5 - Phân công'!I221="","",'Lớp 5 - Phân công'!K221&amp;"|"&amp;'Lớp 5 - Phân công'!J221&amp;"|"&amp;'Lớp 5 - Phân công'!I221)</f>
        <v/>
      </c>
      <c r="V410" s="389" t="str">
        <f>IF('Lớp 5 - Phân công'!I221="","","       ├─ "&amp;'Lớp 5 - Phân công'!Q221)</f>
        <v/>
      </c>
      <c r="W410" s="389" t="str">
        <f>IF('Lớp 5 - Phân công'!I221="","",5)</f>
        <v/>
      </c>
      <c r="X410" s="67" t="str">
        <f>'Lớp 5 - Phân công'!I221</f>
        <v/>
      </c>
      <c r="Y410" s="67" t="str">
        <f>'Lớp 5 - Phân công'!J221</f>
        <v/>
      </c>
      <c r="Z410" s="67" t="str">
        <f>'Lớp 5 - Phân công'!AA221</f>
        <v/>
      </c>
      <c r="AA410" s="67" t="str">
        <f>'Lớp 5 - Phân công'!Z221</f>
        <v/>
      </c>
      <c r="AB410" s="67" t="str">
        <f>'Lớp 5 - Phân công'!AC221</f>
        <v/>
      </c>
      <c r="AC410" s="67" t="str">
        <f>'Lớp 5 - Phân công'!AB221</f>
        <v/>
      </c>
      <c r="AD410" s="398" t="str">
        <f>'Lớp 5 - Phân công'!AG221</f>
        <v/>
      </c>
      <c r="AE410" s="358" t="str">
        <f>'Lớp 5 - Phân công'!AE221</f>
        <v/>
      </c>
      <c r="AF410" s="187" t="str">
        <f>'Lớp 5 - Phân công'!AH221</f>
        <v/>
      </c>
      <c r="AG410" s="104" t="str">
        <f>'Lớp 5 - Phân công'!AI221</f>
        <v/>
      </c>
      <c r="AH410" s="389" t="str">
        <f t="shared" si="27"/>
        <v/>
      </c>
      <c r="AI410" s="389" t="str">
        <f t="shared" si="37"/>
        <v>🔵 Chưa có hạn</v>
      </c>
      <c r="AJ410" s="67" t="str">
        <f>'Lớp 5 - Phân công'!AL221</f>
        <v/>
      </c>
      <c r="AS410" s="389" t="str">
        <f t="shared" si="217"/>
        <v/>
      </c>
      <c r="AT410" s="389" t="str">
        <f t="shared" si="32"/>
        <v/>
      </c>
      <c r="AU410" s="389" t="str">
        <f t="shared" si="33"/>
        <v/>
      </c>
      <c r="AV410" s="389" t="str">
        <f t="shared" si="34"/>
        <v/>
      </c>
      <c r="AW410" s="389" t="str">
        <f t="shared" si="35"/>
        <v/>
      </c>
      <c r="AX410" s="67" t="str">
        <f t="shared" ref="AX410:BH410" si="424">Z410</f>
        <v/>
      </c>
      <c r="AY410" s="67" t="str">
        <f t="shared" si="424"/>
        <v/>
      </c>
      <c r="AZ410" s="67" t="str">
        <f t="shared" si="424"/>
        <v/>
      </c>
      <c r="BA410" s="67" t="str">
        <f t="shared" si="424"/>
        <v/>
      </c>
      <c r="BB410" s="398" t="str">
        <f t="shared" si="424"/>
        <v/>
      </c>
      <c r="BC410" s="358" t="str">
        <f t="shared" si="424"/>
        <v/>
      </c>
      <c r="BD410" s="187" t="str">
        <f t="shared" si="424"/>
        <v/>
      </c>
      <c r="BE410" s="104" t="str">
        <f t="shared" si="424"/>
        <v/>
      </c>
      <c r="BF410" s="389" t="str">
        <f t="shared" si="424"/>
        <v/>
      </c>
      <c r="BG410" s="389" t="str">
        <f t="shared" si="424"/>
        <v>🔵 Chưa có hạn</v>
      </c>
      <c r="BH410" s="67" t="str">
        <f t="shared" si="424"/>
        <v/>
      </c>
      <c r="BI410" s="389" t="str">
        <f t="array" ref="BI410">IF($X410="","",SWITCH($W410,3,IFERROR(INDEX('Lớp 3 - Công việc chính'!$AF$14:$AF$73,MATCH($X410,'Lớp 3 - Công việc chính'!$I$14:$I$73,0)),""),4,IFERROR(INDEX('Lớp 4 - Danh mục'!$AI$14:$AI$132,MATCH($X410,'Lớp 4 - Danh mục'!$I$14:$I$132,0)),""),5,IFERROR(INDEX('Lớp 5 - Phân công'!$AJ$14:$AJ$262,MATCH($X410,'Lớp 5 - Phân công'!$I$14:$I$262,0)),""),6,IFERROR(INDEX('Lớp 6 - Chi tiết'!$AM$14:$AM$267,MATCH($X410,'Lớp 6 - Chi tiết'!$I$14:$I$267,0)),""),""))</f>
        <v/>
      </c>
      <c r="BJ410" s="389" t="str">
        <f t="array" ref="BJ410">IF($X410="","",SWITCH($W410,3,IFERROR(INDEX('Lớp 3 - Công việc chính'!$AR$14:$AR$73,MATCH($X410,'Lớp 3 - Công việc chính'!$I$14:$I$73,0)),""),4,IFERROR(INDEX('Lớp 4 - Danh mục'!$AU$14:$AU$132,MATCH($X410,'Lớp 4 - Danh mục'!$I$14:$I$132,0)),""),5,IFERROR(INDEX('Lớp 5 - Phân công'!$AV$14:$AV$262,MATCH($X410,'Lớp 5 - Phân công'!$I$14:$I$262,0)),""),6,IFERROR(INDEX('Lớp 6 - Chi tiết'!$AY$14:$AY$267,MATCH($X410,'Lớp 6 - Chi tiết'!$I$14:$I$267,0)),""),""))</f>
        <v/>
      </c>
    </row>
    <row r="411" ht="15.75" customHeight="1">
      <c r="A411" s="294" t="str">
        <f t="shared" si="12"/>
        <v/>
      </c>
      <c r="B411" s="301" t="str">
        <f t="shared" si="13"/>
        <v/>
      </c>
      <c r="C411" s="301" t="str">
        <f t="shared" si="14"/>
        <v/>
      </c>
      <c r="D411" s="301" t="str">
        <f t="shared" si="15"/>
        <v/>
      </c>
      <c r="E411" s="301" t="str">
        <f t="shared" si="16"/>
        <v/>
      </c>
      <c r="F411" s="317" t="str">
        <f t="shared" si="17"/>
        <v/>
      </c>
      <c r="G411" s="323" t="str">
        <f t="shared" si="18"/>
        <v/>
      </c>
      <c r="H411" s="327" t="str">
        <f t="shared" si="19"/>
        <v/>
      </c>
      <c r="I411" s="327" t="str">
        <f t="shared" si="20"/>
        <v/>
      </c>
      <c r="J411" s="301" t="str">
        <f t="shared" si="21"/>
        <v/>
      </c>
      <c r="K411" s="301" t="str">
        <f t="shared" si="22"/>
        <v/>
      </c>
      <c r="L411" s="344" t="str">
        <f t="array" ref="L411">IF($T411="","",LET(m,MATCH($T411,$AS$24:$AS$700,0),lvl,INDEX($W$24:$W$700,m),id,INDEX($X$24:$X$700,m),SWITCH(lvl,3,"Lớp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1" s="351" t="str">
        <f t="shared" si="23"/>
        <v/>
      </c>
      <c r="N411" s="356" t="str">
        <f t="shared" si="24"/>
        <v/>
      </c>
      <c r="O411" s="358"/>
      <c r="P411" s="360"/>
      <c r="Q411" s="360"/>
      <c r="R411" s="67"/>
      <c r="S411" s="67"/>
      <c r="T411" s="67"/>
      <c r="U411" s="389" t="str">
        <f>IF('Lớp 5 - Phân công'!I222="","",'Lớp 5 - Phân công'!K222&amp;"|"&amp;'Lớp 5 - Phân công'!J222&amp;"|"&amp;'Lớp 5 - Phân công'!I222)</f>
        <v/>
      </c>
      <c r="V411" s="389" t="str">
        <f>IF('Lớp 5 - Phân công'!I222="","","       ├─ "&amp;'Lớp 5 - Phân công'!Q222)</f>
        <v/>
      </c>
      <c r="W411" s="389" t="str">
        <f>IF('Lớp 5 - Phân công'!I222="","",5)</f>
        <v/>
      </c>
      <c r="X411" s="67" t="str">
        <f>'Lớp 5 - Phân công'!I222</f>
        <v/>
      </c>
      <c r="Y411" s="67" t="str">
        <f>'Lớp 5 - Phân công'!J222</f>
        <v/>
      </c>
      <c r="Z411" s="67" t="str">
        <f>'Lớp 5 - Phân công'!AA222</f>
        <v/>
      </c>
      <c r="AA411" s="67" t="str">
        <f>'Lớp 5 - Phân công'!Z222</f>
        <v/>
      </c>
      <c r="AB411" s="67" t="str">
        <f>'Lớp 5 - Phân công'!AC222</f>
        <v/>
      </c>
      <c r="AC411" s="67" t="str">
        <f>'Lớp 5 - Phân công'!AB222</f>
        <v/>
      </c>
      <c r="AD411" s="398" t="str">
        <f>'Lớp 5 - Phân công'!AG222</f>
        <v/>
      </c>
      <c r="AE411" s="358" t="str">
        <f>'Lớp 5 - Phân công'!AE222</f>
        <v/>
      </c>
      <c r="AF411" s="187" t="str">
        <f>'Lớp 5 - Phân công'!AH222</f>
        <v/>
      </c>
      <c r="AG411" s="104" t="str">
        <f>'Lớp 5 - Phân công'!AI222</f>
        <v/>
      </c>
      <c r="AH411" s="389" t="str">
        <f t="shared" si="27"/>
        <v/>
      </c>
      <c r="AI411" s="389" t="str">
        <f t="shared" si="37"/>
        <v>🔵 Chưa có hạn</v>
      </c>
      <c r="AJ411" s="67" t="str">
        <f>'Lớp 5 - Phân công'!AL222</f>
        <v/>
      </c>
      <c r="AS411" s="389" t="str">
        <f t="shared" si="217"/>
        <v/>
      </c>
      <c r="AT411" s="389" t="str">
        <f t="shared" si="32"/>
        <v/>
      </c>
      <c r="AU411" s="389" t="str">
        <f t="shared" si="33"/>
        <v/>
      </c>
      <c r="AV411" s="389" t="str">
        <f t="shared" si="34"/>
        <v/>
      </c>
      <c r="AW411" s="389" t="str">
        <f t="shared" si="35"/>
        <v/>
      </c>
      <c r="AX411" s="67" t="str">
        <f t="shared" ref="AX411:BH411" si="425">Z411</f>
        <v/>
      </c>
      <c r="AY411" s="67" t="str">
        <f t="shared" si="425"/>
        <v/>
      </c>
      <c r="AZ411" s="67" t="str">
        <f t="shared" si="425"/>
        <v/>
      </c>
      <c r="BA411" s="67" t="str">
        <f t="shared" si="425"/>
        <v/>
      </c>
      <c r="BB411" s="398" t="str">
        <f t="shared" si="425"/>
        <v/>
      </c>
      <c r="BC411" s="358" t="str">
        <f t="shared" si="425"/>
        <v/>
      </c>
      <c r="BD411" s="187" t="str">
        <f t="shared" si="425"/>
        <v/>
      </c>
      <c r="BE411" s="104" t="str">
        <f t="shared" si="425"/>
        <v/>
      </c>
      <c r="BF411" s="389" t="str">
        <f t="shared" si="425"/>
        <v/>
      </c>
      <c r="BG411" s="389" t="str">
        <f t="shared" si="425"/>
        <v>🔵 Chưa có hạn</v>
      </c>
      <c r="BH411" s="67" t="str">
        <f t="shared" si="425"/>
        <v/>
      </c>
      <c r="BI411" s="389" t="str">
        <f t="array" ref="BI411">IF($X411="","",SWITCH($W411,3,IFERROR(INDEX('Lớp 3 - Công việc chính'!$AF$14:$AF$73,MATCH($X411,'Lớp 3 - Công việc chính'!$I$14:$I$73,0)),""),4,IFERROR(INDEX('Lớp 4 - Danh mục'!$AI$14:$AI$132,MATCH($X411,'Lớp 4 - Danh mục'!$I$14:$I$132,0)),""),5,IFERROR(INDEX('Lớp 5 - Phân công'!$AJ$14:$AJ$262,MATCH($X411,'Lớp 5 - Phân công'!$I$14:$I$262,0)),""),6,IFERROR(INDEX('Lớp 6 - Chi tiết'!$AM$14:$AM$267,MATCH($X411,'Lớp 6 - Chi tiết'!$I$14:$I$267,0)),""),""))</f>
        <v/>
      </c>
      <c r="BJ411" s="389" t="str">
        <f t="array" ref="BJ411">IF($X411="","",SWITCH($W411,3,IFERROR(INDEX('Lớp 3 - Công việc chính'!$AR$14:$AR$73,MATCH($X411,'Lớp 3 - Công việc chính'!$I$14:$I$73,0)),""),4,IFERROR(INDEX('Lớp 4 - Danh mục'!$AU$14:$AU$132,MATCH($X411,'Lớp 4 - Danh mục'!$I$14:$I$132,0)),""),5,IFERROR(INDEX('Lớp 5 - Phân công'!$AV$14:$AV$262,MATCH($X411,'Lớp 5 - Phân công'!$I$14:$I$262,0)),""),6,IFERROR(INDEX('Lớp 6 - Chi tiết'!$AY$14:$AY$267,MATCH($X411,'Lớp 6 - Chi tiết'!$I$14:$I$267,0)),""),""))</f>
        <v/>
      </c>
    </row>
    <row r="412" ht="15.75" customHeight="1">
      <c r="A412" s="294" t="str">
        <f t="shared" si="12"/>
        <v/>
      </c>
      <c r="B412" s="301" t="str">
        <f t="shared" si="13"/>
        <v/>
      </c>
      <c r="C412" s="301" t="str">
        <f t="shared" si="14"/>
        <v/>
      </c>
      <c r="D412" s="301" t="str">
        <f t="shared" si="15"/>
        <v/>
      </c>
      <c r="E412" s="301" t="str">
        <f t="shared" si="16"/>
        <v/>
      </c>
      <c r="F412" s="317" t="str">
        <f t="shared" si="17"/>
        <v/>
      </c>
      <c r="G412" s="323" t="str">
        <f t="shared" si="18"/>
        <v/>
      </c>
      <c r="H412" s="327" t="str">
        <f t="shared" si="19"/>
        <v/>
      </c>
      <c r="I412" s="327" t="str">
        <f t="shared" si="20"/>
        <v/>
      </c>
      <c r="J412" s="301" t="str">
        <f t="shared" si="21"/>
        <v/>
      </c>
      <c r="K412" s="301" t="str">
        <f t="shared" si="22"/>
        <v/>
      </c>
      <c r="L412" s="344" t="str">
        <f t="array" ref="L412">IF($T412="","",LET(m,MATCH($T412,$AS$24:$AS$700,0),lvl,INDEX($W$24:$W$700,m),id,INDEX($X$24:$X$700,m),SWITCH(lvl,3,"Lớp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2" s="351" t="str">
        <f t="shared" si="23"/>
        <v/>
      </c>
      <c r="N412" s="356" t="str">
        <f t="shared" si="24"/>
        <v/>
      </c>
      <c r="O412" s="358"/>
      <c r="P412" s="360"/>
      <c r="Q412" s="360"/>
      <c r="R412" s="67"/>
      <c r="S412" s="67"/>
      <c r="T412" s="67"/>
      <c r="U412" s="389" t="str">
        <f>IF('Lớp 5 - Phân công'!I223="","",'Lớp 5 - Phân công'!K223&amp;"|"&amp;'Lớp 5 - Phân công'!J223&amp;"|"&amp;'Lớp 5 - Phân công'!I223)</f>
        <v/>
      </c>
      <c r="V412" s="389" t="str">
        <f>IF('Lớp 5 - Phân công'!I223="","","       ├─ "&amp;'Lớp 5 - Phân công'!Q223)</f>
        <v/>
      </c>
      <c r="W412" s="389" t="str">
        <f>IF('Lớp 5 - Phân công'!I223="","",5)</f>
        <v/>
      </c>
      <c r="X412" s="67" t="str">
        <f>'Lớp 5 - Phân công'!I223</f>
        <v/>
      </c>
      <c r="Y412" s="67" t="str">
        <f>'Lớp 5 - Phân công'!J223</f>
        <v/>
      </c>
      <c r="Z412" s="67" t="str">
        <f>'Lớp 5 - Phân công'!AA223</f>
        <v/>
      </c>
      <c r="AA412" s="67" t="str">
        <f>'Lớp 5 - Phân công'!Z223</f>
        <v/>
      </c>
      <c r="AB412" s="67" t="str">
        <f>'Lớp 5 - Phân công'!AC223</f>
        <v/>
      </c>
      <c r="AC412" s="67" t="str">
        <f>'Lớp 5 - Phân công'!AB223</f>
        <v/>
      </c>
      <c r="AD412" s="398" t="str">
        <f>'Lớp 5 - Phân công'!AG223</f>
        <v/>
      </c>
      <c r="AE412" s="358" t="str">
        <f>'Lớp 5 - Phân công'!AE223</f>
        <v/>
      </c>
      <c r="AF412" s="187" t="str">
        <f>'Lớp 5 - Phân công'!AH223</f>
        <v/>
      </c>
      <c r="AG412" s="104" t="str">
        <f>'Lớp 5 - Phân công'!AI223</f>
        <v/>
      </c>
      <c r="AH412" s="389" t="str">
        <f t="shared" si="27"/>
        <v/>
      </c>
      <c r="AI412" s="389" t="str">
        <f t="shared" si="37"/>
        <v>🔵 Chưa có hạn</v>
      </c>
      <c r="AJ412" s="67" t="str">
        <f>'Lớp 5 - Phân công'!AL223</f>
        <v/>
      </c>
      <c r="AS412" s="389" t="str">
        <f t="shared" si="217"/>
        <v/>
      </c>
      <c r="AT412" s="389" t="str">
        <f t="shared" si="32"/>
        <v/>
      </c>
      <c r="AU412" s="389" t="str">
        <f t="shared" si="33"/>
        <v/>
      </c>
      <c r="AV412" s="389" t="str">
        <f t="shared" si="34"/>
        <v/>
      </c>
      <c r="AW412" s="389" t="str">
        <f t="shared" si="35"/>
        <v/>
      </c>
      <c r="AX412" s="67" t="str">
        <f t="shared" ref="AX412:BH412" si="426">Z412</f>
        <v/>
      </c>
      <c r="AY412" s="67" t="str">
        <f t="shared" si="426"/>
        <v/>
      </c>
      <c r="AZ412" s="67" t="str">
        <f t="shared" si="426"/>
        <v/>
      </c>
      <c r="BA412" s="67" t="str">
        <f t="shared" si="426"/>
        <v/>
      </c>
      <c r="BB412" s="398" t="str">
        <f t="shared" si="426"/>
        <v/>
      </c>
      <c r="BC412" s="358" t="str">
        <f t="shared" si="426"/>
        <v/>
      </c>
      <c r="BD412" s="187" t="str">
        <f t="shared" si="426"/>
        <v/>
      </c>
      <c r="BE412" s="104" t="str">
        <f t="shared" si="426"/>
        <v/>
      </c>
      <c r="BF412" s="389" t="str">
        <f t="shared" si="426"/>
        <v/>
      </c>
      <c r="BG412" s="389" t="str">
        <f t="shared" si="426"/>
        <v>🔵 Chưa có hạn</v>
      </c>
      <c r="BH412" s="67" t="str">
        <f t="shared" si="426"/>
        <v/>
      </c>
      <c r="BI412" s="389" t="str">
        <f t="array" ref="BI412">IF($X412="","",SWITCH($W412,3,IFERROR(INDEX('Lớp 3 - Công việc chính'!$AF$14:$AF$73,MATCH($X412,'Lớp 3 - Công việc chính'!$I$14:$I$73,0)),""),4,IFERROR(INDEX('Lớp 4 - Danh mục'!$AI$14:$AI$132,MATCH($X412,'Lớp 4 - Danh mục'!$I$14:$I$132,0)),""),5,IFERROR(INDEX('Lớp 5 - Phân công'!$AJ$14:$AJ$262,MATCH($X412,'Lớp 5 - Phân công'!$I$14:$I$262,0)),""),6,IFERROR(INDEX('Lớp 6 - Chi tiết'!$AM$14:$AM$267,MATCH($X412,'Lớp 6 - Chi tiết'!$I$14:$I$267,0)),""),""))</f>
        <v/>
      </c>
      <c r="BJ412" s="389" t="str">
        <f t="array" ref="BJ412">IF($X412="","",SWITCH($W412,3,IFERROR(INDEX('Lớp 3 - Công việc chính'!$AR$14:$AR$73,MATCH($X412,'Lớp 3 - Công việc chính'!$I$14:$I$73,0)),""),4,IFERROR(INDEX('Lớp 4 - Danh mục'!$AU$14:$AU$132,MATCH($X412,'Lớp 4 - Danh mục'!$I$14:$I$132,0)),""),5,IFERROR(INDEX('Lớp 5 - Phân công'!$AV$14:$AV$262,MATCH($X412,'Lớp 5 - Phân công'!$I$14:$I$262,0)),""),6,IFERROR(INDEX('Lớp 6 - Chi tiết'!$AY$14:$AY$267,MATCH($X412,'Lớp 6 - Chi tiết'!$I$14:$I$267,0)),""),""))</f>
        <v/>
      </c>
    </row>
    <row r="413" ht="15.75" customHeight="1">
      <c r="A413" s="294" t="str">
        <f t="shared" si="12"/>
        <v/>
      </c>
      <c r="B413" s="301" t="str">
        <f t="shared" si="13"/>
        <v/>
      </c>
      <c r="C413" s="301" t="str">
        <f t="shared" si="14"/>
        <v/>
      </c>
      <c r="D413" s="301" t="str">
        <f t="shared" si="15"/>
        <v/>
      </c>
      <c r="E413" s="301" t="str">
        <f t="shared" si="16"/>
        <v/>
      </c>
      <c r="F413" s="317" t="str">
        <f t="shared" si="17"/>
        <v/>
      </c>
      <c r="G413" s="323" t="str">
        <f t="shared" si="18"/>
        <v/>
      </c>
      <c r="H413" s="327" t="str">
        <f t="shared" si="19"/>
        <v/>
      </c>
      <c r="I413" s="327" t="str">
        <f t="shared" si="20"/>
        <v/>
      </c>
      <c r="J413" s="301" t="str">
        <f t="shared" si="21"/>
        <v/>
      </c>
      <c r="K413" s="301" t="str">
        <f t="shared" si="22"/>
        <v/>
      </c>
      <c r="L413" s="344" t="str">
        <f t="array" ref="L413">IF($T413="","",LET(m,MATCH($T413,$AS$24:$AS$700,0),lvl,INDEX($W$24:$W$700,m),id,INDEX($X$24:$X$700,m),SWITCH(lvl,3,"Lớp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3" s="351" t="str">
        <f t="shared" si="23"/>
        <v/>
      </c>
      <c r="N413" s="356" t="str">
        <f t="shared" si="24"/>
        <v/>
      </c>
      <c r="O413" s="358"/>
      <c r="P413" s="360"/>
      <c r="Q413" s="360"/>
      <c r="R413" s="67"/>
      <c r="S413" s="67"/>
      <c r="T413" s="67"/>
      <c r="U413" s="389" t="str">
        <f>IF('Lớp 5 - Phân công'!I224="","",'Lớp 5 - Phân công'!K224&amp;"|"&amp;'Lớp 5 - Phân công'!J224&amp;"|"&amp;'Lớp 5 - Phân công'!I224)</f>
        <v/>
      </c>
      <c r="V413" s="389" t="str">
        <f>IF('Lớp 5 - Phân công'!I224="","","       ├─ "&amp;'Lớp 5 - Phân công'!Q224)</f>
        <v/>
      </c>
      <c r="W413" s="389" t="str">
        <f>IF('Lớp 5 - Phân công'!I224="","",5)</f>
        <v/>
      </c>
      <c r="X413" s="67" t="str">
        <f>'Lớp 5 - Phân công'!I224</f>
        <v/>
      </c>
      <c r="Y413" s="67" t="str">
        <f>'Lớp 5 - Phân công'!J224</f>
        <v/>
      </c>
      <c r="Z413" s="67" t="str">
        <f>'Lớp 5 - Phân công'!AA224</f>
        <v/>
      </c>
      <c r="AA413" s="67" t="str">
        <f>'Lớp 5 - Phân công'!Z224</f>
        <v/>
      </c>
      <c r="AB413" s="67" t="str">
        <f>'Lớp 5 - Phân công'!AC224</f>
        <v/>
      </c>
      <c r="AC413" s="67" t="str">
        <f>'Lớp 5 - Phân công'!AB224</f>
        <v/>
      </c>
      <c r="AD413" s="398" t="str">
        <f>'Lớp 5 - Phân công'!AG224</f>
        <v/>
      </c>
      <c r="AE413" s="358" t="str">
        <f>'Lớp 5 - Phân công'!AE224</f>
        <v/>
      </c>
      <c r="AF413" s="187" t="str">
        <f>'Lớp 5 - Phân công'!AH224</f>
        <v/>
      </c>
      <c r="AG413" s="104" t="str">
        <f>'Lớp 5 - Phân công'!AI224</f>
        <v/>
      </c>
      <c r="AH413" s="389" t="str">
        <f t="shared" si="27"/>
        <v/>
      </c>
      <c r="AI413" s="389" t="str">
        <f t="shared" si="37"/>
        <v>🔵 Chưa có hạn</v>
      </c>
      <c r="AJ413" s="67" t="str">
        <f>'Lớp 5 - Phân công'!AL224</f>
        <v/>
      </c>
      <c r="AS413" s="389" t="str">
        <f t="shared" si="217"/>
        <v/>
      </c>
      <c r="AT413" s="389" t="str">
        <f t="shared" si="32"/>
        <v/>
      </c>
      <c r="AU413" s="389" t="str">
        <f t="shared" si="33"/>
        <v/>
      </c>
      <c r="AV413" s="389" t="str">
        <f t="shared" si="34"/>
        <v/>
      </c>
      <c r="AW413" s="389" t="str">
        <f t="shared" si="35"/>
        <v/>
      </c>
      <c r="AX413" s="67" t="str">
        <f t="shared" ref="AX413:BH413" si="427">Z413</f>
        <v/>
      </c>
      <c r="AY413" s="67" t="str">
        <f t="shared" si="427"/>
        <v/>
      </c>
      <c r="AZ413" s="67" t="str">
        <f t="shared" si="427"/>
        <v/>
      </c>
      <c r="BA413" s="67" t="str">
        <f t="shared" si="427"/>
        <v/>
      </c>
      <c r="BB413" s="398" t="str">
        <f t="shared" si="427"/>
        <v/>
      </c>
      <c r="BC413" s="358" t="str">
        <f t="shared" si="427"/>
        <v/>
      </c>
      <c r="BD413" s="187" t="str">
        <f t="shared" si="427"/>
        <v/>
      </c>
      <c r="BE413" s="104" t="str">
        <f t="shared" si="427"/>
        <v/>
      </c>
      <c r="BF413" s="389" t="str">
        <f t="shared" si="427"/>
        <v/>
      </c>
      <c r="BG413" s="389" t="str">
        <f t="shared" si="427"/>
        <v>🔵 Chưa có hạn</v>
      </c>
      <c r="BH413" s="67" t="str">
        <f t="shared" si="427"/>
        <v/>
      </c>
      <c r="BI413" s="389" t="str">
        <f t="array" ref="BI413">IF($X413="","",SWITCH($W413,3,IFERROR(INDEX('Lớp 3 - Công việc chính'!$AF$14:$AF$73,MATCH($X413,'Lớp 3 - Công việc chính'!$I$14:$I$73,0)),""),4,IFERROR(INDEX('Lớp 4 - Danh mục'!$AI$14:$AI$132,MATCH($X413,'Lớp 4 - Danh mục'!$I$14:$I$132,0)),""),5,IFERROR(INDEX('Lớp 5 - Phân công'!$AJ$14:$AJ$262,MATCH($X413,'Lớp 5 - Phân công'!$I$14:$I$262,0)),""),6,IFERROR(INDEX('Lớp 6 - Chi tiết'!$AM$14:$AM$267,MATCH($X413,'Lớp 6 - Chi tiết'!$I$14:$I$267,0)),""),""))</f>
        <v/>
      </c>
      <c r="BJ413" s="389" t="str">
        <f t="array" ref="BJ413">IF($X413="","",SWITCH($W413,3,IFERROR(INDEX('Lớp 3 - Công việc chính'!$AR$14:$AR$73,MATCH($X413,'Lớp 3 - Công việc chính'!$I$14:$I$73,0)),""),4,IFERROR(INDEX('Lớp 4 - Danh mục'!$AU$14:$AU$132,MATCH($X413,'Lớp 4 - Danh mục'!$I$14:$I$132,0)),""),5,IFERROR(INDEX('Lớp 5 - Phân công'!$AV$14:$AV$262,MATCH($X413,'Lớp 5 - Phân công'!$I$14:$I$262,0)),""),6,IFERROR(INDEX('Lớp 6 - Chi tiết'!$AY$14:$AY$267,MATCH($X413,'Lớp 6 - Chi tiết'!$I$14:$I$267,0)),""),""))</f>
        <v/>
      </c>
    </row>
    <row r="414" ht="15.75" customHeight="1">
      <c r="A414" s="294" t="str">
        <f t="shared" si="12"/>
        <v/>
      </c>
      <c r="B414" s="301" t="str">
        <f t="shared" si="13"/>
        <v/>
      </c>
      <c r="C414" s="301" t="str">
        <f t="shared" si="14"/>
        <v/>
      </c>
      <c r="D414" s="301" t="str">
        <f t="shared" si="15"/>
        <v/>
      </c>
      <c r="E414" s="301" t="str">
        <f t="shared" si="16"/>
        <v/>
      </c>
      <c r="F414" s="317" t="str">
        <f t="shared" si="17"/>
        <v/>
      </c>
      <c r="G414" s="323" t="str">
        <f t="shared" si="18"/>
        <v/>
      </c>
      <c r="H414" s="327" t="str">
        <f t="shared" si="19"/>
        <v/>
      </c>
      <c r="I414" s="327" t="str">
        <f t="shared" si="20"/>
        <v/>
      </c>
      <c r="J414" s="301" t="str">
        <f t="shared" si="21"/>
        <v/>
      </c>
      <c r="K414" s="301" t="str">
        <f t="shared" si="22"/>
        <v/>
      </c>
      <c r="L414" s="344" t="str">
        <f t="array" ref="L414">IF($T414="","",LET(m,MATCH($T414,$AS$24:$AS$700,0),lvl,INDEX($W$24:$W$700,m),id,INDEX($X$24:$X$700,m),SWITCH(lvl,3,"Lớp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4" s="351" t="str">
        <f t="shared" si="23"/>
        <v/>
      </c>
      <c r="N414" s="356" t="str">
        <f t="shared" si="24"/>
        <v/>
      </c>
      <c r="O414" s="358"/>
      <c r="P414" s="360"/>
      <c r="Q414" s="360"/>
      <c r="R414" s="67"/>
      <c r="S414" s="67"/>
      <c r="T414" s="67"/>
      <c r="U414" s="389" t="str">
        <f>IF('Lớp 5 - Phân công'!I225="","",'Lớp 5 - Phân công'!K225&amp;"|"&amp;'Lớp 5 - Phân công'!J225&amp;"|"&amp;'Lớp 5 - Phân công'!I225)</f>
        <v/>
      </c>
      <c r="V414" s="389" t="str">
        <f>IF('Lớp 5 - Phân công'!I225="","","       ├─ "&amp;'Lớp 5 - Phân công'!Q225)</f>
        <v/>
      </c>
      <c r="W414" s="389" t="str">
        <f>IF('Lớp 5 - Phân công'!I225="","",5)</f>
        <v/>
      </c>
      <c r="X414" s="67" t="str">
        <f>'Lớp 5 - Phân công'!I225</f>
        <v/>
      </c>
      <c r="Y414" s="67" t="str">
        <f>'Lớp 5 - Phân công'!J225</f>
        <v/>
      </c>
      <c r="Z414" s="67" t="str">
        <f>'Lớp 5 - Phân công'!AA225</f>
        <v/>
      </c>
      <c r="AA414" s="67" t="str">
        <f>'Lớp 5 - Phân công'!Z225</f>
        <v/>
      </c>
      <c r="AB414" s="67" t="str">
        <f>'Lớp 5 - Phân công'!AC225</f>
        <v/>
      </c>
      <c r="AC414" s="67" t="str">
        <f>'Lớp 5 - Phân công'!AB225</f>
        <v/>
      </c>
      <c r="AD414" s="398" t="str">
        <f>'Lớp 5 - Phân công'!AG225</f>
        <v/>
      </c>
      <c r="AE414" s="358" t="str">
        <f>'Lớp 5 - Phân công'!AE225</f>
        <v/>
      </c>
      <c r="AF414" s="187" t="str">
        <f>'Lớp 5 - Phân công'!AH225</f>
        <v/>
      </c>
      <c r="AG414" s="104" t="str">
        <f>'Lớp 5 - Phân công'!AI225</f>
        <v/>
      </c>
      <c r="AH414" s="389" t="str">
        <f t="shared" si="27"/>
        <v/>
      </c>
      <c r="AI414" s="389" t="str">
        <f t="shared" si="37"/>
        <v>🔵 Chưa có hạn</v>
      </c>
      <c r="AJ414" s="67" t="str">
        <f>'Lớp 5 - Phân công'!AL225</f>
        <v/>
      </c>
      <c r="AS414" s="389" t="str">
        <f t="shared" si="217"/>
        <v/>
      </c>
      <c r="AT414" s="389" t="str">
        <f t="shared" si="32"/>
        <v/>
      </c>
      <c r="AU414" s="389" t="str">
        <f t="shared" si="33"/>
        <v/>
      </c>
      <c r="AV414" s="389" t="str">
        <f t="shared" si="34"/>
        <v/>
      </c>
      <c r="AW414" s="389" t="str">
        <f t="shared" si="35"/>
        <v/>
      </c>
      <c r="AX414" s="67" t="str">
        <f t="shared" ref="AX414:BH414" si="428">Z414</f>
        <v/>
      </c>
      <c r="AY414" s="67" t="str">
        <f t="shared" si="428"/>
        <v/>
      </c>
      <c r="AZ414" s="67" t="str">
        <f t="shared" si="428"/>
        <v/>
      </c>
      <c r="BA414" s="67" t="str">
        <f t="shared" si="428"/>
        <v/>
      </c>
      <c r="BB414" s="398" t="str">
        <f t="shared" si="428"/>
        <v/>
      </c>
      <c r="BC414" s="358" t="str">
        <f t="shared" si="428"/>
        <v/>
      </c>
      <c r="BD414" s="187" t="str">
        <f t="shared" si="428"/>
        <v/>
      </c>
      <c r="BE414" s="104" t="str">
        <f t="shared" si="428"/>
        <v/>
      </c>
      <c r="BF414" s="389" t="str">
        <f t="shared" si="428"/>
        <v/>
      </c>
      <c r="BG414" s="389" t="str">
        <f t="shared" si="428"/>
        <v>🔵 Chưa có hạn</v>
      </c>
      <c r="BH414" s="67" t="str">
        <f t="shared" si="428"/>
        <v/>
      </c>
      <c r="BI414" s="389" t="str">
        <f t="array" ref="BI414">IF($X414="","",SWITCH($W414,3,IFERROR(INDEX('Lớp 3 - Công việc chính'!$AF$14:$AF$73,MATCH($X414,'Lớp 3 - Công việc chính'!$I$14:$I$73,0)),""),4,IFERROR(INDEX('Lớp 4 - Danh mục'!$AI$14:$AI$132,MATCH($X414,'Lớp 4 - Danh mục'!$I$14:$I$132,0)),""),5,IFERROR(INDEX('Lớp 5 - Phân công'!$AJ$14:$AJ$262,MATCH($X414,'Lớp 5 - Phân công'!$I$14:$I$262,0)),""),6,IFERROR(INDEX('Lớp 6 - Chi tiết'!$AM$14:$AM$267,MATCH($X414,'Lớp 6 - Chi tiết'!$I$14:$I$267,0)),""),""))</f>
        <v/>
      </c>
      <c r="BJ414" s="389" t="str">
        <f t="array" ref="BJ414">IF($X414="","",SWITCH($W414,3,IFERROR(INDEX('Lớp 3 - Công việc chính'!$AR$14:$AR$73,MATCH($X414,'Lớp 3 - Công việc chính'!$I$14:$I$73,0)),""),4,IFERROR(INDEX('Lớp 4 - Danh mục'!$AU$14:$AU$132,MATCH($X414,'Lớp 4 - Danh mục'!$I$14:$I$132,0)),""),5,IFERROR(INDEX('Lớp 5 - Phân công'!$AV$14:$AV$262,MATCH($X414,'Lớp 5 - Phân công'!$I$14:$I$262,0)),""),6,IFERROR(INDEX('Lớp 6 - Chi tiết'!$AY$14:$AY$267,MATCH($X414,'Lớp 6 - Chi tiết'!$I$14:$I$267,0)),""),""))</f>
        <v/>
      </c>
    </row>
    <row r="415" ht="15.75" customHeight="1">
      <c r="A415" s="294" t="str">
        <f t="shared" si="12"/>
        <v/>
      </c>
      <c r="B415" s="301" t="str">
        <f t="shared" si="13"/>
        <v/>
      </c>
      <c r="C415" s="301" t="str">
        <f t="shared" si="14"/>
        <v/>
      </c>
      <c r="D415" s="301" t="str">
        <f t="shared" si="15"/>
        <v/>
      </c>
      <c r="E415" s="301" t="str">
        <f t="shared" si="16"/>
        <v/>
      </c>
      <c r="F415" s="317" t="str">
        <f t="shared" si="17"/>
        <v/>
      </c>
      <c r="G415" s="323" t="str">
        <f t="shared" si="18"/>
        <v/>
      </c>
      <c r="H415" s="327" t="str">
        <f t="shared" si="19"/>
        <v/>
      </c>
      <c r="I415" s="327" t="str">
        <f t="shared" si="20"/>
        <v/>
      </c>
      <c r="J415" s="301" t="str">
        <f t="shared" si="21"/>
        <v/>
      </c>
      <c r="K415" s="301" t="str">
        <f t="shared" si="22"/>
        <v/>
      </c>
      <c r="L415" s="344" t="str">
        <f t="array" ref="L415">IF($T415="","",LET(m,MATCH($T415,$AS$24:$AS$700,0),lvl,INDEX($W$24:$W$700,m),id,INDEX($X$24:$X$700,m),SWITCH(lvl,3,"Lớp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5" s="351" t="str">
        <f t="shared" si="23"/>
        <v/>
      </c>
      <c r="N415" s="356" t="str">
        <f t="shared" si="24"/>
        <v/>
      </c>
      <c r="O415" s="358"/>
      <c r="P415" s="360"/>
      <c r="Q415" s="360"/>
      <c r="R415" s="67"/>
      <c r="S415" s="67"/>
      <c r="T415" s="67"/>
      <c r="U415" s="389" t="str">
        <f>IF('Lớp 5 - Phân công'!I226="","",'Lớp 5 - Phân công'!K226&amp;"|"&amp;'Lớp 5 - Phân công'!J226&amp;"|"&amp;'Lớp 5 - Phân công'!I226)</f>
        <v/>
      </c>
      <c r="V415" s="389" t="str">
        <f>IF('Lớp 5 - Phân công'!I226="","","       ├─ "&amp;'Lớp 5 - Phân công'!Q226)</f>
        <v/>
      </c>
      <c r="W415" s="389" t="str">
        <f>IF('Lớp 5 - Phân công'!I226="","",5)</f>
        <v/>
      </c>
      <c r="X415" s="67" t="str">
        <f>'Lớp 5 - Phân công'!I226</f>
        <v/>
      </c>
      <c r="Y415" s="67" t="str">
        <f>'Lớp 5 - Phân công'!J226</f>
        <v/>
      </c>
      <c r="Z415" s="67" t="str">
        <f>'Lớp 5 - Phân công'!AA226</f>
        <v/>
      </c>
      <c r="AA415" s="67" t="str">
        <f>'Lớp 5 - Phân công'!Z226</f>
        <v/>
      </c>
      <c r="AB415" s="67" t="str">
        <f>'Lớp 5 - Phân công'!AC226</f>
        <v/>
      </c>
      <c r="AC415" s="67" t="str">
        <f>'Lớp 5 - Phân công'!AB226</f>
        <v/>
      </c>
      <c r="AD415" s="398" t="str">
        <f>'Lớp 5 - Phân công'!AG226</f>
        <v/>
      </c>
      <c r="AE415" s="358" t="str">
        <f>'Lớp 5 - Phân công'!AE226</f>
        <v/>
      </c>
      <c r="AF415" s="187" t="str">
        <f>'Lớp 5 - Phân công'!AH226</f>
        <v/>
      </c>
      <c r="AG415" s="104" t="str">
        <f>'Lớp 5 - Phân công'!AI226</f>
        <v/>
      </c>
      <c r="AH415" s="389" t="str">
        <f t="shared" si="27"/>
        <v/>
      </c>
      <c r="AI415" s="389" t="str">
        <f t="shared" si="37"/>
        <v>🔵 Chưa có hạn</v>
      </c>
      <c r="AJ415" s="67" t="str">
        <f>'Lớp 5 - Phân công'!AL226</f>
        <v/>
      </c>
      <c r="AS415" s="389" t="str">
        <f t="shared" si="217"/>
        <v/>
      </c>
      <c r="AT415" s="389" t="str">
        <f t="shared" si="32"/>
        <v/>
      </c>
      <c r="AU415" s="389" t="str">
        <f t="shared" si="33"/>
        <v/>
      </c>
      <c r="AV415" s="389" t="str">
        <f t="shared" si="34"/>
        <v/>
      </c>
      <c r="AW415" s="389" t="str">
        <f t="shared" si="35"/>
        <v/>
      </c>
      <c r="AX415" s="67" t="str">
        <f t="shared" ref="AX415:BH415" si="429">Z415</f>
        <v/>
      </c>
      <c r="AY415" s="67" t="str">
        <f t="shared" si="429"/>
        <v/>
      </c>
      <c r="AZ415" s="67" t="str">
        <f t="shared" si="429"/>
        <v/>
      </c>
      <c r="BA415" s="67" t="str">
        <f t="shared" si="429"/>
        <v/>
      </c>
      <c r="BB415" s="398" t="str">
        <f t="shared" si="429"/>
        <v/>
      </c>
      <c r="BC415" s="358" t="str">
        <f t="shared" si="429"/>
        <v/>
      </c>
      <c r="BD415" s="187" t="str">
        <f t="shared" si="429"/>
        <v/>
      </c>
      <c r="BE415" s="104" t="str">
        <f t="shared" si="429"/>
        <v/>
      </c>
      <c r="BF415" s="389" t="str">
        <f t="shared" si="429"/>
        <v/>
      </c>
      <c r="BG415" s="389" t="str">
        <f t="shared" si="429"/>
        <v>🔵 Chưa có hạn</v>
      </c>
      <c r="BH415" s="67" t="str">
        <f t="shared" si="429"/>
        <v/>
      </c>
      <c r="BI415" s="389" t="str">
        <f t="array" ref="BI415">IF($X415="","",SWITCH($W415,3,IFERROR(INDEX('Lớp 3 - Công việc chính'!$AF$14:$AF$73,MATCH($X415,'Lớp 3 - Công việc chính'!$I$14:$I$73,0)),""),4,IFERROR(INDEX('Lớp 4 - Danh mục'!$AI$14:$AI$132,MATCH($X415,'Lớp 4 - Danh mục'!$I$14:$I$132,0)),""),5,IFERROR(INDEX('Lớp 5 - Phân công'!$AJ$14:$AJ$262,MATCH($X415,'Lớp 5 - Phân công'!$I$14:$I$262,0)),""),6,IFERROR(INDEX('Lớp 6 - Chi tiết'!$AM$14:$AM$267,MATCH($X415,'Lớp 6 - Chi tiết'!$I$14:$I$267,0)),""),""))</f>
        <v/>
      </c>
      <c r="BJ415" s="389" t="str">
        <f t="array" ref="BJ415">IF($X415="","",SWITCH($W415,3,IFERROR(INDEX('Lớp 3 - Công việc chính'!$AR$14:$AR$73,MATCH($X415,'Lớp 3 - Công việc chính'!$I$14:$I$73,0)),""),4,IFERROR(INDEX('Lớp 4 - Danh mục'!$AU$14:$AU$132,MATCH($X415,'Lớp 4 - Danh mục'!$I$14:$I$132,0)),""),5,IFERROR(INDEX('Lớp 5 - Phân công'!$AV$14:$AV$262,MATCH($X415,'Lớp 5 - Phân công'!$I$14:$I$262,0)),""),6,IFERROR(INDEX('Lớp 6 - Chi tiết'!$AY$14:$AY$267,MATCH($X415,'Lớp 6 - Chi tiết'!$I$14:$I$267,0)),""),""))</f>
        <v/>
      </c>
    </row>
    <row r="416" ht="15.75" customHeight="1">
      <c r="A416" s="294" t="str">
        <f t="shared" si="12"/>
        <v/>
      </c>
      <c r="B416" s="301" t="str">
        <f t="shared" si="13"/>
        <v/>
      </c>
      <c r="C416" s="301" t="str">
        <f t="shared" si="14"/>
        <v/>
      </c>
      <c r="D416" s="301" t="str">
        <f t="shared" si="15"/>
        <v/>
      </c>
      <c r="E416" s="301" t="str">
        <f t="shared" si="16"/>
        <v/>
      </c>
      <c r="F416" s="317" t="str">
        <f t="shared" si="17"/>
        <v/>
      </c>
      <c r="G416" s="323" t="str">
        <f t="shared" si="18"/>
        <v/>
      </c>
      <c r="H416" s="327" t="str">
        <f t="shared" si="19"/>
        <v/>
      </c>
      <c r="I416" s="327" t="str">
        <f t="shared" si="20"/>
        <v/>
      </c>
      <c r="J416" s="301" t="str">
        <f t="shared" si="21"/>
        <v/>
      </c>
      <c r="K416" s="301" t="str">
        <f t="shared" si="22"/>
        <v/>
      </c>
      <c r="L416" s="344" t="str">
        <f t="array" ref="L416">IF($T416="","",LET(m,MATCH($T416,$AS$24:$AS$700,0),lvl,INDEX($W$24:$W$700,m),id,INDEX($X$24:$X$700,m),SWITCH(lvl,3,"Lớp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6" s="351" t="str">
        <f t="shared" si="23"/>
        <v/>
      </c>
      <c r="N416" s="356" t="str">
        <f t="shared" si="24"/>
        <v/>
      </c>
      <c r="O416" s="358"/>
      <c r="P416" s="360"/>
      <c r="Q416" s="360"/>
      <c r="R416" s="67"/>
      <c r="S416" s="67"/>
      <c r="T416" s="67"/>
      <c r="U416" s="389" t="str">
        <f>IF('Lớp 5 - Phân công'!I227="","",'Lớp 5 - Phân công'!K227&amp;"|"&amp;'Lớp 5 - Phân công'!J227&amp;"|"&amp;'Lớp 5 - Phân công'!I227)</f>
        <v/>
      </c>
      <c r="V416" s="389" t="str">
        <f>IF('Lớp 5 - Phân công'!I227="","","       ├─ "&amp;'Lớp 5 - Phân công'!Q227)</f>
        <v/>
      </c>
      <c r="W416" s="389" t="str">
        <f>IF('Lớp 5 - Phân công'!I227="","",5)</f>
        <v/>
      </c>
      <c r="X416" s="67" t="str">
        <f>'Lớp 5 - Phân công'!I227</f>
        <v/>
      </c>
      <c r="Y416" s="67" t="str">
        <f>'Lớp 5 - Phân công'!J227</f>
        <v/>
      </c>
      <c r="Z416" s="67" t="str">
        <f>'Lớp 5 - Phân công'!AA227</f>
        <v/>
      </c>
      <c r="AA416" s="67" t="str">
        <f>'Lớp 5 - Phân công'!Z227</f>
        <v/>
      </c>
      <c r="AB416" s="67" t="str">
        <f>'Lớp 5 - Phân công'!AC227</f>
        <v/>
      </c>
      <c r="AC416" s="67" t="str">
        <f>'Lớp 5 - Phân công'!AB227</f>
        <v/>
      </c>
      <c r="AD416" s="398" t="str">
        <f>'Lớp 5 - Phân công'!AG227</f>
        <v/>
      </c>
      <c r="AE416" s="358" t="str">
        <f>'Lớp 5 - Phân công'!AE227</f>
        <v/>
      </c>
      <c r="AF416" s="187" t="str">
        <f>'Lớp 5 - Phân công'!AH227</f>
        <v/>
      </c>
      <c r="AG416" s="104" t="str">
        <f>'Lớp 5 - Phân công'!AI227</f>
        <v/>
      </c>
      <c r="AH416" s="389" t="str">
        <f t="shared" si="27"/>
        <v/>
      </c>
      <c r="AI416" s="389" t="str">
        <f t="shared" si="37"/>
        <v>🔵 Chưa có hạn</v>
      </c>
      <c r="AJ416" s="67" t="str">
        <f>'Lớp 5 - Phân công'!AL227</f>
        <v/>
      </c>
      <c r="AS416" s="389" t="str">
        <f t="shared" si="217"/>
        <v/>
      </c>
      <c r="AT416" s="389" t="str">
        <f t="shared" si="32"/>
        <v/>
      </c>
      <c r="AU416" s="389" t="str">
        <f t="shared" si="33"/>
        <v/>
      </c>
      <c r="AV416" s="389" t="str">
        <f t="shared" si="34"/>
        <v/>
      </c>
      <c r="AW416" s="389" t="str">
        <f t="shared" si="35"/>
        <v/>
      </c>
      <c r="AX416" s="67" t="str">
        <f t="shared" ref="AX416:BH416" si="430">Z416</f>
        <v/>
      </c>
      <c r="AY416" s="67" t="str">
        <f t="shared" si="430"/>
        <v/>
      </c>
      <c r="AZ416" s="67" t="str">
        <f t="shared" si="430"/>
        <v/>
      </c>
      <c r="BA416" s="67" t="str">
        <f t="shared" si="430"/>
        <v/>
      </c>
      <c r="BB416" s="398" t="str">
        <f t="shared" si="430"/>
        <v/>
      </c>
      <c r="BC416" s="358" t="str">
        <f t="shared" si="430"/>
        <v/>
      </c>
      <c r="BD416" s="187" t="str">
        <f t="shared" si="430"/>
        <v/>
      </c>
      <c r="BE416" s="104" t="str">
        <f t="shared" si="430"/>
        <v/>
      </c>
      <c r="BF416" s="389" t="str">
        <f t="shared" si="430"/>
        <v/>
      </c>
      <c r="BG416" s="389" t="str">
        <f t="shared" si="430"/>
        <v>🔵 Chưa có hạn</v>
      </c>
      <c r="BH416" s="67" t="str">
        <f t="shared" si="430"/>
        <v/>
      </c>
      <c r="BI416" s="389" t="str">
        <f t="array" ref="BI416">IF($X416="","",SWITCH($W416,3,IFERROR(INDEX('Lớp 3 - Công việc chính'!$AF$14:$AF$73,MATCH($X416,'Lớp 3 - Công việc chính'!$I$14:$I$73,0)),""),4,IFERROR(INDEX('Lớp 4 - Danh mục'!$AI$14:$AI$132,MATCH($X416,'Lớp 4 - Danh mục'!$I$14:$I$132,0)),""),5,IFERROR(INDEX('Lớp 5 - Phân công'!$AJ$14:$AJ$262,MATCH($X416,'Lớp 5 - Phân công'!$I$14:$I$262,0)),""),6,IFERROR(INDEX('Lớp 6 - Chi tiết'!$AM$14:$AM$267,MATCH($X416,'Lớp 6 - Chi tiết'!$I$14:$I$267,0)),""),""))</f>
        <v/>
      </c>
      <c r="BJ416" s="389" t="str">
        <f t="array" ref="BJ416">IF($X416="","",SWITCH($W416,3,IFERROR(INDEX('Lớp 3 - Công việc chính'!$AR$14:$AR$73,MATCH($X416,'Lớp 3 - Công việc chính'!$I$14:$I$73,0)),""),4,IFERROR(INDEX('Lớp 4 - Danh mục'!$AU$14:$AU$132,MATCH($X416,'Lớp 4 - Danh mục'!$I$14:$I$132,0)),""),5,IFERROR(INDEX('Lớp 5 - Phân công'!$AV$14:$AV$262,MATCH($X416,'Lớp 5 - Phân công'!$I$14:$I$262,0)),""),6,IFERROR(INDEX('Lớp 6 - Chi tiết'!$AY$14:$AY$267,MATCH($X416,'Lớp 6 - Chi tiết'!$I$14:$I$267,0)),""),""))</f>
        <v/>
      </c>
    </row>
    <row r="417" ht="15.75" customHeight="1">
      <c r="A417" s="294" t="str">
        <f t="shared" si="12"/>
        <v/>
      </c>
      <c r="B417" s="301" t="str">
        <f t="shared" si="13"/>
        <v/>
      </c>
      <c r="C417" s="301" t="str">
        <f t="shared" si="14"/>
        <v/>
      </c>
      <c r="D417" s="301" t="str">
        <f t="shared" si="15"/>
        <v/>
      </c>
      <c r="E417" s="301" t="str">
        <f t="shared" si="16"/>
        <v/>
      </c>
      <c r="F417" s="317" t="str">
        <f t="shared" si="17"/>
        <v/>
      </c>
      <c r="G417" s="323" t="str">
        <f t="shared" si="18"/>
        <v/>
      </c>
      <c r="H417" s="327" t="str">
        <f t="shared" si="19"/>
        <v/>
      </c>
      <c r="I417" s="327" t="str">
        <f t="shared" si="20"/>
        <v/>
      </c>
      <c r="J417" s="301" t="str">
        <f t="shared" si="21"/>
        <v/>
      </c>
      <c r="K417" s="301" t="str">
        <f t="shared" si="22"/>
        <v/>
      </c>
      <c r="L417" s="344" t="str">
        <f t="array" ref="L417">IF($T417="","",LET(m,MATCH($T417,$AS$24:$AS$700,0),lvl,INDEX($W$24:$W$700,m),id,INDEX($X$24:$X$700,m),SWITCH(lvl,3,"Lớp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7" s="351" t="str">
        <f t="shared" si="23"/>
        <v/>
      </c>
      <c r="N417" s="356" t="str">
        <f t="shared" si="24"/>
        <v/>
      </c>
      <c r="O417" s="358"/>
      <c r="P417" s="360"/>
      <c r="Q417" s="360"/>
      <c r="R417" s="67"/>
      <c r="S417" s="67"/>
      <c r="T417" s="67"/>
      <c r="U417" s="389" t="str">
        <f>IF('Lớp 5 - Phân công'!I228="","",'Lớp 5 - Phân công'!K228&amp;"|"&amp;'Lớp 5 - Phân công'!J228&amp;"|"&amp;'Lớp 5 - Phân công'!I228)</f>
        <v/>
      </c>
      <c r="V417" s="389" t="str">
        <f>IF('Lớp 5 - Phân công'!I228="","","       ├─ "&amp;'Lớp 5 - Phân công'!Q228)</f>
        <v/>
      </c>
      <c r="W417" s="389" t="str">
        <f>IF('Lớp 5 - Phân công'!I228="","",5)</f>
        <v/>
      </c>
      <c r="X417" s="67" t="str">
        <f>'Lớp 5 - Phân công'!I228</f>
        <v/>
      </c>
      <c r="Y417" s="67" t="str">
        <f>'Lớp 5 - Phân công'!J228</f>
        <v/>
      </c>
      <c r="Z417" s="67" t="str">
        <f>'Lớp 5 - Phân công'!AA228</f>
        <v/>
      </c>
      <c r="AA417" s="67" t="str">
        <f>'Lớp 5 - Phân công'!Z228</f>
        <v/>
      </c>
      <c r="AB417" s="67" t="str">
        <f>'Lớp 5 - Phân công'!AC228</f>
        <v/>
      </c>
      <c r="AC417" s="67" t="str">
        <f>'Lớp 5 - Phân công'!AB228</f>
        <v/>
      </c>
      <c r="AD417" s="398" t="str">
        <f>'Lớp 5 - Phân công'!AG228</f>
        <v/>
      </c>
      <c r="AE417" s="358" t="str">
        <f>'Lớp 5 - Phân công'!AE228</f>
        <v/>
      </c>
      <c r="AF417" s="187" t="str">
        <f>'Lớp 5 - Phân công'!AH228</f>
        <v/>
      </c>
      <c r="AG417" s="104" t="str">
        <f>'Lớp 5 - Phân công'!AI228</f>
        <v/>
      </c>
      <c r="AH417" s="389" t="str">
        <f t="shared" si="27"/>
        <v/>
      </c>
      <c r="AI417" s="389" t="str">
        <f t="shared" si="37"/>
        <v>🔵 Chưa có hạn</v>
      </c>
      <c r="AJ417" s="67" t="str">
        <f>'Lớp 5 - Phân công'!AL228</f>
        <v/>
      </c>
      <c r="AS417" s="389" t="str">
        <f t="shared" si="217"/>
        <v/>
      </c>
      <c r="AT417" s="389" t="str">
        <f t="shared" si="32"/>
        <v/>
      </c>
      <c r="AU417" s="389" t="str">
        <f t="shared" si="33"/>
        <v/>
      </c>
      <c r="AV417" s="389" t="str">
        <f t="shared" si="34"/>
        <v/>
      </c>
      <c r="AW417" s="389" t="str">
        <f t="shared" si="35"/>
        <v/>
      </c>
      <c r="AX417" s="67" t="str">
        <f t="shared" ref="AX417:BH417" si="431">Z417</f>
        <v/>
      </c>
      <c r="AY417" s="67" t="str">
        <f t="shared" si="431"/>
        <v/>
      </c>
      <c r="AZ417" s="67" t="str">
        <f t="shared" si="431"/>
        <v/>
      </c>
      <c r="BA417" s="67" t="str">
        <f t="shared" si="431"/>
        <v/>
      </c>
      <c r="BB417" s="398" t="str">
        <f t="shared" si="431"/>
        <v/>
      </c>
      <c r="BC417" s="358" t="str">
        <f t="shared" si="431"/>
        <v/>
      </c>
      <c r="BD417" s="187" t="str">
        <f t="shared" si="431"/>
        <v/>
      </c>
      <c r="BE417" s="104" t="str">
        <f t="shared" si="431"/>
        <v/>
      </c>
      <c r="BF417" s="389" t="str">
        <f t="shared" si="431"/>
        <v/>
      </c>
      <c r="BG417" s="389" t="str">
        <f t="shared" si="431"/>
        <v>🔵 Chưa có hạn</v>
      </c>
      <c r="BH417" s="67" t="str">
        <f t="shared" si="431"/>
        <v/>
      </c>
      <c r="BI417" s="389" t="str">
        <f t="array" ref="BI417">IF($X417="","",SWITCH($W417,3,IFERROR(INDEX('Lớp 3 - Công việc chính'!$AF$14:$AF$73,MATCH($X417,'Lớp 3 - Công việc chính'!$I$14:$I$73,0)),""),4,IFERROR(INDEX('Lớp 4 - Danh mục'!$AI$14:$AI$132,MATCH($X417,'Lớp 4 - Danh mục'!$I$14:$I$132,0)),""),5,IFERROR(INDEX('Lớp 5 - Phân công'!$AJ$14:$AJ$262,MATCH($X417,'Lớp 5 - Phân công'!$I$14:$I$262,0)),""),6,IFERROR(INDEX('Lớp 6 - Chi tiết'!$AM$14:$AM$267,MATCH($X417,'Lớp 6 - Chi tiết'!$I$14:$I$267,0)),""),""))</f>
        <v/>
      </c>
      <c r="BJ417" s="389" t="str">
        <f t="array" ref="BJ417">IF($X417="","",SWITCH($W417,3,IFERROR(INDEX('Lớp 3 - Công việc chính'!$AR$14:$AR$73,MATCH($X417,'Lớp 3 - Công việc chính'!$I$14:$I$73,0)),""),4,IFERROR(INDEX('Lớp 4 - Danh mục'!$AU$14:$AU$132,MATCH($X417,'Lớp 4 - Danh mục'!$I$14:$I$132,0)),""),5,IFERROR(INDEX('Lớp 5 - Phân công'!$AV$14:$AV$262,MATCH($X417,'Lớp 5 - Phân công'!$I$14:$I$262,0)),""),6,IFERROR(INDEX('Lớp 6 - Chi tiết'!$AY$14:$AY$267,MATCH($X417,'Lớp 6 - Chi tiết'!$I$14:$I$267,0)),""),""))</f>
        <v/>
      </c>
    </row>
    <row r="418" ht="15.75" customHeight="1">
      <c r="A418" s="294" t="str">
        <f t="shared" si="12"/>
        <v/>
      </c>
      <c r="B418" s="301" t="str">
        <f t="shared" si="13"/>
        <v/>
      </c>
      <c r="C418" s="301" t="str">
        <f t="shared" si="14"/>
        <v/>
      </c>
      <c r="D418" s="301" t="str">
        <f t="shared" si="15"/>
        <v/>
      </c>
      <c r="E418" s="301" t="str">
        <f t="shared" si="16"/>
        <v/>
      </c>
      <c r="F418" s="317" t="str">
        <f t="shared" si="17"/>
        <v/>
      </c>
      <c r="G418" s="323" t="str">
        <f t="shared" si="18"/>
        <v/>
      </c>
      <c r="H418" s="327" t="str">
        <f t="shared" si="19"/>
        <v/>
      </c>
      <c r="I418" s="327" t="str">
        <f t="shared" si="20"/>
        <v/>
      </c>
      <c r="J418" s="301" t="str">
        <f t="shared" si="21"/>
        <v/>
      </c>
      <c r="K418" s="301" t="str">
        <f t="shared" si="22"/>
        <v/>
      </c>
      <c r="L418" s="344" t="str">
        <f t="array" ref="L418">IF($T418="","",LET(m,MATCH($T418,$AS$24:$AS$700,0),lvl,INDEX($W$24:$W$700,m),id,INDEX($X$24:$X$700,m),SWITCH(lvl,3,"Lớp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8" s="351" t="str">
        <f t="shared" si="23"/>
        <v/>
      </c>
      <c r="N418" s="356" t="str">
        <f t="shared" si="24"/>
        <v/>
      </c>
      <c r="O418" s="358"/>
      <c r="P418" s="360"/>
      <c r="Q418" s="360"/>
      <c r="R418" s="67"/>
      <c r="S418" s="67"/>
      <c r="T418" s="67"/>
      <c r="U418" s="389" t="str">
        <f>IF('Lớp 5 - Phân công'!I229="","",'Lớp 5 - Phân công'!K229&amp;"|"&amp;'Lớp 5 - Phân công'!J229&amp;"|"&amp;'Lớp 5 - Phân công'!I229)</f>
        <v/>
      </c>
      <c r="V418" s="389" t="str">
        <f>IF('Lớp 5 - Phân công'!I229="","","       ├─ "&amp;'Lớp 5 - Phân công'!Q229)</f>
        <v/>
      </c>
      <c r="W418" s="389" t="str">
        <f>IF('Lớp 5 - Phân công'!I229="","",5)</f>
        <v/>
      </c>
      <c r="X418" s="67" t="str">
        <f>'Lớp 5 - Phân công'!I229</f>
        <v/>
      </c>
      <c r="Y418" s="67" t="str">
        <f>'Lớp 5 - Phân công'!J229</f>
        <v/>
      </c>
      <c r="Z418" s="67" t="str">
        <f>'Lớp 5 - Phân công'!AA229</f>
        <v/>
      </c>
      <c r="AA418" s="67" t="str">
        <f>'Lớp 5 - Phân công'!Z229</f>
        <v/>
      </c>
      <c r="AB418" s="67" t="str">
        <f>'Lớp 5 - Phân công'!AC229</f>
        <v/>
      </c>
      <c r="AC418" s="67" t="str">
        <f>'Lớp 5 - Phân công'!AB229</f>
        <v/>
      </c>
      <c r="AD418" s="398" t="str">
        <f>'Lớp 5 - Phân công'!AG229</f>
        <v/>
      </c>
      <c r="AE418" s="358" t="str">
        <f>'Lớp 5 - Phân công'!AE229</f>
        <v/>
      </c>
      <c r="AF418" s="187" t="str">
        <f>'Lớp 5 - Phân công'!AH229</f>
        <v/>
      </c>
      <c r="AG418" s="104" t="str">
        <f>'Lớp 5 - Phân công'!AI229</f>
        <v/>
      </c>
      <c r="AH418" s="389" t="str">
        <f t="shared" si="27"/>
        <v/>
      </c>
      <c r="AI418" s="389" t="str">
        <f t="shared" si="37"/>
        <v>🔵 Chưa có hạn</v>
      </c>
      <c r="AJ418" s="67" t="str">
        <f>'Lớp 5 - Phân công'!AL229</f>
        <v/>
      </c>
      <c r="AS418" s="389" t="str">
        <f t="shared" si="217"/>
        <v/>
      </c>
      <c r="AT418" s="389" t="str">
        <f t="shared" si="32"/>
        <v/>
      </c>
      <c r="AU418" s="389" t="str">
        <f t="shared" si="33"/>
        <v/>
      </c>
      <c r="AV418" s="389" t="str">
        <f t="shared" si="34"/>
        <v/>
      </c>
      <c r="AW418" s="389" t="str">
        <f t="shared" si="35"/>
        <v/>
      </c>
      <c r="AX418" s="67" t="str">
        <f t="shared" ref="AX418:BH418" si="432">Z418</f>
        <v/>
      </c>
      <c r="AY418" s="67" t="str">
        <f t="shared" si="432"/>
        <v/>
      </c>
      <c r="AZ418" s="67" t="str">
        <f t="shared" si="432"/>
        <v/>
      </c>
      <c r="BA418" s="67" t="str">
        <f t="shared" si="432"/>
        <v/>
      </c>
      <c r="BB418" s="398" t="str">
        <f t="shared" si="432"/>
        <v/>
      </c>
      <c r="BC418" s="358" t="str">
        <f t="shared" si="432"/>
        <v/>
      </c>
      <c r="BD418" s="187" t="str">
        <f t="shared" si="432"/>
        <v/>
      </c>
      <c r="BE418" s="104" t="str">
        <f t="shared" si="432"/>
        <v/>
      </c>
      <c r="BF418" s="389" t="str">
        <f t="shared" si="432"/>
        <v/>
      </c>
      <c r="BG418" s="389" t="str">
        <f t="shared" si="432"/>
        <v>🔵 Chưa có hạn</v>
      </c>
      <c r="BH418" s="67" t="str">
        <f t="shared" si="432"/>
        <v/>
      </c>
      <c r="BI418" s="389" t="str">
        <f t="array" ref="BI418">IF($X418="","",SWITCH($W418,3,IFERROR(INDEX('Lớp 3 - Công việc chính'!$AF$14:$AF$73,MATCH($X418,'Lớp 3 - Công việc chính'!$I$14:$I$73,0)),""),4,IFERROR(INDEX('Lớp 4 - Danh mục'!$AI$14:$AI$132,MATCH($X418,'Lớp 4 - Danh mục'!$I$14:$I$132,0)),""),5,IFERROR(INDEX('Lớp 5 - Phân công'!$AJ$14:$AJ$262,MATCH($X418,'Lớp 5 - Phân công'!$I$14:$I$262,0)),""),6,IFERROR(INDEX('Lớp 6 - Chi tiết'!$AM$14:$AM$267,MATCH($X418,'Lớp 6 - Chi tiết'!$I$14:$I$267,0)),""),""))</f>
        <v/>
      </c>
      <c r="BJ418" s="389" t="str">
        <f t="array" ref="BJ418">IF($X418="","",SWITCH($W418,3,IFERROR(INDEX('Lớp 3 - Công việc chính'!$AR$14:$AR$73,MATCH($X418,'Lớp 3 - Công việc chính'!$I$14:$I$73,0)),""),4,IFERROR(INDEX('Lớp 4 - Danh mục'!$AU$14:$AU$132,MATCH($X418,'Lớp 4 - Danh mục'!$I$14:$I$132,0)),""),5,IFERROR(INDEX('Lớp 5 - Phân công'!$AV$14:$AV$262,MATCH($X418,'Lớp 5 - Phân công'!$I$14:$I$262,0)),""),6,IFERROR(INDEX('Lớp 6 - Chi tiết'!$AY$14:$AY$267,MATCH($X418,'Lớp 6 - Chi tiết'!$I$14:$I$267,0)),""),""))</f>
        <v/>
      </c>
    </row>
    <row r="419" ht="15.75" customHeight="1">
      <c r="A419" s="294" t="str">
        <f t="shared" si="12"/>
        <v/>
      </c>
      <c r="B419" s="301" t="str">
        <f t="shared" si="13"/>
        <v/>
      </c>
      <c r="C419" s="301" t="str">
        <f t="shared" si="14"/>
        <v/>
      </c>
      <c r="D419" s="301" t="str">
        <f t="shared" si="15"/>
        <v/>
      </c>
      <c r="E419" s="301" t="str">
        <f t="shared" si="16"/>
        <v/>
      </c>
      <c r="F419" s="317" t="str">
        <f t="shared" si="17"/>
        <v/>
      </c>
      <c r="G419" s="323" t="str">
        <f t="shared" si="18"/>
        <v/>
      </c>
      <c r="H419" s="327" t="str">
        <f t="shared" si="19"/>
        <v/>
      </c>
      <c r="I419" s="327" t="str">
        <f t="shared" si="20"/>
        <v/>
      </c>
      <c r="J419" s="301" t="str">
        <f t="shared" si="21"/>
        <v/>
      </c>
      <c r="K419" s="301" t="str">
        <f t="shared" si="22"/>
        <v/>
      </c>
      <c r="L419" s="344" t="str">
        <f t="array" ref="L419">IF($T419="","",LET(m,MATCH($T419,$AS$24:$AS$700,0),lvl,INDEX($W$24:$W$700,m),id,INDEX($X$24:$X$700,m),SWITCH(lvl,3,"Lớp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19" s="351" t="str">
        <f t="shared" si="23"/>
        <v/>
      </c>
      <c r="N419" s="356" t="str">
        <f t="shared" si="24"/>
        <v/>
      </c>
      <c r="O419" s="358"/>
      <c r="P419" s="360"/>
      <c r="Q419" s="360"/>
      <c r="R419" s="67"/>
      <c r="S419" s="67"/>
      <c r="T419" s="67"/>
      <c r="U419" s="389" t="str">
        <f>IF('Lớp 5 - Phân công'!I230="","",'Lớp 5 - Phân công'!K230&amp;"|"&amp;'Lớp 5 - Phân công'!J230&amp;"|"&amp;'Lớp 5 - Phân công'!I230)</f>
        <v/>
      </c>
      <c r="V419" s="389" t="str">
        <f>IF('Lớp 5 - Phân công'!I230="","","       ├─ "&amp;'Lớp 5 - Phân công'!Q230)</f>
        <v/>
      </c>
      <c r="W419" s="389" t="str">
        <f>IF('Lớp 5 - Phân công'!I230="","",5)</f>
        <v/>
      </c>
      <c r="X419" s="67" t="str">
        <f>'Lớp 5 - Phân công'!I230</f>
        <v/>
      </c>
      <c r="Y419" s="67" t="str">
        <f>'Lớp 5 - Phân công'!J230</f>
        <v/>
      </c>
      <c r="Z419" s="67" t="str">
        <f>'Lớp 5 - Phân công'!AA230</f>
        <v/>
      </c>
      <c r="AA419" s="67" t="str">
        <f>'Lớp 5 - Phân công'!Z230</f>
        <v/>
      </c>
      <c r="AB419" s="67" t="str">
        <f>'Lớp 5 - Phân công'!AC230</f>
        <v/>
      </c>
      <c r="AC419" s="67" t="str">
        <f>'Lớp 5 - Phân công'!AB230</f>
        <v/>
      </c>
      <c r="AD419" s="398" t="str">
        <f>'Lớp 5 - Phân công'!AG230</f>
        <v/>
      </c>
      <c r="AE419" s="358" t="str">
        <f>'Lớp 5 - Phân công'!AE230</f>
        <v/>
      </c>
      <c r="AF419" s="187" t="str">
        <f>'Lớp 5 - Phân công'!AH230</f>
        <v/>
      </c>
      <c r="AG419" s="104" t="str">
        <f>'Lớp 5 - Phân công'!AI230</f>
        <v/>
      </c>
      <c r="AH419" s="389" t="str">
        <f t="shared" si="27"/>
        <v/>
      </c>
      <c r="AI419" s="389" t="str">
        <f t="shared" si="37"/>
        <v>🔵 Chưa có hạn</v>
      </c>
      <c r="AJ419" s="67" t="str">
        <f>'Lớp 5 - Phân công'!AL230</f>
        <v/>
      </c>
      <c r="AS419" s="389" t="str">
        <f t="shared" si="217"/>
        <v/>
      </c>
      <c r="AT419" s="389" t="str">
        <f t="shared" si="32"/>
        <v/>
      </c>
      <c r="AU419" s="389" t="str">
        <f t="shared" si="33"/>
        <v/>
      </c>
      <c r="AV419" s="389" t="str">
        <f t="shared" si="34"/>
        <v/>
      </c>
      <c r="AW419" s="389" t="str">
        <f t="shared" si="35"/>
        <v/>
      </c>
      <c r="AX419" s="67" t="str">
        <f t="shared" ref="AX419:BH419" si="433">Z419</f>
        <v/>
      </c>
      <c r="AY419" s="67" t="str">
        <f t="shared" si="433"/>
        <v/>
      </c>
      <c r="AZ419" s="67" t="str">
        <f t="shared" si="433"/>
        <v/>
      </c>
      <c r="BA419" s="67" t="str">
        <f t="shared" si="433"/>
        <v/>
      </c>
      <c r="BB419" s="398" t="str">
        <f t="shared" si="433"/>
        <v/>
      </c>
      <c r="BC419" s="358" t="str">
        <f t="shared" si="433"/>
        <v/>
      </c>
      <c r="BD419" s="187" t="str">
        <f t="shared" si="433"/>
        <v/>
      </c>
      <c r="BE419" s="104" t="str">
        <f t="shared" si="433"/>
        <v/>
      </c>
      <c r="BF419" s="389" t="str">
        <f t="shared" si="433"/>
        <v/>
      </c>
      <c r="BG419" s="389" t="str">
        <f t="shared" si="433"/>
        <v>🔵 Chưa có hạn</v>
      </c>
      <c r="BH419" s="67" t="str">
        <f t="shared" si="433"/>
        <v/>
      </c>
      <c r="BI419" s="389" t="str">
        <f t="array" ref="BI419">IF($X419="","",SWITCH($W419,3,IFERROR(INDEX('Lớp 3 - Công việc chính'!$AF$14:$AF$73,MATCH($X419,'Lớp 3 - Công việc chính'!$I$14:$I$73,0)),""),4,IFERROR(INDEX('Lớp 4 - Danh mục'!$AI$14:$AI$132,MATCH($X419,'Lớp 4 - Danh mục'!$I$14:$I$132,0)),""),5,IFERROR(INDEX('Lớp 5 - Phân công'!$AJ$14:$AJ$262,MATCH($X419,'Lớp 5 - Phân công'!$I$14:$I$262,0)),""),6,IFERROR(INDEX('Lớp 6 - Chi tiết'!$AM$14:$AM$267,MATCH($X419,'Lớp 6 - Chi tiết'!$I$14:$I$267,0)),""),""))</f>
        <v/>
      </c>
      <c r="BJ419" s="389" t="str">
        <f t="array" ref="BJ419">IF($X419="","",SWITCH($W419,3,IFERROR(INDEX('Lớp 3 - Công việc chính'!$AR$14:$AR$73,MATCH($X419,'Lớp 3 - Công việc chính'!$I$14:$I$73,0)),""),4,IFERROR(INDEX('Lớp 4 - Danh mục'!$AU$14:$AU$132,MATCH($X419,'Lớp 4 - Danh mục'!$I$14:$I$132,0)),""),5,IFERROR(INDEX('Lớp 5 - Phân công'!$AV$14:$AV$262,MATCH($X419,'Lớp 5 - Phân công'!$I$14:$I$262,0)),""),6,IFERROR(INDEX('Lớp 6 - Chi tiết'!$AY$14:$AY$267,MATCH($X419,'Lớp 6 - Chi tiết'!$I$14:$I$267,0)),""),""))</f>
        <v/>
      </c>
    </row>
    <row r="420" ht="15.75" customHeight="1">
      <c r="A420" s="294" t="str">
        <f t="shared" si="12"/>
        <v/>
      </c>
      <c r="B420" s="301" t="str">
        <f t="shared" si="13"/>
        <v/>
      </c>
      <c r="C420" s="301" t="str">
        <f t="shared" si="14"/>
        <v/>
      </c>
      <c r="D420" s="301" t="str">
        <f t="shared" si="15"/>
        <v/>
      </c>
      <c r="E420" s="301" t="str">
        <f t="shared" si="16"/>
        <v/>
      </c>
      <c r="F420" s="317" t="str">
        <f t="shared" si="17"/>
        <v/>
      </c>
      <c r="G420" s="323" t="str">
        <f t="shared" si="18"/>
        <v/>
      </c>
      <c r="H420" s="327" t="str">
        <f t="shared" si="19"/>
        <v/>
      </c>
      <c r="I420" s="327" t="str">
        <f t="shared" si="20"/>
        <v/>
      </c>
      <c r="J420" s="301" t="str">
        <f t="shared" si="21"/>
        <v/>
      </c>
      <c r="K420" s="301" t="str">
        <f t="shared" si="22"/>
        <v/>
      </c>
      <c r="L420" s="344" t="str">
        <f t="array" ref="L420">IF($T420="","",LET(m,MATCH($T420,$AS$24:$AS$700,0),lvl,INDEX($W$24:$W$700,m),id,INDEX($X$24:$X$700,m),SWITCH(lvl,3,"Lớp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0" s="351" t="str">
        <f t="shared" si="23"/>
        <v/>
      </c>
      <c r="N420" s="356" t="str">
        <f t="shared" si="24"/>
        <v/>
      </c>
      <c r="O420" s="358"/>
      <c r="P420" s="360"/>
      <c r="Q420" s="360"/>
      <c r="R420" s="67"/>
      <c r="S420" s="67"/>
      <c r="T420" s="67"/>
      <c r="U420" s="389" t="str">
        <f>IF('Lớp 5 - Phân công'!I231="","",'Lớp 5 - Phân công'!K231&amp;"|"&amp;'Lớp 5 - Phân công'!J231&amp;"|"&amp;'Lớp 5 - Phân công'!I231)</f>
        <v/>
      </c>
      <c r="V420" s="389" t="str">
        <f>IF('Lớp 5 - Phân công'!I231="","","       ├─ "&amp;'Lớp 5 - Phân công'!Q231)</f>
        <v/>
      </c>
      <c r="W420" s="389" t="str">
        <f>IF('Lớp 5 - Phân công'!I231="","",5)</f>
        <v/>
      </c>
      <c r="X420" s="67" t="str">
        <f>'Lớp 5 - Phân công'!I231</f>
        <v/>
      </c>
      <c r="Y420" s="67" t="str">
        <f>'Lớp 5 - Phân công'!J231</f>
        <v/>
      </c>
      <c r="Z420" s="67" t="str">
        <f>'Lớp 5 - Phân công'!AA231</f>
        <v/>
      </c>
      <c r="AA420" s="67" t="str">
        <f>'Lớp 5 - Phân công'!Z231</f>
        <v/>
      </c>
      <c r="AB420" s="67" t="str">
        <f>'Lớp 5 - Phân công'!AC231</f>
        <v/>
      </c>
      <c r="AC420" s="67" t="str">
        <f>'Lớp 5 - Phân công'!AB231</f>
        <v/>
      </c>
      <c r="AD420" s="398" t="str">
        <f>'Lớp 5 - Phân công'!AG231</f>
        <v/>
      </c>
      <c r="AE420" s="358" t="str">
        <f>'Lớp 5 - Phân công'!AE231</f>
        <v/>
      </c>
      <c r="AF420" s="187" t="str">
        <f>'Lớp 5 - Phân công'!AH231</f>
        <v/>
      </c>
      <c r="AG420" s="104" t="str">
        <f>'Lớp 5 - Phân công'!AI231</f>
        <v/>
      </c>
      <c r="AH420" s="389" t="str">
        <f t="shared" si="27"/>
        <v/>
      </c>
      <c r="AI420" s="389" t="str">
        <f t="shared" si="37"/>
        <v>🔵 Chưa có hạn</v>
      </c>
      <c r="AJ420" s="67" t="str">
        <f>'Lớp 5 - Phân công'!AL231</f>
        <v/>
      </c>
      <c r="AS420" s="389" t="str">
        <f t="shared" si="217"/>
        <v/>
      </c>
      <c r="AT420" s="389" t="str">
        <f t="shared" si="32"/>
        <v/>
      </c>
      <c r="AU420" s="389" t="str">
        <f t="shared" si="33"/>
        <v/>
      </c>
      <c r="AV420" s="389" t="str">
        <f t="shared" si="34"/>
        <v/>
      </c>
      <c r="AW420" s="389" t="str">
        <f t="shared" si="35"/>
        <v/>
      </c>
      <c r="AX420" s="67" t="str">
        <f t="shared" ref="AX420:BH420" si="434">Z420</f>
        <v/>
      </c>
      <c r="AY420" s="67" t="str">
        <f t="shared" si="434"/>
        <v/>
      </c>
      <c r="AZ420" s="67" t="str">
        <f t="shared" si="434"/>
        <v/>
      </c>
      <c r="BA420" s="67" t="str">
        <f t="shared" si="434"/>
        <v/>
      </c>
      <c r="BB420" s="398" t="str">
        <f t="shared" si="434"/>
        <v/>
      </c>
      <c r="BC420" s="358" t="str">
        <f t="shared" si="434"/>
        <v/>
      </c>
      <c r="BD420" s="187" t="str">
        <f t="shared" si="434"/>
        <v/>
      </c>
      <c r="BE420" s="104" t="str">
        <f t="shared" si="434"/>
        <v/>
      </c>
      <c r="BF420" s="389" t="str">
        <f t="shared" si="434"/>
        <v/>
      </c>
      <c r="BG420" s="389" t="str">
        <f t="shared" si="434"/>
        <v>🔵 Chưa có hạn</v>
      </c>
      <c r="BH420" s="67" t="str">
        <f t="shared" si="434"/>
        <v/>
      </c>
      <c r="BI420" s="389" t="str">
        <f t="array" ref="BI420">IF($X420="","",SWITCH($W420,3,IFERROR(INDEX('Lớp 3 - Công việc chính'!$AF$14:$AF$73,MATCH($X420,'Lớp 3 - Công việc chính'!$I$14:$I$73,0)),""),4,IFERROR(INDEX('Lớp 4 - Danh mục'!$AI$14:$AI$132,MATCH($X420,'Lớp 4 - Danh mục'!$I$14:$I$132,0)),""),5,IFERROR(INDEX('Lớp 5 - Phân công'!$AJ$14:$AJ$262,MATCH($X420,'Lớp 5 - Phân công'!$I$14:$I$262,0)),""),6,IFERROR(INDEX('Lớp 6 - Chi tiết'!$AM$14:$AM$267,MATCH($X420,'Lớp 6 - Chi tiết'!$I$14:$I$267,0)),""),""))</f>
        <v/>
      </c>
      <c r="BJ420" s="389" t="str">
        <f t="array" ref="BJ420">IF($X420="","",SWITCH($W420,3,IFERROR(INDEX('Lớp 3 - Công việc chính'!$AR$14:$AR$73,MATCH($X420,'Lớp 3 - Công việc chính'!$I$14:$I$73,0)),""),4,IFERROR(INDEX('Lớp 4 - Danh mục'!$AU$14:$AU$132,MATCH($X420,'Lớp 4 - Danh mục'!$I$14:$I$132,0)),""),5,IFERROR(INDEX('Lớp 5 - Phân công'!$AV$14:$AV$262,MATCH($X420,'Lớp 5 - Phân công'!$I$14:$I$262,0)),""),6,IFERROR(INDEX('Lớp 6 - Chi tiết'!$AY$14:$AY$267,MATCH($X420,'Lớp 6 - Chi tiết'!$I$14:$I$267,0)),""),""))</f>
        <v/>
      </c>
    </row>
    <row r="421" ht="15.75" customHeight="1">
      <c r="A421" s="294" t="str">
        <f t="shared" si="12"/>
        <v/>
      </c>
      <c r="B421" s="301" t="str">
        <f t="shared" si="13"/>
        <v/>
      </c>
      <c r="C421" s="301" t="str">
        <f t="shared" si="14"/>
        <v/>
      </c>
      <c r="D421" s="301" t="str">
        <f t="shared" si="15"/>
        <v/>
      </c>
      <c r="E421" s="301" t="str">
        <f t="shared" si="16"/>
        <v/>
      </c>
      <c r="F421" s="317" t="str">
        <f t="shared" si="17"/>
        <v/>
      </c>
      <c r="G421" s="323" t="str">
        <f t="shared" si="18"/>
        <v/>
      </c>
      <c r="H421" s="327" t="str">
        <f t="shared" si="19"/>
        <v/>
      </c>
      <c r="I421" s="327" t="str">
        <f t="shared" si="20"/>
        <v/>
      </c>
      <c r="J421" s="301" t="str">
        <f t="shared" si="21"/>
        <v/>
      </c>
      <c r="K421" s="301" t="str">
        <f t="shared" si="22"/>
        <v/>
      </c>
      <c r="L421" s="344" t="str">
        <f t="array" ref="L421">IF($T421="","",LET(m,MATCH($T421,$AS$24:$AS$700,0),lvl,INDEX($W$24:$W$700,m),id,INDEX($X$24:$X$700,m),SWITCH(lvl,3,"Lớp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1" s="351" t="str">
        <f t="shared" si="23"/>
        <v/>
      </c>
      <c r="N421" s="356" t="str">
        <f t="shared" si="24"/>
        <v/>
      </c>
      <c r="O421" s="358"/>
      <c r="P421" s="360"/>
      <c r="Q421" s="360"/>
      <c r="R421" s="67"/>
      <c r="S421" s="67"/>
      <c r="T421" s="67"/>
      <c r="U421" s="389" t="str">
        <f>IF('Lớp 5 - Phân công'!I232="","",'Lớp 5 - Phân công'!K232&amp;"|"&amp;'Lớp 5 - Phân công'!J232&amp;"|"&amp;'Lớp 5 - Phân công'!I232)</f>
        <v/>
      </c>
      <c r="V421" s="389" t="str">
        <f>IF('Lớp 5 - Phân công'!I232="","","       ├─ "&amp;'Lớp 5 - Phân công'!Q232)</f>
        <v/>
      </c>
      <c r="W421" s="389" t="str">
        <f>IF('Lớp 5 - Phân công'!I232="","",5)</f>
        <v/>
      </c>
      <c r="X421" s="67" t="str">
        <f>'Lớp 5 - Phân công'!I232</f>
        <v/>
      </c>
      <c r="Y421" s="67" t="str">
        <f>'Lớp 5 - Phân công'!J232</f>
        <v/>
      </c>
      <c r="Z421" s="67" t="str">
        <f>'Lớp 5 - Phân công'!AA232</f>
        <v/>
      </c>
      <c r="AA421" s="67" t="str">
        <f>'Lớp 5 - Phân công'!Z232</f>
        <v/>
      </c>
      <c r="AB421" s="67" t="str">
        <f>'Lớp 5 - Phân công'!AC232</f>
        <v/>
      </c>
      <c r="AC421" s="67" t="str">
        <f>'Lớp 5 - Phân công'!AB232</f>
        <v/>
      </c>
      <c r="AD421" s="398" t="str">
        <f>'Lớp 5 - Phân công'!AG232</f>
        <v/>
      </c>
      <c r="AE421" s="358" t="str">
        <f>'Lớp 5 - Phân công'!AE232</f>
        <v/>
      </c>
      <c r="AF421" s="187" t="str">
        <f>'Lớp 5 - Phân công'!AH232</f>
        <v/>
      </c>
      <c r="AG421" s="104" t="str">
        <f>'Lớp 5 - Phân công'!AI232</f>
        <v/>
      </c>
      <c r="AH421" s="389" t="str">
        <f t="shared" si="27"/>
        <v/>
      </c>
      <c r="AI421" s="389" t="str">
        <f t="shared" si="37"/>
        <v>🔵 Chưa có hạn</v>
      </c>
      <c r="AJ421" s="67" t="str">
        <f>'Lớp 5 - Phân công'!AL232</f>
        <v/>
      </c>
      <c r="AS421" s="389" t="str">
        <f t="shared" si="217"/>
        <v/>
      </c>
      <c r="AT421" s="389" t="str">
        <f t="shared" si="32"/>
        <v/>
      </c>
      <c r="AU421" s="389" t="str">
        <f t="shared" si="33"/>
        <v/>
      </c>
      <c r="AV421" s="389" t="str">
        <f t="shared" si="34"/>
        <v/>
      </c>
      <c r="AW421" s="389" t="str">
        <f t="shared" si="35"/>
        <v/>
      </c>
      <c r="AX421" s="67" t="str">
        <f t="shared" ref="AX421:BH421" si="435">Z421</f>
        <v/>
      </c>
      <c r="AY421" s="67" t="str">
        <f t="shared" si="435"/>
        <v/>
      </c>
      <c r="AZ421" s="67" t="str">
        <f t="shared" si="435"/>
        <v/>
      </c>
      <c r="BA421" s="67" t="str">
        <f t="shared" si="435"/>
        <v/>
      </c>
      <c r="BB421" s="398" t="str">
        <f t="shared" si="435"/>
        <v/>
      </c>
      <c r="BC421" s="358" t="str">
        <f t="shared" si="435"/>
        <v/>
      </c>
      <c r="BD421" s="187" t="str">
        <f t="shared" si="435"/>
        <v/>
      </c>
      <c r="BE421" s="104" t="str">
        <f t="shared" si="435"/>
        <v/>
      </c>
      <c r="BF421" s="389" t="str">
        <f t="shared" si="435"/>
        <v/>
      </c>
      <c r="BG421" s="389" t="str">
        <f t="shared" si="435"/>
        <v>🔵 Chưa có hạn</v>
      </c>
      <c r="BH421" s="67" t="str">
        <f t="shared" si="435"/>
        <v/>
      </c>
      <c r="BI421" s="389" t="str">
        <f t="array" ref="BI421">IF($X421="","",SWITCH($W421,3,IFERROR(INDEX('Lớp 3 - Công việc chính'!$AF$14:$AF$73,MATCH($X421,'Lớp 3 - Công việc chính'!$I$14:$I$73,0)),""),4,IFERROR(INDEX('Lớp 4 - Danh mục'!$AI$14:$AI$132,MATCH($X421,'Lớp 4 - Danh mục'!$I$14:$I$132,0)),""),5,IFERROR(INDEX('Lớp 5 - Phân công'!$AJ$14:$AJ$262,MATCH($X421,'Lớp 5 - Phân công'!$I$14:$I$262,0)),""),6,IFERROR(INDEX('Lớp 6 - Chi tiết'!$AM$14:$AM$267,MATCH($X421,'Lớp 6 - Chi tiết'!$I$14:$I$267,0)),""),""))</f>
        <v/>
      </c>
      <c r="BJ421" s="389" t="str">
        <f t="array" ref="BJ421">IF($X421="","",SWITCH($W421,3,IFERROR(INDEX('Lớp 3 - Công việc chính'!$AR$14:$AR$73,MATCH($X421,'Lớp 3 - Công việc chính'!$I$14:$I$73,0)),""),4,IFERROR(INDEX('Lớp 4 - Danh mục'!$AU$14:$AU$132,MATCH($X421,'Lớp 4 - Danh mục'!$I$14:$I$132,0)),""),5,IFERROR(INDEX('Lớp 5 - Phân công'!$AV$14:$AV$262,MATCH($X421,'Lớp 5 - Phân công'!$I$14:$I$262,0)),""),6,IFERROR(INDEX('Lớp 6 - Chi tiết'!$AY$14:$AY$267,MATCH($X421,'Lớp 6 - Chi tiết'!$I$14:$I$267,0)),""),""))</f>
        <v/>
      </c>
    </row>
    <row r="422" ht="15.75" customHeight="1">
      <c r="A422" s="294" t="str">
        <f t="shared" si="12"/>
        <v/>
      </c>
      <c r="B422" s="301" t="str">
        <f t="shared" si="13"/>
        <v/>
      </c>
      <c r="C422" s="301" t="str">
        <f t="shared" si="14"/>
        <v/>
      </c>
      <c r="D422" s="301" t="str">
        <f t="shared" si="15"/>
        <v/>
      </c>
      <c r="E422" s="301" t="str">
        <f t="shared" si="16"/>
        <v/>
      </c>
      <c r="F422" s="317" t="str">
        <f t="shared" si="17"/>
        <v/>
      </c>
      <c r="G422" s="323" t="str">
        <f t="shared" si="18"/>
        <v/>
      </c>
      <c r="H422" s="327" t="str">
        <f t="shared" si="19"/>
        <v/>
      </c>
      <c r="I422" s="327" t="str">
        <f t="shared" si="20"/>
        <v/>
      </c>
      <c r="J422" s="301" t="str">
        <f t="shared" si="21"/>
        <v/>
      </c>
      <c r="K422" s="301" t="str">
        <f t="shared" si="22"/>
        <v/>
      </c>
      <c r="L422" s="344" t="str">
        <f t="array" ref="L422">IF($T422="","",LET(m,MATCH($T422,$AS$24:$AS$700,0),lvl,INDEX($W$24:$W$700,m),id,INDEX($X$24:$X$700,m),SWITCH(lvl,3,"Lớp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2" s="351" t="str">
        <f t="shared" si="23"/>
        <v/>
      </c>
      <c r="N422" s="356" t="str">
        <f t="shared" si="24"/>
        <v/>
      </c>
      <c r="O422" s="358"/>
      <c r="P422" s="360"/>
      <c r="Q422" s="360"/>
      <c r="R422" s="67"/>
      <c r="S422" s="67"/>
      <c r="T422" s="67"/>
      <c r="U422" s="389" t="str">
        <f>IF('Lớp 5 - Phân công'!I233="","",'Lớp 5 - Phân công'!K233&amp;"|"&amp;'Lớp 5 - Phân công'!J233&amp;"|"&amp;'Lớp 5 - Phân công'!I233)</f>
        <v/>
      </c>
      <c r="V422" s="389" t="str">
        <f>IF('Lớp 5 - Phân công'!I233="","","       ├─ "&amp;'Lớp 5 - Phân công'!Q233)</f>
        <v/>
      </c>
      <c r="W422" s="389" t="str">
        <f>IF('Lớp 5 - Phân công'!I233="","",5)</f>
        <v/>
      </c>
      <c r="X422" s="67" t="str">
        <f>'Lớp 5 - Phân công'!I233</f>
        <v/>
      </c>
      <c r="Y422" s="67" t="str">
        <f>'Lớp 5 - Phân công'!J233</f>
        <v/>
      </c>
      <c r="Z422" s="67" t="str">
        <f>'Lớp 5 - Phân công'!AA233</f>
        <v/>
      </c>
      <c r="AA422" s="67" t="str">
        <f>'Lớp 5 - Phân công'!Z233</f>
        <v/>
      </c>
      <c r="AB422" s="67" t="str">
        <f>'Lớp 5 - Phân công'!AC233</f>
        <v/>
      </c>
      <c r="AC422" s="67" t="str">
        <f>'Lớp 5 - Phân công'!AB233</f>
        <v/>
      </c>
      <c r="AD422" s="398" t="str">
        <f>'Lớp 5 - Phân công'!AG233</f>
        <v/>
      </c>
      <c r="AE422" s="358" t="str">
        <f>'Lớp 5 - Phân công'!AE233</f>
        <v/>
      </c>
      <c r="AF422" s="187" t="str">
        <f>'Lớp 5 - Phân công'!AH233</f>
        <v/>
      </c>
      <c r="AG422" s="104" t="str">
        <f>'Lớp 5 - Phân công'!AI233</f>
        <v/>
      </c>
      <c r="AH422" s="389" t="str">
        <f t="shared" si="27"/>
        <v/>
      </c>
      <c r="AI422" s="389" t="str">
        <f t="shared" si="37"/>
        <v>🔵 Chưa có hạn</v>
      </c>
      <c r="AJ422" s="67" t="str">
        <f>'Lớp 5 - Phân công'!AL233</f>
        <v/>
      </c>
      <c r="AS422" s="389" t="str">
        <f t="shared" si="217"/>
        <v/>
      </c>
      <c r="AT422" s="389" t="str">
        <f t="shared" si="32"/>
        <v/>
      </c>
      <c r="AU422" s="389" t="str">
        <f t="shared" si="33"/>
        <v/>
      </c>
      <c r="AV422" s="389" t="str">
        <f t="shared" si="34"/>
        <v/>
      </c>
      <c r="AW422" s="389" t="str">
        <f t="shared" si="35"/>
        <v/>
      </c>
      <c r="AX422" s="67" t="str">
        <f t="shared" ref="AX422:BH422" si="436">Z422</f>
        <v/>
      </c>
      <c r="AY422" s="67" t="str">
        <f t="shared" si="436"/>
        <v/>
      </c>
      <c r="AZ422" s="67" t="str">
        <f t="shared" si="436"/>
        <v/>
      </c>
      <c r="BA422" s="67" t="str">
        <f t="shared" si="436"/>
        <v/>
      </c>
      <c r="BB422" s="398" t="str">
        <f t="shared" si="436"/>
        <v/>
      </c>
      <c r="BC422" s="358" t="str">
        <f t="shared" si="436"/>
        <v/>
      </c>
      <c r="BD422" s="187" t="str">
        <f t="shared" si="436"/>
        <v/>
      </c>
      <c r="BE422" s="104" t="str">
        <f t="shared" si="436"/>
        <v/>
      </c>
      <c r="BF422" s="389" t="str">
        <f t="shared" si="436"/>
        <v/>
      </c>
      <c r="BG422" s="389" t="str">
        <f t="shared" si="436"/>
        <v>🔵 Chưa có hạn</v>
      </c>
      <c r="BH422" s="67" t="str">
        <f t="shared" si="436"/>
        <v/>
      </c>
      <c r="BI422" s="389" t="str">
        <f t="array" ref="BI422">IF($X422="","",SWITCH($W422,3,IFERROR(INDEX('Lớp 3 - Công việc chính'!$AF$14:$AF$73,MATCH($X422,'Lớp 3 - Công việc chính'!$I$14:$I$73,0)),""),4,IFERROR(INDEX('Lớp 4 - Danh mục'!$AI$14:$AI$132,MATCH($X422,'Lớp 4 - Danh mục'!$I$14:$I$132,0)),""),5,IFERROR(INDEX('Lớp 5 - Phân công'!$AJ$14:$AJ$262,MATCH($X422,'Lớp 5 - Phân công'!$I$14:$I$262,0)),""),6,IFERROR(INDEX('Lớp 6 - Chi tiết'!$AM$14:$AM$267,MATCH($X422,'Lớp 6 - Chi tiết'!$I$14:$I$267,0)),""),""))</f>
        <v/>
      </c>
      <c r="BJ422" s="389" t="str">
        <f t="array" ref="BJ422">IF($X422="","",SWITCH($W422,3,IFERROR(INDEX('Lớp 3 - Công việc chính'!$AR$14:$AR$73,MATCH($X422,'Lớp 3 - Công việc chính'!$I$14:$I$73,0)),""),4,IFERROR(INDEX('Lớp 4 - Danh mục'!$AU$14:$AU$132,MATCH($X422,'Lớp 4 - Danh mục'!$I$14:$I$132,0)),""),5,IFERROR(INDEX('Lớp 5 - Phân công'!$AV$14:$AV$262,MATCH($X422,'Lớp 5 - Phân công'!$I$14:$I$262,0)),""),6,IFERROR(INDEX('Lớp 6 - Chi tiết'!$AY$14:$AY$267,MATCH($X422,'Lớp 6 - Chi tiết'!$I$14:$I$267,0)),""),""))</f>
        <v/>
      </c>
    </row>
    <row r="423" ht="15.75" customHeight="1">
      <c r="A423" s="294" t="str">
        <f t="shared" si="12"/>
        <v/>
      </c>
      <c r="B423" s="301" t="str">
        <f t="shared" si="13"/>
        <v/>
      </c>
      <c r="C423" s="301" t="str">
        <f t="shared" si="14"/>
        <v/>
      </c>
      <c r="D423" s="301" t="str">
        <f t="shared" si="15"/>
        <v/>
      </c>
      <c r="E423" s="301" t="str">
        <f t="shared" si="16"/>
        <v/>
      </c>
      <c r="F423" s="317" t="str">
        <f t="shared" si="17"/>
        <v/>
      </c>
      <c r="G423" s="323" t="str">
        <f t="shared" si="18"/>
        <v/>
      </c>
      <c r="H423" s="327" t="str">
        <f t="shared" si="19"/>
        <v/>
      </c>
      <c r="I423" s="327" t="str">
        <f t="shared" si="20"/>
        <v/>
      </c>
      <c r="J423" s="301" t="str">
        <f t="shared" si="21"/>
        <v/>
      </c>
      <c r="K423" s="301" t="str">
        <f t="shared" si="22"/>
        <v/>
      </c>
      <c r="L423" s="344" t="str">
        <f t="array" ref="L423">IF($T423="","",LET(m,MATCH($T423,$AS$24:$AS$700,0),lvl,INDEX($W$24:$W$700,m),id,INDEX($X$24:$X$700,m),SWITCH(lvl,3,"Lớp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3" s="351" t="str">
        <f t="shared" si="23"/>
        <v/>
      </c>
      <c r="N423" s="356" t="str">
        <f t="shared" si="24"/>
        <v/>
      </c>
      <c r="O423" s="358"/>
      <c r="P423" s="360"/>
      <c r="Q423" s="360"/>
      <c r="R423" s="67"/>
      <c r="S423" s="67"/>
      <c r="T423" s="67"/>
      <c r="U423" s="389" t="str">
        <f>IF('Lớp 5 - Phân công'!I234="","",'Lớp 5 - Phân công'!K234&amp;"|"&amp;'Lớp 5 - Phân công'!J234&amp;"|"&amp;'Lớp 5 - Phân công'!I234)</f>
        <v/>
      </c>
      <c r="V423" s="389" t="str">
        <f>IF('Lớp 5 - Phân công'!I234="","","       ├─ "&amp;'Lớp 5 - Phân công'!Q234)</f>
        <v/>
      </c>
      <c r="W423" s="389" t="str">
        <f>IF('Lớp 5 - Phân công'!I234="","",5)</f>
        <v/>
      </c>
      <c r="X423" s="67" t="str">
        <f>'Lớp 5 - Phân công'!I234</f>
        <v/>
      </c>
      <c r="Y423" s="67" t="str">
        <f>'Lớp 5 - Phân công'!J234</f>
        <v/>
      </c>
      <c r="Z423" s="67" t="str">
        <f>'Lớp 5 - Phân công'!AA234</f>
        <v/>
      </c>
      <c r="AA423" s="67" t="str">
        <f>'Lớp 5 - Phân công'!Z234</f>
        <v/>
      </c>
      <c r="AB423" s="67" t="str">
        <f>'Lớp 5 - Phân công'!AC234</f>
        <v/>
      </c>
      <c r="AC423" s="67" t="str">
        <f>'Lớp 5 - Phân công'!AB234</f>
        <v/>
      </c>
      <c r="AD423" s="398" t="str">
        <f>'Lớp 5 - Phân công'!AG234</f>
        <v/>
      </c>
      <c r="AE423" s="358" t="str">
        <f>'Lớp 5 - Phân công'!AE234</f>
        <v/>
      </c>
      <c r="AF423" s="187" t="str">
        <f>'Lớp 5 - Phân công'!AH234</f>
        <v/>
      </c>
      <c r="AG423" s="104" t="str">
        <f>'Lớp 5 - Phân công'!AI234</f>
        <v/>
      </c>
      <c r="AH423" s="389" t="str">
        <f t="shared" si="27"/>
        <v/>
      </c>
      <c r="AI423" s="389" t="str">
        <f t="shared" si="37"/>
        <v>🔵 Chưa có hạn</v>
      </c>
      <c r="AJ423" s="67" t="str">
        <f>'Lớp 5 - Phân công'!AL234</f>
        <v/>
      </c>
      <c r="AS423" s="389" t="str">
        <f t="shared" si="217"/>
        <v/>
      </c>
      <c r="AT423" s="389" t="str">
        <f t="shared" si="32"/>
        <v/>
      </c>
      <c r="AU423" s="389" t="str">
        <f t="shared" si="33"/>
        <v/>
      </c>
      <c r="AV423" s="389" t="str">
        <f t="shared" si="34"/>
        <v/>
      </c>
      <c r="AW423" s="389" t="str">
        <f t="shared" si="35"/>
        <v/>
      </c>
      <c r="AX423" s="67" t="str">
        <f t="shared" ref="AX423:BH423" si="437">Z423</f>
        <v/>
      </c>
      <c r="AY423" s="67" t="str">
        <f t="shared" si="437"/>
        <v/>
      </c>
      <c r="AZ423" s="67" t="str">
        <f t="shared" si="437"/>
        <v/>
      </c>
      <c r="BA423" s="67" t="str">
        <f t="shared" si="437"/>
        <v/>
      </c>
      <c r="BB423" s="398" t="str">
        <f t="shared" si="437"/>
        <v/>
      </c>
      <c r="BC423" s="358" t="str">
        <f t="shared" si="437"/>
        <v/>
      </c>
      <c r="BD423" s="187" t="str">
        <f t="shared" si="437"/>
        <v/>
      </c>
      <c r="BE423" s="104" t="str">
        <f t="shared" si="437"/>
        <v/>
      </c>
      <c r="BF423" s="389" t="str">
        <f t="shared" si="437"/>
        <v/>
      </c>
      <c r="BG423" s="389" t="str">
        <f t="shared" si="437"/>
        <v>🔵 Chưa có hạn</v>
      </c>
      <c r="BH423" s="67" t="str">
        <f t="shared" si="437"/>
        <v/>
      </c>
      <c r="BI423" s="389" t="str">
        <f t="array" ref="BI423">IF($X423="","",SWITCH($W423,3,IFERROR(INDEX('Lớp 3 - Công việc chính'!$AF$14:$AF$73,MATCH($X423,'Lớp 3 - Công việc chính'!$I$14:$I$73,0)),""),4,IFERROR(INDEX('Lớp 4 - Danh mục'!$AI$14:$AI$132,MATCH($X423,'Lớp 4 - Danh mục'!$I$14:$I$132,0)),""),5,IFERROR(INDEX('Lớp 5 - Phân công'!$AJ$14:$AJ$262,MATCH($X423,'Lớp 5 - Phân công'!$I$14:$I$262,0)),""),6,IFERROR(INDEX('Lớp 6 - Chi tiết'!$AM$14:$AM$267,MATCH($X423,'Lớp 6 - Chi tiết'!$I$14:$I$267,0)),""),""))</f>
        <v/>
      </c>
      <c r="BJ423" s="389" t="str">
        <f t="array" ref="BJ423">IF($X423="","",SWITCH($W423,3,IFERROR(INDEX('Lớp 3 - Công việc chính'!$AR$14:$AR$73,MATCH($X423,'Lớp 3 - Công việc chính'!$I$14:$I$73,0)),""),4,IFERROR(INDEX('Lớp 4 - Danh mục'!$AU$14:$AU$132,MATCH($X423,'Lớp 4 - Danh mục'!$I$14:$I$132,0)),""),5,IFERROR(INDEX('Lớp 5 - Phân công'!$AV$14:$AV$262,MATCH($X423,'Lớp 5 - Phân công'!$I$14:$I$262,0)),""),6,IFERROR(INDEX('Lớp 6 - Chi tiết'!$AY$14:$AY$267,MATCH($X423,'Lớp 6 - Chi tiết'!$I$14:$I$267,0)),""),""))</f>
        <v/>
      </c>
    </row>
    <row r="424" ht="15.75" customHeight="1">
      <c r="A424" s="294" t="str">
        <f t="shared" si="12"/>
        <v/>
      </c>
      <c r="B424" s="301" t="str">
        <f t="shared" si="13"/>
        <v/>
      </c>
      <c r="C424" s="301" t="str">
        <f t="shared" si="14"/>
        <v/>
      </c>
      <c r="D424" s="301" t="str">
        <f t="shared" si="15"/>
        <v/>
      </c>
      <c r="E424" s="301" t="str">
        <f t="shared" si="16"/>
        <v/>
      </c>
      <c r="F424" s="317" t="str">
        <f t="shared" si="17"/>
        <v/>
      </c>
      <c r="G424" s="323" t="str">
        <f t="shared" si="18"/>
        <v/>
      </c>
      <c r="H424" s="327" t="str">
        <f t="shared" si="19"/>
        <v/>
      </c>
      <c r="I424" s="327" t="str">
        <f t="shared" si="20"/>
        <v/>
      </c>
      <c r="J424" s="301" t="str">
        <f t="shared" si="21"/>
        <v/>
      </c>
      <c r="K424" s="301" t="str">
        <f t="shared" si="22"/>
        <v/>
      </c>
      <c r="L424" s="344" t="str">
        <f t="array" ref="L424">IF($T424="","",LET(m,MATCH($T424,$AS$24:$AS$700,0),lvl,INDEX($W$24:$W$700,m),id,INDEX($X$24:$X$700,m),SWITCH(lvl,3,"Lớp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4" s="351" t="str">
        <f t="shared" si="23"/>
        <v/>
      </c>
      <c r="N424" s="356" t="str">
        <f t="shared" si="24"/>
        <v/>
      </c>
      <c r="O424" s="358"/>
      <c r="P424" s="360"/>
      <c r="Q424" s="360"/>
      <c r="R424" s="67"/>
      <c r="S424" s="67"/>
      <c r="T424" s="67"/>
      <c r="U424" s="389" t="str">
        <f>IF('Lớp 5 - Phân công'!I235="","",'Lớp 5 - Phân công'!K235&amp;"|"&amp;'Lớp 5 - Phân công'!J235&amp;"|"&amp;'Lớp 5 - Phân công'!I235)</f>
        <v/>
      </c>
      <c r="V424" s="389" t="str">
        <f>IF('Lớp 5 - Phân công'!I235="","","       ├─ "&amp;'Lớp 5 - Phân công'!Q235)</f>
        <v/>
      </c>
      <c r="W424" s="389" t="str">
        <f>IF('Lớp 5 - Phân công'!I235="","",5)</f>
        <v/>
      </c>
      <c r="X424" s="67" t="str">
        <f>'Lớp 5 - Phân công'!I235</f>
        <v/>
      </c>
      <c r="Y424" s="67" t="str">
        <f>'Lớp 5 - Phân công'!J235</f>
        <v/>
      </c>
      <c r="Z424" s="67" t="str">
        <f>'Lớp 5 - Phân công'!AA235</f>
        <v/>
      </c>
      <c r="AA424" s="67" t="str">
        <f>'Lớp 5 - Phân công'!Z235</f>
        <v/>
      </c>
      <c r="AB424" s="67" t="str">
        <f>'Lớp 5 - Phân công'!AC235</f>
        <v/>
      </c>
      <c r="AC424" s="67" t="str">
        <f>'Lớp 5 - Phân công'!AB235</f>
        <v/>
      </c>
      <c r="AD424" s="398" t="str">
        <f>'Lớp 5 - Phân công'!AG235</f>
        <v/>
      </c>
      <c r="AE424" s="358" t="str">
        <f>'Lớp 5 - Phân công'!AE235</f>
        <v/>
      </c>
      <c r="AF424" s="187" t="str">
        <f>'Lớp 5 - Phân công'!AH235</f>
        <v/>
      </c>
      <c r="AG424" s="104" t="str">
        <f>'Lớp 5 - Phân công'!AI235</f>
        <v/>
      </c>
      <c r="AH424" s="389" t="str">
        <f t="shared" si="27"/>
        <v/>
      </c>
      <c r="AI424" s="389" t="str">
        <f t="shared" si="37"/>
        <v>🔵 Chưa có hạn</v>
      </c>
      <c r="AJ424" s="67" t="str">
        <f>'Lớp 5 - Phân công'!AL235</f>
        <v/>
      </c>
      <c r="AS424" s="389" t="str">
        <f t="shared" si="217"/>
        <v/>
      </c>
      <c r="AT424" s="389" t="str">
        <f t="shared" si="32"/>
        <v/>
      </c>
      <c r="AU424" s="389" t="str">
        <f t="shared" si="33"/>
        <v/>
      </c>
      <c r="AV424" s="389" t="str">
        <f t="shared" si="34"/>
        <v/>
      </c>
      <c r="AW424" s="389" t="str">
        <f t="shared" si="35"/>
        <v/>
      </c>
      <c r="AX424" s="67" t="str">
        <f t="shared" ref="AX424:BH424" si="438">Z424</f>
        <v/>
      </c>
      <c r="AY424" s="67" t="str">
        <f t="shared" si="438"/>
        <v/>
      </c>
      <c r="AZ424" s="67" t="str">
        <f t="shared" si="438"/>
        <v/>
      </c>
      <c r="BA424" s="67" t="str">
        <f t="shared" si="438"/>
        <v/>
      </c>
      <c r="BB424" s="398" t="str">
        <f t="shared" si="438"/>
        <v/>
      </c>
      <c r="BC424" s="358" t="str">
        <f t="shared" si="438"/>
        <v/>
      </c>
      <c r="BD424" s="187" t="str">
        <f t="shared" si="438"/>
        <v/>
      </c>
      <c r="BE424" s="104" t="str">
        <f t="shared" si="438"/>
        <v/>
      </c>
      <c r="BF424" s="389" t="str">
        <f t="shared" si="438"/>
        <v/>
      </c>
      <c r="BG424" s="389" t="str">
        <f t="shared" si="438"/>
        <v>🔵 Chưa có hạn</v>
      </c>
      <c r="BH424" s="67" t="str">
        <f t="shared" si="438"/>
        <v/>
      </c>
      <c r="BI424" s="389" t="str">
        <f t="array" ref="BI424">IF($X424="","",SWITCH($W424,3,IFERROR(INDEX('Lớp 3 - Công việc chính'!$AF$14:$AF$73,MATCH($X424,'Lớp 3 - Công việc chính'!$I$14:$I$73,0)),""),4,IFERROR(INDEX('Lớp 4 - Danh mục'!$AI$14:$AI$132,MATCH($X424,'Lớp 4 - Danh mục'!$I$14:$I$132,0)),""),5,IFERROR(INDEX('Lớp 5 - Phân công'!$AJ$14:$AJ$262,MATCH($X424,'Lớp 5 - Phân công'!$I$14:$I$262,0)),""),6,IFERROR(INDEX('Lớp 6 - Chi tiết'!$AM$14:$AM$267,MATCH($X424,'Lớp 6 - Chi tiết'!$I$14:$I$267,0)),""),""))</f>
        <v/>
      </c>
      <c r="BJ424" s="389" t="str">
        <f t="array" ref="BJ424">IF($X424="","",SWITCH($W424,3,IFERROR(INDEX('Lớp 3 - Công việc chính'!$AR$14:$AR$73,MATCH($X424,'Lớp 3 - Công việc chính'!$I$14:$I$73,0)),""),4,IFERROR(INDEX('Lớp 4 - Danh mục'!$AU$14:$AU$132,MATCH($X424,'Lớp 4 - Danh mục'!$I$14:$I$132,0)),""),5,IFERROR(INDEX('Lớp 5 - Phân công'!$AV$14:$AV$262,MATCH($X424,'Lớp 5 - Phân công'!$I$14:$I$262,0)),""),6,IFERROR(INDEX('Lớp 6 - Chi tiết'!$AY$14:$AY$267,MATCH($X424,'Lớp 6 - Chi tiết'!$I$14:$I$267,0)),""),""))</f>
        <v/>
      </c>
    </row>
    <row r="425" ht="15.75" customHeight="1">
      <c r="A425" s="294" t="str">
        <f t="shared" si="12"/>
        <v/>
      </c>
      <c r="B425" s="301" t="str">
        <f t="shared" si="13"/>
        <v/>
      </c>
      <c r="C425" s="301" t="str">
        <f t="shared" si="14"/>
        <v/>
      </c>
      <c r="D425" s="301" t="str">
        <f t="shared" si="15"/>
        <v/>
      </c>
      <c r="E425" s="301" t="str">
        <f t="shared" si="16"/>
        <v/>
      </c>
      <c r="F425" s="317" t="str">
        <f t="shared" si="17"/>
        <v/>
      </c>
      <c r="G425" s="323" t="str">
        <f t="shared" si="18"/>
        <v/>
      </c>
      <c r="H425" s="327" t="str">
        <f t="shared" si="19"/>
        <v/>
      </c>
      <c r="I425" s="327" t="str">
        <f t="shared" si="20"/>
        <v/>
      </c>
      <c r="J425" s="301" t="str">
        <f t="shared" si="21"/>
        <v/>
      </c>
      <c r="K425" s="301" t="str">
        <f t="shared" si="22"/>
        <v/>
      </c>
      <c r="L425" s="344" t="str">
        <f t="array" ref="L425">IF($T425="","",LET(m,MATCH($T425,$AS$24:$AS$700,0),lvl,INDEX($W$24:$W$700,m),id,INDEX($X$24:$X$700,m),SWITCH(lvl,3,"Lớp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5" s="351" t="str">
        <f t="shared" si="23"/>
        <v/>
      </c>
      <c r="N425" s="356" t="str">
        <f t="shared" si="24"/>
        <v/>
      </c>
      <c r="O425" s="358"/>
      <c r="P425" s="360"/>
      <c r="Q425" s="360"/>
      <c r="R425" s="67"/>
      <c r="S425" s="67"/>
      <c r="T425" s="67"/>
      <c r="U425" s="389" t="str">
        <f>IF('Lớp 5 - Phân công'!I236="","",'Lớp 5 - Phân công'!K236&amp;"|"&amp;'Lớp 5 - Phân công'!J236&amp;"|"&amp;'Lớp 5 - Phân công'!I236)</f>
        <v/>
      </c>
      <c r="V425" s="389" t="str">
        <f>IF('Lớp 5 - Phân công'!I236="","","       ├─ "&amp;'Lớp 5 - Phân công'!Q236)</f>
        <v/>
      </c>
      <c r="W425" s="389" t="str">
        <f>IF('Lớp 5 - Phân công'!I236="","",5)</f>
        <v/>
      </c>
      <c r="X425" s="67" t="str">
        <f>'Lớp 5 - Phân công'!I236</f>
        <v/>
      </c>
      <c r="Y425" s="67" t="str">
        <f>'Lớp 5 - Phân công'!J236</f>
        <v/>
      </c>
      <c r="Z425" s="67" t="str">
        <f>'Lớp 5 - Phân công'!AA236</f>
        <v/>
      </c>
      <c r="AA425" s="67" t="str">
        <f>'Lớp 5 - Phân công'!Z236</f>
        <v/>
      </c>
      <c r="AB425" s="67" t="str">
        <f>'Lớp 5 - Phân công'!AC236</f>
        <v/>
      </c>
      <c r="AC425" s="67" t="str">
        <f>'Lớp 5 - Phân công'!AB236</f>
        <v/>
      </c>
      <c r="AD425" s="398" t="str">
        <f>'Lớp 5 - Phân công'!AG236</f>
        <v/>
      </c>
      <c r="AE425" s="358" t="str">
        <f>'Lớp 5 - Phân công'!AE236</f>
        <v/>
      </c>
      <c r="AF425" s="187" t="str">
        <f>'Lớp 5 - Phân công'!AH236</f>
        <v/>
      </c>
      <c r="AG425" s="104" t="str">
        <f>'Lớp 5 - Phân công'!AI236</f>
        <v/>
      </c>
      <c r="AH425" s="389" t="str">
        <f t="shared" si="27"/>
        <v/>
      </c>
      <c r="AI425" s="389" t="str">
        <f t="shared" si="37"/>
        <v>🔵 Chưa có hạn</v>
      </c>
      <c r="AJ425" s="67" t="str">
        <f>'Lớp 5 - Phân công'!AL236</f>
        <v/>
      </c>
      <c r="AS425" s="389" t="str">
        <f t="shared" si="217"/>
        <v/>
      </c>
      <c r="AT425" s="389" t="str">
        <f t="shared" si="32"/>
        <v/>
      </c>
      <c r="AU425" s="389" t="str">
        <f t="shared" si="33"/>
        <v/>
      </c>
      <c r="AV425" s="389" t="str">
        <f t="shared" si="34"/>
        <v/>
      </c>
      <c r="AW425" s="389" t="str">
        <f t="shared" si="35"/>
        <v/>
      </c>
      <c r="AX425" s="67" t="str">
        <f t="shared" ref="AX425:BH425" si="439">Z425</f>
        <v/>
      </c>
      <c r="AY425" s="67" t="str">
        <f t="shared" si="439"/>
        <v/>
      </c>
      <c r="AZ425" s="67" t="str">
        <f t="shared" si="439"/>
        <v/>
      </c>
      <c r="BA425" s="67" t="str">
        <f t="shared" si="439"/>
        <v/>
      </c>
      <c r="BB425" s="398" t="str">
        <f t="shared" si="439"/>
        <v/>
      </c>
      <c r="BC425" s="358" t="str">
        <f t="shared" si="439"/>
        <v/>
      </c>
      <c r="BD425" s="187" t="str">
        <f t="shared" si="439"/>
        <v/>
      </c>
      <c r="BE425" s="104" t="str">
        <f t="shared" si="439"/>
        <v/>
      </c>
      <c r="BF425" s="389" t="str">
        <f t="shared" si="439"/>
        <v/>
      </c>
      <c r="BG425" s="389" t="str">
        <f t="shared" si="439"/>
        <v>🔵 Chưa có hạn</v>
      </c>
      <c r="BH425" s="67" t="str">
        <f t="shared" si="439"/>
        <v/>
      </c>
      <c r="BI425" s="389" t="str">
        <f t="array" ref="BI425">IF($X425="","",SWITCH($W425,3,IFERROR(INDEX('Lớp 3 - Công việc chính'!$AF$14:$AF$73,MATCH($X425,'Lớp 3 - Công việc chính'!$I$14:$I$73,0)),""),4,IFERROR(INDEX('Lớp 4 - Danh mục'!$AI$14:$AI$132,MATCH($X425,'Lớp 4 - Danh mục'!$I$14:$I$132,0)),""),5,IFERROR(INDEX('Lớp 5 - Phân công'!$AJ$14:$AJ$262,MATCH($X425,'Lớp 5 - Phân công'!$I$14:$I$262,0)),""),6,IFERROR(INDEX('Lớp 6 - Chi tiết'!$AM$14:$AM$267,MATCH($X425,'Lớp 6 - Chi tiết'!$I$14:$I$267,0)),""),""))</f>
        <v/>
      </c>
      <c r="BJ425" s="389" t="str">
        <f t="array" ref="BJ425">IF($X425="","",SWITCH($W425,3,IFERROR(INDEX('Lớp 3 - Công việc chính'!$AR$14:$AR$73,MATCH($X425,'Lớp 3 - Công việc chính'!$I$14:$I$73,0)),""),4,IFERROR(INDEX('Lớp 4 - Danh mục'!$AU$14:$AU$132,MATCH($X425,'Lớp 4 - Danh mục'!$I$14:$I$132,0)),""),5,IFERROR(INDEX('Lớp 5 - Phân công'!$AV$14:$AV$262,MATCH($X425,'Lớp 5 - Phân công'!$I$14:$I$262,0)),""),6,IFERROR(INDEX('Lớp 6 - Chi tiết'!$AY$14:$AY$267,MATCH($X425,'Lớp 6 - Chi tiết'!$I$14:$I$267,0)),""),""))</f>
        <v/>
      </c>
    </row>
    <row r="426" ht="15.75" customHeight="1">
      <c r="A426" s="294" t="str">
        <f t="shared" si="12"/>
        <v/>
      </c>
      <c r="B426" s="301" t="str">
        <f t="shared" si="13"/>
        <v/>
      </c>
      <c r="C426" s="301" t="str">
        <f t="shared" si="14"/>
        <v/>
      </c>
      <c r="D426" s="301" t="str">
        <f t="shared" si="15"/>
        <v/>
      </c>
      <c r="E426" s="301" t="str">
        <f t="shared" si="16"/>
        <v/>
      </c>
      <c r="F426" s="317" t="str">
        <f t="shared" si="17"/>
        <v/>
      </c>
      <c r="G426" s="323" t="str">
        <f t="shared" si="18"/>
        <v/>
      </c>
      <c r="H426" s="327" t="str">
        <f t="shared" si="19"/>
        <v/>
      </c>
      <c r="I426" s="327" t="str">
        <f t="shared" si="20"/>
        <v/>
      </c>
      <c r="J426" s="301" t="str">
        <f t="shared" si="21"/>
        <v/>
      </c>
      <c r="K426" s="301" t="str">
        <f t="shared" si="22"/>
        <v/>
      </c>
      <c r="L426" s="344" t="str">
        <f t="array" ref="L426">IF($T426="","",LET(m,MATCH($T426,$AS$24:$AS$700,0),lvl,INDEX($W$24:$W$700,m),id,INDEX($X$24:$X$700,m),SWITCH(lvl,3,"Lớp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6" s="351" t="str">
        <f t="shared" si="23"/>
        <v/>
      </c>
      <c r="N426" s="356" t="str">
        <f t="shared" si="24"/>
        <v/>
      </c>
      <c r="O426" s="358"/>
      <c r="P426" s="360"/>
      <c r="Q426" s="360"/>
      <c r="R426" s="67"/>
      <c r="S426" s="67"/>
      <c r="T426" s="67"/>
      <c r="U426" s="389" t="str">
        <f>IF('Lớp 5 - Phân công'!I237="","",'Lớp 5 - Phân công'!K237&amp;"|"&amp;'Lớp 5 - Phân công'!J237&amp;"|"&amp;'Lớp 5 - Phân công'!I237)</f>
        <v/>
      </c>
      <c r="V426" s="389" t="str">
        <f>IF('Lớp 5 - Phân công'!I237="","","       ├─ "&amp;'Lớp 5 - Phân công'!Q237)</f>
        <v/>
      </c>
      <c r="W426" s="389" t="str">
        <f>IF('Lớp 5 - Phân công'!I237="","",5)</f>
        <v/>
      </c>
      <c r="X426" s="67" t="str">
        <f>'Lớp 5 - Phân công'!I237</f>
        <v/>
      </c>
      <c r="Y426" s="67" t="str">
        <f>'Lớp 5 - Phân công'!J237</f>
        <v/>
      </c>
      <c r="Z426" s="67" t="str">
        <f>'Lớp 5 - Phân công'!AA237</f>
        <v/>
      </c>
      <c r="AA426" s="67" t="str">
        <f>'Lớp 5 - Phân công'!Z237</f>
        <v/>
      </c>
      <c r="AB426" s="67" t="str">
        <f>'Lớp 5 - Phân công'!AC237</f>
        <v/>
      </c>
      <c r="AC426" s="67" t="str">
        <f>'Lớp 5 - Phân công'!AB237</f>
        <v/>
      </c>
      <c r="AD426" s="398" t="str">
        <f>'Lớp 5 - Phân công'!AG237</f>
        <v/>
      </c>
      <c r="AE426" s="358" t="str">
        <f>'Lớp 5 - Phân công'!AE237</f>
        <v/>
      </c>
      <c r="AF426" s="187" t="str">
        <f>'Lớp 5 - Phân công'!AH237</f>
        <v/>
      </c>
      <c r="AG426" s="104" t="str">
        <f>'Lớp 5 - Phân công'!AI237</f>
        <v/>
      </c>
      <c r="AH426" s="389" t="str">
        <f t="shared" si="27"/>
        <v/>
      </c>
      <c r="AI426" s="389" t="str">
        <f t="shared" si="37"/>
        <v>🔵 Chưa có hạn</v>
      </c>
      <c r="AJ426" s="67" t="str">
        <f>'Lớp 5 - Phân công'!AL237</f>
        <v/>
      </c>
      <c r="AS426" s="389" t="str">
        <f t="shared" si="217"/>
        <v/>
      </c>
      <c r="AT426" s="389" t="str">
        <f t="shared" si="32"/>
        <v/>
      </c>
      <c r="AU426" s="389" t="str">
        <f t="shared" si="33"/>
        <v/>
      </c>
      <c r="AV426" s="389" t="str">
        <f t="shared" si="34"/>
        <v/>
      </c>
      <c r="AW426" s="389" t="str">
        <f t="shared" si="35"/>
        <v/>
      </c>
      <c r="AX426" s="67" t="str">
        <f t="shared" ref="AX426:BH426" si="440">Z426</f>
        <v/>
      </c>
      <c r="AY426" s="67" t="str">
        <f t="shared" si="440"/>
        <v/>
      </c>
      <c r="AZ426" s="67" t="str">
        <f t="shared" si="440"/>
        <v/>
      </c>
      <c r="BA426" s="67" t="str">
        <f t="shared" si="440"/>
        <v/>
      </c>
      <c r="BB426" s="398" t="str">
        <f t="shared" si="440"/>
        <v/>
      </c>
      <c r="BC426" s="358" t="str">
        <f t="shared" si="440"/>
        <v/>
      </c>
      <c r="BD426" s="187" t="str">
        <f t="shared" si="440"/>
        <v/>
      </c>
      <c r="BE426" s="104" t="str">
        <f t="shared" si="440"/>
        <v/>
      </c>
      <c r="BF426" s="389" t="str">
        <f t="shared" si="440"/>
        <v/>
      </c>
      <c r="BG426" s="389" t="str">
        <f t="shared" si="440"/>
        <v>🔵 Chưa có hạn</v>
      </c>
      <c r="BH426" s="67" t="str">
        <f t="shared" si="440"/>
        <v/>
      </c>
      <c r="BI426" s="389" t="str">
        <f t="array" ref="BI426">IF($X426="","",SWITCH($W426,3,IFERROR(INDEX('Lớp 3 - Công việc chính'!$AF$14:$AF$73,MATCH($X426,'Lớp 3 - Công việc chính'!$I$14:$I$73,0)),""),4,IFERROR(INDEX('Lớp 4 - Danh mục'!$AI$14:$AI$132,MATCH($X426,'Lớp 4 - Danh mục'!$I$14:$I$132,0)),""),5,IFERROR(INDEX('Lớp 5 - Phân công'!$AJ$14:$AJ$262,MATCH($X426,'Lớp 5 - Phân công'!$I$14:$I$262,0)),""),6,IFERROR(INDEX('Lớp 6 - Chi tiết'!$AM$14:$AM$267,MATCH($X426,'Lớp 6 - Chi tiết'!$I$14:$I$267,0)),""),""))</f>
        <v/>
      </c>
      <c r="BJ426" s="389" t="str">
        <f t="array" ref="BJ426">IF($X426="","",SWITCH($W426,3,IFERROR(INDEX('Lớp 3 - Công việc chính'!$AR$14:$AR$73,MATCH($X426,'Lớp 3 - Công việc chính'!$I$14:$I$73,0)),""),4,IFERROR(INDEX('Lớp 4 - Danh mục'!$AU$14:$AU$132,MATCH($X426,'Lớp 4 - Danh mục'!$I$14:$I$132,0)),""),5,IFERROR(INDEX('Lớp 5 - Phân công'!$AV$14:$AV$262,MATCH($X426,'Lớp 5 - Phân công'!$I$14:$I$262,0)),""),6,IFERROR(INDEX('Lớp 6 - Chi tiết'!$AY$14:$AY$267,MATCH($X426,'Lớp 6 - Chi tiết'!$I$14:$I$267,0)),""),""))</f>
        <v/>
      </c>
    </row>
    <row r="427" ht="15.75" customHeight="1">
      <c r="A427" s="294" t="str">
        <f t="shared" si="12"/>
        <v/>
      </c>
      <c r="B427" s="301" t="str">
        <f t="shared" si="13"/>
        <v/>
      </c>
      <c r="C427" s="301" t="str">
        <f t="shared" si="14"/>
        <v/>
      </c>
      <c r="D427" s="301" t="str">
        <f t="shared" si="15"/>
        <v/>
      </c>
      <c r="E427" s="301" t="str">
        <f t="shared" si="16"/>
        <v/>
      </c>
      <c r="F427" s="317" t="str">
        <f t="shared" si="17"/>
        <v/>
      </c>
      <c r="G427" s="323" t="str">
        <f t="shared" si="18"/>
        <v/>
      </c>
      <c r="H427" s="327" t="str">
        <f t="shared" si="19"/>
        <v/>
      </c>
      <c r="I427" s="327" t="str">
        <f t="shared" si="20"/>
        <v/>
      </c>
      <c r="J427" s="301" t="str">
        <f t="shared" si="21"/>
        <v/>
      </c>
      <c r="K427" s="301" t="str">
        <f t="shared" si="22"/>
        <v/>
      </c>
      <c r="L427" s="344" t="str">
        <f t="array" ref="L427">IF($T427="","",LET(m,MATCH($T427,$AS$24:$AS$700,0),lvl,INDEX($W$24:$W$700,m),id,INDEX($X$24:$X$700,m),SWITCH(lvl,3,"Lớp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7" s="351" t="str">
        <f t="shared" si="23"/>
        <v/>
      </c>
      <c r="N427" s="356" t="str">
        <f t="shared" si="24"/>
        <v/>
      </c>
      <c r="O427" s="358"/>
      <c r="P427" s="360"/>
      <c r="Q427" s="360"/>
      <c r="R427" s="67"/>
      <c r="S427" s="67"/>
      <c r="T427" s="67"/>
      <c r="U427" s="389" t="str">
        <f>IF('Lớp 5 - Phân công'!I238="","",'Lớp 5 - Phân công'!K238&amp;"|"&amp;'Lớp 5 - Phân công'!J238&amp;"|"&amp;'Lớp 5 - Phân công'!I238)</f>
        <v/>
      </c>
      <c r="V427" s="389" t="str">
        <f>IF('Lớp 5 - Phân công'!I238="","","       ├─ "&amp;'Lớp 5 - Phân công'!Q238)</f>
        <v/>
      </c>
      <c r="W427" s="389" t="str">
        <f>IF('Lớp 5 - Phân công'!I238="","",5)</f>
        <v/>
      </c>
      <c r="X427" s="67" t="str">
        <f>'Lớp 5 - Phân công'!I238</f>
        <v/>
      </c>
      <c r="Y427" s="67" t="str">
        <f>'Lớp 5 - Phân công'!J238</f>
        <v/>
      </c>
      <c r="Z427" s="67" t="str">
        <f>'Lớp 5 - Phân công'!AA238</f>
        <v/>
      </c>
      <c r="AA427" s="67" t="str">
        <f>'Lớp 5 - Phân công'!Z238</f>
        <v/>
      </c>
      <c r="AB427" s="67" t="str">
        <f>'Lớp 5 - Phân công'!AC238</f>
        <v/>
      </c>
      <c r="AC427" s="67" t="str">
        <f>'Lớp 5 - Phân công'!AB238</f>
        <v/>
      </c>
      <c r="AD427" s="398" t="str">
        <f>'Lớp 5 - Phân công'!AG238</f>
        <v/>
      </c>
      <c r="AE427" s="358" t="str">
        <f>'Lớp 5 - Phân công'!AE238</f>
        <v/>
      </c>
      <c r="AF427" s="187" t="str">
        <f>'Lớp 5 - Phân công'!AH238</f>
        <v/>
      </c>
      <c r="AG427" s="104" t="str">
        <f>'Lớp 5 - Phân công'!AI238</f>
        <v/>
      </c>
      <c r="AH427" s="389" t="str">
        <f t="shared" si="27"/>
        <v/>
      </c>
      <c r="AI427" s="389" t="str">
        <f t="shared" si="37"/>
        <v>🔵 Chưa có hạn</v>
      </c>
      <c r="AJ427" s="67" t="str">
        <f>'Lớp 5 - Phân công'!AL238</f>
        <v/>
      </c>
      <c r="AS427" s="389" t="str">
        <f t="shared" si="217"/>
        <v/>
      </c>
      <c r="AT427" s="389" t="str">
        <f t="shared" si="32"/>
        <v/>
      </c>
      <c r="AU427" s="389" t="str">
        <f t="shared" si="33"/>
        <v/>
      </c>
      <c r="AV427" s="389" t="str">
        <f t="shared" si="34"/>
        <v/>
      </c>
      <c r="AW427" s="389" t="str">
        <f t="shared" si="35"/>
        <v/>
      </c>
      <c r="AX427" s="67" t="str">
        <f t="shared" ref="AX427:BH427" si="441">Z427</f>
        <v/>
      </c>
      <c r="AY427" s="67" t="str">
        <f t="shared" si="441"/>
        <v/>
      </c>
      <c r="AZ427" s="67" t="str">
        <f t="shared" si="441"/>
        <v/>
      </c>
      <c r="BA427" s="67" t="str">
        <f t="shared" si="441"/>
        <v/>
      </c>
      <c r="BB427" s="398" t="str">
        <f t="shared" si="441"/>
        <v/>
      </c>
      <c r="BC427" s="358" t="str">
        <f t="shared" si="441"/>
        <v/>
      </c>
      <c r="BD427" s="187" t="str">
        <f t="shared" si="441"/>
        <v/>
      </c>
      <c r="BE427" s="104" t="str">
        <f t="shared" si="441"/>
        <v/>
      </c>
      <c r="BF427" s="389" t="str">
        <f t="shared" si="441"/>
        <v/>
      </c>
      <c r="BG427" s="389" t="str">
        <f t="shared" si="441"/>
        <v>🔵 Chưa có hạn</v>
      </c>
      <c r="BH427" s="67" t="str">
        <f t="shared" si="441"/>
        <v/>
      </c>
      <c r="BI427" s="389" t="str">
        <f t="array" ref="BI427">IF($X427="","",SWITCH($W427,3,IFERROR(INDEX('Lớp 3 - Công việc chính'!$AF$14:$AF$73,MATCH($X427,'Lớp 3 - Công việc chính'!$I$14:$I$73,0)),""),4,IFERROR(INDEX('Lớp 4 - Danh mục'!$AI$14:$AI$132,MATCH($X427,'Lớp 4 - Danh mục'!$I$14:$I$132,0)),""),5,IFERROR(INDEX('Lớp 5 - Phân công'!$AJ$14:$AJ$262,MATCH($X427,'Lớp 5 - Phân công'!$I$14:$I$262,0)),""),6,IFERROR(INDEX('Lớp 6 - Chi tiết'!$AM$14:$AM$267,MATCH($X427,'Lớp 6 - Chi tiết'!$I$14:$I$267,0)),""),""))</f>
        <v/>
      </c>
      <c r="BJ427" s="389" t="str">
        <f t="array" ref="BJ427">IF($X427="","",SWITCH($W427,3,IFERROR(INDEX('Lớp 3 - Công việc chính'!$AR$14:$AR$73,MATCH($X427,'Lớp 3 - Công việc chính'!$I$14:$I$73,0)),""),4,IFERROR(INDEX('Lớp 4 - Danh mục'!$AU$14:$AU$132,MATCH($X427,'Lớp 4 - Danh mục'!$I$14:$I$132,0)),""),5,IFERROR(INDEX('Lớp 5 - Phân công'!$AV$14:$AV$262,MATCH($X427,'Lớp 5 - Phân công'!$I$14:$I$262,0)),""),6,IFERROR(INDEX('Lớp 6 - Chi tiết'!$AY$14:$AY$267,MATCH($X427,'Lớp 6 - Chi tiết'!$I$14:$I$267,0)),""),""))</f>
        <v/>
      </c>
    </row>
    <row r="428" ht="15.75" customHeight="1">
      <c r="A428" s="294" t="str">
        <f t="shared" si="12"/>
        <v/>
      </c>
      <c r="B428" s="301" t="str">
        <f t="shared" si="13"/>
        <v/>
      </c>
      <c r="C428" s="301" t="str">
        <f t="shared" si="14"/>
        <v/>
      </c>
      <c r="D428" s="301" t="str">
        <f t="shared" si="15"/>
        <v/>
      </c>
      <c r="E428" s="301" t="str">
        <f t="shared" si="16"/>
        <v/>
      </c>
      <c r="F428" s="317" t="str">
        <f t="shared" si="17"/>
        <v/>
      </c>
      <c r="G428" s="323" t="str">
        <f t="shared" si="18"/>
        <v/>
      </c>
      <c r="H428" s="327" t="str">
        <f t="shared" si="19"/>
        <v/>
      </c>
      <c r="I428" s="327" t="str">
        <f t="shared" si="20"/>
        <v/>
      </c>
      <c r="J428" s="301" t="str">
        <f t="shared" si="21"/>
        <v/>
      </c>
      <c r="K428" s="301" t="str">
        <f t="shared" si="22"/>
        <v/>
      </c>
      <c r="L428" s="344" t="str">
        <f t="array" ref="L428">IF($T428="","",LET(m,MATCH($T428,$AS$24:$AS$700,0),lvl,INDEX($W$24:$W$700,m),id,INDEX($X$24:$X$700,m),SWITCH(lvl,3,"Lớp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8" s="351" t="str">
        <f t="shared" si="23"/>
        <v/>
      </c>
      <c r="N428" s="356" t="str">
        <f t="shared" si="24"/>
        <v/>
      </c>
      <c r="O428" s="358"/>
      <c r="P428" s="360"/>
      <c r="Q428" s="360"/>
      <c r="R428" s="67"/>
      <c r="S428" s="67"/>
      <c r="T428" s="67"/>
      <c r="U428" s="389" t="str">
        <f>IF('Lớp 5 - Phân công'!I239="","",'Lớp 5 - Phân công'!K239&amp;"|"&amp;'Lớp 5 - Phân công'!J239&amp;"|"&amp;'Lớp 5 - Phân công'!I239)</f>
        <v/>
      </c>
      <c r="V428" s="389" t="str">
        <f>IF('Lớp 5 - Phân công'!I239="","","       ├─ "&amp;'Lớp 5 - Phân công'!Q239)</f>
        <v/>
      </c>
      <c r="W428" s="389" t="str">
        <f>IF('Lớp 5 - Phân công'!I239="","",5)</f>
        <v/>
      </c>
      <c r="X428" s="67" t="str">
        <f>'Lớp 5 - Phân công'!I239</f>
        <v/>
      </c>
      <c r="Y428" s="67" t="str">
        <f>'Lớp 5 - Phân công'!J239</f>
        <v/>
      </c>
      <c r="Z428" s="67" t="str">
        <f>'Lớp 5 - Phân công'!AA239</f>
        <v/>
      </c>
      <c r="AA428" s="67" t="str">
        <f>'Lớp 5 - Phân công'!Z239</f>
        <v/>
      </c>
      <c r="AB428" s="67" t="str">
        <f>'Lớp 5 - Phân công'!AC239</f>
        <v/>
      </c>
      <c r="AC428" s="67" t="str">
        <f>'Lớp 5 - Phân công'!AB239</f>
        <v/>
      </c>
      <c r="AD428" s="398" t="str">
        <f>'Lớp 5 - Phân công'!AG239</f>
        <v/>
      </c>
      <c r="AE428" s="358" t="str">
        <f>'Lớp 5 - Phân công'!AE239</f>
        <v/>
      </c>
      <c r="AF428" s="187" t="str">
        <f>'Lớp 5 - Phân công'!AH239</f>
        <v/>
      </c>
      <c r="AG428" s="104" t="str">
        <f>'Lớp 5 - Phân công'!AI239</f>
        <v/>
      </c>
      <c r="AH428" s="389" t="str">
        <f t="shared" si="27"/>
        <v/>
      </c>
      <c r="AI428" s="389" t="str">
        <f t="shared" si="37"/>
        <v>🔵 Chưa có hạn</v>
      </c>
      <c r="AJ428" s="67" t="str">
        <f>'Lớp 5 - Phân công'!AL239</f>
        <v/>
      </c>
      <c r="AS428" s="389" t="str">
        <f t="shared" si="217"/>
        <v/>
      </c>
      <c r="AT428" s="389" t="str">
        <f t="shared" si="32"/>
        <v/>
      </c>
      <c r="AU428" s="389" t="str">
        <f t="shared" si="33"/>
        <v/>
      </c>
      <c r="AV428" s="389" t="str">
        <f t="shared" si="34"/>
        <v/>
      </c>
      <c r="AW428" s="389" t="str">
        <f t="shared" si="35"/>
        <v/>
      </c>
      <c r="AX428" s="67" t="str">
        <f t="shared" ref="AX428:BH428" si="442">Z428</f>
        <v/>
      </c>
      <c r="AY428" s="67" t="str">
        <f t="shared" si="442"/>
        <v/>
      </c>
      <c r="AZ428" s="67" t="str">
        <f t="shared" si="442"/>
        <v/>
      </c>
      <c r="BA428" s="67" t="str">
        <f t="shared" si="442"/>
        <v/>
      </c>
      <c r="BB428" s="398" t="str">
        <f t="shared" si="442"/>
        <v/>
      </c>
      <c r="BC428" s="358" t="str">
        <f t="shared" si="442"/>
        <v/>
      </c>
      <c r="BD428" s="187" t="str">
        <f t="shared" si="442"/>
        <v/>
      </c>
      <c r="BE428" s="104" t="str">
        <f t="shared" si="442"/>
        <v/>
      </c>
      <c r="BF428" s="389" t="str">
        <f t="shared" si="442"/>
        <v/>
      </c>
      <c r="BG428" s="389" t="str">
        <f t="shared" si="442"/>
        <v>🔵 Chưa có hạn</v>
      </c>
      <c r="BH428" s="67" t="str">
        <f t="shared" si="442"/>
        <v/>
      </c>
      <c r="BI428" s="389" t="str">
        <f t="array" ref="BI428">IF($X428="","",SWITCH($W428,3,IFERROR(INDEX('Lớp 3 - Công việc chính'!$AF$14:$AF$73,MATCH($X428,'Lớp 3 - Công việc chính'!$I$14:$I$73,0)),""),4,IFERROR(INDEX('Lớp 4 - Danh mục'!$AI$14:$AI$132,MATCH($X428,'Lớp 4 - Danh mục'!$I$14:$I$132,0)),""),5,IFERROR(INDEX('Lớp 5 - Phân công'!$AJ$14:$AJ$262,MATCH($X428,'Lớp 5 - Phân công'!$I$14:$I$262,0)),""),6,IFERROR(INDEX('Lớp 6 - Chi tiết'!$AM$14:$AM$267,MATCH($X428,'Lớp 6 - Chi tiết'!$I$14:$I$267,0)),""),""))</f>
        <v/>
      </c>
      <c r="BJ428" s="389" t="str">
        <f t="array" ref="BJ428">IF($X428="","",SWITCH($W428,3,IFERROR(INDEX('Lớp 3 - Công việc chính'!$AR$14:$AR$73,MATCH($X428,'Lớp 3 - Công việc chính'!$I$14:$I$73,0)),""),4,IFERROR(INDEX('Lớp 4 - Danh mục'!$AU$14:$AU$132,MATCH($X428,'Lớp 4 - Danh mục'!$I$14:$I$132,0)),""),5,IFERROR(INDEX('Lớp 5 - Phân công'!$AV$14:$AV$262,MATCH($X428,'Lớp 5 - Phân công'!$I$14:$I$262,0)),""),6,IFERROR(INDEX('Lớp 6 - Chi tiết'!$AY$14:$AY$267,MATCH($X428,'Lớp 6 - Chi tiết'!$I$14:$I$267,0)),""),""))</f>
        <v/>
      </c>
    </row>
    <row r="429" ht="15.75" customHeight="1">
      <c r="A429" s="294" t="str">
        <f t="shared" si="12"/>
        <v/>
      </c>
      <c r="B429" s="301" t="str">
        <f t="shared" si="13"/>
        <v/>
      </c>
      <c r="C429" s="301" t="str">
        <f t="shared" si="14"/>
        <v/>
      </c>
      <c r="D429" s="301" t="str">
        <f t="shared" si="15"/>
        <v/>
      </c>
      <c r="E429" s="301" t="str">
        <f t="shared" si="16"/>
        <v/>
      </c>
      <c r="F429" s="317" t="str">
        <f t="shared" si="17"/>
        <v/>
      </c>
      <c r="G429" s="323" t="str">
        <f t="shared" si="18"/>
        <v/>
      </c>
      <c r="H429" s="327" t="str">
        <f t="shared" si="19"/>
        <v/>
      </c>
      <c r="I429" s="327" t="str">
        <f t="shared" si="20"/>
        <v/>
      </c>
      <c r="J429" s="301" t="str">
        <f t="shared" si="21"/>
        <v/>
      </c>
      <c r="K429" s="301" t="str">
        <f t="shared" si="22"/>
        <v/>
      </c>
      <c r="L429" s="344" t="str">
        <f t="array" ref="L429">IF($T429="","",LET(m,MATCH($T429,$AS$24:$AS$700,0),lvl,INDEX($W$24:$W$700,m),id,INDEX($X$24:$X$700,m),SWITCH(lvl,3,"Lớp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29" s="351" t="str">
        <f t="shared" si="23"/>
        <v/>
      </c>
      <c r="N429" s="356" t="str">
        <f t="shared" si="24"/>
        <v/>
      </c>
      <c r="O429" s="358"/>
      <c r="P429" s="360"/>
      <c r="Q429" s="360"/>
      <c r="R429" s="67"/>
      <c r="S429" s="67"/>
      <c r="T429" s="67"/>
      <c r="U429" s="389" t="str">
        <f>IF('Lớp 5 - Phân công'!I240="","",'Lớp 5 - Phân công'!K240&amp;"|"&amp;'Lớp 5 - Phân công'!J240&amp;"|"&amp;'Lớp 5 - Phân công'!I240)</f>
        <v/>
      </c>
      <c r="V429" s="389" t="str">
        <f>IF('Lớp 5 - Phân công'!I240="","","       ├─ "&amp;'Lớp 5 - Phân công'!Q240)</f>
        <v/>
      </c>
      <c r="W429" s="389" t="str">
        <f>IF('Lớp 5 - Phân công'!I240="","",5)</f>
        <v/>
      </c>
      <c r="X429" s="67" t="str">
        <f>'Lớp 5 - Phân công'!I240</f>
        <v/>
      </c>
      <c r="Y429" s="67" t="str">
        <f>'Lớp 5 - Phân công'!J240</f>
        <v/>
      </c>
      <c r="Z429" s="67" t="str">
        <f>'Lớp 5 - Phân công'!AA240</f>
        <v/>
      </c>
      <c r="AA429" s="67" t="str">
        <f>'Lớp 5 - Phân công'!Z240</f>
        <v/>
      </c>
      <c r="AB429" s="67" t="str">
        <f>'Lớp 5 - Phân công'!AC240</f>
        <v/>
      </c>
      <c r="AC429" s="67" t="str">
        <f>'Lớp 5 - Phân công'!AB240</f>
        <v/>
      </c>
      <c r="AD429" s="398" t="str">
        <f>'Lớp 5 - Phân công'!AG240</f>
        <v/>
      </c>
      <c r="AE429" s="358" t="str">
        <f>'Lớp 5 - Phân công'!AE240</f>
        <v/>
      </c>
      <c r="AF429" s="187" t="str">
        <f>'Lớp 5 - Phân công'!AH240</f>
        <v/>
      </c>
      <c r="AG429" s="104" t="str">
        <f>'Lớp 5 - Phân công'!AI240</f>
        <v/>
      </c>
      <c r="AH429" s="389" t="str">
        <f t="shared" si="27"/>
        <v/>
      </c>
      <c r="AI429" s="389" t="str">
        <f t="shared" si="37"/>
        <v>🔵 Chưa có hạn</v>
      </c>
      <c r="AJ429" s="67" t="str">
        <f>'Lớp 5 - Phân công'!AL240</f>
        <v/>
      </c>
      <c r="AS429" s="389" t="str">
        <f t="shared" si="217"/>
        <v/>
      </c>
      <c r="AT429" s="389" t="str">
        <f t="shared" si="32"/>
        <v/>
      </c>
      <c r="AU429" s="389" t="str">
        <f t="shared" si="33"/>
        <v/>
      </c>
      <c r="AV429" s="389" t="str">
        <f t="shared" si="34"/>
        <v/>
      </c>
      <c r="AW429" s="389" t="str">
        <f t="shared" si="35"/>
        <v/>
      </c>
      <c r="AX429" s="67" t="str">
        <f t="shared" ref="AX429:BH429" si="443">Z429</f>
        <v/>
      </c>
      <c r="AY429" s="67" t="str">
        <f t="shared" si="443"/>
        <v/>
      </c>
      <c r="AZ429" s="67" t="str">
        <f t="shared" si="443"/>
        <v/>
      </c>
      <c r="BA429" s="67" t="str">
        <f t="shared" si="443"/>
        <v/>
      </c>
      <c r="BB429" s="398" t="str">
        <f t="shared" si="443"/>
        <v/>
      </c>
      <c r="BC429" s="358" t="str">
        <f t="shared" si="443"/>
        <v/>
      </c>
      <c r="BD429" s="187" t="str">
        <f t="shared" si="443"/>
        <v/>
      </c>
      <c r="BE429" s="104" t="str">
        <f t="shared" si="443"/>
        <v/>
      </c>
      <c r="BF429" s="389" t="str">
        <f t="shared" si="443"/>
        <v/>
      </c>
      <c r="BG429" s="389" t="str">
        <f t="shared" si="443"/>
        <v>🔵 Chưa có hạn</v>
      </c>
      <c r="BH429" s="67" t="str">
        <f t="shared" si="443"/>
        <v/>
      </c>
      <c r="BI429" s="389" t="str">
        <f t="array" ref="BI429">IF($X429="","",SWITCH($W429,3,IFERROR(INDEX('Lớp 3 - Công việc chính'!$AF$14:$AF$73,MATCH($X429,'Lớp 3 - Công việc chính'!$I$14:$I$73,0)),""),4,IFERROR(INDEX('Lớp 4 - Danh mục'!$AI$14:$AI$132,MATCH($X429,'Lớp 4 - Danh mục'!$I$14:$I$132,0)),""),5,IFERROR(INDEX('Lớp 5 - Phân công'!$AJ$14:$AJ$262,MATCH($X429,'Lớp 5 - Phân công'!$I$14:$I$262,0)),""),6,IFERROR(INDEX('Lớp 6 - Chi tiết'!$AM$14:$AM$267,MATCH($X429,'Lớp 6 - Chi tiết'!$I$14:$I$267,0)),""),""))</f>
        <v/>
      </c>
      <c r="BJ429" s="389" t="str">
        <f t="array" ref="BJ429">IF($X429="","",SWITCH($W429,3,IFERROR(INDEX('Lớp 3 - Công việc chính'!$AR$14:$AR$73,MATCH($X429,'Lớp 3 - Công việc chính'!$I$14:$I$73,0)),""),4,IFERROR(INDEX('Lớp 4 - Danh mục'!$AU$14:$AU$132,MATCH($X429,'Lớp 4 - Danh mục'!$I$14:$I$132,0)),""),5,IFERROR(INDEX('Lớp 5 - Phân công'!$AV$14:$AV$262,MATCH($X429,'Lớp 5 - Phân công'!$I$14:$I$262,0)),""),6,IFERROR(INDEX('Lớp 6 - Chi tiết'!$AY$14:$AY$267,MATCH($X429,'Lớp 6 - Chi tiết'!$I$14:$I$267,0)),""),""))</f>
        <v/>
      </c>
    </row>
    <row r="430" ht="15.75" customHeight="1">
      <c r="A430" s="294" t="str">
        <f t="shared" si="12"/>
        <v/>
      </c>
      <c r="B430" s="301" t="str">
        <f t="shared" si="13"/>
        <v/>
      </c>
      <c r="C430" s="301" t="str">
        <f t="shared" si="14"/>
        <v/>
      </c>
      <c r="D430" s="301" t="str">
        <f t="shared" si="15"/>
        <v/>
      </c>
      <c r="E430" s="301" t="str">
        <f t="shared" si="16"/>
        <v/>
      </c>
      <c r="F430" s="317" t="str">
        <f t="shared" si="17"/>
        <v/>
      </c>
      <c r="G430" s="323" t="str">
        <f t="shared" si="18"/>
        <v/>
      </c>
      <c r="H430" s="327" t="str">
        <f t="shared" si="19"/>
        <v/>
      </c>
      <c r="I430" s="327" t="str">
        <f t="shared" si="20"/>
        <v/>
      </c>
      <c r="J430" s="301" t="str">
        <f t="shared" si="21"/>
        <v/>
      </c>
      <c r="K430" s="301" t="str">
        <f t="shared" si="22"/>
        <v/>
      </c>
      <c r="L430" s="344" t="str">
        <f t="array" ref="L430">IF($T430="","",LET(m,MATCH($T430,$AS$24:$AS$700,0),lvl,INDEX($W$24:$W$700,m),id,INDEX($X$24:$X$700,m),SWITCH(lvl,3,"Lớp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0" s="351" t="str">
        <f t="shared" si="23"/>
        <v/>
      </c>
      <c r="N430" s="356" t="str">
        <f t="shared" si="24"/>
        <v/>
      </c>
      <c r="O430" s="358"/>
      <c r="P430" s="360"/>
      <c r="Q430" s="360"/>
      <c r="R430" s="67"/>
      <c r="S430" s="67"/>
      <c r="T430" s="67"/>
      <c r="U430" s="389" t="str">
        <f>IF('Lớp 5 - Phân công'!I241="","",'Lớp 5 - Phân công'!K241&amp;"|"&amp;'Lớp 5 - Phân công'!J241&amp;"|"&amp;'Lớp 5 - Phân công'!I241)</f>
        <v/>
      </c>
      <c r="V430" s="389" t="str">
        <f>IF('Lớp 5 - Phân công'!I241="","","       ├─ "&amp;'Lớp 5 - Phân công'!Q241)</f>
        <v/>
      </c>
      <c r="W430" s="389" t="str">
        <f>IF('Lớp 5 - Phân công'!I241="","",5)</f>
        <v/>
      </c>
      <c r="X430" s="67" t="str">
        <f>'Lớp 5 - Phân công'!I241</f>
        <v/>
      </c>
      <c r="Y430" s="67" t="str">
        <f>'Lớp 5 - Phân công'!J241</f>
        <v/>
      </c>
      <c r="Z430" s="67" t="str">
        <f>'Lớp 5 - Phân công'!AA241</f>
        <v/>
      </c>
      <c r="AA430" s="67" t="str">
        <f>'Lớp 5 - Phân công'!Z241</f>
        <v/>
      </c>
      <c r="AB430" s="67" t="str">
        <f>'Lớp 5 - Phân công'!AC241</f>
        <v/>
      </c>
      <c r="AC430" s="67" t="str">
        <f>'Lớp 5 - Phân công'!AB241</f>
        <v/>
      </c>
      <c r="AD430" s="398" t="str">
        <f>'Lớp 5 - Phân công'!AG241</f>
        <v/>
      </c>
      <c r="AE430" s="358" t="str">
        <f>'Lớp 5 - Phân công'!AE241</f>
        <v/>
      </c>
      <c r="AF430" s="187" t="str">
        <f>'Lớp 5 - Phân công'!AH241</f>
        <v/>
      </c>
      <c r="AG430" s="104" t="str">
        <f>'Lớp 5 - Phân công'!AI241</f>
        <v/>
      </c>
      <c r="AH430" s="389" t="str">
        <f t="shared" si="27"/>
        <v/>
      </c>
      <c r="AI430" s="389" t="str">
        <f t="shared" si="37"/>
        <v>🔵 Chưa có hạn</v>
      </c>
      <c r="AJ430" s="67" t="str">
        <f>'Lớp 5 - Phân công'!AL241</f>
        <v/>
      </c>
      <c r="AS430" s="389" t="str">
        <f t="shared" si="217"/>
        <v/>
      </c>
      <c r="AT430" s="389" t="str">
        <f t="shared" si="32"/>
        <v/>
      </c>
      <c r="AU430" s="389" t="str">
        <f t="shared" si="33"/>
        <v/>
      </c>
      <c r="AV430" s="389" t="str">
        <f t="shared" si="34"/>
        <v/>
      </c>
      <c r="AW430" s="389" t="str">
        <f t="shared" si="35"/>
        <v/>
      </c>
      <c r="AX430" s="67" t="str">
        <f t="shared" ref="AX430:BH430" si="444">Z430</f>
        <v/>
      </c>
      <c r="AY430" s="67" t="str">
        <f t="shared" si="444"/>
        <v/>
      </c>
      <c r="AZ430" s="67" t="str">
        <f t="shared" si="444"/>
        <v/>
      </c>
      <c r="BA430" s="67" t="str">
        <f t="shared" si="444"/>
        <v/>
      </c>
      <c r="BB430" s="398" t="str">
        <f t="shared" si="444"/>
        <v/>
      </c>
      <c r="BC430" s="358" t="str">
        <f t="shared" si="444"/>
        <v/>
      </c>
      <c r="BD430" s="187" t="str">
        <f t="shared" si="444"/>
        <v/>
      </c>
      <c r="BE430" s="104" t="str">
        <f t="shared" si="444"/>
        <v/>
      </c>
      <c r="BF430" s="389" t="str">
        <f t="shared" si="444"/>
        <v/>
      </c>
      <c r="BG430" s="389" t="str">
        <f t="shared" si="444"/>
        <v>🔵 Chưa có hạn</v>
      </c>
      <c r="BH430" s="67" t="str">
        <f t="shared" si="444"/>
        <v/>
      </c>
      <c r="BI430" s="389" t="str">
        <f t="array" ref="BI430">IF($X430="","",SWITCH($W430,3,IFERROR(INDEX('Lớp 3 - Công việc chính'!$AF$14:$AF$73,MATCH($X430,'Lớp 3 - Công việc chính'!$I$14:$I$73,0)),""),4,IFERROR(INDEX('Lớp 4 - Danh mục'!$AI$14:$AI$132,MATCH($X430,'Lớp 4 - Danh mục'!$I$14:$I$132,0)),""),5,IFERROR(INDEX('Lớp 5 - Phân công'!$AJ$14:$AJ$262,MATCH($X430,'Lớp 5 - Phân công'!$I$14:$I$262,0)),""),6,IFERROR(INDEX('Lớp 6 - Chi tiết'!$AM$14:$AM$267,MATCH($X430,'Lớp 6 - Chi tiết'!$I$14:$I$267,0)),""),""))</f>
        <v/>
      </c>
      <c r="BJ430" s="389" t="str">
        <f t="array" ref="BJ430">IF($X430="","",SWITCH($W430,3,IFERROR(INDEX('Lớp 3 - Công việc chính'!$AR$14:$AR$73,MATCH($X430,'Lớp 3 - Công việc chính'!$I$14:$I$73,0)),""),4,IFERROR(INDEX('Lớp 4 - Danh mục'!$AU$14:$AU$132,MATCH($X430,'Lớp 4 - Danh mục'!$I$14:$I$132,0)),""),5,IFERROR(INDEX('Lớp 5 - Phân công'!$AV$14:$AV$262,MATCH($X430,'Lớp 5 - Phân công'!$I$14:$I$262,0)),""),6,IFERROR(INDEX('Lớp 6 - Chi tiết'!$AY$14:$AY$267,MATCH($X430,'Lớp 6 - Chi tiết'!$I$14:$I$267,0)),""),""))</f>
        <v/>
      </c>
    </row>
    <row r="431" ht="15.75" customHeight="1">
      <c r="A431" s="294" t="str">
        <f t="shared" si="12"/>
        <v/>
      </c>
      <c r="B431" s="301" t="str">
        <f t="shared" si="13"/>
        <v/>
      </c>
      <c r="C431" s="301" t="str">
        <f t="shared" si="14"/>
        <v/>
      </c>
      <c r="D431" s="301" t="str">
        <f t="shared" si="15"/>
        <v/>
      </c>
      <c r="E431" s="301" t="str">
        <f t="shared" si="16"/>
        <v/>
      </c>
      <c r="F431" s="317" t="str">
        <f t="shared" si="17"/>
        <v/>
      </c>
      <c r="G431" s="323" t="str">
        <f t="shared" si="18"/>
        <v/>
      </c>
      <c r="H431" s="327" t="str">
        <f t="shared" si="19"/>
        <v/>
      </c>
      <c r="I431" s="327" t="str">
        <f t="shared" si="20"/>
        <v/>
      </c>
      <c r="J431" s="301" t="str">
        <f t="shared" si="21"/>
        <v/>
      </c>
      <c r="K431" s="301" t="str">
        <f t="shared" si="22"/>
        <v/>
      </c>
      <c r="L431" s="344" t="str">
        <f t="array" ref="L431">IF($T431="","",LET(m,MATCH($T431,$AS$24:$AS$700,0),lvl,INDEX($W$24:$W$700,m),id,INDEX($X$24:$X$700,m),SWITCH(lvl,3,"Lớp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1" s="351" t="str">
        <f t="shared" si="23"/>
        <v/>
      </c>
      <c r="N431" s="356" t="str">
        <f t="shared" si="24"/>
        <v/>
      </c>
      <c r="O431" s="358"/>
      <c r="P431" s="360"/>
      <c r="Q431" s="360"/>
      <c r="R431" s="67"/>
      <c r="S431" s="67"/>
      <c r="T431" s="67"/>
      <c r="U431" s="389" t="str">
        <f>IF('Lớp 5 - Phân công'!I242="","",'Lớp 5 - Phân công'!K242&amp;"|"&amp;'Lớp 5 - Phân công'!J242&amp;"|"&amp;'Lớp 5 - Phân công'!I242)</f>
        <v/>
      </c>
      <c r="V431" s="389" t="str">
        <f>IF('Lớp 5 - Phân công'!I242="","","       ├─ "&amp;'Lớp 5 - Phân công'!Q242)</f>
        <v/>
      </c>
      <c r="W431" s="389" t="str">
        <f>IF('Lớp 5 - Phân công'!I242="","",5)</f>
        <v/>
      </c>
      <c r="X431" s="67" t="str">
        <f>'Lớp 5 - Phân công'!I242</f>
        <v/>
      </c>
      <c r="Y431" s="67" t="str">
        <f>'Lớp 5 - Phân công'!J242</f>
        <v/>
      </c>
      <c r="Z431" s="67" t="str">
        <f>'Lớp 5 - Phân công'!AA242</f>
        <v/>
      </c>
      <c r="AA431" s="67" t="str">
        <f>'Lớp 5 - Phân công'!Z242</f>
        <v/>
      </c>
      <c r="AB431" s="67" t="str">
        <f>'Lớp 5 - Phân công'!AC242</f>
        <v/>
      </c>
      <c r="AC431" s="67" t="str">
        <f>'Lớp 5 - Phân công'!AB242</f>
        <v/>
      </c>
      <c r="AD431" s="398" t="str">
        <f>'Lớp 5 - Phân công'!AG242</f>
        <v/>
      </c>
      <c r="AE431" s="358" t="str">
        <f>'Lớp 5 - Phân công'!AE242</f>
        <v/>
      </c>
      <c r="AF431" s="187" t="str">
        <f>'Lớp 5 - Phân công'!AH242</f>
        <v/>
      </c>
      <c r="AG431" s="104" t="str">
        <f>'Lớp 5 - Phân công'!AI242</f>
        <v/>
      </c>
      <c r="AH431" s="389" t="str">
        <f t="shared" si="27"/>
        <v/>
      </c>
      <c r="AI431" s="389" t="str">
        <f t="shared" si="37"/>
        <v>🔵 Chưa có hạn</v>
      </c>
      <c r="AJ431" s="67" t="str">
        <f>'Lớp 5 - Phân công'!AL242</f>
        <v/>
      </c>
      <c r="AS431" s="389" t="str">
        <f t="shared" si="217"/>
        <v/>
      </c>
      <c r="AT431" s="389" t="str">
        <f t="shared" si="32"/>
        <v/>
      </c>
      <c r="AU431" s="389" t="str">
        <f t="shared" si="33"/>
        <v/>
      </c>
      <c r="AV431" s="389" t="str">
        <f t="shared" si="34"/>
        <v/>
      </c>
      <c r="AW431" s="389" t="str">
        <f t="shared" si="35"/>
        <v/>
      </c>
      <c r="AX431" s="67" t="str">
        <f t="shared" ref="AX431:BH431" si="445">Z431</f>
        <v/>
      </c>
      <c r="AY431" s="67" t="str">
        <f t="shared" si="445"/>
        <v/>
      </c>
      <c r="AZ431" s="67" t="str">
        <f t="shared" si="445"/>
        <v/>
      </c>
      <c r="BA431" s="67" t="str">
        <f t="shared" si="445"/>
        <v/>
      </c>
      <c r="BB431" s="398" t="str">
        <f t="shared" si="445"/>
        <v/>
      </c>
      <c r="BC431" s="358" t="str">
        <f t="shared" si="445"/>
        <v/>
      </c>
      <c r="BD431" s="187" t="str">
        <f t="shared" si="445"/>
        <v/>
      </c>
      <c r="BE431" s="104" t="str">
        <f t="shared" si="445"/>
        <v/>
      </c>
      <c r="BF431" s="389" t="str">
        <f t="shared" si="445"/>
        <v/>
      </c>
      <c r="BG431" s="389" t="str">
        <f t="shared" si="445"/>
        <v>🔵 Chưa có hạn</v>
      </c>
      <c r="BH431" s="67" t="str">
        <f t="shared" si="445"/>
        <v/>
      </c>
      <c r="BI431" s="389" t="str">
        <f t="array" ref="BI431">IF($X431="","",SWITCH($W431,3,IFERROR(INDEX('Lớp 3 - Công việc chính'!$AF$14:$AF$73,MATCH($X431,'Lớp 3 - Công việc chính'!$I$14:$I$73,0)),""),4,IFERROR(INDEX('Lớp 4 - Danh mục'!$AI$14:$AI$132,MATCH($X431,'Lớp 4 - Danh mục'!$I$14:$I$132,0)),""),5,IFERROR(INDEX('Lớp 5 - Phân công'!$AJ$14:$AJ$262,MATCH($X431,'Lớp 5 - Phân công'!$I$14:$I$262,0)),""),6,IFERROR(INDEX('Lớp 6 - Chi tiết'!$AM$14:$AM$267,MATCH($X431,'Lớp 6 - Chi tiết'!$I$14:$I$267,0)),""),""))</f>
        <v/>
      </c>
      <c r="BJ431" s="389" t="str">
        <f t="array" ref="BJ431">IF($X431="","",SWITCH($W431,3,IFERROR(INDEX('Lớp 3 - Công việc chính'!$AR$14:$AR$73,MATCH($X431,'Lớp 3 - Công việc chính'!$I$14:$I$73,0)),""),4,IFERROR(INDEX('Lớp 4 - Danh mục'!$AU$14:$AU$132,MATCH($X431,'Lớp 4 - Danh mục'!$I$14:$I$132,0)),""),5,IFERROR(INDEX('Lớp 5 - Phân công'!$AV$14:$AV$262,MATCH($X431,'Lớp 5 - Phân công'!$I$14:$I$262,0)),""),6,IFERROR(INDEX('Lớp 6 - Chi tiết'!$AY$14:$AY$267,MATCH($X431,'Lớp 6 - Chi tiết'!$I$14:$I$267,0)),""),""))</f>
        <v/>
      </c>
    </row>
    <row r="432" ht="15.75" customHeight="1">
      <c r="A432" s="294" t="str">
        <f t="shared" si="12"/>
        <v/>
      </c>
      <c r="B432" s="301" t="str">
        <f t="shared" si="13"/>
        <v/>
      </c>
      <c r="C432" s="301" t="str">
        <f t="shared" si="14"/>
        <v/>
      </c>
      <c r="D432" s="301" t="str">
        <f t="shared" si="15"/>
        <v/>
      </c>
      <c r="E432" s="301" t="str">
        <f t="shared" si="16"/>
        <v/>
      </c>
      <c r="F432" s="317" t="str">
        <f t="shared" si="17"/>
        <v/>
      </c>
      <c r="G432" s="323" t="str">
        <f t="shared" si="18"/>
        <v/>
      </c>
      <c r="H432" s="327" t="str">
        <f t="shared" si="19"/>
        <v/>
      </c>
      <c r="I432" s="327" t="str">
        <f t="shared" si="20"/>
        <v/>
      </c>
      <c r="J432" s="301" t="str">
        <f t="shared" si="21"/>
        <v/>
      </c>
      <c r="K432" s="301" t="str">
        <f t="shared" si="22"/>
        <v/>
      </c>
      <c r="L432" s="344" t="str">
        <f t="array" ref="L432">IF($T432="","",LET(m,MATCH($T432,$AS$24:$AS$700,0),lvl,INDEX($W$24:$W$700,m),id,INDEX($X$24:$X$700,m),SWITCH(lvl,3,"Lớp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2" s="351" t="str">
        <f t="shared" si="23"/>
        <v/>
      </c>
      <c r="N432" s="356" t="str">
        <f t="shared" si="24"/>
        <v/>
      </c>
      <c r="O432" s="358"/>
      <c r="P432" s="360"/>
      <c r="Q432" s="360"/>
      <c r="R432" s="67"/>
      <c r="S432" s="67"/>
      <c r="T432" s="67"/>
      <c r="U432" s="389" t="str">
        <f>IF('Lớp 5 - Phân công'!I243="","",'Lớp 5 - Phân công'!K243&amp;"|"&amp;'Lớp 5 - Phân công'!J243&amp;"|"&amp;'Lớp 5 - Phân công'!I243)</f>
        <v/>
      </c>
      <c r="V432" s="389" t="str">
        <f>IF('Lớp 5 - Phân công'!I243="","","       ├─ "&amp;'Lớp 5 - Phân công'!Q243)</f>
        <v/>
      </c>
      <c r="W432" s="389" t="str">
        <f>IF('Lớp 5 - Phân công'!I243="","",5)</f>
        <v/>
      </c>
      <c r="X432" s="67" t="str">
        <f>'Lớp 5 - Phân công'!I243</f>
        <v/>
      </c>
      <c r="Y432" s="67" t="str">
        <f>'Lớp 5 - Phân công'!J243</f>
        <v/>
      </c>
      <c r="Z432" s="67" t="str">
        <f>'Lớp 5 - Phân công'!AA243</f>
        <v/>
      </c>
      <c r="AA432" s="67" t="str">
        <f>'Lớp 5 - Phân công'!Z243</f>
        <v/>
      </c>
      <c r="AB432" s="67" t="str">
        <f>'Lớp 5 - Phân công'!AC243</f>
        <v/>
      </c>
      <c r="AC432" s="67" t="str">
        <f>'Lớp 5 - Phân công'!AB243</f>
        <v/>
      </c>
      <c r="AD432" s="398" t="str">
        <f>'Lớp 5 - Phân công'!AG243</f>
        <v/>
      </c>
      <c r="AE432" s="358" t="str">
        <f>'Lớp 5 - Phân công'!AE243</f>
        <v/>
      </c>
      <c r="AF432" s="187" t="str">
        <f>'Lớp 5 - Phân công'!AH243</f>
        <v/>
      </c>
      <c r="AG432" s="104" t="str">
        <f>'Lớp 5 - Phân công'!AI243</f>
        <v/>
      </c>
      <c r="AH432" s="389" t="str">
        <f t="shared" si="27"/>
        <v/>
      </c>
      <c r="AI432" s="389" t="str">
        <f t="shared" si="37"/>
        <v>🔵 Chưa có hạn</v>
      </c>
      <c r="AJ432" s="67" t="str">
        <f>'Lớp 5 - Phân công'!AL243</f>
        <v/>
      </c>
      <c r="AS432" s="389" t="str">
        <f t="shared" si="217"/>
        <v/>
      </c>
      <c r="AT432" s="389" t="str">
        <f t="shared" si="32"/>
        <v/>
      </c>
      <c r="AU432" s="389" t="str">
        <f t="shared" si="33"/>
        <v/>
      </c>
      <c r="AV432" s="389" t="str">
        <f t="shared" si="34"/>
        <v/>
      </c>
      <c r="AW432" s="389" t="str">
        <f t="shared" si="35"/>
        <v/>
      </c>
      <c r="AX432" s="67" t="str">
        <f t="shared" ref="AX432:BH432" si="446">Z432</f>
        <v/>
      </c>
      <c r="AY432" s="67" t="str">
        <f t="shared" si="446"/>
        <v/>
      </c>
      <c r="AZ432" s="67" t="str">
        <f t="shared" si="446"/>
        <v/>
      </c>
      <c r="BA432" s="67" t="str">
        <f t="shared" si="446"/>
        <v/>
      </c>
      <c r="BB432" s="398" t="str">
        <f t="shared" si="446"/>
        <v/>
      </c>
      <c r="BC432" s="358" t="str">
        <f t="shared" si="446"/>
        <v/>
      </c>
      <c r="BD432" s="187" t="str">
        <f t="shared" si="446"/>
        <v/>
      </c>
      <c r="BE432" s="104" t="str">
        <f t="shared" si="446"/>
        <v/>
      </c>
      <c r="BF432" s="389" t="str">
        <f t="shared" si="446"/>
        <v/>
      </c>
      <c r="BG432" s="389" t="str">
        <f t="shared" si="446"/>
        <v>🔵 Chưa có hạn</v>
      </c>
      <c r="BH432" s="67" t="str">
        <f t="shared" si="446"/>
        <v/>
      </c>
      <c r="BI432" s="389" t="str">
        <f t="array" ref="BI432">IF($X432="","",SWITCH($W432,3,IFERROR(INDEX('Lớp 3 - Công việc chính'!$AF$14:$AF$73,MATCH($X432,'Lớp 3 - Công việc chính'!$I$14:$I$73,0)),""),4,IFERROR(INDEX('Lớp 4 - Danh mục'!$AI$14:$AI$132,MATCH($X432,'Lớp 4 - Danh mục'!$I$14:$I$132,0)),""),5,IFERROR(INDEX('Lớp 5 - Phân công'!$AJ$14:$AJ$262,MATCH($X432,'Lớp 5 - Phân công'!$I$14:$I$262,0)),""),6,IFERROR(INDEX('Lớp 6 - Chi tiết'!$AM$14:$AM$267,MATCH($X432,'Lớp 6 - Chi tiết'!$I$14:$I$267,0)),""),""))</f>
        <v/>
      </c>
      <c r="BJ432" s="389" t="str">
        <f t="array" ref="BJ432">IF($X432="","",SWITCH($W432,3,IFERROR(INDEX('Lớp 3 - Công việc chính'!$AR$14:$AR$73,MATCH($X432,'Lớp 3 - Công việc chính'!$I$14:$I$73,0)),""),4,IFERROR(INDEX('Lớp 4 - Danh mục'!$AU$14:$AU$132,MATCH($X432,'Lớp 4 - Danh mục'!$I$14:$I$132,0)),""),5,IFERROR(INDEX('Lớp 5 - Phân công'!$AV$14:$AV$262,MATCH($X432,'Lớp 5 - Phân công'!$I$14:$I$262,0)),""),6,IFERROR(INDEX('Lớp 6 - Chi tiết'!$AY$14:$AY$267,MATCH($X432,'Lớp 6 - Chi tiết'!$I$14:$I$267,0)),""),""))</f>
        <v/>
      </c>
    </row>
    <row r="433" ht="15.75" customHeight="1">
      <c r="A433" s="294" t="str">
        <f t="shared" si="12"/>
        <v/>
      </c>
      <c r="B433" s="301" t="str">
        <f t="shared" si="13"/>
        <v/>
      </c>
      <c r="C433" s="301" t="str">
        <f t="shared" si="14"/>
        <v/>
      </c>
      <c r="D433" s="301" t="str">
        <f t="shared" si="15"/>
        <v/>
      </c>
      <c r="E433" s="301" t="str">
        <f t="shared" si="16"/>
        <v/>
      </c>
      <c r="F433" s="317" t="str">
        <f t="shared" si="17"/>
        <v/>
      </c>
      <c r="G433" s="323" t="str">
        <f t="shared" si="18"/>
        <v/>
      </c>
      <c r="H433" s="327" t="str">
        <f t="shared" si="19"/>
        <v/>
      </c>
      <c r="I433" s="327" t="str">
        <f t="shared" si="20"/>
        <v/>
      </c>
      <c r="J433" s="301" t="str">
        <f t="shared" si="21"/>
        <v/>
      </c>
      <c r="K433" s="301" t="str">
        <f t="shared" si="22"/>
        <v/>
      </c>
      <c r="L433" s="344" t="str">
        <f t="array" ref="L433">IF($T433="","",LET(m,MATCH($T433,$AS$24:$AS$700,0),lvl,INDEX($W$24:$W$700,m),id,INDEX($X$24:$X$700,m),SWITCH(lvl,3,"Lớp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3" s="351" t="str">
        <f t="shared" si="23"/>
        <v/>
      </c>
      <c r="N433" s="356" t="str">
        <f t="shared" si="24"/>
        <v/>
      </c>
      <c r="O433" s="358"/>
      <c r="P433" s="360"/>
      <c r="Q433" s="360"/>
      <c r="R433" s="67"/>
      <c r="S433" s="67"/>
      <c r="T433" s="67"/>
      <c r="U433" s="389" t="str">
        <f>IF('Lớp 5 - Phân công'!I244="","",'Lớp 5 - Phân công'!K244&amp;"|"&amp;'Lớp 5 - Phân công'!J244&amp;"|"&amp;'Lớp 5 - Phân công'!I244)</f>
        <v/>
      </c>
      <c r="V433" s="389" t="str">
        <f>IF('Lớp 5 - Phân công'!I244="","","       ├─ "&amp;'Lớp 5 - Phân công'!Q244)</f>
        <v/>
      </c>
      <c r="W433" s="389" t="str">
        <f>IF('Lớp 5 - Phân công'!I244="","",5)</f>
        <v/>
      </c>
      <c r="X433" s="67" t="str">
        <f>'Lớp 5 - Phân công'!I244</f>
        <v/>
      </c>
      <c r="Y433" s="67" t="str">
        <f>'Lớp 5 - Phân công'!J244</f>
        <v/>
      </c>
      <c r="Z433" s="67" t="str">
        <f>'Lớp 5 - Phân công'!AA244</f>
        <v/>
      </c>
      <c r="AA433" s="67" t="str">
        <f>'Lớp 5 - Phân công'!Z244</f>
        <v/>
      </c>
      <c r="AB433" s="67" t="str">
        <f>'Lớp 5 - Phân công'!AC244</f>
        <v/>
      </c>
      <c r="AC433" s="67" t="str">
        <f>'Lớp 5 - Phân công'!AB244</f>
        <v/>
      </c>
      <c r="AD433" s="398" t="str">
        <f>'Lớp 5 - Phân công'!AG244</f>
        <v/>
      </c>
      <c r="AE433" s="358" t="str">
        <f>'Lớp 5 - Phân công'!AE244</f>
        <v/>
      </c>
      <c r="AF433" s="187" t="str">
        <f>'Lớp 5 - Phân công'!AH244</f>
        <v/>
      </c>
      <c r="AG433" s="104" t="str">
        <f>'Lớp 5 - Phân công'!AI244</f>
        <v/>
      </c>
      <c r="AH433" s="389" t="str">
        <f t="shared" si="27"/>
        <v/>
      </c>
      <c r="AI433" s="389" t="str">
        <f t="shared" si="37"/>
        <v>🔵 Chưa có hạn</v>
      </c>
      <c r="AJ433" s="67" t="str">
        <f>'Lớp 5 - Phân công'!AL244</f>
        <v/>
      </c>
      <c r="AS433" s="389" t="str">
        <f t="shared" si="217"/>
        <v/>
      </c>
      <c r="AT433" s="389" t="str">
        <f t="shared" si="32"/>
        <v/>
      </c>
      <c r="AU433" s="389" t="str">
        <f t="shared" si="33"/>
        <v/>
      </c>
      <c r="AV433" s="389" t="str">
        <f t="shared" si="34"/>
        <v/>
      </c>
      <c r="AW433" s="389" t="str">
        <f t="shared" si="35"/>
        <v/>
      </c>
      <c r="AX433" s="67" t="str">
        <f t="shared" ref="AX433:BH433" si="447">Z433</f>
        <v/>
      </c>
      <c r="AY433" s="67" t="str">
        <f t="shared" si="447"/>
        <v/>
      </c>
      <c r="AZ433" s="67" t="str">
        <f t="shared" si="447"/>
        <v/>
      </c>
      <c r="BA433" s="67" t="str">
        <f t="shared" si="447"/>
        <v/>
      </c>
      <c r="BB433" s="398" t="str">
        <f t="shared" si="447"/>
        <v/>
      </c>
      <c r="BC433" s="358" t="str">
        <f t="shared" si="447"/>
        <v/>
      </c>
      <c r="BD433" s="187" t="str">
        <f t="shared" si="447"/>
        <v/>
      </c>
      <c r="BE433" s="104" t="str">
        <f t="shared" si="447"/>
        <v/>
      </c>
      <c r="BF433" s="389" t="str">
        <f t="shared" si="447"/>
        <v/>
      </c>
      <c r="BG433" s="389" t="str">
        <f t="shared" si="447"/>
        <v>🔵 Chưa có hạn</v>
      </c>
      <c r="BH433" s="67" t="str">
        <f t="shared" si="447"/>
        <v/>
      </c>
      <c r="BI433" s="389" t="str">
        <f t="array" ref="BI433">IF($X433="","",SWITCH($W433,3,IFERROR(INDEX('Lớp 3 - Công việc chính'!$AF$14:$AF$73,MATCH($X433,'Lớp 3 - Công việc chính'!$I$14:$I$73,0)),""),4,IFERROR(INDEX('Lớp 4 - Danh mục'!$AI$14:$AI$132,MATCH($X433,'Lớp 4 - Danh mục'!$I$14:$I$132,0)),""),5,IFERROR(INDEX('Lớp 5 - Phân công'!$AJ$14:$AJ$262,MATCH($X433,'Lớp 5 - Phân công'!$I$14:$I$262,0)),""),6,IFERROR(INDEX('Lớp 6 - Chi tiết'!$AM$14:$AM$267,MATCH($X433,'Lớp 6 - Chi tiết'!$I$14:$I$267,0)),""),""))</f>
        <v/>
      </c>
      <c r="BJ433" s="389" t="str">
        <f t="array" ref="BJ433">IF($X433="","",SWITCH($W433,3,IFERROR(INDEX('Lớp 3 - Công việc chính'!$AR$14:$AR$73,MATCH($X433,'Lớp 3 - Công việc chính'!$I$14:$I$73,0)),""),4,IFERROR(INDEX('Lớp 4 - Danh mục'!$AU$14:$AU$132,MATCH($X433,'Lớp 4 - Danh mục'!$I$14:$I$132,0)),""),5,IFERROR(INDEX('Lớp 5 - Phân công'!$AV$14:$AV$262,MATCH($X433,'Lớp 5 - Phân công'!$I$14:$I$262,0)),""),6,IFERROR(INDEX('Lớp 6 - Chi tiết'!$AY$14:$AY$267,MATCH($X433,'Lớp 6 - Chi tiết'!$I$14:$I$267,0)),""),""))</f>
        <v/>
      </c>
    </row>
    <row r="434" ht="15.75" customHeight="1">
      <c r="A434" s="294" t="str">
        <f t="shared" si="12"/>
        <v/>
      </c>
      <c r="B434" s="301" t="str">
        <f t="shared" si="13"/>
        <v/>
      </c>
      <c r="C434" s="301" t="str">
        <f t="shared" si="14"/>
        <v/>
      </c>
      <c r="D434" s="301" t="str">
        <f t="shared" si="15"/>
        <v/>
      </c>
      <c r="E434" s="301" t="str">
        <f t="shared" si="16"/>
        <v/>
      </c>
      <c r="F434" s="317" t="str">
        <f t="shared" si="17"/>
        <v/>
      </c>
      <c r="G434" s="323" t="str">
        <f t="shared" si="18"/>
        <v/>
      </c>
      <c r="H434" s="327" t="str">
        <f t="shared" si="19"/>
        <v/>
      </c>
      <c r="I434" s="327" t="str">
        <f t="shared" si="20"/>
        <v/>
      </c>
      <c r="J434" s="301" t="str">
        <f t="shared" si="21"/>
        <v/>
      </c>
      <c r="K434" s="301" t="str">
        <f t="shared" si="22"/>
        <v/>
      </c>
      <c r="L434" s="344" t="str">
        <f t="array" ref="L434">IF($T434="","",LET(m,MATCH($T434,$AS$24:$AS$700,0),lvl,INDEX($W$24:$W$700,m),id,INDEX($X$24:$X$700,m),SWITCH(lvl,3,"Lớp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4" s="351" t="str">
        <f t="shared" si="23"/>
        <v/>
      </c>
      <c r="N434" s="356" t="str">
        <f t="shared" si="24"/>
        <v/>
      </c>
      <c r="O434" s="358"/>
      <c r="P434" s="360"/>
      <c r="Q434" s="360"/>
      <c r="R434" s="67"/>
      <c r="S434" s="67"/>
      <c r="T434" s="67"/>
      <c r="U434" s="389" t="str">
        <f>IF('Lớp 5 - Phân công'!I245="","",'Lớp 5 - Phân công'!K245&amp;"|"&amp;'Lớp 5 - Phân công'!J245&amp;"|"&amp;'Lớp 5 - Phân công'!I245)</f>
        <v/>
      </c>
      <c r="V434" s="389" t="str">
        <f>IF('Lớp 5 - Phân công'!I245="","","       ├─ "&amp;'Lớp 5 - Phân công'!Q245)</f>
        <v/>
      </c>
      <c r="W434" s="389" t="str">
        <f>IF('Lớp 5 - Phân công'!I245="","",5)</f>
        <v/>
      </c>
      <c r="X434" s="67" t="str">
        <f>'Lớp 5 - Phân công'!I245</f>
        <v/>
      </c>
      <c r="Y434" s="67" t="str">
        <f>'Lớp 5 - Phân công'!J245</f>
        <v/>
      </c>
      <c r="Z434" s="67" t="str">
        <f>'Lớp 5 - Phân công'!AA245</f>
        <v/>
      </c>
      <c r="AA434" s="67" t="str">
        <f>'Lớp 5 - Phân công'!Z245</f>
        <v/>
      </c>
      <c r="AB434" s="67" t="str">
        <f>'Lớp 5 - Phân công'!AC245</f>
        <v/>
      </c>
      <c r="AC434" s="67" t="str">
        <f>'Lớp 5 - Phân công'!AB245</f>
        <v/>
      </c>
      <c r="AD434" s="398" t="str">
        <f>'Lớp 5 - Phân công'!AG245</f>
        <v/>
      </c>
      <c r="AE434" s="358" t="str">
        <f>'Lớp 5 - Phân công'!AE245</f>
        <v/>
      </c>
      <c r="AF434" s="187" t="str">
        <f>'Lớp 5 - Phân công'!AH245</f>
        <v/>
      </c>
      <c r="AG434" s="104" t="str">
        <f>'Lớp 5 - Phân công'!AI245</f>
        <v/>
      </c>
      <c r="AH434" s="389" t="str">
        <f t="shared" si="27"/>
        <v/>
      </c>
      <c r="AI434" s="389" t="str">
        <f t="shared" si="37"/>
        <v>🔵 Chưa có hạn</v>
      </c>
      <c r="AJ434" s="67" t="str">
        <f>'Lớp 5 - Phân công'!AL245</f>
        <v/>
      </c>
      <c r="AS434" s="389" t="str">
        <f t="shared" si="217"/>
        <v/>
      </c>
      <c r="AT434" s="389" t="str">
        <f t="shared" si="32"/>
        <v/>
      </c>
      <c r="AU434" s="389" t="str">
        <f t="shared" si="33"/>
        <v/>
      </c>
      <c r="AV434" s="389" t="str">
        <f t="shared" si="34"/>
        <v/>
      </c>
      <c r="AW434" s="389" t="str">
        <f t="shared" si="35"/>
        <v/>
      </c>
      <c r="AX434" s="67" t="str">
        <f t="shared" ref="AX434:BH434" si="448">Z434</f>
        <v/>
      </c>
      <c r="AY434" s="67" t="str">
        <f t="shared" si="448"/>
        <v/>
      </c>
      <c r="AZ434" s="67" t="str">
        <f t="shared" si="448"/>
        <v/>
      </c>
      <c r="BA434" s="67" t="str">
        <f t="shared" si="448"/>
        <v/>
      </c>
      <c r="BB434" s="398" t="str">
        <f t="shared" si="448"/>
        <v/>
      </c>
      <c r="BC434" s="358" t="str">
        <f t="shared" si="448"/>
        <v/>
      </c>
      <c r="BD434" s="187" t="str">
        <f t="shared" si="448"/>
        <v/>
      </c>
      <c r="BE434" s="104" t="str">
        <f t="shared" si="448"/>
        <v/>
      </c>
      <c r="BF434" s="389" t="str">
        <f t="shared" si="448"/>
        <v/>
      </c>
      <c r="BG434" s="389" t="str">
        <f t="shared" si="448"/>
        <v>🔵 Chưa có hạn</v>
      </c>
      <c r="BH434" s="67" t="str">
        <f t="shared" si="448"/>
        <v/>
      </c>
      <c r="BI434" s="389" t="str">
        <f t="array" ref="BI434">IF($X434="","",SWITCH($W434,3,IFERROR(INDEX('Lớp 3 - Công việc chính'!$AF$14:$AF$73,MATCH($X434,'Lớp 3 - Công việc chính'!$I$14:$I$73,0)),""),4,IFERROR(INDEX('Lớp 4 - Danh mục'!$AI$14:$AI$132,MATCH($X434,'Lớp 4 - Danh mục'!$I$14:$I$132,0)),""),5,IFERROR(INDEX('Lớp 5 - Phân công'!$AJ$14:$AJ$262,MATCH($X434,'Lớp 5 - Phân công'!$I$14:$I$262,0)),""),6,IFERROR(INDEX('Lớp 6 - Chi tiết'!$AM$14:$AM$267,MATCH($X434,'Lớp 6 - Chi tiết'!$I$14:$I$267,0)),""),""))</f>
        <v/>
      </c>
      <c r="BJ434" s="389" t="str">
        <f t="array" ref="BJ434">IF($X434="","",SWITCH($W434,3,IFERROR(INDEX('Lớp 3 - Công việc chính'!$AR$14:$AR$73,MATCH($X434,'Lớp 3 - Công việc chính'!$I$14:$I$73,0)),""),4,IFERROR(INDEX('Lớp 4 - Danh mục'!$AU$14:$AU$132,MATCH($X434,'Lớp 4 - Danh mục'!$I$14:$I$132,0)),""),5,IFERROR(INDEX('Lớp 5 - Phân công'!$AV$14:$AV$262,MATCH($X434,'Lớp 5 - Phân công'!$I$14:$I$262,0)),""),6,IFERROR(INDEX('Lớp 6 - Chi tiết'!$AY$14:$AY$267,MATCH($X434,'Lớp 6 - Chi tiết'!$I$14:$I$267,0)),""),""))</f>
        <v/>
      </c>
    </row>
    <row r="435" ht="15.75" customHeight="1">
      <c r="A435" s="294" t="str">
        <f t="shared" si="12"/>
        <v/>
      </c>
      <c r="B435" s="301" t="str">
        <f t="shared" si="13"/>
        <v/>
      </c>
      <c r="C435" s="301" t="str">
        <f t="shared" si="14"/>
        <v/>
      </c>
      <c r="D435" s="301" t="str">
        <f t="shared" si="15"/>
        <v/>
      </c>
      <c r="E435" s="301" t="str">
        <f t="shared" si="16"/>
        <v/>
      </c>
      <c r="F435" s="317" t="str">
        <f t="shared" si="17"/>
        <v/>
      </c>
      <c r="G435" s="323" t="str">
        <f t="shared" si="18"/>
        <v/>
      </c>
      <c r="H435" s="327" t="str">
        <f t="shared" si="19"/>
        <v/>
      </c>
      <c r="I435" s="327" t="str">
        <f t="shared" si="20"/>
        <v/>
      </c>
      <c r="J435" s="301" t="str">
        <f t="shared" si="21"/>
        <v/>
      </c>
      <c r="K435" s="301" t="str">
        <f t="shared" si="22"/>
        <v/>
      </c>
      <c r="L435" s="344" t="str">
        <f t="array" ref="L435">IF($T435="","",LET(m,MATCH($T435,$AS$24:$AS$700,0),lvl,INDEX($W$24:$W$700,m),id,INDEX($X$24:$X$700,m),SWITCH(lvl,3,"Lớp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5" s="351" t="str">
        <f t="shared" si="23"/>
        <v/>
      </c>
      <c r="N435" s="356" t="str">
        <f t="shared" si="24"/>
        <v/>
      </c>
      <c r="O435" s="358"/>
      <c r="P435" s="360"/>
      <c r="Q435" s="360"/>
      <c r="R435" s="67"/>
      <c r="S435" s="67"/>
      <c r="T435" s="67"/>
      <c r="U435" s="389" t="str">
        <f>IF('Lớp 5 - Phân công'!I246="","",'Lớp 5 - Phân công'!K246&amp;"|"&amp;'Lớp 5 - Phân công'!J246&amp;"|"&amp;'Lớp 5 - Phân công'!I246)</f>
        <v/>
      </c>
      <c r="V435" s="389" t="str">
        <f>IF('Lớp 5 - Phân công'!I246="","","       ├─ "&amp;'Lớp 5 - Phân công'!Q246)</f>
        <v/>
      </c>
      <c r="W435" s="389" t="str">
        <f>IF('Lớp 5 - Phân công'!I246="","",5)</f>
        <v/>
      </c>
      <c r="X435" s="67" t="str">
        <f>'Lớp 5 - Phân công'!I246</f>
        <v/>
      </c>
      <c r="Y435" s="67" t="str">
        <f>'Lớp 5 - Phân công'!J246</f>
        <v/>
      </c>
      <c r="Z435" s="67" t="str">
        <f>'Lớp 5 - Phân công'!AA246</f>
        <v/>
      </c>
      <c r="AA435" s="67" t="str">
        <f>'Lớp 5 - Phân công'!Z246</f>
        <v/>
      </c>
      <c r="AB435" s="67" t="str">
        <f>'Lớp 5 - Phân công'!AC246</f>
        <v/>
      </c>
      <c r="AC435" s="67" t="str">
        <f>'Lớp 5 - Phân công'!AB246</f>
        <v/>
      </c>
      <c r="AD435" s="398" t="str">
        <f>'Lớp 5 - Phân công'!AG246</f>
        <v/>
      </c>
      <c r="AE435" s="358" t="str">
        <f>'Lớp 5 - Phân công'!AE246</f>
        <v/>
      </c>
      <c r="AF435" s="187" t="str">
        <f>'Lớp 5 - Phân công'!AH246</f>
        <v/>
      </c>
      <c r="AG435" s="104" t="str">
        <f>'Lớp 5 - Phân công'!AI246</f>
        <v/>
      </c>
      <c r="AH435" s="389" t="str">
        <f t="shared" si="27"/>
        <v/>
      </c>
      <c r="AI435" s="389" t="str">
        <f t="shared" si="37"/>
        <v>🔵 Chưa có hạn</v>
      </c>
      <c r="AJ435" s="67" t="str">
        <f>'Lớp 5 - Phân công'!AL246</f>
        <v/>
      </c>
      <c r="AS435" s="389" t="str">
        <f t="shared" si="217"/>
        <v/>
      </c>
      <c r="AT435" s="389" t="str">
        <f t="shared" si="32"/>
        <v/>
      </c>
      <c r="AU435" s="389" t="str">
        <f t="shared" si="33"/>
        <v/>
      </c>
      <c r="AV435" s="389" t="str">
        <f t="shared" si="34"/>
        <v/>
      </c>
      <c r="AW435" s="389" t="str">
        <f t="shared" si="35"/>
        <v/>
      </c>
      <c r="AX435" s="67" t="str">
        <f t="shared" ref="AX435:BH435" si="449">Z435</f>
        <v/>
      </c>
      <c r="AY435" s="67" t="str">
        <f t="shared" si="449"/>
        <v/>
      </c>
      <c r="AZ435" s="67" t="str">
        <f t="shared" si="449"/>
        <v/>
      </c>
      <c r="BA435" s="67" t="str">
        <f t="shared" si="449"/>
        <v/>
      </c>
      <c r="BB435" s="398" t="str">
        <f t="shared" si="449"/>
        <v/>
      </c>
      <c r="BC435" s="358" t="str">
        <f t="shared" si="449"/>
        <v/>
      </c>
      <c r="BD435" s="187" t="str">
        <f t="shared" si="449"/>
        <v/>
      </c>
      <c r="BE435" s="104" t="str">
        <f t="shared" si="449"/>
        <v/>
      </c>
      <c r="BF435" s="389" t="str">
        <f t="shared" si="449"/>
        <v/>
      </c>
      <c r="BG435" s="389" t="str">
        <f t="shared" si="449"/>
        <v>🔵 Chưa có hạn</v>
      </c>
      <c r="BH435" s="67" t="str">
        <f t="shared" si="449"/>
        <v/>
      </c>
      <c r="BI435" s="389" t="str">
        <f t="array" ref="BI435">IF($X435="","",SWITCH($W435,3,IFERROR(INDEX('Lớp 3 - Công việc chính'!$AF$14:$AF$73,MATCH($X435,'Lớp 3 - Công việc chính'!$I$14:$I$73,0)),""),4,IFERROR(INDEX('Lớp 4 - Danh mục'!$AI$14:$AI$132,MATCH($X435,'Lớp 4 - Danh mục'!$I$14:$I$132,0)),""),5,IFERROR(INDEX('Lớp 5 - Phân công'!$AJ$14:$AJ$262,MATCH($X435,'Lớp 5 - Phân công'!$I$14:$I$262,0)),""),6,IFERROR(INDEX('Lớp 6 - Chi tiết'!$AM$14:$AM$267,MATCH($X435,'Lớp 6 - Chi tiết'!$I$14:$I$267,0)),""),""))</f>
        <v/>
      </c>
      <c r="BJ435" s="389" t="str">
        <f t="array" ref="BJ435">IF($X435="","",SWITCH($W435,3,IFERROR(INDEX('Lớp 3 - Công việc chính'!$AR$14:$AR$73,MATCH($X435,'Lớp 3 - Công việc chính'!$I$14:$I$73,0)),""),4,IFERROR(INDEX('Lớp 4 - Danh mục'!$AU$14:$AU$132,MATCH($X435,'Lớp 4 - Danh mục'!$I$14:$I$132,0)),""),5,IFERROR(INDEX('Lớp 5 - Phân công'!$AV$14:$AV$262,MATCH($X435,'Lớp 5 - Phân công'!$I$14:$I$262,0)),""),6,IFERROR(INDEX('Lớp 6 - Chi tiết'!$AY$14:$AY$267,MATCH($X435,'Lớp 6 - Chi tiết'!$I$14:$I$267,0)),""),""))</f>
        <v/>
      </c>
    </row>
    <row r="436" ht="15.75" customHeight="1">
      <c r="A436" s="294" t="str">
        <f t="shared" si="12"/>
        <v/>
      </c>
      <c r="B436" s="301" t="str">
        <f t="shared" si="13"/>
        <v/>
      </c>
      <c r="C436" s="301" t="str">
        <f t="shared" si="14"/>
        <v/>
      </c>
      <c r="D436" s="301" t="str">
        <f t="shared" si="15"/>
        <v/>
      </c>
      <c r="E436" s="301" t="str">
        <f t="shared" si="16"/>
        <v/>
      </c>
      <c r="F436" s="317" t="str">
        <f t="shared" si="17"/>
        <v/>
      </c>
      <c r="G436" s="323" t="str">
        <f t="shared" si="18"/>
        <v/>
      </c>
      <c r="H436" s="327" t="str">
        <f t="shared" si="19"/>
        <v/>
      </c>
      <c r="I436" s="327" t="str">
        <f t="shared" si="20"/>
        <v/>
      </c>
      <c r="J436" s="301" t="str">
        <f t="shared" si="21"/>
        <v/>
      </c>
      <c r="K436" s="301" t="str">
        <f t="shared" si="22"/>
        <v/>
      </c>
      <c r="L436" s="344" t="str">
        <f t="array" ref="L436">IF($T436="","",LET(m,MATCH($T436,$AS$24:$AS$700,0),lvl,INDEX($W$24:$W$700,m),id,INDEX($X$24:$X$700,m),SWITCH(lvl,3,"Lớp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6" s="351" t="str">
        <f t="shared" si="23"/>
        <v/>
      </c>
      <c r="N436" s="356" t="str">
        <f t="shared" si="24"/>
        <v/>
      </c>
      <c r="O436" s="358"/>
      <c r="P436" s="360"/>
      <c r="Q436" s="360"/>
      <c r="R436" s="67"/>
      <c r="S436" s="67"/>
      <c r="T436" s="67"/>
      <c r="U436" s="389" t="str">
        <f>IF('Lớp 5 - Phân công'!I247="","",'Lớp 5 - Phân công'!K247&amp;"|"&amp;'Lớp 5 - Phân công'!J247&amp;"|"&amp;'Lớp 5 - Phân công'!I247)</f>
        <v/>
      </c>
      <c r="V436" s="389" t="str">
        <f>IF('Lớp 5 - Phân công'!I247="","","       ├─ "&amp;'Lớp 5 - Phân công'!Q247)</f>
        <v/>
      </c>
      <c r="W436" s="389" t="str">
        <f>IF('Lớp 5 - Phân công'!I247="","",5)</f>
        <v/>
      </c>
      <c r="X436" s="67" t="str">
        <f>'Lớp 5 - Phân công'!I247</f>
        <v/>
      </c>
      <c r="Y436" s="67" t="str">
        <f>'Lớp 5 - Phân công'!J247</f>
        <v/>
      </c>
      <c r="Z436" s="67" t="str">
        <f>'Lớp 5 - Phân công'!AA247</f>
        <v/>
      </c>
      <c r="AA436" s="67" t="str">
        <f>'Lớp 5 - Phân công'!Z247</f>
        <v/>
      </c>
      <c r="AB436" s="67" t="str">
        <f>'Lớp 5 - Phân công'!AC247</f>
        <v/>
      </c>
      <c r="AC436" s="67" t="str">
        <f>'Lớp 5 - Phân công'!AB247</f>
        <v/>
      </c>
      <c r="AD436" s="398" t="str">
        <f>'Lớp 5 - Phân công'!AG247</f>
        <v/>
      </c>
      <c r="AE436" s="358" t="str">
        <f>'Lớp 5 - Phân công'!AE247</f>
        <v/>
      </c>
      <c r="AF436" s="187" t="str">
        <f>'Lớp 5 - Phân công'!AH247</f>
        <v/>
      </c>
      <c r="AG436" s="104" t="str">
        <f>'Lớp 5 - Phân công'!AI247</f>
        <v/>
      </c>
      <c r="AH436" s="389" t="str">
        <f t="shared" si="27"/>
        <v/>
      </c>
      <c r="AI436" s="389" t="str">
        <f t="shared" si="37"/>
        <v>🔵 Chưa có hạn</v>
      </c>
      <c r="AJ436" s="67" t="str">
        <f>'Lớp 5 - Phân công'!AL247</f>
        <v/>
      </c>
      <c r="AS436" s="389" t="str">
        <f t="shared" si="217"/>
        <v/>
      </c>
      <c r="AT436" s="389" t="str">
        <f t="shared" si="32"/>
        <v/>
      </c>
      <c r="AU436" s="389" t="str">
        <f t="shared" si="33"/>
        <v/>
      </c>
      <c r="AV436" s="389" t="str">
        <f t="shared" si="34"/>
        <v/>
      </c>
      <c r="AW436" s="389" t="str">
        <f t="shared" si="35"/>
        <v/>
      </c>
      <c r="AX436" s="67" t="str">
        <f t="shared" ref="AX436:BH436" si="450">Z436</f>
        <v/>
      </c>
      <c r="AY436" s="67" t="str">
        <f t="shared" si="450"/>
        <v/>
      </c>
      <c r="AZ436" s="67" t="str">
        <f t="shared" si="450"/>
        <v/>
      </c>
      <c r="BA436" s="67" t="str">
        <f t="shared" si="450"/>
        <v/>
      </c>
      <c r="BB436" s="398" t="str">
        <f t="shared" si="450"/>
        <v/>
      </c>
      <c r="BC436" s="358" t="str">
        <f t="shared" si="450"/>
        <v/>
      </c>
      <c r="BD436" s="187" t="str">
        <f t="shared" si="450"/>
        <v/>
      </c>
      <c r="BE436" s="104" t="str">
        <f t="shared" si="450"/>
        <v/>
      </c>
      <c r="BF436" s="389" t="str">
        <f t="shared" si="450"/>
        <v/>
      </c>
      <c r="BG436" s="389" t="str">
        <f t="shared" si="450"/>
        <v>🔵 Chưa có hạn</v>
      </c>
      <c r="BH436" s="67" t="str">
        <f t="shared" si="450"/>
        <v/>
      </c>
      <c r="BI436" s="389" t="str">
        <f t="array" ref="BI436">IF($X436="","",SWITCH($W436,3,IFERROR(INDEX('Lớp 3 - Công việc chính'!$AF$14:$AF$73,MATCH($X436,'Lớp 3 - Công việc chính'!$I$14:$I$73,0)),""),4,IFERROR(INDEX('Lớp 4 - Danh mục'!$AI$14:$AI$132,MATCH($X436,'Lớp 4 - Danh mục'!$I$14:$I$132,0)),""),5,IFERROR(INDEX('Lớp 5 - Phân công'!$AJ$14:$AJ$262,MATCH($X436,'Lớp 5 - Phân công'!$I$14:$I$262,0)),""),6,IFERROR(INDEX('Lớp 6 - Chi tiết'!$AM$14:$AM$267,MATCH($X436,'Lớp 6 - Chi tiết'!$I$14:$I$267,0)),""),""))</f>
        <v/>
      </c>
      <c r="BJ436" s="389" t="str">
        <f t="array" ref="BJ436">IF($X436="","",SWITCH($W436,3,IFERROR(INDEX('Lớp 3 - Công việc chính'!$AR$14:$AR$73,MATCH($X436,'Lớp 3 - Công việc chính'!$I$14:$I$73,0)),""),4,IFERROR(INDEX('Lớp 4 - Danh mục'!$AU$14:$AU$132,MATCH($X436,'Lớp 4 - Danh mục'!$I$14:$I$132,0)),""),5,IFERROR(INDEX('Lớp 5 - Phân công'!$AV$14:$AV$262,MATCH($X436,'Lớp 5 - Phân công'!$I$14:$I$262,0)),""),6,IFERROR(INDEX('Lớp 6 - Chi tiết'!$AY$14:$AY$267,MATCH($X436,'Lớp 6 - Chi tiết'!$I$14:$I$267,0)),""),""))</f>
        <v/>
      </c>
    </row>
    <row r="437" ht="15.75" customHeight="1">
      <c r="A437" s="294" t="str">
        <f t="shared" si="12"/>
        <v/>
      </c>
      <c r="B437" s="301" t="str">
        <f t="shared" si="13"/>
        <v/>
      </c>
      <c r="C437" s="301" t="str">
        <f t="shared" si="14"/>
        <v/>
      </c>
      <c r="D437" s="301" t="str">
        <f t="shared" si="15"/>
        <v/>
      </c>
      <c r="E437" s="301" t="str">
        <f t="shared" si="16"/>
        <v/>
      </c>
      <c r="F437" s="317" t="str">
        <f t="shared" si="17"/>
        <v/>
      </c>
      <c r="G437" s="323" t="str">
        <f t="shared" si="18"/>
        <v/>
      </c>
      <c r="H437" s="327" t="str">
        <f t="shared" si="19"/>
        <v/>
      </c>
      <c r="I437" s="327" t="str">
        <f t="shared" si="20"/>
        <v/>
      </c>
      <c r="J437" s="301" t="str">
        <f t="shared" si="21"/>
        <v/>
      </c>
      <c r="K437" s="301" t="str">
        <f t="shared" si="22"/>
        <v/>
      </c>
      <c r="L437" s="344" t="str">
        <f t="array" ref="L437">IF($T437="","",LET(m,MATCH($T437,$AS$24:$AS$700,0),lvl,INDEX($W$24:$W$700,m),id,INDEX($X$24:$X$700,m),SWITCH(lvl,3,"Lớp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7" s="351" t="str">
        <f t="shared" si="23"/>
        <v/>
      </c>
      <c r="N437" s="356" t="str">
        <f t="shared" si="24"/>
        <v/>
      </c>
      <c r="O437" s="358"/>
      <c r="P437" s="360"/>
      <c r="Q437" s="360"/>
      <c r="R437" s="67"/>
      <c r="S437" s="67"/>
      <c r="T437" s="67"/>
      <c r="U437" s="389" t="str">
        <f>IF('Lớp 5 - Phân công'!I248="","",'Lớp 5 - Phân công'!K248&amp;"|"&amp;'Lớp 5 - Phân công'!J248&amp;"|"&amp;'Lớp 5 - Phân công'!I248)</f>
        <v/>
      </c>
      <c r="V437" s="389" t="str">
        <f>IF('Lớp 5 - Phân công'!I248="","","       ├─ "&amp;'Lớp 5 - Phân công'!Q248)</f>
        <v/>
      </c>
      <c r="W437" s="389" t="str">
        <f>IF('Lớp 5 - Phân công'!I248="","",5)</f>
        <v/>
      </c>
      <c r="X437" s="67" t="str">
        <f>'Lớp 5 - Phân công'!I248</f>
        <v/>
      </c>
      <c r="Y437" s="67" t="str">
        <f>'Lớp 5 - Phân công'!J248</f>
        <v/>
      </c>
      <c r="Z437" s="67" t="str">
        <f>'Lớp 5 - Phân công'!AA248</f>
        <v/>
      </c>
      <c r="AA437" s="67" t="str">
        <f>'Lớp 5 - Phân công'!Z248</f>
        <v/>
      </c>
      <c r="AB437" s="67" t="str">
        <f>'Lớp 5 - Phân công'!AC248</f>
        <v/>
      </c>
      <c r="AC437" s="67" t="str">
        <f>'Lớp 5 - Phân công'!AB248</f>
        <v/>
      </c>
      <c r="AD437" s="398" t="str">
        <f>'Lớp 5 - Phân công'!AG248</f>
        <v/>
      </c>
      <c r="AE437" s="358" t="str">
        <f>'Lớp 5 - Phân công'!AE248</f>
        <v/>
      </c>
      <c r="AF437" s="187" t="str">
        <f>'Lớp 5 - Phân công'!AH248</f>
        <v/>
      </c>
      <c r="AG437" s="104" t="str">
        <f>'Lớp 5 - Phân công'!AI248</f>
        <v/>
      </c>
      <c r="AH437" s="389" t="str">
        <f t="shared" si="27"/>
        <v/>
      </c>
      <c r="AI437" s="389" t="str">
        <f t="shared" si="37"/>
        <v>🔵 Chưa có hạn</v>
      </c>
      <c r="AJ437" s="67" t="str">
        <f>'Lớp 5 - Phân công'!AL248</f>
        <v/>
      </c>
      <c r="AS437" s="389" t="str">
        <f t="shared" si="217"/>
        <v/>
      </c>
      <c r="AT437" s="389" t="str">
        <f t="shared" si="32"/>
        <v/>
      </c>
      <c r="AU437" s="389" t="str">
        <f t="shared" si="33"/>
        <v/>
      </c>
      <c r="AV437" s="389" t="str">
        <f t="shared" si="34"/>
        <v/>
      </c>
      <c r="AW437" s="389" t="str">
        <f t="shared" si="35"/>
        <v/>
      </c>
      <c r="AX437" s="67" t="str">
        <f t="shared" ref="AX437:BH437" si="451">Z437</f>
        <v/>
      </c>
      <c r="AY437" s="67" t="str">
        <f t="shared" si="451"/>
        <v/>
      </c>
      <c r="AZ437" s="67" t="str">
        <f t="shared" si="451"/>
        <v/>
      </c>
      <c r="BA437" s="67" t="str">
        <f t="shared" si="451"/>
        <v/>
      </c>
      <c r="BB437" s="398" t="str">
        <f t="shared" si="451"/>
        <v/>
      </c>
      <c r="BC437" s="358" t="str">
        <f t="shared" si="451"/>
        <v/>
      </c>
      <c r="BD437" s="187" t="str">
        <f t="shared" si="451"/>
        <v/>
      </c>
      <c r="BE437" s="104" t="str">
        <f t="shared" si="451"/>
        <v/>
      </c>
      <c r="BF437" s="389" t="str">
        <f t="shared" si="451"/>
        <v/>
      </c>
      <c r="BG437" s="389" t="str">
        <f t="shared" si="451"/>
        <v>🔵 Chưa có hạn</v>
      </c>
      <c r="BH437" s="67" t="str">
        <f t="shared" si="451"/>
        <v/>
      </c>
      <c r="BI437" s="389" t="str">
        <f t="array" ref="BI437">IF($X437="","",SWITCH($W437,3,IFERROR(INDEX('Lớp 3 - Công việc chính'!$AF$14:$AF$73,MATCH($X437,'Lớp 3 - Công việc chính'!$I$14:$I$73,0)),""),4,IFERROR(INDEX('Lớp 4 - Danh mục'!$AI$14:$AI$132,MATCH($X437,'Lớp 4 - Danh mục'!$I$14:$I$132,0)),""),5,IFERROR(INDEX('Lớp 5 - Phân công'!$AJ$14:$AJ$262,MATCH($X437,'Lớp 5 - Phân công'!$I$14:$I$262,0)),""),6,IFERROR(INDEX('Lớp 6 - Chi tiết'!$AM$14:$AM$267,MATCH($X437,'Lớp 6 - Chi tiết'!$I$14:$I$267,0)),""),""))</f>
        <v/>
      </c>
      <c r="BJ437" s="389" t="str">
        <f t="array" ref="BJ437">IF($X437="","",SWITCH($W437,3,IFERROR(INDEX('Lớp 3 - Công việc chính'!$AR$14:$AR$73,MATCH($X437,'Lớp 3 - Công việc chính'!$I$14:$I$73,0)),""),4,IFERROR(INDEX('Lớp 4 - Danh mục'!$AU$14:$AU$132,MATCH($X437,'Lớp 4 - Danh mục'!$I$14:$I$132,0)),""),5,IFERROR(INDEX('Lớp 5 - Phân công'!$AV$14:$AV$262,MATCH($X437,'Lớp 5 - Phân công'!$I$14:$I$262,0)),""),6,IFERROR(INDEX('Lớp 6 - Chi tiết'!$AY$14:$AY$267,MATCH($X437,'Lớp 6 - Chi tiết'!$I$14:$I$267,0)),""),""))</f>
        <v/>
      </c>
    </row>
    <row r="438" ht="15.75" customHeight="1">
      <c r="A438" s="294" t="str">
        <f t="shared" si="12"/>
        <v/>
      </c>
      <c r="B438" s="301" t="str">
        <f t="shared" si="13"/>
        <v/>
      </c>
      <c r="C438" s="301" t="str">
        <f t="shared" si="14"/>
        <v/>
      </c>
      <c r="D438" s="301" t="str">
        <f t="shared" si="15"/>
        <v/>
      </c>
      <c r="E438" s="301" t="str">
        <f t="shared" si="16"/>
        <v/>
      </c>
      <c r="F438" s="317" t="str">
        <f t="shared" si="17"/>
        <v/>
      </c>
      <c r="G438" s="323" t="str">
        <f t="shared" si="18"/>
        <v/>
      </c>
      <c r="H438" s="327" t="str">
        <f t="shared" si="19"/>
        <v/>
      </c>
      <c r="I438" s="327" t="str">
        <f t="shared" si="20"/>
        <v/>
      </c>
      <c r="J438" s="301" t="str">
        <f t="shared" si="21"/>
        <v/>
      </c>
      <c r="K438" s="301" t="str">
        <f t="shared" si="22"/>
        <v/>
      </c>
      <c r="L438" s="344" t="str">
        <f t="array" ref="L438">IF($T438="","",LET(m,MATCH($T438,$AS$24:$AS$700,0),lvl,INDEX($W$24:$W$700,m),id,INDEX($X$24:$X$700,m),SWITCH(lvl,3,"Lớp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8" s="351" t="str">
        <f t="shared" si="23"/>
        <v/>
      </c>
      <c r="N438" s="356" t="str">
        <f t="shared" si="24"/>
        <v/>
      </c>
      <c r="O438" s="358"/>
      <c r="P438" s="360"/>
      <c r="Q438" s="360"/>
      <c r="R438" s="67"/>
      <c r="S438" s="67"/>
      <c r="T438" s="67"/>
      <c r="U438" s="389" t="str">
        <f>IF('Lớp 5 - Phân công'!I249="","",'Lớp 5 - Phân công'!K249&amp;"|"&amp;'Lớp 5 - Phân công'!J249&amp;"|"&amp;'Lớp 5 - Phân công'!I249)</f>
        <v/>
      </c>
      <c r="V438" s="389" t="str">
        <f>IF('Lớp 5 - Phân công'!I249="","","       ├─ "&amp;'Lớp 5 - Phân công'!Q249)</f>
        <v/>
      </c>
      <c r="W438" s="389" t="str">
        <f>IF('Lớp 5 - Phân công'!I249="","",5)</f>
        <v/>
      </c>
      <c r="X438" s="67" t="str">
        <f>'Lớp 5 - Phân công'!I249</f>
        <v/>
      </c>
      <c r="Y438" s="67" t="str">
        <f>'Lớp 5 - Phân công'!J249</f>
        <v/>
      </c>
      <c r="Z438" s="67" t="str">
        <f>'Lớp 5 - Phân công'!AA249</f>
        <v/>
      </c>
      <c r="AA438" s="67" t="str">
        <f>'Lớp 5 - Phân công'!Z249</f>
        <v/>
      </c>
      <c r="AB438" s="67" t="str">
        <f>'Lớp 5 - Phân công'!AC249</f>
        <v/>
      </c>
      <c r="AC438" s="67" t="str">
        <f>'Lớp 5 - Phân công'!AB249</f>
        <v/>
      </c>
      <c r="AD438" s="398" t="str">
        <f>'Lớp 5 - Phân công'!AG249</f>
        <v/>
      </c>
      <c r="AE438" s="358" t="str">
        <f>'Lớp 5 - Phân công'!AE249</f>
        <v/>
      </c>
      <c r="AF438" s="187" t="str">
        <f>'Lớp 5 - Phân công'!AH249</f>
        <v/>
      </c>
      <c r="AG438" s="104" t="str">
        <f>'Lớp 5 - Phân công'!AI249</f>
        <v/>
      </c>
      <c r="AH438" s="389" t="str">
        <f t="shared" si="27"/>
        <v/>
      </c>
      <c r="AI438" s="389" t="str">
        <f t="shared" si="37"/>
        <v>🔵 Chưa có hạn</v>
      </c>
      <c r="AJ438" s="67" t="str">
        <f>'Lớp 5 - Phân công'!AL249</f>
        <v/>
      </c>
      <c r="AS438" s="389" t="str">
        <f t="shared" si="217"/>
        <v/>
      </c>
      <c r="AT438" s="389" t="str">
        <f t="shared" si="32"/>
        <v/>
      </c>
      <c r="AU438" s="389" t="str">
        <f t="shared" si="33"/>
        <v/>
      </c>
      <c r="AV438" s="389" t="str">
        <f t="shared" si="34"/>
        <v/>
      </c>
      <c r="AW438" s="389" t="str">
        <f t="shared" si="35"/>
        <v/>
      </c>
      <c r="AX438" s="67" t="str">
        <f t="shared" ref="AX438:BH438" si="452">Z438</f>
        <v/>
      </c>
      <c r="AY438" s="67" t="str">
        <f t="shared" si="452"/>
        <v/>
      </c>
      <c r="AZ438" s="67" t="str">
        <f t="shared" si="452"/>
        <v/>
      </c>
      <c r="BA438" s="67" t="str">
        <f t="shared" si="452"/>
        <v/>
      </c>
      <c r="BB438" s="398" t="str">
        <f t="shared" si="452"/>
        <v/>
      </c>
      <c r="BC438" s="358" t="str">
        <f t="shared" si="452"/>
        <v/>
      </c>
      <c r="BD438" s="187" t="str">
        <f t="shared" si="452"/>
        <v/>
      </c>
      <c r="BE438" s="104" t="str">
        <f t="shared" si="452"/>
        <v/>
      </c>
      <c r="BF438" s="389" t="str">
        <f t="shared" si="452"/>
        <v/>
      </c>
      <c r="BG438" s="389" t="str">
        <f t="shared" si="452"/>
        <v>🔵 Chưa có hạn</v>
      </c>
      <c r="BH438" s="67" t="str">
        <f t="shared" si="452"/>
        <v/>
      </c>
      <c r="BI438" s="389" t="str">
        <f t="array" ref="BI438">IF($X438="","",SWITCH($W438,3,IFERROR(INDEX('Lớp 3 - Công việc chính'!$AF$14:$AF$73,MATCH($X438,'Lớp 3 - Công việc chính'!$I$14:$I$73,0)),""),4,IFERROR(INDEX('Lớp 4 - Danh mục'!$AI$14:$AI$132,MATCH($X438,'Lớp 4 - Danh mục'!$I$14:$I$132,0)),""),5,IFERROR(INDEX('Lớp 5 - Phân công'!$AJ$14:$AJ$262,MATCH($X438,'Lớp 5 - Phân công'!$I$14:$I$262,0)),""),6,IFERROR(INDEX('Lớp 6 - Chi tiết'!$AM$14:$AM$267,MATCH($X438,'Lớp 6 - Chi tiết'!$I$14:$I$267,0)),""),""))</f>
        <v/>
      </c>
      <c r="BJ438" s="389" t="str">
        <f t="array" ref="BJ438">IF($X438="","",SWITCH($W438,3,IFERROR(INDEX('Lớp 3 - Công việc chính'!$AR$14:$AR$73,MATCH($X438,'Lớp 3 - Công việc chính'!$I$14:$I$73,0)),""),4,IFERROR(INDEX('Lớp 4 - Danh mục'!$AU$14:$AU$132,MATCH($X438,'Lớp 4 - Danh mục'!$I$14:$I$132,0)),""),5,IFERROR(INDEX('Lớp 5 - Phân công'!$AV$14:$AV$262,MATCH($X438,'Lớp 5 - Phân công'!$I$14:$I$262,0)),""),6,IFERROR(INDEX('Lớp 6 - Chi tiết'!$AY$14:$AY$267,MATCH($X438,'Lớp 6 - Chi tiết'!$I$14:$I$267,0)),""),""))</f>
        <v/>
      </c>
    </row>
    <row r="439" ht="15.75" customHeight="1">
      <c r="A439" s="294" t="str">
        <f t="shared" si="12"/>
        <v/>
      </c>
      <c r="B439" s="301" t="str">
        <f t="shared" si="13"/>
        <v/>
      </c>
      <c r="C439" s="301" t="str">
        <f t="shared" si="14"/>
        <v/>
      </c>
      <c r="D439" s="301" t="str">
        <f t="shared" si="15"/>
        <v/>
      </c>
      <c r="E439" s="301" t="str">
        <f t="shared" si="16"/>
        <v/>
      </c>
      <c r="F439" s="317" t="str">
        <f t="shared" si="17"/>
        <v/>
      </c>
      <c r="G439" s="323" t="str">
        <f t="shared" si="18"/>
        <v/>
      </c>
      <c r="H439" s="327" t="str">
        <f t="shared" si="19"/>
        <v/>
      </c>
      <c r="I439" s="327" t="str">
        <f t="shared" si="20"/>
        <v/>
      </c>
      <c r="J439" s="301" t="str">
        <f t="shared" si="21"/>
        <v/>
      </c>
      <c r="K439" s="301" t="str">
        <f t="shared" si="22"/>
        <v/>
      </c>
      <c r="L439" s="344" t="str">
        <f t="array" ref="L439">IF($T439="","",LET(m,MATCH($T439,$AS$24:$AS$700,0),lvl,INDEX($W$24:$W$700,m),id,INDEX($X$24:$X$700,m),SWITCH(lvl,3,"Lớp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39" s="351" t="str">
        <f t="shared" si="23"/>
        <v/>
      </c>
      <c r="N439" s="356" t="str">
        <f t="shared" si="24"/>
        <v/>
      </c>
      <c r="O439" s="358"/>
      <c r="P439" s="360"/>
      <c r="Q439" s="360"/>
      <c r="R439" s="67"/>
      <c r="S439" s="67"/>
      <c r="T439" s="67"/>
      <c r="U439" s="389" t="str">
        <f>IF('Lớp 5 - Phân công'!I250="","",'Lớp 5 - Phân công'!K250&amp;"|"&amp;'Lớp 5 - Phân công'!J250&amp;"|"&amp;'Lớp 5 - Phân công'!I250)</f>
        <v/>
      </c>
      <c r="V439" s="389" t="str">
        <f>IF('Lớp 5 - Phân công'!I250="","","       ├─ "&amp;'Lớp 5 - Phân công'!Q250)</f>
        <v/>
      </c>
      <c r="W439" s="389" t="str">
        <f>IF('Lớp 5 - Phân công'!I250="","",5)</f>
        <v/>
      </c>
      <c r="X439" s="67" t="str">
        <f>'Lớp 5 - Phân công'!I250</f>
        <v/>
      </c>
      <c r="Y439" s="67" t="str">
        <f>'Lớp 5 - Phân công'!J250</f>
        <v/>
      </c>
      <c r="Z439" s="67" t="str">
        <f>'Lớp 5 - Phân công'!AA250</f>
        <v/>
      </c>
      <c r="AA439" s="67" t="str">
        <f>'Lớp 5 - Phân công'!Z250</f>
        <v/>
      </c>
      <c r="AB439" s="67" t="str">
        <f>'Lớp 5 - Phân công'!AC250</f>
        <v/>
      </c>
      <c r="AC439" s="67" t="str">
        <f>'Lớp 5 - Phân công'!AB250</f>
        <v/>
      </c>
      <c r="AD439" s="398" t="str">
        <f>'Lớp 5 - Phân công'!AG250</f>
        <v/>
      </c>
      <c r="AE439" s="358" t="str">
        <f>'Lớp 5 - Phân công'!AE250</f>
        <v/>
      </c>
      <c r="AF439" s="187" t="str">
        <f>'Lớp 5 - Phân công'!AH250</f>
        <v/>
      </c>
      <c r="AG439" s="104" t="str">
        <f>'Lớp 5 - Phân công'!AI250</f>
        <v/>
      </c>
      <c r="AH439" s="389" t="str">
        <f t="shared" si="27"/>
        <v/>
      </c>
      <c r="AI439" s="389" t="str">
        <f t="shared" si="37"/>
        <v>🔵 Chưa có hạn</v>
      </c>
      <c r="AJ439" s="67" t="str">
        <f>'Lớp 5 - Phân công'!AL250</f>
        <v/>
      </c>
      <c r="AS439" s="389" t="str">
        <f t="shared" si="217"/>
        <v/>
      </c>
      <c r="AT439" s="389" t="str">
        <f t="shared" si="32"/>
        <v/>
      </c>
      <c r="AU439" s="389" t="str">
        <f t="shared" si="33"/>
        <v/>
      </c>
      <c r="AV439" s="389" t="str">
        <f t="shared" si="34"/>
        <v/>
      </c>
      <c r="AW439" s="389" t="str">
        <f t="shared" si="35"/>
        <v/>
      </c>
      <c r="AX439" s="67" t="str">
        <f t="shared" ref="AX439:BH439" si="453">Z439</f>
        <v/>
      </c>
      <c r="AY439" s="67" t="str">
        <f t="shared" si="453"/>
        <v/>
      </c>
      <c r="AZ439" s="67" t="str">
        <f t="shared" si="453"/>
        <v/>
      </c>
      <c r="BA439" s="67" t="str">
        <f t="shared" si="453"/>
        <v/>
      </c>
      <c r="BB439" s="398" t="str">
        <f t="shared" si="453"/>
        <v/>
      </c>
      <c r="BC439" s="358" t="str">
        <f t="shared" si="453"/>
        <v/>
      </c>
      <c r="BD439" s="187" t="str">
        <f t="shared" si="453"/>
        <v/>
      </c>
      <c r="BE439" s="104" t="str">
        <f t="shared" si="453"/>
        <v/>
      </c>
      <c r="BF439" s="389" t="str">
        <f t="shared" si="453"/>
        <v/>
      </c>
      <c r="BG439" s="389" t="str">
        <f t="shared" si="453"/>
        <v>🔵 Chưa có hạn</v>
      </c>
      <c r="BH439" s="67" t="str">
        <f t="shared" si="453"/>
        <v/>
      </c>
      <c r="BI439" s="389" t="str">
        <f t="array" ref="BI439">IF($X439="","",SWITCH($W439,3,IFERROR(INDEX('Lớp 3 - Công việc chính'!$AF$14:$AF$73,MATCH($X439,'Lớp 3 - Công việc chính'!$I$14:$I$73,0)),""),4,IFERROR(INDEX('Lớp 4 - Danh mục'!$AI$14:$AI$132,MATCH($X439,'Lớp 4 - Danh mục'!$I$14:$I$132,0)),""),5,IFERROR(INDEX('Lớp 5 - Phân công'!$AJ$14:$AJ$262,MATCH($X439,'Lớp 5 - Phân công'!$I$14:$I$262,0)),""),6,IFERROR(INDEX('Lớp 6 - Chi tiết'!$AM$14:$AM$267,MATCH($X439,'Lớp 6 - Chi tiết'!$I$14:$I$267,0)),""),""))</f>
        <v/>
      </c>
      <c r="BJ439" s="389" t="str">
        <f t="array" ref="BJ439">IF($X439="","",SWITCH($W439,3,IFERROR(INDEX('Lớp 3 - Công việc chính'!$AR$14:$AR$73,MATCH($X439,'Lớp 3 - Công việc chính'!$I$14:$I$73,0)),""),4,IFERROR(INDEX('Lớp 4 - Danh mục'!$AU$14:$AU$132,MATCH($X439,'Lớp 4 - Danh mục'!$I$14:$I$132,0)),""),5,IFERROR(INDEX('Lớp 5 - Phân công'!$AV$14:$AV$262,MATCH($X439,'Lớp 5 - Phân công'!$I$14:$I$262,0)),""),6,IFERROR(INDEX('Lớp 6 - Chi tiết'!$AY$14:$AY$267,MATCH($X439,'Lớp 6 - Chi tiết'!$I$14:$I$267,0)),""),""))</f>
        <v/>
      </c>
    </row>
    <row r="440" ht="15.75" customHeight="1">
      <c r="A440" s="294" t="str">
        <f t="shared" si="12"/>
        <v/>
      </c>
      <c r="B440" s="301" t="str">
        <f t="shared" si="13"/>
        <v/>
      </c>
      <c r="C440" s="301" t="str">
        <f t="shared" si="14"/>
        <v/>
      </c>
      <c r="D440" s="301" t="str">
        <f t="shared" si="15"/>
        <v/>
      </c>
      <c r="E440" s="301" t="str">
        <f t="shared" si="16"/>
        <v/>
      </c>
      <c r="F440" s="317" t="str">
        <f t="shared" si="17"/>
        <v/>
      </c>
      <c r="G440" s="323" t="str">
        <f t="shared" si="18"/>
        <v/>
      </c>
      <c r="H440" s="327" t="str">
        <f t="shared" si="19"/>
        <v/>
      </c>
      <c r="I440" s="327" t="str">
        <f t="shared" si="20"/>
        <v/>
      </c>
      <c r="J440" s="301" t="str">
        <f t="shared" si="21"/>
        <v/>
      </c>
      <c r="K440" s="301" t="str">
        <f t="shared" si="22"/>
        <v/>
      </c>
      <c r="L440" s="344" t="str">
        <f t="array" ref="L440">IF($T440="","",LET(m,MATCH($T440,$AS$24:$AS$700,0),lvl,INDEX($W$24:$W$700,m),id,INDEX($X$24:$X$700,m),SWITCH(lvl,3,"Lớp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0" s="351" t="str">
        <f t="shared" si="23"/>
        <v/>
      </c>
      <c r="N440" s="356" t="str">
        <f t="shared" si="24"/>
        <v/>
      </c>
      <c r="O440" s="358"/>
      <c r="P440" s="360"/>
      <c r="Q440" s="360"/>
      <c r="R440" s="67"/>
      <c r="S440" s="67"/>
      <c r="T440" s="67"/>
      <c r="U440" s="389" t="str">
        <f>IF('Lớp 5 - Phân công'!I251="","",'Lớp 5 - Phân công'!K251&amp;"|"&amp;'Lớp 5 - Phân công'!J251&amp;"|"&amp;'Lớp 5 - Phân công'!I251)</f>
        <v/>
      </c>
      <c r="V440" s="389" t="str">
        <f>IF('Lớp 5 - Phân công'!I251="","","       ├─ "&amp;'Lớp 5 - Phân công'!Q251)</f>
        <v/>
      </c>
      <c r="W440" s="389" t="str">
        <f>IF('Lớp 5 - Phân công'!I251="","",5)</f>
        <v/>
      </c>
      <c r="X440" s="67" t="str">
        <f>'Lớp 5 - Phân công'!I251</f>
        <v/>
      </c>
      <c r="Y440" s="67" t="str">
        <f>'Lớp 5 - Phân công'!J251</f>
        <v/>
      </c>
      <c r="Z440" s="67" t="str">
        <f>'Lớp 5 - Phân công'!AA251</f>
        <v/>
      </c>
      <c r="AA440" s="67" t="str">
        <f>'Lớp 5 - Phân công'!Z251</f>
        <v/>
      </c>
      <c r="AB440" s="67" t="str">
        <f>'Lớp 5 - Phân công'!AC251</f>
        <v/>
      </c>
      <c r="AC440" s="67" t="str">
        <f>'Lớp 5 - Phân công'!AB251</f>
        <v/>
      </c>
      <c r="AD440" s="398" t="str">
        <f>'Lớp 5 - Phân công'!AG251</f>
        <v/>
      </c>
      <c r="AE440" s="358" t="str">
        <f>'Lớp 5 - Phân công'!AE251</f>
        <v/>
      </c>
      <c r="AF440" s="187" t="str">
        <f>'Lớp 5 - Phân công'!AH251</f>
        <v/>
      </c>
      <c r="AG440" s="104" t="str">
        <f>'Lớp 5 - Phân công'!AI251</f>
        <v/>
      </c>
      <c r="AH440" s="389" t="str">
        <f t="shared" si="27"/>
        <v/>
      </c>
      <c r="AI440" s="389" t="str">
        <f t="shared" si="37"/>
        <v>🔵 Chưa có hạn</v>
      </c>
      <c r="AJ440" s="67" t="str">
        <f>'Lớp 5 - Phân công'!AL251</f>
        <v/>
      </c>
      <c r="AS440" s="389" t="str">
        <f t="shared" si="217"/>
        <v/>
      </c>
      <c r="AT440" s="389" t="str">
        <f t="shared" si="32"/>
        <v/>
      </c>
      <c r="AU440" s="389" t="str">
        <f t="shared" si="33"/>
        <v/>
      </c>
      <c r="AV440" s="389" t="str">
        <f t="shared" si="34"/>
        <v/>
      </c>
      <c r="AW440" s="389" t="str">
        <f t="shared" si="35"/>
        <v/>
      </c>
      <c r="AX440" s="67" t="str">
        <f t="shared" ref="AX440:BH440" si="454">Z440</f>
        <v/>
      </c>
      <c r="AY440" s="67" t="str">
        <f t="shared" si="454"/>
        <v/>
      </c>
      <c r="AZ440" s="67" t="str">
        <f t="shared" si="454"/>
        <v/>
      </c>
      <c r="BA440" s="67" t="str">
        <f t="shared" si="454"/>
        <v/>
      </c>
      <c r="BB440" s="398" t="str">
        <f t="shared" si="454"/>
        <v/>
      </c>
      <c r="BC440" s="358" t="str">
        <f t="shared" si="454"/>
        <v/>
      </c>
      <c r="BD440" s="187" t="str">
        <f t="shared" si="454"/>
        <v/>
      </c>
      <c r="BE440" s="104" t="str">
        <f t="shared" si="454"/>
        <v/>
      </c>
      <c r="BF440" s="389" t="str">
        <f t="shared" si="454"/>
        <v/>
      </c>
      <c r="BG440" s="389" t="str">
        <f t="shared" si="454"/>
        <v>🔵 Chưa có hạn</v>
      </c>
      <c r="BH440" s="67" t="str">
        <f t="shared" si="454"/>
        <v/>
      </c>
      <c r="BI440" s="389" t="str">
        <f t="array" ref="BI440">IF($X440="","",SWITCH($W440,3,IFERROR(INDEX('Lớp 3 - Công việc chính'!$AF$14:$AF$73,MATCH($X440,'Lớp 3 - Công việc chính'!$I$14:$I$73,0)),""),4,IFERROR(INDEX('Lớp 4 - Danh mục'!$AI$14:$AI$132,MATCH($X440,'Lớp 4 - Danh mục'!$I$14:$I$132,0)),""),5,IFERROR(INDEX('Lớp 5 - Phân công'!$AJ$14:$AJ$262,MATCH($X440,'Lớp 5 - Phân công'!$I$14:$I$262,0)),""),6,IFERROR(INDEX('Lớp 6 - Chi tiết'!$AM$14:$AM$267,MATCH($X440,'Lớp 6 - Chi tiết'!$I$14:$I$267,0)),""),""))</f>
        <v/>
      </c>
      <c r="BJ440" s="389" t="str">
        <f t="array" ref="BJ440">IF($X440="","",SWITCH($W440,3,IFERROR(INDEX('Lớp 3 - Công việc chính'!$AR$14:$AR$73,MATCH($X440,'Lớp 3 - Công việc chính'!$I$14:$I$73,0)),""),4,IFERROR(INDEX('Lớp 4 - Danh mục'!$AU$14:$AU$132,MATCH($X440,'Lớp 4 - Danh mục'!$I$14:$I$132,0)),""),5,IFERROR(INDEX('Lớp 5 - Phân công'!$AV$14:$AV$262,MATCH($X440,'Lớp 5 - Phân công'!$I$14:$I$262,0)),""),6,IFERROR(INDEX('Lớp 6 - Chi tiết'!$AY$14:$AY$267,MATCH($X440,'Lớp 6 - Chi tiết'!$I$14:$I$267,0)),""),""))</f>
        <v/>
      </c>
    </row>
    <row r="441" ht="15.75" customHeight="1">
      <c r="A441" s="294" t="str">
        <f t="shared" si="12"/>
        <v/>
      </c>
      <c r="B441" s="301" t="str">
        <f t="shared" si="13"/>
        <v/>
      </c>
      <c r="C441" s="301" t="str">
        <f t="shared" si="14"/>
        <v/>
      </c>
      <c r="D441" s="301" t="str">
        <f t="shared" si="15"/>
        <v/>
      </c>
      <c r="E441" s="301" t="str">
        <f t="shared" si="16"/>
        <v/>
      </c>
      <c r="F441" s="317" t="str">
        <f t="shared" si="17"/>
        <v/>
      </c>
      <c r="G441" s="323" t="str">
        <f t="shared" si="18"/>
        <v/>
      </c>
      <c r="H441" s="327" t="str">
        <f t="shared" si="19"/>
        <v/>
      </c>
      <c r="I441" s="327" t="str">
        <f t="shared" si="20"/>
        <v/>
      </c>
      <c r="J441" s="301" t="str">
        <f t="shared" si="21"/>
        <v/>
      </c>
      <c r="K441" s="301" t="str">
        <f t="shared" si="22"/>
        <v/>
      </c>
      <c r="L441" s="344" t="str">
        <f t="array" ref="L441">IF($T441="","",LET(m,MATCH($T441,$AS$24:$AS$700,0),lvl,INDEX($W$24:$W$700,m),id,INDEX($X$24:$X$700,m),SWITCH(lvl,3,"Lớp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1" s="351" t="str">
        <f t="shared" si="23"/>
        <v/>
      </c>
      <c r="N441" s="356" t="str">
        <f t="shared" si="24"/>
        <v/>
      </c>
      <c r="O441" s="358"/>
      <c r="P441" s="360"/>
      <c r="Q441" s="360"/>
      <c r="R441" s="67"/>
      <c r="S441" s="67"/>
      <c r="T441" s="67"/>
      <c r="U441" s="389" t="str">
        <f>IF('Lớp 5 - Phân công'!I252="","",'Lớp 5 - Phân công'!K252&amp;"|"&amp;'Lớp 5 - Phân công'!J252&amp;"|"&amp;'Lớp 5 - Phân công'!I252)</f>
        <v/>
      </c>
      <c r="V441" s="389" t="str">
        <f>IF('Lớp 5 - Phân công'!I252="","","       ├─ "&amp;'Lớp 5 - Phân công'!Q252)</f>
        <v/>
      </c>
      <c r="W441" s="389" t="str">
        <f>IF('Lớp 5 - Phân công'!I252="","",5)</f>
        <v/>
      </c>
      <c r="X441" s="67" t="str">
        <f>'Lớp 5 - Phân công'!I252</f>
        <v/>
      </c>
      <c r="Y441" s="67" t="str">
        <f>'Lớp 5 - Phân công'!J252</f>
        <v/>
      </c>
      <c r="Z441" s="67" t="str">
        <f>'Lớp 5 - Phân công'!AA252</f>
        <v/>
      </c>
      <c r="AA441" s="67" t="str">
        <f>'Lớp 5 - Phân công'!Z252</f>
        <v/>
      </c>
      <c r="AB441" s="67" t="str">
        <f>'Lớp 5 - Phân công'!AC252</f>
        <v/>
      </c>
      <c r="AC441" s="67" t="str">
        <f>'Lớp 5 - Phân công'!AB252</f>
        <v/>
      </c>
      <c r="AD441" s="398" t="str">
        <f>'Lớp 5 - Phân công'!AG252</f>
        <v/>
      </c>
      <c r="AE441" s="358" t="str">
        <f>'Lớp 5 - Phân công'!AE252</f>
        <v/>
      </c>
      <c r="AF441" s="187" t="str">
        <f>'Lớp 5 - Phân công'!AH252</f>
        <v/>
      </c>
      <c r="AG441" s="104" t="str">
        <f>'Lớp 5 - Phân công'!AI252</f>
        <v/>
      </c>
      <c r="AH441" s="389" t="str">
        <f t="shared" si="27"/>
        <v/>
      </c>
      <c r="AI441" s="389" t="str">
        <f t="shared" si="37"/>
        <v>🔵 Chưa có hạn</v>
      </c>
      <c r="AJ441" s="67" t="str">
        <f>'Lớp 5 - Phân công'!AL252</f>
        <v/>
      </c>
      <c r="AS441" s="389" t="str">
        <f t="shared" si="217"/>
        <v/>
      </c>
      <c r="AT441" s="389" t="str">
        <f t="shared" si="32"/>
        <v/>
      </c>
      <c r="AU441" s="389" t="str">
        <f t="shared" si="33"/>
        <v/>
      </c>
      <c r="AV441" s="389" t="str">
        <f t="shared" si="34"/>
        <v/>
      </c>
      <c r="AW441" s="389" t="str">
        <f t="shared" si="35"/>
        <v/>
      </c>
      <c r="AX441" s="67" t="str">
        <f t="shared" ref="AX441:BH441" si="455">Z441</f>
        <v/>
      </c>
      <c r="AY441" s="67" t="str">
        <f t="shared" si="455"/>
        <v/>
      </c>
      <c r="AZ441" s="67" t="str">
        <f t="shared" si="455"/>
        <v/>
      </c>
      <c r="BA441" s="67" t="str">
        <f t="shared" si="455"/>
        <v/>
      </c>
      <c r="BB441" s="398" t="str">
        <f t="shared" si="455"/>
        <v/>
      </c>
      <c r="BC441" s="358" t="str">
        <f t="shared" si="455"/>
        <v/>
      </c>
      <c r="BD441" s="187" t="str">
        <f t="shared" si="455"/>
        <v/>
      </c>
      <c r="BE441" s="104" t="str">
        <f t="shared" si="455"/>
        <v/>
      </c>
      <c r="BF441" s="389" t="str">
        <f t="shared" si="455"/>
        <v/>
      </c>
      <c r="BG441" s="389" t="str">
        <f t="shared" si="455"/>
        <v>🔵 Chưa có hạn</v>
      </c>
      <c r="BH441" s="67" t="str">
        <f t="shared" si="455"/>
        <v/>
      </c>
      <c r="BI441" s="389" t="str">
        <f t="array" ref="BI441">IF($X441="","",SWITCH($W441,3,IFERROR(INDEX('Lớp 3 - Công việc chính'!$AF$14:$AF$73,MATCH($X441,'Lớp 3 - Công việc chính'!$I$14:$I$73,0)),""),4,IFERROR(INDEX('Lớp 4 - Danh mục'!$AI$14:$AI$132,MATCH($X441,'Lớp 4 - Danh mục'!$I$14:$I$132,0)),""),5,IFERROR(INDEX('Lớp 5 - Phân công'!$AJ$14:$AJ$262,MATCH($X441,'Lớp 5 - Phân công'!$I$14:$I$262,0)),""),6,IFERROR(INDEX('Lớp 6 - Chi tiết'!$AM$14:$AM$267,MATCH($X441,'Lớp 6 - Chi tiết'!$I$14:$I$267,0)),""),""))</f>
        <v/>
      </c>
      <c r="BJ441" s="389" t="str">
        <f t="array" ref="BJ441">IF($X441="","",SWITCH($W441,3,IFERROR(INDEX('Lớp 3 - Công việc chính'!$AR$14:$AR$73,MATCH($X441,'Lớp 3 - Công việc chính'!$I$14:$I$73,0)),""),4,IFERROR(INDEX('Lớp 4 - Danh mục'!$AU$14:$AU$132,MATCH($X441,'Lớp 4 - Danh mục'!$I$14:$I$132,0)),""),5,IFERROR(INDEX('Lớp 5 - Phân công'!$AV$14:$AV$262,MATCH($X441,'Lớp 5 - Phân công'!$I$14:$I$262,0)),""),6,IFERROR(INDEX('Lớp 6 - Chi tiết'!$AY$14:$AY$267,MATCH($X441,'Lớp 6 - Chi tiết'!$I$14:$I$267,0)),""),""))</f>
        <v/>
      </c>
    </row>
    <row r="442" ht="15.75" customHeight="1">
      <c r="A442" s="294" t="str">
        <f t="shared" si="12"/>
        <v/>
      </c>
      <c r="B442" s="301" t="str">
        <f t="shared" si="13"/>
        <v/>
      </c>
      <c r="C442" s="301" t="str">
        <f t="shared" si="14"/>
        <v/>
      </c>
      <c r="D442" s="301" t="str">
        <f t="shared" si="15"/>
        <v/>
      </c>
      <c r="E442" s="301" t="str">
        <f t="shared" si="16"/>
        <v/>
      </c>
      <c r="F442" s="317" t="str">
        <f t="shared" si="17"/>
        <v/>
      </c>
      <c r="G442" s="323" t="str">
        <f t="shared" si="18"/>
        <v/>
      </c>
      <c r="H442" s="327" t="str">
        <f t="shared" si="19"/>
        <v/>
      </c>
      <c r="I442" s="327" t="str">
        <f t="shared" si="20"/>
        <v/>
      </c>
      <c r="J442" s="301" t="str">
        <f t="shared" si="21"/>
        <v/>
      </c>
      <c r="K442" s="301" t="str">
        <f t="shared" si="22"/>
        <v/>
      </c>
      <c r="L442" s="344" t="str">
        <f t="array" ref="L442">IF($T442="","",LET(m,MATCH($T442,$AS$24:$AS$700,0),lvl,INDEX($W$24:$W$700,m),id,INDEX($X$24:$X$700,m),SWITCH(lvl,3,"Lớp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2" s="351" t="str">
        <f t="shared" si="23"/>
        <v/>
      </c>
      <c r="N442" s="356" t="str">
        <f t="shared" si="24"/>
        <v/>
      </c>
      <c r="O442" s="358"/>
      <c r="P442" s="360"/>
      <c r="Q442" s="360"/>
      <c r="R442" s="67"/>
      <c r="S442" s="67"/>
      <c r="T442" s="67"/>
      <c r="U442" s="389" t="str">
        <f>IF('Lớp 5 - Phân công'!I253="","",'Lớp 5 - Phân công'!K253&amp;"|"&amp;'Lớp 5 - Phân công'!J253&amp;"|"&amp;'Lớp 5 - Phân công'!I253)</f>
        <v/>
      </c>
      <c r="V442" s="389" t="str">
        <f>IF('Lớp 5 - Phân công'!I253="","","       ├─ "&amp;'Lớp 5 - Phân công'!Q253)</f>
        <v/>
      </c>
      <c r="W442" s="389" t="str">
        <f>IF('Lớp 5 - Phân công'!I253="","",5)</f>
        <v/>
      </c>
      <c r="X442" s="67" t="str">
        <f>'Lớp 5 - Phân công'!I253</f>
        <v/>
      </c>
      <c r="Y442" s="67" t="str">
        <f>'Lớp 5 - Phân công'!J253</f>
        <v/>
      </c>
      <c r="Z442" s="67" t="str">
        <f>'Lớp 5 - Phân công'!AA253</f>
        <v/>
      </c>
      <c r="AA442" s="67" t="str">
        <f>'Lớp 5 - Phân công'!Z253</f>
        <v/>
      </c>
      <c r="AB442" s="67" t="str">
        <f>'Lớp 5 - Phân công'!AC253</f>
        <v/>
      </c>
      <c r="AC442" s="67" t="str">
        <f>'Lớp 5 - Phân công'!AB253</f>
        <v/>
      </c>
      <c r="AD442" s="398" t="str">
        <f>'Lớp 5 - Phân công'!AG253</f>
        <v/>
      </c>
      <c r="AE442" s="358" t="str">
        <f>'Lớp 5 - Phân công'!AE253</f>
        <v/>
      </c>
      <c r="AF442" s="187" t="str">
        <f>'Lớp 5 - Phân công'!AH253</f>
        <v/>
      </c>
      <c r="AG442" s="104" t="str">
        <f>'Lớp 5 - Phân công'!AI253</f>
        <v/>
      </c>
      <c r="AH442" s="389" t="str">
        <f t="shared" si="27"/>
        <v/>
      </c>
      <c r="AI442" s="389" t="str">
        <f t="shared" si="37"/>
        <v>🔵 Chưa có hạn</v>
      </c>
      <c r="AJ442" s="67" t="str">
        <f>'Lớp 5 - Phân công'!AL253</f>
        <v/>
      </c>
      <c r="AS442" s="389" t="str">
        <f t="shared" si="217"/>
        <v/>
      </c>
      <c r="AT442" s="389" t="str">
        <f t="shared" si="32"/>
        <v/>
      </c>
      <c r="AU442" s="389" t="str">
        <f t="shared" si="33"/>
        <v/>
      </c>
      <c r="AV442" s="389" t="str">
        <f t="shared" si="34"/>
        <v/>
      </c>
      <c r="AW442" s="389" t="str">
        <f t="shared" si="35"/>
        <v/>
      </c>
      <c r="AX442" s="67" t="str">
        <f t="shared" ref="AX442:BH442" si="456">Z442</f>
        <v/>
      </c>
      <c r="AY442" s="67" t="str">
        <f t="shared" si="456"/>
        <v/>
      </c>
      <c r="AZ442" s="67" t="str">
        <f t="shared" si="456"/>
        <v/>
      </c>
      <c r="BA442" s="67" t="str">
        <f t="shared" si="456"/>
        <v/>
      </c>
      <c r="BB442" s="398" t="str">
        <f t="shared" si="456"/>
        <v/>
      </c>
      <c r="BC442" s="358" t="str">
        <f t="shared" si="456"/>
        <v/>
      </c>
      <c r="BD442" s="187" t="str">
        <f t="shared" si="456"/>
        <v/>
      </c>
      <c r="BE442" s="104" t="str">
        <f t="shared" si="456"/>
        <v/>
      </c>
      <c r="BF442" s="389" t="str">
        <f t="shared" si="456"/>
        <v/>
      </c>
      <c r="BG442" s="389" t="str">
        <f t="shared" si="456"/>
        <v>🔵 Chưa có hạn</v>
      </c>
      <c r="BH442" s="67" t="str">
        <f t="shared" si="456"/>
        <v/>
      </c>
      <c r="BI442" s="389" t="str">
        <f t="array" ref="BI442">IF($X442="","",SWITCH($W442,3,IFERROR(INDEX('Lớp 3 - Công việc chính'!$AF$14:$AF$73,MATCH($X442,'Lớp 3 - Công việc chính'!$I$14:$I$73,0)),""),4,IFERROR(INDEX('Lớp 4 - Danh mục'!$AI$14:$AI$132,MATCH($X442,'Lớp 4 - Danh mục'!$I$14:$I$132,0)),""),5,IFERROR(INDEX('Lớp 5 - Phân công'!$AJ$14:$AJ$262,MATCH($X442,'Lớp 5 - Phân công'!$I$14:$I$262,0)),""),6,IFERROR(INDEX('Lớp 6 - Chi tiết'!$AM$14:$AM$267,MATCH($X442,'Lớp 6 - Chi tiết'!$I$14:$I$267,0)),""),""))</f>
        <v/>
      </c>
      <c r="BJ442" s="389" t="str">
        <f t="array" ref="BJ442">IF($X442="","",SWITCH($W442,3,IFERROR(INDEX('Lớp 3 - Công việc chính'!$AR$14:$AR$73,MATCH($X442,'Lớp 3 - Công việc chính'!$I$14:$I$73,0)),""),4,IFERROR(INDEX('Lớp 4 - Danh mục'!$AU$14:$AU$132,MATCH($X442,'Lớp 4 - Danh mục'!$I$14:$I$132,0)),""),5,IFERROR(INDEX('Lớp 5 - Phân công'!$AV$14:$AV$262,MATCH($X442,'Lớp 5 - Phân công'!$I$14:$I$262,0)),""),6,IFERROR(INDEX('Lớp 6 - Chi tiết'!$AY$14:$AY$267,MATCH($X442,'Lớp 6 - Chi tiết'!$I$14:$I$267,0)),""),""))</f>
        <v/>
      </c>
    </row>
    <row r="443" ht="15.75" customHeight="1">
      <c r="A443" s="294" t="str">
        <f t="shared" si="12"/>
        <v/>
      </c>
      <c r="B443" s="301" t="str">
        <f t="shared" si="13"/>
        <v/>
      </c>
      <c r="C443" s="301" t="str">
        <f t="shared" si="14"/>
        <v/>
      </c>
      <c r="D443" s="301" t="str">
        <f t="shared" si="15"/>
        <v/>
      </c>
      <c r="E443" s="301" t="str">
        <f t="shared" si="16"/>
        <v/>
      </c>
      <c r="F443" s="317" t="str">
        <f t="shared" si="17"/>
        <v/>
      </c>
      <c r="G443" s="323" t="str">
        <f t="shared" si="18"/>
        <v/>
      </c>
      <c r="H443" s="327" t="str">
        <f t="shared" si="19"/>
        <v/>
      </c>
      <c r="I443" s="327" t="str">
        <f t="shared" si="20"/>
        <v/>
      </c>
      <c r="J443" s="301" t="str">
        <f t="shared" si="21"/>
        <v/>
      </c>
      <c r="K443" s="301" t="str">
        <f t="shared" si="22"/>
        <v/>
      </c>
      <c r="L443" s="344" t="str">
        <f t="array" ref="L443">IF($T443="","",LET(m,MATCH($T443,$AS$24:$AS$700,0),lvl,INDEX($W$24:$W$700,m),id,INDEX($X$24:$X$700,m),SWITCH(lvl,3,"Lớp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3" s="351" t="str">
        <f t="shared" si="23"/>
        <v/>
      </c>
      <c r="N443" s="356" t="str">
        <f t="shared" si="24"/>
        <v/>
      </c>
      <c r="O443" s="358"/>
      <c r="P443" s="360"/>
      <c r="Q443" s="360"/>
      <c r="R443" s="67"/>
      <c r="S443" s="67"/>
      <c r="T443" s="67"/>
      <c r="U443" s="389" t="str">
        <f>IF('Lớp 5 - Phân công'!I254="","",'Lớp 5 - Phân công'!K254&amp;"|"&amp;'Lớp 5 - Phân công'!J254&amp;"|"&amp;'Lớp 5 - Phân công'!I254)</f>
        <v/>
      </c>
      <c r="V443" s="389" t="str">
        <f>IF('Lớp 5 - Phân công'!I254="","","       ├─ "&amp;'Lớp 5 - Phân công'!Q254)</f>
        <v/>
      </c>
      <c r="W443" s="389" t="str">
        <f>IF('Lớp 5 - Phân công'!I254="","",5)</f>
        <v/>
      </c>
      <c r="X443" s="67" t="str">
        <f>'Lớp 5 - Phân công'!I254</f>
        <v/>
      </c>
      <c r="Y443" s="67" t="str">
        <f>'Lớp 5 - Phân công'!J254</f>
        <v/>
      </c>
      <c r="Z443" s="67" t="str">
        <f>'Lớp 5 - Phân công'!AA254</f>
        <v/>
      </c>
      <c r="AA443" s="67" t="str">
        <f>'Lớp 5 - Phân công'!Z254</f>
        <v/>
      </c>
      <c r="AB443" s="67" t="str">
        <f>'Lớp 5 - Phân công'!AC254</f>
        <v/>
      </c>
      <c r="AC443" s="67" t="str">
        <f>'Lớp 5 - Phân công'!AB254</f>
        <v/>
      </c>
      <c r="AD443" s="398" t="str">
        <f>'Lớp 5 - Phân công'!AG254</f>
        <v/>
      </c>
      <c r="AE443" s="358" t="str">
        <f>'Lớp 5 - Phân công'!AE254</f>
        <v/>
      </c>
      <c r="AF443" s="187" t="str">
        <f>'Lớp 5 - Phân công'!AH254</f>
        <v/>
      </c>
      <c r="AG443" s="104" t="str">
        <f>'Lớp 5 - Phân công'!AI254</f>
        <v/>
      </c>
      <c r="AH443" s="389" t="str">
        <f t="shared" si="27"/>
        <v/>
      </c>
      <c r="AI443" s="389" t="str">
        <f t="shared" si="37"/>
        <v>🔵 Chưa có hạn</v>
      </c>
      <c r="AJ443" s="67" t="str">
        <f>'Lớp 5 - Phân công'!AL254</f>
        <v/>
      </c>
      <c r="AS443" s="389" t="str">
        <f t="shared" si="217"/>
        <v/>
      </c>
      <c r="AT443" s="389" t="str">
        <f t="shared" si="32"/>
        <v/>
      </c>
      <c r="AU443" s="389" t="str">
        <f t="shared" si="33"/>
        <v/>
      </c>
      <c r="AV443" s="389" t="str">
        <f t="shared" si="34"/>
        <v/>
      </c>
      <c r="AW443" s="389" t="str">
        <f t="shared" si="35"/>
        <v/>
      </c>
      <c r="AX443" s="67" t="str">
        <f t="shared" ref="AX443:BH443" si="457">Z443</f>
        <v/>
      </c>
      <c r="AY443" s="67" t="str">
        <f t="shared" si="457"/>
        <v/>
      </c>
      <c r="AZ443" s="67" t="str">
        <f t="shared" si="457"/>
        <v/>
      </c>
      <c r="BA443" s="67" t="str">
        <f t="shared" si="457"/>
        <v/>
      </c>
      <c r="BB443" s="398" t="str">
        <f t="shared" si="457"/>
        <v/>
      </c>
      <c r="BC443" s="358" t="str">
        <f t="shared" si="457"/>
        <v/>
      </c>
      <c r="BD443" s="187" t="str">
        <f t="shared" si="457"/>
        <v/>
      </c>
      <c r="BE443" s="104" t="str">
        <f t="shared" si="457"/>
        <v/>
      </c>
      <c r="BF443" s="389" t="str">
        <f t="shared" si="457"/>
        <v/>
      </c>
      <c r="BG443" s="389" t="str">
        <f t="shared" si="457"/>
        <v>🔵 Chưa có hạn</v>
      </c>
      <c r="BH443" s="67" t="str">
        <f t="shared" si="457"/>
        <v/>
      </c>
      <c r="BI443" s="389" t="str">
        <f t="array" ref="BI443">IF($X443="","",SWITCH($W443,3,IFERROR(INDEX('Lớp 3 - Công việc chính'!$AF$14:$AF$73,MATCH($X443,'Lớp 3 - Công việc chính'!$I$14:$I$73,0)),""),4,IFERROR(INDEX('Lớp 4 - Danh mục'!$AI$14:$AI$132,MATCH($X443,'Lớp 4 - Danh mục'!$I$14:$I$132,0)),""),5,IFERROR(INDEX('Lớp 5 - Phân công'!$AJ$14:$AJ$262,MATCH($X443,'Lớp 5 - Phân công'!$I$14:$I$262,0)),""),6,IFERROR(INDEX('Lớp 6 - Chi tiết'!$AM$14:$AM$267,MATCH($X443,'Lớp 6 - Chi tiết'!$I$14:$I$267,0)),""),""))</f>
        <v/>
      </c>
      <c r="BJ443" s="389" t="str">
        <f t="array" ref="BJ443">IF($X443="","",SWITCH($W443,3,IFERROR(INDEX('Lớp 3 - Công việc chính'!$AR$14:$AR$73,MATCH($X443,'Lớp 3 - Công việc chính'!$I$14:$I$73,0)),""),4,IFERROR(INDEX('Lớp 4 - Danh mục'!$AU$14:$AU$132,MATCH($X443,'Lớp 4 - Danh mục'!$I$14:$I$132,0)),""),5,IFERROR(INDEX('Lớp 5 - Phân công'!$AV$14:$AV$262,MATCH($X443,'Lớp 5 - Phân công'!$I$14:$I$262,0)),""),6,IFERROR(INDEX('Lớp 6 - Chi tiết'!$AY$14:$AY$267,MATCH($X443,'Lớp 6 - Chi tiết'!$I$14:$I$267,0)),""),""))</f>
        <v/>
      </c>
    </row>
    <row r="444" ht="15.75" customHeight="1">
      <c r="A444" s="294" t="str">
        <f t="shared" si="12"/>
        <v/>
      </c>
      <c r="B444" s="301" t="str">
        <f t="shared" si="13"/>
        <v/>
      </c>
      <c r="C444" s="301" t="str">
        <f t="shared" si="14"/>
        <v/>
      </c>
      <c r="D444" s="301" t="str">
        <f t="shared" si="15"/>
        <v/>
      </c>
      <c r="E444" s="301" t="str">
        <f t="shared" si="16"/>
        <v/>
      </c>
      <c r="F444" s="317" t="str">
        <f t="shared" si="17"/>
        <v/>
      </c>
      <c r="G444" s="323" t="str">
        <f t="shared" si="18"/>
        <v/>
      </c>
      <c r="H444" s="327" t="str">
        <f t="shared" si="19"/>
        <v/>
      </c>
      <c r="I444" s="327" t="str">
        <f t="shared" si="20"/>
        <v/>
      </c>
      <c r="J444" s="301" t="str">
        <f t="shared" si="21"/>
        <v/>
      </c>
      <c r="K444" s="301" t="str">
        <f t="shared" si="22"/>
        <v/>
      </c>
      <c r="L444" s="344" t="str">
        <f t="array" ref="L444">IF($T444="","",LET(m,MATCH($T444,$AS$24:$AS$700,0),lvl,INDEX($W$24:$W$700,m),id,INDEX($X$24:$X$700,m),SWITCH(lvl,3,"Lớp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4" s="351" t="str">
        <f t="shared" si="23"/>
        <v/>
      </c>
      <c r="N444" s="356" t="str">
        <f t="shared" si="24"/>
        <v/>
      </c>
      <c r="O444" s="358"/>
      <c r="P444" s="360"/>
      <c r="Q444" s="360"/>
      <c r="R444" s="67"/>
      <c r="S444" s="67"/>
      <c r="T444" s="67"/>
      <c r="U444" s="389" t="str">
        <f>IF('Lớp 5 - Phân công'!I255="","",'Lớp 5 - Phân công'!K255&amp;"|"&amp;'Lớp 5 - Phân công'!J255&amp;"|"&amp;'Lớp 5 - Phân công'!I255)</f>
        <v/>
      </c>
      <c r="V444" s="389" t="str">
        <f>IF('Lớp 5 - Phân công'!I255="","","       ├─ "&amp;'Lớp 5 - Phân công'!Q255)</f>
        <v/>
      </c>
      <c r="W444" s="389" t="str">
        <f>IF('Lớp 5 - Phân công'!I255="","",5)</f>
        <v/>
      </c>
      <c r="X444" s="67" t="str">
        <f>'Lớp 5 - Phân công'!I255</f>
        <v/>
      </c>
      <c r="Y444" s="67" t="str">
        <f>'Lớp 5 - Phân công'!J255</f>
        <v/>
      </c>
      <c r="Z444" s="67" t="str">
        <f>'Lớp 5 - Phân công'!AA255</f>
        <v/>
      </c>
      <c r="AA444" s="67" t="str">
        <f>'Lớp 5 - Phân công'!Z255</f>
        <v/>
      </c>
      <c r="AB444" s="67" t="str">
        <f>'Lớp 5 - Phân công'!AC255</f>
        <v/>
      </c>
      <c r="AC444" s="67" t="str">
        <f>'Lớp 5 - Phân công'!AB255</f>
        <v/>
      </c>
      <c r="AD444" s="398" t="str">
        <f>'Lớp 5 - Phân công'!AG255</f>
        <v/>
      </c>
      <c r="AE444" s="358" t="str">
        <f>'Lớp 5 - Phân công'!AE255</f>
        <v/>
      </c>
      <c r="AF444" s="187" t="str">
        <f>'Lớp 5 - Phân công'!AH255</f>
        <v/>
      </c>
      <c r="AG444" s="104" t="str">
        <f>'Lớp 5 - Phân công'!AI255</f>
        <v/>
      </c>
      <c r="AH444" s="389" t="str">
        <f t="shared" si="27"/>
        <v/>
      </c>
      <c r="AI444" s="389" t="str">
        <f t="shared" si="37"/>
        <v>🔵 Chưa có hạn</v>
      </c>
      <c r="AJ444" s="67" t="str">
        <f>'Lớp 5 - Phân công'!AL255</f>
        <v/>
      </c>
      <c r="AS444" s="389" t="str">
        <f t="shared" si="217"/>
        <v/>
      </c>
      <c r="AT444" s="389" t="str">
        <f t="shared" si="32"/>
        <v/>
      </c>
      <c r="AU444" s="389" t="str">
        <f t="shared" si="33"/>
        <v/>
      </c>
      <c r="AV444" s="389" t="str">
        <f t="shared" si="34"/>
        <v/>
      </c>
      <c r="AW444" s="389" t="str">
        <f t="shared" si="35"/>
        <v/>
      </c>
      <c r="AX444" s="67" t="str">
        <f t="shared" ref="AX444:BH444" si="458">Z444</f>
        <v/>
      </c>
      <c r="AY444" s="67" t="str">
        <f t="shared" si="458"/>
        <v/>
      </c>
      <c r="AZ444" s="67" t="str">
        <f t="shared" si="458"/>
        <v/>
      </c>
      <c r="BA444" s="67" t="str">
        <f t="shared" si="458"/>
        <v/>
      </c>
      <c r="BB444" s="398" t="str">
        <f t="shared" si="458"/>
        <v/>
      </c>
      <c r="BC444" s="358" t="str">
        <f t="shared" si="458"/>
        <v/>
      </c>
      <c r="BD444" s="187" t="str">
        <f t="shared" si="458"/>
        <v/>
      </c>
      <c r="BE444" s="104" t="str">
        <f t="shared" si="458"/>
        <v/>
      </c>
      <c r="BF444" s="389" t="str">
        <f t="shared" si="458"/>
        <v/>
      </c>
      <c r="BG444" s="389" t="str">
        <f t="shared" si="458"/>
        <v>🔵 Chưa có hạn</v>
      </c>
      <c r="BH444" s="67" t="str">
        <f t="shared" si="458"/>
        <v/>
      </c>
      <c r="BI444" s="389" t="str">
        <f t="array" ref="BI444">IF($X444="","",SWITCH($W444,3,IFERROR(INDEX('Lớp 3 - Công việc chính'!$AF$14:$AF$73,MATCH($X444,'Lớp 3 - Công việc chính'!$I$14:$I$73,0)),""),4,IFERROR(INDEX('Lớp 4 - Danh mục'!$AI$14:$AI$132,MATCH($X444,'Lớp 4 - Danh mục'!$I$14:$I$132,0)),""),5,IFERROR(INDEX('Lớp 5 - Phân công'!$AJ$14:$AJ$262,MATCH($X444,'Lớp 5 - Phân công'!$I$14:$I$262,0)),""),6,IFERROR(INDEX('Lớp 6 - Chi tiết'!$AM$14:$AM$267,MATCH($X444,'Lớp 6 - Chi tiết'!$I$14:$I$267,0)),""),""))</f>
        <v/>
      </c>
      <c r="BJ444" s="389" t="str">
        <f t="array" ref="BJ444">IF($X444="","",SWITCH($W444,3,IFERROR(INDEX('Lớp 3 - Công việc chính'!$AR$14:$AR$73,MATCH($X444,'Lớp 3 - Công việc chính'!$I$14:$I$73,0)),""),4,IFERROR(INDEX('Lớp 4 - Danh mục'!$AU$14:$AU$132,MATCH($X444,'Lớp 4 - Danh mục'!$I$14:$I$132,0)),""),5,IFERROR(INDEX('Lớp 5 - Phân công'!$AV$14:$AV$262,MATCH($X444,'Lớp 5 - Phân công'!$I$14:$I$262,0)),""),6,IFERROR(INDEX('Lớp 6 - Chi tiết'!$AY$14:$AY$267,MATCH($X444,'Lớp 6 - Chi tiết'!$I$14:$I$267,0)),""),""))</f>
        <v/>
      </c>
    </row>
    <row r="445" ht="15.75" customHeight="1">
      <c r="A445" s="294" t="str">
        <f t="shared" si="12"/>
        <v/>
      </c>
      <c r="B445" s="301" t="str">
        <f t="shared" si="13"/>
        <v/>
      </c>
      <c r="C445" s="301" t="str">
        <f t="shared" si="14"/>
        <v/>
      </c>
      <c r="D445" s="301" t="str">
        <f t="shared" si="15"/>
        <v/>
      </c>
      <c r="E445" s="301" t="str">
        <f t="shared" si="16"/>
        <v/>
      </c>
      <c r="F445" s="317" t="str">
        <f t="shared" si="17"/>
        <v/>
      </c>
      <c r="G445" s="323" t="str">
        <f t="shared" si="18"/>
        <v/>
      </c>
      <c r="H445" s="327" t="str">
        <f t="shared" si="19"/>
        <v/>
      </c>
      <c r="I445" s="327" t="str">
        <f t="shared" si="20"/>
        <v/>
      </c>
      <c r="J445" s="301" t="str">
        <f t="shared" si="21"/>
        <v/>
      </c>
      <c r="K445" s="301" t="str">
        <f t="shared" si="22"/>
        <v/>
      </c>
      <c r="L445" s="344" t="str">
        <f t="array" ref="L445">IF($T445="","",LET(m,MATCH($T445,$AS$24:$AS$700,0),lvl,INDEX($W$24:$W$700,m),id,INDEX($X$24:$X$700,m),SWITCH(lvl,3,"Lớp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5" s="351" t="str">
        <f t="shared" si="23"/>
        <v/>
      </c>
      <c r="N445" s="356" t="str">
        <f t="shared" si="24"/>
        <v/>
      </c>
      <c r="O445" s="358"/>
      <c r="P445" s="360"/>
      <c r="Q445" s="360"/>
      <c r="R445" s="67"/>
      <c r="S445" s="67"/>
      <c r="T445" s="67"/>
      <c r="U445" s="389" t="str">
        <f>IF('Lớp 5 - Phân công'!I256="","",'Lớp 5 - Phân công'!K256&amp;"|"&amp;'Lớp 5 - Phân công'!J256&amp;"|"&amp;'Lớp 5 - Phân công'!I256)</f>
        <v/>
      </c>
      <c r="V445" s="389" t="str">
        <f>IF('Lớp 5 - Phân công'!I256="","","       ├─ "&amp;'Lớp 5 - Phân công'!Q256)</f>
        <v/>
      </c>
      <c r="W445" s="389" t="str">
        <f>IF('Lớp 5 - Phân công'!I256="","",5)</f>
        <v/>
      </c>
      <c r="X445" s="67" t="str">
        <f>'Lớp 5 - Phân công'!I256</f>
        <v/>
      </c>
      <c r="Y445" s="67" t="str">
        <f>'Lớp 5 - Phân công'!J256</f>
        <v/>
      </c>
      <c r="Z445" s="67" t="str">
        <f>'Lớp 5 - Phân công'!AA256</f>
        <v/>
      </c>
      <c r="AA445" s="67" t="str">
        <f>'Lớp 5 - Phân công'!Z256</f>
        <v/>
      </c>
      <c r="AB445" s="67" t="str">
        <f>'Lớp 5 - Phân công'!AC256</f>
        <v/>
      </c>
      <c r="AC445" s="67" t="str">
        <f>'Lớp 5 - Phân công'!AB256</f>
        <v/>
      </c>
      <c r="AD445" s="398" t="str">
        <f>'Lớp 5 - Phân công'!AG256</f>
        <v/>
      </c>
      <c r="AE445" s="358" t="str">
        <f>'Lớp 5 - Phân công'!AE256</f>
        <v/>
      </c>
      <c r="AF445" s="187" t="str">
        <f>'Lớp 5 - Phân công'!AH256</f>
        <v/>
      </c>
      <c r="AG445" s="104" t="str">
        <f>'Lớp 5 - Phân công'!AI256</f>
        <v/>
      </c>
      <c r="AH445" s="389" t="str">
        <f t="shared" si="27"/>
        <v/>
      </c>
      <c r="AI445" s="389" t="str">
        <f t="shared" si="37"/>
        <v>🔵 Chưa có hạn</v>
      </c>
      <c r="AJ445" s="67" t="str">
        <f>'Lớp 5 - Phân công'!AL256</f>
        <v/>
      </c>
      <c r="AS445" s="389" t="str">
        <f t="shared" si="217"/>
        <v/>
      </c>
      <c r="AT445" s="389" t="str">
        <f t="shared" si="32"/>
        <v/>
      </c>
      <c r="AU445" s="389" t="str">
        <f t="shared" si="33"/>
        <v/>
      </c>
      <c r="AV445" s="389" t="str">
        <f t="shared" si="34"/>
        <v/>
      </c>
      <c r="AW445" s="389" t="str">
        <f t="shared" si="35"/>
        <v/>
      </c>
      <c r="AX445" s="67" t="str">
        <f t="shared" ref="AX445:BH445" si="459">Z445</f>
        <v/>
      </c>
      <c r="AY445" s="67" t="str">
        <f t="shared" si="459"/>
        <v/>
      </c>
      <c r="AZ445" s="67" t="str">
        <f t="shared" si="459"/>
        <v/>
      </c>
      <c r="BA445" s="67" t="str">
        <f t="shared" si="459"/>
        <v/>
      </c>
      <c r="BB445" s="398" t="str">
        <f t="shared" si="459"/>
        <v/>
      </c>
      <c r="BC445" s="358" t="str">
        <f t="shared" si="459"/>
        <v/>
      </c>
      <c r="BD445" s="187" t="str">
        <f t="shared" si="459"/>
        <v/>
      </c>
      <c r="BE445" s="104" t="str">
        <f t="shared" si="459"/>
        <v/>
      </c>
      <c r="BF445" s="389" t="str">
        <f t="shared" si="459"/>
        <v/>
      </c>
      <c r="BG445" s="389" t="str">
        <f t="shared" si="459"/>
        <v>🔵 Chưa có hạn</v>
      </c>
      <c r="BH445" s="67" t="str">
        <f t="shared" si="459"/>
        <v/>
      </c>
      <c r="BI445" s="389" t="str">
        <f t="array" ref="BI445">IF($X445="","",SWITCH($W445,3,IFERROR(INDEX('Lớp 3 - Công việc chính'!$AF$14:$AF$73,MATCH($X445,'Lớp 3 - Công việc chính'!$I$14:$I$73,0)),""),4,IFERROR(INDEX('Lớp 4 - Danh mục'!$AI$14:$AI$132,MATCH($X445,'Lớp 4 - Danh mục'!$I$14:$I$132,0)),""),5,IFERROR(INDEX('Lớp 5 - Phân công'!$AJ$14:$AJ$262,MATCH($X445,'Lớp 5 - Phân công'!$I$14:$I$262,0)),""),6,IFERROR(INDEX('Lớp 6 - Chi tiết'!$AM$14:$AM$267,MATCH($X445,'Lớp 6 - Chi tiết'!$I$14:$I$267,0)),""),""))</f>
        <v/>
      </c>
      <c r="BJ445" s="389" t="str">
        <f t="array" ref="BJ445">IF($X445="","",SWITCH($W445,3,IFERROR(INDEX('Lớp 3 - Công việc chính'!$AR$14:$AR$73,MATCH($X445,'Lớp 3 - Công việc chính'!$I$14:$I$73,0)),""),4,IFERROR(INDEX('Lớp 4 - Danh mục'!$AU$14:$AU$132,MATCH($X445,'Lớp 4 - Danh mục'!$I$14:$I$132,0)),""),5,IFERROR(INDEX('Lớp 5 - Phân công'!$AV$14:$AV$262,MATCH($X445,'Lớp 5 - Phân công'!$I$14:$I$262,0)),""),6,IFERROR(INDEX('Lớp 6 - Chi tiết'!$AY$14:$AY$267,MATCH($X445,'Lớp 6 - Chi tiết'!$I$14:$I$267,0)),""),""))</f>
        <v/>
      </c>
    </row>
    <row r="446" ht="15.75" customHeight="1">
      <c r="A446" s="294" t="str">
        <f t="shared" si="12"/>
        <v/>
      </c>
      <c r="B446" s="301" t="str">
        <f t="shared" si="13"/>
        <v/>
      </c>
      <c r="C446" s="301" t="str">
        <f t="shared" si="14"/>
        <v/>
      </c>
      <c r="D446" s="301" t="str">
        <f t="shared" si="15"/>
        <v/>
      </c>
      <c r="E446" s="301" t="str">
        <f t="shared" si="16"/>
        <v/>
      </c>
      <c r="F446" s="317" t="str">
        <f t="shared" si="17"/>
        <v/>
      </c>
      <c r="G446" s="323" t="str">
        <f t="shared" si="18"/>
        <v/>
      </c>
      <c r="H446" s="327" t="str">
        <f t="shared" si="19"/>
        <v/>
      </c>
      <c r="I446" s="327" t="str">
        <f t="shared" si="20"/>
        <v/>
      </c>
      <c r="J446" s="301" t="str">
        <f t="shared" si="21"/>
        <v/>
      </c>
      <c r="K446" s="301" t="str">
        <f t="shared" si="22"/>
        <v/>
      </c>
      <c r="L446" s="344" t="str">
        <f t="array" ref="L446">IF($T446="","",LET(m,MATCH($T446,$AS$24:$AS$700,0),lvl,INDEX($W$24:$W$700,m),id,INDEX($X$24:$X$700,m),SWITCH(lvl,3,"Lớp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6" s="351" t="str">
        <f t="shared" si="23"/>
        <v/>
      </c>
      <c r="N446" s="356" t="str">
        <f t="shared" si="24"/>
        <v/>
      </c>
      <c r="O446" s="358"/>
      <c r="P446" s="360"/>
      <c r="Q446" s="360"/>
      <c r="R446" s="67"/>
      <c r="S446" s="67"/>
      <c r="T446" s="67"/>
      <c r="U446" s="389" t="str">
        <f>IF('Lớp 5 - Phân công'!I257="","",'Lớp 5 - Phân công'!K257&amp;"|"&amp;'Lớp 5 - Phân công'!J257&amp;"|"&amp;'Lớp 5 - Phân công'!I257)</f>
        <v/>
      </c>
      <c r="V446" s="389" t="str">
        <f>IF('Lớp 5 - Phân công'!I257="","","       ├─ "&amp;'Lớp 5 - Phân công'!Q257)</f>
        <v/>
      </c>
      <c r="W446" s="389" t="str">
        <f>IF('Lớp 5 - Phân công'!I257="","",5)</f>
        <v/>
      </c>
      <c r="X446" s="67" t="str">
        <f>'Lớp 5 - Phân công'!I257</f>
        <v/>
      </c>
      <c r="Y446" s="67" t="str">
        <f>'Lớp 5 - Phân công'!J257</f>
        <v/>
      </c>
      <c r="Z446" s="67" t="str">
        <f>'Lớp 5 - Phân công'!AA257</f>
        <v/>
      </c>
      <c r="AA446" s="67" t="str">
        <f>'Lớp 5 - Phân công'!Z257</f>
        <v/>
      </c>
      <c r="AB446" s="67" t="str">
        <f>'Lớp 5 - Phân công'!AC257</f>
        <v/>
      </c>
      <c r="AC446" s="67" t="str">
        <f>'Lớp 5 - Phân công'!AB257</f>
        <v/>
      </c>
      <c r="AD446" s="398" t="str">
        <f>'Lớp 5 - Phân công'!AG257</f>
        <v/>
      </c>
      <c r="AE446" s="358" t="str">
        <f>'Lớp 5 - Phân công'!AE257</f>
        <v/>
      </c>
      <c r="AF446" s="187" t="str">
        <f>'Lớp 5 - Phân công'!AH257</f>
        <v/>
      </c>
      <c r="AG446" s="104" t="str">
        <f>'Lớp 5 - Phân công'!AI257</f>
        <v/>
      </c>
      <c r="AH446" s="389" t="str">
        <f t="shared" si="27"/>
        <v/>
      </c>
      <c r="AI446" s="389" t="str">
        <f t="shared" si="37"/>
        <v>🔵 Chưa có hạn</v>
      </c>
      <c r="AJ446" s="67" t="str">
        <f>'Lớp 5 - Phân công'!AL257</f>
        <v/>
      </c>
      <c r="AS446" s="389" t="str">
        <f t="shared" si="217"/>
        <v/>
      </c>
      <c r="AT446" s="389" t="str">
        <f t="shared" si="32"/>
        <v/>
      </c>
      <c r="AU446" s="389" t="str">
        <f t="shared" si="33"/>
        <v/>
      </c>
      <c r="AV446" s="389" t="str">
        <f t="shared" si="34"/>
        <v/>
      </c>
      <c r="AW446" s="389" t="str">
        <f t="shared" si="35"/>
        <v/>
      </c>
      <c r="AX446" s="67" t="str">
        <f t="shared" ref="AX446:BH446" si="460">Z446</f>
        <v/>
      </c>
      <c r="AY446" s="67" t="str">
        <f t="shared" si="460"/>
        <v/>
      </c>
      <c r="AZ446" s="67" t="str">
        <f t="shared" si="460"/>
        <v/>
      </c>
      <c r="BA446" s="67" t="str">
        <f t="shared" si="460"/>
        <v/>
      </c>
      <c r="BB446" s="398" t="str">
        <f t="shared" si="460"/>
        <v/>
      </c>
      <c r="BC446" s="358" t="str">
        <f t="shared" si="460"/>
        <v/>
      </c>
      <c r="BD446" s="187" t="str">
        <f t="shared" si="460"/>
        <v/>
      </c>
      <c r="BE446" s="104" t="str">
        <f t="shared" si="460"/>
        <v/>
      </c>
      <c r="BF446" s="389" t="str">
        <f t="shared" si="460"/>
        <v/>
      </c>
      <c r="BG446" s="389" t="str">
        <f t="shared" si="460"/>
        <v>🔵 Chưa có hạn</v>
      </c>
      <c r="BH446" s="67" t="str">
        <f t="shared" si="460"/>
        <v/>
      </c>
      <c r="BI446" s="389" t="str">
        <f t="array" ref="BI446">IF($X446="","",SWITCH($W446,3,IFERROR(INDEX('Lớp 3 - Công việc chính'!$AF$14:$AF$73,MATCH($X446,'Lớp 3 - Công việc chính'!$I$14:$I$73,0)),""),4,IFERROR(INDEX('Lớp 4 - Danh mục'!$AI$14:$AI$132,MATCH($X446,'Lớp 4 - Danh mục'!$I$14:$I$132,0)),""),5,IFERROR(INDEX('Lớp 5 - Phân công'!$AJ$14:$AJ$262,MATCH($X446,'Lớp 5 - Phân công'!$I$14:$I$262,0)),""),6,IFERROR(INDEX('Lớp 6 - Chi tiết'!$AM$14:$AM$267,MATCH($X446,'Lớp 6 - Chi tiết'!$I$14:$I$267,0)),""),""))</f>
        <v/>
      </c>
      <c r="BJ446" s="389" t="str">
        <f t="array" ref="BJ446">IF($X446="","",SWITCH($W446,3,IFERROR(INDEX('Lớp 3 - Công việc chính'!$AR$14:$AR$73,MATCH($X446,'Lớp 3 - Công việc chính'!$I$14:$I$73,0)),""),4,IFERROR(INDEX('Lớp 4 - Danh mục'!$AU$14:$AU$132,MATCH($X446,'Lớp 4 - Danh mục'!$I$14:$I$132,0)),""),5,IFERROR(INDEX('Lớp 5 - Phân công'!$AV$14:$AV$262,MATCH($X446,'Lớp 5 - Phân công'!$I$14:$I$262,0)),""),6,IFERROR(INDEX('Lớp 6 - Chi tiết'!$AY$14:$AY$267,MATCH($X446,'Lớp 6 - Chi tiết'!$I$14:$I$267,0)),""),""))</f>
        <v/>
      </c>
    </row>
    <row r="447" ht="15.75" customHeight="1">
      <c r="A447" s="294" t="str">
        <f t="shared" si="12"/>
        <v/>
      </c>
      <c r="B447" s="301" t="str">
        <f t="shared" si="13"/>
        <v/>
      </c>
      <c r="C447" s="301" t="str">
        <f t="shared" si="14"/>
        <v/>
      </c>
      <c r="D447" s="301" t="str">
        <f t="shared" si="15"/>
        <v/>
      </c>
      <c r="E447" s="301" t="str">
        <f t="shared" si="16"/>
        <v/>
      </c>
      <c r="F447" s="317" t="str">
        <f t="shared" si="17"/>
        <v/>
      </c>
      <c r="G447" s="323" t="str">
        <f t="shared" si="18"/>
        <v/>
      </c>
      <c r="H447" s="327" t="str">
        <f t="shared" si="19"/>
        <v/>
      </c>
      <c r="I447" s="327" t="str">
        <f t="shared" si="20"/>
        <v/>
      </c>
      <c r="J447" s="301" t="str">
        <f t="shared" si="21"/>
        <v/>
      </c>
      <c r="K447" s="301" t="str">
        <f t="shared" si="22"/>
        <v/>
      </c>
      <c r="L447" s="344" t="str">
        <f t="array" ref="L447">IF($T447="","",LET(m,MATCH($T447,$AS$24:$AS$700,0),lvl,INDEX($W$24:$W$700,m),id,INDEX($X$24:$X$700,m),SWITCH(lvl,3,"Lớp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7" s="351" t="str">
        <f t="shared" si="23"/>
        <v/>
      </c>
      <c r="N447" s="356" t="str">
        <f t="shared" si="24"/>
        <v/>
      </c>
      <c r="O447" s="358"/>
      <c r="P447" s="360"/>
      <c r="Q447" s="360"/>
      <c r="R447" s="67"/>
      <c r="S447" s="67"/>
      <c r="T447" s="67"/>
      <c r="U447" s="389" t="str">
        <f>IF('Lớp 5 - Phân công'!I258="","",'Lớp 5 - Phân công'!K258&amp;"|"&amp;'Lớp 5 - Phân công'!J258&amp;"|"&amp;'Lớp 5 - Phân công'!I258)</f>
        <v/>
      </c>
      <c r="V447" s="389" t="str">
        <f>IF('Lớp 5 - Phân công'!I258="","","       ├─ "&amp;'Lớp 5 - Phân công'!Q258)</f>
        <v/>
      </c>
      <c r="W447" s="389" t="str">
        <f>IF('Lớp 5 - Phân công'!I258="","",5)</f>
        <v/>
      </c>
      <c r="X447" s="67" t="str">
        <f>'Lớp 5 - Phân công'!I258</f>
        <v/>
      </c>
      <c r="Y447" s="67" t="str">
        <f>'Lớp 5 - Phân công'!J258</f>
        <v/>
      </c>
      <c r="Z447" s="67" t="str">
        <f>'Lớp 5 - Phân công'!AA258</f>
        <v/>
      </c>
      <c r="AA447" s="67" t="str">
        <f>'Lớp 5 - Phân công'!Z258</f>
        <v/>
      </c>
      <c r="AB447" s="67" t="str">
        <f>'Lớp 5 - Phân công'!AC258</f>
        <v/>
      </c>
      <c r="AC447" s="67" t="str">
        <f>'Lớp 5 - Phân công'!AB258</f>
        <v/>
      </c>
      <c r="AD447" s="398" t="str">
        <f>'Lớp 5 - Phân công'!AG258</f>
        <v/>
      </c>
      <c r="AE447" s="358" t="str">
        <f>'Lớp 5 - Phân công'!AE258</f>
        <v/>
      </c>
      <c r="AF447" s="187" t="str">
        <f>'Lớp 5 - Phân công'!AH258</f>
        <v/>
      </c>
      <c r="AG447" s="104" t="str">
        <f>'Lớp 5 - Phân công'!AI258</f>
        <v/>
      </c>
      <c r="AH447" s="389" t="str">
        <f t="shared" si="27"/>
        <v/>
      </c>
      <c r="AI447" s="389" t="str">
        <f t="shared" si="37"/>
        <v>🔵 Chưa có hạn</v>
      </c>
      <c r="AJ447" s="67" t="str">
        <f>'Lớp 5 - Phân công'!AL258</f>
        <v/>
      </c>
      <c r="AS447" s="389" t="str">
        <f t="shared" si="217"/>
        <v/>
      </c>
      <c r="AT447" s="389" t="str">
        <f t="shared" si="32"/>
        <v/>
      </c>
      <c r="AU447" s="389" t="str">
        <f t="shared" si="33"/>
        <v/>
      </c>
      <c r="AV447" s="389" t="str">
        <f t="shared" si="34"/>
        <v/>
      </c>
      <c r="AW447" s="389" t="str">
        <f t="shared" si="35"/>
        <v/>
      </c>
      <c r="AX447" s="67" t="str">
        <f t="shared" ref="AX447:BH447" si="461">Z447</f>
        <v/>
      </c>
      <c r="AY447" s="67" t="str">
        <f t="shared" si="461"/>
        <v/>
      </c>
      <c r="AZ447" s="67" t="str">
        <f t="shared" si="461"/>
        <v/>
      </c>
      <c r="BA447" s="67" t="str">
        <f t="shared" si="461"/>
        <v/>
      </c>
      <c r="BB447" s="398" t="str">
        <f t="shared" si="461"/>
        <v/>
      </c>
      <c r="BC447" s="358" t="str">
        <f t="shared" si="461"/>
        <v/>
      </c>
      <c r="BD447" s="187" t="str">
        <f t="shared" si="461"/>
        <v/>
      </c>
      <c r="BE447" s="104" t="str">
        <f t="shared" si="461"/>
        <v/>
      </c>
      <c r="BF447" s="389" t="str">
        <f t="shared" si="461"/>
        <v/>
      </c>
      <c r="BG447" s="389" t="str">
        <f t="shared" si="461"/>
        <v>🔵 Chưa có hạn</v>
      </c>
      <c r="BH447" s="67" t="str">
        <f t="shared" si="461"/>
        <v/>
      </c>
      <c r="BI447" s="389" t="str">
        <f t="array" ref="BI447">IF($X447="","",SWITCH($W447,3,IFERROR(INDEX('Lớp 3 - Công việc chính'!$AF$14:$AF$73,MATCH($X447,'Lớp 3 - Công việc chính'!$I$14:$I$73,0)),""),4,IFERROR(INDEX('Lớp 4 - Danh mục'!$AI$14:$AI$132,MATCH($X447,'Lớp 4 - Danh mục'!$I$14:$I$132,0)),""),5,IFERROR(INDEX('Lớp 5 - Phân công'!$AJ$14:$AJ$262,MATCH($X447,'Lớp 5 - Phân công'!$I$14:$I$262,0)),""),6,IFERROR(INDEX('Lớp 6 - Chi tiết'!$AM$14:$AM$267,MATCH($X447,'Lớp 6 - Chi tiết'!$I$14:$I$267,0)),""),""))</f>
        <v/>
      </c>
      <c r="BJ447" s="389" t="str">
        <f t="array" ref="BJ447">IF($X447="","",SWITCH($W447,3,IFERROR(INDEX('Lớp 3 - Công việc chính'!$AR$14:$AR$73,MATCH($X447,'Lớp 3 - Công việc chính'!$I$14:$I$73,0)),""),4,IFERROR(INDEX('Lớp 4 - Danh mục'!$AU$14:$AU$132,MATCH($X447,'Lớp 4 - Danh mục'!$I$14:$I$132,0)),""),5,IFERROR(INDEX('Lớp 5 - Phân công'!$AV$14:$AV$262,MATCH($X447,'Lớp 5 - Phân công'!$I$14:$I$262,0)),""),6,IFERROR(INDEX('Lớp 6 - Chi tiết'!$AY$14:$AY$267,MATCH($X447,'Lớp 6 - Chi tiết'!$I$14:$I$267,0)),""),""))</f>
        <v/>
      </c>
    </row>
    <row r="448" ht="15.75" customHeight="1">
      <c r="A448" s="294" t="str">
        <f t="shared" si="12"/>
        <v/>
      </c>
      <c r="B448" s="301" t="str">
        <f t="shared" si="13"/>
        <v/>
      </c>
      <c r="C448" s="301" t="str">
        <f t="shared" si="14"/>
        <v/>
      </c>
      <c r="D448" s="301" t="str">
        <f t="shared" si="15"/>
        <v/>
      </c>
      <c r="E448" s="301" t="str">
        <f t="shared" si="16"/>
        <v/>
      </c>
      <c r="F448" s="317" t="str">
        <f t="shared" si="17"/>
        <v/>
      </c>
      <c r="G448" s="323" t="str">
        <f t="shared" si="18"/>
        <v/>
      </c>
      <c r="H448" s="327" t="str">
        <f t="shared" si="19"/>
        <v/>
      </c>
      <c r="I448" s="327" t="str">
        <f t="shared" si="20"/>
        <v/>
      </c>
      <c r="J448" s="301" t="str">
        <f t="shared" si="21"/>
        <v/>
      </c>
      <c r="K448" s="301" t="str">
        <f t="shared" si="22"/>
        <v/>
      </c>
      <c r="L448" s="344" t="str">
        <f t="array" ref="L448">IF($T448="","",LET(m,MATCH($T448,$AS$24:$AS$700,0),lvl,INDEX($W$24:$W$700,m),id,INDEX($X$24:$X$700,m),SWITCH(lvl,3,"Lớp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8" s="351" t="str">
        <f t="shared" si="23"/>
        <v/>
      </c>
      <c r="N448" s="356" t="str">
        <f t="shared" si="24"/>
        <v/>
      </c>
      <c r="O448" s="358"/>
      <c r="P448" s="360"/>
      <c r="Q448" s="360"/>
      <c r="R448" s="67"/>
      <c r="S448" s="67"/>
      <c r="T448" s="67"/>
      <c r="U448" s="389" t="str">
        <f>IF('Lớp 5 - Phân công'!I259="","",'Lớp 5 - Phân công'!K259&amp;"|"&amp;'Lớp 5 - Phân công'!J259&amp;"|"&amp;'Lớp 5 - Phân công'!I259)</f>
        <v/>
      </c>
      <c r="V448" s="389" t="str">
        <f>IF('Lớp 5 - Phân công'!I259="","","       ├─ "&amp;'Lớp 5 - Phân công'!Q259)</f>
        <v/>
      </c>
      <c r="W448" s="389" t="str">
        <f>IF('Lớp 5 - Phân công'!I259="","",5)</f>
        <v/>
      </c>
      <c r="X448" s="67" t="str">
        <f>'Lớp 5 - Phân công'!I259</f>
        <v/>
      </c>
      <c r="Y448" s="67" t="str">
        <f>'Lớp 5 - Phân công'!J259</f>
        <v/>
      </c>
      <c r="Z448" s="67" t="str">
        <f>'Lớp 5 - Phân công'!AA259</f>
        <v/>
      </c>
      <c r="AA448" s="67" t="str">
        <f>'Lớp 5 - Phân công'!Z259</f>
        <v/>
      </c>
      <c r="AB448" s="67" t="str">
        <f>'Lớp 5 - Phân công'!AC259</f>
        <v/>
      </c>
      <c r="AC448" s="67" t="str">
        <f>'Lớp 5 - Phân công'!AB259</f>
        <v/>
      </c>
      <c r="AD448" s="398" t="str">
        <f>'Lớp 5 - Phân công'!AG259</f>
        <v/>
      </c>
      <c r="AE448" s="358" t="str">
        <f>'Lớp 5 - Phân công'!AE259</f>
        <v/>
      </c>
      <c r="AF448" s="187" t="str">
        <f>'Lớp 5 - Phân công'!AH259</f>
        <v/>
      </c>
      <c r="AG448" s="104" t="str">
        <f>'Lớp 5 - Phân công'!AI259</f>
        <v/>
      </c>
      <c r="AH448" s="389" t="str">
        <f t="shared" si="27"/>
        <v/>
      </c>
      <c r="AI448" s="389" t="str">
        <f t="shared" si="37"/>
        <v>🔵 Chưa có hạn</v>
      </c>
      <c r="AJ448" s="67" t="str">
        <f>'Lớp 5 - Phân công'!AL259</f>
        <v/>
      </c>
      <c r="AS448" s="389" t="str">
        <f t="shared" si="217"/>
        <v/>
      </c>
      <c r="AT448" s="389" t="str">
        <f t="shared" si="32"/>
        <v/>
      </c>
      <c r="AU448" s="389" t="str">
        <f t="shared" si="33"/>
        <v/>
      </c>
      <c r="AV448" s="389" t="str">
        <f t="shared" si="34"/>
        <v/>
      </c>
      <c r="AW448" s="389" t="str">
        <f t="shared" si="35"/>
        <v/>
      </c>
      <c r="AX448" s="67" t="str">
        <f t="shared" ref="AX448:BH448" si="462">Z448</f>
        <v/>
      </c>
      <c r="AY448" s="67" t="str">
        <f t="shared" si="462"/>
        <v/>
      </c>
      <c r="AZ448" s="67" t="str">
        <f t="shared" si="462"/>
        <v/>
      </c>
      <c r="BA448" s="67" t="str">
        <f t="shared" si="462"/>
        <v/>
      </c>
      <c r="BB448" s="398" t="str">
        <f t="shared" si="462"/>
        <v/>
      </c>
      <c r="BC448" s="358" t="str">
        <f t="shared" si="462"/>
        <v/>
      </c>
      <c r="BD448" s="187" t="str">
        <f t="shared" si="462"/>
        <v/>
      </c>
      <c r="BE448" s="104" t="str">
        <f t="shared" si="462"/>
        <v/>
      </c>
      <c r="BF448" s="389" t="str">
        <f t="shared" si="462"/>
        <v/>
      </c>
      <c r="BG448" s="389" t="str">
        <f t="shared" si="462"/>
        <v>🔵 Chưa có hạn</v>
      </c>
      <c r="BH448" s="67" t="str">
        <f t="shared" si="462"/>
        <v/>
      </c>
      <c r="BI448" s="389" t="str">
        <f t="array" ref="BI448">IF($X448="","",SWITCH($W448,3,IFERROR(INDEX('Lớp 3 - Công việc chính'!$AF$14:$AF$73,MATCH($X448,'Lớp 3 - Công việc chính'!$I$14:$I$73,0)),""),4,IFERROR(INDEX('Lớp 4 - Danh mục'!$AI$14:$AI$132,MATCH($X448,'Lớp 4 - Danh mục'!$I$14:$I$132,0)),""),5,IFERROR(INDEX('Lớp 5 - Phân công'!$AJ$14:$AJ$262,MATCH($X448,'Lớp 5 - Phân công'!$I$14:$I$262,0)),""),6,IFERROR(INDEX('Lớp 6 - Chi tiết'!$AM$14:$AM$267,MATCH($X448,'Lớp 6 - Chi tiết'!$I$14:$I$267,0)),""),""))</f>
        <v/>
      </c>
      <c r="BJ448" s="389" t="str">
        <f t="array" ref="BJ448">IF($X448="","",SWITCH($W448,3,IFERROR(INDEX('Lớp 3 - Công việc chính'!$AR$14:$AR$73,MATCH($X448,'Lớp 3 - Công việc chính'!$I$14:$I$73,0)),""),4,IFERROR(INDEX('Lớp 4 - Danh mục'!$AU$14:$AU$132,MATCH($X448,'Lớp 4 - Danh mục'!$I$14:$I$132,0)),""),5,IFERROR(INDEX('Lớp 5 - Phân công'!$AV$14:$AV$262,MATCH($X448,'Lớp 5 - Phân công'!$I$14:$I$262,0)),""),6,IFERROR(INDEX('Lớp 6 - Chi tiết'!$AY$14:$AY$267,MATCH($X448,'Lớp 6 - Chi tiết'!$I$14:$I$267,0)),""),""))</f>
        <v/>
      </c>
    </row>
    <row r="449" ht="15.75" customHeight="1">
      <c r="A449" s="294" t="str">
        <f t="shared" si="12"/>
        <v/>
      </c>
      <c r="B449" s="301" t="str">
        <f t="shared" si="13"/>
        <v/>
      </c>
      <c r="C449" s="301" t="str">
        <f t="shared" si="14"/>
        <v/>
      </c>
      <c r="D449" s="301" t="str">
        <f t="shared" si="15"/>
        <v/>
      </c>
      <c r="E449" s="301" t="str">
        <f t="shared" si="16"/>
        <v/>
      </c>
      <c r="F449" s="317" t="str">
        <f t="shared" si="17"/>
        <v/>
      </c>
      <c r="G449" s="323" t="str">
        <f t="shared" si="18"/>
        <v/>
      </c>
      <c r="H449" s="327" t="str">
        <f t="shared" si="19"/>
        <v/>
      </c>
      <c r="I449" s="327" t="str">
        <f t="shared" si="20"/>
        <v/>
      </c>
      <c r="J449" s="301" t="str">
        <f t="shared" si="21"/>
        <v/>
      </c>
      <c r="K449" s="301" t="str">
        <f t="shared" si="22"/>
        <v/>
      </c>
      <c r="L449" s="344" t="str">
        <f t="array" ref="L449">IF($T449="","",LET(m,MATCH($T449,$AS$24:$AS$700,0),lvl,INDEX($W$24:$W$700,m),id,INDEX($X$24:$X$700,m),SWITCH(lvl,3,"Lớp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49" s="351" t="str">
        <f t="shared" si="23"/>
        <v/>
      </c>
      <c r="N449" s="356" t="str">
        <f t="shared" si="24"/>
        <v/>
      </c>
      <c r="O449" s="358"/>
      <c r="P449" s="360"/>
      <c r="Q449" s="360"/>
      <c r="R449" s="67"/>
      <c r="S449" s="67"/>
      <c r="T449" s="67"/>
      <c r="U449" s="389" t="str">
        <f>IF('Lớp 5 - Phân công'!I260="","",'Lớp 5 - Phân công'!K260&amp;"|"&amp;'Lớp 5 - Phân công'!J260&amp;"|"&amp;'Lớp 5 - Phân công'!I260)</f>
        <v/>
      </c>
      <c r="V449" s="389" t="str">
        <f>IF('Lớp 5 - Phân công'!I260="","","       ├─ "&amp;'Lớp 5 - Phân công'!Q260)</f>
        <v/>
      </c>
      <c r="W449" s="389" t="str">
        <f>IF('Lớp 5 - Phân công'!I260="","",5)</f>
        <v/>
      </c>
      <c r="X449" s="67" t="str">
        <f>'Lớp 5 - Phân công'!I260</f>
        <v/>
      </c>
      <c r="Y449" s="67" t="str">
        <f>'Lớp 5 - Phân công'!J260</f>
        <v/>
      </c>
      <c r="Z449" s="67" t="str">
        <f>'Lớp 5 - Phân công'!AA260</f>
        <v/>
      </c>
      <c r="AA449" s="67" t="str">
        <f>'Lớp 5 - Phân công'!Z260</f>
        <v/>
      </c>
      <c r="AB449" s="67" t="str">
        <f>'Lớp 5 - Phân công'!AC260</f>
        <v/>
      </c>
      <c r="AC449" s="67" t="str">
        <f>'Lớp 5 - Phân công'!AB260</f>
        <v/>
      </c>
      <c r="AD449" s="398" t="str">
        <f>'Lớp 5 - Phân công'!AG260</f>
        <v/>
      </c>
      <c r="AE449" s="358" t="str">
        <f>'Lớp 5 - Phân công'!AE260</f>
        <v/>
      </c>
      <c r="AF449" s="187" t="str">
        <f>'Lớp 5 - Phân công'!AH260</f>
        <v/>
      </c>
      <c r="AG449" s="104" t="str">
        <f>'Lớp 5 - Phân công'!AI260</f>
        <v/>
      </c>
      <c r="AH449" s="389" t="str">
        <f t="shared" si="27"/>
        <v/>
      </c>
      <c r="AI449" s="389" t="str">
        <f t="shared" si="37"/>
        <v>🔵 Chưa có hạn</v>
      </c>
      <c r="AJ449" s="67" t="str">
        <f>'Lớp 5 - Phân công'!AL260</f>
        <v/>
      </c>
      <c r="AS449" s="389" t="str">
        <f t="shared" si="217"/>
        <v/>
      </c>
      <c r="AT449" s="389" t="str">
        <f t="shared" si="32"/>
        <v/>
      </c>
      <c r="AU449" s="389" t="str">
        <f t="shared" si="33"/>
        <v/>
      </c>
      <c r="AV449" s="389" t="str">
        <f t="shared" si="34"/>
        <v/>
      </c>
      <c r="AW449" s="389" t="str">
        <f t="shared" si="35"/>
        <v/>
      </c>
      <c r="AX449" s="67" t="str">
        <f t="shared" ref="AX449:BH449" si="463">Z449</f>
        <v/>
      </c>
      <c r="AY449" s="67" t="str">
        <f t="shared" si="463"/>
        <v/>
      </c>
      <c r="AZ449" s="67" t="str">
        <f t="shared" si="463"/>
        <v/>
      </c>
      <c r="BA449" s="67" t="str">
        <f t="shared" si="463"/>
        <v/>
      </c>
      <c r="BB449" s="398" t="str">
        <f t="shared" si="463"/>
        <v/>
      </c>
      <c r="BC449" s="358" t="str">
        <f t="shared" si="463"/>
        <v/>
      </c>
      <c r="BD449" s="187" t="str">
        <f t="shared" si="463"/>
        <v/>
      </c>
      <c r="BE449" s="104" t="str">
        <f t="shared" si="463"/>
        <v/>
      </c>
      <c r="BF449" s="389" t="str">
        <f t="shared" si="463"/>
        <v/>
      </c>
      <c r="BG449" s="389" t="str">
        <f t="shared" si="463"/>
        <v>🔵 Chưa có hạn</v>
      </c>
      <c r="BH449" s="67" t="str">
        <f t="shared" si="463"/>
        <v/>
      </c>
      <c r="BI449" s="389" t="str">
        <f t="array" ref="BI449">IF($X449="","",SWITCH($W449,3,IFERROR(INDEX('Lớp 3 - Công việc chính'!$AF$14:$AF$73,MATCH($X449,'Lớp 3 - Công việc chính'!$I$14:$I$73,0)),""),4,IFERROR(INDEX('Lớp 4 - Danh mục'!$AI$14:$AI$132,MATCH($X449,'Lớp 4 - Danh mục'!$I$14:$I$132,0)),""),5,IFERROR(INDEX('Lớp 5 - Phân công'!$AJ$14:$AJ$262,MATCH($X449,'Lớp 5 - Phân công'!$I$14:$I$262,0)),""),6,IFERROR(INDEX('Lớp 6 - Chi tiết'!$AM$14:$AM$267,MATCH($X449,'Lớp 6 - Chi tiết'!$I$14:$I$267,0)),""),""))</f>
        <v/>
      </c>
      <c r="BJ449" s="389" t="str">
        <f t="array" ref="BJ449">IF($X449="","",SWITCH($W449,3,IFERROR(INDEX('Lớp 3 - Công việc chính'!$AR$14:$AR$73,MATCH($X449,'Lớp 3 - Công việc chính'!$I$14:$I$73,0)),""),4,IFERROR(INDEX('Lớp 4 - Danh mục'!$AU$14:$AU$132,MATCH($X449,'Lớp 4 - Danh mục'!$I$14:$I$132,0)),""),5,IFERROR(INDEX('Lớp 5 - Phân công'!$AV$14:$AV$262,MATCH($X449,'Lớp 5 - Phân công'!$I$14:$I$262,0)),""),6,IFERROR(INDEX('Lớp 6 - Chi tiết'!$AY$14:$AY$267,MATCH($X449,'Lớp 6 - Chi tiết'!$I$14:$I$267,0)),""),""))</f>
        <v/>
      </c>
    </row>
    <row r="450" ht="15.75" customHeight="1">
      <c r="A450" s="294" t="str">
        <f t="shared" si="12"/>
        <v/>
      </c>
      <c r="B450" s="301" t="str">
        <f t="shared" si="13"/>
        <v/>
      </c>
      <c r="C450" s="301" t="str">
        <f t="shared" si="14"/>
        <v/>
      </c>
      <c r="D450" s="301" t="str">
        <f t="shared" si="15"/>
        <v/>
      </c>
      <c r="E450" s="301" t="str">
        <f t="shared" si="16"/>
        <v/>
      </c>
      <c r="F450" s="317" t="str">
        <f t="shared" si="17"/>
        <v/>
      </c>
      <c r="G450" s="323" t="str">
        <f t="shared" si="18"/>
        <v/>
      </c>
      <c r="H450" s="327" t="str">
        <f t="shared" si="19"/>
        <v/>
      </c>
      <c r="I450" s="327" t="str">
        <f t="shared" si="20"/>
        <v/>
      </c>
      <c r="J450" s="301" t="str">
        <f t="shared" si="21"/>
        <v/>
      </c>
      <c r="K450" s="301" t="str">
        <f t="shared" si="22"/>
        <v/>
      </c>
      <c r="L450" s="344" t="str">
        <f t="array" ref="L450">IF($T450="","",LET(m,MATCH($T450,$AS$24:$AS$700,0),lvl,INDEX($W$24:$W$700,m),id,INDEX($X$24:$X$700,m),SWITCH(lvl,3,"Lớp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0" s="351" t="str">
        <f t="shared" si="23"/>
        <v/>
      </c>
      <c r="N450" s="356" t="str">
        <f t="shared" si="24"/>
        <v/>
      </c>
      <c r="O450" s="358"/>
      <c r="P450" s="360"/>
      <c r="Q450" s="360"/>
      <c r="R450" s="67"/>
      <c r="S450" s="67"/>
      <c r="T450" s="67"/>
      <c r="U450" s="389" t="str">
        <f>IF('Lớp 5 - Phân công'!I261="","",'Lớp 5 - Phân công'!K261&amp;"|"&amp;'Lớp 5 - Phân công'!J261&amp;"|"&amp;'Lớp 5 - Phân công'!I261)</f>
        <v/>
      </c>
      <c r="V450" s="389" t="str">
        <f>IF('Lớp 5 - Phân công'!I261="","","       ├─ "&amp;'Lớp 5 - Phân công'!Q261)</f>
        <v/>
      </c>
      <c r="W450" s="389" t="str">
        <f>IF('Lớp 5 - Phân công'!I261="","",5)</f>
        <v/>
      </c>
      <c r="X450" s="67" t="str">
        <f>'Lớp 5 - Phân công'!I261</f>
        <v/>
      </c>
      <c r="Y450" s="67" t="str">
        <f>'Lớp 5 - Phân công'!J261</f>
        <v/>
      </c>
      <c r="Z450" s="67" t="str">
        <f>'Lớp 5 - Phân công'!AA261</f>
        <v/>
      </c>
      <c r="AA450" s="67" t="str">
        <f>'Lớp 5 - Phân công'!Z261</f>
        <v/>
      </c>
      <c r="AB450" s="67" t="str">
        <f>'Lớp 5 - Phân công'!AC261</f>
        <v/>
      </c>
      <c r="AC450" s="67" t="str">
        <f>'Lớp 5 - Phân công'!AB261</f>
        <v/>
      </c>
      <c r="AD450" s="398" t="str">
        <f>'Lớp 5 - Phân công'!AG261</f>
        <v/>
      </c>
      <c r="AE450" s="358" t="str">
        <f>'Lớp 5 - Phân công'!AE261</f>
        <v/>
      </c>
      <c r="AF450" s="187" t="str">
        <f>'Lớp 5 - Phân công'!AH261</f>
        <v/>
      </c>
      <c r="AG450" s="104" t="str">
        <f>'Lớp 5 - Phân công'!AI261</f>
        <v/>
      </c>
      <c r="AH450" s="389" t="str">
        <f t="shared" si="27"/>
        <v/>
      </c>
      <c r="AI450" s="389" t="str">
        <f t="shared" si="37"/>
        <v>🔵 Chưa có hạn</v>
      </c>
      <c r="AJ450" s="67" t="str">
        <f>'Lớp 5 - Phân công'!AL261</f>
        <v/>
      </c>
      <c r="AS450" s="389" t="str">
        <f t="shared" si="217"/>
        <v/>
      </c>
      <c r="AT450" s="389" t="str">
        <f t="shared" si="32"/>
        <v/>
      </c>
      <c r="AU450" s="389" t="str">
        <f t="shared" si="33"/>
        <v/>
      </c>
      <c r="AV450" s="389" t="str">
        <f t="shared" si="34"/>
        <v/>
      </c>
      <c r="AW450" s="389" t="str">
        <f t="shared" si="35"/>
        <v/>
      </c>
      <c r="AX450" s="67" t="str">
        <f t="shared" ref="AX450:BH450" si="464">Z450</f>
        <v/>
      </c>
      <c r="AY450" s="67" t="str">
        <f t="shared" si="464"/>
        <v/>
      </c>
      <c r="AZ450" s="67" t="str">
        <f t="shared" si="464"/>
        <v/>
      </c>
      <c r="BA450" s="67" t="str">
        <f t="shared" si="464"/>
        <v/>
      </c>
      <c r="BB450" s="398" t="str">
        <f t="shared" si="464"/>
        <v/>
      </c>
      <c r="BC450" s="358" t="str">
        <f t="shared" si="464"/>
        <v/>
      </c>
      <c r="BD450" s="187" t="str">
        <f t="shared" si="464"/>
        <v/>
      </c>
      <c r="BE450" s="104" t="str">
        <f t="shared" si="464"/>
        <v/>
      </c>
      <c r="BF450" s="389" t="str">
        <f t="shared" si="464"/>
        <v/>
      </c>
      <c r="BG450" s="389" t="str">
        <f t="shared" si="464"/>
        <v>🔵 Chưa có hạn</v>
      </c>
      <c r="BH450" s="67" t="str">
        <f t="shared" si="464"/>
        <v/>
      </c>
      <c r="BI450" s="389" t="str">
        <f t="array" ref="BI450">IF($X450="","",SWITCH($W450,3,IFERROR(INDEX('Lớp 3 - Công việc chính'!$AF$14:$AF$73,MATCH($X450,'Lớp 3 - Công việc chính'!$I$14:$I$73,0)),""),4,IFERROR(INDEX('Lớp 4 - Danh mục'!$AI$14:$AI$132,MATCH($X450,'Lớp 4 - Danh mục'!$I$14:$I$132,0)),""),5,IFERROR(INDEX('Lớp 5 - Phân công'!$AJ$14:$AJ$262,MATCH($X450,'Lớp 5 - Phân công'!$I$14:$I$262,0)),""),6,IFERROR(INDEX('Lớp 6 - Chi tiết'!$AM$14:$AM$267,MATCH($X450,'Lớp 6 - Chi tiết'!$I$14:$I$267,0)),""),""))</f>
        <v/>
      </c>
      <c r="BJ450" s="389" t="str">
        <f t="array" ref="BJ450">IF($X450="","",SWITCH($W450,3,IFERROR(INDEX('Lớp 3 - Công việc chính'!$AR$14:$AR$73,MATCH($X450,'Lớp 3 - Công việc chính'!$I$14:$I$73,0)),""),4,IFERROR(INDEX('Lớp 4 - Danh mục'!$AU$14:$AU$132,MATCH($X450,'Lớp 4 - Danh mục'!$I$14:$I$132,0)),""),5,IFERROR(INDEX('Lớp 5 - Phân công'!$AV$14:$AV$262,MATCH($X450,'Lớp 5 - Phân công'!$I$14:$I$262,0)),""),6,IFERROR(INDEX('Lớp 6 - Chi tiết'!$AY$14:$AY$267,MATCH($X450,'Lớp 6 - Chi tiết'!$I$14:$I$267,0)),""),""))</f>
        <v/>
      </c>
    </row>
    <row r="451" ht="15.75" customHeight="1">
      <c r="A451" s="294" t="str">
        <f t="shared" si="12"/>
        <v/>
      </c>
      <c r="B451" s="301" t="str">
        <f t="shared" si="13"/>
        <v/>
      </c>
      <c r="C451" s="301" t="str">
        <f t="shared" si="14"/>
        <v/>
      </c>
      <c r="D451" s="301" t="str">
        <f t="shared" si="15"/>
        <v/>
      </c>
      <c r="E451" s="301" t="str">
        <f t="shared" si="16"/>
        <v/>
      </c>
      <c r="F451" s="317" t="str">
        <f t="shared" si="17"/>
        <v/>
      </c>
      <c r="G451" s="323" t="str">
        <f t="shared" si="18"/>
        <v/>
      </c>
      <c r="H451" s="327" t="str">
        <f t="shared" si="19"/>
        <v/>
      </c>
      <c r="I451" s="327" t="str">
        <f t="shared" si="20"/>
        <v/>
      </c>
      <c r="J451" s="301" t="str">
        <f t="shared" si="21"/>
        <v/>
      </c>
      <c r="K451" s="301" t="str">
        <f t="shared" si="22"/>
        <v/>
      </c>
      <c r="L451" s="344" t="str">
        <f t="array" ref="L451">IF($T451="","",LET(m,MATCH($T451,$AS$24:$AS$700,0),lvl,INDEX($W$24:$W$700,m),id,INDEX($X$24:$X$700,m),SWITCH(lvl,3,"Lớp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1" s="351" t="str">
        <f t="shared" si="23"/>
        <v/>
      </c>
      <c r="N451" s="356" t="str">
        <f t="shared" si="24"/>
        <v/>
      </c>
      <c r="O451" s="358"/>
      <c r="P451" s="360"/>
      <c r="Q451" s="360"/>
      <c r="R451" s="67"/>
      <c r="S451" s="67"/>
      <c r="T451" s="67"/>
      <c r="U451" s="389" t="str">
        <f>IF('Lớp 5 - Phân công'!I262="","",'Lớp 5 - Phân công'!K262&amp;"|"&amp;'Lớp 5 - Phân công'!J262&amp;"|"&amp;'Lớp 5 - Phân công'!I262)</f>
        <v/>
      </c>
      <c r="V451" s="389" t="str">
        <f>IF('Lớp 5 - Phân công'!I262="","","       ├─ "&amp;'Lớp 5 - Phân công'!Q262)</f>
        <v/>
      </c>
      <c r="W451" s="389" t="str">
        <f>IF('Lớp 5 - Phân công'!I262="","",5)</f>
        <v/>
      </c>
      <c r="X451" s="67" t="str">
        <f>'Lớp 5 - Phân công'!I262</f>
        <v/>
      </c>
      <c r="Y451" s="67" t="str">
        <f>'Lớp 5 - Phân công'!J262</f>
        <v/>
      </c>
      <c r="Z451" s="67" t="str">
        <f>'Lớp 5 - Phân công'!AA262</f>
        <v/>
      </c>
      <c r="AA451" s="67" t="str">
        <f>'Lớp 5 - Phân công'!Z262</f>
        <v/>
      </c>
      <c r="AB451" s="67" t="str">
        <f>'Lớp 5 - Phân công'!AC262</f>
        <v/>
      </c>
      <c r="AC451" s="67" t="str">
        <f>'Lớp 5 - Phân công'!AB262</f>
        <v/>
      </c>
      <c r="AD451" s="398" t="str">
        <f>'Lớp 5 - Phân công'!AG262</f>
        <v/>
      </c>
      <c r="AE451" s="358" t="str">
        <f>'Lớp 5 - Phân công'!AE262</f>
        <v/>
      </c>
      <c r="AF451" s="187" t="str">
        <f>'Lớp 5 - Phân công'!AH262</f>
        <v/>
      </c>
      <c r="AG451" s="104" t="str">
        <f>'Lớp 5 - Phân công'!AI262</f>
        <v/>
      </c>
      <c r="AH451" s="389" t="str">
        <f t="shared" si="27"/>
        <v/>
      </c>
      <c r="AI451" s="389" t="str">
        <f t="shared" si="37"/>
        <v>🔵 Chưa có hạn</v>
      </c>
      <c r="AJ451" s="67" t="str">
        <f>'Lớp 5 - Phân công'!AL262</f>
        <v/>
      </c>
      <c r="AS451" s="389" t="str">
        <f t="shared" si="217"/>
        <v/>
      </c>
      <c r="AT451" s="389" t="str">
        <f t="shared" si="32"/>
        <v/>
      </c>
      <c r="AU451" s="389" t="str">
        <f t="shared" si="33"/>
        <v/>
      </c>
      <c r="AV451" s="389" t="str">
        <f t="shared" si="34"/>
        <v/>
      </c>
      <c r="AW451" s="389" t="str">
        <f t="shared" si="35"/>
        <v/>
      </c>
      <c r="AX451" s="67" t="str">
        <f t="shared" ref="AX451:BH451" si="465">Z451</f>
        <v/>
      </c>
      <c r="AY451" s="67" t="str">
        <f t="shared" si="465"/>
        <v/>
      </c>
      <c r="AZ451" s="67" t="str">
        <f t="shared" si="465"/>
        <v/>
      </c>
      <c r="BA451" s="67" t="str">
        <f t="shared" si="465"/>
        <v/>
      </c>
      <c r="BB451" s="398" t="str">
        <f t="shared" si="465"/>
        <v/>
      </c>
      <c r="BC451" s="358" t="str">
        <f t="shared" si="465"/>
        <v/>
      </c>
      <c r="BD451" s="187" t="str">
        <f t="shared" si="465"/>
        <v/>
      </c>
      <c r="BE451" s="104" t="str">
        <f t="shared" si="465"/>
        <v/>
      </c>
      <c r="BF451" s="389" t="str">
        <f t="shared" si="465"/>
        <v/>
      </c>
      <c r="BG451" s="389" t="str">
        <f t="shared" si="465"/>
        <v>🔵 Chưa có hạn</v>
      </c>
      <c r="BH451" s="67" t="str">
        <f t="shared" si="465"/>
        <v/>
      </c>
      <c r="BI451" s="389" t="str">
        <f t="array" ref="BI451">IF($X451="","",SWITCH($W451,3,IFERROR(INDEX('Lớp 3 - Công việc chính'!$AF$14:$AF$73,MATCH($X451,'Lớp 3 - Công việc chính'!$I$14:$I$73,0)),""),4,IFERROR(INDEX('Lớp 4 - Danh mục'!$AI$14:$AI$132,MATCH($X451,'Lớp 4 - Danh mục'!$I$14:$I$132,0)),""),5,IFERROR(INDEX('Lớp 5 - Phân công'!$AJ$14:$AJ$262,MATCH($X451,'Lớp 5 - Phân công'!$I$14:$I$262,0)),""),6,IFERROR(INDEX('Lớp 6 - Chi tiết'!$AM$14:$AM$267,MATCH($X451,'Lớp 6 - Chi tiết'!$I$14:$I$267,0)),""),""))</f>
        <v/>
      </c>
      <c r="BJ451" s="389" t="str">
        <f t="array" ref="BJ451">IF($X451="","",SWITCH($W451,3,IFERROR(INDEX('Lớp 3 - Công việc chính'!$AR$14:$AR$73,MATCH($X451,'Lớp 3 - Công việc chính'!$I$14:$I$73,0)),""),4,IFERROR(INDEX('Lớp 4 - Danh mục'!$AU$14:$AU$132,MATCH($X451,'Lớp 4 - Danh mục'!$I$14:$I$132,0)),""),5,IFERROR(INDEX('Lớp 5 - Phân công'!$AV$14:$AV$262,MATCH($X451,'Lớp 5 - Phân công'!$I$14:$I$262,0)),""),6,IFERROR(INDEX('Lớp 6 - Chi tiết'!$AY$14:$AY$267,MATCH($X451,'Lớp 6 - Chi tiết'!$I$14:$I$267,0)),""),""))</f>
        <v/>
      </c>
    </row>
    <row r="452" ht="15.75" customHeight="1">
      <c r="A452" s="294" t="str">
        <f t="shared" si="12"/>
        <v/>
      </c>
      <c r="B452" s="301" t="str">
        <f t="shared" si="13"/>
        <v/>
      </c>
      <c r="C452" s="301" t="str">
        <f t="shared" si="14"/>
        <v/>
      </c>
      <c r="D452" s="301" t="str">
        <f t="shared" si="15"/>
        <v/>
      </c>
      <c r="E452" s="301" t="str">
        <f t="shared" si="16"/>
        <v/>
      </c>
      <c r="F452" s="317" t="str">
        <f t="shared" si="17"/>
        <v/>
      </c>
      <c r="G452" s="323" t="str">
        <f t="shared" si="18"/>
        <v/>
      </c>
      <c r="H452" s="327" t="str">
        <f t="shared" si="19"/>
        <v/>
      </c>
      <c r="I452" s="327" t="str">
        <f t="shared" si="20"/>
        <v/>
      </c>
      <c r="J452" s="301" t="str">
        <f t="shared" si="21"/>
        <v/>
      </c>
      <c r="K452" s="301" t="str">
        <f t="shared" si="22"/>
        <v/>
      </c>
      <c r="L452" s="344" t="str">
        <f t="array" ref="L452">IF($T452="","",LET(m,MATCH($T452,$AS$24:$AS$700,0),lvl,INDEX($W$24:$W$700,m),id,INDEX($X$24:$X$700,m),SWITCH(lvl,3,"Lớp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2" s="351" t="str">
        <f t="shared" si="23"/>
        <v/>
      </c>
      <c r="N452" s="356" t="str">
        <f t="shared" si="24"/>
        <v/>
      </c>
      <c r="O452" s="358"/>
      <c r="P452" s="360"/>
      <c r="Q452" s="360"/>
      <c r="R452" s="67"/>
      <c r="S452" s="67"/>
      <c r="T452" s="67"/>
      <c r="U452" s="389" t="str">
        <f>IF('Lớp 6 - Chi tiết'!I14="","",'Lớp 6 - Chi tiết'!L14&amp;"|"&amp;'Lớp 6 - Chi tiết'!K14&amp;"|"&amp;'Lớp 6 - Chi tiết'!J14&amp;"|"&amp;'Lớp 6 - Chi tiết'!I14)</f>
        <v>||HHL5RD05-01|HHL5RD05-01.01</v>
      </c>
      <c r="V452" s="389" t="str">
        <f>IF('Lớp 6 - Chi tiết'!I14="","","           └─ "&amp;'Lớp 6 - Chi tiết'!S14)</f>
        <v>           └─ Khảo sát thị phần tương đối tại các Vùng thị trường</v>
      </c>
      <c r="W452" s="389">
        <f>IF('Lớp 6 - Chi tiết'!I14="","",6)</f>
        <v>6</v>
      </c>
      <c r="X452" s="67" t="str">
        <f>'Lớp 6 - Chi tiết'!I14</f>
        <v>HHL5RD05-01.01</v>
      </c>
      <c r="Y452" s="67" t="str">
        <f>'Lớp 6 - Chi tiết'!J14</f>
        <v>HHL5RD05-01</v>
      </c>
      <c r="Z452" s="67" t="str">
        <f>'Lớp 6 - Chi tiết'!AC14</f>
        <v>Team PTSP</v>
      </c>
      <c r="AA452" s="67" t="str">
        <f>'Lớp 6 - Chi tiết'!AB14</f>
        <v/>
      </c>
      <c r="AB452" s="67" t="str">
        <f>'Lớp 6 - Chi tiết'!AF14</f>
        <v>P1</v>
      </c>
      <c r="AC452" s="67" t="str">
        <f>'Lớp 6 - Chi tiết'!AE14</f>
        <v>Đang thực hiện</v>
      </c>
      <c r="AD452" s="398">
        <f>'Lớp 6 - Chi tiết'!AJ14</f>
        <v>0</v>
      </c>
      <c r="AE452" s="358">
        <f>'Lớp 6 - Chi tiết'!AH14</f>
        <v>46254</v>
      </c>
      <c r="AF452" s="187">
        <f>'Lớp 6 - Chi tiết'!AK14</f>
        <v>8</v>
      </c>
      <c r="AG452" s="104" t="str">
        <f>'Lớp 6 - Chi tiết'!AL14</f>
        <v/>
      </c>
      <c r="AH452" s="389" t="str">
        <f t="shared" si="27"/>
        <v/>
      </c>
      <c r="AI452" s="389" t="str">
        <f t="shared" si="37"/>
        <v>🟣 P1 trọng yếu</v>
      </c>
      <c r="AJ452" s="67" t="str">
        <f>'Lớp 6 - Chi tiết'!AO14</f>
        <v>Chưa nhập khối lượng</v>
      </c>
      <c r="AS452" s="389" t="str">
        <f t="shared" ref="AS452:AS700" si="467">IF(X452="","",IFERROR(INDEX($AS$203:$AS$451,MATCH(Y452,$X$203:$X$451,0))&amp;"."&amp;TEXT(COUNTIFS($Y$452:Y452,Y452,$X$452:X452,"&lt;&gt;"),"00"),"99.99.99."&amp;TEXT(ROW()-451,"00")))</f>
        <v>99.99.99.01</v>
      </c>
      <c r="AT452" s="389" t="str">
        <f t="shared" si="32"/>
        <v/>
      </c>
      <c r="AU452" s="389" t="str">
        <f t="shared" si="33"/>
        <v/>
      </c>
      <c r="AV452" s="389" t="str">
        <f t="shared" si="34"/>
        <v/>
      </c>
      <c r="AW452" s="389" t="str">
        <f t="shared" si="35"/>
        <v>Khảo sát thị phần tương đối tại các Vùng thị trường</v>
      </c>
      <c r="AX452" s="67" t="str">
        <f t="shared" ref="AX452:BH452" si="466">Z452</f>
        <v>Team PTSP</v>
      </c>
      <c r="AY452" s="67" t="str">
        <f t="shared" si="466"/>
        <v/>
      </c>
      <c r="AZ452" s="67" t="str">
        <f t="shared" si="466"/>
        <v>P1</v>
      </c>
      <c r="BA452" s="67" t="str">
        <f t="shared" si="466"/>
        <v>Đang thực hiện</v>
      </c>
      <c r="BB452" s="398">
        <f t="shared" si="466"/>
        <v>0</v>
      </c>
      <c r="BC452" s="358">
        <f t="shared" si="466"/>
        <v>46254</v>
      </c>
      <c r="BD452" s="187">
        <f t="shared" si="466"/>
        <v>8</v>
      </c>
      <c r="BE452" s="104" t="str">
        <f t="shared" si="466"/>
        <v/>
      </c>
      <c r="BF452" s="389" t="str">
        <f t="shared" si="466"/>
        <v/>
      </c>
      <c r="BG452" s="389" t="str">
        <f t="shared" si="466"/>
        <v>🟣 P1 trọng yếu</v>
      </c>
      <c r="BH452" s="67" t="str">
        <f t="shared" si="466"/>
        <v>Chưa nhập khối lượng</v>
      </c>
      <c r="BI452" s="389" t="str">
        <f t="array" ref="BI452">IF($X452="","",SWITCH($W452,3,IFERROR(INDEX('Lớp 3 - Công việc chính'!$AF$14:$AF$73,MATCH($X452,'Lớp 3 - Công việc chính'!$I$14:$I$73,0)),""),4,IFERROR(INDEX('Lớp 4 - Danh mục'!$AI$14:$AI$132,MATCH($X452,'Lớp 4 - Danh mục'!$I$14:$I$132,0)),""),5,IFERROR(INDEX('Lớp 5 - Phân công'!$AJ$14:$AJ$262,MATCH($X452,'Lớp 5 - Phân công'!$I$14:$I$262,0)),""),6,IFERROR(INDEX('Lớp 6 - Chi tiết'!$AM$14:$AM$267,MATCH($X452,'Lớp 6 - Chi tiết'!$I$14:$I$267,0)),""),""))</f>
        <v/>
      </c>
      <c r="BJ452" s="389" t="str">
        <f t="array" ref="BJ452">IF($X452="","",SWITCH($W452,3,IFERROR(INDEX('Lớp 3 - Công việc chính'!$AR$14:$AR$73,MATCH($X452,'Lớp 3 - Công việc chính'!$I$14:$I$73,0)),""),4,IFERROR(INDEX('Lớp 4 - Danh mục'!$AU$14:$AU$132,MATCH($X452,'Lớp 4 - Danh mục'!$I$14:$I$132,0)),""),5,IFERROR(INDEX('Lớp 5 - Phân công'!$AV$14:$AV$262,MATCH($X452,'Lớp 5 - Phân công'!$I$14:$I$262,0)),""),6,IFERROR(INDEX('Lớp 6 - Chi tiết'!$AY$14:$AY$267,MATCH($X452,'Lớp 6 - Chi tiết'!$I$14:$I$267,0)),""),""))</f>
        <v>Thiếu tổng giờ</v>
      </c>
    </row>
    <row r="453" ht="15.75" customHeight="1">
      <c r="A453" s="294" t="str">
        <f t="shared" si="12"/>
        <v/>
      </c>
      <c r="B453" s="301" t="str">
        <f t="shared" si="13"/>
        <v/>
      </c>
      <c r="C453" s="301" t="str">
        <f t="shared" si="14"/>
        <v/>
      </c>
      <c r="D453" s="301" t="str">
        <f t="shared" si="15"/>
        <v/>
      </c>
      <c r="E453" s="301" t="str">
        <f t="shared" si="16"/>
        <v/>
      </c>
      <c r="F453" s="317" t="str">
        <f t="shared" si="17"/>
        <v/>
      </c>
      <c r="G453" s="323" t="str">
        <f t="shared" si="18"/>
        <v/>
      </c>
      <c r="H453" s="327" t="str">
        <f t="shared" si="19"/>
        <v/>
      </c>
      <c r="I453" s="327" t="str">
        <f t="shared" si="20"/>
        <v/>
      </c>
      <c r="J453" s="301" t="str">
        <f t="shared" si="21"/>
        <v/>
      </c>
      <c r="K453" s="301" t="str">
        <f t="shared" si="22"/>
        <v/>
      </c>
      <c r="L453" s="344" t="str">
        <f t="array" ref="L453">IF($T453="","",LET(m,MATCH($T453,$AS$24:$AS$700,0),lvl,INDEX($W$24:$W$700,m),id,INDEX($X$24:$X$700,m),SWITCH(lvl,3,"Lớp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3" s="351" t="str">
        <f t="shared" si="23"/>
        <v/>
      </c>
      <c r="N453" s="356" t="str">
        <f t="shared" si="24"/>
        <v/>
      </c>
      <c r="O453" s="358"/>
      <c r="P453" s="360"/>
      <c r="Q453" s="360"/>
      <c r="R453" s="67"/>
      <c r="S453" s="67"/>
      <c r="T453" s="67"/>
      <c r="U453" s="389" t="str">
        <f>IF('Lớp 6 - Chi tiết'!I15="","",'Lớp 6 - Chi tiết'!L15&amp;"|"&amp;'Lớp 6 - Chi tiết'!K15&amp;"|"&amp;'Lớp 6 - Chi tiết'!J15&amp;"|"&amp;'Lớp 6 - Chi tiết'!I15)</f>
        <v>||HHL5RD05-01|HHL5RD05-01.02</v>
      </c>
      <c r="V453" s="389" t="str">
        <f>IF('Lớp 6 - Chi tiết'!I15="","","           └─ "&amp;'Lớp 6 - Chi tiết'!S15)</f>
        <v>           └─ Phân tích tốc độ tăng trưởng 4 năm của danh mục sản phẩm</v>
      </c>
      <c r="W453" s="389">
        <f>IF('Lớp 6 - Chi tiết'!I15="","",6)</f>
        <v>6</v>
      </c>
      <c r="X453" s="67" t="str">
        <f>'Lớp 6 - Chi tiết'!I15</f>
        <v>HHL5RD05-01.02</v>
      </c>
      <c r="Y453" s="67" t="str">
        <f>'Lớp 6 - Chi tiết'!J15</f>
        <v>HHL5RD05-01</v>
      </c>
      <c r="Z453" s="67" t="str">
        <f>'Lớp 6 - Chi tiết'!AC15</f>
        <v>Em Đại</v>
      </c>
      <c r="AA453" s="67" t="str">
        <f>'Lớp 6 - Chi tiết'!AB15</f>
        <v/>
      </c>
      <c r="AB453" s="67" t="str">
        <f>'Lớp 6 - Chi tiết'!AF15</f>
        <v>P1</v>
      </c>
      <c r="AC453" s="67" t="str">
        <f>'Lớp 6 - Chi tiết'!AE15</f>
        <v>Đang thực hiện</v>
      </c>
      <c r="AD453" s="398">
        <f>'Lớp 6 - Chi tiết'!AJ15</f>
        <v>0</v>
      </c>
      <c r="AE453" s="358">
        <f>'Lớp 6 - Chi tiết'!AH15</f>
        <v>46254</v>
      </c>
      <c r="AF453" s="187">
        <f>'Lớp 6 - Chi tiết'!AK15</f>
        <v>8</v>
      </c>
      <c r="AG453" s="104" t="str">
        <f>'Lớp 6 - Chi tiết'!AL15</f>
        <v/>
      </c>
      <c r="AH453" s="389" t="str">
        <f t="shared" si="27"/>
        <v/>
      </c>
      <c r="AI453" s="389" t="str">
        <f t="shared" si="37"/>
        <v>🟣 P1 trọng yếu</v>
      </c>
      <c r="AJ453" s="67" t="str">
        <f>'Lớp 6 - Chi tiết'!AO15</f>
        <v>Chưa nhập khối lượng</v>
      </c>
      <c r="AS453" s="389" t="str">
        <f t="shared" si="467"/>
        <v>99.99.99.02</v>
      </c>
      <c r="AT453" s="389" t="str">
        <f t="shared" si="32"/>
        <v/>
      </c>
      <c r="AU453" s="389" t="str">
        <f t="shared" si="33"/>
        <v/>
      </c>
      <c r="AV453" s="389" t="str">
        <f t="shared" si="34"/>
        <v/>
      </c>
      <c r="AW453" s="389" t="str">
        <f t="shared" si="35"/>
        <v>Phân tích tốc độ tăng trưởng 4 năm của danh mục sản phẩm</v>
      </c>
      <c r="AX453" s="67" t="str">
        <f t="shared" ref="AX453:BH453" si="468">Z453</f>
        <v>Em Đại</v>
      </c>
      <c r="AY453" s="67" t="str">
        <f t="shared" si="468"/>
        <v/>
      </c>
      <c r="AZ453" s="67" t="str">
        <f t="shared" si="468"/>
        <v>P1</v>
      </c>
      <c r="BA453" s="67" t="str">
        <f t="shared" si="468"/>
        <v>Đang thực hiện</v>
      </c>
      <c r="BB453" s="398">
        <f t="shared" si="468"/>
        <v>0</v>
      </c>
      <c r="BC453" s="358">
        <f t="shared" si="468"/>
        <v>46254</v>
      </c>
      <c r="BD453" s="187">
        <f t="shared" si="468"/>
        <v>8</v>
      </c>
      <c r="BE453" s="104" t="str">
        <f t="shared" si="468"/>
        <v/>
      </c>
      <c r="BF453" s="389" t="str">
        <f t="shared" si="468"/>
        <v/>
      </c>
      <c r="BG453" s="389" t="str">
        <f t="shared" si="468"/>
        <v>🟣 P1 trọng yếu</v>
      </c>
      <c r="BH453" s="67" t="str">
        <f t="shared" si="468"/>
        <v>Chưa nhập khối lượng</v>
      </c>
      <c r="BI453" s="389" t="str">
        <f t="array" ref="BI453">IF($X453="","",SWITCH($W453,3,IFERROR(INDEX('Lớp 3 - Công việc chính'!$AF$14:$AF$73,MATCH($X453,'Lớp 3 - Công việc chính'!$I$14:$I$73,0)),""),4,IFERROR(INDEX('Lớp 4 - Danh mục'!$AI$14:$AI$132,MATCH($X453,'Lớp 4 - Danh mục'!$I$14:$I$132,0)),""),5,IFERROR(INDEX('Lớp 5 - Phân công'!$AJ$14:$AJ$262,MATCH($X453,'Lớp 5 - Phân công'!$I$14:$I$262,0)),""),6,IFERROR(INDEX('Lớp 6 - Chi tiết'!$AM$14:$AM$267,MATCH($X453,'Lớp 6 - Chi tiết'!$I$14:$I$267,0)),""),""))</f>
        <v/>
      </c>
      <c r="BJ453" s="389" t="str">
        <f t="array" ref="BJ453">IF($X453="","",SWITCH($W453,3,IFERROR(INDEX('Lớp 3 - Công việc chính'!$AR$14:$AR$73,MATCH($X453,'Lớp 3 - Công việc chính'!$I$14:$I$73,0)),""),4,IFERROR(INDEX('Lớp 4 - Danh mục'!$AU$14:$AU$132,MATCH($X453,'Lớp 4 - Danh mục'!$I$14:$I$132,0)),""),5,IFERROR(INDEX('Lớp 5 - Phân công'!$AV$14:$AV$262,MATCH($X453,'Lớp 5 - Phân công'!$I$14:$I$262,0)),""),6,IFERROR(INDEX('Lớp 6 - Chi tiết'!$AY$14:$AY$267,MATCH($X453,'Lớp 6 - Chi tiết'!$I$14:$I$267,0)),""),""))</f>
        <v>Thiếu tổng giờ</v>
      </c>
    </row>
    <row r="454" ht="15.75" customHeight="1">
      <c r="A454" s="294" t="str">
        <f t="shared" si="12"/>
        <v/>
      </c>
      <c r="B454" s="301" t="str">
        <f t="shared" si="13"/>
        <v/>
      </c>
      <c r="C454" s="301" t="str">
        <f t="shared" si="14"/>
        <v/>
      </c>
      <c r="D454" s="301" t="str">
        <f t="shared" si="15"/>
        <v/>
      </c>
      <c r="E454" s="301" t="str">
        <f t="shared" si="16"/>
        <v/>
      </c>
      <c r="F454" s="317" t="str">
        <f t="shared" si="17"/>
        <v/>
      </c>
      <c r="G454" s="323" t="str">
        <f t="shared" si="18"/>
        <v/>
      </c>
      <c r="H454" s="327" t="str">
        <f t="shared" si="19"/>
        <v/>
      </c>
      <c r="I454" s="327" t="str">
        <f t="shared" si="20"/>
        <v/>
      </c>
      <c r="J454" s="301" t="str">
        <f t="shared" si="21"/>
        <v/>
      </c>
      <c r="K454" s="301" t="str">
        <f t="shared" si="22"/>
        <v/>
      </c>
      <c r="L454" s="344" t="str">
        <f t="array" ref="L454">IF($T454="","",LET(m,MATCH($T454,$AS$24:$AS$700,0),lvl,INDEX($W$24:$W$700,m),id,INDEX($X$24:$X$700,m),SWITCH(lvl,3,"Lớp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4" s="351" t="str">
        <f t="shared" si="23"/>
        <v/>
      </c>
      <c r="N454" s="356" t="str">
        <f t="shared" si="24"/>
        <v/>
      </c>
      <c r="O454" s="358"/>
      <c r="P454" s="360"/>
      <c r="Q454" s="360"/>
      <c r="R454" s="67"/>
      <c r="S454" s="67"/>
      <c r="T454" s="67"/>
      <c r="U454" s="389" t="str">
        <f>IF('Lớp 6 - Chi tiết'!I16="","",'Lớp 6 - Chi tiết'!L16&amp;"|"&amp;'Lớp 6 - Chi tiết'!K16&amp;"|"&amp;'Lớp 6 - Chi tiết'!J16&amp;"|"&amp;'Lớp 6 - Chi tiết'!I16)</f>
        <v>||HHL5RD05-01|HHL5RD05-01.03</v>
      </c>
      <c r="V454" s="389" t="str">
        <f>IF('Lớp 6 - Chi tiết'!I16="","","           └─ "&amp;'Lớp 6 - Chi tiết'!S16)</f>
        <v>           └─ Kiểm tra khả năng đáp ứng của CADS về mở trường thông tin mới phân loại sản phẩm</v>
      </c>
      <c r="W454" s="389">
        <f>IF('Lớp 6 - Chi tiết'!I16="","",6)</f>
        <v>6</v>
      </c>
      <c r="X454" s="67" t="str">
        <f>'Lớp 6 - Chi tiết'!I16</f>
        <v>HHL5RD05-01.03</v>
      </c>
      <c r="Y454" s="67" t="str">
        <f>'Lớp 6 - Chi tiết'!J16</f>
        <v>HHL5RD05-01</v>
      </c>
      <c r="Z454" s="67" t="str">
        <f>'Lớp 6 - Chi tiết'!AC16</f>
        <v>Thu Trang</v>
      </c>
      <c r="AA454" s="67" t="str">
        <f>'Lớp 6 - Chi tiết'!AB16</f>
        <v/>
      </c>
      <c r="AB454" s="67" t="str">
        <f>'Lớp 6 - Chi tiết'!AF16</f>
        <v>P1</v>
      </c>
      <c r="AC454" s="67" t="str">
        <f>'Lớp 6 - Chi tiết'!AE16</f>
        <v>Hoàn thành</v>
      </c>
      <c r="AD454" s="398">
        <f>'Lớp 6 - Chi tiết'!AJ16</f>
        <v>1</v>
      </c>
      <c r="AE454" s="358">
        <f>'Lớp 6 - Chi tiết'!AH16</f>
        <v>46239</v>
      </c>
      <c r="AF454" s="187">
        <f>'Lớp 6 - Chi tiết'!AK16</f>
        <v>0</v>
      </c>
      <c r="AG454" s="104" t="str">
        <f>'Lớp 6 - Chi tiết'!AL16</f>
        <v/>
      </c>
      <c r="AH454" s="389" t="str">
        <f t="shared" si="27"/>
        <v/>
      </c>
      <c r="AI454" s="389" t="str">
        <f t="shared" si="37"/>
        <v>🟢 Hoàn thành</v>
      </c>
      <c r="AJ454" s="67" t="str">
        <f>'Lớp 6 - Chi tiết'!AO16</f>
        <v>Hoàn thành</v>
      </c>
      <c r="AS454" s="389" t="str">
        <f t="shared" si="467"/>
        <v>99.99.99.03</v>
      </c>
      <c r="AT454" s="389" t="str">
        <f t="shared" si="32"/>
        <v/>
      </c>
      <c r="AU454" s="389" t="str">
        <f t="shared" si="33"/>
        <v/>
      </c>
      <c r="AV454" s="389" t="str">
        <f t="shared" si="34"/>
        <v/>
      </c>
      <c r="AW454" s="389" t="str">
        <f t="shared" si="35"/>
        <v>Kiểm tra khả năng đáp ứng của CADS về mở trường thông tin mới phân loại sản phẩm</v>
      </c>
      <c r="AX454" s="67" t="str">
        <f t="shared" ref="AX454:BH454" si="469">Z454</f>
        <v>Thu Trang</v>
      </c>
      <c r="AY454" s="67" t="str">
        <f t="shared" si="469"/>
        <v/>
      </c>
      <c r="AZ454" s="67" t="str">
        <f t="shared" si="469"/>
        <v>P1</v>
      </c>
      <c r="BA454" s="67" t="str">
        <f t="shared" si="469"/>
        <v>Hoàn thành</v>
      </c>
      <c r="BB454" s="398">
        <f t="shared" si="469"/>
        <v>1</v>
      </c>
      <c r="BC454" s="358">
        <f t="shared" si="469"/>
        <v>46239</v>
      </c>
      <c r="BD454" s="187">
        <f t="shared" si="469"/>
        <v>0</v>
      </c>
      <c r="BE454" s="104" t="str">
        <f t="shared" si="469"/>
        <v/>
      </c>
      <c r="BF454" s="389" t="str">
        <f t="shared" si="469"/>
        <v/>
      </c>
      <c r="BG454" s="389" t="str">
        <f t="shared" si="469"/>
        <v>🟢 Hoàn thành</v>
      </c>
      <c r="BH454" s="67" t="str">
        <f t="shared" si="469"/>
        <v>Hoàn thành</v>
      </c>
      <c r="BI454" s="389" t="str">
        <f t="array" ref="BI454">IF($X454="","",SWITCH($W454,3,IFERROR(INDEX('Lớp 3 - Công việc chính'!$AF$14:$AF$73,MATCH($X454,'Lớp 3 - Công việc chính'!$I$14:$I$73,0)),""),4,IFERROR(INDEX('Lớp 4 - Danh mục'!$AI$14:$AI$132,MATCH($X454,'Lớp 4 - Danh mục'!$I$14:$I$132,0)),""),5,IFERROR(INDEX('Lớp 5 - Phân công'!$AJ$14:$AJ$262,MATCH($X454,'Lớp 5 - Phân công'!$I$14:$I$262,0)),""),6,IFERROR(INDEX('Lớp 6 - Chi tiết'!$AM$14:$AM$267,MATCH($X454,'Lớp 6 - Chi tiết'!$I$14:$I$267,0)),""),""))</f>
        <v/>
      </c>
      <c r="BJ454" s="389" t="str">
        <f t="array" ref="BJ454">IF($X454="","",SWITCH($W454,3,IFERROR(INDEX('Lớp 3 - Công việc chính'!$AR$14:$AR$73,MATCH($X454,'Lớp 3 - Công việc chính'!$I$14:$I$73,0)),""),4,IFERROR(INDEX('Lớp 4 - Danh mục'!$AU$14:$AU$132,MATCH($X454,'Lớp 4 - Danh mục'!$I$14:$I$132,0)),""),5,IFERROR(INDEX('Lớp 5 - Phân công'!$AV$14:$AV$262,MATCH($X454,'Lớp 5 - Phân công'!$I$14:$I$262,0)),""),6,IFERROR(INDEX('Lớp 6 - Chi tiết'!$AY$14:$AY$267,MATCH($X454,'Lớp 6 - Chi tiết'!$I$14:$I$267,0)),""),""))</f>
        <v>Hoàn thành</v>
      </c>
    </row>
    <row r="455" ht="15.75" customHeight="1">
      <c r="A455" s="294" t="str">
        <f t="shared" si="12"/>
        <v/>
      </c>
      <c r="B455" s="301" t="str">
        <f t="shared" si="13"/>
        <v/>
      </c>
      <c r="C455" s="301" t="str">
        <f t="shared" si="14"/>
        <v/>
      </c>
      <c r="D455" s="301" t="str">
        <f t="shared" si="15"/>
        <v/>
      </c>
      <c r="E455" s="301" t="str">
        <f t="shared" si="16"/>
        <v/>
      </c>
      <c r="F455" s="317" t="str">
        <f t="shared" si="17"/>
        <v/>
      </c>
      <c r="G455" s="323" t="str">
        <f t="shared" si="18"/>
        <v/>
      </c>
      <c r="H455" s="327" t="str">
        <f t="shared" si="19"/>
        <v/>
      </c>
      <c r="I455" s="327" t="str">
        <f t="shared" si="20"/>
        <v/>
      </c>
      <c r="J455" s="301" t="str">
        <f t="shared" si="21"/>
        <v/>
      </c>
      <c r="K455" s="301" t="str">
        <f t="shared" si="22"/>
        <v/>
      </c>
      <c r="L455" s="344" t="str">
        <f t="array" ref="L455">IF($T455="","",LET(m,MATCH($T455,$AS$24:$AS$700,0),lvl,INDEX($W$24:$W$700,m),id,INDEX($X$24:$X$700,m),SWITCH(lvl,3,"Lớp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5" s="351" t="str">
        <f t="shared" si="23"/>
        <v/>
      </c>
      <c r="N455" s="356" t="str">
        <f t="shared" si="24"/>
        <v/>
      </c>
      <c r="O455" s="358"/>
      <c r="P455" s="360"/>
      <c r="Q455" s="360"/>
      <c r="R455" s="67"/>
      <c r="S455" s="67"/>
      <c r="T455" s="67"/>
      <c r="U455" s="389" t="str">
        <f>IF('Lớp 6 - Chi tiết'!I17="","",'Lớp 6 - Chi tiết'!L17&amp;"|"&amp;'Lớp 6 - Chi tiết'!K17&amp;"|"&amp;'Lớp 6 - Chi tiết'!J17&amp;"|"&amp;'Lớp 6 - Chi tiết'!I17)</f>
        <v>||HHL5RD05-01|HHL5RD05-01.04</v>
      </c>
      <c r="V455" s="389" t="str">
        <f>IF('Lớp 6 - Chi tiết'!I17="","","           └─ "&amp;'Lớp 6 - Chi tiết'!S17)</f>
        <v>           └─ Báo cáo phân loại sản phẩm + hiển thị thông tin trên CADS</v>
      </c>
      <c r="W455" s="389">
        <f>IF('Lớp 6 - Chi tiết'!I17="","",6)</f>
        <v>6</v>
      </c>
      <c r="X455" s="67" t="str">
        <f>'Lớp 6 - Chi tiết'!I17</f>
        <v>HHL5RD05-01.04</v>
      </c>
      <c r="Y455" s="67" t="str">
        <f>'Lớp 6 - Chi tiết'!J17</f>
        <v>HHL5RD05-01</v>
      </c>
      <c r="Z455" s="67" t="str">
        <f>'Lớp 6 - Chi tiết'!AC17</f>
        <v>Team PTSP</v>
      </c>
      <c r="AA455" s="67" t="str">
        <f>'Lớp 6 - Chi tiết'!AB17</f>
        <v/>
      </c>
      <c r="AB455" s="67" t="str">
        <f>'Lớp 6 - Chi tiết'!AF17</f>
        <v>P1</v>
      </c>
      <c r="AC455" s="67" t="str">
        <f>'Lớp 6 - Chi tiết'!AE17</f>
        <v>Đã lên lịch</v>
      </c>
      <c r="AD455" s="398">
        <f>'Lớp 6 - Chi tiết'!AJ17</f>
        <v>0</v>
      </c>
      <c r="AE455" s="358">
        <f>'Lớp 6 - Chi tiết'!AH17</f>
        <v>46264</v>
      </c>
      <c r="AF455" s="187">
        <f>'Lớp 6 - Chi tiết'!AK17</f>
        <v>9</v>
      </c>
      <c r="AG455" s="104" t="str">
        <f>'Lớp 6 - Chi tiết'!AL17</f>
        <v/>
      </c>
      <c r="AH455" s="389" t="str">
        <f t="shared" si="27"/>
        <v/>
      </c>
      <c r="AI455" s="389" t="str">
        <f t="shared" si="37"/>
        <v>🟣 P1 trọng yếu</v>
      </c>
      <c r="AJ455" s="67" t="str">
        <f>'Lớp 6 - Chi tiết'!AO17</f>
        <v>Chưa nhập khối lượng</v>
      </c>
      <c r="AS455" s="389" t="str">
        <f t="shared" si="467"/>
        <v>99.99.99.04</v>
      </c>
      <c r="AT455" s="389" t="str">
        <f t="shared" si="32"/>
        <v/>
      </c>
      <c r="AU455" s="389" t="str">
        <f t="shared" si="33"/>
        <v/>
      </c>
      <c r="AV455" s="389" t="str">
        <f t="shared" si="34"/>
        <v/>
      </c>
      <c r="AW455" s="389" t="str">
        <f t="shared" si="35"/>
        <v>Báo cáo phân loại sản phẩm + hiển thị thông tin trên CADS</v>
      </c>
      <c r="AX455" s="67" t="str">
        <f t="shared" ref="AX455:BH455" si="470">Z455</f>
        <v>Team PTSP</v>
      </c>
      <c r="AY455" s="67" t="str">
        <f t="shared" si="470"/>
        <v/>
      </c>
      <c r="AZ455" s="67" t="str">
        <f t="shared" si="470"/>
        <v>P1</v>
      </c>
      <c r="BA455" s="67" t="str">
        <f t="shared" si="470"/>
        <v>Đã lên lịch</v>
      </c>
      <c r="BB455" s="398">
        <f t="shared" si="470"/>
        <v>0</v>
      </c>
      <c r="BC455" s="358">
        <f t="shared" si="470"/>
        <v>46264</v>
      </c>
      <c r="BD455" s="187">
        <f t="shared" si="470"/>
        <v>9</v>
      </c>
      <c r="BE455" s="104" t="str">
        <f t="shared" si="470"/>
        <v/>
      </c>
      <c r="BF455" s="389" t="str">
        <f t="shared" si="470"/>
        <v/>
      </c>
      <c r="BG455" s="389" t="str">
        <f t="shared" si="470"/>
        <v>🟣 P1 trọng yếu</v>
      </c>
      <c r="BH455" s="67" t="str">
        <f t="shared" si="470"/>
        <v>Chưa nhập khối lượng</v>
      </c>
      <c r="BI455" s="389" t="str">
        <f t="array" ref="BI455">IF($X455="","",SWITCH($W455,3,IFERROR(INDEX('Lớp 3 - Công việc chính'!$AF$14:$AF$73,MATCH($X455,'Lớp 3 - Công việc chính'!$I$14:$I$73,0)),""),4,IFERROR(INDEX('Lớp 4 - Danh mục'!$AI$14:$AI$132,MATCH($X455,'Lớp 4 - Danh mục'!$I$14:$I$132,0)),""),5,IFERROR(INDEX('Lớp 5 - Phân công'!$AJ$14:$AJ$262,MATCH($X455,'Lớp 5 - Phân công'!$I$14:$I$262,0)),""),6,IFERROR(INDEX('Lớp 6 - Chi tiết'!$AM$14:$AM$267,MATCH($X455,'Lớp 6 - Chi tiết'!$I$14:$I$267,0)),""),""))</f>
        <v/>
      </c>
      <c r="BJ455" s="389" t="str">
        <f t="array" ref="BJ455">IF($X455="","",SWITCH($W455,3,IFERROR(INDEX('Lớp 3 - Công việc chính'!$AR$14:$AR$73,MATCH($X455,'Lớp 3 - Công việc chính'!$I$14:$I$73,0)),""),4,IFERROR(INDEX('Lớp 4 - Danh mục'!$AU$14:$AU$132,MATCH($X455,'Lớp 4 - Danh mục'!$I$14:$I$132,0)),""),5,IFERROR(INDEX('Lớp 5 - Phân công'!$AV$14:$AV$262,MATCH($X455,'Lớp 5 - Phân công'!$I$14:$I$262,0)),""),6,IFERROR(INDEX('Lớp 6 - Chi tiết'!$AY$14:$AY$267,MATCH($X455,'Lớp 6 - Chi tiết'!$I$14:$I$267,0)),""),""))</f>
        <v>Thiếu tổng giờ</v>
      </c>
    </row>
    <row r="456" ht="15.75" customHeight="1">
      <c r="A456" s="294" t="str">
        <f t="shared" si="12"/>
        <v/>
      </c>
      <c r="B456" s="301" t="str">
        <f t="shared" si="13"/>
        <v/>
      </c>
      <c r="C456" s="301" t="str">
        <f t="shared" si="14"/>
        <v/>
      </c>
      <c r="D456" s="301" t="str">
        <f t="shared" si="15"/>
        <v/>
      </c>
      <c r="E456" s="301" t="str">
        <f t="shared" si="16"/>
        <v/>
      </c>
      <c r="F456" s="317" t="str">
        <f t="shared" si="17"/>
        <v/>
      </c>
      <c r="G456" s="323" t="str">
        <f t="shared" si="18"/>
        <v/>
      </c>
      <c r="H456" s="327" t="str">
        <f t="shared" si="19"/>
        <v/>
      </c>
      <c r="I456" s="327" t="str">
        <f t="shared" si="20"/>
        <v/>
      </c>
      <c r="J456" s="301" t="str">
        <f t="shared" si="21"/>
        <v/>
      </c>
      <c r="K456" s="301" t="str">
        <f t="shared" si="22"/>
        <v/>
      </c>
      <c r="L456" s="344" t="str">
        <f t="array" ref="L456">IF($T456="","",LET(m,MATCH($T456,$AS$24:$AS$700,0),lvl,INDEX($W$24:$W$700,m),id,INDEX($X$24:$X$700,m),SWITCH(lvl,3,"Lớp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6" s="351" t="str">
        <f t="shared" si="23"/>
        <v/>
      </c>
      <c r="N456" s="356" t="str">
        <f t="shared" si="24"/>
        <v/>
      </c>
      <c r="O456" s="358"/>
      <c r="P456" s="360"/>
      <c r="Q456" s="360"/>
      <c r="R456" s="67"/>
      <c r="S456" s="67"/>
      <c r="T456" s="67"/>
      <c r="U456" s="389" t="str">
        <f>IF('Lớp 6 - Chi tiết'!I18="","",'Lớp 6 - Chi tiết'!L18&amp;"|"&amp;'Lớp 6 - Chi tiết'!K18&amp;"|"&amp;'Lớp 6 - Chi tiết'!J18&amp;"|"&amp;'Lớp 6 - Chi tiết'!I18)</f>
        <v/>
      </c>
      <c r="V456" s="389" t="str">
        <f>IF('Lớp 6 - Chi tiết'!I18="","","           └─ "&amp;'Lớp 6 - Chi tiết'!S18)</f>
        <v/>
      </c>
      <c r="W456" s="389" t="str">
        <f>IF('Lớp 6 - Chi tiết'!I18="","",6)</f>
        <v/>
      </c>
      <c r="X456" s="67" t="str">
        <f>'Lớp 6 - Chi tiết'!I18</f>
        <v/>
      </c>
      <c r="Y456" s="67" t="str">
        <f>'Lớp 6 - Chi tiết'!J18</f>
        <v/>
      </c>
      <c r="Z456" s="67" t="str">
        <f>'Lớp 6 - Chi tiết'!AC18</f>
        <v/>
      </c>
      <c r="AA456" s="67" t="str">
        <f>'Lớp 6 - Chi tiết'!AB18</f>
        <v/>
      </c>
      <c r="AB456" s="67" t="str">
        <f>'Lớp 6 - Chi tiết'!AF18</f>
        <v/>
      </c>
      <c r="AC456" s="67" t="str">
        <f>'Lớp 6 - Chi tiết'!AE18</f>
        <v/>
      </c>
      <c r="AD456" s="398" t="str">
        <f>'Lớp 6 - Chi tiết'!AJ18</f>
        <v/>
      </c>
      <c r="AE456" s="358" t="str">
        <f>'Lớp 6 - Chi tiết'!AH18</f>
        <v/>
      </c>
      <c r="AF456" s="187" t="str">
        <f>'Lớp 6 - Chi tiết'!AK18</f>
        <v/>
      </c>
      <c r="AG456" s="104" t="str">
        <f>'Lớp 6 - Chi tiết'!AL18</f>
        <v/>
      </c>
      <c r="AH456" s="389" t="str">
        <f t="shared" si="27"/>
        <v/>
      </c>
      <c r="AI456" s="389" t="str">
        <f t="shared" si="37"/>
        <v>🔵 Chưa có hạn</v>
      </c>
      <c r="AJ456" s="67" t="str">
        <f>'Lớp 6 - Chi tiết'!AO18</f>
        <v/>
      </c>
      <c r="AS456" s="389" t="str">
        <f t="shared" si="467"/>
        <v/>
      </c>
      <c r="AT456" s="389" t="str">
        <f t="shared" si="32"/>
        <v/>
      </c>
      <c r="AU456" s="389" t="str">
        <f t="shared" si="33"/>
        <v/>
      </c>
      <c r="AV456" s="389" t="str">
        <f t="shared" si="34"/>
        <v/>
      </c>
      <c r="AW456" s="389" t="str">
        <f t="shared" si="35"/>
        <v/>
      </c>
      <c r="AX456" s="67" t="str">
        <f t="shared" ref="AX456:BH456" si="471">Z456</f>
        <v/>
      </c>
      <c r="AY456" s="67" t="str">
        <f t="shared" si="471"/>
        <v/>
      </c>
      <c r="AZ456" s="67" t="str">
        <f t="shared" si="471"/>
        <v/>
      </c>
      <c r="BA456" s="67" t="str">
        <f t="shared" si="471"/>
        <v/>
      </c>
      <c r="BB456" s="398" t="str">
        <f t="shared" si="471"/>
        <v/>
      </c>
      <c r="BC456" s="358" t="str">
        <f t="shared" si="471"/>
        <v/>
      </c>
      <c r="BD456" s="187" t="str">
        <f t="shared" si="471"/>
        <v/>
      </c>
      <c r="BE456" s="104" t="str">
        <f t="shared" si="471"/>
        <v/>
      </c>
      <c r="BF456" s="389" t="str">
        <f t="shared" si="471"/>
        <v/>
      </c>
      <c r="BG456" s="389" t="str">
        <f t="shared" si="471"/>
        <v>🔵 Chưa có hạn</v>
      </c>
      <c r="BH456" s="67" t="str">
        <f t="shared" si="471"/>
        <v/>
      </c>
      <c r="BI456" s="389" t="str">
        <f t="array" ref="BI456">IF($X456="","",SWITCH($W456,3,IFERROR(INDEX('Lớp 3 - Công việc chính'!$AF$14:$AF$73,MATCH($X456,'Lớp 3 - Công việc chính'!$I$14:$I$73,0)),""),4,IFERROR(INDEX('Lớp 4 - Danh mục'!$AI$14:$AI$132,MATCH($X456,'Lớp 4 - Danh mục'!$I$14:$I$132,0)),""),5,IFERROR(INDEX('Lớp 5 - Phân công'!$AJ$14:$AJ$262,MATCH($X456,'Lớp 5 - Phân công'!$I$14:$I$262,0)),""),6,IFERROR(INDEX('Lớp 6 - Chi tiết'!$AM$14:$AM$267,MATCH($X456,'Lớp 6 - Chi tiết'!$I$14:$I$267,0)),""),""))</f>
        <v/>
      </c>
      <c r="BJ456" s="389" t="str">
        <f t="array" ref="BJ456">IF($X456="","",SWITCH($W456,3,IFERROR(INDEX('Lớp 3 - Công việc chính'!$AR$14:$AR$73,MATCH($X456,'Lớp 3 - Công việc chính'!$I$14:$I$73,0)),""),4,IFERROR(INDEX('Lớp 4 - Danh mục'!$AU$14:$AU$132,MATCH($X456,'Lớp 4 - Danh mục'!$I$14:$I$132,0)),""),5,IFERROR(INDEX('Lớp 5 - Phân công'!$AV$14:$AV$262,MATCH($X456,'Lớp 5 - Phân công'!$I$14:$I$262,0)),""),6,IFERROR(INDEX('Lớp 6 - Chi tiết'!$AY$14:$AY$267,MATCH($X456,'Lớp 6 - Chi tiết'!$I$14:$I$267,0)),""),""))</f>
        <v/>
      </c>
    </row>
    <row r="457" ht="15.75" customHeight="1">
      <c r="A457" s="294" t="str">
        <f t="shared" si="12"/>
        <v/>
      </c>
      <c r="B457" s="301" t="str">
        <f t="shared" si="13"/>
        <v/>
      </c>
      <c r="C457" s="301" t="str">
        <f t="shared" si="14"/>
        <v/>
      </c>
      <c r="D457" s="301" t="str">
        <f t="shared" si="15"/>
        <v/>
      </c>
      <c r="E457" s="301" t="str">
        <f t="shared" si="16"/>
        <v/>
      </c>
      <c r="F457" s="317" t="str">
        <f t="shared" si="17"/>
        <v/>
      </c>
      <c r="G457" s="323" t="str">
        <f t="shared" si="18"/>
        <v/>
      </c>
      <c r="H457" s="327" t="str">
        <f t="shared" si="19"/>
        <v/>
      </c>
      <c r="I457" s="327" t="str">
        <f t="shared" si="20"/>
        <v/>
      </c>
      <c r="J457" s="301" t="str">
        <f t="shared" si="21"/>
        <v/>
      </c>
      <c r="K457" s="301" t="str">
        <f t="shared" si="22"/>
        <v/>
      </c>
      <c r="L457" s="344" t="str">
        <f t="array" ref="L457">IF($T457="","",LET(m,MATCH($T457,$AS$24:$AS$700,0),lvl,INDEX($W$24:$W$700,m),id,INDEX($X$24:$X$700,m),SWITCH(lvl,3,"Lớp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7" s="351" t="str">
        <f t="shared" si="23"/>
        <v/>
      </c>
      <c r="N457" s="356" t="str">
        <f t="shared" si="24"/>
        <v/>
      </c>
      <c r="O457" s="358"/>
      <c r="P457" s="360"/>
      <c r="Q457" s="360"/>
      <c r="R457" s="67"/>
      <c r="S457" s="67"/>
      <c r="T457" s="67"/>
      <c r="U457" s="389" t="str">
        <f>IF('Lớp 6 - Chi tiết'!I19="","",'Lớp 6 - Chi tiết'!L19&amp;"|"&amp;'Lớp 6 - Chi tiết'!K19&amp;"|"&amp;'Lớp 6 - Chi tiết'!J19&amp;"|"&amp;'Lớp 6 - Chi tiết'!I19)</f>
        <v/>
      </c>
      <c r="V457" s="389" t="str">
        <f>IF('Lớp 6 - Chi tiết'!I19="","","           └─ "&amp;'Lớp 6 - Chi tiết'!S19)</f>
        <v/>
      </c>
      <c r="W457" s="389" t="str">
        <f>IF('Lớp 6 - Chi tiết'!I19="","",6)</f>
        <v/>
      </c>
      <c r="X457" s="67" t="str">
        <f>'Lớp 6 - Chi tiết'!I19</f>
        <v/>
      </c>
      <c r="Y457" s="67" t="str">
        <f>'Lớp 6 - Chi tiết'!J19</f>
        <v/>
      </c>
      <c r="Z457" s="67" t="str">
        <f>'Lớp 6 - Chi tiết'!AC19</f>
        <v/>
      </c>
      <c r="AA457" s="67" t="str">
        <f>'Lớp 6 - Chi tiết'!AB19</f>
        <v/>
      </c>
      <c r="AB457" s="67" t="str">
        <f>'Lớp 6 - Chi tiết'!AF19</f>
        <v/>
      </c>
      <c r="AC457" s="67" t="str">
        <f>'Lớp 6 - Chi tiết'!AE19</f>
        <v/>
      </c>
      <c r="AD457" s="398" t="str">
        <f>'Lớp 6 - Chi tiết'!AJ19</f>
        <v/>
      </c>
      <c r="AE457" s="358" t="str">
        <f>'Lớp 6 - Chi tiết'!AH19</f>
        <v/>
      </c>
      <c r="AF457" s="187" t="str">
        <f>'Lớp 6 - Chi tiết'!AK19</f>
        <v/>
      </c>
      <c r="AG457" s="104" t="str">
        <f>'Lớp 6 - Chi tiết'!AL19</f>
        <v/>
      </c>
      <c r="AH457" s="389" t="str">
        <f t="shared" si="27"/>
        <v/>
      </c>
      <c r="AI457" s="389" t="str">
        <f t="shared" si="37"/>
        <v>🔵 Chưa có hạn</v>
      </c>
      <c r="AJ457" s="67" t="str">
        <f>'Lớp 6 - Chi tiết'!AO19</f>
        <v/>
      </c>
      <c r="AS457" s="389" t="str">
        <f t="shared" si="467"/>
        <v/>
      </c>
      <c r="AT457" s="389" t="str">
        <f t="shared" si="32"/>
        <v/>
      </c>
      <c r="AU457" s="389" t="str">
        <f t="shared" si="33"/>
        <v/>
      </c>
      <c r="AV457" s="389" t="str">
        <f t="shared" si="34"/>
        <v/>
      </c>
      <c r="AW457" s="389" t="str">
        <f t="shared" si="35"/>
        <v/>
      </c>
      <c r="AX457" s="67" t="str">
        <f t="shared" ref="AX457:BH457" si="472">Z457</f>
        <v/>
      </c>
      <c r="AY457" s="67" t="str">
        <f t="shared" si="472"/>
        <v/>
      </c>
      <c r="AZ457" s="67" t="str">
        <f t="shared" si="472"/>
        <v/>
      </c>
      <c r="BA457" s="67" t="str">
        <f t="shared" si="472"/>
        <v/>
      </c>
      <c r="BB457" s="398" t="str">
        <f t="shared" si="472"/>
        <v/>
      </c>
      <c r="BC457" s="358" t="str">
        <f t="shared" si="472"/>
        <v/>
      </c>
      <c r="BD457" s="187" t="str">
        <f t="shared" si="472"/>
        <v/>
      </c>
      <c r="BE457" s="104" t="str">
        <f t="shared" si="472"/>
        <v/>
      </c>
      <c r="BF457" s="389" t="str">
        <f t="shared" si="472"/>
        <v/>
      </c>
      <c r="BG457" s="389" t="str">
        <f t="shared" si="472"/>
        <v>🔵 Chưa có hạn</v>
      </c>
      <c r="BH457" s="67" t="str">
        <f t="shared" si="472"/>
        <v/>
      </c>
      <c r="BI457" s="389" t="str">
        <f t="array" ref="BI457">IF($X457="","",SWITCH($W457,3,IFERROR(INDEX('Lớp 3 - Công việc chính'!$AF$14:$AF$73,MATCH($X457,'Lớp 3 - Công việc chính'!$I$14:$I$73,0)),""),4,IFERROR(INDEX('Lớp 4 - Danh mục'!$AI$14:$AI$132,MATCH($X457,'Lớp 4 - Danh mục'!$I$14:$I$132,0)),""),5,IFERROR(INDEX('Lớp 5 - Phân công'!$AJ$14:$AJ$262,MATCH($X457,'Lớp 5 - Phân công'!$I$14:$I$262,0)),""),6,IFERROR(INDEX('Lớp 6 - Chi tiết'!$AM$14:$AM$267,MATCH($X457,'Lớp 6 - Chi tiết'!$I$14:$I$267,0)),""),""))</f>
        <v/>
      </c>
      <c r="BJ457" s="389" t="str">
        <f t="array" ref="BJ457">IF($X457="","",SWITCH($W457,3,IFERROR(INDEX('Lớp 3 - Công việc chính'!$AR$14:$AR$73,MATCH($X457,'Lớp 3 - Công việc chính'!$I$14:$I$73,0)),""),4,IFERROR(INDEX('Lớp 4 - Danh mục'!$AU$14:$AU$132,MATCH($X457,'Lớp 4 - Danh mục'!$I$14:$I$132,0)),""),5,IFERROR(INDEX('Lớp 5 - Phân công'!$AV$14:$AV$262,MATCH($X457,'Lớp 5 - Phân công'!$I$14:$I$262,0)),""),6,IFERROR(INDEX('Lớp 6 - Chi tiết'!$AY$14:$AY$267,MATCH($X457,'Lớp 6 - Chi tiết'!$I$14:$I$267,0)),""),""))</f>
        <v/>
      </c>
    </row>
    <row r="458" ht="15.75" customHeight="1">
      <c r="A458" s="294" t="str">
        <f t="shared" si="12"/>
        <v/>
      </c>
      <c r="B458" s="301" t="str">
        <f t="shared" si="13"/>
        <v/>
      </c>
      <c r="C458" s="301" t="str">
        <f t="shared" si="14"/>
        <v/>
      </c>
      <c r="D458" s="301" t="str">
        <f t="shared" si="15"/>
        <v/>
      </c>
      <c r="E458" s="301" t="str">
        <f t="shared" si="16"/>
        <v/>
      </c>
      <c r="F458" s="317" t="str">
        <f t="shared" si="17"/>
        <v/>
      </c>
      <c r="G458" s="323" t="str">
        <f t="shared" si="18"/>
        <v/>
      </c>
      <c r="H458" s="327" t="str">
        <f t="shared" si="19"/>
        <v/>
      </c>
      <c r="I458" s="327" t="str">
        <f t="shared" si="20"/>
        <v/>
      </c>
      <c r="J458" s="301" t="str">
        <f t="shared" si="21"/>
        <v/>
      </c>
      <c r="K458" s="301" t="str">
        <f t="shared" si="22"/>
        <v/>
      </c>
      <c r="L458" s="344" t="str">
        <f t="array" ref="L458">IF($T458="","",LET(m,MATCH($T458,$AS$24:$AS$700,0),lvl,INDEX($W$24:$W$700,m),id,INDEX($X$24:$X$700,m),SWITCH(lvl,3,"Lớp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8" s="351" t="str">
        <f t="shared" si="23"/>
        <v/>
      </c>
      <c r="N458" s="356" t="str">
        <f t="shared" si="24"/>
        <v/>
      </c>
      <c r="O458" s="358"/>
      <c r="P458" s="360"/>
      <c r="Q458" s="360"/>
      <c r="R458" s="67"/>
      <c r="S458" s="67"/>
      <c r="T458" s="67"/>
      <c r="U458" s="389" t="str">
        <f>IF('Lớp 6 - Chi tiết'!I20="","",'Lớp 6 - Chi tiết'!L20&amp;"|"&amp;'Lớp 6 - Chi tiết'!K20&amp;"|"&amp;'Lớp 6 - Chi tiết'!J20&amp;"|"&amp;'Lớp 6 - Chi tiết'!I20)</f>
        <v/>
      </c>
      <c r="V458" s="389" t="str">
        <f>IF('Lớp 6 - Chi tiết'!I20="","","           └─ "&amp;'Lớp 6 - Chi tiết'!S20)</f>
        <v/>
      </c>
      <c r="W458" s="389" t="str">
        <f>IF('Lớp 6 - Chi tiết'!I20="","",6)</f>
        <v/>
      </c>
      <c r="X458" s="67" t="str">
        <f>'Lớp 6 - Chi tiết'!I20</f>
        <v/>
      </c>
      <c r="Y458" s="67" t="str">
        <f>'Lớp 6 - Chi tiết'!J20</f>
        <v/>
      </c>
      <c r="Z458" s="67" t="str">
        <f>'Lớp 6 - Chi tiết'!AC20</f>
        <v/>
      </c>
      <c r="AA458" s="67" t="str">
        <f>'Lớp 6 - Chi tiết'!AB20</f>
        <v/>
      </c>
      <c r="AB458" s="67" t="str">
        <f>'Lớp 6 - Chi tiết'!AF20</f>
        <v/>
      </c>
      <c r="AC458" s="67" t="str">
        <f>'Lớp 6 - Chi tiết'!AE20</f>
        <v/>
      </c>
      <c r="AD458" s="398" t="str">
        <f>'Lớp 6 - Chi tiết'!AJ20</f>
        <v/>
      </c>
      <c r="AE458" s="358" t="str">
        <f>'Lớp 6 - Chi tiết'!AH20</f>
        <v/>
      </c>
      <c r="AF458" s="187" t="str">
        <f>'Lớp 6 - Chi tiết'!AK20</f>
        <v/>
      </c>
      <c r="AG458" s="104" t="str">
        <f>'Lớp 6 - Chi tiết'!AL20</f>
        <v/>
      </c>
      <c r="AH458" s="389" t="str">
        <f t="shared" si="27"/>
        <v/>
      </c>
      <c r="AI458" s="389" t="str">
        <f t="shared" si="37"/>
        <v>🔵 Chưa có hạn</v>
      </c>
      <c r="AJ458" s="67" t="str">
        <f>'Lớp 6 - Chi tiết'!AO20</f>
        <v/>
      </c>
      <c r="AS458" s="389" t="str">
        <f t="shared" si="467"/>
        <v/>
      </c>
      <c r="AT458" s="389" t="str">
        <f t="shared" si="32"/>
        <v/>
      </c>
      <c r="AU458" s="389" t="str">
        <f t="shared" si="33"/>
        <v/>
      </c>
      <c r="AV458" s="389" t="str">
        <f t="shared" si="34"/>
        <v/>
      </c>
      <c r="AW458" s="389" t="str">
        <f t="shared" si="35"/>
        <v/>
      </c>
      <c r="AX458" s="67" t="str">
        <f t="shared" ref="AX458:BH458" si="473">Z458</f>
        <v/>
      </c>
      <c r="AY458" s="67" t="str">
        <f t="shared" si="473"/>
        <v/>
      </c>
      <c r="AZ458" s="67" t="str">
        <f t="shared" si="473"/>
        <v/>
      </c>
      <c r="BA458" s="67" t="str">
        <f t="shared" si="473"/>
        <v/>
      </c>
      <c r="BB458" s="398" t="str">
        <f t="shared" si="473"/>
        <v/>
      </c>
      <c r="BC458" s="358" t="str">
        <f t="shared" si="473"/>
        <v/>
      </c>
      <c r="BD458" s="187" t="str">
        <f t="shared" si="473"/>
        <v/>
      </c>
      <c r="BE458" s="104" t="str">
        <f t="shared" si="473"/>
        <v/>
      </c>
      <c r="BF458" s="389" t="str">
        <f t="shared" si="473"/>
        <v/>
      </c>
      <c r="BG458" s="389" t="str">
        <f t="shared" si="473"/>
        <v>🔵 Chưa có hạn</v>
      </c>
      <c r="BH458" s="67" t="str">
        <f t="shared" si="473"/>
        <v/>
      </c>
      <c r="BI458" s="389" t="str">
        <f t="array" ref="BI458">IF($X458="","",SWITCH($W458,3,IFERROR(INDEX('Lớp 3 - Công việc chính'!$AF$14:$AF$73,MATCH($X458,'Lớp 3 - Công việc chính'!$I$14:$I$73,0)),""),4,IFERROR(INDEX('Lớp 4 - Danh mục'!$AI$14:$AI$132,MATCH($X458,'Lớp 4 - Danh mục'!$I$14:$I$132,0)),""),5,IFERROR(INDEX('Lớp 5 - Phân công'!$AJ$14:$AJ$262,MATCH($X458,'Lớp 5 - Phân công'!$I$14:$I$262,0)),""),6,IFERROR(INDEX('Lớp 6 - Chi tiết'!$AM$14:$AM$267,MATCH($X458,'Lớp 6 - Chi tiết'!$I$14:$I$267,0)),""),""))</f>
        <v/>
      </c>
      <c r="BJ458" s="389" t="str">
        <f t="array" ref="BJ458">IF($X458="","",SWITCH($W458,3,IFERROR(INDEX('Lớp 3 - Công việc chính'!$AR$14:$AR$73,MATCH($X458,'Lớp 3 - Công việc chính'!$I$14:$I$73,0)),""),4,IFERROR(INDEX('Lớp 4 - Danh mục'!$AU$14:$AU$132,MATCH($X458,'Lớp 4 - Danh mục'!$I$14:$I$132,0)),""),5,IFERROR(INDEX('Lớp 5 - Phân công'!$AV$14:$AV$262,MATCH($X458,'Lớp 5 - Phân công'!$I$14:$I$262,0)),""),6,IFERROR(INDEX('Lớp 6 - Chi tiết'!$AY$14:$AY$267,MATCH($X458,'Lớp 6 - Chi tiết'!$I$14:$I$267,0)),""),""))</f>
        <v/>
      </c>
    </row>
    <row r="459" ht="15.75" customHeight="1">
      <c r="A459" s="294" t="str">
        <f t="shared" si="12"/>
        <v/>
      </c>
      <c r="B459" s="301" t="str">
        <f t="shared" si="13"/>
        <v/>
      </c>
      <c r="C459" s="301" t="str">
        <f t="shared" si="14"/>
        <v/>
      </c>
      <c r="D459" s="301" t="str">
        <f t="shared" si="15"/>
        <v/>
      </c>
      <c r="E459" s="301" t="str">
        <f t="shared" si="16"/>
        <v/>
      </c>
      <c r="F459" s="317" t="str">
        <f t="shared" si="17"/>
        <v/>
      </c>
      <c r="G459" s="323" t="str">
        <f t="shared" si="18"/>
        <v/>
      </c>
      <c r="H459" s="327" t="str">
        <f t="shared" si="19"/>
        <v/>
      </c>
      <c r="I459" s="327" t="str">
        <f t="shared" si="20"/>
        <v/>
      </c>
      <c r="J459" s="301" t="str">
        <f t="shared" si="21"/>
        <v/>
      </c>
      <c r="K459" s="301" t="str">
        <f t="shared" si="22"/>
        <v/>
      </c>
      <c r="L459" s="344" t="str">
        <f t="array" ref="L459">IF($T459="","",LET(m,MATCH($T459,$AS$24:$AS$700,0),lvl,INDEX($W$24:$W$700,m),id,INDEX($X$24:$X$700,m),SWITCH(lvl,3,"Lớp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59" s="351" t="str">
        <f t="shared" si="23"/>
        <v/>
      </c>
      <c r="N459" s="356" t="str">
        <f t="shared" si="24"/>
        <v/>
      </c>
      <c r="O459" s="358"/>
      <c r="P459" s="360"/>
      <c r="Q459" s="360"/>
      <c r="R459" s="67"/>
      <c r="S459" s="67"/>
      <c r="T459" s="67"/>
      <c r="U459" s="389" t="str">
        <f>IF('Lớp 6 - Chi tiết'!I21="","",'Lớp 6 - Chi tiết'!L21&amp;"|"&amp;'Lớp 6 - Chi tiết'!K21&amp;"|"&amp;'Lớp 6 - Chi tiết'!J21&amp;"|"&amp;'Lớp 6 - Chi tiết'!I21)</f>
        <v/>
      </c>
      <c r="V459" s="389" t="str">
        <f>IF('Lớp 6 - Chi tiết'!I21="","","           └─ "&amp;'Lớp 6 - Chi tiết'!S21)</f>
        <v/>
      </c>
      <c r="W459" s="389" t="str">
        <f>IF('Lớp 6 - Chi tiết'!I21="","",6)</f>
        <v/>
      </c>
      <c r="X459" s="67" t="str">
        <f>'Lớp 6 - Chi tiết'!I21</f>
        <v/>
      </c>
      <c r="Y459" s="389" t="str">
        <f>'Lớp 6 - Chi tiết'!J21</f>
        <v/>
      </c>
      <c r="Z459" s="67" t="str">
        <f>'Lớp 6 - Chi tiết'!AC21</f>
        <v/>
      </c>
      <c r="AA459" s="67" t="str">
        <f>'Lớp 6 - Chi tiết'!AB21</f>
        <v/>
      </c>
      <c r="AB459" s="67" t="str">
        <f>'Lớp 6 - Chi tiết'!AF21</f>
        <v/>
      </c>
      <c r="AC459" s="67" t="str">
        <f>'Lớp 6 - Chi tiết'!AE21</f>
        <v/>
      </c>
      <c r="AD459" s="398" t="str">
        <f>'Lớp 6 - Chi tiết'!AJ21</f>
        <v/>
      </c>
      <c r="AE459" s="358" t="str">
        <f>'Lớp 6 - Chi tiết'!AH21</f>
        <v/>
      </c>
      <c r="AF459" s="187" t="str">
        <f>'Lớp 6 - Chi tiết'!AK21</f>
        <v/>
      </c>
      <c r="AG459" s="104" t="str">
        <f>'Lớp 6 - Chi tiết'!AL21</f>
        <v/>
      </c>
      <c r="AH459" s="389" t="str">
        <f t="shared" si="27"/>
        <v/>
      </c>
      <c r="AI459" s="389" t="str">
        <f t="shared" si="37"/>
        <v>🔵 Chưa có hạn</v>
      </c>
      <c r="AJ459" s="67" t="str">
        <f>'Lớp 6 - Chi tiết'!AO21</f>
        <v/>
      </c>
      <c r="AS459" s="389" t="str">
        <f t="shared" si="467"/>
        <v/>
      </c>
      <c r="AT459" s="389" t="str">
        <f t="shared" si="32"/>
        <v/>
      </c>
      <c r="AU459" s="389" t="str">
        <f t="shared" si="33"/>
        <v/>
      </c>
      <c r="AV459" s="389" t="str">
        <f t="shared" si="34"/>
        <v/>
      </c>
      <c r="AW459" s="389" t="str">
        <f t="shared" si="35"/>
        <v/>
      </c>
      <c r="AX459" s="67" t="str">
        <f t="shared" ref="AX459:BH459" si="474">Z459</f>
        <v/>
      </c>
      <c r="AY459" s="67" t="str">
        <f t="shared" si="474"/>
        <v/>
      </c>
      <c r="AZ459" s="67" t="str">
        <f t="shared" si="474"/>
        <v/>
      </c>
      <c r="BA459" s="67" t="str">
        <f t="shared" si="474"/>
        <v/>
      </c>
      <c r="BB459" s="398" t="str">
        <f t="shared" si="474"/>
        <v/>
      </c>
      <c r="BC459" s="358" t="str">
        <f t="shared" si="474"/>
        <v/>
      </c>
      <c r="BD459" s="187" t="str">
        <f t="shared" si="474"/>
        <v/>
      </c>
      <c r="BE459" s="104" t="str">
        <f t="shared" si="474"/>
        <v/>
      </c>
      <c r="BF459" s="389" t="str">
        <f t="shared" si="474"/>
        <v/>
      </c>
      <c r="BG459" s="389" t="str">
        <f t="shared" si="474"/>
        <v>🔵 Chưa có hạn</v>
      </c>
      <c r="BH459" s="67" t="str">
        <f t="shared" si="474"/>
        <v/>
      </c>
      <c r="BI459" s="389" t="str">
        <f t="array" ref="BI459">IF($X459="","",SWITCH($W459,3,IFERROR(INDEX('Lớp 3 - Công việc chính'!$AF$14:$AF$73,MATCH($X459,'Lớp 3 - Công việc chính'!$I$14:$I$73,0)),""),4,IFERROR(INDEX('Lớp 4 - Danh mục'!$AI$14:$AI$132,MATCH($X459,'Lớp 4 - Danh mục'!$I$14:$I$132,0)),""),5,IFERROR(INDEX('Lớp 5 - Phân công'!$AJ$14:$AJ$262,MATCH($X459,'Lớp 5 - Phân công'!$I$14:$I$262,0)),""),6,IFERROR(INDEX('Lớp 6 - Chi tiết'!$AM$14:$AM$267,MATCH($X459,'Lớp 6 - Chi tiết'!$I$14:$I$267,0)),""),""))</f>
        <v/>
      </c>
      <c r="BJ459" s="389" t="str">
        <f t="array" ref="BJ459">IF($X459="","",SWITCH($W459,3,IFERROR(INDEX('Lớp 3 - Công việc chính'!$AR$14:$AR$73,MATCH($X459,'Lớp 3 - Công việc chính'!$I$14:$I$73,0)),""),4,IFERROR(INDEX('Lớp 4 - Danh mục'!$AU$14:$AU$132,MATCH($X459,'Lớp 4 - Danh mục'!$I$14:$I$132,0)),""),5,IFERROR(INDEX('Lớp 5 - Phân công'!$AV$14:$AV$262,MATCH($X459,'Lớp 5 - Phân công'!$I$14:$I$262,0)),""),6,IFERROR(INDEX('Lớp 6 - Chi tiết'!$AY$14:$AY$267,MATCH($X459,'Lớp 6 - Chi tiết'!$I$14:$I$267,0)),""),""))</f>
        <v/>
      </c>
    </row>
    <row r="460" ht="15.75" customHeight="1">
      <c r="A460" s="294" t="str">
        <f t="shared" si="12"/>
        <v/>
      </c>
      <c r="B460" s="301" t="str">
        <f t="shared" si="13"/>
        <v/>
      </c>
      <c r="C460" s="301" t="str">
        <f t="shared" si="14"/>
        <v/>
      </c>
      <c r="D460" s="301" t="str">
        <f t="shared" si="15"/>
        <v/>
      </c>
      <c r="E460" s="301" t="str">
        <f t="shared" si="16"/>
        <v/>
      </c>
      <c r="F460" s="317" t="str">
        <f t="shared" si="17"/>
        <v/>
      </c>
      <c r="G460" s="323" t="str">
        <f t="shared" si="18"/>
        <v/>
      </c>
      <c r="H460" s="327" t="str">
        <f t="shared" si="19"/>
        <v/>
      </c>
      <c r="I460" s="327" t="str">
        <f t="shared" si="20"/>
        <v/>
      </c>
      <c r="J460" s="301" t="str">
        <f t="shared" si="21"/>
        <v/>
      </c>
      <c r="K460" s="301" t="str">
        <f t="shared" si="22"/>
        <v/>
      </c>
      <c r="L460" s="344" t="str">
        <f t="array" ref="L460">IF($T460="","",LET(m,MATCH($T460,$AS$24:$AS$700,0),lvl,INDEX($W$24:$W$700,m),id,INDEX($X$24:$X$700,m),SWITCH(lvl,3,"Lớp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0" s="351" t="str">
        <f t="shared" si="23"/>
        <v/>
      </c>
      <c r="N460" s="356" t="str">
        <f t="shared" si="24"/>
        <v/>
      </c>
      <c r="O460" s="358"/>
      <c r="P460" s="360"/>
      <c r="Q460" s="360"/>
      <c r="R460" s="67"/>
      <c r="S460" s="67"/>
      <c r="T460" s="67"/>
      <c r="U460" s="389" t="str">
        <f>IF('Lớp 6 - Chi tiết'!I22="","",'Lớp 6 - Chi tiết'!L22&amp;"|"&amp;'Lớp 6 - Chi tiết'!K22&amp;"|"&amp;'Lớp 6 - Chi tiết'!J22&amp;"|"&amp;'Lớp 6 - Chi tiết'!I22)</f>
        <v/>
      </c>
      <c r="V460" s="389" t="str">
        <f>IF('Lớp 6 - Chi tiết'!I22="","","           └─ "&amp;'Lớp 6 - Chi tiết'!S22)</f>
        <v/>
      </c>
      <c r="W460" s="389" t="str">
        <f>IF('Lớp 6 - Chi tiết'!I22="","",6)</f>
        <v/>
      </c>
      <c r="X460" s="67" t="str">
        <f>'Lớp 6 - Chi tiết'!I22</f>
        <v/>
      </c>
      <c r="Y460" s="389" t="str">
        <f>'Lớp 6 - Chi tiết'!J22</f>
        <v/>
      </c>
      <c r="Z460" s="67" t="str">
        <f>'Lớp 6 - Chi tiết'!AC22</f>
        <v/>
      </c>
      <c r="AA460" s="67" t="str">
        <f>'Lớp 6 - Chi tiết'!AB22</f>
        <v/>
      </c>
      <c r="AB460" s="67" t="str">
        <f>'Lớp 6 - Chi tiết'!AF22</f>
        <v/>
      </c>
      <c r="AC460" s="67" t="str">
        <f>'Lớp 6 - Chi tiết'!AE22</f>
        <v/>
      </c>
      <c r="AD460" s="398" t="str">
        <f>'Lớp 6 - Chi tiết'!AJ22</f>
        <v/>
      </c>
      <c r="AE460" s="358" t="str">
        <f>'Lớp 6 - Chi tiết'!AH22</f>
        <v/>
      </c>
      <c r="AF460" s="187" t="str">
        <f>'Lớp 6 - Chi tiết'!AK22</f>
        <v/>
      </c>
      <c r="AG460" s="104" t="str">
        <f>'Lớp 6 - Chi tiết'!AL22</f>
        <v/>
      </c>
      <c r="AH460" s="389" t="str">
        <f t="shared" si="27"/>
        <v/>
      </c>
      <c r="AI460" s="389" t="str">
        <f t="shared" si="37"/>
        <v>🔵 Chưa có hạn</v>
      </c>
      <c r="AJ460" s="67" t="str">
        <f>'Lớp 6 - Chi tiết'!AO22</f>
        <v/>
      </c>
      <c r="AS460" s="389" t="str">
        <f t="shared" si="467"/>
        <v/>
      </c>
      <c r="AT460" s="389" t="str">
        <f t="shared" si="32"/>
        <v/>
      </c>
      <c r="AU460" s="389" t="str">
        <f t="shared" si="33"/>
        <v/>
      </c>
      <c r="AV460" s="389" t="str">
        <f t="shared" si="34"/>
        <v/>
      </c>
      <c r="AW460" s="389" t="str">
        <f t="shared" si="35"/>
        <v/>
      </c>
      <c r="AX460" s="67" t="str">
        <f t="shared" ref="AX460:BH460" si="475">Z460</f>
        <v/>
      </c>
      <c r="AY460" s="67" t="str">
        <f t="shared" si="475"/>
        <v/>
      </c>
      <c r="AZ460" s="67" t="str">
        <f t="shared" si="475"/>
        <v/>
      </c>
      <c r="BA460" s="67" t="str">
        <f t="shared" si="475"/>
        <v/>
      </c>
      <c r="BB460" s="398" t="str">
        <f t="shared" si="475"/>
        <v/>
      </c>
      <c r="BC460" s="358" t="str">
        <f t="shared" si="475"/>
        <v/>
      </c>
      <c r="BD460" s="187" t="str">
        <f t="shared" si="475"/>
        <v/>
      </c>
      <c r="BE460" s="104" t="str">
        <f t="shared" si="475"/>
        <v/>
      </c>
      <c r="BF460" s="389" t="str">
        <f t="shared" si="475"/>
        <v/>
      </c>
      <c r="BG460" s="389" t="str">
        <f t="shared" si="475"/>
        <v>🔵 Chưa có hạn</v>
      </c>
      <c r="BH460" s="67" t="str">
        <f t="shared" si="475"/>
        <v/>
      </c>
      <c r="BI460" s="389" t="str">
        <f t="array" ref="BI460">IF($X460="","",SWITCH($W460,3,IFERROR(INDEX('Lớp 3 - Công việc chính'!$AF$14:$AF$73,MATCH($X460,'Lớp 3 - Công việc chính'!$I$14:$I$73,0)),""),4,IFERROR(INDEX('Lớp 4 - Danh mục'!$AI$14:$AI$132,MATCH($X460,'Lớp 4 - Danh mục'!$I$14:$I$132,0)),""),5,IFERROR(INDEX('Lớp 5 - Phân công'!$AJ$14:$AJ$262,MATCH($X460,'Lớp 5 - Phân công'!$I$14:$I$262,0)),""),6,IFERROR(INDEX('Lớp 6 - Chi tiết'!$AM$14:$AM$267,MATCH($X460,'Lớp 6 - Chi tiết'!$I$14:$I$267,0)),""),""))</f>
        <v/>
      </c>
      <c r="BJ460" s="389" t="str">
        <f t="array" ref="BJ460">IF($X460="","",SWITCH($W460,3,IFERROR(INDEX('Lớp 3 - Công việc chính'!$AR$14:$AR$73,MATCH($X460,'Lớp 3 - Công việc chính'!$I$14:$I$73,0)),""),4,IFERROR(INDEX('Lớp 4 - Danh mục'!$AU$14:$AU$132,MATCH($X460,'Lớp 4 - Danh mục'!$I$14:$I$132,0)),""),5,IFERROR(INDEX('Lớp 5 - Phân công'!$AV$14:$AV$262,MATCH($X460,'Lớp 5 - Phân công'!$I$14:$I$262,0)),""),6,IFERROR(INDEX('Lớp 6 - Chi tiết'!$AY$14:$AY$267,MATCH($X460,'Lớp 6 - Chi tiết'!$I$14:$I$267,0)),""),""))</f>
        <v/>
      </c>
    </row>
    <row r="461" ht="15.75" customHeight="1">
      <c r="A461" s="294" t="str">
        <f t="shared" si="12"/>
        <v/>
      </c>
      <c r="B461" s="301" t="str">
        <f t="shared" si="13"/>
        <v/>
      </c>
      <c r="C461" s="301" t="str">
        <f t="shared" si="14"/>
        <v/>
      </c>
      <c r="D461" s="301" t="str">
        <f t="shared" si="15"/>
        <v/>
      </c>
      <c r="E461" s="301" t="str">
        <f t="shared" si="16"/>
        <v/>
      </c>
      <c r="F461" s="317" t="str">
        <f t="shared" si="17"/>
        <v/>
      </c>
      <c r="G461" s="323" t="str">
        <f t="shared" si="18"/>
        <v/>
      </c>
      <c r="H461" s="327" t="str">
        <f t="shared" si="19"/>
        <v/>
      </c>
      <c r="I461" s="327" t="str">
        <f t="shared" si="20"/>
        <v/>
      </c>
      <c r="J461" s="301" t="str">
        <f t="shared" si="21"/>
        <v/>
      </c>
      <c r="K461" s="301" t="str">
        <f t="shared" si="22"/>
        <v/>
      </c>
      <c r="L461" s="344" t="str">
        <f t="array" ref="L461">IF($T461="","",LET(m,MATCH($T461,$AS$24:$AS$700,0),lvl,INDEX($W$24:$W$700,m),id,INDEX($X$24:$X$700,m),SWITCH(lvl,3,"Lớp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1" s="351" t="str">
        <f t="shared" si="23"/>
        <v/>
      </c>
      <c r="N461" s="356" t="str">
        <f t="shared" si="24"/>
        <v/>
      </c>
      <c r="O461" s="358"/>
      <c r="P461" s="360"/>
      <c r="Q461" s="360"/>
      <c r="R461" s="67"/>
      <c r="S461" s="67"/>
      <c r="T461" s="67"/>
      <c r="U461" s="389" t="str">
        <f>IF('Lớp 6 - Chi tiết'!I23="","",'Lớp 6 - Chi tiết'!L23&amp;"|"&amp;'Lớp 6 - Chi tiết'!K23&amp;"|"&amp;'Lớp 6 - Chi tiết'!J23&amp;"|"&amp;'Lớp 6 - Chi tiết'!I23)</f>
        <v/>
      </c>
      <c r="V461" s="389" t="str">
        <f>IF('Lớp 6 - Chi tiết'!I23="","","           └─ "&amp;'Lớp 6 - Chi tiết'!S23)</f>
        <v/>
      </c>
      <c r="W461" s="389" t="str">
        <f>IF('Lớp 6 - Chi tiết'!I23="","",6)</f>
        <v/>
      </c>
      <c r="X461" s="67" t="str">
        <f>'Lớp 6 - Chi tiết'!I23</f>
        <v/>
      </c>
      <c r="Y461" s="389" t="str">
        <f>'Lớp 6 - Chi tiết'!J23</f>
        <v/>
      </c>
      <c r="Z461" s="67" t="str">
        <f>'Lớp 6 - Chi tiết'!AC23</f>
        <v/>
      </c>
      <c r="AA461" s="67" t="str">
        <f>'Lớp 6 - Chi tiết'!AB23</f>
        <v/>
      </c>
      <c r="AB461" s="67" t="str">
        <f>'Lớp 6 - Chi tiết'!AF23</f>
        <v/>
      </c>
      <c r="AC461" s="67" t="str">
        <f>'Lớp 6 - Chi tiết'!AE23</f>
        <v/>
      </c>
      <c r="AD461" s="398" t="str">
        <f>'Lớp 6 - Chi tiết'!AJ23</f>
        <v/>
      </c>
      <c r="AE461" s="358" t="str">
        <f>'Lớp 6 - Chi tiết'!AH23</f>
        <v/>
      </c>
      <c r="AF461" s="187" t="str">
        <f>'Lớp 6 - Chi tiết'!AK23</f>
        <v/>
      </c>
      <c r="AG461" s="104" t="str">
        <f>'Lớp 6 - Chi tiết'!AL23</f>
        <v/>
      </c>
      <c r="AH461" s="389" t="str">
        <f t="shared" si="27"/>
        <v/>
      </c>
      <c r="AI461" s="389" t="str">
        <f t="shared" si="37"/>
        <v>🔵 Chưa có hạn</v>
      </c>
      <c r="AJ461" s="67" t="str">
        <f>'Lớp 6 - Chi tiết'!AO23</f>
        <v/>
      </c>
      <c r="AS461" s="389" t="str">
        <f t="shared" si="467"/>
        <v/>
      </c>
      <c r="AT461" s="389" t="str">
        <f t="shared" si="32"/>
        <v/>
      </c>
      <c r="AU461" s="389" t="str">
        <f t="shared" si="33"/>
        <v/>
      </c>
      <c r="AV461" s="389" t="str">
        <f t="shared" si="34"/>
        <v/>
      </c>
      <c r="AW461" s="389" t="str">
        <f t="shared" si="35"/>
        <v/>
      </c>
      <c r="AX461" s="67" t="str">
        <f t="shared" ref="AX461:BH461" si="476">Z461</f>
        <v/>
      </c>
      <c r="AY461" s="67" t="str">
        <f t="shared" si="476"/>
        <v/>
      </c>
      <c r="AZ461" s="67" t="str">
        <f t="shared" si="476"/>
        <v/>
      </c>
      <c r="BA461" s="67" t="str">
        <f t="shared" si="476"/>
        <v/>
      </c>
      <c r="BB461" s="398" t="str">
        <f t="shared" si="476"/>
        <v/>
      </c>
      <c r="BC461" s="358" t="str">
        <f t="shared" si="476"/>
        <v/>
      </c>
      <c r="BD461" s="187" t="str">
        <f t="shared" si="476"/>
        <v/>
      </c>
      <c r="BE461" s="104" t="str">
        <f t="shared" si="476"/>
        <v/>
      </c>
      <c r="BF461" s="389" t="str">
        <f t="shared" si="476"/>
        <v/>
      </c>
      <c r="BG461" s="389" t="str">
        <f t="shared" si="476"/>
        <v>🔵 Chưa có hạn</v>
      </c>
      <c r="BH461" s="67" t="str">
        <f t="shared" si="476"/>
        <v/>
      </c>
      <c r="BI461" s="389" t="str">
        <f t="array" ref="BI461">IF($X461="","",SWITCH($W461,3,IFERROR(INDEX('Lớp 3 - Công việc chính'!$AF$14:$AF$73,MATCH($X461,'Lớp 3 - Công việc chính'!$I$14:$I$73,0)),""),4,IFERROR(INDEX('Lớp 4 - Danh mục'!$AI$14:$AI$132,MATCH($X461,'Lớp 4 - Danh mục'!$I$14:$I$132,0)),""),5,IFERROR(INDEX('Lớp 5 - Phân công'!$AJ$14:$AJ$262,MATCH($X461,'Lớp 5 - Phân công'!$I$14:$I$262,0)),""),6,IFERROR(INDEX('Lớp 6 - Chi tiết'!$AM$14:$AM$267,MATCH($X461,'Lớp 6 - Chi tiết'!$I$14:$I$267,0)),""),""))</f>
        <v/>
      </c>
      <c r="BJ461" s="389" t="str">
        <f t="array" ref="BJ461">IF($X461="","",SWITCH($W461,3,IFERROR(INDEX('Lớp 3 - Công việc chính'!$AR$14:$AR$73,MATCH($X461,'Lớp 3 - Công việc chính'!$I$14:$I$73,0)),""),4,IFERROR(INDEX('Lớp 4 - Danh mục'!$AU$14:$AU$132,MATCH($X461,'Lớp 4 - Danh mục'!$I$14:$I$132,0)),""),5,IFERROR(INDEX('Lớp 5 - Phân công'!$AV$14:$AV$262,MATCH($X461,'Lớp 5 - Phân công'!$I$14:$I$262,0)),""),6,IFERROR(INDEX('Lớp 6 - Chi tiết'!$AY$14:$AY$267,MATCH($X461,'Lớp 6 - Chi tiết'!$I$14:$I$267,0)),""),""))</f>
        <v/>
      </c>
    </row>
    <row r="462" ht="15.75" customHeight="1">
      <c r="A462" s="294" t="str">
        <f t="shared" si="12"/>
        <v/>
      </c>
      <c r="B462" s="301" t="str">
        <f t="shared" si="13"/>
        <v/>
      </c>
      <c r="C462" s="301" t="str">
        <f t="shared" si="14"/>
        <v/>
      </c>
      <c r="D462" s="301" t="str">
        <f t="shared" si="15"/>
        <v/>
      </c>
      <c r="E462" s="301" t="str">
        <f t="shared" si="16"/>
        <v/>
      </c>
      <c r="F462" s="317" t="str">
        <f t="shared" si="17"/>
        <v/>
      </c>
      <c r="G462" s="323" t="str">
        <f t="shared" si="18"/>
        <v/>
      </c>
      <c r="H462" s="327" t="str">
        <f t="shared" si="19"/>
        <v/>
      </c>
      <c r="I462" s="327" t="str">
        <f t="shared" si="20"/>
        <v/>
      </c>
      <c r="J462" s="301" t="str">
        <f t="shared" si="21"/>
        <v/>
      </c>
      <c r="K462" s="301" t="str">
        <f t="shared" si="22"/>
        <v/>
      </c>
      <c r="L462" s="344" t="str">
        <f t="array" ref="L462">IF($T462="","",LET(m,MATCH($T462,$AS$24:$AS$700,0),lvl,INDEX($W$24:$W$700,m),id,INDEX($X$24:$X$700,m),SWITCH(lvl,3,"Lớp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2" s="351" t="str">
        <f t="shared" si="23"/>
        <v/>
      </c>
      <c r="N462" s="356" t="str">
        <f t="shared" si="24"/>
        <v/>
      </c>
      <c r="O462" s="358"/>
      <c r="P462" s="360"/>
      <c r="Q462" s="360"/>
      <c r="R462" s="67"/>
      <c r="S462" s="67"/>
      <c r="T462" s="67"/>
      <c r="U462" s="389" t="str">
        <f>IF('Lớp 6 - Chi tiết'!I24="","",'Lớp 6 - Chi tiết'!L24&amp;"|"&amp;'Lớp 6 - Chi tiết'!K24&amp;"|"&amp;'Lớp 6 - Chi tiết'!J24&amp;"|"&amp;'Lớp 6 - Chi tiết'!I24)</f>
        <v/>
      </c>
      <c r="V462" s="389" t="str">
        <f>IF('Lớp 6 - Chi tiết'!I24="","","           └─ "&amp;'Lớp 6 - Chi tiết'!S24)</f>
        <v/>
      </c>
      <c r="W462" s="389" t="str">
        <f>IF('Lớp 6 - Chi tiết'!I24="","",6)</f>
        <v/>
      </c>
      <c r="X462" s="67" t="str">
        <f>'Lớp 6 - Chi tiết'!I24</f>
        <v/>
      </c>
      <c r="Y462" s="389" t="str">
        <f>'Lớp 6 - Chi tiết'!J24</f>
        <v/>
      </c>
      <c r="Z462" s="67" t="str">
        <f>'Lớp 6 - Chi tiết'!AC24</f>
        <v/>
      </c>
      <c r="AA462" s="67" t="str">
        <f>'Lớp 6 - Chi tiết'!AB24</f>
        <v/>
      </c>
      <c r="AB462" s="67" t="str">
        <f>'Lớp 6 - Chi tiết'!AF24</f>
        <v/>
      </c>
      <c r="AC462" s="67" t="str">
        <f>'Lớp 6 - Chi tiết'!AE24</f>
        <v/>
      </c>
      <c r="AD462" s="398" t="str">
        <f>'Lớp 6 - Chi tiết'!AJ24</f>
        <v/>
      </c>
      <c r="AE462" s="358" t="str">
        <f>'Lớp 6 - Chi tiết'!AH24</f>
        <v/>
      </c>
      <c r="AF462" s="187" t="str">
        <f>'Lớp 6 - Chi tiết'!AK24</f>
        <v/>
      </c>
      <c r="AG462" s="104" t="str">
        <f>'Lớp 6 - Chi tiết'!AL24</f>
        <v/>
      </c>
      <c r="AH462" s="389" t="str">
        <f t="shared" si="27"/>
        <v/>
      </c>
      <c r="AI462" s="389" t="str">
        <f t="shared" si="37"/>
        <v>🔵 Chưa có hạn</v>
      </c>
      <c r="AJ462" s="67" t="str">
        <f>'Lớp 6 - Chi tiết'!AO24</f>
        <v/>
      </c>
      <c r="AS462" s="389" t="str">
        <f t="shared" si="467"/>
        <v/>
      </c>
      <c r="AT462" s="389" t="str">
        <f t="shared" si="32"/>
        <v/>
      </c>
      <c r="AU462" s="389" t="str">
        <f t="shared" si="33"/>
        <v/>
      </c>
      <c r="AV462" s="389" t="str">
        <f t="shared" si="34"/>
        <v/>
      </c>
      <c r="AW462" s="389" t="str">
        <f t="shared" si="35"/>
        <v/>
      </c>
      <c r="AX462" s="67" t="str">
        <f t="shared" ref="AX462:BH462" si="477">Z462</f>
        <v/>
      </c>
      <c r="AY462" s="67" t="str">
        <f t="shared" si="477"/>
        <v/>
      </c>
      <c r="AZ462" s="67" t="str">
        <f t="shared" si="477"/>
        <v/>
      </c>
      <c r="BA462" s="67" t="str">
        <f t="shared" si="477"/>
        <v/>
      </c>
      <c r="BB462" s="398" t="str">
        <f t="shared" si="477"/>
        <v/>
      </c>
      <c r="BC462" s="358" t="str">
        <f t="shared" si="477"/>
        <v/>
      </c>
      <c r="BD462" s="187" t="str">
        <f t="shared" si="477"/>
        <v/>
      </c>
      <c r="BE462" s="104" t="str">
        <f t="shared" si="477"/>
        <v/>
      </c>
      <c r="BF462" s="389" t="str">
        <f t="shared" si="477"/>
        <v/>
      </c>
      <c r="BG462" s="389" t="str">
        <f t="shared" si="477"/>
        <v>🔵 Chưa có hạn</v>
      </c>
      <c r="BH462" s="67" t="str">
        <f t="shared" si="477"/>
        <v/>
      </c>
      <c r="BI462" s="389" t="str">
        <f t="array" ref="BI462">IF($X462="","",SWITCH($W462,3,IFERROR(INDEX('Lớp 3 - Công việc chính'!$AF$14:$AF$73,MATCH($X462,'Lớp 3 - Công việc chính'!$I$14:$I$73,0)),""),4,IFERROR(INDEX('Lớp 4 - Danh mục'!$AI$14:$AI$132,MATCH($X462,'Lớp 4 - Danh mục'!$I$14:$I$132,0)),""),5,IFERROR(INDEX('Lớp 5 - Phân công'!$AJ$14:$AJ$262,MATCH($X462,'Lớp 5 - Phân công'!$I$14:$I$262,0)),""),6,IFERROR(INDEX('Lớp 6 - Chi tiết'!$AM$14:$AM$267,MATCH($X462,'Lớp 6 - Chi tiết'!$I$14:$I$267,0)),""),""))</f>
        <v/>
      </c>
      <c r="BJ462" s="389" t="str">
        <f t="array" ref="BJ462">IF($X462="","",SWITCH($W462,3,IFERROR(INDEX('Lớp 3 - Công việc chính'!$AR$14:$AR$73,MATCH($X462,'Lớp 3 - Công việc chính'!$I$14:$I$73,0)),""),4,IFERROR(INDEX('Lớp 4 - Danh mục'!$AU$14:$AU$132,MATCH($X462,'Lớp 4 - Danh mục'!$I$14:$I$132,0)),""),5,IFERROR(INDEX('Lớp 5 - Phân công'!$AV$14:$AV$262,MATCH($X462,'Lớp 5 - Phân công'!$I$14:$I$262,0)),""),6,IFERROR(INDEX('Lớp 6 - Chi tiết'!$AY$14:$AY$267,MATCH($X462,'Lớp 6 - Chi tiết'!$I$14:$I$267,0)),""),""))</f>
        <v/>
      </c>
    </row>
    <row r="463" ht="15.75" customHeight="1">
      <c r="A463" s="294" t="str">
        <f t="shared" si="12"/>
        <v/>
      </c>
      <c r="B463" s="301" t="str">
        <f t="shared" si="13"/>
        <v/>
      </c>
      <c r="C463" s="301" t="str">
        <f t="shared" si="14"/>
        <v/>
      </c>
      <c r="D463" s="301" t="str">
        <f t="shared" si="15"/>
        <v/>
      </c>
      <c r="E463" s="301" t="str">
        <f t="shared" si="16"/>
        <v/>
      </c>
      <c r="F463" s="317" t="str">
        <f t="shared" si="17"/>
        <v/>
      </c>
      <c r="G463" s="323" t="str">
        <f t="shared" si="18"/>
        <v/>
      </c>
      <c r="H463" s="327" t="str">
        <f t="shared" si="19"/>
        <v/>
      </c>
      <c r="I463" s="327" t="str">
        <f t="shared" si="20"/>
        <v/>
      </c>
      <c r="J463" s="301" t="str">
        <f t="shared" si="21"/>
        <v/>
      </c>
      <c r="K463" s="301" t="str">
        <f t="shared" si="22"/>
        <v/>
      </c>
      <c r="L463" s="344" t="str">
        <f t="array" ref="L463">IF($T463="","",LET(m,MATCH($T463,$AS$24:$AS$700,0),lvl,INDEX($W$24:$W$700,m),id,INDEX($X$24:$X$700,m),SWITCH(lvl,3,"Lớp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3" s="351" t="str">
        <f t="shared" si="23"/>
        <v/>
      </c>
      <c r="N463" s="356" t="str">
        <f t="shared" si="24"/>
        <v/>
      </c>
      <c r="O463" s="358"/>
      <c r="P463" s="360"/>
      <c r="Q463" s="360"/>
      <c r="R463" s="67"/>
      <c r="S463" s="67"/>
      <c r="T463" s="67"/>
      <c r="U463" s="389" t="str">
        <f>IF('Lớp 6 - Chi tiết'!I25="","",'Lớp 6 - Chi tiết'!L25&amp;"|"&amp;'Lớp 6 - Chi tiết'!K25&amp;"|"&amp;'Lớp 6 - Chi tiết'!J25&amp;"|"&amp;'Lớp 6 - Chi tiết'!I25)</f>
        <v/>
      </c>
      <c r="V463" s="389" t="str">
        <f>IF('Lớp 6 - Chi tiết'!I25="","","           └─ "&amp;'Lớp 6 - Chi tiết'!S25)</f>
        <v/>
      </c>
      <c r="W463" s="389" t="str">
        <f>IF('Lớp 6 - Chi tiết'!I25="","",6)</f>
        <v/>
      </c>
      <c r="X463" s="67" t="str">
        <f>'Lớp 6 - Chi tiết'!I25</f>
        <v/>
      </c>
      <c r="Y463" s="389" t="str">
        <f>'Lớp 6 - Chi tiết'!J25</f>
        <v/>
      </c>
      <c r="Z463" s="67" t="str">
        <f>'Lớp 6 - Chi tiết'!AC25</f>
        <v/>
      </c>
      <c r="AA463" s="67" t="str">
        <f>'Lớp 6 - Chi tiết'!AB25</f>
        <v/>
      </c>
      <c r="AB463" s="67" t="str">
        <f>'Lớp 6 - Chi tiết'!AF25</f>
        <v/>
      </c>
      <c r="AC463" s="67" t="str">
        <f>'Lớp 6 - Chi tiết'!AE25</f>
        <v/>
      </c>
      <c r="AD463" s="398" t="str">
        <f>'Lớp 6 - Chi tiết'!AJ25</f>
        <v/>
      </c>
      <c r="AE463" s="358" t="str">
        <f>'Lớp 6 - Chi tiết'!AH25</f>
        <v/>
      </c>
      <c r="AF463" s="187" t="str">
        <f>'Lớp 6 - Chi tiết'!AK25</f>
        <v/>
      </c>
      <c r="AG463" s="104" t="str">
        <f>'Lớp 6 - Chi tiết'!AL25</f>
        <v/>
      </c>
      <c r="AH463" s="389" t="str">
        <f t="shared" si="27"/>
        <v/>
      </c>
      <c r="AI463" s="389" t="str">
        <f t="shared" si="37"/>
        <v>🔵 Chưa có hạn</v>
      </c>
      <c r="AJ463" s="67" t="str">
        <f>'Lớp 6 - Chi tiết'!AO25</f>
        <v/>
      </c>
      <c r="AS463" s="389" t="str">
        <f t="shared" si="467"/>
        <v/>
      </c>
      <c r="AT463" s="389" t="str">
        <f t="shared" si="32"/>
        <v/>
      </c>
      <c r="AU463" s="389" t="str">
        <f t="shared" si="33"/>
        <v/>
      </c>
      <c r="AV463" s="389" t="str">
        <f t="shared" si="34"/>
        <v/>
      </c>
      <c r="AW463" s="389" t="str">
        <f t="shared" si="35"/>
        <v/>
      </c>
      <c r="AX463" s="67" t="str">
        <f t="shared" ref="AX463:BH463" si="478">Z463</f>
        <v/>
      </c>
      <c r="AY463" s="67" t="str">
        <f t="shared" si="478"/>
        <v/>
      </c>
      <c r="AZ463" s="67" t="str">
        <f t="shared" si="478"/>
        <v/>
      </c>
      <c r="BA463" s="67" t="str">
        <f t="shared" si="478"/>
        <v/>
      </c>
      <c r="BB463" s="398" t="str">
        <f t="shared" si="478"/>
        <v/>
      </c>
      <c r="BC463" s="358" t="str">
        <f t="shared" si="478"/>
        <v/>
      </c>
      <c r="BD463" s="187" t="str">
        <f t="shared" si="478"/>
        <v/>
      </c>
      <c r="BE463" s="104" t="str">
        <f t="shared" si="478"/>
        <v/>
      </c>
      <c r="BF463" s="389" t="str">
        <f t="shared" si="478"/>
        <v/>
      </c>
      <c r="BG463" s="389" t="str">
        <f t="shared" si="478"/>
        <v>🔵 Chưa có hạn</v>
      </c>
      <c r="BH463" s="67" t="str">
        <f t="shared" si="478"/>
        <v/>
      </c>
      <c r="BI463" s="389" t="str">
        <f t="array" ref="BI463">IF($X463="","",SWITCH($W463,3,IFERROR(INDEX('Lớp 3 - Công việc chính'!$AF$14:$AF$73,MATCH($X463,'Lớp 3 - Công việc chính'!$I$14:$I$73,0)),""),4,IFERROR(INDEX('Lớp 4 - Danh mục'!$AI$14:$AI$132,MATCH($X463,'Lớp 4 - Danh mục'!$I$14:$I$132,0)),""),5,IFERROR(INDEX('Lớp 5 - Phân công'!$AJ$14:$AJ$262,MATCH($X463,'Lớp 5 - Phân công'!$I$14:$I$262,0)),""),6,IFERROR(INDEX('Lớp 6 - Chi tiết'!$AM$14:$AM$267,MATCH($X463,'Lớp 6 - Chi tiết'!$I$14:$I$267,0)),""),""))</f>
        <v/>
      </c>
      <c r="BJ463" s="389" t="str">
        <f t="array" ref="BJ463">IF($X463="","",SWITCH($W463,3,IFERROR(INDEX('Lớp 3 - Công việc chính'!$AR$14:$AR$73,MATCH($X463,'Lớp 3 - Công việc chính'!$I$14:$I$73,0)),""),4,IFERROR(INDEX('Lớp 4 - Danh mục'!$AU$14:$AU$132,MATCH($X463,'Lớp 4 - Danh mục'!$I$14:$I$132,0)),""),5,IFERROR(INDEX('Lớp 5 - Phân công'!$AV$14:$AV$262,MATCH($X463,'Lớp 5 - Phân công'!$I$14:$I$262,0)),""),6,IFERROR(INDEX('Lớp 6 - Chi tiết'!$AY$14:$AY$267,MATCH($X463,'Lớp 6 - Chi tiết'!$I$14:$I$267,0)),""),""))</f>
        <v/>
      </c>
    </row>
    <row r="464" ht="15.75" customHeight="1">
      <c r="A464" s="294" t="str">
        <f t="shared" si="12"/>
        <v/>
      </c>
      <c r="B464" s="301" t="str">
        <f t="shared" si="13"/>
        <v/>
      </c>
      <c r="C464" s="301" t="str">
        <f t="shared" si="14"/>
        <v/>
      </c>
      <c r="D464" s="301" t="str">
        <f t="shared" si="15"/>
        <v/>
      </c>
      <c r="E464" s="301" t="str">
        <f t="shared" si="16"/>
        <v/>
      </c>
      <c r="F464" s="317" t="str">
        <f t="shared" si="17"/>
        <v/>
      </c>
      <c r="G464" s="323" t="str">
        <f t="shared" si="18"/>
        <v/>
      </c>
      <c r="H464" s="327" t="str">
        <f t="shared" si="19"/>
        <v/>
      </c>
      <c r="I464" s="327" t="str">
        <f t="shared" si="20"/>
        <v/>
      </c>
      <c r="J464" s="301" t="str">
        <f t="shared" si="21"/>
        <v/>
      </c>
      <c r="K464" s="301" t="str">
        <f t="shared" si="22"/>
        <v/>
      </c>
      <c r="L464" s="344" t="str">
        <f t="array" ref="L464">IF($T464="","",LET(m,MATCH($T464,$AS$24:$AS$700,0),lvl,INDEX($W$24:$W$700,m),id,INDEX($X$24:$X$700,m),SWITCH(lvl,3,"Lớp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4" s="351" t="str">
        <f t="shared" si="23"/>
        <v/>
      </c>
      <c r="N464" s="356" t="str">
        <f t="shared" si="24"/>
        <v/>
      </c>
      <c r="O464" s="358"/>
      <c r="P464" s="360"/>
      <c r="Q464" s="360"/>
      <c r="R464" s="67"/>
      <c r="S464" s="67"/>
      <c r="T464" s="67"/>
      <c r="U464" s="389" t="str">
        <f>IF('Lớp 6 - Chi tiết'!I26="","",'Lớp 6 - Chi tiết'!L26&amp;"|"&amp;'Lớp 6 - Chi tiết'!K26&amp;"|"&amp;'Lớp 6 - Chi tiết'!J26&amp;"|"&amp;'Lớp 6 - Chi tiết'!I26)</f>
        <v/>
      </c>
      <c r="V464" s="389" t="str">
        <f>IF('Lớp 6 - Chi tiết'!I26="","","           └─ "&amp;'Lớp 6 - Chi tiết'!S26)</f>
        <v/>
      </c>
      <c r="W464" s="389" t="str">
        <f>IF('Lớp 6 - Chi tiết'!I26="","",6)</f>
        <v/>
      </c>
      <c r="X464" s="67" t="str">
        <f>'Lớp 6 - Chi tiết'!I26</f>
        <v/>
      </c>
      <c r="Y464" s="389" t="str">
        <f>'Lớp 6 - Chi tiết'!J26</f>
        <v/>
      </c>
      <c r="Z464" s="67" t="str">
        <f>'Lớp 6 - Chi tiết'!AC26</f>
        <v/>
      </c>
      <c r="AA464" s="67" t="str">
        <f>'Lớp 6 - Chi tiết'!AB26</f>
        <v/>
      </c>
      <c r="AB464" s="67" t="str">
        <f>'Lớp 6 - Chi tiết'!AF26</f>
        <v/>
      </c>
      <c r="AC464" s="67" t="str">
        <f>'Lớp 6 - Chi tiết'!AE26</f>
        <v/>
      </c>
      <c r="AD464" s="398" t="str">
        <f>'Lớp 6 - Chi tiết'!AJ26</f>
        <v/>
      </c>
      <c r="AE464" s="358" t="str">
        <f>'Lớp 6 - Chi tiết'!AH26</f>
        <v/>
      </c>
      <c r="AF464" s="187" t="str">
        <f>'Lớp 6 - Chi tiết'!AK26</f>
        <v/>
      </c>
      <c r="AG464" s="104" t="str">
        <f>'Lớp 6 - Chi tiết'!AL26</f>
        <v/>
      </c>
      <c r="AH464" s="389" t="str">
        <f t="shared" si="27"/>
        <v/>
      </c>
      <c r="AI464" s="389" t="str">
        <f t="shared" si="37"/>
        <v>🔵 Chưa có hạn</v>
      </c>
      <c r="AJ464" s="67" t="str">
        <f>'Lớp 6 - Chi tiết'!AO26</f>
        <v/>
      </c>
      <c r="AS464" s="389" t="str">
        <f t="shared" si="467"/>
        <v/>
      </c>
      <c r="AT464" s="389" t="str">
        <f t="shared" si="32"/>
        <v/>
      </c>
      <c r="AU464" s="389" t="str">
        <f t="shared" si="33"/>
        <v/>
      </c>
      <c r="AV464" s="389" t="str">
        <f t="shared" si="34"/>
        <v/>
      </c>
      <c r="AW464" s="389" t="str">
        <f t="shared" si="35"/>
        <v/>
      </c>
      <c r="AX464" s="67" t="str">
        <f t="shared" ref="AX464:BH464" si="479">Z464</f>
        <v/>
      </c>
      <c r="AY464" s="67" t="str">
        <f t="shared" si="479"/>
        <v/>
      </c>
      <c r="AZ464" s="67" t="str">
        <f t="shared" si="479"/>
        <v/>
      </c>
      <c r="BA464" s="67" t="str">
        <f t="shared" si="479"/>
        <v/>
      </c>
      <c r="BB464" s="398" t="str">
        <f t="shared" si="479"/>
        <v/>
      </c>
      <c r="BC464" s="358" t="str">
        <f t="shared" si="479"/>
        <v/>
      </c>
      <c r="BD464" s="187" t="str">
        <f t="shared" si="479"/>
        <v/>
      </c>
      <c r="BE464" s="104" t="str">
        <f t="shared" si="479"/>
        <v/>
      </c>
      <c r="BF464" s="389" t="str">
        <f t="shared" si="479"/>
        <v/>
      </c>
      <c r="BG464" s="389" t="str">
        <f t="shared" si="479"/>
        <v>🔵 Chưa có hạn</v>
      </c>
      <c r="BH464" s="67" t="str">
        <f t="shared" si="479"/>
        <v/>
      </c>
      <c r="BI464" s="389" t="str">
        <f t="array" ref="BI464">IF($X464="","",SWITCH($W464,3,IFERROR(INDEX('Lớp 3 - Công việc chính'!$AF$14:$AF$73,MATCH($X464,'Lớp 3 - Công việc chính'!$I$14:$I$73,0)),""),4,IFERROR(INDEX('Lớp 4 - Danh mục'!$AI$14:$AI$132,MATCH($X464,'Lớp 4 - Danh mục'!$I$14:$I$132,0)),""),5,IFERROR(INDEX('Lớp 5 - Phân công'!$AJ$14:$AJ$262,MATCH($X464,'Lớp 5 - Phân công'!$I$14:$I$262,0)),""),6,IFERROR(INDEX('Lớp 6 - Chi tiết'!$AM$14:$AM$267,MATCH($X464,'Lớp 6 - Chi tiết'!$I$14:$I$267,0)),""),""))</f>
        <v/>
      </c>
      <c r="BJ464" s="389" t="str">
        <f t="array" ref="BJ464">IF($X464="","",SWITCH($W464,3,IFERROR(INDEX('Lớp 3 - Công việc chính'!$AR$14:$AR$73,MATCH($X464,'Lớp 3 - Công việc chính'!$I$14:$I$73,0)),""),4,IFERROR(INDEX('Lớp 4 - Danh mục'!$AU$14:$AU$132,MATCH($X464,'Lớp 4 - Danh mục'!$I$14:$I$132,0)),""),5,IFERROR(INDEX('Lớp 5 - Phân công'!$AV$14:$AV$262,MATCH($X464,'Lớp 5 - Phân công'!$I$14:$I$262,0)),""),6,IFERROR(INDEX('Lớp 6 - Chi tiết'!$AY$14:$AY$267,MATCH($X464,'Lớp 6 - Chi tiết'!$I$14:$I$267,0)),""),""))</f>
        <v/>
      </c>
    </row>
    <row r="465" ht="15.75" customHeight="1">
      <c r="A465" s="294" t="str">
        <f t="shared" si="12"/>
        <v/>
      </c>
      <c r="B465" s="301" t="str">
        <f t="shared" si="13"/>
        <v/>
      </c>
      <c r="C465" s="301" t="str">
        <f t="shared" si="14"/>
        <v/>
      </c>
      <c r="D465" s="301" t="str">
        <f t="shared" si="15"/>
        <v/>
      </c>
      <c r="E465" s="301" t="str">
        <f t="shared" si="16"/>
        <v/>
      </c>
      <c r="F465" s="317" t="str">
        <f t="shared" si="17"/>
        <v/>
      </c>
      <c r="G465" s="323" t="str">
        <f t="shared" si="18"/>
        <v/>
      </c>
      <c r="H465" s="327" t="str">
        <f t="shared" si="19"/>
        <v/>
      </c>
      <c r="I465" s="327" t="str">
        <f t="shared" si="20"/>
        <v/>
      </c>
      <c r="J465" s="301" t="str">
        <f t="shared" si="21"/>
        <v/>
      </c>
      <c r="K465" s="301" t="str">
        <f t="shared" si="22"/>
        <v/>
      </c>
      <c r="L465" s="344" t="str">
        <f t="array" ref="L465">IF($T465="","",LET(m,MATCH($T465,$AS$24:$AS$700,0),lvl,INDEX($W$24:$W$700,m),id,INDEX($X$24:$X$700,m),SWITCH(lvl,3,"Lớp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5" s="351" t="str">
        <f t="shared" si="23"/>
        <v/>
      </c>
      <c r="N465" s="356" t="str">
        <f t="shared" si="24"/>
        <v/>
      </c>
      <c r="O465" s="358"/>
      <c r="P465" s="360"/>
      <c r="Q465" s="360"/>
      <c r="R465" s="67"/>
      <c r="S465" s="67"/>
      <c r="T465" s="67"/>
      <c r="U465" s="389" t="str">
        <f>IF('Lớp 6 - Chi tiết'!I27="","",'Lớp 6 - Chi tiết'!L27&amp;"|"&amp;'Lớp 6 - Chi tiết'!K27&amp;"|"&amp;'Lớp 6 - Chi tiết'!J27&amp;"|"&amp;'Lớp 6 - Chi tiết'!I27)</f>
        <v/>
      </c>
      <c r="V465" s="389" t="str">
        <f>IF('Lớp 6 - Chi tiết'!I27="","","           └─ "&amp;'Lớp 6 - Chi tiết'!S27)</f>
        <v/>
      </c>
      <c r="W465" s="389" t="str">
        <f>IF('Lớp 6 - Chi tiết'!I27="","",6)</f>
        <v/>
      </c>
      <c r="X465" s="67" t="str">
        <f>'Lớp 6 - Chi tiết'!I27</f>
        <v/>
      </c>
      <c r="Y465" s="389" t="str">
        <f>'Lớp 6 - Chi tiết'!J27</f>
        <v/>
      </c>
      <c r="Z465" s="67" t="str">
        <f>'Lớp 6 - Chi tiết'!AC27</f>
        <v/>
      </c>
      <c r="AA465" s="67" t="str">
        <f>'Lớp 6 - Chi tiết'!AB27</f>
        <v/>
      </c>
      <c r="AB465" s="67" t="str">
        <f>'Lớp 6 - Chi tiết'!AF27</f>
        <v/>
      </c>
      <c r="AC465" s="67" t="str">
        <f>'Lớp 6 - Chi tiết'!AE27</f>
        <v/>
      </c>
      <c r="AD465" s="398" t="str">
        <f>'Lớp 6 - Chi tiết'!AJ27</f>
        <v/>
      </c>
      <c r="AE465" s="358" t="str">
        <f>'Lớp 6 - Chi tiết'!AH27</f>
        <v/>
      </c>
      <c r="AF465" s="187" t="str">
        <f>'Lớp 6 - Chi tiết'!AK27</f>
        <v/>
      </c>
      <c r="AG465" s="104" t="str">
        <f>'Lớp 6 - Chi tiết'!AL27</f>
        <v/>
      </c>
      <c r="AH465" s="389" t="str">
        <f t="shared" si="27"/>
        <v/>
      </c>
      <c r="AI465" s="389" t="str">
        <f t="shared" si="37"/>
        <v>🔵 Chưa có hạn</v>
      </c>
      <c r="AJ465" s="67" t="str">
        <f>'Lớp 6 - Chi tiết'!AO27</f>
        <v/>
      </c>
      <c r="AS465" s="389" t="str">
        <f t="shared" si="467"/>
        <v/>
      </c>
      <c r="AT465" s="389" t="str">
        <f t="shared" si="32"/>
        <v/>
      </c>
      <c r="AU465" s="389" t="str">
        <f t="shared" si="33"/>
        <v/>
      </c>
      <c r="AV465" s="389" t="str">
        <f t="shared" si="34"/>
        <v/>
      </c>
      <c r="AW465" s="389" t="str">
        <f t="shared" si="35"/>
        <v/>
      </c>
      <c r="AX465" s="67" t="str">
        <f t="shared" ref="AX465:BH465" si="480">Z465</f>
        <v/>
      </c>
      <c r="AY465" s="67" t="str">
        <f t="shared" si="480"/>
        <v/>
      </c>
      <c r="AZ465" s="67" t="str">
        <f t="shared" si="480"/>
        <v/>
      </c>
      <c r="BA465" s="67" t="str">
        <f t="shared" si="480"/>
        <v/>
      </c>
      <c r="BB465" s="398" t="str">
        <f t="shared" si="480"/>
        <v/>
      </c>
      <c r="BC465" s="358" t="str">
        <f t="shared" si="480"/>
        <v/>
      </c>
      <c r="BD465" s="187" t="str">
        <f t="shared" si="480"/>
        <v/>
      </c>
      <c r="BE465" s="104" t="str">
        <f t="shared" si="480"/>
        <v/>
      </c>
      <c r="BF465" s="389" t="str">
        <f t="shared" si="480"/>
        <v/>
      </c>
      <c r="BG465" s="389" t="str">
        <f t="shared" si="480"/>
        <v>🔵 Chưa có hạn</v>
      </c>
      <c r="BH465" s="67" t="str">
        <f t="shared" si="480"/>
        <v/>
      </c>
      <c r="BI465" s="389" t="str">
        <f t="array" ref="BI465">IF($X465="","",SWITCH($W465,3,IFERROR(INDEX('Lớp 3 - Công việc chính'!$AF$14:$AF$73,MATCH($X465,'Lớp 3 - Công việc chính'!$I$14:$I$73,0)),""),4,IFERROR(INDEX('Lớp 4 - Danh mục'!$AI$14:$AI$132,MATCH($X465,'Lớp 4 - Danh mục'!$I$14:$I$132,0)),""),5,IFERROR(INDEX('Lớp 5 - Phân công'!$AJ$14:$AJ$262,MATCH($X465,'Lớp 5 - Phân công'!$I$14:$I$262,0)),""),6,IFERROR(INDEX('Lớp 6 - Chi tiết'!$AM$14:$AM$267,MATCH($X465,'Lớp 6 - Chi tiết'!$I$14:$I$267,0)),""),""))</f>
        <v/>
      </c>
      <c r="BJ465" s="389" t="str">
        <f t="array" ref="BJ465">IF($X465="","",SWITCH($W465,3,IFERROR(INDEX('Lớp 3 - Công việc chính'!$AR$14:$AR$73,MATCH($X465,'Lớp 3 - Công việc chính'!$I$14:$I$73,0)),""),4,IFERROR(INDEX('Lớp 4 - Danh mục'!$AU$14:$AU$132,MATCH($X465,'Lớp 4 - Danh mục'!$I$14:$I$132,0)),""),5,IFERROR(INDEX('Lớp 5 - Phân công'!$AV$14:$AV$262,MATCH($X465,'Lớp 5 - Phân công'!$I$14:$I$262,0)),""),6,IFERROR(INDEX('Lớp 6 - Chi tiết'!$AY$14:$AY$267,MATCH($X465,'Lớp 6 - Chi tiết'!$I$14:$I$267,0)),""),""))</f>
        <v/>
      </c>
    </row>
    <row r="466" ht="15.75" customHeight="1">
      <c r="A466" s="294" t="str">
        <f t="shared" si="12"/>
        <v/>
      </c>
      <c r="B466" s="301" t="str">
        <f t="shared" si="13"/>
        <v/>
      </c>
      <c r="C466" s="301" t="str">
        <f t="shared" si="14"/>
        <v/>
      </c>
      <c r="D466" s="301" t="str">
        <f t="shared" si="15"/>
        <v/>
      </c>
      <c r="E466" s="301" t="str">
        <f t="shared" si="16"/>
        <v/>
      </c>
      <c r="F466" s="317" t="str">
        <f t="shared" si="17"/>
        <v/>
      </c>
      <c r="G466" s="323" t="str">
        <f t="shared" si="18"/>
        <v/>
      </c>
      <c r="H466" s="327" t="str">
        <f t="shared" si="19"/>
        <v/>
      </c>
      <c r="I466" s="327" t="str">
        <f t="shared" si="20"/>
        <v/>
      </c>
      <c r="J466" s="301" t="str">
        <f t="shared" si="21"/>
        <v/>
      </c>
      <c r="K466" s="301" t="str">
        <f t="shared" si="22"/>
        <v/>
      </c>
      <c r="L466" s="344" t="str">
        <f t="array" ref="L466">IF($T466="","",LET(m,MATCH($T466,$AS$24:$AS$700,0),lvl,INDEX($W$24:$W$700,m),id,INDEX($X$24:$X$700,m),SWITCH(lvl,3,"Lớp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6" s="351" t="str">
        <f t="shared" si="23"/>
        <v/>
      </c>
      <c r="N466" s="356" t="str">
        <f t="shared" si="24"/>
        <v/>
      </c>
      <c r="O466" s="358"/>
      <c r="P466" s="360"/>
      <c r="Q466" s="360"/>
      <c r="R466" s="67"/>
      <c r="S466" s="67"/>
      <c r="T466" s="67"/>
      <c r="U466" s="389" t="str">
        <f>IF('Lớp 6 - Chi tiết'!I28="","",'Lớp 6 - Chi tiết'!L28&amp;"|"&amp;'Lớp 6 - Chi tiết'!K28&amp;"|"&amp;'Lớp 6 - Chi tiết'!J28&amp;"|"&amp;'Lớp 6 - Chi tiết'!I28)</f>
        <v/>
      </c>
      <c r="V466" s="389" t="str">
        <f>IF('Lớp 6 - Chi tiết'!I28="","","           └─ "&amp;'Lớp 6 - Chi tiết'!S28)</f>
        <v/>
      </c>
      <c r="W466" s="389" t="str">
        <f>IF('Lớp 6 - Chi tiết'!I28="","",6)</f>
        <v/>
      </c>
      <c r="X466" s="67" t="str">
        <f>'Lớp 6 - Chi tiết'!I28</f>
        <v/>
      </c>
      <c r="Y466" s="389" t="str">
        <f>'Lớp 6 - Chi tiết'!J28</f>
        <v/>
      </c>
      <c r="Z466" s="67" t="str">
        <f>'Lớp 6 - Chi tiết'!AC28</f>
        <v/>
      </c>
      <c r="AA466" s="67" t="str">
        <f>'Lớp 6 - Chi tiết'!AB28</f>
        <v/>
      </c>
      <c r="AB466" s="67" t="str">
        <f>'Lớp 6 - Chi tiết'!AF28</f>
        <v/>
      </c>
      <c r="AC466" s="67" t="str">
        <f>'Lớp 6 - Chi tiết'!AE28</f>
        <v/>
      </c>
      <c r="AD466" s="398" t="str">
        <f>'Lớp 6 - Chi tiết'!AJ28</f>
        <v/>
      </c>
      <c r="AE466" s="358" t="str">
        <f>'Lớp 6 - Chi tiết'!AH28</f>
        <v/>
      </c>
      <c r="AF466" s="187" t="str">
        <f>'Lớp 6 - Chi tiết'!AK28</f>
        <v/>
      </c>
      <c r="AG466" s="104" t="str">
        <f>'Lớp 6 - Chi tiết'!AL28</f>
        <v/>
      </c>
      <c r="AH466" s="389" t="str">
        <f t="shared" si="27"/>
        <v/>
      </c>
      <c r="AI466" s="389" t="str">
        <f t="shared" si="37"/>
        <v>🔵 Chưa có hạn</v>
      </c>
      <c r="AJ466" s="67" t="str">
        <f>'Lớp 6 - Chi tiết'!AO28</f>
        <v/>
      </c>
      <c r="AS466" s="389" t="str">
        <f t="shared" si="467"/>
        <v/>
      </c>
      <c r="AT466" s="389" t="str">
        <f t="shared" si="32"/>
        <v/>
      </c>
      <c r="AU466" s="389" t="str">
        <f t="shared" si="33"/>
        <v/>
      </c>
      <c r="AV466" s="389" t="str">
        <f t="shared" si="34"/>
        <v/>
      </c>
      <c r="AW466" s="389" t="str">
        <f t="shared" si="35"/>
        <v/>
      </c>
      <c r="AX466" s="67" t="str">
        <f t="shared" ref="AX466:BH466" si="481">Z466</f>
        <v/>
      </c>
      <c r="AY466" s="67" t="str">
        <f t="shared" si="481"/>
        <v/>
      </c>
      <c r="AZ466" s="67" t="str">
        <f t="shared" si="481"/>
        <v/>
      </c>
      <c r="BA466" s="67" t="str">
        <f t="shared" si="481"/>
        <v/>
      </c>
      <c r="BB466" s="398" t="str">
        <f t="shared" si="481"/>
        <v/>
      </c>
      <c r="BC466" s="358" t="str">
        <f t="shared" si="481"/>
        <v/>
      </c>
      <c r="BD466" s="187" t="str">
        <f t="shared" si="481"/>
        <v/>
      </c>
      <c r="BE466" s="104" t="str">
        <f t="shared" si="481"/>
        <v/>
      </c>
      <c r="BF466" s="389" t="str">
        <f t="shared" si="481"/>
        <v/>
      </c>
      <c r="BG466" s="389" t="str">
        <f t="shared" si="481"/>
        <v>🔵 Chưa có hạn</v>
      </c>
      <c r="BH466" s="67" t="str">
        <f t="shared" si="481"/>
        <v/>
      </c>
      <c r="BI466" s="389" t="str">
        <f t="array" ref="BI466">IF($X466="","",SWITCH($W466,3,IFERROR(INDEX('Lớp 3 - Công việc chính'!$AF$14:$AF$73,MATCH($X466,'Lớp 3 - Công việc chính'!$I$14:$I$73,0)),""),4,IFERROR(INDEX('Lớp 4 - Danh mục'!$AI$14:$AI$132,MATCH($X466,'Lớp 4 - Danh mục'!$I$14:$I$132,0)),""),5,IFERROR(INDEX('Lớp 5 - Phân công'!$AJ$14:$AJ$262,MATCH($X466,'Lớp 5 - Phân công'!$I$14:$I$262,0)),""),6,IFERROR(INDEX('Lớp 6 - Chi tiết'!$AM$14:$AM$267,MATCH($X466,'Lớp 6 - Chi tiết'!$I$14:$I$267,0)),""),""))</f>
        <v/>
      </c>
      <c r="BJ466" s="389" t="str">
        <f t="array" ref="BJ466">IF($X466="","",SWITCH($W466,3,IFERROR(INDEX('Lớp 3 - Công việc chính'!$AR$14:$AR$73,MATCH($X466,'Lớp 3 - Công việc chính'!$I$14:$I$73,0)),""),4,IFERROR(INDEX('Lớp 4 - Danh mục'!$AU$14:$AU$132,MATCH($X466,'Lớp 4 - Danh mục'!$I$14:$I$132,0)),""),5,IFERROR(INDEX('Lớp 5 - Phân công'!$AV$14:$AV$262,MATCH($X466,'Lớp 5 - Phân công'!$I$14:$I$262,0)),""),6,IFERROR(INDEX('Lớp 6 - Chi tiết'!$AY$14:$AY$267,MATCH($X466,'Lớp 6 - Chi tiết'!$I$14:$I$267,0)),""),""))</f>
        <v/>
      </c>
    </row>
    <row r="467" ht="15.75" customHeight="1">
      <c r="A467" s="294" t="str">
        <f t="shared" si="12"/>
        <v/>
      </c>
      <c r="B467" s="301" t="str">
        <f t="shared" si="13"/>
        <v/>
      </c>
      <c r="C467" s="301" t="str">
        <f t="shared" si="14"/>
        <v/>
      </c>
      <c r="D467" s="301" t="str">
        <f t="shared" si="15"/>
        <v/>
      </c>
      <c r="E467" s="301" t="str">
        <f t="shared" si="16"/>
        <v/>
      </c>
      <c r="F467" s="317" t="str">
        <f t="shared" si="17"/>
        <v/>
      </c>
      <c r="G467" s="323" t="str">
        <f t="shared" si="18"/>
        <v/>
      </c>
      <c r="H467" s="327" t="str">
        <f t="shared" si="19"/>
        <v/>
      </c>
      <c r="I467" s="327" t="str">
        <f t="shared" si="20"/>
        <v/>
      </c>
      <c r="J467" s="301" t="str">
        <f t="shared" si="21"/>
        <v/>
      </c>
      <c r="K467" s="301" t="str">
        <f t="shared" si="22"/>
        <v/>
      </c>
      <c r="L467" s="344" t="str">
        <f t="array" ref="L467">IF($T467="","",LET(m,MATCH($T467,$AS$24:$AS$700,0),lvl,INDEX($W$24:$W$700,m),id,INDEX($X$24:$X$700,m),SWITCH(lvl,3,"Lớp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7" s="351" t="str">
        <f t="shared" si="23"/>
        <v/>
      </c>
      <c r="N467" s="356" t="str">
        <f t="shared" si="24"/>
        <v/>
      </c>
      <c r="O467" s="358"/>
      <c r="P467" s="360"/>
      <c r="Q467" s="360"/>
      <c r="R467" s="67"/>
      <c r="S467" s="67"/>
      <c r="T467" s="67"/>
      <c r="U467" s="389" t="str">
        <f>IF('Lớp 6 - Chi tiết'!I29="","",'Lớp 6 - Chi tiết'!L29&amp;"|"&amp;'Lớp 6 - Chi tiết'!K29&amp;"|"&amp;'Lớp 6 - Chi tiết'!J29&amp;"|"&amp;'Lớp 6 - Chi tiết'!I29)</f>
        <v/>
      </c>
      <c r="V467" s="389" t="str">
        <f>IF('Lớp 6 - Chi tiết'!I29="","","           └─ "&amp;'Lớp 6 - Chi tiết'!S29)</f>
        <v/>
      </c>
      <c r="W467" s="389" t="str">
        <f>IF('Lớp 6 - Chi tiết'!I29="","",6)</f>
        <v/>
      </c>
      <c r="X467" s="67" t="str">
        <f>'Lớp 6 - Chi tiết'!I29</f>
        <v/>
      </c>
      <c r="Y467" s="389" t="str">
        <f>'Lớp 6 - Chi tiết'!J29</f>
        <v/>
      </c>
      <c r="Z467" s="67" t="str">
        <f>'Lớp 6 - Chi tiết'!AC29</f>
        <v/>
      </c>
      <c r="AA467" s="67" t="str">
        <f>'Lớp 6 - Chi tiết'!AB29</f>
        <v/>
      </c>
      <c r="AB467" s="67" t="str">
        <f>'Lớp 6 - Chi tiết'!AF29</f>
        <v/>
      </c>
      <c r="AC467" s="67" t="str">
        <f>'Lớp 6 - Chi tiết'!AE29</f>
        <v/>
      </c>
      <c r="AD467" s="398" t="str">
        <f>'Lớp 6 - Chi tiết'!AJ29</f>
        <v/>
      </c>
      <c r="AE467" s="358" t="str">
        <f>'Lớp 6 - Chi tiết'!AH29</f>
        <v/>
      </c>
      <c r="AF467" s="187" t="str">
        <f>'Lớp 6 - Chi tiết'!AK29</f>
        <v/>
      </c>
      <c r="AG467" s="104" t="str">
        <f>'Lớp 6 - Chi tiết'!AL29</f>
        <v/>
      </c>
      <c r="AH467" s="389" t="str">
        <f t="shared" si="27"/>
        <v/>
      </c>
      <c r="AI467" s="389" t="str">
        <f t="shared" si="37"/>
        <v>🔵 Chưa có hạn</v>
      </c>
      <c r="AJ467" s="67" t="str">
        <f>'Lớp 6 - Chi tiết'!AO29</f>
        <v/>
      </c>
      <c r="AS467" s="389" t="str">
        <f t="shared" si="467"/>
        <v/>
      </c>
      <c r="AT467" s="389" t="str">
        <f t="shared" si="32"/>
        <v/>
      </c>
      <c r="AU467" s="389" t="str">
        <f t="shared" si="33"/>
        <v/>
      </c>
      <c r="AV467" s="389" t="str">
        <f t="shared" si="34"/>
        <v/>
      </c>
      <c r="AW467" s="389" t="str">
        <f t="shared" si="35"/>
        <v/>
      </c>
      <c r="AX467" s="67" t="str">
        <f t="shared" ref="AX467:BH467" si="482">Z467</f>
        <v/>
      </c>
      <c r="AY467" s="67" t="str">
        <f t="shared" si="482"/>
        <v/>
      </c>
      <c r="AZ467" s="67" t="str">
        <f t="shared" si="482"/>
        <v/>
      </c>
      <c r="BA467" s="67" t="str">
        <f t="shared" si="482"/>
        <v/>
      </c>
      <c r="BB467" s="398" t="str">
        <f t="shared" si="482"/>
        <v/>
      </c>
      <c r="BC467" s="358" t="str">
        <f t="shared" si="482"/>
        <v/>
      </c>
      <c r="BD467" s="187" t="str">
        <f t="shared" si="482"/>
        <v/>
      </c>
      <c r="BE467" s="104" t="str">
        <f t="shared" si="482"/>
        <v/>
      </c>
      <c r="BF467" s="389" t="str">
        <f t="shared" si="482"/>
        <v/>
      </c>
      <c r="BG467" s="389" t="str">
        <f t="shared" si="482"/>
        <v>🔵 Chưa có hạn</v>
      </c>
      <c r="BH467" s="67" t="str">
        <f t="shared" si="482"/>
        <v/>
      </c>
      <c r="BI467" s="389" t="str">
        <f t="array" ref="BI467">IF($X467="","",SWITCH($W467,3,IFERROR(INDEX('Lớp 3 - Công việc chính'!$AF$14:$AF$73,MATCH($X467,'Lớp 3 - Công việc chính'!$I$14:$I$73,0)),""),4,IFERROR(INDEX('Lớp 4 - Danh mục'!$AI$14:$AI$132,MATCH($X467,'Lớp 4 - Danh mục'!$I$14:$I$132,0)),""),5,IFERROR(INDEX('Lớp 5 - Phân công'!$AJ$14:$AJ$262,MATCH($X467,'Lớp 5 - Phân công'!$I$14:$I$262,0)),""),6,IFERROR(INDEX('Lớp 6 - Chi tiết'!$AM$14:$AM$267,MATCH($X467,'Lớp 6 - Chi tiết'!$I$14:$I$267,0)),""),""))</f>
        <v/>
      </c>
      <c r="BJ467" s="389" t="str">
        <f t="array" ref="BJ467">IF($X467="","",SWITCH($W467,3,IFERROR(INDEX('Lớp 3 - Công việc chính'!$AR$14:$AR$73,MATCH($X467,'Lớp 3 - Công việc chính'!$I$14:$I$73,0)),""),4,IFERROR(INDEX('Lớp 4 - Danh mục'!$AU$14:$AU$132,MATCH($X467,'Lớp 4 - Danh mục'!$I$14:$I$132,0)),""),5,IFERROR(INDEX('Lớp 5 - Phân công'!$AV$14:$AV$262,MATCH($X467,'Lớp 5 - Phân công'!$I$14:$I$262,0)),""),6,IFERROR(INDEX('Lớp 6 - Chi tiết'!$AY$14:$AY$267,MATCH($X467,'Lớp 6 - Chi tiết'!$I$14:$I$267,0)),""),""))</f>
        <v/>
      </c>
    </row>
    <row r="468" ht="15.75" customHeight="1">
      <c r="A468" s="294" t="str">
        <f t="shared" si="12"/>
        <v/>
      </c>
      <c r="B468" s="301" t="str">
        <f t="shared" si="13"/>
        <v/>
      </c>
      <c r="C468" s="301" t="str">
        <f t="shared" si="14"/>
        <v/>
      </c>
      <c r="D468" s="301" t="str">
        <f t="shared" si="15"/>
        <v/>
      </c>
      <c r="E468" s="301" t="str">
        <f t="shared" si="16"/>
        <v/>
      </c>
      <c r="F468" s="317" t="str">
        <f t="shared" si="17"/>
        <v/>
      </c>
      <c r="G468" s="323" t="str">
        <f t="shared" si="18"/>
        <v/>
      </c>
      <c r="H468" s="327" t="str">
        <f t="shared" si="19"/>
        <v/>
      </c>
      <c r="I468" s="327" t="str">
        <f t="shared" si="20"/>
        <v/>
      </c>
      <c r="J468" s="301" t="str">
        <f t="shared" si="21"/>
        <v/>
      </c>
      <c r="K468" s="301" t="str">
        <f t="shared" si="22"/>
        <v/>
      </c>
      <c r="L468" s="344" t="str">
        <f t="array" ref="L468">IF($T468="","",LET(m,MATCH($T468,$AS$24:$AS$700,0),lvl,INDEX($W$24:$W$700,m),id,INDEX($X$24:$X$700,m),SWITCH(lvl,3,"Lớp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8" s="351" t="str">
        <f t="shared" si="23"/>
        <v/>
      </c>
      <c r="N468" s="356" t="str">
        <f t="shared" si="24"/>
        <v/>
      </c>
      <c r="O468" s="358"/>
      <c r="P468" s="360"/>
      <c r="Q468" s="360"/>
      <c r="R468" s="67"/>
      <c r="S468" s="67"/>
      <c r="T468" s="67"/>
      <c r="U468" s="389" t="str">
        <f>IF('Lớp 6 - Chi tiết'!I30="","",'Lớp 6 - Chi tiết'!L30&amp;"|"&amp;'Lớp 6 - Chi tiết'!K30&amp;"|"&amp;'Lớp 6 - Chi tiết'!J30&amp;"|"&amp;'Lớp 6 - Chi tiết'!I30)</f>
        <v/>
      </c>
      <c r="V468" s="389" t="str">
        <f>IF('Lớp 6 - Chi tiết'!I30="","","           └─ "&amp;'Lớp 6 - Chi tiết'!S30)</f>
        <v/>
      </c>
      <c r="W468" s="389" t="str">
        <f>IF('Lớp 6 - Chi tiết'!I30="","",6)</f>
        <v/>
      </c>
      <c r="X468" s="67" t="str">
        <f>'Lớp 6 - Chi tiết'!I30</f>
        <v/>
      </c>
      <c r="Y468" s="389" t="str">
        <f>'Lớp 6 - Chi tiết'!J30</f>
        <v/>
      </c>
      <c r="Z468" s="67" t="str">
        <f>'Lớp 6 - Chi tiết'!AC30</f>
        <v/>
      </c>
      <c r="AA468" s="67" t="str">
        <f>'Lớp 6 - Chi tiết'!AB30</f>
        <v/>
      </c>
      <c r="AB468" s="67" t="str">
        <f>'Lớp 6 - Chi tiết'!AF30</f>
        <v/>
      </c>
      <c r="AC468" s="67" t="str">
        <f>'Lớp 6 - Chi tiết'!AE30</f>
        <v/>
      </c>
      <c r="AD468" s="398" t="str">
        <f>'Lớp 6 - Chi tiết'!AJ30</f>
        <v/>
      </c>
      <c r="AE468" s="358" t="str">
        <f>'Lớp 6 - Chi tiết'!AH30</f>
        <v/>
      </c>
      <c r="AF468" s="187" t="str">
        <f>'Lớp 6 - Chi tiết'!AK30</f>
        <v/>
      </c>
      <c r="AG468" s="104" t="str">
        <f>'Lớp 6 - Chi tiết'!AL30</f>
        <v/>
      </c>
      <c r="AH468" s="389" t="str">
        <f t="shared" si="27"/>
        <v/>
      </c>
      <c r="AI468" s="389" t="str">
        <f t="shared" si="37"/>
        <v>🔵 Chưa có hạn</v>
      </c>
      <c r="AJ468" s="67" t="str">
        <f>'Lớp 6 - Chi tiết'!AO30</f>
        <v/>
      </c>
      <c r="AS468" s="389" t="str">
        <f t="shared" si="467"/>
        <v/>
      </c>
      <c r="AT468" s="389" t="str">
        <f t="shared" si="32"/>
        <v/>
      </c>
      <c r="AU468" s="389" t="str">
        <f t="shared" si="33"/>
        <v/>
      </c>
      <c r="AV468" s="389" t="str">
        <f t="shared" si="34"/>
        <v/>
      </c>
      <c r="AW468" s="389" t="str">
        <f t="shared" si="35"/>
        <v/>
      </c>
      <c r="AX468" s="67" t="str">
        <f t="shared" ref="AX468:BH468" si="483">Z468</f>
        <v/>
      </c>
      <c r="AY468" s="67" t="str">
        <f t="shared" si="483"/>
        <v/>
      </c>
      <c r="AZ468" s="67" t="str">
        <f t="shared" si="483"/>
        <v/>
      </c>
      <c r="BA468" s="67" t="str">
        <f t="shared" si="483"/>
        <v/>
      </c>
      <c r="BB468" s="398" t="str">
        <f t="shared" si="483"/>
        <v/>
      </c>
      <c r="BC468" s="358" t="str">
        <f t="shared" si="483"/>
        <v/>
      </c>
      <c r="BD468" s="187" t="str">
        <f t="shared" si="483"/>
        <v/>
      </c>
      <c r="BE468" s="104" t="str">
        <f t="shared" si="483"/>
        <v/>
      </c>
      <c r="BF468" s="389" t="str">
        <f t="shared" si="483"/>
        <v/>
      </c>
      <c r="BG468" s="389" t="str">
        <f t="shared" si="483"/>
        <v>🔵 Chưa có hạn</v>
      </c>
      <c r="BH468" s="67" t="str">
        <f t="shared" si="483"/>
        <v/>
      </c>
      <c r="BI468" s="389" t="str">
        <f t="array" ref="BI468">IF($X468="","",SWITCH($W468,3,IFERROR(INDEX('Lớp 3 - Công việc chính'!$AF$14:$AF$73,MATCH($X468,'Lớp 3 - Công việc chính'!$I$14:$I$73,0)),""),4,IFERROR(INDEX('Lớp 4 - Danh mục'!$AI$14:$AI$132,MATCH($X468,'Lớp 4 - Danh mục'!$I$14:$I$132,0)),""),5,IFERROR(INDEX('Lớp 5 - Phân công'!$AJ$14:$AJ$262,MATCH($X468,'Lớp 5 - Phân công'!$I$14:$I$262,0)),""),6,IFERROR(INDEX('Lớp 6 - Chi tiết'!$AM$14:$AM$267,MATCH($X468,'Lớp 6 - Chi tiết'!$I$14:$I$267,0)),""),""))</f>
        <v/>
      </c>
      <c r="BJ468" s="389" t="str">
        <f t="array" ref="BJ468">IF($X468="","",SWITCH($W468,3,IFERROR(INDEX('Lớp 3 - Công việc chính'!$AR$14:$AR$73,MATCH($X468,'Lớp 3 - Công việc chính'!$I$14:$I$73,0)),""),4,IFERROR(INDEX('Lớp 4 - Danh mục'!$AU$14:$AU$132,MATCH($X468,'Lớp 4 - Danh mục'!$I$14:$I$132,0)),""),5,IFERROR(INDEX('Lớp 5 - Phân công'!$AV$14:$AV$262,MATCH($X468,'Lớp 5 - Phân công'!$I$14:$I$262,0)),""),6,IFERROR(INDEX('Lớp 6 - Chi tiết'!$AY$14:$AY$267,MATCH($X468,'Lớp 6 - Chi tiết'!$I$14:$I$267,0)),""),""))</f>
        <v/>
      </c>
    </row>
    <row r="469" ht="15.75" customHeight="1">
      <c r="A469" s="294" t="str">
        <f t="shared" si="12"/>
        <v/>
      </c>
      <c r="B469" s="301" t="str">
        <f t="shared" si="13"/>
        <v/>
      </c>
      <c r="C469" s="301" t="str">
        <f t="shared" si="14"/>
        <v/>
      </c>
      <c r="D469" s="301" t="str">
        <f t="shared" si="15"/>
        <v/>
      </c>
      <c r="E469" s="301" t="str">
        <f t="shared" si="16"/>
        <v/>
      </c>
      <c r="F469" s="317" t="str">
        <f t="shared" si="17"/>
        <v/>
      </c>
      <c r="G469" s="323" t="str">
        <f t="shared" si="18"/>
        <v/>
      </c>
      <c r="H469" s="327" t="str">
        <f t="shared" si="19"/>
        <v/>
      </c>
      <c r="I469" s="327" t="str">
        <f t="shared" si="20"/>
        <v/>
      </c>
      <c r="J469" s="301" t="str">
        <f t="shared" si="21"/>
        <v/>
      </c>
      <c r="K469" s="301" t="str">
        <f t="shared" si="22"/>
        <v/>
      </c>
      <c r="L469" s="344" t="str">
        <f t="array" ref="L469">IF($T469="","",LET(m,MATCH($T469,$AS$24:$AS$700,0),lvl,INDEX($W$24:$W$700,m),id,INDEX($X$24:$X$700,m),SWITCH(lvl,3,"Lớp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69" s="351" t="str">
        <f t="shared" si="23"/>
        <v/>
      </c>
      <c r="N469" s="356" t="str">
        <f t="shared" si="24"/>
        <v/>
      </c>
      <c r="O469" s="358"/>
      <c r="P469" s="360"/>
      <c r="Q469" s="360"/>
      <c r="R469" s="67"/>
      <c r="S469" s="67"/>
      <c r="T469" s="67"/>
      <c r="U469" s="389" t="str">
        <f>IF('Lớp 6 - Chi tiết'!I31="","",'Lớp 6 - Chi tiết'!L31&amp;"|"&amp;'Lớp 6 - Chi tiết'!K31&amp;"|"&amp;'Lớp 6 - Chi tiết'!J31&amp;"|"&amp;'Lớp 6 - Chi tiết'!I31)</f>
        <v/>
      </c>
      <c r="V469" s="389" t="str">
        <f>IF('Lớp 6 - Chi tiết'!I31="","","           └─ "&amp;'Lớp 6 - Chi tiết'!S31)</f>
        <v/>
      </c>
      <c r="W469" s="389" t="str">
        <f>IF('Lớp 6 - Chi tiết'!I31="","",6)</f>
        <v/>
      </c>
      <c r="X469" s="67" t="str">
        <f>'Lớp 6 - Chi tiết'!I31</f>
        <v/>
      </c>
      <c r="Y469" s="389" t="str">
        <f>'Lớp 6 - Chi tiết'!J31</f>
        <v/>
      </c>
      <c r="Z469" s="67" t="str">
        <f>'Lớp 6 - Chi tiết'!AC31</f>
        <v/>
      </c>
      <c r="AA469" s="67" t="str">
        <f>'Lớp 6 - Chi tiết'!AB31</f>
        <v/>
      </c>
      <c r="AB469" s="67" t="str">
        <f>'Lớp 6 - Chi tiết'!AF31</f>
        <v/>
      </c>
      <c r="AC469" s="67" t="str">
        <f>'Lớp 6 - Chi tiết'!AE31</f>
        <v/>
      </c>
      <c r="AD469" s="398" t="str">
        <f>'Lớp 6 - Chi tiết'!AJ31</f>
        <v/>
      </c>
      <c r="AE469" s="358" t="str">
        <f>'Lớp 6 - Chi tiết'!AH31</f>
        <v/>
      </c>
      <c r="AF469" s="187" t="str">
        <f>'Lớp 6 - Chi tiết'!AK31</f>
        <v/>
      </c>
      <c r="AG469" s="104" t="str">
        <f>'Lớp 6 - Chi tiết'!AL31</f>
        <v/>
      </c>
      <c r="AH469" s="389" t="str">
        <f t="shared" si="27"/>
        <v/>
      </c>
      <c r="AI469" s="389" t="str">
        <f t="shared" si="37"/>
        <v>🔵 Chưa có hạn</v>
      </c>
      <c r="AJ469" s="67" t="str">
        <f>'Lớp 6 - Chi tiết'!AO31</f>
        <v/>
      </c>
      <c r="AS469" s="389" t="str">
        <f t="shared" si="467"/>
        <v/>
      </c>
      <c r="AT469" s="389" t="str">
        <f t="shared" si="32"/>
        <v/>
      </c>
      <c r="AU469" s="389" t="str">
        <f t="shared" si="33"/>
        <v/>
      </c>
      <c r="AV469" s="389" t="str">
        <f t="shared" si="34"/>
        <v/>
      </c>
      <c r="AW469" s="389" t="str">
        <f t="shared" si="35"/>
        <v/>
      </c>
      <c r="AX469" s="67" t="str">
        <f t="shared" ref="AX469:BH469" si="484">Z469</f>
        <v/>
      </c>
      <c r="AY469" s="67" t="str">
        <f t="shared" si="484"/>
        <v/>
      </c>
      <c r="AZ469" s="67" t="str">
        <f t="shared" si="484"/>
        <v/>
      </c>
      <c r="BA469" s="67" t="str">
        <f t="shared" si="484"/>
        <v/>
      </c>
      <c r="BB469" s="398" t="str">
        <f t="shared" si="484"/>
        <v/>
      </c>
      <c r="BC469" s="358" t="str">
        <f t="shared" si="484"/>
        <v/>
      </c>
      <c r="BD469" s="187" t="str">
        <f t="shared" si="484"/>
        <v/>
      </c>
      <c r="BE469" s="104" t="str">
        <f t="shared" si="484"/>
        <v/>
      </c>
      <c r="BF469" s="389" t="str">
        <f t="shared" si="484"/>
        <v/>
      </c>
      <c r="BG469" s="389" t="str">
        <f t="shared" si="484"/>
        <v>🔵 Chưa có hạn</v>
      </c>
      <c r="BH469" s="67" t="str">
        <f t="shared" si="484"/>
        <v/>
      </c>
      <c r="BI469" s="389" t="str">
        <f t="array" ref="BI469">IF($X469="","",SWITCH($W469,3,IFERROR(INDEX('Lớp 3 - Công việc chính'!$AF$14:$AF$73,MATCH($X469,'Lớp 3 - Công việc chính'!$I$14:$I$73,0)),""),4,IFERROR(INDEX('Lớp 4 - Danh mục'!$AI$14:$AI$132,MATCH($X469,'Lớp 4 - Danh mục'!$I$14:$I$132,0)),""),5,IFERROR(INDEX('Lớp 5 - Phân công'!$AJ$14:$AJ$262,MATCH($X469,'Lớp 5 - Phân công'!$I$14:$I$262,0)),""),6,IFERROR(INDEX('Lớp 6 - Chi tiết'!$AM$14:$AM$267,MATCH($X469,'Lớp 6 - Chi tiết'!$I$14:$I$267,0)),""),""))</f>
        <v/>
      </c>
      <c r="BJ469" s="389" t="str">
        <f t="array" ref="BJ469">IF($X469="","",SWITCH($W469,3,IFERROR(INDEX('Lớp 3 - Công việc chính'!$AR$14:$AR$73,MATCH($X469,'Lớp 3 - Công việc chính'!$I$14:$I$73,0)),""),4,IFERROR(INDEX('Lớp 4 - Danh mục'!$AU$14:$AU$132,MATCH($X469,'Lớp 4 - Danh mục'!$I$14:$I$132,0)),""),5,IFERROR(INDEX('Lớp 5 - Phân công'!$AV$14:$AV$262,MATCH($X469,'Lớp 5 - Phân công'!$I$14:$I$262,0)),""),6,IFERROR(INDEX('Lớp 6 - Chi tiết'!$AY$14:$AY$267,MATCH($X469,'Lớp 6 - Chi tiết'!$I$14:$I$267,0)),""),""))</f>
        <v/>
      </c>
    </row>
    <row r="470" ht="15.75" customHeight="1">
      <c r="A470" s="294" t="str">
        <f t="shared" si="12"/>
        <v/>
      </c>
      <c r="B470" s="301" t="str">
        <f t="shared" si="13"/>
        <v/>
      </c>
      <c r="C470" s="301" t="str">
        <f t="shared" si="14"/>
        <v/>
      </c>
      <c r="D470" s="301" t="str">
        <f t="shared" si="15"/>
        <v/>
      </c>
      <c r="E470" s="301" t="str">
        <f t="shared" si="16"/>
        <v/>
      </c>
      <c r="F470" s="317" t="str">
        <f t="shared" si="17"/>
        <v/>
      </c>
      <c r="G470" s="323" t="str">
        <f t="shared" si="18"/>
        <v/>
      </c>
      <c r="H470" s="327" t="str">
        <f t="shared" si="19"/>
        <v/>
      </c>
      <c r="I470" s="327" t="str">
        <f t="shared" si="20"/>
        <v/>
      </c>
      <c r="J470" s="301" t="str">
        <f t="shared" si="21"/>
        <v/>
      </c>
      <c r="K470" s="301" t="str">
        <f t="shared" si="22"/>
        <v/>
      </c>
      <c r="L470" s="344" t="str">
        <f t="array" ref="L470">IF($T470="","",LET(m,MATCH($T470,$AS$24:$AS$700,0),lvl,INDEX($W$24:$W$700,m),id,INDEX($X$24:$X$700,m),SWITCH(lvl,3,"Lớp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0" s="351" t="str">
        <f t="shared" si="23"/>
        <v/>
      </c>
      <c r="N470" s="356" t="str">
        <f t="shared" si="24"/>
        <v/>
      </c>
      <c r="O470" s="358"/>
      <c r="P470" s="360"/>
      <c r="Q470" s="360"/>
      <c r="R470" s="67"/>
      <c r="S470" s="67"/>
      <c r="T470" s="67"/>
      <c r="U470" s="389" t="str">
        <f>IF('Lớp 6 - Chi tiết'!I32="","",'Lớp 6 - Chi tiết'!L32&amp;"|"&amp;'Lớp 6 - Chi tiết'!K32&amp;"|"&amp;'Lớp 6 - Chi tiết'!J32&amp;"|"&amp;'Lớp 6 - Chi tiết'!I32)</f>
        <v/>
      </c>
      <c r="V470" s="389" t="str">
        <f>IF('Lớp 6 - Chi tiết'!I32="","","           └─ "&amp;'Lớp 6 - Chi tiết'!S32)</f>
        <v/>
      </c>
      <c r="W470" s="389" t="str">
        <f>IF('Lớp 6 - Chi tiết'!I32="","",6)</f>
        <v/>
      </c>
      <c r="X470" s="67" t="str">
        <f>'Lớp 6 - Chi tiết'!I32</f>
        <v/>
      </c>
      <c r="Y470" s="389" t="str">
        <f>'Lớp 6 - Chi tiết'!J32</f>
        <v/>
      </c>
      <c r="Z470" s="67" t="str">
        <f>'Lớp 6 - Chi tiết'!AC32</f>
        <v/>
      </c>
      <c r="AA470" s="67" t="str">
        <f>'Lớp 6 - Chi tiết'!AB32</f>
        <v/>
      </c>
      <c r="AB470" s="67" t="str">
        <f>'Lớp 6 - Chi tiết'!AF32</f>
        <v/>
      </c>
      <c r="AC470" s="67" t="str">
        <f>'Lớp 6 - Chi tiết'!AE32</f>
        <v/>
      </c>
      <c r="AD470" s="398" t="str">
        <f>'Lớp 6 - Chi tiết'!AJ32</f>
        <v/>
      </c>
      <c r="AE470" s="358" t="str">
        <f>'Lớp 6 - Chi tiết'!AH32</f>
        <v/>
      </c>
      <c r="AF470" s="187" t="str">
        <f>'Lớp 6 - Chi tiết'!AK32</f>
        <v/>
      </c>
      <c r="AG470" s="104" t="str">
        <f>'Lớp 6 - Chi tiết'!AL32</f>
        <v/>
      </c>
      <c r="AH470" s="389" t="str">
        <f t="shared" si="27"/>
        <v/>
      </c>
      <c r="AI470" s="389" t="str">
        <f t="shared" si="37"/>
        <v>🔵 Chưa có hạn</v>
      </c>
      <c r="AJ470" s="67" t="str">
        <f>'Lớp 6 - Chi tiết'!AO32</f>
        <v/>
      </c>
      <c r="AS470" s="389" t="str">
        <f t="shared" si="467"/>
        <v/>
      </c>
      <c r="AT470" s="389" t="str">
        <f t="shared" si="32"/>
        <v/>
      </c>
      <c r="AU470" s="389" t="str">
        <f t="shared" si="33"/>
        <v/>
      </c>
      <c r="AV470" s="389" t="str">
        <f t="shared" si="34"/>
        <v/>
      </c>
      <c r="AW470" s="389" t="str">
        <f t="shared" si="35"/>
        <v/>
      </c>
      <c r="AX470" s="67" t="str">
        <f t="shared" ref="AX470:BH470" si="485">Z470</f>
        <v/>
      </c>
      <c r="AY470" s="67" t="str">
        <f t="shared" si="485"/>
        <v/>
      </c>
      <c r="AZ470" s="67" t="str">
        <f t="shared" si="485"/>
        <v/>
      </c>
      <c r="BA470" s="67" t="str">
        <f t="shared" si="485"/>
        <v/>
      </c>
      <c r="BB470" s="398" t="str">
        <f t="shared" si="485"/>
        <v/>
      </c>
      <c r="BC470" s="358" t="str">
        <f t="shared" si="485"/>
        <v/>
      </c>
      <c r="BD470" s="187" t="str">
        <f t="shared" si="485"/>
        <v/>
      </c>
      <c r="BE470" s="104" t="str">
        <f t="shared" si="485"/>
        <v/>
      </c>
      <c r="BF470" s="389" t="str">
        <f t="shared" si="485"/>
        <v/>
      </c>
      <c r="BG470" s="389" t="str">
        <f t="shared" si="485"/>
        <v>🔵 Chưa có hạn</v>
      </c>
      <c r="BH470" s="67" t="str">
        <f t="shared" si="485"/>
        <v/>
      </c>
      <c r="BI470" s="389" t="str">
        <f t="array" ref="BI470">IF($X470="","",SWITCH($W470,3,IFERROR(INDEX('Lớp 3 - Công việc chính'!$AF$14:$AF$73,MATCH($X470,'Lớp 3 - Công việc chính'!$I$14:$I$73,0)),""),4,IFERROR(INDEX('Lớp 4 - Danh mục'!$AI$14:$AI$132,MATCH($X470,'Lớp 4 - Danh mục'!$I$14:$I$132,0)),""),5,IFERROR(INDEX('Lớp 5 - Phân công'!$AJ$14:$AJ$262,MATCH($X470,'Lớp 5 - Phân công'!$I$14:$I$262,0)),""),6,IFERROR(INDEX('Lớp 6 - Chi tiết'!$AM$14:$AM$267,MATCH($X470,'Lớp 6 - Chi tiết'!$I$14:$I$267,0)),""),""))</f>
        <v/>
      </c>
      <c r="BJ470" s="389" t="str">
        <f t="array" ref="BJ470">IF($X470="","",SWITCH($W470,3,IFERROR(INDEX('Lớp 3 - Công việc chính'!$AR$14:$AR$73,MATCH($X470,'Lớp 3 - Công việc chính'!$I$14:$I$73,0)),""),4,IFERROR(INDEX('Lớp 4 - Danh mục'!$AU$14:$AU$132,MATCH($X470,'Lớp 4 - Danh mục'!$I$14:$I$132,0)),""),5,IFERROR(INDEX('Lớp 5 - Phân công'!$AV$14:$AV$262,MATCH($X470,'Lớp 5 - Phân công'!$I$14:$I$262,0)),""),6,IFERROR(INDEX('Lớp 6 - Chi tiết'!$AY$14:$AY$267,MATCH($X470,'Lớp 6 - Chi tiết'!$I$14:$I$267,0)),""),""))</f>
        <v/>
      </c>
    </row>
    <row r="471" ht="15.75" customHeight="1">
      <c r="A471" s="294" t="str">
        <f t="shared" si="12"/>
        <v/>
      </c>
      <c r="B471" s="301" t="str">
        <f t="shared" si="13"/>
        <v/>
      </c>
      <c r="C471" s="301" t="str">
        <f t="shared" si="14"/>
        <v/>
      </c>
      <c r="D471" s="301" t="str">
        <f t="shared" si="15"/>
        <v/>
      </c>
      <c r="E471" s="301" t="str">
        <f t="shared" si="16"/>
        <v/>
      </c>
      <c r="F471" s="317" t="str">
        <f t="shared" si="17"/>
        <v/>
      </c>
      <c r="G471" s="323" t="str">
        <f t="shared" si="18"/>
        <v/>
      </c>
      <c r="H471" s="327" t="str">
        <f t="shared" si="19"/>
        <v/>
      </c>
      <c r="I471" s="327" t="str">
        <f t="shared" si="20"/>
        <v/>
      </c>
      <c r="J471" s="301" t="str">
        <f t="shared" si="21"/>
        <v/>
      </c>
      <c r="K471" s="301" t="str">
        <f t="shared" si="22"/>
        <v/>
      </c>
      <c r="L471" s="344" t="str">
        <f t="array" ref="L471">IF($T471="","",LET(m,MATCH($T471,$AS$24:$AS$700,0),lvl,INDEX($W$24:$W$700,m),id,INDEX($X$24:$X$700,m),SWITCH(lvl,3,"Lớp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1" s="351" t="str">
        <f t="shared" si="23"/>
        <v/>
      </c>
      <c r="N471" s="356" t="str">
        <f t="shared" si="24"/>
        <v/>
      </c>
      <c r="O471" s="358"/>
      <c r="P471" s="360"/>
      <c r="Q471" s="360"/>
      <c r="R471" s="67"/>
      <c r="S471" s="67"/>
      <c r="T471" s="67"/>
      <c r="U471" s="389" t="str">
        <f>IF('Lớp 6 - Chi tiết'!I33="","",'Lớp 6 - Chi tiết'!L33&amp;"|"&amp;'Lớp 6 - Chi tiết'!K33&amp;"|"&amp;'Lớp 6 - Chi tiết'!J33&amp;"|"&amp;'Lớp 6 - Chi tiết'!I33)</f>
        <v/>
      </c>
      <c r="V471" s="389" t="str">
        <f>IF('Lớp 6 - Chi tiết'!I33="","","           └─ "&amp;'Lớp 6 - Chi tiết'!S33)</f>
        <v/>
      </c>
      <c r="W471" s="389" t="str">
        <f>IF('Lớp 6 - Chi tiết'!I33="","",6)</f>
        <v/>
      </c>
      <c r="X471" s="67" t="str">
        <f>'Lớp 6 - Chi tiết'!I33</f>
        <v/>
      </c>
      <c r="Y471" s="389" t="str">
        <f>'Lớp 6 - Chi tiết'!J33</f>
        <v/>
      </c>
      <c r="Z471" s="67" t="str">
        <f>'Lớp 6 - Chi tiết'!AC33</f>
        <v/>
      </c>
      <c r="AA471" s="67" t="str">
        <f>'Lớp 6 - Chi tiết'!AB33</f>
        <v/>
      </c>
      <c r="AB471" s="67" t="str">
        <f>'Lớp 6 - Chi tiết'!AF33</f>
        <v/>
      </c>
      <c r="AC471" s="67" t="str">
        <f>'Lớp 6 - Chi tiết'!AE33</f>
        <v/>
      </c>
      <c r="AD471" s="398" t="str">
        <f>'Lớp 6 - Chi tiết'!AJ33</f>
        <v/>
      </c>
      <c r="AE471" s="358" t="str">
        <f>'Lớp 6 - Chi tiết'!AH33</f>
        <v/>
      </c>
      <c r="AF471" s="187" t="str">
        <f>'Lớp 6 - Chi tiết'!AK33</f>
        <v/>
      </c>
      <c r="AG471" s="104" t="str">
        <f>'Lớp 6 - Chi tiết'!AL33</f>
        <v/>
      </c>
      <c r="AH471" s="389" t="str">
        <f t="shared" si="27"/>
        <v/>
      </c>
      <c r="AI471" s="389" t="str">
        <f t="shared" si="37"/>
        <v>🔵 Chưa có hạn</v>
      </c>
      <c r="AJ471" s="67" t="str">
        <f>'Lớp 6 - Chi tiết'!AO33</f>
        <v/>
      </c>
      <c r="AS471" s="389" t="str">
        <f t="shared" si="467"/>
        <v/>
      </c>
      <c r="AT471" s="389" t="str">
        <f t="shared" si="32"/>
        <v/>
      </c>
      <c r="AU471" s="389" t="str">
        <f t="shared" si="33"/>
        <v/>
      </c>
      <c r="AV471" s="389" t="str">
        <f t="shared" si="34"/>
        <v/>
      </c>
      <c r="AW471" s="389" t="str">
        <f t="shared" si="35"/>
        <v/>
      </c>
      <c r="AX471" s="67" t="str">
        <f t="shared" ref="AX471:BH471" si="486">Z471</f>
        <v/>
      </c>
      <c r="AY471" s="67" t="str">
        <f t="shared" si="486"/>
        <v/>
      </c>
      <c r="AZ471" s="67" t="str">
        <f t="shared" si="486"/>
        <v/>
      </c>
      <c r="BA471" s="67" t="str">
        <f t="shared" si="486"/>
        <v/>
      </c>
      <c r="BB471" s="398" t="str">
        <f t="shared" si="486"/>
        <v/>
      </c>
      <c r="BC471" s="358" t="str">
        <f t="shared" si="486"/>
        <v/>
      </c>
      <c r="BD471" s="187" t="str">
        <f t="shared" si="486"/>
        <v/>
      </c>
      <c r="BE471" s="104" t="str">
        <f t="shared" si="486"/>
        <v/>
      </c>
      <c r="BF471" s="389" t="str">
        <f t="shared" si="486"/>
        <v/>
      </c>
      <c r="BG471" s="389" t="str">
        <f t="shared" si="486"/>
        <v>🔵 Chưa có hạn</v>
      </c>
      <c r="BH471" s="67" t="str">
        <f t="shared" si="486"/>
        <v/>
      </c>
      <c r="BI471" s="389" t="str">
        <f t="array" ref="BI471">IF($X471="","",SWITCH($W471,3,IFERROR(INDEX('Lớp 3 - Công việc chính'!$AF$14:$AF$73,MATCH($X471,'Lớp 3 - Công việc chính'!$I$14:$I$73,0)),""),4,IFERROR(INDEX('Lớp 4 - Danh mục'!$AI$14:$AI$132,MATCH($X471,'Lớp 4 - Danh mục'!$I$14:$I$132,0)),""),5,IFERROR(INDEX('Lớp 5 - Phân công'!$AJ$14:$AJ$262,MATCH($X471,'Lớp 5 - Phân công'!$I$14:$I$262,0)),""),6,IFERROR(INDEX('Lớp 6 - Chi tiết'!$AM$14:$AM$267,MATCH($X471,'Lớp 6 - Chi tiết'!$I$14:$I$267,0)),""),""))</f>
        <v/>
      </c>
      <c r="BJ471" s="389" t="str">
        <f t="array" ref="BJ471">IF($X471="","",SWITCH($W471,3,IFERROR(INDEX('Lớp 3 - Công việc chính'!$AR$14:$AR$73,MATCH($X471,'Lớp 3 - Công việc chính'!$I$14:$I$73,0)),""),4,IFERROR(INDEX('Lớp 4 - Danh mục'!$AU$14:$AU$132,MATCH($X471,'Lớp 4 - Danh mục'!$I$14:$I$132,0)),""),5,IFERROR(INDEX('Lớp 5 - Phân công'!$AV$14:$AV$262,MATCH($X471,'Lớp 5 - Phân công'!$I$14:$I$262,0)),""),6,IFERROR(INDEX('Lớp 6 - Chi tiết'!$AY$14:$AY$267,MATCH($X471,'Lớp 6 - Chi tiết'!$I$14:$I$267,0)),""),""))</f>
        <v/>
      </c>
    </row>
    <row r="472" ht="15.75" customHeight="1">
      <c r="A472" s="294" t="str">
        <f t="shared" si="12"/>
        <v/>
      </c>
      <c r="B472" s="301" t="str">
        <f t="shared" si="13"/>
        <v/>
      </c>
      <c r="C472" s="301" t="str">
        <f t="shared" si="14"/>
        <v/>
      </c>
      <c r="D472" s="301" t="str">
        <f t="shared" si="15"/>
        <v/>
      </c>
      <c r="E472" s="301" t="str">
        <f t="shared" si="16"/>
        <v/>
      </c>
      <c r="F472" s="317" t="str">
        <f t="shared" si="17"/>
        <v/>
      </c>
      <c r="G472" s="323" t="str">
        <f t="shared" si="18"/>
        <v/>
      </c>
      <c r="H472" s="327" t="str">
        <f t="shared" si="19"/>
        <v/>
      </c>
      <c r="I472" s="327" t="str">
        <f t="shared" si="20"/>
        <v/>
      </c>
      <c r="J472" s="301" t="str">
        <f t="shared" si="21"/>
        <v/>
      </c>
      <c r="K472" s="301" t="str">
        <f t="shared" si="22"/>
        <v/>
      </c>
      <c r="L472" s="344" t="str">
        <f t="array" ref="L472">IF($T472="","",LET(m,MATCH($T472,$AS$24:$AS$700,0),lvl,INDEX($W$24:$W$700,m),id,INDEX($X$24:$X$700,m),SWITCH(lvl,3,"Lớp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2" s="351" t="str">
        <f t="shared" si="23"/>
        <v/>
      </c>
      <c r="N472" s="356" t="str">
        <f t="shared" si="24"/>
        <v/>
      </c>
      <c r="O472" s="358"/>
      <c r="P472" s="360"/>
      <c r="Q472" s="360"/>
      <c r="R472" s="67"/>
      <c r="S472" s="67"/>
      <c r="T472" s="67"/>
      <c r="U472" s="389" t="str">
        <f>IF('Lớp 6 - Chi tiết'!I34="","",'Lớp 6 - Chi tiết'!L34&amp;"|"&amp;'Lớp 6 - Chi tiết'!K34&amp;"|"&amp;'Lớp 6 - Chi tiết'!J34&amp;"|"&amp;'Lớp 6 - Chi tiết'!I34)</f>
        <v/>
      </c>
      <c r="V472" s="389" t="str">
        <f>IF('Lớp 6 - Chi tiết'!I34="","","           └─ "&amp;'Lớp 6 - Chi tiết'!S34)</f>
        <v/>
      </c>
      <c r="W472" s="389" t="str">
        <f>IF('Lớp 6 - Chi tiết'!I34="","",6)</f>
        <v/>
      </c>
      <c r="X472" s="67" t="str">
        <f>'Lớp 6 - Chi tiết'!I34</f>
        <v/>
      </c>
      <c r="Y472" s="389" t="str">
        <f>'Lớp 6 - Chi tiết'!J34</f>
        <v/>
      </c>
      <c r="Z472" s="67" t="str">
        <f>'Lớp 6 - Chi tiết'!AC34</f>
        <v/>
      </c>
      <c r="AA472" s="67" t="str">
        <f>'Lớp 6 - Chi tiết'!AB34</f>
        <v/>
      </c>
      <c r="AB472" s="67" t="str">
        <f>'Lớp 6 - Chi tiết'!AF34</f>
        <v/>
      </c>
      <c r="AC472" s="67" t="str">
        <f>'Lớp 6 - Chi tiết'!AE34</f>
        <v/>
      </c>
      <c r="AD472" s="398" t="str">
        <f>'Lớp 6 - Chi tiết'!AJ34</f>
        <v/>
      </c>
      <c r="AE472" s="358" t="str">
        <f>'Lớp 6 - Chi tiết'!AH34</f>
        <v/>
      </c>
      <c r="AF472" s="187" t="str">
        <f>'Lớp 6 - Chi tiết'!AK34</f>
        <v/>
      </c>
      <c r="AG472" s="104" t="str">
        <f>'Lớp 6 - Chi tiết'!AL34</f>
        <v/>
      </c>
      <c r="AH472" s="389" t="str">
        <f t="shared" si="27"/>
        <v/>
      </c>
      <c r="AI472" s="389" t="str">
        <f t="shared" si="37"/>
        <v>🔵 Chưa có hạn</v>
      </c>
      <c r="AJ472" s="67" t="str">
        <f>'Lớp 6 - Chi tiết'!AO34</f>
        <v/>
      </c>
      <c r="AS472" s="389" t="str">
        <f t="shared" si="467"/>
        <v/>
      </c>
      <c r="AT472" s="389" t="str">
        <f t="shared" si="32"/>
        <v/>
      </c>
      <c r="AU472" s="389" t="str">
        <f t="shared" si="33"/>
        <v/>
      </c>
      <c r="AV472" s="389" t="str">
        <f t="shared" si="34"/>
        <v/>
      </c>
      <c r="AW472" s="389" t="str">
        <f t="shared" si="35"/>
        <v/>
      </c>
      <c r="AX472" s="67" t="str">
        <f t="shared" ref="AX472:BH472" si="487">Z472</f>
        <v/>
      </c>
      <c r="AY472" s="67" t="str">
        <f t="shared" si="487"/>
        <v/>
      </c>
      <c r="AZ472" s="67" t="str">
        <f t="shared" si="487"/>
        <v/>
      </c>
      <c r="BA472" s="67" t="str">
        <f t="shared" si="487"/>
        <v/>
      </c>
      <c r="BB472" s="398" t="str">
        <f t="shared" si="487"/>
        <v/>
      </c>
      <c r="BC472" s="358" t="str">
        <f t="shared" si="487"/>
        <v/>
      </c>
      <c r="BD472" s="187" t="str">
        <f t="shared" si="487"/>
        <v/>
      </c>
      <c r="BE472" s="104" t="str">
        <f t="shared" si="487"/>
        <v/>
      </c>
      <c r="BF472" s="389" t="str">
        <f t="shared" si="487"/>
        <v/>
      </c>
      <c r="BG472" s="389" t="str">
        <f t="shared" si="487"/>
        <v>🔵 Chưa có hạn</v>
      </c>
      <c r="BH472" s="67" t="str">
        <f t="shared" si="487"/>
        <v/>
      </c>
      <c r="BI472" s="389" t="str">
        <f t="array" ref="BI472">IF($X472="","",SWITCH($W472,3,IFERROR(INDEX('Lớp 3 - Công việc chính'!$AF$14:$AF$73,MATCH($X472,'Lớp 3 - Công việc chính'!$I$14:$I$73,0)),""),4,IFERROR(INDEX('Lớp 4 - Danh mục'!$AI$14:$AI$132,MATCH($X472,'Lớp 4 - Danh mục'!$I$14:$I$132,0)),""),5,IFERROR(INDEX('Lớp 5 - Phân công'!$AJ$14:$AJ$262,MATCH($X472,'Lớp 5 - Phân công'!$I$14:$I$262,0)),""),6,IFERROR(INDEX('Lớp 6 - Chi tiết'!$AM$14:$AM$267,MATCH($X472,'Lớp 6 - Chi tiết'!$I$14:$I$267,0)),""),""))</f>
        <v/>
      </c>
      <c r="BJ472" s="389" t="str">
        <f t="array" ref="BJ472">IF($X472="","",SWITCH($W472,3,IFERROR(INDEX('Lớp 3 - Công việc chính'!$AR$14:$AR$73,MATCH($X472,'Lớp 3 - Công việc chính'!$I$14:$I$73,0)),""),4,IFERROR(INDEX('Lớp 4 - Danh mục'!$AU$14:$AU$132,MATCH($X472,'Lớp 4 - Danh mục'!$I$14:$I$132,0)),""),5,IFERROR(INDEX('Lớp 5 - Phân công'!$AV$14:$AV$262,MATCH($X472,'Lớp 5 - Phân công'!$I$14:$I$262,0)),""),6,IFERROR(INDEX('Lớp 6 - Chi tiết'!$AY$14:$AY$267,MATCH($X472,'Lớp 6 - Chi tiết'!$I$14:$I$267,0)),""),""))</f>
        <v/>
      </c>
    </row>
    <row r="473" ht="15.75" customHeight="1">
      <c r="A473" s="294" t="str">
        <f t="shared" si="12"/>
        <v/>
      </c>
      <c r="B473" s="301" t="str">
        <f t="shared" si="13"/>
        <v/>
      </c>
      <c r="C473" s="301" t="str">
        <f t="shared" si="14"/>
        <v/>
      </c>
      <c r="D473" s="301" t="str">
        <f t="shared" si="15"/>
        <v/>
      </c>
      <c r="E473" s="301" t="str">
        <f t="shared" si="16"/>
        <v/>
      </c>
      <c r="F473" s="317" t="str">
        <f t="shared" si="17"/>
        <v/>
      </c>
      <c r="G473" s="323" t="str">
        <f t="shared" si="18"/>
        <v/>
      </c>
      <c r="H473" s="327" t="str">
        <f t="shared" si="19"/>
        <v/>
      </c>
      <c r="I473" s="327" t="str">
        <f t="shared" si="20"/>
        <v/>
      </c>
      <c r="J473" s="301" t="str">
        <f t="shared" si="21"/>
        <v/>
      </c>
      <c r="K473" s="301" t="str">
        <f t="shared" si="22"/>
        <v/>
      </c>
      <c r="L473" s="344" t="str">
        <f t="array" ref="L473">IF($T473="","",LET(m,MATCH($T473,$AS$24:$AS$700,0),lvl,INDEX($W$24:$W$700,m),id,INDEX($X$24:$X$700,m),SWITCH(lvl,3,"Lớp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3" s="351" t="str">
        <f t="shared" si="23"/>
        <v/>
      </c>
      <c r="N473" s="356" t="str">
        <f t="shared" si="24"/>
        <v/>
      </c>
      <c r="O473" s="358"/>
      <c r="P473" s="360"/>
      <c r="Q473" s="360"/>
      <c r="R473" s="67"/>
      <c r="S473" s="67"/>
      <c r="T473" s="67"/>
      <c r="U473" s="389" t="str">
        <f>IF('Lớp 6 - Chi tiết'!I35="","",'Lớp 6 - Chi tiết'!L35&amp;"|"&amp;'Lớp 6 - Chi tiết'!K35&amp;"|"&amp;'Lớp 6 - Chi tiết'!J35&amp;"|"&amp;'Lớp 6 - Chi tiết'!I35)</f>
        <v/>
      </c>
      <c r="V473" s="389" t="str">
        <f>IF('Lớp 6 - Chi tiết'!I35="","","           └─ "&amp;'Lớp 6 - Chi tiết'!S35)</f>
        <v/>
      </c>
      <c r="W473" s="389" t="str">
        <f>IF('Lớp 6 - Chi tiết'!I35="","",6)</f>
        <v/>
      </c>
      <c r="X473" s="67" t="str">
        <f>'Lớp 6 - Chi tiết'!I35</f>
        <v/>
      </c>
      <c r="Y473" s="389" t="str">
        <f>'Lớp 6 - Chi tiết'!J35</f>
        <v/>
      </c>
      <c r="Z473" s="67" t="str">
        <f>'Lớp 6 - Chi tiết'!AC35</f>
        <v/>
      </c>
      <c r="AA473" s="67" t="str">
        <f>'Lớp 6 - Chi tiết'!AB35</f>
        <v/>
      </c>
      <c r="AB473" s="67" t="str">
        <f>'Lớp 6 - Chi tiết'!AF35</f>
        <v/>
      </c>
      <c r="AC473" s="67" t="str">
        <f>'Lớp 6 - Chi tiết'!AE35</f>
        <v/>
      </c>
      <c r="AD473" s="398" t="str">
        <f>'Lớp 6 - Chi tiết'!AJ35</f>
        <v/>
      </c>
      <c r="AE473" s="358" t="str">
        <f>'Lớp 6 - Chi tiết'!AH35</f>
        <v/>
      </c>
      <c r="AF473" s="187" t="str">
        <f>'Lớp 6 - Chi tiết'!AK35</f>
        <v/>
      </c>
      <c r="AG473" s="104" t="str">
        <f>'Lớp 6 - Chi tiết'!AL35</f>
        <v/>
      </c>
      <c r="AH473" s="389" t="str">
        <f t="shared" si="27"/>
        <v/>
      </c>
      <c r="AI473" s="389" t="str">
        <f t="shared" si="37"/>
        <v>🔵 Chưa có hạn</v>
      </c>
      <c r="AJ473" s="67" t="str">
        <f>'Lớp 6 - Chi tiết'!AO35</f>
        <v/>
      </c>
      <c r="AS473" s="389" t="str">
        <f t="shared" si="467"/>
        <v/>
      </c>
      <c r="AT473" s="389" t="str">
        <f t="shared" si="32"/>
        <v/>
      </c>
      <c r="AU473" s="389" t="str">
        <f t="shared" si="33"/>
        <v/>
      </c>
      <c r="AV473" s="389" t="str">
        <f t="shared" si="34"/>
        <v/>
      </c>
      <c r="AW473" s="389" t="str">
        <f t="shared" si="35"/>
        <v/>
      </c>
      <c r="AX473" s="67" t="str">
        <f t="shared" ref="AX473:BH473" si="488">Z473</f>
        <v/>
      </c>
      <c r="AY473" s="67" t="str">
        <f t="shared" si="488"/>
        <v/>
      </c>
      <c r="AZ473" s="67" t="str">
        <f t="shared" si="488"/>
        <v/>
      </c>
      <c r="BA473" s="67" t="str">
        <f t="shared" si="488"/>
        <v/>
      </c>
      <c r="BB473" s="398" t="str">
        <f t="shared" si="488"/>
        <v/>
      </c>
      <c r="BC473" s="358" t="str">
        <f t="shared" si="488"/>
        <v/>
      </c>
      <c r="BD473" s="187" t="str">
        <f t="shared" si="488"/>
        <v/>
      </c>
      <c r="BE473" s="104" t="str">
        <f t="shared" si="488"/>
        <v/>
      </c>
      <c r="BF473" s="389" t="str">
        <f t="shared" si="488"/>
        <v/>
      </c>
      <c r="BG473" s="389" t="str">
        <f t="shared" si="488"/>
        <v>🔵 Chưa có hạn</v>
      </c>
      <c r="BH473" s="67" t="str">
        <f t="shared" si="488"/>
        <v/>
      </c>
      <c r="BI473" s="389" t="str">
        <f t="array" ref="BI473">IF($X473="","",SWITCH($W473,3,IFERROR(INDEX('Lớp 3 - Công việc chính'!$AF$14:$AF$73,MATCH($X473,'Lớp 3 - Công việc chính'!$I$14:$I$73,0)),""),4,IFERROR(INDEX('Lớp 4 - Danh mục'!$AI$14:$AI$132,MATCH($X473,'Lớp 4 - Danh mục'!$I$14:$I$132,0)),""),5,IFERROR(INDEX('Lớp 5 - Phân công'!$AJ$14:$AJ$262,MATCH($X473,'Lớp 5 - Phân công'!$I$14:$I$262,0)),""),6,IFERROR(INDEX('Lớp 6 - Chi tiết'!$AM$14:$AM$267,MATCH($X473,'Lớp 6 - Chi tiết'!$I$14:$I$267,0)),""),""))</f>
        <v/>
      </c>
      <c r="BJ473" s="389" t="str">
        <f t="array" ref="BJ473">IF($X473="","",SWITCH($W473,3,IFERROR(INDEX('Lớp 3 - Công việc chính'!$AR$14:$AR$73,MATCH($X473,'Lớp 3 - Công việc chính'!$I$14:$I$73,0)),""),4,IFERROR(INDEX('Lớp 4 - Danh mục'!$AU$14:$AU$132,MATCH($X473,'Lớp 4 - Danh mục'!$I$14:$I$132,0)),""),5,IFERROR(INDEX('Lớp 5 - Phân công'!$AV$14:$AV$262,MATCH($X473,'Lớp 5 - Phân công'!$I$14:$I$262,0)),""),6,IFERROR(INDEX('Lớp 6 - Chi tiết'!$AY$14:$AY$267,MATCH($X473,'Lớp 6 - Chi tiết'!$I$14:$I$267,0)),""),""))</f>
        <v/>
      </c>
    </row>
    <row r="474" ht="15.75" customHeight="1">
      <c r="A474" s="294" t="str">
        <f t="shared" si="12"/>
        <v/>
      </c>
      <c r="B474" s="301" t="str">
        <f t="shared" si="13"/>
        <v/>
      </c>
      <c r="C474" s="301" t="str">
        <f t="shared" si="14"/>
        <v/>
      </c>
      <c r="D474" s="301" t="str">
        <f t="shared" si="15"/>
        <v/>
      </c>
      <c r="E474" s="301" t="str">
        <f t="shared" si="16"/>
        <v/>
      </c>
      <c r="F474" s="317" t="str">
        <f t="shared" si="17"/>
        <v/>
      </c>
      <c r="G474" s="323" t="str">
        <f t="shared" si="18"/>
        <v/>
      </c>
      <c r="H474" s="327" t="str">
        <f t="shared" si="19"/>
        <v/>
      </c>
      <c r="I474" s="327" t="str">
        <f t="shared" si="20"/>
        <v/>
      </c>
      <c r="J474" s="301" t="str">
        <f t="shared" si="21"/>
        <v/>
      </c>
      <c r="K474" s="301" t="str">
        <f t="shared" si="22"/>
        <v/>
      </c>
      <c r="L474" s="344" t="str">
        <f t="array" ref="L474">IF($T474="","",LET(m,MATCH($T474,$AS$24:$AS$700,0),lvl,INDEX($W$24:$W$700,m),id,INDEX($X$24:$X$700,m),SWITCH(lvl,3,"Lớp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4" s="351" t="str">
        <f t="shared" si="23"/>
        <v/>
      </c>
      <c r="N474" s="356" t="str">
        <f t="shared" si="24"/>
        <v/>
      </c>
      <c r="O474" s="358"/>
      <c r="P474" s="360"/>
      <c r="Q474" s="360"/>
      <c r="R474" s="67"/>
      <c r="S474" s="67"/>
      <c r="T474" s="67"/>
      <c r="U474" s="389" t="str">
        <f>IF('Lớp 6 - Chi tiết'!I36="","",'Lớp 6 - Chi tiết'!L36&amp;"|"&amp;'Lớp 6 - Chi tiết'!K36&amp;"|"&amp;'Lớp 6 - Chi tiết'!J36&amp;"|"&amp;'Lớp 6 - Chi tiết'!I36)</f>
        <v/>
      </c>
      <c r="V474" s="389" t="str">
        <f>IF('Lớp 6 - Chi tiết'!I36="","","           └─ "&amp;'Lớp 6 - Chi tiết'!S36)</f>
        <v/>
      </c>
      <c r="W474" s="389" t="str">
        <f>IF('Lớp 6 - Chi tiết'!I36="","",6)</f>
        <v/>
      </c>
      <c r="X474" s="67" t="str">
        <f>'Lớp 6 - Chi tiết'!I36</f>
        <v/>
      </c>
      <c r="Y474" s="389" t="str">
        <f>'Lớp 6 - Chi tiết'!J36</f>
        <v/>
      </c>
      <c r="Z474" s="67" t="str">
        <f>'Lớp 6 - Chi tiết'!AC36</f>
        <v/>
      </c>
      <c r="AA474" s="67" t="str">
        <f>'Lớp 6 - Chi tiết'!AB36</f>
        <v/>
      </c>
      <c r="AB474" s="67" t="str">
        <f>'Lớp 6 - Chi tiết'!AF36</f>
        <v/>
      </c>
      <c r="AC474" s="67" t="str">
        <f>'Lớp 6 - Chi tiết'!AE36</f>
        <v/>
      </c>
      <c r="AD474" s="398" t="str">
        <f>'Lớp 6 - Chi tiết'!AJ36</f>
        <v/>
      </c>
      <c r="AE474" s="358" t="str">
        <f>'Lớp 6 - Chi tiết'!AH36</f>
        <v/>
      </c>
      <c r="AF474" s="187" t="str">
        <f>'Lớp 6 - Chi tiết'!AK36</f>
        <v/>
      </c>
      <c r="AG474" s="104" t="str">
        <f>'Lớp 6 - Chi tiết'!AL36</f>
        <v/>
      </c>
      <c r="AH474" s="389" t="str">
        <f t="shared" si="27"/>
        <v/>
      </c>
      <c r="AI474" s="389" t="str">
        <f t="shared" si="37"/>
        <v>🔵 Chưa có hạn</v>
      </c>
      <c r="AJ474" s="67" t="str">
        <f>'Lớp 6 - Chi tiết'!AO36</f>
        <v/>
      </c>
      <c r="AS474" s="389" t="str">
        <f t="shared" si="467"/>
        <v/>
      </c>
      <c r="AT474" s="389" t="str">
        <f t="shared" si="32"/>
        <v/>
      </c>
      <c r="AU474" s="389" t="str">
        <f t="shared" si="33"/>
        <v/>
      </c>
      <c r="AV474" s="389" t="str">
        <f t="shared" si="34"/>
        <v/>
      </c>
      <c r="AW474" s="389" t="str">
        <f t="shared" si="35"/>
        <v/>
      </c>
      <c r="AX474" s="67" t="str">
        <f t="shared" ref="AX474:BH474" si="489">Z474</f>
        <v/>
      </c>
      <c r="AY474" s="67" t="str">
        <f t="shared" si="489"/>
        <v/>
      </c>
      <c r="AZ474" s="67" t="str">
        <f t="shared" si="489"/>
        <v/>
      </c>
      <c r="BA474" s="67" t="str">
        <f t="shared" si="489"/>
        <v/>
      </c>
      <c r="BB474" s="398" t="str">
        <f t="shared" si="489"/>
        <v/>
      </c>
      <c r="BC474" s="358" t="str">
        <f t="shared" si="489"/>
        <v/>
      </c>
      <c r="BD474" s="187" t="str">
        <f t="shared" si="489"/>
        <v/>
      </c>
      <c r="BE474" s="104" t="str">
        <f t="shared" si="489"/>
        <v/>
      </c>
      <c r="BF474" s="389" t="str">
        <f t="shared" si="489"/>
        <v/>
      </c>
      <c r="BG474" s="389" t="str">
        <f t="shared" si="489"/>
        <v>🔵 Chưa có hạn</v>
      </c>
      <c r="BH474" s="67" t="str">
        <f t="shared" si="489"/>
        <v/>
      </c>
      <c r="BI474" s="389" t="str">
        <f t="array" ref="BI474">IF($X474="","",SWITCH($W474,3,IFERROR(INDEX('Lớp 3 - Công việc chính'!$AF$14:$AF$73,MATCH($X474,'Lớp 3 - Công việc chính'!$I$14:$I$73,0)),""),4,IFERROR(INDEX('Lớp 4 - Danh mục'!$AI$14:$AI$132,MATCH($X474,'Lớp 4 - Danh mục'!$I$14:$I$132,0)),""),5,IFERROR(INDEX('Lớp 5 - Phân công'!$AJ$14:$AJ$262,MATCH($X474,'Lớp 5 - Phân công'!$I$14:$I$262,0)),""),6,IFERROR(INDEX('Lớp 6 - Chi tiết'!$AM$14:$AM$267,MATCH($X474,'Lớp 6 - Chi tiết'!$I$14:$I$267,0)),""),""))</f>
        <v/>
      </c>
      <c r="BJ474" s="389" t="str">
        <f t="array" ref="BJ474">IF($X474="","",SWITCH($W474,3,IFERROR(INDEX('Lớp 3 - Công việc chính'!$AR$14:$AR$73,MATCH($X474,'Lớp 3 - Công việc chính'!$I$14:$I$73,0)),""),4,IFERROR(INDEX('Lớp 4 - Danh mục'!$AU$14:$AU$132,MATCH($X474,'Lớp 4 - Danh mục'!$I$14:$I$132,0)),""),5,IFERROR(INDEX('Lớp 5 - Phân công'!$AV$14:$AV$262,MATCH($X474,'Lớp 5 - Phân công'!$I$14:$I$262,0)),""),6,IFERROR(INDEX('Lớp 6 - Chi tiết'!$AY$14:$AY$267,MATCH($X474,'Lớp 6 - Chi tiết'!$I$14:$I$267,0)),""),""))</f>
        <v/>
      </c>
    </row>
    <row r="475" ht="15.75" customHeight="1">
      <c r="A475" s="294" t="str">
        <f t="shared" si="12"/>
        <v/>
      </c>
      <c r="B475" s="301" t="str">
        <f t="shared" si="13"/>
        <v/>
      </c>
      <c r="C475" s="301" t="str">
        <f t="shared" si="14"/>
        <v/>
      </c>
      <c r="D475" s="301" t="str">
        <f t="shared" si="15"/>
        <v/>
      </c>
      <c r="E475" s="301" t="str">
        <f t="shared" si="16"/>
        <v/>
      </c>
      <c r="F475" s="317" t="str">
        <f t="shared" si="17"/>
        <v/>
      </c>
      <c r="G475" s="323" t="str">
        <f t="shared" si="18"/>
        <v/>
      </c>
      <c r="H475" s="327" t="str">
        <f t="shared" si="19"/>
        <v/>
      </c>
      <c r="I475" s="327" t="str">
        <f t="shared" si="20"/>
        <v/>
      </c>
      <c r="J475" s="301" t="str">
        <f t="shared" si="21"/>
        <v/>
      </c>
      <c r="K475" s="301" t="str">
        <f t="shared" si="22"/>
        <v/>
      </c>
      <c r="L475" s="344" t="str">
        <f t="array" ref="L475">IF($T475="","",LET(m,MATCH($T475,$AS$24:$AS$700,0),lvl,INDEX($W$24:$W$700,m),id,INDEX($X$24:$X$700,m),SWITCH(lvl,3,"Lớp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5" s="351" t="str">
        <f t="shared" si="23"/>
        <v/>
      </c>
      <c r="N475" s="356" t="str">
        <f t="shared" si="24"/>
        <v/>
      </c>
      <c r="O475" s="358"/>
      <c r="P475" s="360"/>
      <c r="Q475" s="360"/>
      <c r="R475" s="67"/>
      <c r="S475" s="67"/>
      <c r="T475" s="67"/>
      <c r="U475" s="389" t="str">
        <f>IF('Lớp 6 - Chi tiết'!I37="","",'Lớp 6 - Chi tiết'!L37&amp;"|"&amp;'Lớp 6 - Chi tiết'!K37&amp;"|"&amp;'Lớp 6 - Chi tiết'!J37&amp;"|"&amp;'Lớp 6 - Chi tiết'!I37)</f>
        <v/>
      </c>
      <c r="V475" s="389" t="str">
        <f>IF('Lớp 6 - Chi tiết'!I37="","","           └─ "&amp;'Lớp 6 - Chi tiết'!S37)</f>
        <v/>
      </c>
      <c r="W475" s="389" t="str">
        <f>IF('Lớp 6 - Chi tiết'!I37="","",6)</f>
        <v/>
      </c>
      <c r="X475" s="67" t="str">
        <f>'Lớp 6 - Chi tiết'!I37</f>
        <v/>
      </c>
      <c r="Y475" s="389" t="str">
        <f>'Lớp 6 - Chi tiết'!J37</f>
        <v/>
      </c>
      <c r="Z475" s="67" t="str">
        <f>'Lớp 6 - Chi tiết'!AC37</f>
        <v/>
      </c>
      <c r="AA475" s="67" t="str">
        <f>'Lớp 6 - Chi tiết'!AB37</f>
        <v/>
      </c>
      <c r="AB475" s="67" t="str">
        <f>'Lớp 6 - Chi tiết'!AF37</f>
        <v/>
      </c>
      <c r="AC475" s="67" t="str">
        <f>'Lớp 6 - Chi tiết'!AE37</f>
        <v/>
      </c>
      <c r="AD475" s="398" t="str">
        <f>'Lớp 6 - Chi tiết'!AJ37</f>
        <v/>
      </c>
      <c r="AE475" s="358" t="str">
        <f>'Lớp 6 - Chi tiết'!AH37</f>
        <v/>
      </c>
      <c r="AF475" s="187" t="str">
        <f>'Lớp 6 - Chi tiết'!AK37</f>
        <v/>
      </c>
      <c r="AG475" s="104" t="str">
        <f>'Lớp 6 - Chi tiết'!AL37</f>
        <v/>
      </c>
      <c r="AH475" s="389" t="str">
        <f t="shared" si="27"/>
        <v/>
      </c>
      <c r="AI475" s="389" t="str">
        <f t="shared" si="37"/>
        <v>🔵 Chưa có hạn</v>
      </c>
      <c r="AJ475" s="67" t="str">
        <f>'Lớp 6 - Chi tiết'!AO37</f>
        <v/>
      </c>
      <c r="AS475" s="389" t="str">
        <f t="shared" si="467"/>
        <v/>
      </c>
      <c r="AT475" s="389" t="str">
        <f t="shared" si="32"/>
        <v/>
      </c>
      <c r="AU475" s="389" t="str">
        <f t="shared" si="33"/>
        <v/>
      </c>
      <c r="AV475" s="389" t="str">
        <f t="shared" si="34"/>
        <v/>
      </c>
      <c r="AW475" s="389" t="str">
        <f t="shared" si="35"/>
        <v/>
      </c>
      <c r="AX475" s="67" t="str">
        <f t="shared" ref="AX475:BH475" si="490">Z475</f>
        <v/>
      </c>
      <c r="AY475" s="67" t="str">
        <f t="shared" si="490"/>
        <v/>
      </c>
      <c r="AZ475" s="67" t="str">
        <f t="shared" si="490"/>
        <v/>
      </c>
      <c r="BA475" s="67" t="str">
        <f t="shared" si="490"/>
        <v/>
      </c>
      <c r="BB475" s="398" t="str">
        <f t="shared" si="490"/>
        <v/>
      </c>
      <c r="BC475" s="358" t="str">
        <f t="shared" si="490"/>
        <v/>
      </c>
      <c r="BD475" s="187" t="str">
        <f t="shared" si="490"/>
        <v/>
      </c>
      <c r="BE475" s="104" t="str">
        <f t="shared" si="490"/>
        <v/>
      </c>
      <c r="BF475" s="389" t="str">
        <f t="shared" si="490"/>
        <v/>
      </c>
      <c r="BG475" s="389" t="str">
        <f t="shared" si="490"/>
        <v>🔵 Chưa có hạn</v>
      </c>
      <c r="BH475" s="67" t="str">
        <f t="shared" si="490"/>
        <v/>
      </c>
      <c r="BI475" s="389" t="str">
        <f t="array" ref="BI475">IF($X475="","",SWITCH($W475,3,IFERROR(INDEX('Lớp 3 - Công việc chính'!$AF$14:$AF$73,MATCH($X475,'Lớp 3 - Công việc chính'!$I$14:$I$73,0)),""),4,IFERROR(INDEX('Lớp 4 - Danh mục'!$AI$14:$AI$132,MATCH($X475,'Lớp 4 - Danh mục'!$I$14:$I$132,0)),""),5,IFERROR(INDEX('Lớp 5 - Phân công'!$AJ$14:$AJ$262,MATCH($X475,'Lớp 5 - Phân công'!$I$14:$I$262,0)),""),6,IFERROR(INDEX('Lớp 6 - Chi tiết'!$AM$14:$AM$267,MATCH($X475,'Lớp 6 - Chi tiết'!$I$14:$I$267,0)),""),""))</f>
        <v/>
      </c>
      <c r="BJ475" s="389" t="str">
        <f t="array" ref="BJ475">IF($X475="","",SWITCH($W475,3,IFERROR(INDEX('Lớp 3 - Công việc chính'!$AR$14:$AR$73,MATCH($X475,'Lớp 3 - Công việc chính'!$I$14:$I$73,0)),""),4,IFERROR(INDEX('Lớp 4 - Danh mục'!$AU$14:$AU$132,MATCH($X475,'Lớp 4 - Danh mục'!$I$14:$I$132,0)),""),5,IFERROR(INDEX('Lớp 5 - Phân công'!$AV$14:$AV$262,MATCH($X475,'Lớp 5 - Phân công'!$I$14:$I$262,0)),""),6,IFERROR(INDEX('Lớp 6 - Chi tiết'!$AY$14:$AY$267,MATCH($X475,'Lớp 6 - Chi tiết'!$I$14:$I$267,0)),""),""))</f>
        <v/>
      </c>
    </row>
    <row r="476" ht="15.75" customHeight="1">
      <c r="A476" s="294" t="str">
        <f t="shared" si="12"/>
        <v/>
      </c>
      <c r="B476" s="301" t="str">
        <f t="shared" si="13"/>
        <v/>
      </c>
      <c r="C476" s="301" t="str">
        <f t="shared" si="14"/>
        <v/>
      </c>
      <c r="D476" s="301" t="str">
        <f t="shared" si="15"/>
        <v/>
      </c>
      <c r="E476" s="301" t="str">
        <f t="shared" si="16"/>
        <v/>
      </c>
      <c r="F476" s="317" t="str">
        <f t="shared" si="17"/>
        <v/>
      </c>
      <c r="G476" s="323" t="str">
        <f t="shared" si="18"/>
        <v/>
      </c>
      <c r="H476" s="327" t="str">
        <f t="shared" si="19"/>
        <v/>
      </c>
      <c r="I476" s="327" t="str">
        <f t="shared" si="20"/>
        <v/>
      </c>
      <c r="J476" s="301" t="str">
        <f t="shared" si="21"/>
        <v/>
      </c>
      <c r="K476" s="301" t="str">
        <f t="shared" si="22"/>
        <v/>
      </c>
      <c r="L476" s="344" t="str">
        <f t="array" ref="L476">IF($T476="","",LET(m,MATCH($T476,$AS$24:$AS$700,0),lvl,INDEX($W$24:$W$700,m),id,INDEX($X$24:$X$700,m),SWITCH(lvl,3,"Lớp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6" s="351" t="str">
        <f t="shared" si="23"/>
        <v/>
      </c>
      <c r="N476" s="356" t="str">
        <f t="shared" si="24"/>
        <v/>
      </c>
      <c r="O476" s="358"/>
      <c r="P476" s="360"/>
      <c r="Q476" s="360"/>
      <c r="R476" s="67"/>
      <c r="S476" s="67"/>
      <c r="T476" s="67"/>
      <c r="U476" s="389" t="str">
        <f>IF('Lớp 6 - Chi tiết'!I38="","",'Lớp 6 - Chi tiết'!L38&amp;"|"&amp;'Lớp 6 - Chi tiết'!K38&amp;"|"&amp;'Lớp 6 - Chi tiết'!J38&amp;"|"&amp;'Lớp 6 - Chi tiết'!I38)</f>
        <v/>
      </c>
      <c r="V476" s="389" t="str">
        <f>IF('Lớp 6 - Chi tiết'!I38="","","           └─ "&amp;'Lớp 6 - Chi tiết'!S38)</f>
        <v/>
      </c>
      <c r="W476" s="389" t="str">
        <f>IF('Lớp 6 - Chi tiết'!I38="","",6)</f>
        <v/>
      </c>
      <c r="X476" s="67" t="str">
        <f>'Lớp 6 - Chi tiết'!I38</f>
        <v/>
      </c>
      <c r="Y476" s="389" t="str">
        <f>'Lớp 6 - Chi tiết'!J38</f>
        <v/>
      </c>
      <c r="Z476" s="67" t="str">
        <f>'Lớp 6 - Chi tiết'!AC38</f>
        <v/>
      </c>
      <c r="AA476" s="67" t="str">
        <f>'Lớp 6 - Chi tiết'!AB38</f>
        <v/>
      </c>
      <c r="AB476" s="67" t="str">
        <f>'Lớp 6 - Chi tiết'!AF38</f>
        <v/>
      </c>
      <c r="AC476" s="67" t="str">
        <f>'Lớp 6 - Chi tiết'!AE38</f>
        <v/>
      </c>
      <c r="AD476" s="398" t="str">
        <f>'Lớp 6 - Chi tiết'!AJ38</f>
        <v/>
      </c>
      <c r="AE476" s="358" t="str">
        <f>'Lớp 6 - Chi tiết'!AH38</f>
        <v/>
      </c>
      <c r="AF476" s="187" t="str">
        <f>'Lớp 6 - Chi tiết'!AK38</f>
        <v/>
      </c>
      <c r="AG476" s="104" t="str">
        <f>'Lớp 6 - Chi tiết'!AL38</f>
        <v/>
      </c>
      <c r="AH476" s="389" t="str">
        <f t="shared" si="27"/>
        <v/>
      </c>
      <c r="AI476" s="389" t="str">
        <f t="shared" si="37"/>
        <v>🔵 Chưa có hạn</v>
      </c>
      <c r="AJ476" s="67" t="str">
        <f>'Lớp 6 - Chi tiết'!AO38</f>
        <v/>
      </c>
      <c r="AS476" s="389" t="str">
        <f t="shared" si="467"/>
        <v/>
      </c>
      <c r="AT476" s="389" t="str">
        <f t="shared" si="32"/>
        <v/>
      </c>
      <c r="AU476" s="389" t="str">
        <f t="shared" si="33"/>
        <v/>
      </c>
      <c r="AV476" s="389" t="str">
        <f t="shared" si="34"/>
        <v/>
      </c>
      <c r="AW476" s="389" t="str">
        <f t="shared" si="35"/>
        <v/>
      </c>
      <c r="AX476" s="67" t="str">
        <f t="shared" ref="AX476:BH476" si="491">Z476</f>
        <v/>
      </c>
      <c r="AY476" s="67" t="str">
        <f t="shared" si="491"/>
        <v/>
      </c>
      <c r="AZ476" s="67" t="str">
        <f t="shared" si="491"/>
        <v/>
      </c>
      <c r="BA476" s="67" t="str">
        <f t="shared" si="491"/>
        <v/>
      </c>
      <c r="BB476" s="398" t="str">
        <f t="shared" si="491"/>
        <v/>
      </c>
      <c r="BC476" s="358" t="str">
        <f t="shared" si="491"/>
        <v/>
      </c>
      <c r="BD476" s="187" t="str">
        <f t="shared" si="491"/>
        <v/>
      </c>
      <c r="BE476" s="104" t="str">
        <f t="shared" si="491"/>
        <v/>
      </c>
      <c r="BF476" s="389" t="str">
        <f t="shared" si="491"/>
        <v/>
      </c>
      <c r="BG476" s="389" t="str">
        <f t="shared" si="491"/>
        <v>🔵 Chưa có hạn</v>
      </c>
      <c r="BH476" s="67" t="str">
        <f t="shared" si="491"/>
        <v/>
      </c>
      <c r="BI476" s="389" t="str">
        <f t="array" ref="BI476">IF($X476="","",SWITCH($W476,3,IFERROR(INDEX('Lớp 3 - Công việc chính'!$AF$14:$AF$73,MATCH($X476,'Lớp 3 - Công việc chính'!$I$14:$I$73,0)),""),4,IFERROR(INDEX('Lớp 4 - Danh mục'!$AI$14:$AI$132,MATCH($X476,'Lớp 4 - Danh mục'!$I$14:$I$132,0)),""),5,IFERROR(INDEX('Lớp 5 - Phân công'!$AJ$14:$AJ$262,MATCH($X476,'Lớp 5 - Phân công'!$I$14:$I$262,0)),""),6,IFERROR(INDEX('Lớp 6 - Chi tiết'!$AM$14:$AM$267,MATCH($X476,'Lớp 6 - Chi tiết'!$I$14:$I$267,0)),""),""))</f>
        <v/>
      </c>
      <c r="BJ476" s="389" t="str">
        <f t="array" ref="BJ476">IF($X476="","",SWITCH($W476,3,IFERROR(INDEX('Lớp 3 - Công việc chính'!$AR$14:$AR$73,MATCH($X476,'Lớp 3 - Công việc chính'!$I$14:$I$73,0)),""),4,IFERROR(INDEX('Lớp 4 - Danh mục'!$AU$14:$AU$132,MATCH($X476,'Lớp 4 - Danh mục'!$I$14:$I$132,0)),""),5,IFERROR(INDEX('Lớp 5 - Phân công'!$AV$14:$AV$262,MATCH($X476,'Lớp 5 - Phân công'!$I$14:$I$262,0)),""),6,IFERROR(INDEX('Lớp 6 - Chi tiết'!$AY$14:$AY$267,MATCH($X476,'Lớp 6 - Chi tiết'!$I$14:$I$267,0)),""),""))</f>
        <v/>
      </c>
    </row>
    <row r="477" ht="15.75" customHeight="1">
      <c r="A477" s="294" t="str">
        <f t="shared" si="12"/>
        <v/>
      </c>
      <c r="B477" s="301" t="str">
        <f t="shared" si="13"/>
        <v/>
      </c>
      <c r="C477" s="301" t="str">
        <f t="shared" si="14"/>
        <v/>
      </c>
      <c r="D477" s="301" t="str">
        <f t="shared" si="15"/>
        <v/>
      </c>
      <c r="E477" s="301" t="str">
        <f t="shared" si="16"/>
        <v/>
      </c>
      <c r="F477" s="317" t="str">
        <f t="shared" si="17"/>
        <v/>
      </c>
      <c r="G477" s="323" t="str">
        <f t="shared" si="18"/>
        <v/>
      </c>
      <c r="H477" s="327" t="str">
        <f t="shared" si="19"/>
        <v/>
      </c>
      <c r="I477" s="327" t="str">
        <f t="shared" si="20"/>
        <v/>
      </c>
      <c r="J477" s="301" t="str">
        <f t="shared" si="21"/>
        <v/>
      </c>
      <c r="K477" s="301" t="str">
        <f t="shared" si="22"/>
        <v/>
      </c>
      <c r="L477" s="344" t="str">
        <f t="array" ref="L477">IF($T477="","",LET(m,MATCH($T477,$AS$24:$AS$700,0),lvl,INDEX($W$24:$W$700,m),id,INDEX($X$24:$X$700,m),SWITCH(lvl,3,"Lớp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7" s="351" t="str">
        <f t="shared" si="23"/>
        <v/>
      </c>
      <c r="N477" s="356" t="str">
        <f t="shared" si="24"/>
        <v/>
      </c>
      <c r="O477" s="358"/>
      <c r="P477" s="360"/>
      <c r="Q477" s="360"/>
      <c r="R477" s="67"/>
      <c r="S477" s="67"/>
      <c r="T477" s="67"/>
      <c r="U477" s="389" t="str">
        <f>IF('Lớp 6 - Chi tiết'!I39="","",'Lớp 6 - Chi tiết'!L39&amp;"|"&amp;'Lớp 6 - Chi tiết'!K39&amp;"|"&amp;'Lớp 6 - Chi tiết'!J39&amp;"|"&amp;'Lớp 6 - Chi tiết'!I39)</f>
        <v/>
      </c>
      <c r="V477" s="389" t="str">
        <f>IF('Lớp 6 - Chi tiết'!I39="","","           └─ "&amp;'Lớp 6 - Chi tiết'!S39)</f>
        <v/>
      </c>
      <c r="W477" s="389" t="str">
        <f>IF('Lớp 6 - Chi tiết'!I39="","",6)</f>
        <v/>
      </c>
      <c r="X477" s="67" t="str">
        <f>'Lớp 6 - Chi tiết'!I39</f>
        <v/>
      </c>
      <c r="Y477" s="389" t="str">
        <f>'Lớp 6 - Chi tiết'!J39</f>
        <v/>
      </c>
      <c r="Z477" s="67" t="str">
        <f>'Lớp 6 - Chi tiết'!AC39</f>
        <v/>
      </c>
      <c r="AA477" s="67" t="str">
        <f>'Lớp 6 - Chi tiết'!AB39</f>
        <v/>
      </c>
      <c r="AB477" s="67" t="str">
        <f>'Lớp 6 - Chi tiết'!AF39</f>
        <v/>
      </c>
      <c r="AC477" s="67" t="str">
        <f>'Lớp 6 - Chi tiết'!AE39</f>
        <v/>
      </c>
      <c r="AD477" s="398" t="str">
        <f>'Lớp 6 - Chi tiết'!AJ39</f>
        <v/>
      </c>
      <c r="AE477" s="358" t="str">
        <f>'Lớp 6 - Chi tiết'!AH39</f>
        <v/>
      </c>
      <c r="AF477" s="187" t="str">
        <f>'Lớp 6 - Chi tiết'!AK39</f>
        <v/>
      </c>
      <c r="AG477" s="104" t="str">
        <f>'Lớp 6 - Chi tiết'!AL39</f>
        <v/>
      </c>
      <c r="AH477" s="389" t="str">
        <f t="shared" si="27"/>
        <v/>
      </c>
      <c r="AI477" s="389" t="str">
        <f t="shared" si="37"/>
        <v>🔵 Chưa có hạn</v>
      </c>
      <c r="AJ477" s="67" t="str">
        <f>'Lớp 6 - Chi tiết'!AO39</f>
        <v/>
      </c>
      <c r="AS477" s="389" t="str">
        <f t="shared" si="467"/>
        <v/>
      </c>
      <c r="AT477" s="389" t="str">
        <f t="shared" si="32"/>
        <v/>
      </c>
      <c r="AU477" s="389" t="str">
        <f t="shared" si="33"/>
        <v/>
      </c>
      <c r="AV477" s="389" t="str">
        <f t="shared" si="34"/>
        <v/>
      </c>
      <c r="AW477" s="389" t="str">
        <f t="shared" si="35"/>
        <v/>
      </c>
      <c r="AX477" s="67" t="str">
        <f t="shared" ref="AX477:BH477" si="492">Z477</f>
        <v/>
      </c>
      <c r="AY477" s="67" t="str">
        <f t="shared" si="492"/>
        <v/>
      </c>
      <c r="AZ477" s="67" t="str">
        <f t="shared" si="492"/>
        <v/>
      </c>
      <c r="BA477" s="67" t="str">
        <f t="shared" si="492"/>
        <v/>
      </c>
      <c r="BB477" s="398" t="str">
        <f t="shared" si="492"/>
        <v/>
      </c>
      <c r="BC477" s="358" t="str">
        <f t="shared" si="492"/>
        <v/>
      </c>
      <c r="BD477" s="187" t="str">
        <f t="shared" si="492"/>
        <v/>
      </c>
      <c r="BE477" s="104" t="str">
        <f t="shared" si="492"/>
        <v/>
      </c>
      <c r="BF477" s="389" t="str">
        <f t="shared" si="492"/>
        <v/>
      </c>
      <c r="BG477" s="389" t="str">
        <f t="shared" si="492"/>
        <v>🔵 Chưa có hạn</v>
      </c>
      <c r="BH477" s="67" t="str">
        <f t="shared" si="492"/>
        <v/>
      </c>
      <c r="BI477" s="389" t="str">
        <f t="array" ref="BI477">IF($X477="","",SWITCH($W477,3,IFERROR(INDEX('Lớp 3 - Công việc chính'!$AF$14:$AF$73,MATCH($X477,'Lớp 3 - Công việc chính'!$I$14:$I$73,0)),""),4,IFERROR(INDEX('Lớp 4 - Danh mục'!$AI$14:$AI$132,MATCH($X477,'Lớp 4 - Danh mục'!$I$14:$I$132,0)),""),5,IFERROR(INDEX('Lớp 5 - Phân công'!$AJ$14:$AJ$262,MATCH($X477,'Lớp 5 - Phân công'!$I$14:$I$262,0)),""),6,IFERROR(INDEX('Lớp 6 - Chi tiết'!$AM$14:$AM$267,MATCH($X477,'Lớp 6 - Chi tiết'!$I$14:$I$267,0)),""),""))</f>
        <v/>
      </c>
      <c r="BJ477" s="389" t="str">
        <f t="array" ref="BJ477">IF($X477="","",SWITCH($W477,3,IFERROR(INDEX('Lớp 3 - Công việc chính'!$AR$14:$AR$73,MATCH($X477,'Lớp 3 - Công việc chính'!$I$14:$I$73,0)),""),4,IFERROR(INDEX('Lớp 4 - Danh mục'!$AU$14:$AU$132,MATCH($X477,'Lớp 4 - Danh mục'!$I$14:$I$132,0)),""),5,IFERROR(INDEX('Lớp 5 - Phân công'!$AV$14:$AV$262,MATCH($X477,'Lớp 5 - Phân công'!$I$14:$I$262,0)),""),6,IFERROR(INDEX('Lớp 6 - Chi tiết'!$AY$14:$AY$267,MATCH($X477,'Lớp 6 - Chi tiết'!$I$14:$I$267,0)),""),""))</f>
        <v/>
      </c>
    </row>
    <row r="478" ht="15.75" customHeight="1">
      <c r="A478" s="294" t="str">
        <f t="shared" si="12"/>
        <v/>
      </c>
      <c r="B478" s="301" t="str">
        <f t="shared" si="13"/>
        <v/>
      </c>
      <c r="C478" s="301" t="str">
        <f t="shared" si="14"/>
        <v/>
      </c>
      <c r="D478" s="301" t="str">
        <f t="shared" si="15"/>
        <v/>
      </c>
      <c r="E478" s="301" t="str">
        <f t="shared" si="16"/>
        <v/>
      </c>
      <c r="F478" s="317" t="str">
        <f t="shared" si="17"/>
        <v/>
      </c>
      <c r="G478" s="323" t="str">
        <f t="shared" si="18"/>
        <v/>
      </c>
      <c r="H478" s="327" t="str">
        <f t="shared" si="19"/>
        <v/>
      </c>
      <c r="I478" s="327" t="str">
        <f t="shared" si="20"/>
        <v/>
      </c>
      <c r="J478" s="301" t="str">
        <f t="shared" si="21"/>
        <v/>
      </c>
      <c r="K478" s="301" t="str">
        <f t="shared" si="22"/>
        <v/>
      </c>
      <c r="L478" s="344" t="str">
        <f t="array" ref="L478">IF($T478="","",LET(m,MATCH($T478,$AS$24:$AS$700,0),lvl,INDEX($W$24:$W$700,m),id,INDEX($X$24:$X$700,m),SWITCH(lvl,3,"Lớp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8" s="351" t="str">
        <f t="shared" si="23"/>
        <v/>
      </c>
      <c r="N478" s="356" t="str">
        <f t="shared" si="24"/>
        <v/>
      </c>
      <c r="O478" s="358"/>
      <c r="P478" s="360"/>
      <c r="Q478" s="360"/>
      <c r="R478" s="67"/>
      <c r="S478" s="67"/>
      <c r="T478" s="67"/>
      <c r="U478" s="389" t="str">
        <f>IF('Lớp 6 - Chi tiết'!I40="","",'Lớp 6 - Chi tiết'!L40&amp;"|"&amp;'Lớp 6 - Chi tiết'!K40&amp;"|"&amp;'Lớp 6 - Chi tiết'!J40&amp;"|"&amp;'Lớp 6 - Chi tiết'!I40)</f>
        <v/>
      </c>
      <c r="V478" s="389" t="str">
        <f>IF('Lớp 6 - Chi tiết'!I40="","","           └─ "&amp;'Lớp 6 - Chi tiết'!S40)</f>
        <v/>
      </c>
      <c r="W478" s="389" t="str">
        <f>IF('Lớp 6 - Chi tiết'!I40="","",6)</f>
        <v/>
      </c>
      <c r="X478" s="67" t="str">
        <f>'Lớp 6 - Chi tiết'!I40</f>
        <v/>
      </c>
      <c r="Y478" s="389" t="str">
        <f>'Lớp 6 - Chi tiết'!J40</f>
        <v/>
      </c>
      <c r="Z478" s="67" t="str">
        <f>'Lớp 6 - Chi tiết'!AC40</f>
        <v/>
      </c>
      <c r="AA478" s="67" t="str">
        <f>'Lớp 6 - Chi tiết'!AB40</f>
        <v/>
      </c>
      <c r="AB478" s="67" t="str">
        <f>'Lớp 6 - Chi tiết'!AF40</f>
        <v/>
      </c>
      <c r="AC478" s="67" t="str">
        <f>'Lớp 6 - Chi tiết'!AE40</f>
        <v/>
      </c>
      <c r="AD478" s="398" t="str">
        <f>'Lớp 6 - Chi tiết'!AJ40</f>
        <v/>
      </c>
      <c r="AE478" s="358" t="str">
        <f>'Lớp 6 - Chi tiết'!AH40</f>
        <v/>
      </c>
      <c r="AF478" s="187" t="str">
        <f>'Lớp 6 - Chi tiết'!AK40</f>
        <v/>
      </c>
      <c r="AG478" s="104" t="str">
        <f>'Lớp 6 - Chi tiết'!AL40</f>
        <v/>
      </c>
      <c r="AH478" s="389" t="str">
        <f t="shared" si="27"/>
        <v/>
      </c>
      <c r="AI478" s="389" t="str">
        <f t="shared" si="37"/>
        <v>🔵 Chưa có hạn</v>
      </c>
      <c r="AJ478" s="67" t="str">
        <f>'Lớp 6 - Chi tiết'!AO40</f>
        <v/>
      </c>
      <c r="AS478" s="389" t="str">
        <f t="shared" si="467"/>
        <v/>
      </c>
      <c r="AT478" s="389" t="str">
        <f t="shared" si="32"/>
        <v/>
      </c>
      <c r="AU478" s="389" t="str">
        <f t="shared" si="33"/>
        <v/>
      </c>
      <c r="AV478" s="389" t="str">
        <f t="shared" si="34"/>
        <v/>
      </c>
      <c r="AW478" s="389" t="str">
        <f t="shared" si="35"/>
        <v/>
      </c>
      <c r="AX478" s="67" t="str">
        <f t="shared" ref="AX478:BH478" si="493">Z478</f>
        <v/>
      </c>
      <c r="AY478" s="67" t="str">
        <f t="shared" si="493"/>
        <v/>
      </c>
      <c r="AZ478" s="67" t="str">
        <f t="shared" si="493"/>
        <v/>
      </c>
      <c r="BA478" s="67" t="str">
        <f t="shared" si="493"/>
        <v/>
      </c>
      <c r="BB478" s="398" t="str">
        <f t="shared" si="493"/>
        <v/>
      </c>
      <c r="BC478" s="358" t="str">
        <f t="shared" si="493"/>
        <v/>
      </c>
      <c r="BD478" s="187" t="str">
        <f t="shared" si="493"/>
        <v/>
      </c>
      <c r="BE478" s="104" t="str">
        <f t="shared" si="493"/>
        <v/>
      </c>
      <c r="BF478" s="389" t="str">
        <f t="shared" si="493"/>
        <v/>
      </c>
      <c r="BG478" s="389" t="str">
        <f t="shared" si="493"/>
        <v>🔵 Chưa có hạn</v>
      </c>
      <c r="BH478" s="67" t="str">
        <f t="shared" si="493"/>
        <v/>
      </c>
      <c r="BI478" s="389" t="str">
        <f t="array" ref="BI478">IF($X478="","",SWITCH($W478,3,IFERROR(INDEX('Lớp 3 - Công việc chính'!$AF$14:$AF$73,MATCH($X478,'Lớp 3 - Công việc chính'!$I$14:$I$73,0)),""),4,IFERROR(INDEX('Lớp 4 - Danh mục'!$AI$14:$AI$132,MATCH($X478,'Lớp 4 - Danh mục'!$I$14:$I$132,0)),""),5,IFERROR(INDEX('Lớp 5 - Phân công'!$AJ$14:$AJ$262,MATCH($X478,'Lớp 5 - Phân công'!$I$14:$I$262,0)),""),6,IFERROR(INDEX('Lớp 6 - Chi tiết'!$AM$14:$AM$267,MATCH($X478,'Lớp 6 - Chi tiết'!$I$14:$I$267,0)),""),""))</f>
        <v/>
      </c>
      <c r="BJ478" s="389" t="str">
        <f t="array" ref="BJ478">IF($X478="","",SWITCH($W478,3,IFERROR(INDEX('Lớp 3 - Công việc chính'!$AR$14:$AR$73,MATCH($X478,'Lớp 3 - Công việc chính'!$I$14:$I$73,0)),""),4,IFERROR(INDEX('Lớp 4 - Danh mục'!$AU$14:$AU$132,MATCH($X478,'Lớp 4 - Danh mục'!$I$14:$I$132,0)),""),5,IFERROR(INDEX('Lớp 5 - Phân công'!$AV$14:$AV$262,MATCH($X478,'Lớp 5 - Phân công'!$I$14:$I$262,0)),""),6,IFERROR(INDEX('Lớp 6 - Chi tiết'!$AY$14:$AY$267,MATCH($X478,'Lớp 6 - Chi tiết'!$I$14:$I$267,0)),""),""))</f>
        <v/>
      </c>
    </row>
    <row r="479" ht="15.75" customHeight="1">
      <c r="A479" s="294" t="str">
        <f t="shared" si="12"/>
        <v/>
      </c>
      <c r="B479" s="301" t="str">
        <f t="shared" si="13"/>
        <v/>
      </c>
      <c r="C479" s="301" t="str">
        <f t="shared" si="14"/>
        <v/>
      </c>
      <c r="D479" s="301" t="str">
        <f t="shared" si="15"/>
        <v/>
      </c>
      <c r="E479" s="301" t="str">
        <f t="shared" si="16"/>
        <v/>
      </c>
      <c r="F479" s="317" t="str">
        <f t="shared" si="17"/>
        <v/>
      </c>
      <c r="G479" s="323" t="str">
        <f t="shared" si="18"/>
        <v/>
      </c>
      <c r="H479" s="327" t="str">
        <f t="shared" si="19"/>
        <v/>
      </c>
      <c r="I479" s="327" t="str">
        <f t="shared" si="20"/>
        <v/>
      </c>
      <c r="J479" s="301" t="str">
        <f t="shared" si="21"/>
        <v/>
      </c>
      <c r="K479" s="301" t="str">
        <f t="shared" si="22"/>
        <v/>
      </c>
      <c r="L479" s="344" t="str">
        <f t="array" ref="L479">IF($T479="","",LET(m,MATCH($T479,$AS$24:$AS$700,0),lvl,INDEX($W$24:$W$700,m),id,INDEX($X$24:$X$700,m),SWITCH(lvl,3,"Lớp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79" s="351" t="str">
        <f t="shared" si="23"/>
        <v/>
      </c>
      <c r="N479" s="356" t="str">
        <f t="shared" si="24"/>
        <v/>
      </c>
      <c r="O479" s="358"/>
      <c r="P479" s="360"/>
      <c r="Q479" s="360"/>
      <c r="R479" s="67"/>
      <c r="S479" s="67"/>
      <c r="T479" s="67"/>
      <c r="U479" s="389" t="str">
        <f>IF('Lớp 6 - Chi tiết'!I41="","",'Lớp 6 - Chi tiết'!L41&amp;"|"&amp;'Lớp 6 - Chi tiết'!K41&amp;"|"&amp;'Lớp 6 - Chi tiết'!J41&amp;"|"&amp;'Lớp 6 - Chi tiết'!I41)</f>
        <v/>
      </c>
      <c r="V479" s="389" t="str">
        <f>IF('Lớp 6 - Chi tiết'!I41="","","           └─ "&amp;'Lớp 6 - Chi tiết'!S41)</f>
        <v/>
      </c>
      <c r="W479" s="389" t="str">
        <f>IF('Lớp 6 - Chi tiết'!I41="","",6)</f>
        <v/>
      </c>
      <c r="X479" s="67" t="str">
        <f>'Lớp 6 - Chi tiết'!I41</f>
        <v/>
      </c>
      <c r="Y479" s="389" t="str">
        <f>'Lớp 6 - Chi tiết'!J41</f>
        <v/>
      </c>
      <c r="Z479" s="67" t="str">
        <f>'Lớp 6 - Chi tiết'!AC41</f>
        <v/>
      </c>
      <c r="AA479" s="67" t="str">
        <f>'Lớp 6 - Chi tiết'!AB41</f>
        <v/>
      </c>
      <c r="AB479" s="67" t="str">
        <f>'Lớp 6 - Chi tiết'!AF41</f>
        <v/>
      </c>
      <c r="AC479" s="67" t="str">
        <f>'Lớp 6 - Chi tiết'!AE41</f>
        <v/>
      </c>
      <c r="AD479" s="398" t="str">
        <f>'Lớp 6 - Chi tiết'!AJ41</f>
        <v/>
      </c>
      <c r="AE479" s="358" t="str">
        <f>'Lớp 6 - Chi tiết'!AH41</f>
        <v/>
      </c>
      <c r="AF479" s="187" t="str">
        <f>'Lớp 6 - Chi tiết'!AK41</f>
        <v/>
      </c>
      <c r="AG479" s="104" t="str">
        <f>'Lớp 6 - Chi tiết'!AL41</f>
        <v/>
      </c>
      <c r="AH479" s="389" t="str">
        <f t="shared" si="27"/>
        <v/>
      </c>
      <c r="AI479" s="389" t="str">
        <f t="shared" si="37"/>
        <v>🔵 Chưa có hạn</v>
      </c>
      <c r="AJ479" s="67" t="str">
        <f>'Lớp 6 - Chi tiết'!AO41</f>
        <v/>
      </c>
      <c r="AS479" s="389" t="str">
        <f t="shared" si="467"/>
        <v/>
      </c>
      <c r="AT479" s="389" t="str">
        <f t="shared" si="32"/>
        <v/>
      </c>
      <c r="AU479" s="389" t="str">
        <f t="shared" si="33"/>
        <v/>
      </c>
      <c r="AV479" s="389" t="str">
        <f t="shared" si="34"/>
        <v/>
      </c>
      <c r="AW479" s="389" t="str">
        <f t="shared" si="35"/>
        <v/>
      </c>
      <c r="AX479" s="67" t="str">
        <f t="shared" ref="AX479:BH479" si="494">Z479</f>
        <v/>
      </c>
      <c r="AY479" s="67" t="str">
        <f t="shared" si="494"/>
        <v/>
      </c>
      <c r="AZ479" s="67" t="str">
        <f t="shared" si="494"/>
        <v/>
      </c>
      <c r="BA479" s="67" t="str">
        <f t="shared" si="494"/>
        <v/>
      </c>
      <c r="BB479" s="398" t="str">
        <f t="shared" si="494"/>
        <v/>
      </c>
      <c r="BC479" s="358" t="str">
        <f t="shared" si="494"/>
        <v/>
      </c>
      <c r="BD479" s="187" t="str">
        <f t="shared" si="494"/>
        <v/>
      </c>
      <c r="BE479" s="104" t="str">
        <f t="shared" si="494"/>
        <v/>
      </c>
      <c r="BF479" s="389" t="str">
        <f t="shared" si="494"/>
        <v/>
      </c>
      <c r="BG479" s="389" t="str">
        <f t="shared" si="494"/>
        <v>🔵 Chưa có hạn</v>
      </c>
      <c r="BH479" s="67" t="str">
        <f t="shared" si="494"/>
        <v/>
      </c>
      <c r="BI479" s="389" t="str">
        <f t="array" ref="BI479">IF($X479="","",SWITCH($W479,3,IFERROR(INDEX('Lớp 3 - Công việc chính'!$AF$14:$AF$73,MATCH($X479,'Lớp 3 - Công việc chính'!$I$14:$I$73,0)),""),4,IFERROR(INDEX('Lớp 4 - Danh mục'!$AI$14:$AI$132,MATCH($X479,'Lớp 4 - Danh mục'!$I$14:$I$132,0)),""),5,IFERROR(INDEX('Lớp 5 - Phân công'!$AJ$14:$AJ$262,MATCH($X479,'Lớp 5 - Phân công'!$I$14:$I$262,0)),""),6,IFERROR(INDEX('Lớp 6 - Chi tiết'!$AM$14:$AM$267,MATCH($X479,'Lớp 6 - Chi tiết'!$I$14:$I$267,0)),""),""))</f>
        <v/>
      </c>
      <c r="BJ479" s="389" t="str">
        <f t="array" ref="BJ479">IF($X479="","",SWITCH($W479,3,IFERROR(INDEX('Lớp 3 - Công việc chính'!$AR$14:$AR$73,MATCH($X479,'Lớp 3 - Công việc chính'!$I$14:$I$73,0)),""),4,IFERROR(INDEX('Lớp 4 - Danh mục'!$AU$14:$AU$132,MATCH($X479,'Lớp 4 - Danh mục'!$I$14:$I$132,0)),""),5,IFERROR(INDEX('Lớp 5 - Phân công'!$AV$14:$AV$262,MATCH($X479,'Lớp 5 - Phân công'!$I$14:$I$262,0)),""),6,IFERROR(INDEX('Lớp 6 - Chi tiết'!$AY$14:$AY$267,MATCH($X479,'Lớp 6 - Chi tiết'!$I$14:$I$267,0)),""),""))</f>
        <v/>
      </c>
    </row>
    <row r="480" ht="15.75" customHeight="1">
      <c r="A480" s="294" t="str">
        <f t="shared" si="12"/>
        <v/>
      </c>
      <c r="B480" s="301" t="str">
        <f t="shared" si="13"/>
        <v/>
      </c>
      <c r="C480" s="301" t="str">
        <f t="shared" si="14"/>
        <v/>
      </c>
      <c r="D480" s="301" t="str">
        <f t="shared" si="15"/>
        <v/>
      </c>
      <c r="E480" s="301" t="str">
        <f t="shared" si="16"/>
        <v/>
      </c>
      <c r="F480" s="317" t="str">
        <f t="shared" si="17"/>
        <v/>
      </c>
      <c r="G480" s="323" t="str">
        <f t="shared" si="18"/>
        <v/>
      </c>
      <c r="H480" s="327" t="str">
        <f t="shared" si="19"/>
        <v/>
      </c>
      <c r="I480" s="327" t="str">
        <f t="shared" si="20"/>
        <v/>
      </c>
      <c r="J480" s="301" t="str">
        <f t="shared" si="21"/>
        <v/>
      </c>
      <c r="K480" s="301" t="str">
        <f t="shared" si="22"/>
        <v/>
      </c>
      <c r="L480" s="344" t="str">
        <f t="array" ref="L480">IF($T480="","",LET(m,MATCH($T480,$AS$24:$AS$700,0),lvl,INDEX($W$24:$W$700,m),id,INDEX($X$24:$X$700,m),SWITCH(lvl,3,"Lớp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0" s="351" t="str">
        <f t="shared" si="23"/>
        <v/>
      </c>
      <c r="N480" s="356" t="str">
        <f t="shared" si="24"/>
        <v/>
      </c>
      <c r="O480" s="358"/>
      <c r="P480" s="360"/>
      <c r="Q480" s="360"/>
      <c r="R480" s="67"/>
      <c r="S480" s="67"/>
      <c r="T480" s="67"/>
      <c r="U480" s="389" t="str">
        <f>IF('Lớp 6 - Chi tiết'!I42="","",'Lớp 6 - Chi tiết'!L42&amp;"|"&amp;'Lớp 6 - Chi tiết'!K42&amp;"|"&amp;'Lớp 6 - Chi tiết'!J42&amp;"|"&amp;'Lớp 6 - Chi tiết'!I42)</f>
        <v/>
      </c>
      <c r="V480" s="389" t="str">
        <f>IF('Lớp 6 - Chi tiết'!I42="","","           └─ "&amp;'Lớp 6 - Chi tiết'!S42)</f>
        <v/>
      </c>
      <c r="W480" s="389" t="str">
        <f>IF('Lớp 6 - Chi tiết'!I42="","",6)</f>
        <v/>
      </c>
      <c r="X480" s="67" t="str">
        <f>'Lớp 6 - Chi tiết'!I42</f>
        <v/>
      </c>
      <c r="Y480" s="389" t="str">
        <f>'Lớp 6 - Chi tiết'!J42</f>
        <v/>
      </c>
      <c r="Z480" s="67" t="str">
        <f>'Lớp 6 - Chi tiết'!AC42</f>
        <v/>
      </c>
      <c r="AA480" s="67" t="str">
        <f>'Lớp 6 - Chi tiết'!AB42</f>
        <v/>
      </c>
      <c r="AB480" s="67" t="str">
        <f>'Lớp 6 - Chi tiết'!AF42</f>
        <v/>
      </c>
      <c r="AC480" s="67" t="str">
        <f>'Lớp 6 - Chi tiết'!AE42</f>
        <v/>
      </c>
      <c r="AD480" s="398" t="str">
        <f>'Lớp 6 - Chi tiết'!AJ42</f>
        <v/>
      </c>
      <c r="AE480" s="358" t="str">
        <f>'Lớp 6 - Chi tiết'!AH42</f>
        <v/>
      </c>
      <c r="AF480" s="187" t="str">
        <f>'Lớp 6 - Chi tiết'!AK42</f>
        <v/>
      </c>
      <c r="AG480" s="104" t="str">
        <f>'Lớp 6 - Chi tiết'!AL42</f>
        <v/>
      </c>
      <c r="AH480" s="389" t="str">
        <f t="shared" si="27"/>
        <v/>
      </c>
      <c r="AI480" s="389" t="str">
        <f t="shared" si="37"/>
        <v>🔵 Chưa có hạn</v>
      </c>
      <c r="AJ480" s="67" t="str">
        <f>'Lớp 6 - Chi tiết'!AO42</f>
        <v/>
      </c>
      <c r="AS480" s="389" t="str">
        <f t="shared" si="467"/>
        <v/>
      </c>
      <c r="AT480" s="389" t="str">
        <f t="shared" si="32"/>
        <v/>
      </c>
      <c r="AU480" s="389" t="str">
        <f t="shared" si="33"/>
        <v/>
      </c>
      <c r="AV480" s="389" t="str">
        <f t="shared" si="34"/>
        <v/>
      </c>
      <c r="AW480" s="389" t="str">
        <f t="shared" si="35"/>
        <v/>
      </c>
      <c r="AX480" s="67" t="str">
        <f t="shared" ref="AX480:BH480" si="495">Z480</f>
        <v/>
      </c>
      <c r="AY480" s="67" t="str">
        <f t="shared" si="495"/>
        <v/>
      </c>
      <c r="AZ480" s="67" t="str">
        <f t="shared" si="495"/>
        <v/>
      </c>
      <c r="BA480" s="67" t="str">
        <f t="shared" si="495"/>
        <v/>
      </c>
      <c r="BB480" s="398" t="str">
        <f t="shared" si="495"/>
        <v/>
      </c>
      <c r="BC480" s="358" t="str">
        <f t="shared" si="495"/>
        <v/>
      </c>
      <c r="BD480" s="187" t="str">
        <f t="shared" si="495"/>
        <v/>
      </c>
      <c r="BE480" s="104" t="str">
        <f t="shared" si="495"/>
        <v/>
      </c>
      <c r="BF480" s="389" t="str">
        <f t="shared" si="495"/>
        <v/>
      </c>
      <c r="BG480" s="389" t="str">
        <f t="shared" si="495"/>
        <v>🔵 Chưa có hạn</v>
      </c>
      <c r="BH480" s="67" t="str">
        <f t="shared" si="495"/>
        <v/>
      </c>
      <c r="BI480" s="389" t="str">
        <f t="array" ref="BI480">IF($X480="","",SWITCH($W480,3,IFERROR(INDEX('Lớp 3 - Công việc chính'!$AF$14:$AF$73,MATCH($X480,'Lớp 3 - Công việc chính'!$I$14:$I$73,0)),""),4,IFERROR(INDEX('Lớp 4 - Danh mục'!$AI$14:$AI$132,MATCH($X480,'Lớp 4 - Danh mục'!$I$14:$I$132,0)),""),5,IFERROR(INDEX('Lớp 5 - Phân công'!$AJ$14:$AJ$262,MATCH($X480,'Lớp 5 - Phân công'!$I$14:$I$262,0)),""),6,IFERROR(INDEX('Lớp 6 - Chi tiết'!$AM$14:$AM$267,MATCH($X480,'Lớp 6 - Chi tiết'!$I$14:$I$267,0)),""),""))</f>
        <v/>
      </c>
      <c r="BJ480" s="389" t="str">
        <f t="array" ref="BJ480">IF($X480="","",SWITCH($W480,3,IFERROR(INDEX('Lớp 3 - Công việc chính'!$AR$14:$AR$73,MATCH($X480,'Lớp 3 - Công việc chính'!$I$14:$I$73,0)),""),4,IFERROR(INDEX('Lớp 4 - Danh mục'!$AU$14:$AU$132,MATCH($X480,'Lớp 4 - Danh mục'!$I$14:$I$132,0)),""),5,IFERROR(INDEX('Lớp 5 - Phân công'!$AV$14:$AV$262,MATCH($X480,'Lớp 5 - Phân công'!$I$14:$I$262,0)),""),6,IFERROR(INDEX('Lớp 6 - Chi tiết'!$AY$14:$AY$267,MATCH($X480,'Lớp 6 - Chi tiết'!$I$14:$I$267,0)),""),""))</f>
        <v/>
      </c>
    </row>
    <row r="481" ht="15.75" customHeight="1">
      <c r="A481" s="294" t="str">
        <f t="shared" si="12"/>
        <v/>
      </c>
      <c r="B481" s="301" t="str">
        <f t="shared" si="13"/>
        <v/>
      </c>
      <c r="C481" s="301" t="str">
        <f t="shared" si="14"/>
        <v/>
      </c>
      <c r="D481" s="301" t="str">
        <f t="shared" si="15"/>
        <v/>
      </c>
      <c r="E481" s="301" t="str">
        <f t="shared" si="16"/>
        <v/>
      </c>
      <c r="F481" s="317" t="str">
        <f t="shared" si="17"/>
        <v/>
      </c>
      <c r="G481" s="323" t="str">
        <f t="shared" si="18"/>
        <v/>
      </c>
      <c r="H481" s="327" t="str">
        <f t="shared" si="19"/>
        <v/>
      </c>
      <c r="I481" s="327" t="str">
        <f t="shared" si="20"/>
        <v/>
      </c>
      <c r="J481" s="301" t="str">
        <f t="shared" si="21"/>
        <v/>
      </c>
      <c r="K481" s="301" t="str">
        <f t="shared" si="22"/>
        <v/>
      </c>
      <c r="L481" s="344" t="str">
        <f t="array" ref="L481">IF($T481="","",LET(m,MATCH($T481,$AS$24:$AS$700,0),lvl,INDEX($W$24:$W$700,m),id,INDEX($X$24:$X$700,m),SWITCH(lvl,3,"Lớp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1" s="351" t="str">
        <f t="shared" si="23"/>
        <v/>
      </c>
      <c r="N481" s="356" t="str">
        <f t="shared" si="24"/>
        <v/>
      </c>
      <c r="O481" s="358"/>
      <c r="P481" s="360"/>
      <c r="Q481" s="360"/>
      <c r="R481" s="67"/>
      <c r="S481" s="67"/>
      <c r="T481" s="67"/>
      <c r="U481" s="389" t="str">
        <f>IF('Lớp 6 - Chi tiết'!I43="","",'Lớp 6 - Chi tiết'!L43&amp;"|"&amp;'Lớp 6 - Chi tiết'!K43&amp;"|"&amp;'Lớp 6 - Chi tiết'!J43&amp;"|"&amp;'Lớp 6 - Chi tiết'!I43)</f>
        <v/>
      </c>
      <c r="V481" s="389" t="str">
        <f>IF('Lớp 6 - Chi tiết'!I43="","","           └─ "&amp;'Lớp 6 - Chi tiết'!S43)</f>
        <v/>
      </c>
      <c r="W481" s="389" t="str">
        <f>IF('Lớp 6 - Chi tiết'!I43="","",6)</f>
        <v/>
      </c>
      <c r="X481" s="67" t="str">
        <f>'Lớp 6 - Chi tiết'!I43</f>
        <v/>
      </c>
      <c r="Y481" s="389" t="str">
        <f>'Lớp 6 - Chi tiết'!J43</f>
        <v/>
      </c>
      <c r="Z481" s="67" t="str">
        <f>'Lớp 6 - Chi tiết'!AC43</f>
        <v/>
      </c>
      <c r="AA481" s="67" t="str">
        <f>'Lớp 6 - Chi tiết'!AB43</f>
        <v/>
      </c>
      <c r="AB481" s="67" t="str">
        <f>'Lớp 6 - Chi tiết'!AF43</f>
        <v/>
      </c>
      <c r="AC481" s="67" t="str">
        <f>'Lớp 6 - Chi tiết'!AE43</f>
        <v/>
      </c>
      <c r="AD481" s="398" t="str">
        <f>'Lớp 6 - Chi tiết'!AJ43</f>
        <v/>
      </c>
      <c r="AE481" s="358" t="str">
        <f>'Lớp 6 - Chi tiết'!AH43</f>
        <v/>
      </c>
      <c r="AF481" s="187" t="str">
        <f>'Lớp 6 - Chi tiết'!AK43</f>
        <v/>
      </c>
      <c r="AG481" s="104" t="str">
        <f>'Lớp 6 - Chi tiết'!AL43</f>
        <v/>
      </c>
      <c r="AH481" s="389" t="str">
        <f t="shared" si="27"/>
        <v/>
      </c>
      <c r="AI481" s="389" t="str">
        <f t="shared" si="37"/>
        <v>🔵 Chưa có hạn</v>
      </c>
      <c r="AJ481" s="67" t="str">
        <f>'Lớp 6 - Chi tiết'!AO43</f>
        <v/>
      </c>
      <c r="AS481" s="389" t="str">
        <f t="shared" si="467"/>
        <v/>
      </c>
      <c r="AT481" s="389" t="str">
        <f t="shared" si="32"/>
        <v/>
      </c>
      <c r="AU481" s="389" t="str">
        <f t="shared" si="33"/>
        <v/>
      </c>
      <c r="AV481" s="389" t="str">
        <f t="shared" si="34"/>
        <v/>
      </c>
      <c r="AW481" s="389" t="str">
        <f t="shared" si="35"/>
        <v/>
      </c>
      <c r="AX481" s="67" t="str">
        <f t="shared" ref="AX481:BH481" si="496">Z481</f>
        <v/>
      </c>
      <c r="AY481" s="67" t="str">
        <f t="shared" si="496"/>
        <v/>
      </c>
      <c r="AZ481" s="67" t="str">
        <f t="shared" si="496"/>
        <v/>
      </c>
      <c r="BA481" s="67" t="str">
        <f t="shared" si="496"/>
        <v/>
      </c>
      <c r="BB481" s="398" t="str">
        <f t="shared" si="496"/>
        <v/>
      </c>
      <c r="BC481" s="358" t="str">
        <f t="shared" si="496"/>
        <v/>
      </c>
      <c r="BD481" s="187" t="str">
        <f t="shared" si="496"/>
        <v/>
      </c>
      <c r="BE481" s="104" t="str">
        <f t="shared" si="496"/>
        <v/>
      </c>
      <c r="BF481" s="389" t="str">
        <f t="shared" si="496"/>
        <v/>
      </c>
      <c r="BG481" s="389" t="str">
        <f t="shared" si="496"/>
        <v>🔵 Chưa có hạn</v>
      </c>
      <c r="BH481" s="67" t="str">
        <f t="shared" si="496"/>
        <v/>
      </c>
      <c r="BI481" s="389" t="str">
        <f t="array" ref="BI481">IF($X481="","",SWITCH($W481,3,IFERROR(INDEX('Lớp 3 - Công việc chính'!$AF$14:$AF$73,MATCH($X481,'Lớp 3 - Công việc chính'!$I$14:$I$73,0)),""),4,IFERROR(INDEX('Lớp 4 - Danh mục'!$AI$14:$AI$132,MATCH($X481,'Lớp 4 - Danh mục'!$I$14:$I$132,0)),""),5,IFERROR(INDEX('Lớp 5 - Phân công'!$AJ$14:$AJ$262,MATCH($X481,'Lớp 5 - Phân công'!$I$14:$I$262,0)),""),6,IFERROR(INDEX('Lớp 6 - Chi tiết'!$AM$14:$AM$267,MATCH($X481,'Lớp 6 - Chi tiết'!$I$14:$I$267,0)),""),""))</f>
        <v/>
      </c>
      <c r="BJ481" s="389" t="str">
        <f t="array" ref="BJ481">IF($X481="","",SWITCH($W481,3,IFERROR(INDEX('Lớp 3 - Công việc chính'!$AR$14:$AR$73,MATCH($X481,'Lớp 3 - Công việc chính'!$I$14:$I$73,0)),""),4,IFERROR(INDEX('Lớp 4 - Danh mục'!$AU$14:$AU$132,MATCH($X481,'Lớp 4 - Danh mục'!$I$14:$I$132,0)),""),5,IFERROR(INDEX('Lớp 5 - Phân công'!$AV$14:$AV$262,MATCH($X481,'Lớp 5 - Phân công'!$I$14:$I$262,0)),""),6,IFERROR(INDEX('Lớp 6 - Chi tiết'!$AY$14:$AY$267,MATCH($X481,'Lớp 6 - Chi tiết'!$I$14:$I$267,0)),""),""))</f>
        <v/>
      </c>
    </row>
    <row r="482" ht="15.75" customHeight="1">
      <c r="A482" s="294" t="str">
        <f t="shared" si="12"/>
        <v/>
      </c>
      <c r="B482" s="301" t="str">
        <f t="shared" si="13"/>
        <v/>
      </c>
      <c r="C482" s="301" t="str">
        <f t="shared" si="14"/>
        <v/>
      </c>
      <c r="D482" s="301" t="str">
        <f t="shared" si="15"/>
        <v/>
      </c>
      <c r="E482" s="301" t="str">
        <f t="shared" si="16"/>
        <v/>
      </c>
      <c r="F482" s="317" t="str">
        <f t="shared" si="17"/>
        <v/>
      </c>
      <c r="G482" s="323" t="str">
        <f t="shared" si="18"/>
        <v/>
      </c>
      <c r="H482" s="327" t="str">
        <f t="shared" si="19"/>
        <v/>
      </c>
      <c r="I482" s="327" t="str">
        <f t="shared" si="20"/>
        <v/>
      </c>
      <c r="J482" s="301" t="str">
        <f t="shared" si="21"/>
        <v/>
      </c>
      <c r="K482" s="301" t="str">
        <f t="shared" si="22"/>
        <v/>
      </c>
      <c r="L482" s="344" t="str">
        <f t="array" ref="L482">IF($T482="","",LET(m,MATCH($T482,$AS$24:$AS$700,0),lvl,INDEX($W$24:$W$700,m),id,INDEX($X$24:$X$700,m),SWITCH(lvl,3,"Lớp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2" s="351" t="str">
        <f t="shared" si="23"/>
        <v/>
      </c>
      <c r="N482" s="356" t="str">
        <f t="shared" si="24"/>
        <v/>
      </c>
      <c r="O482" s="358"/>
      <c r="P482" s="360"/>
      <c r="Q482" s="360"/>
      <c r="R482" s="67"/>
      <c r="S482" s="67"/>
      <c r="T482" s="67"/>
      <c r="U482" s="389" t="str">
        <f>IF('Lớp 6 - Chi tiết'!I44="","",'Lớp 6 - Chi tiết'!L44&amp;"|"&amp;'Lớp 6 - Chi tiết'!K44&amp;"|"&amp;'Lớp 6 - Chi tiết'!J44&amp;"|"&amp;'Lớp 6 - Chi tiết'!I44)</f>
        <v/>
      </c>
      <c r="V482" s="389" t="str">
        <f>IF('Lớp 6 - Chi tiết'!I44="","","           └─ "&amp;'Lớp 6 - Chi tiết'!S44)</f>
        <v/>
      </c>
      <c r="W482" s="389" t="str">
        <f>IF('Lớp 6 - Chi tiết'!I44="","",6)</f>
        <v/>
      </c>
      <c r="X482" s="67" t="str">
        <f>'Lớp 6 - Chi tiết'!I44</f>
        <v/>
      </c>
      <c r="Y482" s="389" t="str">
        <f>'Lớp 6 - Chi tiết'!J44</f>
        <v/>
      </c>
      <c r="Z482" s="67" t="str">
        <f>'Lớp 6 - Chi tiết'!AC44</f>
        <v/>
      </c>
      <c r="AA482" s="67" t="str">
        <f>'Lớp 6 - Chi tiết'!AB44</f>
        <v/>
      </c>
      <c r="AB482" s="67" t="str">
        <f>'Lớp 6 - Chi tiết'!AF44</f>
        <v/>
      </c>
      <c r="AC482" s="67" t="str">
        <f>'Lớp 6 - Chi tiết'!AE44</f>
        <v/>
      </c>
      <c r="AD482" s="398" t="str">
        <f>'Lớp 6 - Chi tiết'!AJ44</f>
        <v/>
      </c>
      <c r="AE482" s="358" t="str">
        <f>'Lớp 6 - Chi tiết'!AH44</f>
        <v/>
      </c>
      <c r="AF482" s="187" t="str">
        <f>'Lớp 6 - Chi tiết'!AK44</f>
        <v/>
      </c>
      <c r="AG482" s="104" t="str">
        <f>'Lớp 6 - Chi tiết'!AL44</f>
        <v/>
      </c>
      <c r="AH482" s="389" t="str">
        <f t="shared" si="27"/>
        <v/>
      </c>
      <c r="AI482" s="389" t="str">
        <f t="shared" si="37"/>
        <v>🔵 Chưa có hạn</v>
      </c>
      <c r="AJ482" s="67" t="str">
        <f>'Lớp 6 - Chi tiết'!AO44</f>
        <v/>
      </c>
      <c r="AS482" s="389" t="str">
        <f t="shared" si="467"/>
        <v/>
      </c>
      <c r="AT482" s="389" t="str">
        <f t="shared" si="32"/>
        <v/>
      </c>
      <c r="AU482" s="389" t="str">
        <f t="shared" si="33"/>
        <v/>
      </c>
      <c r="AV482" s="389" t="str">
        <f t="shared" si="34"/>
        <v/>
      </c>
      <c r="AW482" s="389" t="str">
        <f t="shared" si="35"/>
        <v/>
      </c>
      <c r="AX482" s="67" t="str">
        <f t="shared" ref="AX482:BH482" si="497">Z482</f>
        <v/>
      </c>
      <c r="AY482" s="67" t="str">
        <f t="shared" si="497"/>
        <v/>
      </c>
      <c r="AZ482" s="67" t="str">
        <f t="shared" si="497"/>
        <v/>
      </c>
      <c r="BA482" s="67" t="str">
        <f t="shared" si="497"/>
        <v/>
      </c>
      <c r="BB482" s="398" t="str">
        <f t="shared" si="497"/>
        <v/>
      </c>
      <c r="BC482" s="358" t="str">
        <f t="shared" si="497"/>
        <v/>
      </c>
      <c r="BD482" s="187" t="str">
        <f t="shared" si="497"/>
        <v/>
      </c>
      <c r="BE482" s="104" t="str">
        <f t="shared" si="497"/>
        <v/>
      </c>
      <c r="BF482" s="389" t="str">
        <f t="shared" si="497"/>
        <v/>
      </c>
      <c r="BG482" s="389" t="str">
        <f t="shared" si="497"/>
        <v>🔵 Chưa có hạn</v>
      </c>
      <c r="BH482" s="67" t="str">
        <f t="shared" si="497"/>
        <v/>
      </c>
      <c r="BI482" s="389" t="str">
        <f t="array" ref="BI482">IF($X482="","",SWITCH($W482,3,IFERROR(INDEX('Lớp 3 - Công việc chính'!$AF$14:$AF$73,MATCH($X482,'Lớp 3 - Công việc chính'!$I$14:$I$73,0)),""),4,IFERROR(INDEX('Lớp 4 - Danh mục'!$AI$14:$AI$132,MATCH($X482,'Lớp 4 - Danh mục'!$I$14:$I$132,0)),""),5,IFERROR(INDEX('Lớp 5 - Phân công'!$AJ$14:$AJ$262,MATCH($X482,'Lớp 5 - Phân công'!$I$14:$I$262,0)),""),6,IFERROR(INDEX('Lớp 6 - Chi tiết'!$AM$14:$AM$267,MATCH($X482,'Lớp 6 - Chi tiết'!$I$14:$I$267,0)),""),""))</f>
        <v/>
      </c>
      <c r="BJ482" s="389" t="str">
        <f t="array" ref="BJ482">IF($X482="","",SWITCH($W482,3,IFERROR(INDEX('Lớp 3 - Công việc chính'!$AR$14:$AR$73,MATCH($X482,'Lớp 3 - Công việc chính'!$I$14:$I$73,0)),""),4,IFERROR(INDEX('Lớp 4 - Danh mục'!$AU$14:$AU$132,MATCH($X482,'Lớp 4 - Danh mục'!$I$14:$I$132,0)),""),5,IFERROR(INDEX('Lớp 5 - Phân công'!$AV$14:$AV$262,MATCH($X482,'Lớp 5 - Phân công'!$I$14:$I$262,0)),""),6,IFERROR(INDEX('Lớp 6 - Chi tiết'!$AY$14:$AY$267,MATCH($X482,'Lớp 6 - Chi tiết'!$I$14:$I$267,0)),""),""))</f>
        <v/>
      </c>
    </row>
    <row r="483" ht="15.75" customHeight="1">
      <c r="A483" s="294" t="str">
        <f t="shared" si="12"/>
        <v/>
      </c>
      <c r="B483" s="301" t="str">
        <f t="shared" si="13"/>
        <v/>
      </c>
      <c r="C483" s="301" t="str">
        <f t="shared" si="14"/>
        <v/>
      </c>
      <c r="D483" s="301" t="str">
        <f t="shared" si="15"/>
        <v/>
      </c>
      <c r="E483" s="301" t="str">
        <f t="shared" si="16"/>
        <v/>
      </c>
      <c r="F483" s="317" t="str">
        <f t="shared" si="17"/>
        <v/>
      </c>
      <c r="G483" s="323" t="str">
        <f t="shared" si="18"/>
        <v/>
      </c>
      <c r="H483" s="327" t="str">
        <f t="shared" si="19"/>
        <v/>
      </c>
      <c r="I483" s="327" t="str">
        <f t="shared" si="20"/>
        <v/>
      </c>
      <c r="J483" s="301" t="str">
        <f t="shared" si="21"/>
        <v/>
      </c>
      <c r="K483" s="301" t="str">
        <f t="shared" si="22"/>
        <v/>
      </c>
      <c r="L483" s="344" t="str">
        <f t="array" ref="L483">IF($T483="","",LET(m,MATCH($T483,$AS$24:$AS$700,0),lvl,INDEX($W$24:$W$700,m),id,INDEX($X$24:$X$700,m),SWITCH(lvl,3,"Lớp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3" s="351" t="str">
        <f t="shared" si="23"/>
        <v/>
      </c>
      <c r="N483" s="356" t="str">
        <f t="shared" si="24"/>
        <v/>
      </c>
      <c r="O483" s="358"/>
      <c r="P483" s="360"/>
      <c r="Q483" s="360"/>
      <c r="R483" s="67"/>
      <c r="S483" s="67"/>
      <c r="T483" s="67"/>
      <c r="U483" s="389" t="str">
        <f>IF('Lớp 6 - Chi tiết'!I45="","",'Lớp 6 - Chi tiết'!L45&amp;"|"&amp;'Lớp 6 - Chi tiết'!K45&amp;"|"&amp;'Lớp 6 - Chi tiết'!J45&amp;"|"&amp;'Lớp 6 - Chi tiết'!I45)</f>
        <v/>
      </c>
      <c r="V483" s="389" t="str">
        <f>IF('Lớp 6 - Chi tiết'!I45="","","           └─ "&amp;'Lớp 6 - Chi tiết'!S45)</f>
        <v/>
      </c>
      <c r="W483" s="389" t="str">
        <f>IF('Lớp 6 - Chi tiết'!I45="","",6)</f>
        <v/>
      </c>
      <c r="X483" s="67" t="str">
        <f>'Lớp 6 - Chi tiết'!I45</f>
        <v/>
      </c>
      <c r="Y483" s="389" t="str">
        <f>'Lớp 6 - Chi tiết'!J45</f>
        <v/>
      </c>
      <c r="Z483" s="67" t="str">
        <f>'Lớp 6 - Chi tiết'!AC45</f>
        <v/>
      </c>
      <c r="AA483" s="67" t="str">
        <f>'Lớp 6 - Chi tiết'!AB45</f>
        <v/>
      </c>
      <c r="AB483" s="67" t="str">
        <f>'Lớp 6 - Chi tiết'!AF45</f>
        <v/>
      </c>
      <c r="AC483" s="67" t="str">
        <f>'Lớp 6 - Chi tiết'!AE45</f>
        <v/>
      </c>
      <c r="AD483" s="398" t="str">
        <f>'Lớp 6 - Chi tiết'!AJ45</f>
        <v/>
      </c>
      <c r="AE483" s="358" t="str">
        <f>'Lớp 6 - Chi tiết'!AH45</f>
        <v/>
      </c>
      <c r="AF483" s="187" t="str">
        <f>'Lớp 6 - Chi tiết'!AK45</f>
        <v/>
      </c>
      <c r="AG483" s="104" t="str">
        <f>'Lớp 6 - Chi tiết'!AL45</f>
        <v/>
      </c>
      <c r="AH483" s="389" t="str">
        <f t="shared" si="27"/>
        <v/>
      </c>
      <c r="AI483" s="389" t="str">
        <f t="shared" si="37"/>
        <v>🔵 Chưa có hạn</v>
      </c>
      <c r="AJ483" s="67" t="str">
        <f>'Lớp 6 - Chi tiết'!AO45</f>
        <v/>
      </c>
      <c r="AS483" s="389" t="str">
        <f t="shared" si="467"/>
        <v/>
      </c>
      <c r="AT483" s="389" t="str">
        <f t="shared" si="32"/>
        <v/>
      </c>
      <c r="AU483" s="389" t="str">
        <f t="shared" si="33"/>
        <v/>
      </c>
      <c r="AV483" s="389" t="str">
        <f t="shared" si="34"/>
        <v/>
      </c>
      <c r="AW483" s="389" t="str">
        <f t="shared" si="35"/>
        <v/>
      </c>
      <c r="AX483" s="67" t="str">
        <f t="shared" ref="AX483:BH483" si="498">Z483</f>
        <v/>
      </c>
      <c r="AY483" s="67" t="str">
        <f t="shared" si="498"/>
        <v/>
      </c>
      <c r="AZ483" s="67" t="str">
        <f t="shared" si="498"/>
        <v/>
      </c>
      <c r="BA483" s="67" t="str">
        <f t="shared" si="498"/>
        <v/>
      </c>
      <c r="BB483" s="398" t="str">
        <f t="shared" si="498"/>
        <v/>
      </c>
      <c r="BC483" s="358" t="str">
        <f t="shared" si="498"/>
        <v/>
      </c>
      <c r="BD483" s="187" t="str">
        <f t="shared" si="498"/>
        <v/>
      </c>
      <c r="BE483" s="104" t="str">
        <f t="shared" si="498"/>
        <v/>
      </c>
      <c r="BF483" s="389" t="str">
        <f t="shared" si="498"/>
        <v/>
      </c>
      <c r="BG483" s="389" t="str">
        <f t="shared" si="498"/>
        <v>🔵 Chưa có hạn</v>
      </c>
      <c r="BH483" s="67" t="str">
        <f t="shared" si="498"/>
        <v/>
      </c>
      <c r="BI483" s="389" t="str">
        <f t="array" ref="BI483">IF($X483="","",SWITCH($W483,3,IFERROR(INDEX('Lớp 3 - Công việc chính'!$AF$14:$AF$73,MATCH($X483,'Lớp 3 - Công việc chính'!$I$14:$I$73,0)),""),4,IFERROR(INDEX('Lớp 4 - Danh mục'!$AI$14:$AI$132,MATCH($X483,'Lớp 4 - Danh mục'!$I$14:$I$132,0)),""),5,IFERROR(INDEX('Lớp 5 - Phân công'!$AJ$14:$AJ$262,MATCH($X483,'Lớp 5 - Phân công'!$I$14:$I$262,0)),""),6,IFERROR(INDEX('Lớp 6 - Chi tiết'!$AM$14:$AM$267,MATCH($X483,'Lớp 6 - Chi tiết'!$I$14:$I$267,0)),""),""))</f>
        <v/>
      </c>
      <c r="BJ483" s="389" t="str">
        <f t="array" ref="BJ483">IF($X483="","",SWITCH($W483,3,IFERROR(INDEX('Lớp 3 - Công việc chính'!$AR$14:$AR$73,MATCH($X483,'Lớp 3 - Công việc chính'!$I$14:$I$73,0)),""),4,IFERROR(INDEX('Lớp 4 - Danh mục'!$AU$14:$AU$132,MATCH($X483,'Lớp 4 - Danh mục'!$I$14:$I$132,0)),""),5,IFERROR(INDEX('Lớp 5 - Phân công'!$AV$14:$AV$262,MATCH($X483,'Lớp 5 - Phân công'!$I$14:$I$262,0)),""),6,IFERROR(INDEX('Lớp 6 - Chi tiết'!$AY$14:$AY$267,MATCH($X483,'Lớp 6 - Chi tiết'!$I$14:$I$267,0)),""),""))</f>
        <v/>
      </c>
    </row>
    <row r="484" ht="15.75" customHeight="1">
      <c r="A484" s="294" t="str">
        <f t="shared" si="12"/>
        <v/>
      </c>
      <c r="B484" s="301" t="str">
        <f t="shared" si="13"/>
        <v/>
      </c>
      <c r="C484" s="301" t="str">
        <f t="shared" si="14"/>
        <v/>
      </c>
      <c r="D484" s="301" t="str">
        <f t="shared" si="15"/>
        <v/>
      </c>
      <c r="E484" s="301" t="str">
        <f t="shared" si="16"/>
        <v/>
      </c>
      <c r="F484" s="317" t="str">
        <f t="shared" si="17"/>
        <v/>
      </c>
      <c r="G484" s="323" t="str">
        <f t="shared" si="18"/>
        <v/>
      </c>
      <c r="H484" s="327" t="str">
        <f t="shared" si="19"/>
        <v/>
      </c>
      <c r="I484" s="327" t="str">
        <f t="shared" si="20"/>
        <v/>
      </c>
      <c r="J484" s="301" t="str">
        <f t="shared" si="21"/>
        <v/>
      </c>
      <c r="K484" s="301" t="str">
        <f t="shared" si="22"/>
        <v/>
      </c>
      <c r="L484" s="344" t="str">
        <f t="array" ref="L484">IF($T484="","",LET(m,MATCH($T484,$AS$24:$AS$700,0),lvl,INDEX($W$24:$W$700,m),id,INDEX($X$24:$X$700,m),SWITCH(lvl,3,"Lớp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4" s="351" t="str">
        <f t="shared" si="23"/>
        <v/>
      </c>
      <c r="N484" s="356" t="str">
        <f t="shared" si="24"/>
        <v/>
      </c>
      <c r="O484" s="358"/>
      <c r="P484" s="360"/>
      <c r="Q484" s="360"/>
      <c r="R484" s="67"/>
      <c r="S484" s="67"/>
      <c r="T484" s="67"/>
      <c r="U484" s="389" t="str">
        <f>IF('Lớp 6 - Chi tiết'!I46="","",'Lớp 6 - Chi tiết'!L46&amp;"|"&amp;'Lớp 6 - Chi tiết'!K46&amp;"|"&amp;'Lớp 6 - Chi tiết'!J46&amp;"|"&amp;'Lớp 6 - Chi tiết'!I46)</f>
        <v/>
      </c>
      <c r="V484" s="389" t="str">
        <f>IF('Lớp 6 - Chi tiết'!I46="","","           └─ "&amp;'Lớp 6 - Chi tiết'!S46)</f>
        <v/>
      </c>
      <c r="W484" s="389" t="str">
        <f>IF('Lớp 6 - Chi tiết'!I46="","",6)</f>
        <v/>
      </c>
      <c r="X484" s="67" t="str">
        <f>'Lớp 6 - Chi tiết'!I46</f>
        <v/>
      </c>
      <c r="Y484" s="389" t="str">
        <f>'Lớp 6 - Chi tiết'!J46</f>
        <v/>
      </c>
      <c r="Z484" s="67" t="str">
        <f>'Lớp 6 - Chi tiết'!AC46</f>
        <v/>
      </c>
      <c r="AA484" s="67" t="str">
        <f>'Lớp 6 - Chi tiết'!AB46</f>
        <v/>
      </c>
      <c r="AB484" s="67" t="str">
        <f>'Lớp 6 - Chi tiết'!AF46</f>
        <v/>
      </c>
      <c r="AC484" s="67" t="str">
        <f>'Lớp 6 - Chi tiết'!AE46</f>
        <v/>
      </c>
      <c r="AD484" s="398" t="str">
        <f>'Lớp 6 - Chi tiết'!AJ46</f>
        <v/>
      </c>
      <c r="AE484" s="358" t="str">
        <f>'Lớp 6 - Chi tiết'!AH46</f>
        <v/>
      </c>
      <c r="AF484" s="187" t="str">
        <f>'Lớp 6 - Chi tiết'!AK46</f>
        <v/>
      </c>
      <c r="AG484" s="104" t="str">
        <f>'Lớp 6 - Chi tiết'!AL46</f>
        <v/>
      </c>
      <c r="AH484" s="389" t="str">
        <f t="shared" si="27"/>
        <v/>
      </c>
      <c r="AI484" s="389" t="str">
        <f t="shared" si="37"/>
        <v>🔵 Chưa có hạn</v>
      </c>
      <c r="AJ484" s="67" t="str">
        <f>'Lớp 6 - Chi tiết'!AO46</f>
        <v/>
      </c>
      <c r="AS484" s="389" t="str">
        <f t="shared" si="467"/>
        <v/>
      </c>
      <c r="AT484" s="389" t="str">
        <f t="shared" si="32"/>
        <v/>
      </c>
      <c r="AU484" s="389" t="str">
        <f t="shared" si="33"/>
        <v/>
      </c>
      <c r="AV484" s="389" t="str">
        <f t="shared" si="34"/>
        <v/>
      </c>
      <c r="AW484" s="389" t="str">
        <f t="shared" si="35"/>
        <v/>
      </c>
      <c r="AX484" s="67" t="str">
        <f t="shared" ref="AX484:BH484" si="499">Z484</f>
        <v/>
      </c>
      <c r="AY484" s="67" t="str">
        <f t="shared" si="499"/>
        <v/>
      </c>
      <c r="AZ484" s="67" t="str">
        <f t="shared" si="499"/>
        <v/>
      </c>
      <c r="BA484" s="67" t="str">
        <f t="shared" si="499"/>
        <v/>
      </c>
      <c r="BB484" s="398" t="str">
        <f t="shared" si="499"/>
        <v/>
      </c>
      <c r="BC484" s="358" t="str">
        <f t="shared" si="499"/>
        <v/>
      </c>
      <c r="BD484" s="187" t="str">
        <f t="shared" si="499"/>
        <v/>
      </c>
      <c r="BE484" s="104" t="str">
        <f t="shared" si="499"/>
        <v/>
      </c>
      <c r="BF484" s="389" t="str">
        <f t="shared" si="499"/>
        <v/>
      </c>
      <c r="BG484" s="389" t="str">
        <f t="shared" si="499"/>
        <v>🔵 Chưa có hạn</v>
      </c>
      <c r="BH484" s="67" t="str">
        <f t="shared" si="499"/>
        <v/>
      </c>
      <c r="BI484" s="389" t="str">
        <f t="array" ref="BI484">IF($X484="","",SWITCH($W484,3,IFERROR(INDEX('Lớp 3 - Công việc chính'!$AF$14:$AF$73,MATCH($X484,'Lớp 3 - Công việc chính'!$I$14:$I$73,0)),""),4,IFERROR(INDEX('Lớp 4 - Danh mục'!$AI$14:$AI$132,MATCH($X484,'Lớp 4 - Danh mục'!$I$14:$I$132,0)),""),5,IFERROR(INDEX('Lớp 5 - Phân công'!$AJ$14:$AJ$262,MATCH($X484,'Lớp 5 - Phân công'!$I$14:$I$262,0)),""),6,IFERROR(INDEX('Lớp 6 - Chi tiết'!$AM$14:$AM$267,MATCH($X484,'Lớp 6 - Chi tiết'!$I$14:$I$267,0)),""),""))</f>
        <v/>
      </c>
      <c r="BJ484" s="389" t="str">
        <f t="array" ref="BJ484">IF($X484="","",SWITCH($W484,3,IFERROR(INDEX('Lớp 3 - Công việc chính'!$AR$14:$AR$73,MATCH($X484,'Lớp 3 - Công việc chính'!$I$14:$I$73,0)),""),4,IFERROR(INDEX('Lớp 4 - Danh mục'!$AU$14:$AU$132,MATCH($X484,'Lớp 4 - Danh mục'!$I$14:$I$132,0)),""),5,IFERROR(INDEX('Lớp 5 - Phân công'!$AV$14:$AV$262,MATCH($X484,'Lớp 5 - Phân công'!$I$14:$I$262,0)),""),6,IFERROR(INDEX('Lớp 6 - Chi tiết'!$AY$14:$AY$267,MATCH($X484,'Lớp 6 - Chi tiết'!$I$14:$I$267,0)),""),""))</f>
        <v/>
      </c>
    </row>
    <row r="485" ht="15.75" customHeight="1">
      <c r="A485" s="294" t="str">
        <f t="shared" si="12"/>
        <v/>
      </c>
      <c r="B485" s="301" t="str">
        <f t="shared" si="13"/>
        <v/>
      </c>
      <c r="C485" s="301" t="str">
        <f t="shared" si="14"/>
        <v/>
      </c>
      <c r="D485" s="301" t="str">
        <f t="shared" si="15"/>
        <v/>
      </c>
      <c r="E485" s="301" t="str">
        <f t="shared" si="16"/>
        <v/>
      </c>
      <c r="F485" s="317" t="str">
        <f t="shared" si="17"/>
        <v/>
      </c>
      <c r="G485" s="323" t="str">
        <f t="shared" si="18"/>
        <v/>
      </c>
      <c r="H485" s="327" t="str">
        <f t="shared" si="19"/>
        <v/>
      </c>
      <c r="I485" s="327" t="str">
        <f t="shared" si="20"/>
        <v/>
      </c>
      <c r="J485" s="301" t="str">
        <f t="shared" si="21"/>
        <v/>
      </c>
      <c r="K485" s="301" t="str">
        <f t="shared" si="22"/>
        <v/>
      </c>
      <c r="L485" s="344" t="str">
        <f t="array" ref="L485">IF($T485="","",LET(m,MATCH($T485,$AS$24:$AS$700,0),lvl,INDEX($W$24:$W$700,m),id,INDEX($X$24:$X$700,m),SWITCH(lvl,3,"Lớp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5" s="351" t="str">
        <f t="shared" si="23"/>
        <v/>
      </c>
      <c r="N485" s="356" t="str">
        <f t="shared" si="24"/>
        <v/>
      </c>
      <c r="O485" s="358"/>
      <c r="P485" s="360"/>
      <c r="Q485" s="360"/>
      <c r="R485" s="67"/>
      <c r="S485" s="67"/>
      <c r="T485" s="67"/>
      <c r="U485" s="389" t="str">
        <f>IF('Lớp 6 - Chi tiết'!I47="","",'Lớp 6 - Chi tiết'!L47&amp;"|"&amp;'Lớp 6 - Chi tiết'!K47&amp;"|"&amp;'Lớp 6 - Chi tiết'!J47&amp;"|"&amp;'Lớp 6 - Chi tiết'!I47)</f>
        <v/>
      </c>
      <c r="V485" s="389" t="str">
        <f>IF('Lớp 6 - Chi tiết'!I47="","","           └─ "&amp;'Lớp 6 - Chi tiết'!S47)</f>
        <v/>
      </c>
      <c r="W485" s="389" t="str">
        <f>IF('Lớp 6 - Chi tiết'!I47="","",6)</f>
        <v/>
      </c>
      <c r="X485" s="67" t="str">
        <f>'Lớp 6 - Chi tiết'!I47</f>
        <v/>
      </c>
      <c r="Y485" s="389" t="str">
        <f>'Lớp 6 - Chi tiết'!J47</f>
        <v/>
      </c>
      <c r="Z485" s="67" t="str">
        <f>'Lớp 6 - Chi tiết'!AC47</f>
        <v/>
      </c>
      <c r="AA485" s="67" t="str">
        <f>'Lớp 6 - Chi tiết'!AB47</f>
        <v/>
      </c>
      <c r="AB485" s="67" t="str">
        <f>'Lớp 6 - Chi tiết'!AF47</f>
        <v/>
      </c>
      <c r="AC485" s="67" t="str">
        <f>'Lớp 6 - Chi tiết'!AE47</f>
        <v/>
      </c>
      <c r="AD485" s="398" t="str">
        <f>'Lớp 6 - Chi tiết'!AJ47</f>
        <v/>
      </c>
      <c r="AE485" s="358" t="str">
        <f>'Lớp 6 - Chi tiết'!AH47</f>
        <v/>
      </c>
      <c r="AF485" s="187" t="str">
        <f>'Lớp 6 - Chi tiết'!AK47</f>
        <v/>
      </c>
      <c r="AG485" s="104" t="str">
        <f>'Lớp 6 - Chi tiết'!AL47</f>
        <v/>
      </c>
      <c r="AH485" s="389" t="str">
        <f t="shared" si="27"/>
        <v/>
      </c>
      <c r="AI485" s="389" t="str">
        <f t="shared" si="37"/>
        <v>🔵 Chưa có hạn</v>
      </c>
      <c r="AJ485" s="67" t="str">
        <f>'Lớp 6 - Chi tiết'!AO47</f>
        <v/>
      </c>
      <c r="AS485" s="389" t="str">
        <f t="shared" si="467"/>
        <v/>
      </c>
      <c r="AT485" s="389" t="str">
        <f t="shared" si="32"/>
        <v/>
      </c>
      <c r="AU485" s="389" t="str">
        <f t="shared" si="33"/>
        <v/>
      </c>
      <c r="AV485" s="389" t="str">
        <f t="shared" si="34"/>
        <v/>
      </c>
      <c r="AW485" s="389" t="str">
        <f t="shared" si="35"/>
        <v/>
      </c>
      <c r="AX485" s="67" t="str">
        <f t="shared" ref="AX485:BH485" si="500">Z485</f>
        <v/>
      </c>
      <c r="AY485" s="67" t="str">
        <f t="shared" si="500"/>
        <v/>
      </c>
      <c r="AZ485" s="67" t="str">
        <f t="shared" si="500"/>
        <v/>
      </c>
      <c r="BA485" s="67" t="str">
        <f t="shared" si="500"/>
        <v/>
      </c>
      <c r="BB485" s="398" t="str">
        <f t="shared" si="500"/>
        <v/>
      </c>
      <c r="BC485" s="358" t="str">
        <f t="shared" si="500"/>
        <v/>
      </c>
      <c r="BD485" s="187" t="str">
        <f t="shared" si="500"/>
        <v/>
      </c>
      <c r="BE485" s="104" t="str">
        <f t="shared" si="500"/>
        <v/>
      </c>
      <c r="BF485" s="389" t="str">
        <f t="shared" si="500"/>
        <v/>
      </c>
      <c r="BG485" s="389" t="str">
        <f t="shared" si="500"/>
        <v>🔵 Chưa có hạn</v>
      </c>
      <c r="BH485" s="67" t="str">
        <f t="shared" si="500"/>
        <v/>
      </c>
      <c r="BI485" s="389" t="str">
        <f t="array" ref="BI485">IF($X485="","",SWITCH($W485,3,IFERROR(INDEX('Lớp 3 - Công việc chính'!$AF$14:$AF$73,MATCH($X485,'Lớp 3 - Công việc chính'!$I$14:$I$73,0)),""),4,IFERROR(INDEX('Lớp 4 - Danh mục'!$AI$14:$AI$132,MATCH($X485,'Lớp 4 - Danh mục'!$I$14:$I$132,0)),""),5,IFERROR(INDEX('Lớp 5 - Phân công'!$AJ$14:$AJ$262,MATCH($X485,'Lớp 5 - Phân công'!$I$14:$I$262,0)),""),6,IFERROR(INDEX('Lớp 6 - Chi tiết'!$AM$14:$AM$267,MATCH($X485,'Lớp 6 - Chi tiết'!$I$14:$I$267,0)),""),""))</f>
        <v/>
      </c>
      <c r="BJ485" s="389" t="str">
        <f t="array" ref="BJ485">IF($X485="","",SWITCH($W485,3,IFERROR(INDEX('Lớp 3 - Công việc chính'!$AR$14:$AR$73,MATCH($X485,'Lớp 3 - Công việc chính'!$I$14:$I$73,0)),""),4,IFERROR(INDEX('Lớp 4 - Danh mục'!$AU$14:$AU$132,MATCH($X485,'Lớp 4 - Danh mục'!$I$14:$I$132,0)),""),5,IFERROR(INDEX('Lớp 5 - Phân công'!$AV$14:$AV$262,MATCH($X485,'Lớp 5 - Phân công'!$I$14:$I$262,0)),""),6,IFERROR(INDEX('Lớp 6 - Chi tiết'!$AY$14:$AY$267,MATCH($X485,'Lớp 6 - Chi tiết'!$I$14:$I$267,0)),""),""))</f>
        <v/>
      </c>
    </row>
    <row r="486" ht="15.75" customHeight="1">
      <c r="A486" s="294" t="str">
        <f t="shared" si="12"/>
        <v/>
      </c>
      <c r="B486" s="301" t="str">
        <f t="shared" si="13"/>
        <v/>
      </c>
      <c r="C486" s="301" t="str">
        <f t="shared" si="14"/>
        <v/>
      </c>
      <c r="D486" s="301" t="str">
        <f t="shared" si="15"/>
        <v/>
      </c>
      <c r="E486" s="301" t="str">
        <f t="shared" si="16"/>
        <v/>
      </c>
      <c r="F486" s="317" t="str">
        <f t="shared" si="17"/>
        <v/>
      </c>
      <c r="G486" s="323" t="str">
        <f t="shared" si="18"/>
        <v/>
      </c>
      <c r="H486" s="327" t="str">
        <f t="shared" si="19"/>
        <v/>
      </c>
      <c r="I486" s="327" t="str">
        <f t="shared" si="20"/>
        <v/>
      </c>
      <c r="J486" s="301" t="str">
        <f t="shared" si="21"/>
        <v/>
      </c>
      <c r="K486" s="301" t="str">
        <f t="shared" si="22"/>
        <v/>
      </c>
      <c r="L486" s="344" t="str">
        <f t="array" ref="L486">IF($T486="","",LET(m,MATCH($T486,$AS$24:$AS$700,0),lvl,INDEX($W$24:$W$700,m),id,INDEX($X$24:$X$700,m),SWITCH(lvl,3,"Lớp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6" s="351" t="str">
        <f t="shared" si="23"/>
        <v/>
      </c>
      <c r="N486" s="356" t="str">
        <f t="shared" si="24"/>
        <v/>
      </c>
      <c r="O486" s="358"/>
      <c r="P486" s="360"/>
      <c r="Q486" s="360"/>
      <c r="R486" s="67"/>
      <c r="S486" s="67"/>
      <c r="T486" s="67"/>
      <c r="U486" s="389" t="str">
        <f>IF('Lớp 6 - Chi tiết'!I48="","",'Lớp 6 - Chi tiết'!L48&amp;"|"&amp;'Lớp 6 - Chi tiết'!K48&amp;"|"&amp;'Lớp 6 - Chi tiết'!J48&amp;"|"&amp;'Lớp 6 - Chi tiết'!I48)</f>
        <v/>
      </c>
      <c r="V486" s="389" t="str">
        <f>IF('Lớp 6 - Chi tiết'!I48="","","           └─ "&amp;'Lớp 6 - Chi tiết'!S48)</f>
        <v/>
      </c>
      <c r="W486" s="389" t="str">
        <f>IF('Lớp 6 - Chi tiết'!I48="","",6)</f>
        <v/>
      </c>
      <c r="X486" s="67" t="str">
        <f>'Lớp 6 - Chi tiết'!I48</f>
        <v/>
      </c>
      <c r="Y486" s="389" t="str">
        <f>'Lớp 6 - Chi tiết'!J48</f>
        <v/>
      </c>
      <c r="Z486" s="67" t="str">
        <f>'Lớp 6 - Chi tiết'!AC48</f>
        <v/>
      </c>
      <c r="AA486" s="67" t="str">
        <f>'Lớp 6 - Chi tiết'!AB48</f>
        <v/>
      </c>
      <c r="AB486" s="67" t="str">
        <f>'Lớp 6 - Chi tiết'!AF48</f>
        <v/>
      </c>
      <c r="AC486" s="67" t="str">
        <f>'Lớp 6 - Chi tiết'!AE48</f>
        <v/>
      </c>
      <c r="AD486" s="398" t="str">
        <f>'Lớp 6 - Chi tiết'!AJ48</f>
        <v/>
      </c>
      <c r="AE486" s="358" t="str">
        <f>'Lớp 6 - Chi tiết'!AH48</f>
        <v/>
      </c>
      <c r="AF486" s="187" t="str">
        <f>'Lớp 6 - Chi tiết'!AK48</f>
        <v/>
      </c>
      <c r="AG486" s="104" t="str">
        <f>'Lớp 6 - Chi tiết'!AL48</f>
        <v/>
      </c>
      <c r="AH486" s="389" t="str">
        <f t="shared" si="27"/>
        <v/>
      </c>
      <c r="AI486" s="389" t="str">
        <f t="shared" si="37"/>
        <v>🔵 Chưa có hạn</v>
      </c>
      <c r="AJ486" s="67" t="str">
        <f>'Lớp 6 - Chi tiết'!AO48</f>
        <v/>
      </c>
      <c r="AS486" s="389" t="str">
        <f t="shared" si="467"/>
        <v/>
      </c>
      <c r="AT486" s="389" t="str">
        <f t="shared" si="32"/>
        <v/>
      </c>
      <c r="AU486" s="389" t="str">
        <f t="shared" si="33"/>
        <v/>
      </c>
      <c r="AV486" s="389" t="str">
        <f t="shared" si="34"/>
        <v/>
      </c>
      <c r="AW486" s="389" t="str">
        <f t="shared" si="35"/>
        <v/>
      </c>
      <c r="AX486" s="67" t="str">
        <f t="shared" ref="AX486:BH486" si="501">Z486</f>
        <v/>
      </c>
      <c r="AY486" s="67" t="str">
        <f t="shared" si="501"/>
        <v/>
      </c>
      <c r="AZ486" s="67" t="str">
        <f t="shared" si="501"/>
        <v/>
      </c>
      <c r="BA486" s="67" t="str">
        <f t="shared" si="501"/>
        <v/>
      </c>
      <c r="BB486" s="398" t="str">
        <f t="shared" si="501"/>
        <v/>
      </c>
      <c r="BC486" s="358" t="str">
        <f t="shared" si="501"/>
        <v/>
      </c>
      <c r="BD486" s="187" t="str">
        <f t="shared" si="501"/>
        <v/>
      </c>
      <c r="BE486" s="104" t="str">
        <f t="shared" si="501"/>
        <v/>
      </c>
      <c r="BF486" s="389" t="str">
        <f t="shared" si="501"/>
        <v/>
      </c>
      <c r="BG486" s="389" t="str">
        <f t="shared" si="501"/>
        <v>🔵 Chưa có hạn</v>
      </c>
      <c r="BH486" s="67" t="str">
        <f t="shared" si="501"/>
        <v/>
      </c>
      <c r="BI486" s="389" t="str">
        <f t="array" ref="BI486">IF($X486="","",SWITCH($W486,3,IFERROR(INDEX('Lớp 3 - Công việc chính'!$AF$14:$AF$73,MATCH($X486,'Lớp 3 - Công việc chính'!$I$14:$I$73,0)),""),4,IFERROR(INDEX('Lớp 4 - Danh mục'!$AI$14:$AI$132,MATCH($X486,'Lớp 4 - Danh mục'!$I$14:$I$132,0)),""),5,IFERROR(INDEX('Lớp 5 - Phân công'!$AJ$14:$AJ$262,MATCH($X486,'Lớp 5 - Phân công'!$I$14:$I$262,0)),""),6,IFERROR(INDEX('Lớp 6 - Chi tiết'!$AM$14:$AM$267,MATCH($X486,'Lớp 6 - Chi tiết'!$I$14:$I$267,0)),""),""))</f>
        <v/>
      </c>
      <c r="BJ486" s="389" t="str">
        <f t="array" ref="BJ486">IF($X486="","",SWITCH($W486,3,IFERROR(INDEX('Lớp 3 - Công việc chính'!$AR$14:$AR$73,MATCH($X486,'Lớp 3 - Công việc chính'!$I$14:$I$73,0)),""),4,IFERROR(INDEX('Lớp 4 - Danh mục'!$AU$14:$AU$132,MATCH($X486,'Lớp 4 - Danh mục'!$I$14:$I$132,0)),""),5,IFERROR(INDEX('Lớp 5 - Phân công'!$AV$14:$AV$262,MATCH($X486,'Lớp 5 - Phân công'!$I$14:$I$262,0)),""),6,IFERROR(INDEX('Lớp 6 - Chi tiết'!$AY$14:$AY$267,MATCH($X486,'Lớp 6 - Chi tiết'!$I$14:$I$267,0)),""),""))</f>
        <v/>
      </c>
    </row>
    <row r="487" ht="15.75" customHeight="1">
      <c r="A487" s="294" t="str">
        <f t="shared" si="12"/>
        <v/>
      </c>
      <c r="B487" s="301" t="str">
        <f t="shared" si="13"/>
        <v/>
      </c>
      <c r="C487" s="301" t="str">
        <f t="shared" si="14"/>
        <v/>
      </c>
      <c r="D487" s="301" t="str">
        <f t="shared" si="15"/>
        <v/>
      </c>
      <c r="E487" s="301" t="str">
        <f t="shared" si="16"/>
        <v/>
      </c>
      <c r="F487" s="317" t="str">
        <f t="shared" si="17"/>
        <v/>
      </c>
      <c r="G487" s="323" t="str">
        <f t="shared" si="18"/>
        <v/>
      </c>
      <c r="H487" s="327" t="str">
        <f t="shared" si="19"/>
        <v/>
      </c>
      <c r="I487" s="327" t="str">
        <f t="shared" si="20"/>
        <v/>
      </c>
      <c r="J487" s="301" t="str">
        <f t="shared" si="21"/>
        <v/>
      </c>
      <c r="K487" s="301" t="str">
        <f t="shared" si="22"/>
        <v/>
      </c>
      <c r="L487" s="344" t="str">
        <f t="array" ref="L487">IF($T487="","",LET(m,MATCH($T487,$AS$24:$AS$700,0),lvl,INDEX($W$24:$W$700,m),id,INDEX($X$24:$X$700,m),SWITCH(lvl,3,"Lớp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7" s="351" t="str">
        <f t="shared" si="23"/>
        <v/>
      </c>
      <c r="N487" s="356" t="str">
        <f t="shared" si="24"/>
        <v/>
      </c>
      <c r="O487" s="358"/>
      <c r="P487" s="360"/>
      <c r="Q487" s="360"/>
      <c r="R487" s="67"/>
      <c r="S487" s="67"/>
      <c r="T487" s="67"/>
      <c r="U487" s="389" t="str">
        <f>IF('Lớp 6 - Chi tiết'!I49="","",'Lớp 6 - Chi tiết'!L49&amp;"|"&amp;'Lớp 6 - Chi tiết'!K49&amp;"|"&amp;'Lớp 6 - Chi tiết'!J49&amp;"|"&amp;'Lớp 6 - Chi tiết'!I49)</f>
        <v/>
      </c>
      <c r="V487" s="389" t="str">
        <f>IF('Lớp 6 - Chi tiết'!I49="","","           └─ "&amp;'Lớp 6 - Chi tiết'!S49)</f>
        <v/>
      </c>
      <c r="W487" s="389" t="str">
        <f>IF('Lớp 6 - Chi tiết'!I49="","",6)</f>
        <v/>
      </c>
      <c r="X487" s="67" t="str">
        <f>'Lớp 6 - Chi tiết'!I49</f>
        <v/>
      </c>
      <c r="Y487" s="389" t="str">
        <f>'Lớp 6 - Chi tiết'!J49</f>
        <v/>
      </c>
      <c r="Z487" s="67" t="str">
        <f>'Lớp 6 - Chi tiết'!AC49</f>
        <v/>
      </c>
      <c r="AA487" s="67" t="str">
        <f>'Lớp 6 - Chi tiết'!AB49</f>
        <v/>
      </c>
      <c r="AB487" s="67" t="str">
        <f>'Lớp 6 - Chi tiết'!AF49</f>
        <v/>
      </c>
      <c r="AC487" s="67" t="str">
        <f>'Lớp 6 - Chi tiết'!AE49</f>
        <v/>
      </c>
      <c r="AD487" s="398" t="str">
        <f>'Lớp 6 - Chi tiết'!AJ49</f>
        <v/>
      </c>
      <c r="AE487" s="358" t="str">
        <f>'Lớp 6 - Chi tiết'!AH49</f>
        <v/>
      </c>
      <c r="AF487" s="187" t="str">
        <f>'Lớp 6 - Chi tiết'!AK49</f>
        <v/>
      </c>
      <c r="AG487" s="104" t="str">
        <f>'Lớp 6 - Chi tiết'!AL49</f>
        <v/>
      </c>
      <c r="AH487" s="389" t="str">
        <f t="shared" si="27"/>
        <v/>
      </c>
      <c r="AI487" s="389" t="str">
        <f t="shared" si="37"/>
        <v>🔵 Chưa có hạn</v>
      </c>
      <c r="AJ487" s="67" t="str">
        <f>'Lớp 6 - Chi tiết'!AO49</f>
        <v/>
      </c>
      <c r="AS487" s="389" t="str">
        <f t="shared" si="467"/>
        <v/>
      </c>
      <c r="AT487" s="389" t="str">
        <f t="shared" si="32"/>
        <v/>
      </c>
      <c r="AU487" s="389" t="str">
        <f t="shared" si="33"/>
        <v/>
      </c>
      <c r="AV487" s="389" t="str">
        <f t="shared" si="34"/>
        <v/>
      </c>
      <c r="AW487" s="389" t="str">
        <f t="shared" si="35"/>
        <v/>
      </c>
      <c r="AX487" s="67" t="str">
        <f t="shared" ref="AX487:BH487" si="502">Z487</f>
        <v/>
      </c>
      <c r="AY487" s="67" t="str">
        <f t="shared" si="502"/>
        <v/>
      </c>
      <c r="AZ487" s="67" t="str">
        <f t="shared" si="502"/>
        <v/>
      </c>
      <c r="BA487" s="67" t="str">
        <f t="shared" si="502"/>
        <v/>
      </c>
      <c r="BB487" s="398" t="str">
        <f t="shared" si="502"/>
        <v/>
      </c>
      <c r="BC487" s="358" t="str">
        <f t="shared" si="502"/>
        <v/>
      </c>
      <c r="BD487" s="187" t="str">
        <f t="shared" si="502"/>
        <v/>
      </c>
      <c r="BE487" s="104" t="str">
        <f t="shared" si="502"/>
        <v/>
      </c>
      <c r="BF487" s="389" t="str">
        <f t="shared" si="502"/>
        <v/>
      </c>
      <c r="BG487" s="389" t="str">
        <f t="shared" si="502"/>
        <v>🔵 Chưa có hạn</v>
      </c>
      <c r="BH487" s="67" t="str">
        <f t="shared" si="502"/>
        <v/>
      </c>
      <c r="BI487" s="389" t="str">
        <f t="array" ref="BI487">IF($X487="","",SWITCH($W487,3,IFERROR(INDEX('Lớp 3 - Công việc chính'!$AF$14:$AF$73,MATCH($X487,'Lớp 3 - Công việc chính'!$I$14:$I$73,0)),""),4,IFERROR(INDEX('Lớp 4 - Danh mục'!$AI$14:$AI$132,MATCH($X487,'Lớp 4 - Danh mục'!$I$14:$I$132,0)),""),5,IFERROR(INDEX('Lớp 5 - Phân công'!$AJ$14:$AJ$262,MATCH($X487,'Lớp 5 - Phân công'!$I$14:$I$262,0)),""),6,IFERROR(INDEX('Lớp 6 - Chi tiết'!$AM$14:$AM$267,MATCH($X487,'Lớp 6 - Chi tiết'!$I$14:$I$267,0)),""),""))</f>
        <v/>
      </c>
      <c r="BJ487" s="389" t="str">
        <f t="array" ref="BJ487">IF($X487="","",SWITCH($W487,3,IFERROR(INDEX('Lớp 3 - Công việc chính'!$AR$14:$AR$73,MATCH($X487,'Lớp 3 - Công việc chính'!$I$14:$I$73,0)),""),4,IFERROR(INDEX('Lớp 4 - Danh mục'!$AU$14:$AU$132,MATCH($X487,'Lớp 4 - Danh mục'!$I$14:$I$132,0)),""),5,IFERROR(INDEX('Lớp 5 - Phân công'!$AV$14:$AV$262,MATCH($X487,'Lớp 5 - Phân công'!$I$14:$I$262,0)),""),6,IFERROR(INDEX('Lớp 6 - Chi tiết'!$AY$14:$AY$267,MATCH($X487,'Lớp 6 - Chi tiết'!$I$14:$I$267,0)),""),""))</f>
        <v/>
      </c>
    </row>
    <row r="488" ht="15.75" customHeight="1">
      <c r="A488" s="294" t="str">
        <f t="shared" si="12"/>
        <v/>
      </c>
      <c r="B488" s="301" t="str">
        <f t="shared" si="13"/>
        <v/>
      </c>
      <c r="C488" s="301" t="str">
        <f t="shared" si="14"/>
        <v/>
      </c>
      <c r="D488" s="301" t="str">
        <f t="shared" si="15"/>
        <v/>
      </c>
      <c r="E488" s="301" t="str">
        <f t="shared" si="16"/>
        <v/>
      </c>
      <c r="F488" s="317" t="str">
        <f t="shared" si="17"/>
        <v/>
      </c>
      <c r="G488" s="323" t="str">
        <f t="shared" si="18"/>
        <v/>
      </c>
      <c r="H488" s="327" t="str">
        <f t="shared" si="19"/>
        <v/>
      </c>
      <c r="I488" s="327" t="str">
        <f t="shared" si="20"/>
        <v/>
      </c>
      <c r="J488" s="301" t="str">
        <f t="shared" si="21"/>
        <v/>
      </c>
      <c r="K488" s="301" t="str">
        <f t="shared" si="22"/>
        <v/>
      </c>
      <c r="L488" s="344" t="str">
        <f t="array" ref="L488">IF($T488="","",LET(m,MATCH($T488,$AS$24:$AS$700,0),lvl,INDEX($W$24:$W$700,m),id,INDEX($X$24:$X$700,m),SWITCH(lvl,3,"Lớp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8" s="351" t="str">
        <f t="shared" si="23"/>
        <v/>
      </c>
      <c r="N488" s="356" t="str">
        <f t="shared" si="24"/>
        <v/>
      </c>
      <c r="O488" s="358"/>
      <c r="P488" s="360"/>
      <c r="Q488" s="360"/>
      <c r="R488" s="67"/>
      <c r="S488" s="67"/>
      <c r="T488" s="67"/>
      <c r="U488" s="389" t="str">
        <f>IF('Lớp 6 - Chi tiết'!I50="","",'Lớp 6 - Chi tiết'!L50&amp;"|"&amp;'Lớp 6 - Chi tiết'!K50&amp;"|"&amp;'Lớp 6 - Chi tiết'!J50&amp;"|"&amp;'Lớp 6 - Chi tiết'!I50)</f>
        <v/>
      </c>
      <c r="V488" s="389" t="str">
        <f>IF('Lớp 6 - Chi tiết'!I50="","","           └─ "&amp;'Lớp 6 - Chi tiết'!S50)</f>
        <v/>
      </c>
      <c r="W488" s="389" t="str">
        <f>IF('Lớp 6 - Chi tiết'!I50="","",6)</f>
        <v/>
      </c>
      <c r="X488" s="67" t="str">
        <f>'Lớp 6 - Chi tiết'!I50</f>
        <v/>
      </c>
      <c r="Y488" s="389" t="str">
        <f>'Lớp 6 - Chi tiết'!J50</f>
        <v/>
      </c>
      <c r="Z488" s="67" t="str">
        <f>'Lớp 6 - Chi tiết'!AC50</f>
        <v/>
      </c>
      <c r="AA488" s="67" t="str">
        <f>'Lớp 6 - Chi tiết'!AB50</f>
        <v/>
      </c>
      <c r="AB488" s="67" t="str">
        <f>'Lớp 6 - Chi tiết'!AF50</f>
        <v/>
      </c>
      <c r="AC488" s="67" t="str">
        <f>'Lớp 6 - Chi tiết'!AE50</f>
        <v/>
      </c>
      <c r="AD488" s="398" t="str">
        <f>'Lớp 6 - Chi tiết'!AJ50</f>
        <v/>
      </c>
      <c r="AE488" s="358" t="str">
        <f>'Lớp 6 - Chi tiết'!AH50</f>
        <v/>
      </c>
      <c r="AF488" s="187" t="str">
        <f>'Lớp 6 - Chi tiết'!AK50</f>
        <v/>
      </c>
      <c r="AG488" s="104" t="str">
        <f>'Lớp 6 - Chi tiết'!AL50</f>
        <v/>
      </c>
      <c r="AH488" s="389" t="str">
        <f t="shared" si="27"/>
        <v/>
      </c>
      <c r="AI488" s="389" t="str">
        <f t="shared" si="37"/>
        <v>🔵 Chưa có hạn</v>
      </c>
      <c r="AJ488" s="67" t="str">
        <f>'Lớp 6 - Chi tiết'!AO50</f>
        <v/>
      </c>
      <c r="AS488" s="389" t="str">
        <f t="shared" si="467"/>
        <v/>
      </c>
      <c r="AT488" s="389" t="str">
        <f t="shared" si="32"/>
        <v/>
      </c>
      <c r="AU488" s="389" t="str">
        <f t="shared" si="33"/>
        <v/>
      </c>
      <c r="AV488" s="389" t="str">
        <f t="shared" si="34"/>
        <v/>
      </c>
      <c r="AW488" s="389" t="str">
        <f t="shared" si="35"/>
        <v/>
      </c>
      <c r="AX488" s="67" t="str">
        <f t="shared" ref="AX488:BH488" si="503">Z488</f>
        <v/>
      </c>
      <c r="AY488" s="67" t="str">
        <f t="shared" si="503"/>
        <v/>
      </c>
      <c r="AZ488" s="67" t="str">
        <f t="shared" si="503"/>
        <v/>
      </c>
      <c r="BA488" s="67" t="str">
        <f t="shared" si="503"/>
        <v/>
      </c>
      <c r="BB488" s="398" t="str">
        <f t="shared" si="503"/>
        <v/>
      </c>
      <c r="BC488" s="358" t="str">
        <f t="shared" si="503"/>
        <v/>
      </c>
      <c r="BD488" s="187" t="str">
        <f t="shared" si="503"/>
        <v/>
      </c>
      <c r="BE488" s="104" t="str">
        <f t="shared" si="503"/>
        <v/>
      </c>
      <c r="BF488" s="389" t="str">
        <f t="shared" si="503"/>
        <v/>
      </c>
      <c r="BG488" s="389" t="str">
        <f t="shared" si="503"/>
        <v>🔵 Chưa có hạn</v>
      </c>
      <c r="BH488" s="67" t="str">
        <f t="shared" si="503"/>
        <v/>
      </c>
      <c r="BI488" s="389" t="str">
        <f t="array" ref="BI488">IF($X488="","",SWITCH($W488,3,IFERROR(INDEX('Lớp 3 - Công việc chính'!$AF$14:$AF$73,MATCH($X488,'Lớp 3 - Công việc chính'!$I$14:$I$73,0)),""),4,IFERROR(INDEX('Lớp 4 - Danh mục'!$AI$14:$AI$132,MATCH($X488,'Lớp 4 - Danh mục'!$I$14:$I$132,0)),""),5,IFERROR(INDEX('Lớp 5 - Phân công'!$AJ$14:$AJ$262,MATCH($X488,'Lớp 5 - Phân công'!$I$14:$I$262,0)),""),6,IFERROR(INDEX('Lớp 6 - Chi tiết'!$AM$14:$AM$267,MATCH($X488,'Lớp 6 - Chi tiết'!$I$14:$I$267,0)),""),""))</f>
        <v/>
      </c>
      <c r="BJ488" s="389" t="str">
        <f t="array" ref="BJ488">IF($X488="","",SWITCH($W488,3,IFERROR(INDEX('Lớp 3 - Công việc chính'!$AR$14:$AR$73,MATCH($X488,'Lớp 3 - Công việc chính'!$I$14:$I$73,0)),""),4,IFERROR(INDEX('Lớp 4 - Danh mục'!$AU$14:$AU$132,MATCH($X488,'Lớp 4 - Danh mục'!$I$14:$I$132,0)),""),5,IFERROR(INDEX('Lớp 5 - Phân công'!$AV$14:$AV$262,MATCH($X488,'Lớp 5 - Phân công'!$I$14:$I$262,0)),""),6,IFERROR(INDEX('Lớp 6 - Chi tiết'!$AY$14:$AY$267,MATCH($X488,'Lớp 6 - Chi tiết'!$I$14:$I$267,0)),""),""))</f>
        <v/>
      </c>
    </row>
    <row r="489" ht="15.75" customHeight="1">
      <c r="A489" s="294" t="str">
        <f t="shared" si="12"/>
        <v/>
      </c>
      <c r="B489" s="301" t="str">
        <f t="shared" si="13"/>
        <v/>
      </c>
      <c r="C489" s="301" t="str">
        <f t="shared" si="14"/>
        <v/>
      </c>
      <c r="D489" s="301" t="str">
        <f t="shared" si="15"/>
        <v/>
      </c>
      <c r="E489" s="301" t="str">
        <f t="shared" si="16"/>
        <v/>
      </c>
      <c r="F489" s="317" t="str">
        <f t="shared" si="17"/>
        <v/>
      </c>
      <c r="G489" s="323" t="str">
        <f t="shared" si="18"/>
        <v/>
      </c>
      <c r="H489" s="327" t="str">
        <f t="shared" si="19"/>
        <v/>
      </c>
      <c r="I489" s="327" t="str">
        <f t="shared" si="20"/>
        <v/>
      </c>
      <c r="J489" s="301" t="str">
        <f t="shared" si="21"/>
        <v/>
      </c>
      <c r="K489" s="301" t="str">
        <f t="shared" si="22"/>
        <v/>
      </c>
      <c r="L489" s="344" t="str">
        <f t="array" ref="L489">IF($T489="","",LET(m,MATCH($T489,$AS$24:$AS$700,0),lvl,INDEX($W$24:$W$700,m),id,INDEX($X$24:$X$700,m),SWITCH(lvl,3,"Lớp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89" s="351" t="str">
        <f t="shared" si="23"/>
        <v/>
      </c>
      <c r="N489" s="356" t="str">
        <f t="shared" si="24"/>
        <v/>
      </c>
      <c r="O489" s="358"/>
      <c r="P489" s="360"/>
      <c r="Q489" s="360"/>
      <c r="R489" s="67"/>
      <c r="S489" s="67"/>
      <c r="T489" s="67"/>
      <c r="U489" s="389" t="str">
        <f>IF('Lớp 6 - Chi tiết'!I51="","",'Lớp 6 - Chi tiết'!L51&amp;"|"&amp;'Lớp 6 - Chi tiết'!K51&amp;"|"&amp;'Lớp 6 - Chi tiết'!J51&amp;"|"&amp;'Lớp 6 - Chi tiết'!I51)</f>
        <v/>
      </c>
      <c r="V489" s="389" t="str">
        <f>IF('Lớp 6 - Chi tiết'!I51="","","           └─ "&amp;'Lớp 6 - Chi tiết'!S51)</f>
        <v/>
      </c>
      <c r="W489" s="389" t="str">
        <f>IF('Lớp 6 - Chi tiết'!I51="","",6)</f>
        <v/>
      </c>
      <c r="X489" s="67" t="str">
        <f>'Lớp 6 - Chi tiết'!I51</f>
        <v/>
      </c>
      <c r="Y489" s="389" t="str">
        <f>'Lớp 6 - Chi tiết'!J51</f>
        <v/>
      </c>
      <c r="Z489" s="67" t="str">
        <f>'Lớp 6 - Chi tiết'!AC51</f>
        <v/>
      </c>
      <c r="AA489" s="67" t="str">
        <f>'Lớp 6 - Chi tiết'!AB51</f>
        <v/>
      </c>
      <c r="AB489" s="67" t="str">
        <f>'Lớp 6 - Chi tiết'!AF51</f>
        <v/>
      </c>
      <c r="AC489" s="67" t="str">
        <f>'Lớp 6 - Chi tiết'!AE51</f>
        <v/>
      </c>
      <c r="AD489" s="398" t="str">
        <f>'Lớp 6 - Chi tiết'!AJ51</f>
        <v/>
      </c>
      <c r="AE489" s="358" t="str">
        <f>'Lớp 6 - Chi tiết'!AH51</f>
        <v/>
      </c>
      <c r="AF489" s="187" t="str">
        <f>'Lớp 6 - Chi tiết'!AK51</f>
        <v/>
      </c>
      <c r="AG489" s="104" t="str">
        <f>'Lớp 6 - Chi tiết'!AL51</f>
        <v/>
      </c>
      <c r="AH489" s="389" t="str">
        <f t="shared" si="27"/>
        <v/>
      </c>
      <c r="AI489" s="389" t="str">
        <f t="shared" si="37"/>
        <v>🔵 Chưa có hạn</v>
      </c>
      <c r="AJ489" s="67" t="str">
        <f>'Lớp 6 - Chi tiết'!AO51</f>
        <v/>
      </c>
      <c r="AS489" s="389" t="str">
        <f t="shared" si="467"/>
        <v/>
      </c>
      <c r="AT489" s="389" t="str">
        <f t="shared" si="32"/>
        <v/>
      </c>
      <c r="AU489" s="389" t="str">
        <f t="shared" si="33"/>
        <v/>
      </c>
      <c r="AV489" s="389" t="str">
        <f t="shared" si="34"/>
        <v/>
      </c>
      <c r="AW489" s="389" t="str">
        <f t="shared" si="35"/>
        <v/>
      </c>
      <c r="AX489" s="67" t="str">
        <f t="shared" ref="AX489:BH489" si="504">Z489</f>
        <v/>
      </c>
      <c r="AY489" s="67" t="str">
        <f t="shared" si="504"/>
        <v/>
      </c>
      <c r="AZ489" s="67" t="str">
        <f t="shared" si="504"/>
        <v/>
      </c>
      <c r="BA489" s="67" t="str">
        <f t="shared" si="504"/>
        <v/>
      </c>
      <c r="BB489" s="398" t="str">
        <f t="shared" si="504"/>
        <v/>
      </c>
      <c r="BC489" s="358" t="str">
        <f t="shared" si="504"/>
        <v/>
      </c>
      <c r="BD489" s="187" t="str">
        <f t="shared" si="504"/>
        <v/>
      </c>
      <c r="BE489" s="104" t="str">
        <f t="shared" si="504"/>
        <v/>
      </c>
      <c r="BF489" s="389" t="str">
        <f t="shared" si="504"/>
        <v/>
      </c>
      <c r="BG489" s="389" t="str">
        <f t="shared" si="504"/>
        <v>🔵 Chưa có hạn</v>
      </c>
      <c r="BH489" s="67" t="str">
        <f t="shared" si="504"/>
        <v/>
      </c>
      <c r="BI489" s="389" t="str">
        <f t="array" ref="BI489">IF($X489="","",SWITCH($W489,3,IFERROR(INDEX('Lớp 3 - Công việc chính'!$AF$14:$AF$73,MATCH($X489,'Lớp 3 - Công việc chính'!$I$14:$I$73,0)),""),4,IFERROR(INDEX('Lớp 4 - Danh mục'!$AI$14:$AI$132,MATCH($X489,'Lớp 4 - Danh mục'!$I$14:$I$132,0)),""),5,IFERROR(INDEX('Lớp 5 - Phân công'!$AJ$14:$AJ$262,MATCH($X489,'Lớp 5 - Phân công'!$I$14:$I$262,0)),""),6,IFERROR(INDEX('Lớp 6 - Chi tiết'!$AM$14:$AM$267,MATCH($X489,'Lớp 6 - Chi tiết'!$I$14:$I$267,0)),""),""))</f>
        <v/>
      </c>
      <c r="BJ489" s="389" t="str">
        <f t="array" ref="BJ489">IF($X489="","",SWITCH($W489,3,IFERROR(INDEX('Lớp 3 - Công việc chính'!$AR$14:$AR$73,MATCH($X489,'Lớp 3 - Công việc chính'!$I$14:$I$73,0)),""),4,IFERROR(INDEX('Lớp 4 - Danh mục'!$AU$14:$AU$132,MATCH($X489,'Lớp 4 - Danh mục'!$I$14:$I$132,0)),""),5,IFERROR(INDEX('Lớp 5 - Phân công'!$AV$14:$AV$262,MATCH($X489,'Lớp 5 - Phân công'!$I$14:$I$262,0)),""),6,IFERROR(INDEX('Lớp 6 - Chi tiết'!$AY$14:$AY$267,MATCH($X489,'Lớp 6 - Chi tiết'!$I$14:$I$267,0)),""),""))</f>
        <v/>
      </c>
    </row>
    <row r="490" ht="15.75" customHeight="1">
      <c r="A490" s="294" t="str">
        <f t="shared" si="12"/>
        <v/>
      </c>
      <c r="B490" s="301" t="str">
        <f t="shared" si="13"/>
        <v/>
      </c>
      <c r="C490" s="301" t="str">
        <f t="shared" si="14"/>
        <v/>
      </c>
      <c r="D490" s="301" t="str">
        <f t="shared" si="15"/>
        <v/>
      </c>
      <c r="E490" s="301" t="str">
        <f t="shared" si="16"/>
        <v/>
      </c>
      <c r="F490" s="317" t="str">
        <f t="shared" si="17"/>
        <v/>
      </c>
      <c r="G490" s="323" t="str">
        <f t="shared" si="18"/>
        <v/>
      </c>
      <c r="H490" s="327" t="str">
        <f t="shared" si="19"/>
        <v/>
      </c>
      <c r="I490" s="327" t="str">
        <f t="shared" si="20"/>
        <v/>
      </c>
      <c r="J490" s="301" t="str">
        <f t="shared" si="21"/>
        <v/>
      </c>
      <c r="K490" s="301" t="str">
        <f t="shared" si="22"/>
        <v/>
      </c>
      <c r="L490" s="344" t="str">
        <f t="array" ref="L490">IF($T490="","",LET(m,MATCH($T490,$AS$24:$AS$700,0),lvl,INDEX($W$24:$W$700,m),id,INDEX($X$24:$X$700,m),SWITCH(lvl,3,"Lớp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0" s="351" t="str">
        <f t="shared" si="23"/>
        <v/>
      </c>
      <c r="N490" s="356" t="str">
        <f t="shared" si="24"/>
        <v/>
      </c>
      <c r="O490" s="358"/>
      <c r="P490" s="360"/>
      <c r="Q490" s="360"/>
      <c r="R490" s="67"/>
      <c r="S490" s="67"/>
      <c r="T490" s="67"/>
      <c r="U490" s="389" t="str">
        <f>IF('Lớp 6 - Chi tiết'!I52="","",'Lớp 6 - Chi tiết'!L52&amp;"|"&amp;'Lớp 6 - Chi tiết'!K52&amp;"|"&amp;'Lớp 6 - Chi tiết'!J52&amp;"|"&amp;'Lớp 6 - Chi tiết'!I52)</f>
        <v/>
      </c>
      <c r="V490" s="389" t="str">
        <f>IF('Lớp 6 - Chi tiết'!I52="","","           └─ "&amp;'Lớp 6 - Chi tiết'!S52)</f>
        <v/>
      </c>
      <c r="W490" s="389" t="str">
        <f>IF('Lớp 6 - Chi tiết'!I52="","",6)</f>
        <v/>
      </c>
      <c r="X490" s="67" t="str">
        <f>'Lớp 6 - Chi tiết'!I52</f>
        <v/>
      </c>
      <c r="Y490" s="389" t="str">
        <f>'Lớp 6 - Chi tiết'!J52</f>
        <v/>
      </c>
      <c r="Z490" s="67" t="str">
        <f>'Lớp 6 - Chi tiết'!AC52</f>
        <v/>
      </c>
      <c r="AA490" s="67" t="str">
        <f>'Lớp 6 - Chi tiết'!AB52</f>
        <v/>
      </c>
      <c r="AB490" s="67" t="str">
        <f>'Lớp 6 - Chi tiết'!AF52</f>
        <v/>
      </c>
      <c r="AC490" s="67" t="str">
        <f>'Lớp 6 - Chi tiết'!AE52</f>
        <v/>
      </c>
      <c r="AD490" s="398" t="str">
        <f>'Lớp 6 - Chi tiết'!AJ52</f>
        <v/>
      </c>
      <c r="AE490" s="358" t="str">
        <f>'Lớp 6 - Chi tiết'!AH52</f>
        <v/>
      </c>
      <c r="AF490" s="187" t="str">
        <f>'Lớp 6 - Chi tiết'!AK52</f>
        <v/>
      </c>
      <c r="AG490" s="104" t="str">
        <f>'Lớp 6 - Chi tiết'!AL52</f>
        <v/>
      </c>
      <c r="AH490" s="389" t="str">
        <f t="shared" si="27"/>
        <v/>
      </c>
      <c r="AI490" s="389" t="str">
        <f t="shared" si="37"/>
        <v>🔵 Chưa có hạn</v>
      </c>
      <c r="AJ490" s="67" t="str">
        <f>'Lớp 6 - Chi tiết'!AO52</f>
        <v/>
      </c>
      <c r="AS490" s="389" t="str">
        <f t="shared" si="467"/>
        <v/>
      </c>
      <c r="AT490" s="389" t="str">
        <f t="shared" si="32"/>
        <v/>
      </c>
      <c r="AU490" s="389" t="str">
        <f t="shared" si="33"/>
        <v/>
      </c>
      <c r="AV490" s="389" t="str">
        <f t="shared" si="34"/>
        <v/>
      </c>
      <c r="AW490" s="389" t="str">
        <f t="shared" si="35"/>
        <v/>
      </c>
      <c r="AX490" s="67" t="str">
        <f t="shared" ref="AX490:BH490" si="505">Z490</f>
        <v/>
      </c>
      <c r="AY490" s="67" t="str">
        <f t="shared" si="505"/>
        <v/>
      </c>
      <c r="AZ490" s="67" t="str">
        <f t="shared" si="505"/>
        <v/>
      </c>
      <c r="BA490" s="67" t="str">
        <f t="shared" si="505"/>
        <v/>
      </c>
      <c r="BB490" s="398" t="str">
        <f t="shared" si="505"/>
        <v/>
      </c>
      <c r="BC490" s="358" t="str">
        <f t="shared" si="505"/>
        <v/>
      </c>
      <c r="BD490" s="187" t="str">
        <f t="shared" si="505"/>
        <v/>
      </c>
      <c r="BE490" s="104" t="str">
        <f t="shared" si="505"/>
        <v/>
      </c>
      <c r="BF490" s="389" t="str">
        <f t="shared" si="505"/>
        <v/>
      </c>
      <c r="BG490" s="389" t="str">
        <f t="shared" si="505"/>
        <v>🔵 Chưa có hạn</v>
      </c>
      <c r="BH490" s="67" t="str">
        <f t="shared" si="505"/>
        <v/>
      </c>
      <c r="BI490" s="389" t="str">
        <f t="array" ref="BI490">IF($X490="","",SWITCH($W490,3,IFERROR(INDEX('Lớp 3 - Công việc chính'!$AF$14:$AF$73,MATCH($X490,'Lớp 3 - Công việc chính'!$I$14:$I$73,0)),""),4,IFERROR(INDEX('Lớp 4 - Danh mục'!$AI$14:$AI$132,MATCH($X490,'Lớp 4 - Danh mục'!$I$14:$I$132,0)),""),5,IFERROR(INDEX('Lớp 5 - Phân công'!$AJ$14:$AJ$262,MATCH($X490,'Lớp 5 - Phân công'!$I$14:$I$262,0)),""),6,IFERROR(INDEX('Lớp 6 - Chi tiết'!$AM$14:$AM$267,MATCH($X490,'Lớp 6 - Chi tiết'!$I$14:$I$267,0)),""),""))</f>
        <v/>
      </c>
      <c r="BJ490" s="389" t="str">
        <f t="array" ref="BJ490">IF($X490="","",SWITCH($W490,3,IFERROR(INDEX('Lớp 3 - Công việc chính'!$AR$14:$AR$73,MATCH($X490,'Lớp 3 - Công việc chính'!$I$14:$I$73,0)),""),4,IFERROR(INDEX('Lớp 4 - Danh mục'!$AU$14:$AU$132,MATCH($X490,'Lớp 4 - Danh mục'!$I$14:$I$132,0)),""),5,IFERROR(INDEX('Lớp 5 - Phân công'!$AV$14:$AV$262,MATCH($X490,'Lớp 5 - Phân công'!$I$14:$I$262,0)),""),6,IFERROR(INDEX('Lớp 6 - Chi tiết'!$AY$14:$AY$267,MATCH($X490,'Lớp 6 - Chi tiết'!$I$14:$I$267,0)),""),""))</f>
        <v/>
      </c>
    </row>
    <row r="491" ht="15.75" customHeight="1">
      <c r="A491" s="294" t="str">
        <f t="shared" si="12"/>
        <v/>
      </c>
      <c r="B491" s="301" t="str">
        <f t="shared" si="13"/>
        <v/>
      </c>
      <c r="C491" s="301" t="str">
        <f t="shared" si="14"/>
        <v/>
      </c>
      <c r="D491" s="301" t="str">
        <f t="shared" si="15"/>
        <v/>
      </c>
      <c r="E491" s="301" t="str">
        <f t="shared" si="16"/>
        <v/>
      </c>
      <c r="F491" s="317" t="str">
        <f t="shared" si="17"/>
        <v/>
      </c>
      <c r="G491" s="323" t="str">
        <f t="shared" si="18"/>
        <v/>
      </c>
      <c r="H491" s="327" t="str">
        <f t="shared" si="19"/>
        <v/>
      </c>
      <c r="I491" s="327" t="str">
        <f t="shared" si="20"/>
        <v/>
      </c>
      <c r="J491" s="301" t="str">
        <f t="shared" si="21"/>
        <v/>
      </c>
      <c r="K491" s="301" t="str">
        <f t="shared" si="22"/>
        <v/>
      </c>
      <c r="L491" s="344" t="str">
        <f t="array" ref="L491">IF($T491="","",LET(m,MATCH($T491,$AS$24:$AS$700,0),lvl,INDEX($W$24:$W$700,m),id,INDEX($X$24:$X$700,m),SWITCH(lvl,3,"Lớp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1" s="351" t="str">
        <f t="shared" si="23"/>
        <v/>
      </c>
      <c r="N491" s="356" t="str">
        <f t="shared" si="24"/>
        <v/>
      </c>
      <c r="O491" s="358"/>
      <c r="P491" s="360"/>
      <c r="Q491" s="360"/>
      <c r="R491" s="67"/>
      <c r="S491" s="67"/>
      <c r="T491" s="67"/>
      <c r="U491" s="389" t="str">
        <f>IF('Lớp 6 - Chi tiết'!I53="","",'Lớp 6 - Chi tiết'!L53&amp;"|"&amp;'Lớp 6 - Chi tiết'!K53&amp;"|"&amp;'Lớp 6 - Chi tiết'!J53&amp;"|"&amp;'Lớp 6 - Chi tiết'!I53)</f>
        <v/>
      </c>
      <c r="V491" s="389" t="str">
        <f>IF('Lớp 6 - Chi tiết'!I53="","","           └─ "&amp;'Lớp 6 - Chi tiết'!S53)</f>
        <v/>
      </c>
      <c r="W491" s="389" t="str">
        <f>IF('Lớp 6 - Chi tiết'!I53="","",6)</f>
        <v/>
      </c>
      <c r="X491" s="67" t="str">
        <f>'Lớp 6 - Chi tiết'!I53</f>
        <v/>
      </c>
      <c r="Y491" s="389" t="str">
        <f>'Lớp 6 - Chi tiết'!J53</f>
        <v/>
      </c>
      <c r="Z491" s="67" t="str">
        <f>'Lớp 6 - Chi tiết'!AC53</f>
        <v/>
      </c>
      <c r="AA491" s="67" t="str">
        <f>'Lớp 6 - Chi tiết'!AB53</f>
        <v/>
      </c>
      <c r="AB491" s="67" t="str">
        <f>'Lớp 6 - Chi tiết'!AF53</f>
        <v/>
      </c>
      <c r="AC491" s="67" t="str">
        <f>'Lớp 6 - Chi tiết'!AE53</f>
        <v/>
      </c>
      <c r="AD491" s="398" t="str">
        <f>'Lớp 6 - Chi tiết'!AJ53</f>
        <v/>
      </c>
      <c r="AE491" s="358" t="str">
        <f>'Lớp 6 - Chi tiết'!AH53</f>
        <v/>
      </c>
      <c r="AF491" s="187" t="str">
        <f>'Lớp 6 - Chi tiết'!AK53</f>
        <v/>
      </c>
      <c r="AG491" s="104" t="str">
        <f>'Lớp 6 - Chi tiết'!AL53</f>
        <v/>
      </c>
      <c r="AH491" s="389" t="str">
        <f t="shared" si="27"/>
        <v/>
      </c>
      <c r="AI491" s="389" t="str">
        <f t="shared" si="37"/>
        <v>🔵 Chưa có hạn</v>
      </c>
      <c r="AJ491" s="67" t="str">
        <f>'Lớp 6 - Chi tiết'!AO53</f>
        <v/>
      </c>
      <c r="AS491" s="389" t="str">
        <f t="shared" si="467"/>
        <v/>
      </c>
      <c r="AT491" s="389" t="str">
        <f t="shared" si="32"/>
        <v/>
      </c>
      <c r="AU491" s="389" t="str">
        <f t="shared" si="33"/>
        <v/>
      </c>
      <c r="AV491" s="389" t="str">
        <f t="shared" si="34"/>
        <v/>
      </c>
      <c r="AW491" s="389" t="str">
        <f t="shared" si="35"/>
        <v/>
      </c>
      <c r="AX491" s="67" t="str">
        <f t="shared" ref="AX491:BH491" si="506">Z491</f>
        <v/>
      </c>
      <c r="AY491" s="67" t="str">
        <f t="shared" si="506"/>
        <v/>
      </c>
      <c r="AZ491" s="67" t="str">
        <f t="shared" si="506"/>
        <v/>
      </c>
      <c r="BA491" s="67" t="str">
        <f t="shared" si="506"/>
        <v/>
      </c>
      <c r="BB491" s="398" t="str">
        <f t="shared" si="506"/>
        <v/>
      </c>
      <c r="BC491" s="358" t="str">
        <f t="shared" si="506"/>
        <v/>
      </c>
      <c r="BD491" s="187" t="str">
        <f t="shared" si="506"/>
        <v/>
      </c>
      <c r="BE491" s="104" t="str">
        <f t="shared" si="506"/>
        <v/>
      </c>
      <c r="BF491" s="389" t="str">
        <f t="shared" si="506"/>
        <v/>
      </c>
      <c r="BG491" s="389" t="str">
        <f t="shared" si="506"/>
        <v>🔵 Chưa có hạn</v>
      </c>
      <c r="BH491" s="67" t="str">
        <f t="shared" si="506"/>
        <v/>
      </c>
      <c r="BI491" s="389" t="str">
        <f t="array" ref="BI491">IF($X491="","",SWITCH($W491,3,IFERROR(INDEX('Lớp 3 - Công việc chính'!$AF$14:$AF$73,MATCH($X491,'Lớp 3 - Công việc chính'!$I$14:$I$73,0)),""),4,IFERROR(INDEX('Lớp 4 - Danh mục'!$AI$14:$AI$132,MATCH($X491,'Lớp 4 - Danh mục'!$I$14:$I$132,0)),""),5,IFERROR(INDEX('Lớp 5 - Phân công'!$AJ$14:$AJ$262,MATCH($X491,'Lớp 5 - Phân công'!$I$14:$I$262,0)),""),6,IFERROR(INDEX('Lớp 6 - Chi tiết'!$AM$14:$AM$267,MATCH($X491,'Lớp 6 - Chi tiết'!$I$14:$I$267,0)),""),""))</f>
        <v/>
      </c>
      <c r="BJ491" s="389" t="str">
        <f t="array" ref="BJ491">IF($X491="","",SWITCH($W491,3,IFERROR(INDEX('Lớp 3 - Công việc chính'!$AR$14:$AR$73,MATCH($X491,'Lớp 3 - Công việc chính'!$I$14:$I$73,0)),""),4,IFERROR(INDEX('Lớp 4 - Danh mục'!$AU$14:$AU$132,MATCH($X491,'Lớp 4 - Danh mục'!$I$14:$I$132,0)),""),5,IFERROR(INDEX('Lớp 5 - Phân công'!$AV$14:$AV$262,MATCH($X491,'Lớp 5 - Phân công'!$I$14:$I$262,0)),""),6,IFERROR(INDEX('Lớp 6 - Chi tiết'!$AY$14:$AY$267,MATCH($X491,'Lớp 6 - Chi tiết'!$I$14:$I$267,0)),""),""))</f>
        <v/>
      </c>
    </row>
    <row r="492" ht="15.75" customHeight="1">
      <c r="A492" s="294" t="str">
        <f t="shared" si="12"/>
        <v/>
      </c>
      <c r="B492" s="301" t="str">
        <f t="shared" si="13"/>
        <v/>
      </c>
      <c r="C492" s="301" t="str">
        <f t="shared" si="14"/>
        <v/>
      </c>
      <c r="D492" s="301" t="str">
        <f t="shared" si="15"/>
        <v/>
      </c>
      <c r="E492" s="301" t="str">
        <f t="shared" si="16"/>
        <v/>
      </c>
      <c r="F492" s="317" t="str">
        <f t="shared" si="17"/>
        <v/>
      </c>
      <c r="G492" s="323" t="str">
        <f t="shared" si="18"/>
        <v/>
      </c>
      <c r="H492" s="327" t="str">
        <f t="shared" si="19"/>
        <v/>
      </c>
      <c r="I492" s="327" t="str">
        <f t="shared" si="20"/>
        <v/>
      </c>
      <c r="J492" s="301" t="str">
        <f t="shared" si="21"/>
        <v/>
      </c>
      <c r="K492" s="301" t="str">
        <f t="shared" si="22"/>
        <v/>
      </c>
      <c r="L492" s="344" t="str">
        <f t="array" ref="L492">IF($T492="","",LET(m,MATCH($T492,$AS$24:$AS$700,0),lvl,INDEX($W$24:$W$700,m),id,INDEX($X$24:$X$700,m),SWITCH(lvl,3,"Lớp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2" s="351" t="str">
        <f t="shared" si="23"/>
        <v/>
      </c>
      <c r="N492" s="356" t="str">
        <f t="shared" si="24"/>
        <v/>
      </c>
      <c r="O492" s="358"/>
      <c r="P492" s="360"/>
      <c r="Q492" s="360"/>
      <c r="R492" s="67"/>
      <c r="S492" s="67"/>
      <c r="T492" s="67"/>
      <c r="U492" s="389" t="str">
        <f>IF('Lớp 6 - Chi tiết'!I54="","",'Lớp 6 - Chi tiết'!L54&amp;"|"&amp;'Lớp 6 - Chi tiết'!K54&amp;"|"&amp;'Lớp 6 - Chi tiết'!J54&amp;"|"&amp;'Lớp 6 - Chi tiết'!I54)</f>
        <v/>
      </c>
      <c r="V492" s="389" t="str">
        <f>IF('Lớp 6 - Chi tiết'!I54="","","           └─ "&amp;'Lớp 6 - Chi tiết'!S54)</f>
        <v/>
      </c>
      <c r="W492" s="389" t="str">
        <f>IF('Lớp 6 - Chi tiết'!I54="","",6)</f>
        <v/>
      </c>
      <c r="X492" s="67" t="str">
        <f>'Lớp 6 - Chi tiết'!I54</f>
        <v/>
      </c>
      <c r="Y492" s="389" t="str">
        <f>'Lớp 6 - Chi tiết'!J54</f>
        <v/>
      </c>
      <c r="Z492" s="67" t="str">
        <f>'Lớp 6 - Chi tiết'!AC54</f>
        <v/>
      </c>
      <c r="AA492" s="67" t="str">
        <f>'Lớp 6 - Chi tiết'!AB54</f>
        <v/>
      </c>
      <c r="AB492" s="67" t="str">
        <f>'Lớp 6 - Chi tiết'!AF54</f>
        <v/>
      </c>
      <c r="AC492" s="67" t="str">
        <f>'Lớp 6 - Chi tiết'!AE54</f>
        <v/>
      </c>
      <c r="AD492" s="398" t="str">
        <f>'Lớp 6 - Chi tiết'!AJ54</f>
        <v/>
      </c>
      <c r="AE492" s="358" t="str">
        <f>'Lớp 6 - Chi tiết'!AH54</f>
        <v/>
      </c>
      <c r="AF492" s="187" t="str">
        <f>'Lớp 6 - Chi tiết'!AK54</f>
        <v/>
      </c>
      <c r="AG492" s="104" t="str">
        <f>'Lớp 6 - Chi tiết'!AL54</f>
        <v/>
      </c>
      <c r="AH492" s="389" t="str">
        <f t="shared" si="27"/>
        <v/>
      </c>
      <c r="AI492" s="389" t="str">
        <f t="shared" si="37"/>
        <v>🔵 Chưa có hạn</v>
      </c>
      <c r="AJ492" s="67" t="str">
        <f>'Lớp 6 - Chi tiết'!AO54</f>
        <v/>
      </c>
      <c r="AS492" s="389" t="str">
        <f t="shared" si="467"/>
        <v/>
      </c>
      <c r="AT492" s="389" t="str">
        <f t="shared" si="32"/>
        <v/>
      </c>
      <c r="AU492" s="389" t="str">
        <f t="shared" si="33"/>
        <v/>
      </c>
      <c r="AV492" s="389" t="str">
        <f t="shared" si="34"/>
        <v/>
      </c>
      <c r="AW492" s="389" t="str">
        <f t="shared" si="35"/>
        <v/>
      </c>
      <c r="AX492" s="67" t="str">
        <f t="shared" ref="AX492:BH492" si="507">Z492</f>
        <v/>
      </c>
      <c r="AY492" s="67" t="str">
        <f t="shared" si="507"/>
        <v/>
      </c>
      <c r="AZ492" s="67" t="str">
        <f t="shared" si="507"/>
        <v/>
      </c>
      <c r="BA492" s="67" t="str">
        <f t="shared" si="507"/>
        <v/>
      </c>
      <c r="BB492" s="398" t="str">
        <f t="shared" si="507"/>
        <v/>
      </c>
      <c r="BC492" s="358" t="str">
        <f t="shared" si="507"/>
        <v/>
      </c>
      <c r="BD492" s="187" t="str">
        <f t="shared" si="507"/>
        <v/>
      </c>
      <c r="BE492" s="104" t="str">
        <f t="shared" si="507"/>
        <v/>
      </c>
      <c r="BF492" s="389" t="str">
        <f t="shared" si="507"/>
        <v/>
      </c>
      <c r="BG492" s="389" t="str">
        <f t="shared" si="507"/>
        <v>🔵 Chưa có hạn</v>
      </c>
      <c r="BH492" s="67" t="str">
        <f t="shared" si="507"/>
        <v/>
      </c>
      <c r="BI492" s="389" t="str">
        <f t="array" ref="BI492">IF($X492="","",SWITCH($W492,3,IFERROR(INDEX('Lớp 3 - Công việc chính'!$AF$14:$AF$73,MATCH($X492,'Lớp 3 - Công việc chính'!$I$14:$I$73,0)),""),4,IFERROR(INDEX('Lớp 4 - Danh mục'!$AI$14:$AI$132,MATCH($X492,'Lớp 4 - Danh mục'!$I$14:$I$132,0)),""),5,IFERROR(INDEX('Lớp 5 - Phân công'!$AJ$14:$AJ$262,MATCH($X492,'Lớp 5 - Phân công'!$I$14:$I$262,0)),""),6,IFERROR(INDEX('Lớp 6 - Chi tiết'!$AM$14:$AM$267,MATCH($X492,'Lớp 6 - Chi tiết'!$I$14:$I$267,0)),""),""))</f>
        <v/>
      </c>
      <c r="BJ492" s="389" t="str">
        <f t="array" ref="BJ492">IF($X492="","",SWITCH($W492,3,IFERROR(INDEX('Lớp 3 - Công việc chính'!$AR$14:$AR$73,MATCH($X492,'Lớp 3 - Công việc chính'!$I$14:$I$73,0)),""),4,IFERROR(INDEX('Lớp 4 - Danh mục'!$AU$14:$AU$132,MATCH($X492,'Lớp 4 - Danh mục'!$I$14:$I$132,0)),""),5,IFERROR(INDEX('Lớp 5 - Phân công'!$AV$14:$AV$262,MATCH($X492,'Lớp 5 - Phân công'!$I$14:$I$262,0)),""),6,IFERROR(INDEX('Lớp 6 - Chi tiết'!$AY$14:$AY$267,MATCH($X492,'Lớp 6 - Chi tiết'!$I$14:$I$267,0)),""),""))</f>
        <v/>
      </c>
    </row>
    <row r="493" ht="15.75" customHeight="1">
      <c r="A493" s="294" t="str">
        <f t="shared" si="12"/>
        <v/>
      </c>
      <c r="B493" s="301" t="str">
        <f t="shared" si="13"/>
        <v/>
      </c>
      <c r="C493" s="301" t="str">
        <f t="shared" si="14"/>
        <v/>
      </c>
      <c r="D493" s="301" t="str">
        <f t="shared" si="15"/>
        <v/>
      </c>
      <c r="E493" s="301" t="str">
        <f t="shared" si="16"/>
        <v/>
      </c>
      <c r="F493" s="317" t="str">
        <f t="shared" si="17"/>
        <v/>
      </c>
      <c r="G493" s="323" t="str">
        <f t="shared" si="18"/>
        <v/>
      </c>
      <c r="H493" s="327" t="str">
        <f t="shared" si="19"/>
        <v/>
      </c>
      <c r="I493" s="327" t="str">
        <f t="shared" si="20"/>
        <v/>
      </c>
      <c r="J493" s="301" t="str">
        <f t="shared" si="21"/>
        <v/>
      </c>
      <c r="K493" s="301" t="str">
        <f t="shared" si="22"/>
        <v/>
      </c>
      <c r="L493" s="344" t="str">
        <f t="array" ref="L493">IF($T493="","",LET(m,MATCH($T493,$AS$24:$AS$700,0),lvl,INDEX($W$24:$W$700,m),id,INDEX($X$24:$X$700,m),SWITCH(lvl,3,"Lớp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3" s="351" t="str">
        <f t="shared" si="23"/>
        <v/>
      </c>
      <c r="N493" s="356" t="str">
        <f t="shared" si="24"/>
        <v/>
      </c>
      <c r="O493" s="358"/>
      <c r="P493" s="360"/>
      <c r="Q493" s="360"/>
      <c r="R493" s="67"/>
      <c r="S493" s="67"/>
      <c r="T493" s="67"/>
      <c r="U493" s="389" t="str">
        <f>IF('Lớp 6 - Chi tiết'!I55="","",'Lớp 6 - Chi tiết'!L55&amp;"|"&amp;'Lớp 6 - Chi tiết'!K55&amp;"|"&amp;'Lớp 6 - Chi tiết'!J55&amp;"|"&amp;'Lớp 6 - Chi tiết'!I55)</f>
        <v/>
      </c>
      <c r="V493" s="389" t="str">
        <f>IF('Lớp 6 - Chi tiết'!I55="","","           └─ "&amp;'Lớp 6 - Chi tiết'!S55)</f>
        <v/>
      </c>
      <c r="W493" s="389" t="str">
        <f>IF('Lớp 6 - Chi tiết'!I55="","",6)</f>
        <v/>
      </c>
      <c r="X493" s="67" t="str">
        <f>'Lớp 6 - Chi tiết'!I55</f>
        <v/>
      </c>
      <c r="Y493" s="389" t="str">
        <f>'Lớp 6 - Chi tiết'!J55</f>
        <v/>
      </c>
      <c r="Z493" s="67" t="str">
        <f>'Lớp 6 - Chi tiết'!AC55</f>
        <v/>
      </c>
      <c r="AA493" s="67" t="str">
        <f>'Lớp 6 - Chi tiết'!AB55</f>
        <v/>
      </c>
      <c r="AB493" s="67" t="str">
        <f>'Lớp 6 - Chi tiết'!AF55</f>
        <v/>
      </c>
      <c r="AC493" s="67" t="str">
        <f>'Lớp 6 - Chi tiết'!AE55</f>
        <v/>
      </c>
      <c r="AD493" s="398" t="str">
        <f>'Lớp 6 - Chi tiết'!AJ55</f>
        <v/>
      </c>
      <c r="AE493" s="358" t="str">
        <f>'Lớp 6 - Chi tiết'!AH55</f>
        <v/>
      </c>
      <c r="AF493" s="187" t="str">
        <f>'Lớp 6 - Chi tiết'!AK55</f>
        <v/>
      </c>
      <c r="AG493" s="104" t="str">
        <f>'Lớp 6 - Chi tiết'!AL55</f>
        <v/>
      </c>
      <c r="AH493" s="389" t="str">
        <f t="shared" si="27"/>
        <v/>
      </c>
      <c r="AI493" s="389" t="str">
        <f t="shared" si="37"/>
        <v>🔵 Chưa có hạn</v>
      </c>
      <c r="AJ493" s="67" t="str">
        <f>'Lớp 6 - Chi tiết'!AO55</f>
        <v/>
      </c>
      <c r="AS493" s="389" t="str">
        <f t="shared" si="467"/>
        <v/>
      </c>
      <c r="AT493" s="389" t="str">
        <f t="shared" si="32"/>
        <v/>
      </c>
      <c r="AU493" s="389" t="str">
        <f t="shared" si="33"/>
        <v/>
      </c>
      <c r="AV493" s="389" t="str">
        <f t="shared" si="34"/>
        <v/>
      </c>
      <c r="AW493" s="389" t="str">
        <f t="shared" si="35"/>
        <v/>
      </c>
      <c r="AX493" s="67" t="str">
        <f t="shared" ref="AX493:BH493" si="508">Z493</f>
        <v/>
      </c>
      <c r="AY493" s="67" t="str">
        <f t="shared" si="508"/>
        <v/>
      </c>
      <c r="AZ493" s="67" t="str">
        <f t="shared" si="508"/>
        <v/>
      </c>
      <c r="BA493" s="67" t="str">
        <f t="shared" si="508"/>
        <v/>
      </c>
      <c r="BB493" s="398" t="str">
        <f t="shared" si="508"/>
        <v/>
      </c>
      <c r="BC493" s="358" t="str">
        <f t="shared" si="508"/>
        <v/>
      </c>
      <c r="BD493" s="187" t="str">
        <f t="shared" si="508"/>
        <v/>
      </c>
      <c r="BE493" s="104" t="str">
        <f t="shared" si="508"/>
        <v/>
      </c>
      <c r="BF493" s="389" t="str">
        <f t="shared" si="508"/>
        <v/>
      </c>
      <c r="BG493" s="389" t="str">
        <f t="shared" si="508"/>
        <v>🔵 Chưa có hạn</v>
      </c>
      <c r="BH493" s="67" t="str">
        <f t="shared" si="508"/>
        <v/>
      </c>
      <c r="BI493" s="389" t="str">
        <f t="array" ref="BI493">IF($X493="","",SWITCH($W493,3,IFERROR(INDEX('Lớp 3 - Công việc chính'!$AF$14:$AF$73,MATCH($X493,'Lớp 3 - Công việc chính'!$I$14:$I$73,0)),""),4,IFERROR(INDEX('Lớp 4 - Danh mục'!$AI$14:$AI$132,MATCH($X493,'Lớp 4 - Danh mục'!$I$14:$I$132,0)),""),5,IFERROR(INDEX('Lớp 5 - Phân công'!$AJ$14:$AJ$262,MATCH($X493,'Lớp 5 - Phân công'!$I$14:$I$262,0)),""),6,IFERROR(INDEX('Lớp 6 - Chi tiết'!$AM$14:$AM$267,MATCH($X493,'Lớp 6 - Chi tiết'!$I$14:$I$267,0)),""),""))</f>
        <v/>
      </c>
      <c r="BJ493" s="389" t="str">
        <f t="array" ref="BJ493">IF($X493="","",SWITCH($W493,3,IFERROR(INDEX('Lớp 3 - Công việc chính'!$AR$14:$AR$73,MATCH($X493,'Lớp 3 - Công việc chính'!$I$14:$I$73,0)),""),4,IFERROR(INDEX('Lớp 4 - Danh mục'!$AU$14:$AU$132,MATCH($X493,'Lớp 4 - Danh mục'!$I$14:$I$132,0)),""),5,IFERROR(INDEX('Lớp 5 - Phân công'!$AV$14:$AV$262,MATCH($X493,'Lớp 5 - Phân công'!$I$14:$I$262,0)),""),6,IFERROR(INDEX('Lớp 6 - Chi tiết'!$AY$14:$AY$267,MATCH($X493,'Lớp 6 - Chi tiết'!$I$14:$I$267,0)),""),""))</f>
        <v/>
      </c>
    </row>
    <row r="494" ht="15.75" customHeight="1">
      <c r="A494" s="294" t="str">
        <f t="shared" si="12"/>
        <v/>
      </c>
      <c r="B494" s="301" t="str">
        <f t="shared" si="13"/>
        <v/>
      </c>
      <c r="C494" s="301" t="str">
        <f t="shared" si="14"/>
        <v/>
      </c>
      <c r="D494" s="301" t="str">
        <f t="shared" si="15"/>
        <v/>
      </c>
      <c r="E494" s="301" t="str">
        <f t="shared" si="16"/>
        <v/>
      </c>
      <c r="F494" s="317" t="str">
        <f t="shared" si="17"/>
        <v/>
      </c>
      <c r="G494" s="323" t="str">
        <f t="shared" si="18"/>
        <v/>
      </c>
      <c r="H494" s="327" t="str">
        <f t="shared" si="19"/>
        <v/>
      </c>
      <c r="I494" s="327" t="str">
        <f t="shared" si="20"/>
        <v/>
      </c>
      <c r="J494" s="301" t="str">
        <f t="shared" si="21"/>
        <v/>
      </c>
      <c r="K494" s="301" t="str">
        <f t="shared" si="22"/>
        <v/>
      </c>
      <c r="L494" s="344" t="str">
        <f t="array" ref="L494">IF($T494="","",LET(m,MATCH($T494,$AS$24:$AS$700,0),lvl,INDEX($W$24:$W$700,m),id,INDEX($X$24:$X$700,m),SWITCH(lvl,3,"Lớp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4" s="351" t="str">
        <f t="shared" si="23"/>
        <v/>
      </c>
      <c r="N494" s="356" t="str">
        <f t="shared" si="24"/>
        <v/>
      </c>
      <c r="O494" s="358"/>
      <c r="P494" s="360"/>
      <c r="Q494" s="360"/>
      <c r="R494" s="67"/>
      <c r="S494" s="67"/>
      <c r="T494" s="67"/>
      <c r="U494" s="389" t="str">
        <f>IF('Lớp 6 - Chi tiết'!I56="","",'Lớp 6 - Chi tiết'!L56&amp;"|"&amp;'Lớp 6 - Chi tiết'!K56&amp;"|"&amp;'Lớp 6 - Chi tiết'!J56&amp;"|"&amp;'Lớp 6 - Chi tiết'!I56)</f>
        <v/>
      </c>
      <c r="V494" s="389" t="str">
        <f>IF('Lớp 6 - Chi tiết'!I56="","","           └─ "&amp;'Lớp 6 - Chi tiết'!S56)</f>
        <v/>
      </c>
      <c r="W494" s="389" t="str">
        <f>IF('Lớp 6 - Chi tiết'!I56="","",6)</f>
        <v/>
      </c>
      <c r="X494" s="67" t="str">
        <f>'Lớp 6 - Chi tiết'!I56</f>
        <v/>
      </c>
      <c r="Y494" s="389" t="str">
        <f>'Lớp 6 - Chi tiết'!J56</f>
        <v/>
      </c>
      <c r="Z494" s="67" t="str">
        <f>'Lớp 6 - Chi tiết'!AC56</f>
        <v/>
      </c>
      <c r="AA494" s="67" t="str">
        <f>'Lớp 6 - Chi tiết'!AB56</f>
        <v/>
      </c>
      <c r="AB494" s="67" t="str">
        <f>'Lớp 6 - Chi tiết'!AF56</f>
        <v/>
      </c>
      <c r="AC494" s="67" t="str">
        <f>'Lớp 6 - Chi tiết'!AE56</f>
        <v/>
      </c>
      <c r="AD494" s="398" t="str">
        <f>'Lớp 6 - Chi tiết'!AJ56</f>
        <v/>
      </c>
      <c r="AE494" s="358" t="str">
        <f>'Lớp 6 - Chi tiết'!AH56</f>
        <v/>
      </c>
      <c r="AF494" s="187" t="str">
        <f>'Lớp 6 - Chi tiết'!AK56</f>
        <v/>
      </c>
      <c r="AG494" s="104" t="str">
        <f>'Lớp 6 - Chi tiết'!AL56</f>
        <v/>
      </c>
      <c r="AH494" s="389" t="str">
        <f t="shared" si="27"/>
        <v/>
      </c>
      <c r="AI494" s="389" t="str">
        <f t="shared" si="37"/>
        <v>🔵 Chưa có hạn</v>
      </c>
      <c r="AJ494" s="67" t="str">
        <f>'Lớp 6 - Chi tiết'!AO56</f>
        <v/>
      </c>
      <c r="AS494" s="389" t="str">
        <f t="shared" si="467"/>
        <v/>
      </c>
      <c r="AT494" s="389" t="str">
        <f t="shared" si="32"/>
        <v/>
      </c>
      <c r="AU494" s="389" t="str">
        <f t="shared" si="33"/>
        <v/>
      </c>
      <c r="AV494" s="389" t="str">
        <f t="shared" si="34"/>
        <v/>
      </c>
      <c r="AW494" s="389" t="str">
        <f t="shared" si="35"/>
        <v/>
      </c>
      <c r="AX494" s="67" t="str">
        <f t="shared" ref="AX494:BH494" si="509">Z494</f>
        <v/>
      </c>
      <c r="AY494" s="67" t="str">
        <f t="shared" si="509"/>
        <v/>
      </c>
      <c r="AZ494" s="67" t="str">
        <f t="shared" si="509"/>
        <v/>
      </c>
      <c r="BA494" s="67" t="str">
        <f t="shared" si="509"/>
        <v/>
      </c>
      <c r="BB494" s="398" t="str">
        <f t="shared" si="509"/>
        <v/>
      </c>
      <c r="BC494" s="358" t="str">
        <f t="shared" si="509"/>
        <v/>
      </c>
      <c r="BD494" s="187" t="str">
        <f t="shared" si="509"/>
        <v/>
      </c>
      <c r="BE494" s="104" t="str">
        <f t="shared" si="509"/>
        <v/>
      </c>
      <c r="BF494" s="389" t="str">
        <f t="shared" si="509"/>
        <v/>
      </c>
      <c r="BG494" s="389" t="str">
        <f t="shared" si="509"/>
        <v>🔵 Chưa có hạn</v>
      </c>
      <c r="BH494" s="67" t="str">
        <f t="shared" si="509"/>
        <v/>
      </c>
      <c r="BI494" s="389" t="str">
        <f t="array" ref="BI494">IF($X494="","",SWITCH($W494,3,IFERROR(INDEX('Lớp 3 - Công việc chính'!$AF$14:$AF$73,MATCH($X494,'Lớp 3 - Công việc chính'!$I$14:$I$73,0)),""),4,IFERROR(INDEX('Lớp 4 - Danh mục'!$AI$14:$AI$132,MATCH($X494,'Lớp 4 - Danh mục'!$I$14:$I$132,0)),""),5,IFERROR(INDEX('Lớp 5 - Phân công'!$AJ$14:$AJ$262,MATCH($X494,'Lớp 5 - Phân công'!$I$14:$I$262,0)),""),6,IFERROR(INDEX('Lớp 6 - Chi tiết'!$AM$14:$AM$267,MATCH($X494,'Lớp 6 - Chi tiết'!$I$14:$I$267,0)),""),""))</f>
        <v/>
      </c>
      <c r="BJ494" s="389" t="str">
        <f t="array" ref="BJ494">IF($X494="","",SWITCH($W494,3,IFERROR(INDEX('Lớp 3 - Công việc chính'!$AR$14:$AR$73,MATCH($X494,'Lớp 3 - Công việc chính'!$I$14:$I$73,0)),""),4,IFERROR(INDEX('Lớp 4 - Danh mục'!$AU$14:$AU$132,MATCH($X494,'Lớp 4 - Danh mục'!$I$14:$I$132,0)),""),5,IFERROR(INDEX('Lớp 5 - Phân công'!$AV$14:$AV$262,MATCH($X494,'Lớp 5 - Phân công'!$I$14:$I$262,0)),""),6,IFERROR(INDEX('Lớp 6 - Chi tiết'!$AY$14:$AY$267,MATCH($X494,'Lớp 6 - Chi tiết'!$I$14:$I$267,0)),""),""))</f>
        <v/>
      </c>
    </row>
    <row r="495" ht="15.75" customHeight="1">
      <c r="A495" s="294" t="str">
        <f t="shared" si="12"/>
        <v/>
      </c>
      <c r="B495" s="301" t="str">
        <f t="shared" si="13"/>
        <v/>
      </c>
      <c r="C495" s="301" t="str">
        <f t="shared" si="14"/>
        <v/>
      </c>
      <c r="D495" s="301" t="str">
        <f t="shared" si="15"/>
        <v/>
      </c>
      <c r="E495" s="301" t="str">
        <f t="shared" si="16"/>
        <v/>
      </c>
      <c r="F495" s="317" t="str">
        <f t="shared" si="17"/>
        <v/>
      </c>
      <c r="G495" s="323" t="str">
        <f t="shared" si="18"/>
        <v/>
      </c>
      <c r="H495" s="327" t="str">
        <f t="shared" si="19"/>
        <v/>
      </c>
      <c r="I495" s="327" t="str">
        <f t="shared" si="20"/>
        <v/>
      </c>
      <c r="J495" s="301" t="str">
        <f t="shared" si="21"/>
        <v/>
      </c>
      <c r="K495" s="301" t="str">
        <f t="shared" si="22"/>
        <v/>
      </c>
      <c r="L495" s="344" t="str">
        <f t="array" ref="L495">IF($T495="","",LET(m,MATCH($T495,$AS$24:$AS$700,0),lvl,INDEX($W$24:$W$700,m),id,INDEX($X$24:$X$700,m),SWITCH(lvl,3,"Lớp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5" s="351" t="str">
        <f t="shared" si="23"/>
        <v/>
      </c>
      <c r="N495" s="356" t="str">
        <f t="shared" si="24"/>
        <v/>
      </c>
      <c r="O495" s="358"/>
      <c r="P495" s="360"/>
      <c r="Q495" s="360"/>
      <c r="R495" s="67"/>
      <c r="S495" s="67"/>
      <c r="T495" s="67"/>
      <c r="U495" s="389" t="str">
        <f>IF('Lớp 6 - Chi tiết'!I57="","",'Lớp 6 - Chi tiết'!L57&amp;"|"&amp;'Lớp 6 - Chi tiết'!K57&amp;"|"&amp;'Lớp 6 - Chi tiết'!J57&amp;"|"&amp;'Lớp 6 - Chi tiết'!I57)</f>
        <v/>
      </c>
      <c r="V495" s="389" t="str">
        <f>IF('Lớp 6 - Chi tiết'!I57="","","           └─ "&amp;'Lớp 6 - Chi tiết'!S57)</f>
        <v/>
      </c>
      <c r="W495" s="389" t="str">
        <f>IF('Lớp 6 - Chi tiết'!I57="","",6)</f>
        <v/>
      </c>
      <c r="X495" s="67" t="str">
        <f>'Lớp 6 - Chi tiết'!I57</f>
        <v/>
      </c>
      <c r="Y495" s="389" t="str">
        <f>'Lớp 6 - Chi tiết'!J57</f>
        <v/>
      </c>
      <c r="Z495" s="67" t="str">
        <f>'Lớp 6 - Chi tiết'!AC57</f>
        <v/>
      </c>
      <c r="AA495" s="67" t="str">
        <f>'Lớp 6 - Chi tiết'!AB57</f>
        <v/>
      </c>
      <c r="AB495" s="67" t="str">
        <f>'Lớp 6 - Chi tiết'!AF57</f>
        <v/>
      </c>
      <c r="AC495" s="67" t="str">
        <f>'Lớp 6 - Chi tiết'!AE57</f>
        <v/>
      </c>
      <c r="AD495" s="398" t="str">
        <f>'Lớp 6 - Chi tiết'!AJ57</f>
        <v/>
      </c>
      <c r="AE495" s="358" t="str">
        <f>'Lớp 6 - Chi tiết'!AH57</f>
        <v/>
      </c>
      <c r="AF495" s="187" t="str">
        <f>'Lớp 6 - Chi tiết'!AK57</f>
        <v/>
      </c>
      <c r="AG495" s="104" t="str">
        <f>'Lớp 6 - Chi tiết'!AL57</f>
        <v/>
      </c>
      <c r="AH495" s="389" t="str">
        <f t="shared" si="27"/>
        <v/>
      </c>
      <c r="AI495" s="389" t="str">
        <f t="shared" si="37"/>
        <v>🔵 Chưa có hạn</v>
      </c>
      <c r="AJ495" s="67" t="str">
        <f>'Lớp 6 - Chi tiết'!AO57</f>
        <v/>
      </c>
      <c r="AS495" s="389" t="str">
        <f t="shared" si="467"/>
        <v/>
      </c>
      <c r="AT495" s="389" t="str">
        <f t="shared" si="32"/>
        <v/>
      </c>
      <c r="AU495" s="389" t="str">
        <f t="shared" si="33"/>
        <v/>
      </c>
      <c r="AV495" s="389" t="str">
        <f t="shared" si="34"/>
        <v/>
      </c>
      <c r="AW495" s="389" t="str">
        <f t="shared" si="35"/>
        <v/>
      </c>
      <c r="AX495" s="67" t="str">
        <f t="shared" ref="AX495:BH495" si="510">Z495</f>
        <v/>
      </c>
      <c r="AY495" s="67" t="str">
        <f t="shared" si="510"/>
        <v/>
      </c>
      <c r="AZ495" s="67" t="str">
        <f t="shared" si="510"/>
        <v/>
      </c>
      <c r="BA495" s="67" t="str">
        <f t="shared" si="510"/>
        <v/>
      </c>
      <c r="BB495" s="398" t="str">
        <f t="shared" si="510"/>
        <v/>
      </c>
      <c r="BC495" s="358" t="str">
        <f t="shared" si="510"/>
        <v/>
      </c>
      <c r="BD495" s="187" t="str">
        <f t="shared" si="510"/>
        <v/>
      </c>
      <c r="BE495" s="104" t="str">
        <f t="shared" si="510"/>
        <v/>
      </c>
      <c r="BF495" s="389" t="str">
        <f t="shared" si="510"/>
        <v/>
      </c>
      <c r="BG495" s="389" t="str">
        <f t="shared" si="510"/>
        <v>🔵 Chưa có hạn</v>
      </c>
      <c r="BH495" s="67" t="str">
        <f t="shared" si="510"/>
        <v/>
      </c>
      <c r="BI495" s="389" t="str">
        <f t="array" ref="BI495">IF($X495="","",SWITCH($W495,3,IFERROR(INDEX('Lớp 3 - Công việc chính'!$AF$14:$AF$73,MATCH($X495,'Lớp 3 - Công việc chính'!$I$14:$I$73,0)),""),4,IFERROR(INDEX('Lớp 4 - Danh mục'!$AI$14:$AI$132,MATCH($X495,'Lớp 4 - Danh mục'!$I$14:$I$132,0)),""),5,IFERROR(INDEX('Lớp 5 - Phân công'!$AJ$14:$AJ$262,MATCH($X495,'Lớp 5 - Phân công'!$I$14:$I$262,0)),""),6,IFERROR(INDEX('Lớp 6 - Chi tiết'!$AM$14:$AM$267,MATCH($X495,'Lớp 6 - Chi tiết'!$I$14:$I$267,0)),""),""))</f>
        <v/>
      </c>
      <c r="BJ495" s="389" t="str">
        <f t="array" ref="BJ495">IF($X495="","",SWITCH($W495,3,IFERROR(INDEX('Lớp 3 - Công việc chính'!$AR$14:$AR$73,MATCH($X495,'Lớp 3 - Công việc chính'!$I$14:$I$73,0)),""),4,IFERROR(INDEX('Lớp 4 - Danh mục'!$AU$14:$AU$132,MATCH($X495,'Lớp 4 - Danh mục'!$I$14:$I$132,0)),""),5,IFERROR(INDEX('Lớp 5 - Phân công'!$AV$14:$AV$262,MATCH($X495,'Lớp 5 - Phân công'!$I$14:$I$262,0)),""),6,IFERROR(INDEX('Lớp 6 - Chi tiết'!$AY$14:$AY$267,MATCH($X495,'Lớp 6 - Chi tiết'!$I$14:$I$267,0)),""),""))</f>
        <v/>
      </c>
    </row>
    <row r="496" ht="15.75" customHeight="1">
      <c r="A496" s="294" t="str">
        <f t="shared" si="12"/>
        <v/>
      </c>
      <c r="B496" s="301" t="str">
        <f t="shared" si="13"/>
        <v/>
      </c>
      <c r="C496" s="301" t="str">
        <f t="shared" si="14"/>
        <v/>
      </c>
      <c r="D496" s="301" t="str">
        <f t="shared" si="15"/>
        <v/>
      </c>
      <c r="E496" s="301" t="str">
        <f t="shared" si="16"/>
        <v/>
      </c>
      <c r="F496" s="317" t="str">
        <f t="shared" si="17"/>
        <v/>
      </c>
      <c r="G496" s="323" t="str">
        <f t="shared" si="18"/>
        <v/>
      </c>
      <c r="H496" s="327" t="str">
        <f t="shared" si="19"/>
        <v/>
      </c>
      <c r="I496" s="327" t="str">
        <f t="shared" si="20"/>
        <v/>
      </c>
      <c r="J496" s="301" t="str">
        <f t="shared" si="21"/>
        <v/>
      </c>
      <c r="K496" s="301" t="str">
        <f t="shared" si="22"/>
        <v/>
      </c>
      <c r="L496" s="344" t="str">
        <f t="array" ref="L496">IF($T496="","",LET(m,MATCH($T496,$AS$24:$AS$700,0),lvl,INDEX($W$24:$W$700,m),id,INDEX($X$24:$X$700,m),SWITCH(lvl,3,"Lớp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6" s="351" t="str">
        <f t="shared" si="23"/>
        <v/>
      </c>
      <c r="N496" s="356" t="str">
        <f t="shared" si="24"/>
        <v/>
      </c>
      <c r="O496" s="358"/>
      <c r="P496" s="360"/>
      <c r="Q496" s="360"/>
      <c r="R496" s="67"/>
      <c r="S496" s="67"/>
      <c r="T496" s="67"/>
      <c r="U496" s="389" t="str">
        <f>IF('Lớp 6 - Chi tiết'!I58="","",'Lớp 6 - Chi tiết'!L58&amp;"|"&amp;'Lớp 6 - Chi tiết'!K58&amp;"|"&amp;'Lớp 6 - Chi tiết'!J58&amp;"|"&amp;'Lớp 6 - Chi tiết'!I58)</f>
        <v/>
      </c>
      <c r="V496" s="389" t="str">
        <f>IF('Lớp 6 - Chi tiết'!I58="","","           └─ "&amp;'Lớp 6 - Chi tiết'!S58)</f>
        <v/>
      </c>
      <c r="W496" s="389" t="str">
        <f>IF('Lớp 6 - Chi tiết'!I58="","",6)</f>
        <v/>
      </c>
      <c r="X496" s="67" t="str">
        <f>'Lớp 6 - Chi tiết'!I58</f>
        <v/>
      </c>
      <c r="Y496" s="389" t="str">
        <f>'Lớp 6 - Chi tiết'!J58</f>
        <v/>
      </c>
      <c r="Z496" s="67" t="str">
        <f>'Lớp 6 - Chi tiết'!AC58</f>
        <v/>
      </c>
      <c r="AA496" s="67" t="str">
        <f>'Lớp 6 - Chi tiết'!AB58</f>
        <v/>
      </c>
      <c r="AB496" s="67" t="str">
        <f>'Lớp 6 - Chi tiết'!AF58</f>
        <v/>
      </c>
      <c r="AC496" s="67" t="str">
        <f>'Lớp 6 - Chi tiết'!AE58</f>
        <v/>
      </c>
      <c r="AD496" s="398" t="str">
        <f>'Lớp 6 - Chi tiết'!AJ58</f>
        <v/>
      </c>
      <c r="AE496" s="358" t="str">
        <f>'Lớp 6 - Chi tiết'!AH58</f>
        <v/>
      </c>
      <c r="AF496" s="187" t="str">
        <f>'Lớp 6 - Chi tiết'!AK58</f>
        <v/>
      </c>
      <c r="AG496" s="104" t="str">
        <f>'Lớp 6 - Chi tiết'!AL58</f>
        <v/>
      </c>
      <c r="AH496" s="389" t="str">
        <f t="shared" si="27"/>
        <v/>
      </c>
      <c r="AI496" s="389" t="str">
        <f t="shared" si="37"/>
        <v>🔵 Chưa có hạn</v>
      </c>
      <c r="AJ496" s="67" t="str">
        <f>'Lớp 6 - Chi tiết'!AO58</f>
        <v/>
      </c>
      <c r="AS496" s="389" t="str">
        <f t="shared" si="467"/>
        <v/>
      </c>
      <c r="AT496" s="389" t="str">
        <f t="shared" si="32"/>
        <v/>
      </c>
      <c r="AU496" s="389" t="str">
        <f t="shared" si="33"/>
        <v/>
      </c>
      <c r="AV496" s="389" t="str">
        <f t="shared" si="34"/>
        <v/>
      </c>
      <c r="AW496" s="389" t="str">
        <f t="shared" si="35"/>
        <v/>
      </c>
      <c r="AX496" s="67" t="str">
        <f t="shared" ref="AX496:BH496" si="511">Z496</f>
        <v/>
      </c>
      <c r="AY496" s="67" t="str">
        <f t="shared" si="511"/>
        <v/>
      </c>
      <c r="AZ496" s="67" t="str">
        <f t="shared" si="511"/>
        <v/>
      </c>
      <c r="BA496" s="67" t="str">
        <f t="shared" si="511"/>
        <v/>
      </c>
      <c r="BB496" s="398" t="str">
        <f t="shared" si="511"/>
        <v/>
      </c>
      <c r="BC496" s="358" t="str">
        <f t="shared" si="511"/>
        <v/>
      </c>
      <c r="BD496" s="187" t="str">
        <f t="shared" si="511"/>
        <v/>
      </c>
      <c r="BE496" s="104" t="str">
        <f t="shared" si="511"/>
        <v/>
      </c>
      <c r="BF496" s="389" t="str">
        <f t="shared" si="511"/>
        <v/>
      </c>
      <c r="BG496" s="389" t="str">
        <f t="shared" si="511"/>
        <v>🔵 Chưa có hạn</v>
      </c>
      <c r="BH496" s="67" t="str">
        <f t="shared" si="511"/>
        <v/>
      </c>
      <c r="BI496" s="389" t="str">
        <f t="array" ref="BI496">IF($X496="","",SWITCH($W496,3,IFERROR(INDEX('Lớp 3 - Công việc chính'!$AF$14:$AF$73,MATCH($X496,'Lớp 3 - Công việc chính'!$I$14:$I$73,0)),""),4,IFERROR(INDEX('Lớp 4 - Danh mục'!$AI$14:$AI$132,MATCH($X496,'Lớp 4 - Danh mục'!$I$14:$I$132,0)),""),5,IFERROR(INDEX('Lớp 5 - Phân công'!$AJ$14:$AJ$262,MATCH($X496,'Lớp 5 - Phân công'!$I$14:$I$262,0)),""),6,IFERROR(INDEX('Lớp 6 - Chi tiết'!$AM$14:$AM$267,MATCH($X496,'Lớp 6 - Chi tiết'!$I$14:$I$267,0)),""),""))</f>
        <v/>
      </c>
      <c r="BJ496" s="389" t="str">
        <f t="array" ref="BJ496">IF($X496="","",SWITCH($W496,3,IFERROR(INDEX('Lớp 3 - Công việc chính'!$AR$14:$AR$73,MATCH($X496,'Lớp 3 - Công việc chính'!$I$14:$I$73,0)),""),4,IFERROR(INDEX('Lớp 4 - Danh mục'!$AU$14:$AU$132,MATCH($X496,'Lớp 4 - Danh mục'!$I$14:$I$132,0)),""),5,IFERROR(INDEX('Lớp 5 - Phân công'!$AV$14:$AV$262,MATCH($X496,'Lớp 5 - Phân công'!$I$14:$I$262,0)),""),6,IFERROR(INDEX('Lớp 6 - Chi tiết'!$AY$14:$AY$267,MATCH($X496,'Lớp 6 - Chi tiết'!$I$14:$I$267,0)),""),""))</f>
        <v/>
      </c>
    </row>
    <row r="497" ht="15.75" customHeight="1">
      <c r="A497" s="294" t="str">
        <f t="shared" si="12"/>
        <v/>
      </c>
      <c r="B497" s="301" t="str">
        <f t="shared" si="13"/>
        <v/>
      </c>
      <c r="C497" s="301" t="str">
        <f t="shared" si="14"/>
        <v/>
      </c>
      <c r="D497" s="301" t="str">
        <f t="shared" si="15"/>
        <v/>
      </c>
      <c r="E497" s="301" t="str">
        <f t="shared" si="16"/>
        <v/>
      </c>
      <c r="F497" s="317" t="str">
        <f t="shared" si="17"/>
        <v/>
      </c>
      <c r="G497" s="323" t="str">
        <f t="shared" si="18"/>
        <v/>
      </c>
      <c r="H497" s="327" t="str">
        <f t="shared" si="19"/>
        <v/>
      </c>
      <c r="I497" s="327" t="str">
        <f t="shared" si="20"/>
        <v/>
      </c>
      <c r="J497" s="301" t="str">
        <f t="shared" si="21"/>
        <v/>
      </c>
      <c r="K497" s="301" t="str">
        <f t="shared" si="22"/>
        <v/>
      </c>
      <c r="L497" s="344" t="str">
        <f t="array" ref="L497">IF($T497="","",LET(m,MATCH($T497,$AS$24:$AS$700,0),lvl,INDEX($W$24:$W$700,m),id,INDEX($X$24:$X$700,m),SWITCH(lvl,3,"Lớp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7" s="351" t="str">
        <f t="shared" si="23"/>
        <v/>
      </c>
      <c r="N497" s="356" t="str">
        <f t="shared" si="24"/>
        <v/>
      </c>
      <c r="O497" s="358"/>
      <c r="P497" s="360"/>
      <c r="Q497" s="360"/>
      <c r="R497" s="67"/>
      <c r="S497" s="67"/>
      <c r="T497" s="67"/>
      <c r="U497" s="389" t="str">
        <f>IF('Lớp 6 - Chi tiết'!I59="","",'Lớp 6 - Chi tiết'!L59&amp;"|"&amp;'Lớp 6 - Chi tiết'!K59&amp;"|"&amp;'Lớp 6 - Chi tiết'!J59&amp;"|"&amp;'Lớp 6 - Chi tiết'!I59)</f>
        <v/>
      </c>
      <c r="V497" s="389" t="str">
        <f>IF('Lớp 6 - Chi tiết'!I59="","","           └─ "&amp;'Lớp 6 - Chi tiết'!S59)</f>
        <v/>
      </c>
      <c r="W497" s="389" t="str">
        <f>IF('Lớp 6 - Chi tiết'!I59="","",6)</f>
        <v/>
      </c>
      <c r="X497" s="67" t="str">
        <f>'Lớp 6 - Chi tiết'!I59</f>
        <v/>
      </c>
      <c r="Y497" s="389" t="str">
        <f>'Lớp 6 - Chi tiết'!J59</f>
        <v/>
      </c>
      <c r="Z497" s="67" t="str">
        <f>'Lớp 6 - Chi tiết'!AC59</f>
        <v/>
      </c>
      <c r="AA497" s="67" t="str">
        <f>'Lớp 6 - Chi tiết'!AB59</f>
        <v/>
      </c>
      <c r="AB497" s="67" t="str">
        <f>'Lớp 6 - Chi tiết'!AF59</f>
        <v/>
      </c>
      <c r="AC497" s="67" t="str">
        <f>'Lớp 6 - Chi tiết'!AE59</f>
        <v/>
      </c>
      <c r="AD497" s="398" t="str">
        <f>'Lớp 6 - Chi tiết'!AJ59</f>
        <v/>
      </c>
      <c r="AE497" s="358" t="str">
        <f>'Lớp 6 - Chi tiết'!AH59</f>
        <v/>
      </c>
      <c r="AF497" s="187" t="str">
        <f>'Lớp 6 - Chi tiết'!AK59</f>
        <v/>
      </c>
      <c r="AG497" s="104" t="str">
        <f>'Lớp 6 - Chi tiết'!AL59</f>
        <v/>
      </c>
      <c r="AH497" s="389" t="str">
        <f t="shared" si="27"/>
        <v/>
      </c>
      <c r="AI497" s="389" t="str">
        <f t="shared" si="37"/>
        <v>🔵 Chưa có hạn</v>
      </c>
      <c r="AJ497" s="67" t="str">
        <f>'Lớp 6 - Chi tiết'!AO59</f>
        <v/>
      </c>
      <c r="AS497" s="389" t="str">
        <f t="shared" si="467"/>
        <v/>
      </c>
      <c r="AT497" s="389" t="str">
        <f t="shared" si="32"/>
        <v/>
      </c>
      <c r="AU497" s="389" t="str">
        <f t="shared" si="33"/>
        <v/>
      </c>
      <c r="AV497" s="389" t="str">
        <f t="shared" si="34"/>
        <v/>
      </c>
      <c r="AW497" s="389" t="str">
        <f t="shared" si="35"/>
        <v/>
      </c>
      <c r="AX497" s="67" t="str">
        <f t="shared" ref="AX497:BH497" si="512">Z497</f>
        <v/>
      </c>
      <c r="AY497" s="67" t="str">
        <f t="shared" si="512"/>
        <v/>
      </c>
      <c r="AZ497" s="67" t="str">
        <f t="shared" si="512"/>
        <v/>
      </c>
      <c r="BA497" s="67" t="str">
        <f t="shared" si="512"/>
        <v/>
      </c>
      <c r="BB497" s="398" t="str">
        <f t="shared" si="512"/>
        <v/>
      </c>
      <c r="BC497" s="358" t="str">
        <f t="shared" si="512"/>
        <v/>
      </c>
      <c r="BD497" s="187" t="str">
        <f t="shared" si="512"/>
        <v/>
      </c>
      <c r="BE497" s="104" t="str">
        <f t="shared" si="512"/>
        <v/>
      </c>
      <c r="BF497" s="389" t="str">
        <f t="shared" si="512"/>
        <v/>
      </c>
      <c r="BG497" s="389" t="str">
        <f t="shared" si="512"/>
        <v>🔵 Chưa có hạn</v>
      </c>
      <c r="BH497" s="67" t="str">
        <f t="shared" si="512"/>
        <v/>
      </c>
      <c r="BI497" s="389" t="str">
        <f t="array" ref="BI497">IF($X497="","",SWITCH($W497,3,IFERROR(INDEX('Lớp 3 - Công việc chính'!$AF$14:$AF$73,MATCH($X497,'Lớp 3 - Công việc chính'!$I$14:$I$73,0)),""),4,IFERROR(INDEX('Lớp 4 - Danh mục'!$AI$14:$AI$132,MATCH($X497,'Lớp 4 - Danh mục'!$I$14:$I$132,0)),""),5,IFERROR(INDEX('Lớp 5 - Phân công'!$AJ$14:$AJ$262,MATCH($X497,'Lớp 5 - Phân công'!$I$14:$I$262,0)),""),6,IFERROR(INDEX('Lớp 6 - Chi tiết'!$AM$14:$AM$267,MATCH($X497,'Lớp 6 - Chi tiết'!$I$14:$I$267,0)),""),""))</f>
        <v/>
      </c>
      <c r="BJ497" s="389" t="str">
        <f t="array" ref="BJ497">IF($X497="","",SWITCH($W497,3,IFERROR(INDEX('Lớp 3 - Công việc chính'!$AR$14:$AR$73,MATCH($X497,'Lớp 3 - Công việc chính'!$I$14:$I$73,0)),""),4,IFERROR(INDEX('Lớp 4 - Danh mục'!$AU$14:$AU$132,MATCH($X497,'Lớp 4 - Danh mục'!$I$14:$I$132,0)),""),5,IFERROR(INDEX('Lớp 5 - Phân công'!$AV$14:$AV$262,MATCH($X497,'Lớp 5 - Phân công'!$I$14:$I$262,0)),""),6,IFERROR(INDEX('Lớp 6 - Chi tiết'!$AY$14:$AY$267,MATCH($X497,'Lớp 6 - Chi tiết'!$I$14:$I$267,0)),""),""))</f>
        <v/>
      </c>
    </row>
    <row r="498" ht="15.75" customHeight="1">
      <c r="A498" s="294" t="str">
        <f t="shared" si="12"/>
        <v/>
      </c>
      <c r="B498" s="301" t="str">
        <f t="shared" si="13"/>
        <v/>
      </c>
      <c r="C498" s="301" t="str">
        <f t="shared" si="14"/>
        <v/>
      </c>
      <c r="D498" s="301" t="str">
        <f t="shared" si="15"/>
        <v/>
      </c>
      <c r="E498" s="301" t="str">
        <f t="shared" si="16"/>
        <v/>
      </c>
      <c r="F498" s="317" t="str">
        <f t="shared" si="17"/>
        <v/>
      </c>
      <c r="G498" s="323" t="str">
        <f t="shared" si="18"/>
        <v/>
      </c>
      <c r="H498" s="327" t="str">
        <f t="shared" si="19"/>
        <v/>
      </c>
      <c r="I498" s="327" t="str">
        <f t="shared" si="20"/>
        <v/>
      </c>
      <c r="J498" s="301" t="str">
        <f t="shared" si="21"/>
        <v/>
      </c>
      <c r="K498" s="301" t="str">
        <f t="shared" si="22"/>
        <v/>
      </c>
      <c r="L498" s="344" t="str">
        <f t="array" ref="L498">IF($T498="","",LET(m,MATCH($T498,$AS$24:$AS$700,0),lvl,INDEX($W$24:$W$700,m),id,INDEX($X$24:$X$700,m),SWITCH(lvl,3,"Lớp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8" s="351" t="str">
        <f t="shared" si="23"/>
        <v/>
      </c>
      <c r="N498" s="356" t="str">
        <f t="shared" si="24"/>
        <v/>
      </c>
      <c r="O498" s="358"/>
      <c r="P498" s="360"/>
      <c r="Q498" s="360"/>
      <c r="R498" s="67"/>
      <c r="S498" s="67"/>
      <c r="T498" s="67"/>
      <c r="U498" s="389" t="str">
        <f>IF('Lớp 6 - Chi tiết'!I60="","",'Lớp 6 - Chi tiết'!L60&amp;"|"&amp;'Lớp 6 - Chi tiết'!K60&amp;"|"&amp;'Lớp 6 - Chi tiết'!J60&amp;"|"&amp;'Lớp 6 - Chi tiết'!I60)</f>
        <v/>
      </c>
      <c r="V498" s="389" t="str">
        <f>IF('Lớp 6 - Chi tiết'!I60="","","           └─ "&amp;'Lớp 6 - Chi tiết'!S60)</f>
        <v/>
      </c>
      <c r="W498" s="389" t="str">
        <f>IF('Lớp 6 - Chi tiết'!I60="","",6)</f>
        <v/>
      </c>
      <c r="X498" s="67" t="str">
        <f>'Lớp 6 - Chi tiết'!I60</f>
        <v/>
      </c>
      <c r="Y498" s="389" t="str">
        <f>'Lớp 6 - Chi tiết'!J60</f>
        <v/>
      </c>
      <c r="Z498" s="67" t="str">
        <f>'Lớp 6 - Chi tiết'!AC60</f>
        <v/>
      </c>
      <c r="AA498" s="67" t="str">
        <f>'Lớp 6 - Chi tiết'!AB60</f>
        <v/>
      </c>
      <c r="AB498" s="67" t="str">
        <f>'Lớp 6 - Chi tiết'!AF60</f>
        <v/>
      </c>
      <c r="AC498" s="67" t="str">
        <f>'Lớp 6 - Chi tiết'!AE60</f>
        <v/>
      </c>
      <c r="AD498" s="398" t="str">
        <f>'Lớp 6 - Chi tiết'!AJ60</f>
        <v/>
      </c>
      <c r="AE498" s="358" t="str">
        <f>'Lớp 6 - Chi tiết'!AH60</f>
        <v/>
      </c>
      <c r="AF498" s="187" t="str">
        <f>'Lớp 6 - Chi tiết'!AK60</f>
        <v/>
      </c>
      <c r="AG498" s="104" t="str">
        <f>'Lớp 6 - Chi tiết'!AL60</f>
        <v/>
      </c>
      <c r="AH498" s="389" t="str">
        <f t="shared" si="27"/>
        <v/>
      </c>
      <c r="AI498" s="389" t="str">
        <f t="shared" si="37"/>
        <v>🔵 Chưa có hạn</v>
      </c>
      <c r="AJ498" s="67" t="str">
        <f>'Lớp 6 - Chi tiết'!AO60</f>
        <v/>
      </c>
      <c r="AS498" s="389" t="str">
        <f t="shared" si="467"/>
        <v/>
      </c>
      <c r="AT498" s="389" t="str">
        <f t="shared" si="32"/>
        <v/>
      </c>
      <c r="AU498" s="389" t="str">
        <f t="shared" si="33"/>
        <v/>
      </c>
      <c r="AV498" s="389" t="str">
        <f t="shared" si="34"/>
        <v/>
      </c>
      <c r="AW498" s="389" t="str">
        <f t="shared" si="35"/>
        <v/>
      </c>
      <c r="AX498" s="67" t="str">
        <f t="shared" ref="AX498:BH498" si="513">Z498</f>
        <v/>
      </c>
      <c r="AY498" s="67" t="str">
        <f t="shared" si="513"/>
        <v/>
      </c>
      <c r="AZ498" s="67" t="str">
        <f t="shared" si="513"/>
        <v/>
      </c>
      <c r="BA498" s="67" t="str">
        <f t="shared" si="513"/>
        <v/>
      </c>
      <c r="BB498" s="398" t="str">
        <f t="shared" si="513"/>
        <v/>
      </c>
      <c r="BC498" s="358" t="str">
        <f t="shared" si="513"/>
        <v/>
      </c>
      <c r="BD498" s="187" t="str">
        <f t="shared" si="513"/>
        <v/>
      </c>
      <c r="BE498" s="104" t="str">
        <f t="shared" si="513"/>
        <v/>
      </c>
      <c r="BF498" s="389" t="str">
        <f t="shared" si="513"/>
        <v/>
      </c>
      <c r="BG498" s="389" t="str">
        <f t="shared" si="513"/>
        <v>🔵 Chưa có hạn</v>
      </c>
      <c r="BH498" s="67" t="str">
        <f t="shared" si="513"/>
        <v/>
      </c>
      <c r="BI498" s="389" t="str">
        <f t="array" ref="BI498">IF($X498="","",SWITCH($W498,3,IFERROR(INDEX('Lớp 3 - Công việc chính'!$AF$14:$AF$73,MATCH($X498,'Lớp 3 - Công việc chính'!$I$14:$I$73,0)),""),4,IFERROR(INDEX('Lớp 4 - Danh mục'!$AI$14:$AI$132,MATCH($X498,'Lớp 4 - Danh mục'!$I$14:$I$132,0)),""),5,IFERROR(INDEX('Lớp 5 - Phân công'!$AJ$14:$AJ$262,MATCH($X498,'Lớp 5 - Phân công'!$I$14:$I$262,0)),""),6,IFERROR(INDEX('Lớp 6 - Chi tiết'!$AM$14:$AM$267,MATCH($X498,'Lớp 6 - Chi tiết'!$I$14:$I$267,0)),""),""))</f>
        <v/>
      </c>
      <c r="BJ498" s="389" t="str">
        <f t="array" ref="BJ498">IF($X498="","",SWITCH($W498,3,IFERROR(INDEX('Lớp 3 - Công việc chính'!$AR$14:$AR$73,MATCH($X498,'Lớp 3 - Công việc chính'!$I$14:$I$73,0)),""),4,IFERROR(INDEX('Lớp 4 - Danh mục'!$AU$14:$AU$132,MATCH($X498,'Lớp 4 - Danh mục'!$I$14:$I$132,0)),""),5,IFERROR(INDEX('Lớp 5 - Phân công'!$AV$14:$AV$262,MATCH($X498,'Lớp 5 - Phân công'!$I$14:$I$262,0)),""),6,IFERROR(INDEX('Lớp 6 - Chi tiết'!$AY$14:$AY$267,MATCH($X498,'Lớp 6 - Chi tiết'!$I$14:$I$267,0)),""),""))</f>
        <v/>
      </c>
    </row>
    <row r="499" ht="15.75" customHeight="1">
      <c r="A499" s="294" t="str">
        <f t="shared" si="12"/>
        <v/>
      </c>
      <c r="B499" s="301" t="str">
        <f t="shared" si="13"/>
        <v/>
      </c>
      <c r="C499" s="301" t="str">
        <f t="shared" si="14"/>
        <v/>
      </c>
      <c r="D499" s="301" t="str">
        <f t="shared" si="15"/>
        <v/>
      </c>
      <c r="E499" s="301" t="str">
        <f t="shared" si="16"/>
        <v/>
      </c>
      <c r="F499" s="317" t="str">
        <f t="shared" si="17"/>
        <v/>
      </c>
      <c r="G499" s="323" t="str">
        <f t="shared" si="18"/>
        <v/>
      </c>
      <c r="H499" s="327" t="str">
        <f t="shared" si="19"/>
        <v/>
      </c>
      <c r="I499" s="327" t="str">
        <f t="shared" si="20"/>
        <v/>
      </c>
      <c r="J499" s="301" t="str">
        <f t="shared" si="21"/>
        <v/>
      </c>
      <c r="K499" s="301" t="str">
        <f t="shared" si="22"/>
        <v/>
      </c>
      <c r="L499" s="344" t="str">
        <f t="array" ref="L499">IF($T499="","",LET(m,MATCH($T499,$AS$24:$AS$700,0),lvl,INDEX($W$24:$W$700,m),id,INDEX($X$24:$X$700,m),SWITCH(lvl,3,"Lớp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499" s="351" t="str">
        <f t="shared" si="23"/>
        <v/>
      </c>
      <c r="N499" s="356" t="str">
        <f t="shared" si="24"/>
        <v/>
      </c>
      <c r="O499" s="358"/>
      <c r="P499" s="360"/>
      <c r="Q499" s="360"/>
      <c r="R499" s="67"/>
      <c r="S499" s="67"/>
      <c r="T499" s="67"/>
      <c r="U499" s="389" t="str">
        <f>IF('Lớp 6 - Chi tiết'!I61="","",'Lớp 6 - Chi tiết'!L61&amp;"|"&amp;'Lớp 6 - Chi tiết'!K61&amp;"|"&amp;'Lớp 6 - Chi tiết'!J61&amp;"|"&amp;'Lớp 6 - Chi tiết'!I61)</f>
        <v/>
      </c>
      <c r="V499" s="389" t="str">
        <f>IF('Lớp 6 - Chi tiết'!I61="","","           └─ "&amp;'Lớp 6 - Chi tiết'!S61)</f>
        <v/>
      </c>
      <c r="W499" s="389" t="str">
        <f>IF('Lớp 6 - Chi tiết'!I61="","",6)</f>
        <v/>
      </c>
      <c r="X499" s="67" t="str">
        <f>'Lớp 6 - Chi tiết'!I61</f>
        <v/>
      </c>
      <c r="Y499" s="389" t="str">
        <f>'Lớp 6 - Chi tiết'!J61</f>
        <v/>
      </c>
      <c r="Z499" s="67" t="str">
        <f>'Lớp 6 - Chi tiết'!AC61</f>
        <v/>
      </c>
      <c r="AA499" s="67" t="str">
        <f>'Lớp 6 - Chi tiết'!AB61</f>
        <v/>
      </c>
      <c r="AB499" s="67" t="str">
        <f>'Lớp 6 - Chi tiết'!AF61</f>
        <v/>
      </c>
      <c r="AC499" s="67" t="str">
        <f>'Lớp 6 - Chi tiết'!AE61</f>
        <v/>
      </c>
      <c r="AD499" s="398" t="str">
        <f>'Lớp 6 - Chi tiết'!AJ61</f>
        <v/>
      </c>
      <c r="AE499" s="358" t="str">
        <f>'Lớp 6 - Chi tiết'!AH61</f>
        <v/>
      </c>
      <c r="AF499" s="187" t="str">
        <f>'Lớp 6 - Chi tiết'!AK61</f>
        <v/>
      </c>
      <c r="AG499" s="104" t="str">
        <f>'Lớp 6 - Chi tiết'!AL61</f>
        <v/>
      </c>
      <c r="AH499" s="389" t="str">
        <f t="shared" si="27"/>
        <v/>
      </c>
      <c r="AI499" s="389" t="str">
        <f t="shared" si="37"/>
        <v>🔵 Chưa có hạn</v>
      </c>
      <c r="AJ499" s="67" t="str">
        <f>'Lớp 6 - Chi tiết'!AO61</f>
        <v/>
      </c>
      <c r="AS499" s="389" t="str">
        <f t="shared" si="467"/>
        <v/>
      </c>
      <c r="AT499" s="389" t="str">
        <f t="shared" si="32"/>
        <v/>
      </c>
      <c r="AU499" s="389" t="str">
        <f t="shared" si="33"/>
        <v/>
      </c>
      <c r="AV499" s="389" t="str">
        <f t="shared" si="34"/>
        <v/>
      </c>
      <c r="AW499" s="389" t="str">
        <f t="shared" si="35"/>
        <v/>
      </c>
      <c r="AX499" s="67" t="str">
        <f t="shared" ref="AX499:BH499" si="514">Z499</f>
        <v/>
      </c>
      <c r="AY499" s="67" t="str">
        <f t="shared" si="514"/>
        <v/>
      </c>
      <c r="AZ499" s="67" t="str">
        <f t="shared" si="514"/>
        <v/>
      </c>
      <c r="BA499" s="67" t="str">
        <f t="shared" si="514"/>
        <v/>
      </c>
      <c r="BB499" s="398" t="str">
        <f t="shared" si="514"/>
        <v/>
      </c>
      <c r="BC499" s="358" t="str">
        <f t="shared" si="514"/>
        <v/>
      </c>
      <c r="BD499" s="187" t="str">
        <f t="shared" si="514"/>
        <v/>
      </c>
      <c r="BE499" s="104" t="str">
        <f t="shared" si="514"/>
        <v/>
      </c>
      <c r="BF499" s="389" t="str">
        <f t="shared" si="514"/>
        <v/>
      </c>
      <c r="BG499" s="389" t="str">
        <f t="shared" si="514"/>
        <v>🔵 Chưa có hạn</v>
      </c>
      <c r="BH499" s="67" t="str">
        <f t="shared" si="514"/>
        <v/>
      </c>
      <c r="BI499" s="389" t="str">
        <f t="array" ref="BI499">IF($X499="","",SWITCH($W499,3,IFERROR(INDEX('Lớp 3 - Công việc chính'!$AF$14:$AF$73,MATCH($X499,'Lớp 3 - Công việc chính'!$I$14:$I$73,0)),""),4,IFERROR(INDEX('Lớp 4 - Danh mục'!$AI$14:$AI$132,MATCH($X499,'Lớp 4 - Danh mục'!$I$14:$I$132,0)),""),5,IFERROR(INDEX('Lớp 5 - Phân công'!$AJ$14:$AJ$262,MATCH($X499,'Lớp 5 - Phân công'!$I$14:$I$262,0)),""),6,IFERROR(INDEX('Lớp 6 - Chi tiết'!$AM$14:$AM$267,MATCH($X499,'Lớp 6 - Chi tiết'!$I$14:$I$267,0)),""),""))</f>
        <v/>
      </c>
      <c r="BJ499" s="389" t="str">
        <f t="array" ref="BJ499">IF($X499="","",SWITCH($W499,3,IFERROR(INDEX('Lớp 3 - Công việc chính'!$AR$14:$AR$73,MATCH($X499,'Lớp 3 - Công việc chính'!$I$14:$I$73,0)),""),4,IFERROR(INDEX('Lớp 4 - Danh mục'!$AU$14:$AU$132,MATCH($X499,'Lớp 4 - Danh mục'!$I$14:$I$132,0)),""),5,IFERROR(INDEX('Lớp 5 - Phân công'!$AV$14:$AV$262,MATCH($X499,'Lớp 5 - Phân công'!$I$14:$I$262,0)),""),6,IFERROR(INDEX('Lớp 6 - Chi tiết'!$AY$14:$AY$267,MATCH($X499,'Lớp 6 - Chi tiết'!$I$14:$I$267,0)),""),""))</f>
        <v/>
      </c>
    </row>
    <row r="500" ht="15.75" customHeight="1">
      <c r="A500" s="294" t="str">
        <f t="shared" si="12"/>
        <v/>
      </c>
      <c r="B500" s="301" t="str">
        <f t="shared" si="13"/>
        <v/>
      </c>
      <c r="C500" s="301" t="str">
        <f t="shared" si="14"/>
        <v/>
      </c>
      <c r="D500" s="301" t="str">
        <f t="shared" si="15"/>
        <v/>
      </c>
      <c r="E500" s="301" t="str">
        <f t="shared" si="16"/>
        <v/>
      </c>
      <c r="F500" s="317" t="str">
        <f t="shared" si="17"/>
        <v/>
      </c>
      <c r="G500" s="323" t="str">
        <f t="shared" si="18"/>
        <v/>
      </c>
      <c r="H500" s="327" t="str">
        <f t="shared" si="19"/>
        <v/>
      </c>
      <c r="I500" s="327" t="str">
        <f t="shared" si="20"/>
        <v/>
      </c>
      <c r="J500" s="301" t="str">
        <f t="shared" si="21"/>
        <v/>
      </c>
      <c r="K500" s="301" t="str">
        <f t="shared" si="22"/>
        <v/>
      </c>
      <c r="L500" s="344" t="str">
        <f t="array" ref="L500">IF($T500="","",LET(m,MATCH($T500,$AS$24:$AS$700,0),lvl,INDEX($W$24:$W$700,m),id,INDEX($X$24:$X$700,m),SWITCH(lvl,3,"Lớp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0" s="351" t="str">
        <f t="shared" si="23"/>
        <v/>
      </c>
      <c r="N500" s="356" t="str">
        <f t="shared" si="24"/>
        <v/>
      </c>
      <c r="O500" s="358"/>
      <c r="P500" s="360"/>
      <c r="Q500" s="360"/>
      <c r="R500" s="67"/>
      <c r="S500" s="67"/>
      <c r="T500" s="67"/>
      <c r="U500" s="389" t="str">
        <f>IF('Lớp 6 - Chi tiết'!I62="","",'Lớp 6 - Chi tiết'!L62&amp;"|"&amp;'Lớp 6 - Chi tiết'!K62&amp;"|"&amp;'Lớp 6 - Chi tiết'!J62&amp;"|"&amp;'Lớp 6 - Chi tiết'!I62)</f>
        <v/>
      </c>
      <c r="V500" s="389" t="str">
        <f>IF('Lớp 6 - Chi tiết'!I62="","","           └─ "&amp;'Lớp 6 - Chi tiết'!S62)</f>
        <v/>
      </c>
      <c r="W500" s="389" t="str">
        <f>IF('Lớp 6 - Chi tiết'!I62="","",6)</f>
        <v/>
      </c>
      <c r="X500" s="67" t="str">
        <f>'Lớp 6 - Chi tiết'!I62</f>
        <v/>
      </c>
      <c r="Y500" s="389" t="str">
        <f>'Lớp 6 - Chi tiết'!J62</f>
        <v/>
      </c>
      <c r="Z500" s="67" t="str">
        <f>'Lớp 6 - Chi tiết'!AC62</f>
        <v/>
      </c>
      <c r="AA500" s="67" t="str">
        <f>'Lớp 6 - Chi tiết'!AB62</f>
        <v/>
      </c>
      <c r="AB500" s="67" t="str">
        <f>'Lớp 6 - Chi tiết'!AF62</f>
        <v/>
      </c>
      <c r="AC500" s="67" t="str">
        <f>'Lớp 6 - Chi tiết'!AE62</f>
        <v/>
      </c>
      <c r="AD500" s="398" t="str">
        <f>'Lớp 6 - Chi tiết'!AJ62</f>
        <v/>
      </c>
      <c r="AE500" s="358" t="str">
        <f>'Lớp 6 - Chi tiết'!AH62</f>
        <v/>
      </c>
      <c r="AF500" s="187" t="str">
        <f>'Lớp 6 - Chi tiết'!AK62</f>
        <v/>
      </c>
      <c r="AG500" s="104" t="str">
        <f>'Lớp 6 - Chi tiết'!AL62</f>
        <v/>
      </c>
      <c r="AH500" s="389" t="str">
        <f t="shared" si="27"/>
        <v/>
      </c>
      <c r="AI500" s="389" t="str">
        <f t="shared" si="37"/>
        <v>🔵 Chưa có hạn</v>
      </c>
      <c r="AJ500" s="67" t="str">
        <f>'Lớp 6 - Chi tiết'!AO62</f>
        <v/>
      </c>
      <c r="AS500" s="389" t="str">
        <f t="shared" si="467"/>
        <v/>
      </c>
      <c r="AT500" s="389" t="str">
        <f t="shared" si="32"/>
        <v/>
      </c>
      <c r="AU500" s="389" t="str">
        <f t="shared" si="33"/>
        <v/>
      </c>
      <c r="AV500" s="389" t="str">
        <f t="shared" si="34"/>
        <v/>
      </c>
      <c r="AW500" s="389" t="str">
        <f t="shared" si="35"/>
        <v/>
      </c>
      <c r="AX500" s="67" t="str">
        <f t="shared" ref="AX500:BH500" si="515">Z500</f>
        <v/>
      </c>
      <c r="AY500" s="67" t="str">
        <f t="shared" si="515"/>
        <v/>
      </c>
      <c r="AZ500" s="67" t="str">
        <f t="shared" si="515"/>
        <v/>
      </c>
      <c r="BA500" s="67" t="str">
        <f t="shared" si="515"/>
        <v/>
      </c>
      <c r="BB500" s="398" t="str">
        <f t="shared" si="515"/>
        <v/>
      </c>
      <c r="BC500" s="358" t="str">
        <f t="shared" si="515"/>
        <v/>
      </c>
      <c r="BD500" s="187" t="str">
        <f t="shared" si="515"/>
        <v/>
      </c>
      <c r="BE500" s="104" t="str">
        <f t="shared" si="515"/>
        <v/>
      </c>
      <c r="BF500" s="389" t="str">
        <f t="shared" si="515"/>
        <v/>
      </c>
      <c r="BG500" s="389" t="str">
        <f t="shared" si="515"/>
        <v>🔵 Chưa có hạn</v>
      </c>
      <c r="BH500" s="67" t="str">
        <f t="shared" si="515"/>
        <v/>
      </c>
      <c r="BI500" s="389" t="str">
        <f t="array" ref="BI500">IF($X500="","",SWITCH($W500,3,IFERROR(INDEX('Lớp 3 - Công việc chính'!$AF$14:$AF$73,MATCH($X500,'Lớp 3 - Công việc chính'!$I$14:$I$73,0)),""),4,IFERROR(INDEX('Lớp 4 - Danh mục'!$AI$14:$AI$132,MATCH($X500,'Lớp 4 - Danh mục'!$I$14:$I$132,0)),""),5,IFERROR(INDEX('Lớp 5 - Phân công'!$AJ$14:$AJ$262,MATCH($X500,'Lớp 5 - Phân công'!$I$14:$I$262,0)),""),6,IFERROR(INDEX('Lớp 6 - Chi tiết'!$AM$14:$AM$267,MATCH($X500,'Lớp 6 - Chi tiết'!$I$14:$I$267,0)),""),""))</f>
        <v/>
      </c>
      <c r="BJ500" s="389" t="str">
        <f t="array" ref="BJ500">IF($X500="","",SWITCH($W500,3,IFERROR(INDEX('Lớp 3 - Công việc chính'!$AR$14:$AR$73,MATCH($X500,'Lớp 3 - Công việc chính'!$I$14:$I$73,0)),""),4,IFERROR(INDEX('Lớp 4 - Danh mục'!$AU$14:$AU$132,MATCH($X500,'Lớp 4 - Danh mục'!$I$14:$I$132,0)),""),5,IFERROR(INDEX('Lớp 5 - Phân công'!$AV$14:$AV$262,MATCH($X500,'Lớp 5 - Phân công'!$I$14:$I$262,0)),""),6,IFERROR(INDEX('Lớp 6 - Chi tiết'!$AY$14:$AY$267,MATCH($X500,'Lớp 6 - Chi tiết'!$I$14:$I$267,0)),""),""))</f>
        <v/>
      </c>
    </row>
    <row r="501" ht="15.75" customHeight="1">
      <c r="A501" s="294" t="str">
        <f t="shared" si="12"/>
        <v/>
      </c>
      <c r="B501" s="301" t="str">
        <f t="shared" si="13"/>
        <v/>
      </c>
      <c r="C501" s="301" t="str">
        <f t="shared" si="14"/>
        <v/>
      </c>
      <c r="D501" s="301" t="str">
        <f t="shared" si="15"/>
        <v/>
      </c>
      <c r="E501" s="301" t="str">
        <f t="shared" si="16"/>
        <v/>
      </c>
      <c r="F501" s="317" t="str">
        <f t="shared" si="17"/>
        <v/>
      </c>
      <c r="G501" s="323" t="str">
        <f t="shared" si="18"/>
        <v/>
      </c>
      <c r="H501" s="327" t="str">
        <f t="shared" si="19"/>
        <v/>
      </c>
      <c r="I501" s="327" t="str">
        <f t="shared" si="20"/>
        <v/>
      </c>
      <c r="J501" s="301" t="str">
        <f t="shared" si="21"/>
        <v/>
      </c>
      <c r="K501" s="301" t="str">
        <f t="shared" si="22"/>
        <v/>
      </c>
      <c r="L501" s="344" t="str">
        <f t="array" ref="L501">IF($T501="","",LET(m,MATCH($T501,$AS$24:$AS$700,0),lvl,INDEX($W$24:$W$700,m),id,INDEX($X$24:$X$700,m),SWITCH(lvl,3,"Lớp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1" s="351" t="str">
        <f t="shared" si="23"/>
        <v/>
      </c>
      <c r="N501" s="356" t="str">
        <f t="shared" si="24"/>
        <v/>
      </c>
      <c r="O501" s="358"/>
      <c r="P501" s="360"/>
      <c r="Q501" s="360"/>
      <c r="R501" s="67"/>
      <c r="S501" s="67"/>
      <c r="T501" s="67"/>
      <c r="U501" s="389" t="str">
        <f>IF('Lớp 6 - Chi tiết'!I63="","",'Lớp 6 - Chi tiết'!L63&amp;"|"&amp;'Lớp 6 - Chi tiết'!K63&amp;"|"&amp;'Lớp 6 - Chi tiết'!J63&amp;"|"&amp;'Lớp 6 - Chi tiết'!I63)</f>
        <v/>
      </c>
      <c r="V501" s="389" t="str">
        <f>IF('Lớp 6 - Chi tiết'!I63="","","           └─ "&amp;'Lớp 6 - Chi tiết'!S63)</f>
        <v/>
      </c>
      <c r="W501" s="389" t="str">
        <f>IF('Lớp 6 - Chi tiết'!I63="","",6)</f>
        <v/>
      </c>
      <c r="X501" s="67" t="str">
        <f>'Lớp 6 - Chi tiết'!I63</f>
        <v/>
      </c>
      <c r="Y501" s="389" t="str">
        <f>'Lớp 6 - Chi tiết'!J63</f>
        <v/>
      </c>
      <c r="Z501" s="67" t="str">
        <f>'Lớp 6 - Chi tiết'!AC63</f>
        <v/>
      </c>
      <c r="AA501" s="67" t="str">
        <f>'Lớp 6 - Chi tiết'!AB63</f>
        <v/>
      </c>
      <c r="AB501" s="67" t="str">
        <f>'Lớp 6 - Chi tiết'!AF63</f>
        <v/>
      </c>
      <c r="AC501" s="67" t="str">
        <f>'Lớp 6 - Chi tiết'!AE63</f>
        <v/>
      </c>
      <c r="AD501" s="398" t="str">
        <f>'Lớp 6 - Chi tiết'!AJ63</f>
        <v/>
      </c>
      <c r="AE501" s="358" t="str">
        <f>'Lớp 6 - Chi tiết'!AH63</f>
        <v/>
      </c>
      <c r="AF501" s="187" t="str">
        <f>'Lớp 6 - Chi tiết'!AK63</f>
        <v/>
      </c>
      <c r="AG501" s="104" t="str">
        <f>'Lớp 6 - Chi tiết'!AL63</f>
        <v/>
      </c>
      <c r="AH501" s="389" t="str">
        <f t="shared" si="27"/>
        <v/>
      </c>
      <c r="AI501" s="389" t="str">
        <f t="shared" si="37"/>
        <v>🔵 Chưa có hạn</v>
      </c>
      <c r="AJ501" s="67" t="str">
        <f>'Lớp 6 - Chi tiết'!AO63</f>
        <v/>
      </c>
      <c r="AS501" s="389" t="str">
        <f t="shared" si="467"/>
        <v/>
      </c>
      <c r="AT501" s="389" t="str">
        <f t="shared" si="32"/>
        <v/>
      </c>
      <c r="AU501" s="389" t="str">
        <f t="shared" si="33"/>
        <v/>
      </c>
      <c r="AV501" s="389" t="str">
        <f t="shared" si="34"/>
        <v/>
      </c>
      <c r="AW501" s="389" t="str">
        <f t="shared" si="35"/>
        <v/>
      </c>
      <c r="AX501" s="67" t="str">
        <f t="shared" ref="AX501:BH501" si="516">Z501</f>
        <v/>
      </c>
      <c r="AY501" s="67" t="str">
        <f t="shared" si="516"/>
        <v/>
      </c>
      <c r="AZ501" s="67" t="str">
        <f t="shared" si="516"/>
        <v/>
      </c>
      <c r="BA501" s="67" t="str">
        <f t="shared" si="516"/>
        <v/>
      </c>
      <c r="BB501" s="398" t="str">
        <f t="shared" si="516"/>
        <v/>
      </c>
      <c r="BC501" s="358" t="str">
        <f t="shared" si="516"/>
        <v/>
      </c>
      <c r="BD501" s="187" t="str">
        <f t="shared" si="516"/>
        <v/>
      </c>
      <c r="BE501" s="104" t="str">
        <f t="shared" si="516"/>
        <v/>
      </c>
      <c r="BF501" s="389" t="str">
        <f t="shared" si="516"/>
        <v/>
      </c>
      <c r="BG501" s="389" t="str">
        <f t="shared" si="516"/>
        <v>🔵 Chưa có hạn</v>
      </c>
      <c r="BH501" s="67" t="str">
        <f t="shared" si="516"/>
        <v/>
      </c>
      <c r="BI501" s="389" t="str">
        <f t="array" ref="BI501">IF($X501="","",SWITCH($W501,3,IFERROR(INDEX('Lớp 3 - Công việc chính'!$AF$14:$AF$73,MATCH($X501,'Lớp 3 - Công việc chính'!$I$14:$I$73,0)),""),4,IFERROR(INDEX('Lớp 4 - Danh mục'!$AI$14:$AI$132,MATCH($X501,'Lớp 4 - Danh mục'!$I$14:$I$132,0)),""),5,IFERROR(INDEX('Lớp 5 - Phân công'!$AJ$14:$AJ$262,MATCH($X501,'Lớp 5 - Phân công'!$I$14:$I$262,0)),""),6,IFERROR(INDEX('Lớp 6 - Chi tiết'!$AM$14:$AM$267,MATCH($X501,'Lớp 6 - Chi tiết'!$I$14:$I$267,0)),""),""))</f>
        <v/>
      </c>
      <c r="BJ501" s="389" t="str">
        <f t="array" ref="BJ501">IF($X501="","",SWITCH($W501,3,IFERROR(INDEX('Lớp 3 - Công việc chính'!$AR$14:$AR$73,MATCH($X501,'Lớp 3 - Công việc chính'!$I$14:$I$73,0)),""),4,IFERROR(INDEX('Lớp 4 - Danh mục'!$AU$14:$AU$132,MATCH($X501,'Lớp 4 - Danh mục'!$I$14:$I$132,0)),""),5,IFERROR(INDEX('Lớp 5 - Phân công'!$AV$14:$AV$262,MATCH($X501,'Lớp 5 - Phân công'!$I$14:$I$262,0)),""),6,IFERROR(INDEX('Lớp 6 - Chi tiết'!$AY$14:$AY$267,MATCH($X501,'Lớp 6 - Chi tiết'!$I$14:$I$267,0)),""),""))</f>
        <v/>
      </c>
    </row>
    <row r="502" ht="15.75" customHeight="1">
      <c r="A502" s="294" t="str">
        <f t="shared" si="12"/>
        <v/>
      </c>
      <c r="B502" s="301" t="str">
        <f t="shared" si="13"/>
        <v/>
      </c>
      <c r="C502" s="301" t="str">
        <f t="shared" si="14"/>
        <v/>
      </c>
      <c r="D502" s="301" t="str">
        <f t="shared" si="15"/>
        <v/>
      </c>
      <c r="E502" s="301" t="str">
        <f t="shared" si="16"/>
        <v/>
      </c>
      <c r="F502" s="317" t="str">
        <f t="shared" si="17"/>
        <v/>
      </c>
      <c r="G502" s="323" t="str">
        <f t="shared" si="18"/>
        <v/>
      </c>
      <c r="H502" s="327" t="str">
        <f t="shared" si="19"/>
        <v/>
      </c>
      <c r="I502" s="327" t="str">
        <f t="shared" si="20"/>
        <v/>
      </c>
      <c r="J502" s="301" t="str">
        <f t="shared" si="21"/>
        <v/>
      </c>
      <c r="K502" s="301" t="str">
        <f t="shared" si="22"/>
        <v/>
      </c>
      <c r="L502" s="344" t="str">
        <f t="array" ref="L502">IF($T502="","",LET(m,MATCH($T502,$AS$24:$AS$700,0),lvl,INDEX($W$24:$W$700,m),id,INDEX($X$24:$X$700,m),SWITCH(lvl,3,"Lớp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2" s="351" t="str">
        <f t="shared" si="23"/>
        <v/>
      </c>
      <c r="N502" s="356" t="str">
        <f t="shared" si="24"/>
        <v/>
      </c>
      <c r="O502" s="358"/>
      <c r="P502" s="360"/>
      <c r="Q502" s="360"/>
      <c r="R502" s="67"/>
      <c r="S502" s="67"/>
      <c r="T502" s="67"/>
      <c r="U502" s="389" t="str">
        <f>IF('Lớp 6 - Chi tiết'!I64="","",'Lớp 6 - Chi tiết'!L64&amp;"|"&amp;'Lớp 6 - Chi tiết'!K64&amp;"|"&amp;'Lớp 6 - Chi tiết'!J64&amp;"|"&amp;'Lớp 6 - Chi tiết'!I64)</f>
        <v/>
      </c>
      <c r="V502" s="389" t="str">
        <f>IF('Lớp 6 - Chi tiết'!I64="","","           └─ "&amp;'Lớp 6 - Chi tiết'!S64)</f>
        <v/>
      </c>
      <c r="W502" s="389" t="str">
        <f>IF('Lớp 6 - Chi tiết'!I64="","",6)</f>
        <v/>
      </c>
      <c r="X502" s="67" t="str">
        <f>'Lớp 6 - Chi tiết'!I64</f>
        <v/>
      </c>
      <c r="Y502" s="389" t="str">
        <f>'Lớp 6 - Chi tiết'!J64</f>
        <v/>
      </c>
      <c r="Z502" s="67" t="str">
        <f>'Lớp 6 - Chi tiết'!AC64</f>
        <v/>
      </c>
      <c r="AA502" s="67" t="str">
        <f>'Lớp 6 - Chi tiết'!AB64</f>
        <v/>
      </c>
      <c r="AB502" s="67" t="str">
        <f>'Lớp 6 - Chi tiết'!AF64</f>
        <v/>
      </c>
      <c r="AC502" s="67" t="str">
        <f>'Lớp 6 - Chi tiết'!AE64</f>
        <v/>
      </c>
      <c r="AD502" s="398" t="str">
        <f>'Lớp 6 - Chi tiết'!AJ64</f>
        <v/>
      </c>
      <c r="AE502" s="358" t="str">
        <f>'Lớp 6 - Chi tiết'!AH64</f>
        <v/>
      </c>
      <c r="AF502" s="187" t="str">
        <f>'Lớp 6 - Chi tiết'!AK64</f>
        <v/>
      </c>
      <c r="AG502" s="104" t="str">
        <f>'Lớp 6 - Chi tiết'!AL64</f>
        <v/>
      </c>
      <c r="AH502" s="389" t="str">
        <f t="shared" si="27"/>
        <v/>
      </c>
      <c r="AI502" s="389" t="str">
        <f t="shared" si="37"/>
        <v>🔵 Chưa có hạn</v>
      </c>
      <c r="AJ502" s="67" t="str">
        <f>'Lớp 6 - Chi tiết'!AO64</f>
        <v/>
      </c>
      <c r="AS502" s="389" t="str">
        <f t="shared" si="467"/>
        <v/>
      </c>
      <c r="AT502" s="389" t="str">
        <f t="shared" si="32"/>
        <v/>
      </c>
      <c r="AU502" s="389" t="str">
        <f t="shared" si="33"/>
        <v/>
      </c>
      <c r="AV502" s="389" t="str">
        <f t="shared" si="34"/>
        <v/>
      </c>
      <c r="AW502" s="389" t="str">
        <f t="shared" si="35"/>
        <v/>
      </c>
      <c r="AX502" s="67" t="str">
        <f t="shared" ref="AX502:BH502" si="517">Z502</f>
        <v/>
      </c>
      <c r="AY502" s="67" t="str">
        <f t="shared" si="517"/>
        <v/>
      </c>
      <c r="AZ502" s="67" t="str">
        <f t="shared" si="517"/>
        <v/>
      </c>
      <c r="BA502" s="67" t="str">
        <f t="shared" si="517"/>
        <v/>
      </c>
      <c r="BB502" s="398" t="str">
        <f t="shared" si="517"/>
        <v/>
      </c>
      <c r="BC502" s="358" t="str">
        <f t="shared" si="517"/>
        <v/>
      </c>
      <c r="BD502" s="187" t="str">
        <f t="shared" si="517"/>
        <v/>
      </c>
      <c r="BE502" s="104" t="str">
        <f t="shared" si="517"/>
        <v/>
      </c>
      <c r="BF502" s="389" t="str">
        <f t="shared" si="517"/>
        <v/>
      </c>
      <c r="BG502" s="389" t="str">
        <f t="shared" si="517"/>
        <v>🔵 Chưa có hạn</v>
      </c>
      <c r="BH502" s="67" t="str">
        <f t="shared" si="517"/>
        <v/>
      </c>
      <c r="BI502" s="389" t="str">
        <f t="array" ref="BI502">IF($X502="","",SWITCH($W502,3,IFERROR(INDEX('Lớp 3 - Công việc chính'!$AF$14:$AF$73,MATCH($X502,'Lớp 3 - Công việc chính'!$I$14:$I$73,0)),""),4,IFERROR(INDEX('Lớp 4 - Danh mục'!$AI$14:$AI$132,MATCH($X502,'Lớp 4 - Danh mục'!$I$14:$I$132,0)),""),5,IFERROR(INDEX('Lớp 5 - Phân công'!$AJ$14:$AJ$262,MATCH($X502,'Lớp 5 - Phân công'!$I$14:$I$262,0)),""),6,IFERROR(INDEX('Lớp 6 - Chi tiết'!$AM$14:$AM$267,MATCH($X502,'Lớp 6 - Chi tiết'!$I$14:$I$267,0)),""),""))</f>
        <v/>
      </c>
      <c r="BJ502" s="389" t="str">
        <f t="array" ref="BJ502">IF($X502="","",SWITCH($W502,3,IFERROR(INDEX('Lớp 3 - Công việc chính'!$AR$14:$AR$73,MATCH($X502,'Lớp 3 - Công việc chính'!$I$14:$I$73,0)),""),4,IFERROR(INDEX('Lớp 4 - Danh mục'!$AU$14:$AU$132,MATCH($X502,'Lớp 4 - Danh mục'!$I$14:$I$132,0)),""),5,IFERROR(INDEX('Lớp 5 - Phân công'!$AV$14:$AV$262,MATCH($X502,'Lớp 5 - Phân công'!$I$14:$I$262,0)),""),6,IFERROR(INDEX('Lớp 6 - Chi tiết'!$AY$14:$AY$267,MATCH($X502,'Lớp 6 - Chi tiết'!$I$14:$I$267,0)),""),""))</f>
        <v/>
      </c>
    </row>
    <row r="503" ht="15.75" customHeight="1">
      <c r="A503" s="294" t="str">
        <f t="shared" si="12"/>
        <v/>
      </c>
      <c r="B503" s="301" t="str">
        <f t="shared" si="13"/>
        <v/>
      </c>
      <c r="C503" s="301" t="str">
        <f t="shared" si="14"/>
        <v/>
      </c>
      <c r="D503" s="301" t="str">
        <f t="shared" si="15"/>
        <v/>
      </c>
      <c r="E503" s="301" t="str">
        <f t="shared" si="16"/>
        <v/>
      </c>
      <c r="F503" s="317" t="str">
        <f t="shared" si="17"/>
        <v/>
      </c>
      <c r="G503" s="323" t="str">
        <f t="shared" si="18"/>
        <v/>
      </c>
      <c r="H503" s="327" t="str">
        <f t="shared" si="19"/>
        <v/>
      </c>
      <c r="I503" s="327" t="str">
        <f t="shared" si="20"/>
        <v/>
      </c>
      <c r="J503" s="301" t="str">
        <f t="shared" si="21"/>
        <v/>
      </c>
      <c r="K503" s="301" t="str">
        <f t="shared" si="22"/>
        <v/>
      </c>
      <c r="L503" s="344" t="str">
        <f t="array" ref="L503">IF($T503="","",LET(m,MATCH($T503,$AS$24:$AS$700,0),lvl,INDEX($W$24:$W$700,m),id,INDEX($X$24:$X$700,m),SWITCH(lvl,3,"Lớp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3" s="351" t="str">
        <f t="shared" si="23"/>
        <v/>
      </c>
      <c r="N503" s="356" t="str">
        <f t="shared" si="24"/>
        <v/>
      </c>
      <c r="O503" s="358"/>
      <c r="P503" s="360"/>
      <c r="Q503" s="360"/>
      <c r="R503" s="67"/>
      <c r="S503" s="67"/>
      <c r="T503" s="67"/>
      <c r="U503" s="389" t="str">
        <f>IF('Lớp 6 - Chi tiết'!I65="","",'Lớp 6 - Chi tiết'!L65&amp;"|"&amp;'Lớp 6 - Chi tiết'!K65&amp;"|"&amp;'Lớp 6 - Chi tiết'!J65&amp;"|"&amp;'Lớp 6 - Chi tiết'!I65)</f>
        <v/>
      </c>
      <c r="V503" s="389" t="str">
        <f>IF('Lớp 6 - Chi tiết'!I65="","","           └─ "&amp;'Lớp 6 - Chi tiết'!S65)</f>
        <v/>
      </c>
      <c r="W503" s="389" t="str">
        <f>IF('Lớp 6 - Chi tiết'!I65="","",6)</f>
        <v/>
      </c>
      <c r="X503" s="67" t="str">
        <f>'Lớp 6 - Chi tiết'!I65</f>
        <v/>
      </c>
      <c r="Y503" s="389" t="str">
        <f>'Lớp 6 - Chi tiết'!J65</f>
        <v/>
      </c>
      <c r="Z503" s="67" t="str">
        <f>'Lớp 6 - Chi tiết'!AC65</f>
        <v/>
      </c>
      <c r="AA503" s="67" t="str">
        <f>'Lớp 6 - Chi tiết'!AB65</f>
        <v/>
      </c>
      <c r="AB503" s="67" t="str">
        <f>'Lớp 6 - Chi tiết'!AF65</f>
        <v/>
      </c>
      <c r="AC503" s="67" t="str">
        <f>'Lớp 6 - Chi tiết'!AE65</f>
        <v/>
      </c>
      <c r="AD503" s="398" t="str">
        <f>'Lớp 6 - Chi tiết'!AJ65</f>
        <v/>
      </c>
      <c r="AE503" s="358" t="str">
        <f>'Lớp 6 - Chi tiết'!AH65</f>
        <v/>
      </c>
      <c r="AF503" s="187" t="str">
        <f>'Lớp 6 - Chi tiết'!AK65</f>
        <v/>
      </c>
      <c r="AG503" s="104" t="str">
        <f>'Lớp 6 - Chi tiết'!AL65</f>
        <v/>
      </c>
      <c r="AH503" s="389" t="str">
        <f t="shared" si="27"/>
        <v/>
      </c>
      <c r="AI503" s="389" t="str">
        <f t="shared" si="37"/>
        <v>🔵 Chưa có hạn</v>
      </c>
      <c r="AJ503" s="67" t="str">
        <f>'Lớp 6 - Chi tiết'!AO65</f>
        <v/>
      </c>
      <c r="AS503" s="389" t="str">
        <f t="shared" si="467"/>
        <v/>
      </c>
      <c r="AT503" s="389" t="str">
        <f t="shared" si="32"/>
        <v/>
      </c>
      <c r="AU503" s="389" t="str">
        <f t="shared" si="33"/>
        <v/>
      </c>
      <c r="AV503" s="389" t="str">
        <f t="shared" si="34"/>
        <v/>
      </c>
      <c r="AW503" s="389" t="str">
        <f t="shared" si="35"/>
        <v/>
      </c>
      <c r="AX503" s="67" t="str">
        <f t="shared" ref="AX503:BH503" si="518">Z503</f>
        <v/>
      </c>
      <c r="AY503" s="67" t="str">
        <f t="shared" si="518"/>
        <v/>
      </c>
      <c r="AZ503" s="67" t="str">
        <f t="shared" si="518"/>
        <v/>
      </c>
      <c r="BA503" s="67" t="str">
        <f t="shared" si="518"/>
        <v/>
      </c>
      <c r="BB503" s="398" t="str">
        <f t="shared" si="518"/>
        <v/>
      </c>
      <c r="BC503" s="358" t="str">
        <f t="shared" si="518"/>
        <v/>
      </c>
      <c r="BD503" s="187" t="str">
        <f t="shared" si="518"/>
        <v/>
      </c>
      <c r="BE503" s="104" t="str">
        <f t="shared" si="518"/>
        <v/>
      </c>
      <c r="BF503" s="389" t="str">
        <f t="shared" si="518"/>
        <v/>
      </c>
      <c r="BG503" s="389" t="str">
        <f t="shared" si="518"/>
        <v>🔵 Chưa có hạn</v>
      </c>
      <c r="BH503" s="67" t="str">
        <f t="shared" si="518"/>
        <v/>
      </c>
      <c r="BI503" s="389" t="str">
        <f t="array" ref="BI503">IF($X503="","",SWITCH($W503,3,IFERROR(INDEX('Lớp 3 - Công việc chính'!$AF$14:$AF$73,MATCH($X503,'Lớp 3 - Công việc chính'!$I$14:$I$73,0)),""),4,IFERROR(INDEX('Lớp 4 - Danh mục'!$AI$14:$AI$132,MATCH($X503,'Lớp 4 - Danh mục'!$I$14:$I$132,0)),""),5,IFERROR(INDEX('Lớp 5 - Phân công'!$AJ$14:$AJ$262,MATCH($X503,'Lớp 5 - Phân công'!$I$14:$I$262,0)),""),6,IFERROR(INDEX('Lớp 6 - Chi tiết'!$AM$14:$AM$267,MATCH($X503,'Lớp 6 - Chi tiết'!$I$14:$I$267,0)),""),""))</f>
        <v/>
      </c>
      <c r="BJ503" s="389" t="str">
        <f t="array" ref="BJ503">IF($X503="","",SWITCH($W503,3,IFERROR(INDEX('Lớp 3 - Công việc chính'!$AR$14:$AR$73,MATCH($X503,'Lớp 3 - Công việc chính'!$I$14:$I$73,0)),""),4,IFERROR(INDEX('Lớp 4 - Danh mục'!$AU$14:$AU$132,MATCH($X503,'Lớp 4 - Danh mục'!$I$14:$I$132,0)),""),5,IFERROR(INDEX('Lớp 5 - Phân công'!$AV$14:$AV$262,MATCH($X503,'Lớp 5 - Phân công'!$I$14:$I$262,0)),""),6,IFERROR(INDEX('Lớp 6 - Chi tiết'!$AY$14:$AY$267,MATCH($X503,'Lớp 6 - Chi tiết'!$I$14:$I$267,0)),""),""))</f>
        <v/>
      </c>
    </row>
    <row r="504" ht="15.75" customHeight="1">
      <c r="A504" s="294" t="str">
        <f t="shared" si="12"/>
        <v/>
      </c>
      <c r="B504" s="301" t="str">
        <f t="shared" si="13"/>
        <v/>
      </c>
      <c r="C504" s="301" t="str">
        <f t="shared" si="14"/>
        <v/>
      </c>
      <c r="D504" s="301" t="str">
        <f t="shared" si="15"/>
        <v/>
      </c>
      <c r="E504" s="301" t="str">
        <f t="shared" si="16"/>
        <v/>
      </c>
      <c r="F504" s="317" t="str">
        <f t="shared" si="17"/>
        <v/>
      </c>
      <c r="G504" s="323" t="str">
        <f t="shared" si="18"/>
        <v/>
      </c>
      <c r="H504" s="327" t="str">
        <f t="shared" si="19"/>
        <v/>
      </c>
      <c r="I504" s="327" t="str">
        <f t="shared" si="20"/>
        <v/>
      </c>
      <c r="J504" s="301" t="str">
        <f t="shared" si="21"/>
        <v/>
      </c>
      <c r="K504" s="301" t="str">
        <f t="shared" si="22"/>
        <v/>
      </c>
      <c r="L504" s="344" t="str">
        <f t="array" ref="L504">IF($T504="","",LET(m,MATCH($T504,$AS$24:$AS$700,0),lvl,INDEX($W$24:$W$700,m),id,INDEX($X$24:$X$700,m),SWITCH(lvl,3,"Lớp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4" s="351" t="str">
        <f t="shared" si="23"/>
        <v/>
      </c>
      <c r="N504" s="356" t="str">
        <f t="shared" si="24"/>
        <v/>
      </c>
      <c r="O504" s="358"/>
      <c r="P504" s="360"/>
      <c r="Q504" s="360"/>
      <c r="R504" s="67"/>
      <c r="S504" s="67"/>
      <c r="T504" s="67"/>
      <c r="U504" s="389" t="str">
        <f>IF('Lớp 6 - Chi tiết'!I66="","",'Lớp 6 - Chi tiết'!L66&amp;"|"&amp;'Lớp 6 - Chi tiết'!K66&amp;"|"&amp;'Lớp 6 - Chi tiết'!J66&amp;"|"&amp;'Lớp 6 - Chi tiết'!I66)</f>
        <v/>
      </c>
      <c r="V504" s="389" t="str">
        <f>IF('Lớp 6 - Chi tiết'!I66="","","           └─ "&amp;'Lớp 6 - Chi tiết'!S66)</f>
        <v/>
      </c>
      <c r="W504" s="389" t="str">
        <f>IF('Lớp 6 - Chi tiết'!I66="","",6)</f>
        <v/>
      </c>
      <c r="X504" s="67" t="str">
        <f>'Lớp 6 - Chi tiết'!I66</f>
        <v/>
      </c>
      <c r="Y504" s="389" t="str">
        <f>'Lớp 6 - Chi tiết'!J66</f>
        <v/>
      </c>
      <c r="Z504" s="67" t="str">
        <f>'Lớp 6 - Chi tiết'!AC66</f>
        <v/>
      </c>
      <c r="AA504" s="67" t="str">
        <f>'Lớp 6 - Chi tiết'!AB66</f>
        <v/>
      </c>
      <c r="AB504" s="67" t="str">
        <f>'Lớp 6 - Chi tiết'!AF66</f>
        <v/>
      </c>
      <c r="AC504" s="67" t="str">
        <f>'Lớp 6 - Chi tiết'!AE66</f>
        <v/>
      </c>
      <c r="AD504" s="398" t="str">
        <f>'Lớp 6 - Chi tiết'!AJ66</f>
        <v/>
      </c>
      <c r="AE504" s="358" t="str">
        <f>'Lớp 6 - Chi tiết'!AH66</f>
        <v/>
      </c>
      <c r="AF504" s="187" t="str">
        <f>'Lớp 6 - Chi tiết'!AK66</f>
        <v/>
      </c>
      <c r="AG504" s="104" t="str">
        <f>'Lớp 6 - Chi tiết'!AL66</f>
        <v/>
      </c>
      <c r="AH504" s="389" t="str">
        <f t="shared" si="27"/>
        <v/>
      </c>
      <c r="AI504" s="389" t="str">
        <f t="shared" si="37"/>
        <v>🔵 Chưa có hạn</v>
      </c>
      <c r="AJ504" s="67" t="str">
        <f>'Lớp 6 - Chi tiết'!AO66</f>
        <v/>
      </c>
      <c r="AS504" s="389" t="str">
        <f t="shared" si="467"/>
        <v/>
      </c>
      <c r="AT504" s="389" t="str">
        <f t="shared" si="32"/>
        <v/>
      </c>
      <c r="AU504" s="389" t="str">
        <f t="shared" si="33"/>
        <v/>
      </c>
      <c r="AV504" s="389" t="str">
        <f t="shared" si="34"/>
        <v/>
      </c>
      <c r="AW504" s="389" t="str">
        <f t="shared" si="35"/>
        <v/>
      </c>
      <c r="AX504" s="67" t="str">
        <f t="shared" ref="AX504:BH504" si="519">Z504</f>
        <v/>
      </c>
      <c r="AY504" s="67" t="str">
        <f t="shared" si="519"/>
        <v/>
      </c>
      <c r="AZ504" s="67" t="str">
        <f t="shared" si="519"/>
        <v/>
      </c>
      <c r="BA504" s="67" t="str">
        <f t="shared" si="519"/>
        <v/>
      </c>
      <c r="BB504" s="398" t="str">
        <f t="shared" si="519"/>
        <v/>
      </c>
      <c r="BC504" s="358" t="str">
        <f t="shared" si="519"/>
        <v/>
      </c>
      <c r="BD504" s="187" t="str">
        <f t="shared" si="519"/>
        <v/>
      </c>
      <c r="BE504" s="104" t="str">
        <f t="shared" si="519"/>
        <v/>
      </c>
      <c r="BF504" s="389" t="str">
        <f t="shared" si="519"/>
        <v/>
      </c>
      <c r="BG504" s="389" t="str">
        <f t="shared" si="519"/>
        <v>🔵 Chưa có hạn</v>
      </c>
      <c r="BH504" s="67" t="str">
        <f t="shared" si="519"/>
        <v/>
      </c>
      <c r="BI504" s="389" t="str">
        <f t="array" ref="BI504">IF($X504="","",SWITCH($W504,3,IFERROR(INDEX('Lớp 3 - Công việc chính'!$AF$14:$AF$73,MATCH($X504,'Lớp 3 - Công việc chính'!$I$14:$I$73,0)),""),4,IFERROR(INDEX('Lớp 4 - Danh mục'!$AI$14:$AI$132,MATCH($X504,'Lớp 4 - Danh mục'!$I$14:$I$132,0)),""),5,IFERROR(INDEX('Lớp 5 - Phân công'!$AJ$14:$AJ$262,MATCH($X504,'Lớp 5 - Phân công'!$I$14:$I$262,0)),""),6,IFERROR(INDEX('Lớp 6 - Chi tiết'!$AM$14:$AM$267,MATCH($X504,'Lớp 6 - Chi tiết'!$I$14:$I$267,0)),""),""))</f>
        <v/>
      </c>
      <c r="BJ504" s="389" t="str">
        <f t="array" ref="BJ504">IF($X504="","",SWITCH($W504,3,IFERROR(INDEX('Lớp 3 - Công việc chính'!$AR$14:$AR$73,MATCH($X504,'Lớp 3 - Công việc chính'!$I$14:$I$73,0)),""),4,IFERROR(INDEX('Lớp 4 - Danh mục'!$AU$14:$AU$132,MATCH($X504,'Lớp 4 - Danh mục'!$I$14:$I$132,0)),""),5,IFERROR(INDEX('Lớp 5 - Phân công'!$AV$14:$AV$262,MATCH($X504,'Lớp 5 - Phân công'!$I$14:$I$262,0)),""),6,IFERROR(INDEX('Lớp 6 - Chi tiết'!$AY$14:$AY$267,MATCH($X504,'Lớp 6 - Chi tiết'!$I$14:$I$267,0)),""),""))</f>
        <v/>
      </c>
    </row>
    <row r="505" ht="15.75" customHeight="1">
      <c r="A505" s="294" t="str">
        <f t="shared" si="12"/>
        <v/>
      </c>
      <c r="B505" s="301" t="str">
        <f t="shared" si="13"/>
        <v/>
      </c>
      <c r="C505" s="301" t="str">
        <f t="shared" si="14"/>
        <v/>
      </c>
      <c r="D505" s="301" t="str">
        <f t="shared" si="15"/>
        <v/>
      </c>
      <c r="E505" s="301" t="str">
        <f t="shared" si="16"/>
        <v/>
      </c>
      <c r="F505" s="317" t="str">
        <f t="shared" si="17"/>
        <v/>
      </c>
      <c r="G505" s="323" t="str">
        <f t="shared" si="18"/>
        <v/>
      </c>
      <c r="H505" s="327" t="str">
        <f t="shared" si="19"/>
        <v/>
      </c>
      <c r="I505" s="327" t="str">
        <f t="shared" si="20"/>
        <v/>
      </c>
      <c r="J505" s="301" t="str">
        <f t="shared" si="21"/>
        <v/>
      </c>
      <c r="K505" s="301" t="str">
        <f t="shared" si="22"/>
        <v/>
      </c>
      <c r="L505" s="344" t="str">
        <f t="array" ref="L505">IF($T505="","",LET(m,MATCH($T505,$AS$24:$AS$700,0),lvl,INDEX($W$24:$W$700,m),id,INDEX($X$24:$X$700,m),SWITCH(lvl,3,"Lớp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5" s="351" t="str">
        <f t="shared" si="23"/>
        <v/>
      </c>
      <c r="N505" s="356" t="str">
        <f t="shared" si="24"/>
        <v/>
      </c>
      <c r="O505" s="358"/>
      <c r="P505" s="360"/>
      <c r="Q505" s="360"/>
      <c r="R505" s="67"/>
      <c r="S505" s="67"/>
      <c r="T505" s="67"/>
      <c r="U505" s="389" t="str">
        <f>IF('Lớp 6 - Chi tiết'!I67="","",'Lớp 6 - Chi tiết'!L67&amp;"|"&amp;'Lớp 6 - Chi tiết'!K67&amp;"|"&amp;'Lớp 6 - Chi tiết'!J67&amp;"|"&amp;'Lớp 6 - Chi tiết'!I67)</f>
        <v/>
      </c>
      <c r="V505" s="389" t="str">
        <f>IF('Lớp 6 - Chi tiết'!I67="","","           └─ "&amp;'Lớp 6 - Chi tiết'!S67)</f>
        <v/>
      </c>
      <c r="W505" s="389" t="str">
        <f>IF('Lớp 6 - Chi tiết'!I67="","",6)</f>
        <v/>
      </c>
      <c r="X505" s="67" t="str">
        <f>'Lớp 6 - Chi tiết'!I67</f>
        <v/>
      </c>
      <c r="Y505" s="389" t="str">
        <f>'Lớp 6 - Chi tiết'!J67</f>
        <v/>
      </c>
      <c r="Z505" s="67" t="str">
        <f>'Lớp 6 - Chi tiết'!AC67</f>
        <v/>
      </c>
      <c r="AA505" s="67" t="str">
        <f>'Lớp 6 - Chi tiết'!AB67</f>
        <v/>
      </c>
      <c r="AB505" s="67" t="str">
        <f>'Lớp 6 - Chi tiết'!AF67</f>
        <v/>
      </c>
      <c r="AC505" s="67" t="str">
        <f>'Lớp 6 - Chi tiết'!AE67</f>
        <v/>
      </c>
      <c r="AD505" s="398" t="str">
        <f>'Lớp 6 - Chi tiết'!AJ67</f>
        <v/>
      </c>
      <c r="AE505" s="358" t="str">
        <f>'Lớp 6 - Chi tiết'!AH67</f>
        <v/>
      </c>
      <c r="AF505" s="187" t="str">
        <f>'Lớp 6 - Chi tiết'!AK67</f>
        <v/>
      </c>
      <c r="AG505" s="104" t="str">
        <f>'Lớp 6 - Chi tiết'!AL67</f>
        <v/>
      </c>
      <c r="AH505" s="389" t="str">
        <f t="shared" si="27"/>
        <v/>
      </c>
      <c r="AI505" s="389" t="str">
        <f t="shared" si="37"/>
        <v>🔵 Chưa có hạn</v>
      </c>
      <c r="AJ505" s="67" t="str">
        <f>'Lớp 6 - Chi tiết'!AO67</f>
        <v/>
      </c>
      <c r="AS505" s="389" t="str">
        <f t="shared" si="467"/>
        <v/>
      </c>
      <c r="AT505" s="389" t="str">
        <f t="shared" si="32"/>
        <v/>
      </c>
      <c r="AU505" s="389" t="str">
        <f t="shared" si="33"/>
        <v/>
      </c>
      <c r="AV505" s="389" t="str">
        <f t="shared" si="34"/>
        <v/>
      </c>
      <c r="AW505" s="389" t="str">
        <f t="shared" si="35"/>
        <v/>
      </c>
      <c r="AX505" s="67" t="str">
        <f t="shared" ref="AX505:BH505" si="520">Z505</f>
        <v/>
      </c>
      <c r="AY505" s="67" t="str">
        <f t="shared" si="520"/>
        <v/>
      </c>
      <c r="AZ505" s="67" t="str">
        <f t="shared" si="520"/>
        <v/>
      </c>
      <c r="BA505" s="67" t="str">
        <f t="shared" si="520"/>
        <v/>
      </c>
      <c r="BB505" s="398" t="str">
        <f t="shared" si="520"/>
        <v/>
      </c>
      <c r="BC505" s="358" t="str">
        <f t="shared" si="520"/>
        <v/>
      </c>
      <c r="BD505" s="187" t="str">
        <f t="shared" si="520"/>
        <v/>
      </c>
      <c r="BE505" s="104" t="str">
        <f t="shared" si="520"/>
        <v/>
      </c>
      <c r="BF505" s="389" t="str">
        <f t="shared" si="520"/>
        <v/>
      </c>
      <c r="BG505" s="389" t="str">
        <f t="shared" si="520"/>
        <v>🔵 Chưa có hạn</v>
      </c>
      <c r="BH505" s="67" t="str">
        <f t="shared" si="520"/>
        <v/>
      </c>
      <c r="BI505" s="389" t="str">
        <f t="array" ref="BI505">IF($X505="","",SWITCH($W505,3,IFERROR(INDEX('Lớp 3 - Công việc chính'!$AF$14:$AF$73,MATCH($X505,'Lớp 3 - Công việc chính'!$I$14:$I$73,0)),""),4,IFERROR(INDEX('Lớp 4 - Danh mục'!$AI$14:$AI$132,MATCH($X505,'Lớp 4 - Danh mục'!$I$14:$I$132,0)),""),5,IFERROR(INDEX('Lớp 5 - Phân công'!$AJ$14:$AJ$262,MATCH($X505,'Lớp 5 - Phân công'!$I$14:$I$262,0)),""),6,IFERROR(INDEX('Lớp 6 - Chi tiết'!$AM$14:$AM$267,MATCH($X505,'Lớp 6 - Chi tiết'!$I$14:$I$267,0)),""),""))</f>
        <v/>
      </c>
      <c r="BJ505" s="389" t="str">
        <f t="array" ref="BJ505">IF($X505="","",SWITCH($W505,3,IFERROR(INDEX('Lớp 3 - Công việc chính'!$AR$14:$AR$73,MATCH($X505,'Lớp 3 - Công việc chính'!$I$14:$I$73,0)),""),4,IFERROR(INDEX('Lớp 4 - Danh mục'!$AU$14:$AU$132,MATCH($X505,'Lớp 4 - Danh mục'!$I$14:$I$132,0)),""),5,IFERROR(INDEX('Lớp 5 - Phân công'!$AV$14:$AV$262,MATCH($X505,'Lớp 5 - Phân công'!$I$14:$I$262,0)),""),6,IFERROR(INDEX('Lớp 6 - Chi tiết'!$AY$14:$AY$267,MATCH($X505,'Lớp 6 - Chi tiết'!$I$14:$I$267,0)),""),""))</f>
        <v/>
      </c>
    </row>
    <row r="506" ht="15.75" customHeight="1">
      <c r="A506" s="294" t="str">
        <f t="shared" si="12"/>
        <v/>
      </c>
      <c r="B506" s="301" t="str">
        <f t="shared" si="13"/>
        <v/>
      </c>
      <c r="C506" s="301" t="str">
        <f t="shared" si="14"/>
        <v/>
      </c>
      <c r="D506" s="301" t="str">
        <f t="shared" si="15"/>
        <v/>
      </c>
      <c r="E506" s="301" t="str">
        <f t="shared" si="16"/>
        <v/>
      </c>
      <c r="F506" s="317" t="str">
        <f t="shared" si="17"/>
        <v/>
      </c>
      <c r="G506" s="323" t="str">
        <f t="shared" si="18"/>
        <v/>
      </c>
      <c r="H506" s="327" t="str">
        <f t="shared" si="19"/>
        <v/>
      </c>
      <c r="I506" s="327" t="str">
        <f t="shared" si="20"/>
        <v/>
      </c>
      <c r="J506" s="301" t="str">
        <f t="shared" si="21"/>
        <v/>
      </c>
      <c r="K506" s="301" t="str">
        <f t="shared" si="22"/>
        <v/>
      </c>
      <c r="L506" s="344" t="str">
        <f t="array" ref="L506">IF($T506="","",LET(m,MATCH($T506,$AS$24:$AS$700,0),lvl,INDEX($W$24:$W$700,m),id,INDEX($X$24:$X$700,m),SWITCH(lvl,3,"Lớp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6" s="351" t="str">
        <f t="shared" si="23"/>
        <v/>
      </c>
      <c r="N506" s="356" t="str">
        <f t="shared" si="24"/>
        <v/>
      </c>
      <c r="O506" s="358"/>
      <c r="P506" s="360"/>
      <c r="Q506" s="360"/>
      <c r="R506" s="67"/>
      <c r="S506" s="67"/>
      <c r="T506" s="67"/>
      <c r="U506" s="389" t="str">
        <f>IF('Lớp 6 - Chi tiết'!I68="","",'Lớp 6 - Chi tiết'!L68&amp;"|"&amp;'Lớp 6 - Chi tiết'!K68&amp;"|"&amp;'Lớp 6 - Chi tiết'!J68&amp;"|"&amp;'Lớp 6 - Chi tiết'!I68)</f>
        <v/>
      </c>
      <c r="V506" s="389" t="str">
        <f>IF('Lớp 6 - Chi tiết'!I68="","","           └─ "&amp;'Lớp 6 - Chi tiết'!S68)</f>
        <v/>
      </c>
      <c r="W506" s="389" t="str">
        <f>IF('Lớp 6 - Chi tiết'!I68="","",6)</f>
        <v/>
      </c>
      <c r="X506" s="67" t="str">
        <f>'Lớp 6 - Chi tiết'!I68</f>
        <v/>
      </c>
      <c r="Y506" s="389" t="str">
        <f>'Lớp 6 - Chi tiết'!J68</f>
        <v/>
      </c>
      <c r="Z506" s="67" t="str">
        <f>'Lớp 6 - Chi tiết'!AC68</f>
        <v/>
      </c>
      <c r="AA506" s="67" t="str">
        <f>'Lớp 6 - Chi tiết'!AB68</f>
        <v/>
      </c>
      <c r="AB506" s="67" t="str">
        <f>'Lớp 6 - Chi tiết'!AF68</f>
        <v/>
      </c>
      <c r="AC506" s="67" t="str">
        <f>'Lớp 6 - Chi tiết'!AE68</f>
        <v/>
      </c>
      <c r="AD506" s="398" t="str">
        <f>'Lớp 6 - Chi tiết'!AJ68</f>
        <v/>
      </c>
      <c r="AE506" s="358" t="str">
        <f>'Lớp 6 - Chi tiết'!AH68</f>
        <v/>
      </c>
      <c r="AF506" s="187" t="str">
        <f>'Lớp 6 - Chi tiết'!AK68</f>
        <v/>
      </c>
      <c r="AG506" s="104" t="str">
        <f>'Lớp 6 - Chi tiết'!AL68</f>
        <v/>
      </c>
      <c r="AH506" s="389" t="str">
        <f t="shared" si="27"/>
        <v/>
      </c>
      <c r="AI506" s="389" t="str">
        <f t="shared" si="37"/>
        <v>🔵 Chưa có hạn</v>
      </c>
      <c r="AJ506" s="67" t="str">
        <f>'Lớp 6 - Chi tiết'!AO68</f>
        <v/>
      </c>
      <c r="AS506" s="389" t="str">
        <f t="shared" si="467"/>
        <v/>
      </c>
      <c r="AT506" s="389" t="str">
        <f t="shared" si="32"/>
        <v/>
      </c>
      <c r="AU506" s="389" t="str">
        <f t="shared" si="33"/>
        <v/>
      </c>
      <c r="AV506" s="389" t="str">
        <f t="shared" si="34"/>
        <v/>
      </c>
      <c r="AW506" s="389" t="str">
        <f t="shared" si="35"/>
        <v/>
      </c>
      <c r="AX506" s="67" t="str">
        <f t="shared" ref="AX506:BH506" si="521">Z506</f>
        <v/>
      </c>
      <c r="AY506" s="67" t="str">
        <f t="shared" si="521"/>
        <v/>
      </c>
      <c r="AZ506" s="67" t="str">
        <f t="shared" si="521"/>
        <v/>
      </c>
      <c r="BA506" s="67" t="str">
        <f t="shared" si="521"/>
        <v/>
      </c>
      <c r="BB506" s="398" t="str">
        <f t="shared" si="521"/>
        <v/>
      </c>
      <c r="BC506" s="358" t="str">
        <f t="shared" si="521"/>
        <v/>
      </c>
      <c r="BD506" s="187" t="str">
        <f t="shared" si="521"/>
        <v/>
      </c>
      <c r="BE506" s="104" t="str">
        <f t="shared" si="521"/>
        <v/>
      </c>
      <c r="BF506" s="389" t="str">
        <f t="shared" si="521"/>
        <v/>
      </c>
      <c r="BG506" s="389" t="str">
        <f t="shared" si="521"/>
        <v>🔵 Chưa có hạn</v>
      </c>
      <c r="BH506" s="67" t="str">
        <f t="shared" si="521"/>
        <v/>
      </c>
      <c r="BI506" s="389" t="str">
        <f t="array" ref="BI506">IF($X506="","",SWITCH($W506,3,IFERROR(INDEX('Lớp 3 - Công việc chính'!$AF$14:$AF$73,MATCH($X506,'Lớp 3 - Công việc chính'!$I$14:$I$73,0)),""),4,IFERROR(INDEX('Lớp 4 - Danh mục'!$AI$14:$AI$132,MATCH($X506,'Lớp 4 - Danh mục'!$I$14:$I$132,0)),""),5,IFERROR(INDEX('Lớp 5 - Phân công'!$AJ$14:$AJ$262,MATCH($X506,'Lớp 5 - Phân công'!$I$14:$I$262,0)),""),6,IFERROR(INDEX('Lớp 6 - Chi tiết'!$AM$14:$AM$267,MATCH($X506,'Lớp 6 - Chi tiết'!$I$14:$I$267,0)),""),""))</f>
        <v/>
      </c>
      <c r="BJ506" s="389" t="str">
        <f t="array" ref="BJ506">IF($X506="","",SWITCH($W506,3,IFERROR(INDEX('Lớp 3 - Công việc chính'!$AR$14:$AR$73,MATCH($X506,'Lớp 3 - Công việc chính'!$I$14:$I$73,0)),""),4,IFERROR(INDEX('Lớp 4 - Danh mục'!$AU$14:$AU$132,MATCH($X506,'Lớp 4 - Danh mục'!$I$14:$I$132,0)),""),5,IFERROR(INDEX('Lớp 5 - Phân công'!$AV$14:$AV$262,MATCH($X506,'Lớp 5 - Phân công'!$I$14:$I$262,0)),""),6,IFERROR(INDEX('Lớp 6 - Chi tiết'!$AY$14:$AY$267,MATCH($X506,'Lớp 6 - Chi tiết'!$I$14:$I$267,0)),""),""))</f>
        <v/>
      </c>
    </row>
    <row r="507" ht="15.75" customHeight="1">
      <c r="A507" s="294" t="str">
        <f t="shared" si="12"/>
        <v/>
      </c>
      <c r="B507" s="301" t="str">
        <f t="shared" si="13"/>
        <v/>
      </c>
      <c r="C507" s="301" t="str">
        <f t="shared" si="14"/>
        <v/>
      </c>
      <c r="D507" s="301" t="str">
        <f t="shared" si="15"/>
        <v/>
      </c>
      <c r="E507" s="301" t="str">
        <f t="shared" si="16"/>
        <v/>
      </c>
      <c r="F507" s="317" t="str">
        <f t="shared" si="17"/>
        <v/>
      </c>
      <c r="G507" s="323" t="str">
        <f t="shared" si="18"/>
        <v/>
      </c>
      <c r="H507" s="327" t="str">
        <f t="shared" si="19"/>
        <v/>
      </c>
      <c r="I507" s="327" t="str">
        <f t="shared" si="20"/>
        <v/>
      </c>
      <c r="J507" s="301" t="str">
        <f t="shared" si="21"/>
        <v/>
      </c>
      <c r="K507" s="301" t="str">
        <f t="shared" si="22"/>
        <v/>
      </c>
      <c r="L507" s="344" t="str">
        <f t="array" ref="L507">IF($T507="","",LET(m,MATCH($T507,$AS$24:$AS$700,0),lvl,INDEX($W$24:$W$700,m),id,INDEX($X$24:$X$700,m),SWITCH(lvl,3,"Lớp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7" s="351" t="str">
        <f t="shared" si="23"/>
        <v/>
      </c>
      <c r="N507" s="356" t="str">
        <f t="shared" si="24"/>
        <v/>
      </c>
      <c r="O507" s="358"/>
      <c r="P507" s="360"/>
      <c r="Q507" s="360"/>
      <c r="R507" s="67"/>
      <c r="S507" s="67"/>
      <c r="T507" s="67"/>
      <c r="U507" s="389" t="str">
        <f>IF('Lớp 6 - Chi tiết'!I69="","",'Lớp 6 - Chi tiết'!L69&amp;"|"&amp;'Lớp 6 - Chi tiết'!K69&amp;"|"&amp;'Lớp 6 - Chi tiết'!J69&amp;"|"&amp;'Lớp 6 - Chi tiết'!I69)</f>
        <v/>
      </c>
      <c r="V507" s="389" t="str">
        <f>IF('Lớp 6 - Chi tiết'!I69="","","           └─ "&amp;'Lớp 6 - Chi tiết'!S69)</f>
        <v/>
      </c>
      <c r="W507" s="389" t="str">
        <f>IF('Lớp 6 - Chi tiết'!I69="","",6)</f>
        <v/>
      </c>
      <c r="X507" s="67" t="str">
        <f>'Lớp 6 - Chi tiết'!I69</f>
        <v/>
      </c>
      <c r="Y507" s="389" t="str">
        <f>'Lớp 6 - Chi tiết'!J69</f>
        <v/>
      </c>
      <c r="Z507" s="67" t="str">
        <f>'Lớp 6 - Chi tiết'!AC69</f>
        <v/>
      </c>
      <c r="AA507" s="67" t="str">
        <f>'Lớp 6 - Chi tiết'!AB69</f>
        <v/>
      </c>
      <c r="AB507" s="67" t="str">
        <f>'Lớp 6 - Chi tiết'!AF69</f>
        <v/>
      </c>
      <c r="AC507" s="67" t="str">
        <f>'Lớp 6 - Chi tiết'!AE69</f>
        <v/>
      </c>
      <c r="AD507" s="398" t="str">
        <f>'Lớp 6 - Chi tiết'!AJ69</f>
        <v/>
      </c>
      <c r="AE507" s="358" t="str">
        <f>'Lớp 6 - Chi tiết'!AH69</f>
        <v/>
      </c>
      <c r="AF507" s="187" t="str">
        <f>'Lớp 6 - Chi tiết'!AK69</f>
        <v/>
      </c>
      <c r="AG507" s="104" t="str">
        <f>'Lớp 6 - Chi tiết'!AL69</f>
        <v/>
      </c>
      <c r="AH507" s="389" t="str">
        <f t="shared" si="27"/>
        <v/>
      </c>
      <c r="AI507" s="389" t="str">
        <f t="shared" si="37"/>
        <v>🔵 Chưa có hạn</v>
      </c>
      <c r="AJ507" s="67" t="str">
        <f>'Lớp 6 - Chi tiết'!AO69</f>
        <v/>
      </c>
      <c r="AS507" s="389" t="str">
        <f t="shared" si="467"/>
        <v/>
      </c>
      <c r="AT507" s="389" t="str">
        <f t="shared" si="32"/>
        <v/>
      </c>
      <c r="AU507" s="389" t="str">
        <f t="shared" si="33"/>
        <v/>
      </c>
      <c r="AV507" s="389" t="str">
        <f t="shared" si="34"/>
        <v/>
      </c>
      <c r="AW507" s="389" t="str">
        <f t="shared" si="35"/>
        <v/>
      </c>
      <c r="AX507" s="67" t="str">
        <f t="shared" ref="AX507:BH507" si="522">Z507</f>
        <v/>
      </c>
      <c r="AY507" s="67" t="str">
        <f t="shared" si="522"/>
        <v/>
      </c>
      <c r="AZ507" s="67" t="str">
        <f t="shared" si="522"/>
        <v/>
      </c>
      <c r="BA507" s="67" t="str">
        <f t="shared" si="522"/>
        <v/>
      </c>
      <c r="BB507" s="398" t="str">
        <f t="shared" si="522"/>
        <v/>
      </c>
      <c r="BC507" s="358" t="str">
        <f t="shared" si="522"/>
        <v/>
      </c>
      <c r="BD507" s="187" t="str">
        <f t="shared" si="522"/>
        <v/>
      </c>
      <c r="BE507" s="104" t="str">
        <f t="shared" si="522"/>
        <v/>
      </c>
      <c r="BF507" s="389" t="str">
        <f t="shared" si="522"/>
        <v/>
      </c>
      <c r="BG507" s="389" t="str">
        <f t="shared" si="522"/>
        <v>🔵 Chưa có hạn</v>
      </c>
      <c r="BH507" s="67" t="str">
        <f t="shared" si="522"/>
        <v/>
      </c>
      <c r="BI507" s="389" t="str">
        <f t="array" ref="BI507">IF($X507="","",SWITCH($W507,3,IFERROR(INDEX('Lớp 3 - Công việc chính'!$AF$14:$AF$73,MATCH($X507,'Lớp 3 - Công việc chính'!$I$14:$I$73,0)),""),4,IFERROR(INDEX('Lớp 4 - Danh mục'!$AI$14:$AI$132,MATCH($X507,'Lớp 4 - Danh mục'!$I$14:$I$132,0)),""),5,IFERROR(INDEX('Lớp 5 - Phân công'!$AJ$14:$AJ$262,MATCH($X507,'Lớp 5 - Phân công'!$I$14:$I$262,0)),""),6,IFERROR(INDEX('Lớp 6 - Chi tiết'!$AM$14:$AM$267,MATCH($X507,'Lớp 6 - Chi tiết'!$I$14:$I$267,0)),""),""))</f>
        <v/>
      </c>
      <c r="BJ507" s="389" t="str">
        <f t="array" ref="BJ507">IF($X507="","",SWITCH($W507,3,IFERROR(INDEX('Lớp 3 - Công việc chính'!$AR$14:$AR$73,MATCH($X507,'Lớp 3 - Công việc chính'!$I$14:$I$73,0)),""),4,IFERROR(INDEX('Lớp 4 - Danh mục'!$AU$14:$AU$132,MATCH($X507,'Lớp 4 - Danh mục'!$I$14:$I$132,0)),""),5,IFERROR(INDEX('Lớp 5 - Phân công'!$AV$14:$AV$262,MATCH($X507,'Lớp 5 - Phân công'!$I$14:$I$262,0)),""),6,IFERROR(INDEX('Lớp 6 - Chi tiết'!$AY$14:$AY$267,MATCH($X507,'Lớp 6 - Chi tiết'!$I$14:$I$267,0)),""),""))</f>
        <v/>
      </c>
    </row>
    <row r="508" ht="15.75" customHeight="1">
      <c r="A508" s="294" t="str">
        <f t="shared" si="12"/>
        <v/>
      </c>
      <c r="B508" s="301" t="str">
        <f t="shared" si="13"/>
        <v/>
      </c>
      <c r="C508" s="301" t="str">
        <f t="shared" si="14"/>
        <v/>
      </c>
      <c r="D508" s="301" t="str">
        <f t="shared" si="15"/>
        <v/>
      </c>
      <c r="E508" s="301" t="str">
        <f t="shared" si="16"/>
        <v/>
      </c>
      <c r="F508" s="317" t="str">
        <f t="shared" si="17"/>
        <v/>
      </c>
      <c r="G508" s="323" t="str">
        <f t="shared" si="18"/>
        <v/>
      </c>
      <c r="H508" s="327" t="str">
        <f t="shared" si="19"/>
        <v/>
      </c>
      <c r="I508" s="327" t="str">
        <f t="shared" si="20"/>
        <v/>
      </c>
      <c r="J508" s="301" t="str">
        <f t="shared" si="21"/>
        <v/>
      </c>
      <c r="K508" s="301" t="str">
        <f t="shared" si="22"/>
        <v/>
      </c>
      <c r="L508" s="344" t="str">
        <f t="array" ref="L508">IF($T508="","",LET(m,MATCH($T508,$AS$24:$AS$700,0),lvl,INDEX($W$24:$W$700,m),id,INDEX($X$24:$X$700,m),SWITCH(lvl,3,"Lớp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8" s="351" t="str">
        <f t="shared" si="23"/>
        <v/>
      </c>
      <c r="N508" s="356" t="str">
        <f t="shared" si="24"/>
        <v/>
      </c>
      <c r="O508" s="358"/>
      <c r="P508" s="360"/>
      <c r="Q508" s="360"/>
      <c r="R508" s="67"/>
      <c r="S508" s="67"/>
      <c r="T508" s="67"/>
      <c r="U508" s="389" t="str">
        <f>IF('Lớp 6 - Chi tiết'!I70="","",'Lớp 6 - Chi tiết'!L70&amp;"|"&amp;'Lớp 6 - Chi tiết'!K70&amp;"|"&amp;'Lớp 6 - Chi tiết'!J70&amp;"|"&amp;'Lớp 6 - Chi tiết'!I70)</f>
        <v/>
      </c>
      <c r="V508" s="389" t="str">
        <f>IF('Lớp 6 - Chi tiết'!I70="","","           └─ "&amp;'Lớp 6 - Chi tiết'!S70)</f>
        <v/>
      </c>
      <c r="W508" s="389" t="str">
        <f>IF('Lớp 6 - Chi tiết'!I70="","",6)</f>
        <v/>
      </c>
      <c r="X508" s="67" t="str">
        <f>'Lớp 6 - Chi tiết'!I70</f>
        <v/>
      </c>
      <c r="Y508" s="389" t="str">
        <f>'Lớp 6 - Chi tiết'!J70</f>
        <v/>
      </c>
      <c r="Z508" s="67" t="str">
        <f>'Lớp 6 - Chi tiết'!AC70</f>
        <v/>
      </c>
      <c r="AA508" s="67" t="str">
        <f>'Lớp 6 - Chi tiết'!AB70</f>
        <v/>
      </c>
      <c r="AB508" s="67" t="str">
        <f>'Lớp 6 - Chi tiết'!AF70</f>
        <v/>
      </c>
      <c r="AC508" s="67" t="str">
        <f>'Lớp 6 - Chi tiết'!AE70</f>
        <v/>
      </c>
      <c r="AD508" s="398" t="str">
        <f>'Lớp 6 - Chi tiết'!AJ70</f>
        <v/>
      </c>
      <c r="AE508" s="358" t="str">
        <f>'Lớp 6 - Chi tiết'!AH70</f>
        <v/>
      </c>
      <c r="AF508" s="187" t="str">
        <f>'Lớp 6 - Chi tiết'!AK70</f>
        <v/>
      </c>
      <c r="AG508" s="104" t="str">
        <f>'Lớp 6 - Chi tiết'!AL70</f>
        <v/>
      </c>
      <c r="AH508" s="389" t="str">
        <f t="shared" si="27"/>
        <v/>
      </c>
      <c r="AI508" s="389" t="str">
        <f t="shared" si="37"/>
        <v>🔵 Chưa có hạn</v>
      </c>
      <c r="AJ508" s="67" t="str">
        <f>'Lớp 6 - Chi tiết'!AO70</f>
        <v/>
      </c>
      <c r="AS508" s="389" t="str">
        <f t="shared" si="467"/>
        <v/>
      </c>
      <c r="AT508" s="389" t="str">
        <f t="shared" si="32"/>
        <v/>
      </c>
      <c r="AU508" s="389" t="str">
        <f t="shared" si="33"/>
        <v/>
      </c>
      <c r="AV508" s="389" t="str">
        <f t="shared" si="34"/>
        <v/>
      </c>
      <c r="AW508" s="389" t="str">
        <f t="shared" si="35"/>
        <v/>
      </c>
      <c r="AX508" s="67" t="str">
        <f t="shared" ref="AX508:BH508" si="523">Z508</f>
        <v/>
      </c>
      <c r="AY508" s="67" t="str">
        <f t="shared" si="523"/>
        <v/>
      </c>
      <c r="AZ508" s="67" t="str">
        <f t="shared" si="523"/>
        <v/>
      </c>
      <c r="BA508" s="67" t="str">
        <f t="shared" si="523"/>
        <v/>
      </c>
      <c r="BB508" s="398" t="str">
        <f t="shared" si="523"/>
        <v/>
      </c>
      <c r="BC508" s="358" t="str">
        <f t="shared" si="523"/>
        <v/>
      </c>
      <c r="BD508" s="187" t="str">
        <f t="shared" si="523"/>
        <v/>
      </c>
      <c r="BE508" s="104" t="str">
        <f t="shared" si="523"/>
        <v/>
      </c>
      <c r="BF508" s="389" t="str">
        <f t="shared" si="523"/>
        <v/>
      </c>
      <c r="BG508" s="389" t="str">
        <f t="shared" si="523"/>
        <v>🔵 Chưa có hạn</v>
      </c>
      <c r="BH508" s="67" t="str">
        <f t="shared" si="523"/>
        <v/>
      </c>
      <c r="BI508" s="389" t="str">
        <f t="array" ref="BI508">IF($X508="","",SWITCH($W508,3,IFERROR(INDEX('Lớp 3 - Công việc chính'!$AF$14:$AF$73,MATCH($X508,'Lớp 3 - Công việc chính'!$I$14:$I$73,0)),""),4,IFERROR(INDEX('Lớp 4 - Danh mục'!$AI$14:$AI$132,MATCH($X508,'Lớp 4 - Danh mục'!$I$14:$I$132,0)),""),5,IFERROR(INDEX('Lớp 5 - Phân công'!$AJ$14:$AJ$262,MATCH($X508,'Lớp 5 - Phân công'!$I$14:$I$262,0)),""),6,IFERROR(INDEX('Lớp 6 - Chi tiết'!$AM$14:$AM$267,MATCH($X508,'Lớp 6 - Chi tiết'!$I$14:$I$267,0)),""),""))</f>
        <v/>
      </c>
      <c r="BJ508" s="389" t="str">
        <f t="array" ref="BJ508">IF($X508="","",SWITCH($W508,3,IFERROR(INDEX('Lớp 3 - Công việc chính'!$AR$14:$AR$73,MATCH($X508,'Lớp 3 - Công việc chính'!$I$14:$I$73,0)),""),4,IFERROR(INDEX('Lớp 4 - Danh mục'!$AU$14:$AU$132,MATCH($X508,'Lớp 4 - Danh mục'!$I$14:$I$132,0)),""),5,IFERROR(INDEX('Lớp 5 - Phân công'!$AV$14:$AV$262,MATCH($X508,'Lớp 5 - Phân công'!$I$14:$I$262,0)),""),6,IFERROR(INDEX('Lớp 6 - Chi tiết'!$AY$14:$AY$267,MATCH($X508,'Lớp 6 - Chi tiết'!$I$14:$I$267,0)),""),""))</f>
        <v/>
      </c>
    </row>
    <row r="509" ht="15.75" customHeight="1">
      <c r="A509" s="294" t="str">
        <f t="shared" si="12"/>
        <v/>
      </c>
      <c r="B509" s="301" t="str">
        <f t="shared" si="13"/>
        <v/>
      </c>
      <c r="C509" s="301" t="str">
        <f t="shared" si="14"/>
        <v/>
      </c>
      <c r="D509" s="301" t="str">
        <f t="shared" si="15"/>
        <v/>
      </c>
      <c r="E509" s="301" t="str">
        <f t="shared" si="16"/>
        <v/>
      </c>
      <c r="F509" s="317" t="str">
        <f t="shared" si="17"/>
        <v/>
      </c>
      <c r="G509" s="323" t="str">
        <f t="shared" si="18"/>
        <v/>
      </c>
      <c r="H509" s="327" t="str">
        <f t="shared" si="19"/>
        <v/>
      </c>
      <c r="I509" s="327" t="str">
        <f t="shared" si="20"/>
        <v/>
      </c>
      <c r="J509" s="301" t="str">
        <f t="shared" si="21"/>
        <v/>
      </c>
      <c r="K509" s="301" t="str">
        <f t="shared" si="22"/>
        <v/>
      </c>
      <c r="L509" s="344" t="str">
        <f t="array" ref="L509">IF($T509="","",LET(m,MATCH($T509,$AS$24:$AS$700,0),lvl,INDEX($W$24:$W$700,m),id,INDEX($X$24:$X$700,m),SWITCH(lvl,3,"Lớp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09" s="351" t="str">
        <f t="shared" si="23"/>
        <v/>
      </c>
      <c r="N509" s="356" t="str">
        <f t="shared" si="24"/>
        <v/>
      </c>
      <c r="O509" s="358"/>
      <c r="P509" s="360"/>
      <c r="Q509" s="360"/>
      <c r="R509" s="67"/>
      <c r="S509" s="67"/>
      <c r="T509" s="67"/>
      <c r="U509" s="389" t="str">
        <f>IF('Lớp 6 - Chi tiết'!I71="","",'Lớp 6 - Chi tiết'!L71&amp;"|"&amp;'Lớp 6 - Chi tiết'!K71&amp;"|"&amp;'Lớp 6 - Chi tiết'!J71&amp;"|"&amp;'Lớp 6 - Chi tiết'!I71)</f>
        <v/>
      </c>
      <c r="V509" s="389" t="str">
        <f>IF('Lớp 6 - Chi tiết'!I71="","","           └─ "&amp;'Lớp 6 - Chi tiết'!S71)</f>
        <v/>
      </c>
      <c r="W509" s="389" t="str">
        <f>IF('Lớp 6 - Chi tiết'!I71="","",6)</f>
        <v/>
      </c>
      <c r="X509" s="67" t="str">
        <f>'Lớp 6 - Chi tiết'!I71</f>
        <v/>
      </c>
      <c r="Y509" s="389" t="str">
        <f>'Lớp 6 - Chi tiết'!J71</f>
        <v/>
      </c>
      <c r="Z509" s="67" t="str">
        <f>'Lớp 6 - Chi tiết'!AC71</f>
        <v/>
      </c>
      <c r="AA509" s="67" t="str">
        <f>'Lớp 6 - Chi tiết'!AB71</f>
        <v/>
      </c>
      <c r="AB509" s="67" t="str">
        <f>'Lớp 6 - Chi tiết'!AF71</f>
        <v/>
      </c>
      <c r="AC509" s="67" t="str">
        <f>'Lớp 6 - Chi tiết'!AE71</f>
        <v/>
      </c>
      <c r="AD509" s="398" t="str">
        <f>'Lớp 6 - Chi tiết'!AJ71</f>
        <v/>
      </c>
      <c r="AE509" s="358" t="str">
        <f>'Lớp 6 - Chi tiết'!AH71</f>
        <v/>
      </c>
      <c r="AF509" s="187" t="str">
        <f>'Lớp 6 - Chi tiết'!AK71</f>
        <v/>
      </c>
      <c r="AG509" s="104" t="str">
        <f>'Lớp 6 - Chi tiết'!AL71</f>
        <v/>
      </c>
      <c r="AH509" s="389" t="str">
        <f t="shared" si="27"/>
        <v/>
      </c>
      <c r="AI509" s="389" t="str">
        <f t="shared" si="37"/>
        <v>🔵 Chưa có hạn</v>
      </c>
      <c r="AJ509" s="67" t="str">
        <f>'Lớp 6 - Chi tiết'!AO71</f>
        <v/>
      </c>
      <c r="AS509" s="389" t="str">
        <f t="shared" si="467"/>
        <v/>
      </c>
      <c r="AT509" s="389" t="str">
        <f t="shared" si="32"/>
        <v/>
      </c>
      <c r="AU509" s="389" t="str">
        <f t="shared" si="33"/>
        <v/>
      </c>
      <c r="AV509" s="389" t="str">
        <f t="shared" si="34"/>
        <v/>
      </c>
      <c r="AW509" s="389" t="str">
        <f t="shared" si="35"/>
        <v/>
      </c>
      <c r="AX509" s="67" t="str">
        <f t="shared" ref="AX509:BH509" si="524">Z509</f>
        <v/>
      </c>
      <c r="AY509" s="67" t="str">
        <f t="shared" si="524"/>
        <v/>
      </c>
      <c r="AZ509" s="67" t="str">
        <f t="shared" si="524"/>
        <v/>
      </c>
      <c r="BA509" s="67" t="str">
        <f t="shared" si="524"/>
        <v/>
      </c>
      <c r="BB509" s="398" t="str">
        <f t="shared" si="524"/>
        <v/>
      </c>
      <c r="BC509" s="358" t="str">
        <f t="shared" si="524"/>
        <v/>
      </c>
      <c r="BD509" s="187" t="str">
        <f t="shared" si="524"/>
        <v/>
      </c>
      <c r="BE509" s="104" t="str">
        <f t="shared" si="524"/>
        <v/>
      </c>
      <c r="BF509" s="389" t="str">
        <f t="shared" si="524"/>
        <v/>
      </c>
      <c r="BG509" s="389" t="str">
        <f t="shared" si="524"/>
        <v>🔵 Chưa có hạn</v>
      </c>
      <c r="BH509" s="67" t="str">
        <f t="shared" si="524"/>
        <v/>
      </c>
      <c r="BI509" s="389" t="str">
        <f t="array" ref="BI509">IF($X509="","",SWITCH($W509,3,IFERROR(INDEX('Lớp 3 - Công việc chính'!$AF$14:$AF$73,MATCH($X509,'Lớp 3 - Công việc chính'!$I$14:$I$73,0)),""),4,IFERROR(INDEX('Lớp 4 - Danh mục'!$AI$14:$AI$132,MATCH($X509,'Lớp 4 - Danh mục'!$I$14:$I$132,0)),""),5,IFERROR(INDEX('Lớp 5 - Phân công'!$AJ$14:$AJ$262,MATCH($X509,'Lớp 5 - Phân công'!$I$14:$I$262,0)),""),6,IFERROR(INDEX('Lớp 6 - Chi tiết'!$AM$14:$AM$267,MATCH($X509,'Lớp 6 - Chi tiết'!$I$14:$I$267,0)),""),""))</f>
        <v/>
      </c>
      <c r="BJ509" s="389" t="str">
        <f t="array" ref="BJ509">IF($X509="","",SWITCH($W509,3,IFERROR(INDEX('Lớp 3 - Công việc chính'!$AR$14:$AR$73,MATCH($X509,'Lớp 3 - Công việc chính'!$I$14:$I$73,0)),""),4,IFERROR(INDEX('Lớp 4 - Danh mục'!$AU$14:$AU$132,MATCH($X509,'Lớp 4 - Danh mục'!$I$14:$I$132,0)),""),5,IFERROR(INDEX('Lớp 5 - Phân công'!$AV$14:$AV$262,MATCH($X509,'Lớp 5 - Phân công'!$I$14:$I$262,0)),""),6,IFERROR(INDEX('Lớp 6 - Chi tiết'!$AY$14:$AY$267,MATCH($X509,'Lớp 6 - Chi tiết'!$I$14:$I$267,0)),""),""))</f>
        <v/>
      </c>
    </row>
    <row r="510" ht="15.75" customHeight="1">
      <c r="A510" s="294" t="str">
        <f t="shared" si="12"/>
        <v/>
      </c>
      <c r="B510" s="301" t="str">
        <f t="shared" si="13"/>
        <v/>
      </c>
      <c r="C510" s="301" t="str">
        <f t="shared" si="14"/>
        <v/>
      </c>
      <c r="D510" s="301" t="str">
        <f t="shared" si="15"/>
        <v/>
      </c>
      <c r="E510" s="301" t="str">
        <f t="shared" si="16"/>
        <v/>
      </c>
      <c r="F510" s="317" t="str">
        <f t="shared" si="17"/>
        <v/>
      </c>
      <c r="G510" s="323" t="str">
        <f t="shared" si="18"/>
        <v/>
      </c>
      <c r="H510" s="327" t="str">
        <f t="shared" si="19"/>
        <v/>
      </c>
      <c r="I510" s="327" t="str">
        <f t="shared" si="20"/>
        <v/>
      </c>
      <c r="J510" s="301" t="str">
        <f t="shared" si="21"/>
        <v/>
      </c>
      <c r="K510" s="301" t="str">
        <f t="shared" si="22"/>
        <v/>
      </c>
      <c r="L510" s="344" t="str">
        <f t="array" ref="L510">IF($T510="","",LET(m,MATCH($T510,$AS$24:$AS$700,0),lvl,INDEX($W$24:$W$700,m),id,INDEX($X$24:$X$700,m),SWITCH(lvl,3,"Lớp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0" s="351" t="str">
        <f t="shared" si="23"/>
        <v/>
      </c>
      <c r="N510" s="356" t="str">
        <f t="shared" si="24"/>
        <v/>
      </c>
      <c r="O510" s="358"/>
      <c r="P510" s="360"/>
      <c r="Q510" s="360"/>
      <c r="R510" s="67"/>
      <c r="S510" s="67"/>
      <c r="T510" s="67"/>
      <c r="U510" s="389" t="str">
        <f>IF('Lớp 6 - Chi tiết'!I72="","",'Lớp 6 - Chi tiết'!L72&amp;"|"&amp;'Lớp 6 - Chi tiết'!K72&amp;"|"&amp;'Lớp 6 - Chi tiết'!J72&amp;"|"&amp;'Lớp 6 - Chi tiết'!I72)</f>
        <v/>
      </c>
      <c r="V510" s="389" t="str">
        <f>IF('Lớp 6 - Chi tiết'!I72="","","           └─ "&amp;'Lớp 6 - Chi tiết'!S72)</f>
        <v/>
      </c>
      <c r="W510" s="389" t="str">
        <f>IF('Lớp 6 - Chi tiết'!I72="","",6)</f>
        <v/>
      </c>
      <c r="X510" s="67" t="str">
        <f>'Lớp 6 - Chi tiết'!I72</f>
        <v/>
      </c>
      <c r="Y510" s="389" t="str">
        <f>'Lớp 6 - Chi tiết'!J72</f>
        <v/>
      </c>
      <c r="Z510" s="67" t="str">
        <f>'Lớp 6 - Chi tiết'!AC72</f>
        <v/>
      </c>
      <c r="AA510" s="67" t="str">
        <f>'Lớp 6 - Chi tiết'!AB72</f>
        <v/>
      </c>
      <c r="AB510" s="67" t="str">
        <f>'Lớp 6 - Chi tiết'!AF72</f>
        <v/>
      </c>
      <c r="AC510" s="67" t="str">
        <f>'Lớp 6 - Chi tiết'!AE72</f>
        <v/>
      </c>
      <c r="AD510" s="398" t="str">
        <f>'Lớp 6 - Chi tiết'!AJ72</f>
        <v/>
      </c>
      <c r="AE510" s="358" t="str">
        <f>'Lớp 6 - Chi tiết'!AH72</f>
        <v/>
      </c>
      <c r="AF510" s="187" t="str">
        <f>'Lớp 6 - Chi tiết'!AK72</f>
        <v/>
      </c>
      <c r="AG510" s="104" t="str">
        <f>'Lớp 6 - Chi tiết'!AL72</f>
        <v/>
      </c>
      <c r="AH510" s="389" t="str">
        <f t="shared" si="27"/>
        <v/>
      </c>
      <c r="AI510" s="389" t="str">
        <f t="shared" si="37"/>
        <v>🔵 Chưa có hạn</v>
      </c>
      <c r="AJ510" s="67" t="str">
        <f>'Lớp 6 - Chi tiết'!AO72</f>
        <v/>
      </c>
      <c r="AS510" s="389" t="str">
        <f t="shared" si="467"/>
        <v/>
      </c>
      <c r="AT510" s="389" t="str">
        <f t="shared" si="32"/>
        <v/>
      </c>
      <c r="AU510" s="389" t="str">
        <f t="shared" si="33"/>
        <v/>
      </c>
      <c r="AV510" s="389" t="str">
        <f t="shared" si="34"/>
        <v/>
      </c>
      <c r="AW510" s="389" t="str">
        <f t="shared" si="35"/>
        <v/>
      </c>
      <c r="AX510" s="67" t="str">
        <f t="shared" ref="AX510:BH510" si="525">Z510</f>
        <v/>
      </c>
      <c r="AY510" s="67" t="str">
        <f t="shared" si="525"/>
        <v/>
      </c>
      <c r="AZ510" s="67" t="str">
        <f t="shared" si="525"/>
        <v/>
      </c>
      <c r="BA510" s="67" t="str">
        <f t="shared" si="525"/>
        <v/>
      </c>
      <c r="BB510" s="398" t="str">
        <f t="shared" si="525"/>
        <v/>
      </c>
      <c r="BC510" s="358" t="str">
        <f t="shared" si="525"/>
        <v/>
      </c>
      <c r="BD510" s="187" t="str">
        <f t="shared" si="525"/>
        <v/>
      </c>
      <c r="BE510" s="104" t="str">
        <f t="shared" si="525"/>
        <v/>
      </c>
      <c r="BF510" s="389" t="str">
        <f t="shared" si="525"/>
        <v/>
      </c>
      <c r="BG510" s="389" t="str">
        <f t="shared" si="525"/>
        <v>🔵 Chưa có hạn</v>
      </c>
      <c r="BH510" s="67" t="str">
        <f t="shared" si="525"/>
        <v/>
      </c>
      <c r="BI510" s="389" t="str">
        <f t="array" ref="BI510">IF($X510="","",SWITCH($W510,3,IFERROR(INDEX('Lớp 3 - Công việc chính'!$AF$14:$AF$73,MATCH($X510,'Lớp 3 - Công việc chính'!$I$14:$I$73,0)),""),4,IFERROR(INDEX('Lớp 4 - Danh mục'!$AI$14:$AI$132,MATCH($X510,'Lớp 4 - Danh mục'!$I$14:$I$132,0)),""),5,IFERROR(INDEX('Lớp 5 - Phân công'!$AJ$14:$AJ$262,MATCH($X510,'Lớp 5 - Phân công'!$I$14:$I$262,0)),""),6,IFERROR(INDEX('Lớp 6 - Chi tiết'!$AM$14:$AM$267,MATCH($X510,'Lớp 6 - Chi tiết'!$I$14:$I$267,0)),""),""))</f>
        <v/>
      </c>
      <c r="BJ510" s="389" t="str">
        <f t="array" ref="BJ510">IF($X510="","",SWITCH($W510,3,IFERROR(INDEX('Lớp 3 - Công việc chính'!$AR$14:$AR$73,MATCH($X510,'Lớp 3 - Công việc chính'!$I$14:$I$73,0)),""),4,IFERROR(INDEX('Lớp 4 - Danh mục'!$AU$14:$AU$132,MATCH($X510,'Lớp 4 - Danh mục'!$I$14:$I$132,0)),""),5,IFERROR(INDEX('Lớp 5 - Phân công'!$AV$14:$AV$262,MATCH($X510,'Lớp 5 - Phân công'!$I$14:$I$262,0)),""),6,IFERROR(INDEX('Lớp 6 - Chi tiết'!$AY$14:$AY$267,MATCH($X510,'Lớp 6 - Chi tiết'!$I$14:$I$267,0)),""),""))</f>
        <v/>
      </c>
    </row>
    <row r="511" ht="15.75" customHeight="1">
      <c r="A511" s="294" t="str">
        <f t="shared" si="12"/>
        <v/>
      </c>
      <c r="B511" s="301" t="str">
        <f t="shared" si="13"/>
        <v/>
      </c>
      <c r="C511" s="301" t="str">
        <f t="shared" si="14"/>
        <v/>
      </c>
      <c r="D511" s="301" t="str">
        <f t="shared" si="15"/>
        <v/>
      </c>
      <c r="E511" s="301" t="str">
        <f t="shared" si="16"/>
        <v/>
      </c>
      <c r="F511" s="317" t="str">
        <f t="shared" si="17"/>
        <v/>
      </c>
      <c r="G511" s="323" t="str">
        <f t="shared" si="18"/>
        <v/>
      </c>
      <c r="H511" s="327" t="str">
        <f t="shared" si="19"/>
        <v/>
      </c>
      <c r="I511" s="327" t="str">
        <f t="shared" si="20"/>
        <v/>
      </c>
      <c r="J511" s="301" t="str">
        <f t="shared" si="21"/>
        <v/>
      </c>
      <c r="K511" s="301" t="str">
        <f t="shared" si="22"/>
        <v/>
      </c>
      <c r="L511" s="344" t="str">
        <f t="array" ref="L511">IF($T511="","",LET(m,MATCH($T511,$AS$24:$AS$700,0),lvl,INDEX($W$24:$W$700,m),id,INDEX($X$24:$X$700,m),SWITCH(lvl,3,"Lớp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1" s="351" t="str">
        <f t="shared" si="23"/>
        <v/>
      </c>
      <c r="N511" s="356" t="str">
        <f t="shared" si="24"/>
        <v/>
      </c>
      <c r="O511" s="358"/>
      <c r="P511" s="360"/>
      <c r="Q511" s="360"/>
      <c r="R511" s="67"/>
      <c r="S511" s="67"/>
      <c r="T511" s="67"/>
      <c r="U511" s="389" t="str">
        <f>IF('Lớp 6 - Chi tiết'!I73="","",'Lớp 6 - Chi tiết'!L73&amp;"|"&amp;'Lớp 6 - Chi tiết'!K73&amp;"|"&amp;'Lớp 6 - Chi tiết'!J73&amp;"|"&amp;'Lớp 6 - Chi tiết'!I73)</f>
        <v/>
      </c>
      <c r="V511" s="389" t="str">
        <f>IF('Lớp 6 - Chi tiết'!I73="","","           └─ "&amp;'Lớp 6 - Chi tiết'!S73)</f>
        <v/>
      </c>
      <c r="W511" s="389" t="str">
        <f>IF('Lớp 6 - Chi tiết'!I73="","",6)</f>
        <v/>
      </c>
      <c r="X511" s="67" t="str">
        <f>'Lớp 6 - Chi tiết'!I73</f>
        <v/>
      </c>
      <c r="Y511" s="389" t="str">
        <f>'Lớp 6 - Chi tiết'!J73</f>
        <v/>
      </c>
      <c r="Z511" s="67" t="str">
        <f>'Lớp 6 - Chi tiết'!AC73</f>
        <v/>
      </c>
      <c r="AA511" s="67" t="str">
        <f>'Lớp 6 - Chi tiết'!AB73</f>
        <v/>
      </c>
      <c r="AB511" s="67" t="str">
        <f>'Lớp 6 - Chi tiết'!AF73</f>
        <v/>
      </c>
      <c r="AC511" s="67" t="str">
        <f>'Lớp 6 - Chi tiết'!AE73</f>
        <v/>
      </c>
      <c r="AD511" s="398" t="str">
        <f>'Lớp 6 - Chi tiết'!AJ73</f>
        <v/>
      </c>
      <c r="AE511" s="358" t="str">
        <f>'Lớp 6 - Chi tiết'!AH73</f>
        <v/>
      </c>
      <c r="AF511" s="187" t="str">
        <f>'Lớp 6 - Chi tiết'!AK73</f>
        <v/>
      </c>
      <c r="AG511" s="104" t="str">
        <f>'Lớp 6 - Chi tiết'!AL73</f>
        <v/>
      </c>
      <c r="AH511" s="389" t="str">
        <f t="shared" si="27"/>
        <v/>
      </c>
      <c r="AI511" s="389" t="str">
        <f t="shared" si="37"/>
        <v>🔵 Chưa có hạn</v>
      </c>
      <c r="AJ511" s="67" t="str">
        <f>'Lớp 6 - Chi tiết'!AO73</f>
        <v/>
      </c>
      <c r="AS511" s="389" t="str">
        <f t="shared" si="467"/>
        <v/>
      </c>
      <c r="AT511" s="389" t="str">
        <f t="shared" si="32"/>
        <v/>
      </c>
      <c r="AU511" s="389" t="str">
        <f t="shared" si="33"/>
        <v/>
      </c>
      <c r="AV511" s="389" t="str">
        <f t="shared" si="34"/>
        <v/>
      </c>
      <c r="AW511" s="389" t="str">
        <f t="shared" si="35"/>
        <v/>
      </c>
      <c r="AX511" s="67" t="str">
        <f t="shared" ref="AX511:BH511" si="526">Z511</f>
        <v/>
      </c>
      <c r="AY511" s="67" t="str">
        <f t="shared" si="526"/>
        <v/>
      </c>
      <c r="AZ511" s="67" t="str">
        <f t="shared" si="526"/>
        <v/>
      </c>
      <c r="BA511" s="67" t="str">
        <f t="shared" si="526"/>
        <v/>
      </c>
      <c r="BB511" s="398" t="str">
        <f t="shared" si="526"/>
        <v/>
      </c>
      <c r="BC511" s="358" t="str">
        <f t="shared" si="526"/>
        <v/>
      </c>
      <c r="BD511" s="187" t="str">
        <f t="shared" si="526"/>
        <v/>
      </c>
      <c r="BE511" s="104" t="str">
        <f t="shared" si="526"/>
        <v/>
      </c>
      <c r="BF511" s="389" t="str">
        <f t="shared" si="526"/>
        <v/>
      </c>
      <c r="BG511" s="389" t="str">
        <f t="shared" si="526"/>
        <v>🔵 Chưa có hạn</v>
      </c>
      <c r="BH511" s="67" t="str">
        <f t="shared" si="526"/>
        <v/>
      </c>
      <c r="BI511" s="389" t="str">
        <f t="array" ref="BI511">IF($X511="","",SWITCH($W511,3,IFERROR(INDEX('Lớp 3 - Công việc chính'!$AF$14:$AF$73,MATCH($X511,'Lớp 3 - Công việc chính'!$I$14:$I$73,0)),""),4,IFERROR(INDEX('Lớp 4 - Danh mục'!$AI$14:$AI$132,MATCH($X511,'Lớp 4 - Danh mục'!$I$14:$I$132,0)),""),5,IFERROR(INDEX('Lớp 5 - Phân công'!$AJ$14:$AJ$262,MATCH($X511,'Lớp 5 - Phân công'!$I$14:$I$262,0)),""),6,IFERROR(INDEX('Lớp 6 - Chi tiết'!$AM$14:$AM$267,MATCH($X511,'Lớp 6 - Chi tiết'!$I$14:$I$267,0)),""),""))</f>
        <v/>
      </c>
      <c r="BJ511" s="389" t="str">
        <f t="array" ref="BJ511">IF($X511="","",SWITCH($W511,3,IFERROR(INDEX('Lớp 3 - Công việc chính'!$AR$14:$AR$73,MATCH($X511,'Lớp 3 - Công việc chính'!$I$14:$I$73,0)),""),4,IFERROR(INDEX('Lớp 4 - Danh mục'!$AU$14:$AU$132,MATCH($X511,'Lớp 4 - Danh mục'!$I$14:$I$132,0)),""),5,IFERROR(INDEX('Lớp 5 - Phân công'!$AV$14:$AV$262,MATCH($X511,'Lớp 5 - Phân công'!$I$14:$I$262,0)),""),6,IFERROR(INDEX('Lớp 6 - Chi tiết'!$AY$14:$AY$267,MATCH($X511,'Lớp 6 - Chi tiết'!$I$14:$I$267,0)),""),""))</f>
        <v/>
      </c>
    </row>
    <row r="512" ht="15.75" customHeight="1">
      <c r="A512" s="294" t="str">
        <f t="shared" si="12"/>
        <v/>
      </c>
      <c r="B512" s="301" t="str">
        <f t="shared" si="13"/>
        <v/>
      </c>
      <c r="C512" s="301" t="str">
        <f t="shared" si="14"/>
        <v/>
      </c>
      <c r="D512" s="301" t="str">
        <f t="shared" si="15"/>
        <v/>
      </c>
      <c r="E512" s="301" t="str">
        <f t="shared" si="16"/>
        <v/>
      </c>
      <c r="F512" s="317" t="str">
        <f t="shared" si="17"/>
        <v/>
      </c>
      <c r="G512" s="323" t="str">
        <f t="shared" si="18"/>
        <v/>
      </c>
      <c r="H512" s="327" t="str">
        <f t="shared" si="19"/>
        <v/>
      </c>
      <c r="I512" s="327" t="str">
        <f t="shared" si="20"/>
        <v/>
      </c>
      <c r="J512" s="301" t="str">
        <f t="shared" si="21"/>
        <v/>
      </c>
      <c r="K512" s="301" t="str">
        <f t="shared" si="22"/>
        <v/>
      </c>
      <c r="L512" s="344" t="str">
        <f t="array" ref="L512">IF($T512="","",LET(m,MATCH($T512,$AS$24:$AS$700,0),lvl,INDEX($W$24:$W$700,m),id,INDEX($X$24:$X$700,m),SWITCH(lvl,3,"Lớp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2" s="351" t="str">
        <f t="shared" si="23"/>
        <v/>
      </c>
      <c r="N512" s="356" t="str">
        <f t="shared" si="24"/>
        <v/>
      </c>
      <c r="O512" s="358"/>
      <c r="P512" s="360"/>
      <c r="Q512" s="360"/>
      <c r="R512" s="67"/>
      <c r="S512" s="67"/>
      <c r="T512" s="67"/>
      <c r="U512" s="389" t="str">
        <f>IF('Lớp 6 - Chi tiết'!I74="","",'Lớp 6 - Chi tiết'!L74&amp;"|"&amp;'Lớp 6 - Chi tiết'!K74&amp;"|"&amp;'Lớp 6 - Chi tiết'!J74&amp;"|"&amp;'Lớp 6 - Chi tiết'!I74)</f>
        <v/>
      </c>
      <c r="V512" s="389" t="str">
        <f>IF('Lớp 6 - Chi tiết'!I74="","","           └─ "&amp;'Lớp 6 - Chi tiết'!S74)</f>
        <v/>
      </c>
      <c r="W512" s="389" t="str">
        <f>IF('Lớp 6 - Chi tiết'!I74="","",6)</f>
        <v/>
      </c>
      <c r="X512" s="67" t="str">
        <f>'Lớp 6 - Chi tiết'!I74</f>
        <v/>
      </c>
      <c r="Y512" s="389" t="str">
        <f>'Lớp 6 - Chi tiết'!J74</f>
        <v/>
      </c>
      <c r="Z512" s="67" t="str">
        <f>'Lớp 6 - Chi tiết'!AC74</f>
        <v/>
      </c>
      <c r="AA512" s="67" t="str">
        <f>'Lớp 6 - Chi tiết'!AB74</f>
        <v/>
      </c>
      <c r="AB512" s="67" t="str">
        <f>'Lớp 6 - Chi tiết'!AF74</f>
        <v/>
      </c>
      <c r="AC512" s="67" t="str">
        <f>'Lớp 6 - Chi tiết'!AE74</f>
        <v/>
      </c>
      <c r="AD512" s="398" t="str">
        <f>'Lớp 6 - Chi tiết'!AJ74</f>
        <v/>
      </c>
      <c r="AE512" s="358" t="str">
        <f>'Lớp 6 - Chi tiết'!AH74</f>
        <v/>
      </c>
      <c r="AF512" s="187" t="str">
        <f>'Lớp 6 - Chi tiết'!AK74</f>
        <v/>
      </c>
      <c r="AG512" s="104" t="str">
        <f>'Lớp 6 - Chi tiết'!AL74</f>
        <v/>
      </c>
      <c r="AH512" s="389" t="str">
        <f t="shared" si="27"/>
        <v/>
      </c>
      <c r="AI512" s="389" t="str">
        <f t="shared" si="37"/>
        <v>🔵 Chưa có hạn</v>
      </c>
      <c r="AJ512" s="67" t="str">
        <f>'Lớp 6 - Chi tiết'!AO74</f>
        <v/>
      </c>
      <c r="AS512" s="389" t="str">
        <f t="shared" si="467"/>
        <v/>
      </c>
      <c r="AT512" s="389" t="str">
        <f t="shared" si="32"/>
        <v/>
      </c>
      <c r="AU512" s="389" t="str">
        <f t="shared" si="33"/>
        <v/>
      </c>
      <c r="AV512" s="389" t="str">
        <f t="shared" si="34"/>
        <v/>
      </c>
      <c r="AW512" s="389" t="str">
        <f t="shared" si="35"/>
        <v/>
      </c>
      <c r="AX512" s="67" t="str">
        <f t="shared" ref="AX512:BH512" si="527">Z512</f>
        <v/>
      </c>
      <c r="AY512" s="67" t="str">
        <f t="shared" si="527"/>
        <v/>
      </c>
      <c r="AZ512" s="67" t="str">
        <f t="shared" si="527"/>
        <v/>
      </c>
      <c r="BA512" s="67" t="str">
        <f t="shared" si="527"/>
        <v/>
      </c>
      <c r="BB512" s="398" t="str">
        <f t="shared" si="527"/>
        <v/>
      </c>
      <c r="BC512" s="358" t="str">
        <f t="shared" si="527"/>
        <v/>
      </c>
      <c r="BD512" s="187" t="str">
        <f t="shared" si="527"/>
        <v/>
      </c>
      <c r="BE512" s="104" t="str">
        <f t="shared" si="527"/>
        <v/>
      </c>
      <c r="BF512" s="389" t="str">
        <f t="shared" si="527"/>
        <v/>
      </c>
      <c r="BG512" s="389" t="str">
        <f t="shared" si="527"/>
        <v>🔵 Chưa có hạn</v>
      </c>
      <c r="BH512" s="67" t="str">
        <f t="shared" si="527"/>
        <v/>
      </c>
      <c r="BI512" s="389" t="str">
        <f t="array" ref="BI512">IF($X512="","",SWITCH($W512,3,IFERROR(INDEX('Lớp 3 - Công việc chính'!$AF$14:$AF$73,MATCH($X512,'Lớp 3 - Công việc chính'!$I$14:$I$73,0)),""),4,IFERROR(INDEX('Lớp 4 - Danh mục'!$AI$14:$AI$132,MATCH($X512,'Lớp 4 - Danh mục'!$I$14:$I$132,0)),""),5,IFERROR(INDEX('Lớp 5 - Phân công'!$AJ$14:$AJ$262,MATCH($X512,'Lớp 5 - Phân công'!$I$14:$I$262,0)),""),6,IFERROR(INDEX('Lớp 6 - Chi tiết'!$AM$14:$AM$267,MATCH($X512,'Lớp 6 - Chi tiết'!$I$14:$I$267,0)),""),""))</f>
        <v/>
      </c>
      <c r="BJ512" s="389" t="str">
        <f t="array" ref="BJ512">IF($X512="","",SWITCH($W512,3,IFERROR(INDEX('Lớp 3 - Công việc chính'!$AR$14:$AR$73,MATCH($X512,'Lớp 3 - Công việc chính'!$I$14:$I$73,0)),""),4,IFERROR(INDEX('Lớp 4 - Danh mục'!$AU$14:$AU$132,MATCH($X512,'Lớp 4 - Danh mục'!$I$14:$I$132,0)),""),5,IFERROR(INDEX('Lớp 5 - Phân công'!$AV$14:$AV$262,MATCH($X512,'Lớp 5 - Phân công'!$I$14:$I$262,0)),""),6,IFERROR(INDEX('Lớp 6 - Chi tiết'!$AY$14:$AY$267,MATCH($X512,'Lớp 6 - Chi tiết'!$I$14:$I$267,0)),""),""))</f>
        <v/>
      </c>
    </row>
    <row r="513" ht="15.75" customHeight="1">
      <c r="A513" s="294" t="str">
        <f t="shared" si="12"/>
        <v/>
      </c>
      <c r="B513" s="301" t="str">
        <f t="shared" si="13"/>
        <v/>
      </c>
      <c r="C513" s="301" t="str">
        <f t="shared" si="14"/>
        <v/>
      </c>
      <c r="D513" s="301" t="str">
        <f t="shared" si="15"/>
        <v/>
      </c>
      <c r="E513" s="301" t="str">
        <f t="shared" si="16"/>
        <v/>
      </c>
      <c r="F513" s="317" t="str">
        <f t="shared" si="17"/>
        <v/>
      </c>
      <c r="G513" s="323" t="str">
        <f t="shared" si="18"/>
        <v/>
      </c>
      <c r="H513" s="327" t="str">
        <f t="shared" si="19"/>
        <v/>
      </c>
      <c r="I513" s="327" t="str">
        <f t="shared" si="20"/>
        <v/>
      </c>
      <c r="J513" s="301" t="str">
        <f t="shared" si="21"/>
        <v/>
      </c>
      <c r="K513" s="301" t="str">
        <f t="shared" si="22"/>
        <v/>
      </c>
      <c r="L513" s="344" t="str">
        <f t="array" ref="L513">IF($T513="","",LET(m,MATCH($T513,$AS$24:$AS$700,0),lvl,INDEX($W$24:$W$700,m),id,INDEX($X$24:$X$700,m),SWITCH(lvl,3,"Lớp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3" s="351" t="str">
        <f t="shared" si="23"/>
        <v/>
      </c>
      <c r="N513" s="356" t="str">
        <f t="shared" si="24"/>
        <v/>
      </c>
      <c r="O513" s="358"/>
      <c r="P513" s="360"/>
      <c r="Q513" s="360"/>
      <c r="R513" s="67"/>
      <c r="S513" s="67"/>
      <c r="T513" s="67"/>
      <c r="U513" s="389" t="str">
        <f>IF('Lớp 6 - Chi tiết'!I75="","",'Lớp 6 - Chi tiết'!L75&amp;"|"&amp;'Lớp 6 - Chi tiết'!K75&amp;"|"&amp;'Lớp 6 - Chi tiết'!J75&amp;"|"&amp;'Lớp 6 - Chi tiết'!I75)</f>
        <v/>
      </c>
      <c r="V513" s="389" t="str">
        <f>IF('Lớp 6 - Chi tiết'!I75="","","           └─ "&amp;'Lớp 6 - Chi tiết'!S75)</f>
        <v/>
      </c>
      <c r="W513" s="389" t="str">
        <f>IF('Lớp 6 - Chi tiết'!I75="","",6)</f>
        <v/>
      </c>
      <c r="X513" s="67" t="str">
        <f>'Lớp 6 - Chi tiết'!I75</f>
        <v/>
      </c>
      <c r="Y513" s="389" t="str">
        <f>'Lớp 6 - Chi tiết'!J75</f>
        <v/>
      </c>
      <c r="Z513" s="67" t="str">
        <f>'Lớp 6 - Chi tiết'!AC75</f>
        <v/>
      </c>
      <c r="AA513" s="67" t="str">
        <f>'Lớp 6 - Chi tiết'!AB75</f>
        <v/>
      </c>
      <c r="AB513" s="67" t="str">
        <f>'Lớp 6 - Chi tiết'!AF75</f>
        <v/>
      </c>
      <c r="AC513" s="67" t="str">
        <f>'Lớp 6 - Chi tiết'!AE75</f>
        <v/>
      </c>
      <c r="AD513" s="398" t="str">
        <f>'Lớp 6 - Chi tiết'!AJ75</f>
        <v/>
      </c>
      <c r="AE513" s="358" t="str">
        <f>'Lớp 6 - Chi tiết'!AH75</f>
        <v/>
      </c>
      <c r="AF513" s="187" t="str">
        <f>'Lớp 6 - Chi tiết'!AK75</f>
        <v/>
      </c>
      <c r="AG513" s="104" t="str">
        <f>'Lớp 6 - Chi tiết'!AL75</f>
        <v/>
      </c>
      <c r="AH513" s="389" t="str">
        <f t="shared" si="27"/>
        <v/>
      </c>
      <c r="AI513" s="389" t="str">
        <f t="shared" si="37"/>
        <v>🔵 Chưa có hạn</v>
      </c>
      <c r="AJ513" s="67" t="str">
        <f>'Lớp 6 - Chi tiết'!AO75</f>
        <v/>
      </c>
      <c r="AS513" s="389" t="str">
        <f t="shared" si="467"/>
        <v/>
      </c>
      <c r="AT513" s="389" t="str">
        <f t="shared" si="32"/>
        <v/>
      </c>
      <c r="AU513" s="389" t="str">
        <f t="shared" si="33"/>
        <v/>
      </c>
      <c r="AV513" s="389" t="str">
        <f t="shared" si="34"/>
        <v/>
      </c>
      <c r="AW513" s="389" t="str">
        <f t="shared" si="35"/>
        <v/>
      </c>
      <c r="AX513" s="67" t="str">
        <f t="shared" ref="AX513:BH513" si="528">Z513</f>
        <v/>
      </c>
      <c r="AY513" s="67" t="str">
        <f t="shared" si="528"/>
        <v/>
      </c>
      <c r="AZ513" s="67" t="str">
        <f t="shared" si="528"/>
        <v/>
      </c>
      <c r="BA513" s="67" t="str">
        <f t="shared" si="528"/>
        <v/>
      </c>
      <c r="BB513" s="398" t="str">
        <f t="shared" si="528"/>
        <v/>
      </c>
      <c r="BC513" s="358" t="str">
        <f t="shared" si="528"/>
        <v/>
      </c>
      <c r="BD513" s="187" t="str">
        <f t="shared" si="528"/>
        <v/>
      </c>
      <c r="BE513" s="104" t="str">
        <f t="shared" si="528"/>
        <v/>
      </c>
      <c r="BF513" s="389" t="str">
        <f t="shared" si="528"/>
        <v/>
      </c>
      <c r="BG513" s="389" t="str">
        <f t="shared" si="528"/>
        <v>🔵 Chưa có hạn</v>
      </c>
      <c r="BH513" s="67" t="str">
        <f t="shared" si="528"/>
        <v/>
      </c>
      <c r="BI513" s="389" t="str">
        <f t="array" ref="BI513">IF($X513="","",SWITCH($W513,3,IFERROR(INDEX('Lớp 3 - Công việc chính'!$AF$14:$AF$73,MATCH($X513,'Lớp 3 - Công việc chính'!$I$14:$I$73,0)),""),4,IFERROR(INDEX('Lớp 4 - Danh mục'!$AI$14:$AI$132,MATCH($X513,'Lớp 4 - Danh mục'!$I$14:$I$132,0)),""),5,IFERROR(INDEX('Lớp 5 - Phân công'!$AJ$14:$AJ$262,MATCH($X513,'Lớp 5 - Phân công'!$I$14:$I$262,0)),""),6,IFERROR(INDEX('Lớp 6 - Chi tiết'!$AM$14:$AM$267,MATCH($X513,'Lớp 6 - Chi tiết'!$I$14:$I$267,0)),""),""))</f>
        <v/>
      </c>
      <c r="BJ513" s="389" t="str">
        <f t="array" ref="BJ513">IF($X513="","",SWITCH($W513,3,IFERROR(INDEX('Lớp 3 - Công việc chính'!$AR$14:$AR$73,MATCH($X513,'Lớp 3 - Công việc chính'!$I$14:$I$73,0)),""),4,IFERROR(INDEX('Lớp 4 - Danh mục'!$AU$14:$AU$132,MATCH($X513,'Lớp 4 - Danh mục'!$I$14:$I$132,0)),""),5,IFERROR(INDEX('Lớp 5 - Phân công'!$AV$14:$AV$262,MATCH($X513,'Lớp 5 - Phân công'!$I$14:$I$262,0)),""),6,IFERROR(INDEX('Lớp 6 - Chi tiết'!$AY$14:$AY$267,MATCH($X513,'Lớp 6 - Chi tiết'!$I$14:$I$267,0)),""),""))</f>
        <v/>
      </c>
    </row>
    <row r="514" ht="15.75" customHeight="1">
      <c r="A514" s="294" t="str">
        <f t="shared" si="12"/>
        <v/>
      </c>
      <c r="B514" s="301" t="str">
        <f t="shared" si="13"/>
        <v/>
      </c>
      <c r="C514" s="301" t="str">
        <f t="shared" si="14"/>
        <v/>
      </c>
      <c r="D514" s="301" t="str">
        <f t="shared" si="15"/>
        <v/>
      </c>
      <c r="E514" s="301" t="str">
        <f t="shared" si="16"/>
        <v/>
      </c>
      <c r="F514" s="317" t="str">
        <f t="shared" si="17"/>
        <v/>
      </c>
      <c r="G514" s="323" t="str">
        <f t="shared" si="18"/>
        <v/>
      </c>
      <c r="H514" s="327" t="str">
        <f t="shared" si="19"/>
        <v/>
      </c>
      <c r="I514" s="327" t="str">
        <f t="shared" si="20"/>
        <v/>
      </c>
      <c r="J514" s="301" t="str">
        <f t="shared" si="21"/>
        <v/>
      </c>
      <c r="K514" s="301" t="str">
        <f t="shared" si="22"/>
        <v/>
      </c>
      <c r="L514" s="344" t="str">
        <f t="array" ref="L514">IF($T514="","",LET(m,MATCH($T514,$AS$24:$AS$700,0),lvl,INDEX($W$24:$W$700,m),id,INDEX($X$24:$X$700,m),SWITCH(lvl,3,"Lớp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4" s="351" t="str">
        <f t="shared" si="23"/>
        <v/>
      </c>
      <c r="N514" s="356" t="str">
        <f t="shared" si="24"/>
        <v/>
      </c>
      <c r="O514" s="358"/>
      <c r="P514" s="360"/>
      <c r="Q514" s="360"/>
      <c r="R514" s="67"/>
      <c r="S514" s="67"/>
      <c r="T514" s="67"/>
      <c r="U514" s="389" t="str">
        <f>IF('Lớp 6 - Chi tiết'!I76="","",'Lớp 6 - Chi tiết'!L76&amp;"|"&amp;'Lớp 6 - Chi tiết'!K76&amp;"|"&amp;'Lớp 6 - Chi tiết'!J76&amp;"|"&amp;'Lớp 6 - Chi tiết'!I76)</f>
        <v/>
      </c>
      <c r="V514" s="389" t="str">
        <f>IF('Lớp 6 - Chi tiết'!I76="","","           └─ "&amp;'Lớp 6 - Chi tiết'!S76)</f>
        <v/>
      </c>
      <c r="W514" s="389" t="str">
        <f>IF('Lớp 6 - Chi tiết'!I76="","",6)</f>
        <v/>
      </c>
      <c r="X514" s="67" t="str">
        <f>'Lớp 6 - Chi tiết'!I76</f>
        <v/>
      </c>
      <c r="Y514" s="389" t="str">
        <f>'Lớp 6 - Chi tiết'!J76</f>
        <v/>
      </c>
      <c r="Z514" s="67" t="str">
        <f>'Lớp 6 - Chi tiết'!AC76</f>
        <v/>
      </c>
      <c r="AA514" s="67" t="str">
        <f>'Lớp 6 - Chi tiết'!AB76</f>
        <v/>
      </c>
      <c r="AB514" s="67" t="str">
        <f>'Lớp 6 - Chi tiết'!AF76</f>
        <v/>
      </c>
      <c r="AC514" s="67" t="str">
        <f>'Lớp 6 - Chi tiết'!AE76</f>
        <v/>
      </c>
      <c r="AD514" s="398" t="str">
        <f>'Lớp 6 - Chi tiết'!AJ76</f>
        <v/>
      </c>
      <c r="AE514" s="358" t="str">
        <f>'Lớp 6 - Chi tiết'!AH76</f>
        <v/>
      </c>
      <c r="AF514" s="187" t="str">
        <f>'Lớp 6 - Chi tiết'!AK76</f>
        <v/>
      </c>
      <c r="AG514" s="104" t="str">
        <f>'Lớp 6 - Chi tiết'!AL76</f>
        <v/>
      </c>
      <c r="AH514" s="389" t="str">
        <f t="shared" si="27"/>
        <v/>
      </c>
      <c r="AI514" s="389" t="str">
        <f t="shared" si="37"/>
        <v>🔵 Chưa có hạn</v>
      </c>
      <c r="AJ514" s="67" t="str">
        <f>'Lớp 6 - Chi tiết'!AO76</f>
        <v/>
      </c>
      <c r="AS514" s="389" t="str">
        <f t="shared" si="467"/>
        <v/>
      </c>
      <c r="AT514" s="389" t="str">
        <f t="shared" si="32"/>
        <v/>
      </c>
      <c r="AU514" s="389" t="str">
        <f t="shared" si="33"/>
        <v/>
      </c>
      <c r="AV514" s="389" t="str">
        <f t="shared" si="34"/>
        <v/>
      </c>
      <c r="AW514" s="389" t="str">
        <f t="shared" si="35"/>
        <v/>
      </c>
      <c r="AX514" s="67" t="str">
        <f t="shared" ref="AX514:BH514" si="529">Z514</f>
        <v/>
      </c>
      <c r="AY514" s="67" t="str">
        <f t="shared" si="529"/>
        <v/>
      </c>
      <c r="AZ514" s="67" t="str">
        <f t="shared" si="529"/>
        <v/>
      </c>
      <c r="BA514" s="67" t="str">
        <f t="shared" si="529"/>
        <v/>
      </c>
      <c r="BB514" s="398" t="str">
        <f t="shared" si="529"/>
        <v/>
      </c>
      <c r="BC514" s="358" t="str">
        <f t="shared" si="529"/>
        <v/>
      </c>
      <c r="BD514" s="187" t="str">
        <f t="shared" si="529"/>
        <v/>
      </c>
      <c r="BE514" s="104" t="str">
        <f t="shared" si="529"/>
        <v/>
      </c>
      <c r="BF514" s="389" t="str">
        <f t="shared" si="529"/>
        <v/>
      </c>
      <c r="BG514" s="389" t="str">
        <f t="shared" si="529"/>
        <v>🔵 Chưa có hạn</v>
      </c>
      <c r="BH514" s="67" t="str">
        <f t="shared" si="529"/>
        <v/>
      </c>
      <c r="BI514" s="389" t="str">
        <f t="array" ref="BI514">IF($X514="","",SWITCH($W514,3,IFERROR(INDEX('Lớp 3 - Công việc chính'!$AF$14:$AF$73,MATCH($X514,'Lớp 3 - Công việc chính'!$I$14:$I$73,0)),""),4,IFERROR(INDEX('Lớp 4 - Danh mục'!$AI$14:$AI$132,MATCH($X514,'Lớp 4 - Danh mục'!$I$14:$I$132,0)),""),5,IFERROR(INDEX('Lớp 5 - Phân công'!$AJ$14:$AJ$262,MATCH($X514,'Lớp 5 - Phân công'!$I$14:$I$262,0)),""),6,IFERROR(INDEX('Lớp 6 - Chi tiết'!$AM$14:$AM$267,MATCH($X514,'Lớp 6 - Chi tiết'!$I$14:$I$267,0)),""),""))</f>
        <v/>
      </c>
      <c r="BJ514" s="389" t="str">
        <f t="array" ref="BJ514">IF($X514="","",SWITCH($W514,3,IFERROR(INDEX('Lớp 3 - Công việc chính'!$AR$14:$AR$73,MATCH($X514,'Lớp 3 - Công việc chính'!$I$14:$I$73,0)),""),4,IFERROR(INDEX('Lớp 4 - Danh mục'!$AU$14:$AU$132,MATCH($X514,'Lớp 4 - Danh mục'!$I$14:$I$132,0)),""),5,IFERROR(INDEX('Lớp 5 - Phân công'!$AV$14:$AV$262,MATCH($X514,'Lớp 5 - Phân công'!$I$14:$I$262,0)),""),6,IFERROR(INDEX('Lớp 6 - Chi tiết'!$AY$14:$AY$267,MATCH($X514,'Lớp 6 - Chi tiết'!$I$14:$I$267,0)),""),""))</f>
        <v/>
      </c>
    </row>
    <row r="515" ht="15.75" customHeight="1">
      <c r="A515" s="294" t="str">
        <f t="shared" si="12"/>
        <v/>
      </c>
      <c r="B515" s="301" t="str">
        <f t="shared" si="13"/>
        <v/>
      </c>
      <c r="C515" s="301" t="str">
        <f t="shared" si="14"/>
        <v/>
      </c>
      <c r="D515" s="301" t="str">
        <f t="shared" si="15"/>
        <v/>
      </c>
      <c r="E515" s="301" t="str">
        <f t="shared" si="16"/>
        <v/>
      </c>
      <c r="F515" s="317" t="str">
        <f t="shared" si="17"/>
        <v/>
      </c>
      <c r="G515" s="323" t="str">
        <f t="shared" si="18"/>
        <v/>
      </c>
      <c r="H515" s="327" t="str">
        <f t="shared" si="19"/>
        <v/>
      </c>
      <c r="I515" s="327" t="str">
        <f t="shared" si="20"/>
        <v/>
      </c>
      <c r="J515" s="301" t="str">
        <f t="shared" si="21"/>
        <v/>
      </c>
      <c r="K515" s="301" t="str">
        <f t="shared" si="22"/>
        <v/>
      </c>
      <c r="L515" s="344" t="str">
        <f t="array" ref="L515">IF($T515="","",LET(m,MATCH($T515,$AS$24:$AS$700,0),lvl,INDEX($W$24:$W$700,m),id,INDEX($X$24:$X$700,m),SWITCH(lvl,3,"Lớp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5" s="351" t="str">
        <f t="shared" si="23"/>
        <v/>
      </c>
      <c r="N515" s="356" t="str">
        <f t="shared" si="24"/>
        <v/>
      </c>
      <c r="O515" s="358"/>
      <c r="P515" s="360"/>
      <c r="Q515" s="360"/>
      <c r="R515" s="67"/>
      <c r="S515" s="67"/>
      <c r="T515" s="67"/>
      <c r="U515" s="389" t="str">
        <f>IF('Lớp 6 - Chi tiết'!I77="","",'Lớp 6 - Chi tiết'!L77&amp;"|"&amp;'Lớp 6 - Chi tiết'!K77&amp;"|"&amp;'Lớp 6 - Chi tiết'!J77&amp;"|"&amp;'Lớp 6 - Chi tiết'!I77)</f>
        <v/>
      </c>
      <c r="V515" s="389" t="str">
        <f>IF('Lớp 6 - Chi tiết'!I77="","","           └─ "&amp;'Lớp 6 - Chi tiết'!S77)</f>
        <v/>
      </c>
      <c r="W515" s="389" t="str">
        <f>IF('Lớp 6 - Chi tiết'!I77="","",6)</f>
        <v/>
      </c>
      <c r="X515" s="67" t="str">
        <f>'Lớp 6 - Chi tiết'!I77</f>
        <v/>
      </c>
      <c r="Y515" s="389" t="str">
        <f>'Lớp 6 - Chi tiết'!J77</f>
        <v/>
      </c>
      <c r="Z515" s="67" t="str">
        <f>'Lớp 6 - Chi tiết'!AC77</f>
        <v/>
      </c>
      <c r="AA515" s="67" t="str">
        <f>'Lớp 6 - Chi tiết'!AB77</f>
        <v/>
      </c>
      <c r="AB515" s="67" t="str">
        <f>'Lớp 6 - Chi tiết'!AF77</f>
        <v/>
      </c>
      <c r="AC515" s="67" t="str">
        <f>'Lớp 6 - Chi tiết'!AE77</f>
        <v/>
      </c>
      <c r="AD515" s="398" t="str">
        <f>'Lớp 6 - Chi tiết'!AJ77</f>
        <v/>
      </c>
      <c r="AE515" s="358" t="str">
        <f>'Lớp 6 - Chi tiết'!AH77</f>
        <v/>
      </c>
      <c r="AF515" s="187" t="str">
        <f>'Lớp 6 - Chi tiết'!AK77</f>
        <v/>
      </c>
      <c r="AG515" s="104" t="str">
        <f>'Lớp 6 - Chi tiết'!AL77</f>
        <v/>
      </c>
      <c r="AH515" s="389" t="str">
        <f t="shared" si="27"/>
        <v/>
      </c>
      <c r="AI515" s="389" t="str">
        <f t="shared" si="37"/>
        <v>🔵 Chưa có hạn</v>
      </c>
      <c r="AJ515" s="67" t="str">
        <f>'Lớp 6 - Chi tiết'!AO77</f>
        <v/>
      </c>
      <c r="AS515" s="389" t="str">
        <f t="shared" si="467"/>
        <v/>
      </c>
      <c r="AT515" s="389" t="str">
        <f t="shared" si="32"/>
        <v/>
      </c>
      <c r="AU515" s="389" t="str">
        <f t="shared" si="33"/>
        <v/>
      </c>
      <c r="AV515" s="389" t="str">
        <f t="shared" si="34"/>
        <v/>
      </c>
      <c r="AW515" s="389" t="str">
        <f t="shared" si="35"/>
        <v/>
      </c>
      <c r="AX515" s="67" t="str">
        <f t="shared" ref="AX515:BH515" si="530">Z515</f>
        <v/>
      </c>
      <c r="AY515" s="67" t="str">
        <f t="shared" si="530"/>
        <v/>
      </c>
      <c r="AZ515" s="67" t="str">
        <f t="shared" si="530"/>
        <v/>
      </c>
      <c r="BA515" s="67" t="str">
        <f t="shared" si="530"/>
        <v/>
      </c>
      <c r="BB515" s="398" t="str">
        <f t="shared" si="530"/>
        <v/>
      </c>
      <c r="BC515" s="358" t="str">
        <f t="shared" si="530"/>
        <v/>
      </c>
      <c r="BD515" s="187" t="str">
        <f t="shared" si="530"/>
        <v/>
      </c>
      <c r="BE515" s="104" t="str">
        <f t="shared" si="530"/>
        <v/>
      </c>
      <c r="BF515" s="389" t="str">
        <f t="shared" si="530"/>
        <v/>
      </c>
      <c r="BG515" s="389" t="str">
        <f t="shared" si="530"/>
        <v>🔵 Chưa có hạn</v>
      </c>
      <c r="BH515" s="67" t="str">
        <f t="shared" si="530"/>
        <v/>
      </c>
      <c r="BI515" s="389" t="str">
        <f t="array" ref="BI515">IF($X515="","",SWITCH($W515,3,IFERROR(INDEX('Lớp 3 - Công việc chính'!$AF$14:$AF$73,MATCH($X515,'Lớp 3 - Công việc chính'!$I$14:$I$73,0)),""),4,IFERROR(INDEX('Lớp 4 - Danh mục'!$AI$14:$AI$132,MATCH($X515,'Lớp 4 - Danh mục'!$I$14:$I$132,0)),""),5,IFERROR(INDEX('Lớp 5 - Phân công'!$AJ$14:$AJ$262,MATCH($X515,'Lớp 5 - Phân công'!$I$14:$I$262,0)),""),6,IFERROR(INDEX('Lớp 6 - Chi tiết'!$AM$14:$AM$267,MATCH($X515,'Lớp 6 - Chi tiết'!$I$14:$I$267,0)),""),""))</f>
        <v/>
      </c>
      <c r="BJ515" s="389" t="str">
        <f t="array" ref="BJ515">IF($X515="","",SWITCH($W515,3,IFERROR(INDEX('Lớp 3 - Công việc chính'!$AR$14:$AR$73,MATCH($X515,'Lớp 3 - Công việc chính'!$I$14:$I$73,0)),""),4,IFERROR(INDEX('Lớp 4 - Danh mục'!$AU$14:$AU$132,MATCH($X515,'Lớp 4 - Danh mục'!$I$14:$I$132,0)),""),5,IFERROR(INDEX('Lớp 5 - Phân công'!$AV$14:$AV$262,MATCH($X515,'Lớp 5 - Phân công'!$I$14:$I$262,0)),""),6,IFERROR(INDEX('Lớp 6 - Chi tiết'!$AY$14:$AY$267,MATCH($X515,'Lớp 6 - Chi tiết'!$I$14:$I$267,0)),""),""))</f>
        <v/>
      </c>
    </row>
    <row r="516" ht="15.75" customHeight="1">
      <c r="A516" s="294" t="str">
        <f t="shared" si="12"/>
        <v/>
      </c>
      <c r="B516" s="301" t="str">
        <f t="shared" si="13"/>
        <v/>
      </c>
      <c r="C516" s="301" t="str">
        <f t="shared" si="14"/>
        <v/>
      </c>
      <c r="D516" s="301" t="str">
        <f t="shared" si="15"/>
        <v/>
      </c>
      <c r="E516" s="301" t="str">
        <f t="shared" si="16"/>
        <v/>
      </c>
      <c r="F516" s="317" t="str">
        <f t="shared" si="17"/>
        <v/>
      </c>
      <c r="G516" s="323" t="str">
        <f t="shared" si="18"/>
        <v/>
      </c>
      <c r="H516" s="327" t="str">
        <f t="shared" si="19"/>
        <v/>
      </c>
      <c r="I516" s="327" t="str">
        <f t="shared" si="20"/>
        <v/>
      </c>
      <c r="J516" s="301" t="str">
        <f t="shared" si="21"/>
        <v/>
      </c>
      <c r="K516" s="301" t="str">
        <f t="shared" si="22"/>
        <v/>
      </c>
      <c r="L516" s="344" t="str">
        <f t="array" ref="L516">IF($T516="","",LET(m,MATCH($T516,$AS$24:$AS$700,0),lvl,INDEX($W$24:$W$700,m),id,INDEX($X$24:$X$700,m),SWITCH(lvl,3,"Lớp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6" s="351" t="str">
        <f t="shared" si="23"/>
        <v/>
      </c>
      <c r="N516" s="356" t="str">
        <f t="shared" si="24"/>
        <v/>
      </c>
      <c r="O516" s="358"/>
      <c r="P516" s="360"/>
      <c r="Q516" s="360"/>
      <c r="R516" s="67"/>
      <c r="S516" s="67"/>
      <c r="T516" s="67"/>
      <c r="U516" s="389" t="str">
        <f>IF('Lớp 6 - Chi tiết'!I78="","",'Lớp 6 - Chi tiết'!L78&amp;"|"&amp;'Lớp 6 - Chi tiết'!K78&amp;"|"&amp;'Lớp 6 - Chi tiết'!J78&amp;"|"&amp;'Lớp 6 - Chi tiết'!I78)</f>
        <v/>
      </c>
      <c r="V516" s="389" t="str">
        <f>IF('Lớp 6 - Chi tiết'!I78="","","           └─ "&amp;'Lớp 6 - Chi tiết'!S78)</f>
        <v/>
      </c>
      <c r="W516" s="389" t="str">
        <f>IF('Lớp 6 - Chi tiết'!I78="","",6)</f>
        <v/>
      </c>
      <c r="X516" s="67" t="str">
        <f>'Lớp 6 - Chi tiết'!I78</f>
        <v/>
      </c>
      <c r="Y516" s="389" t="str">
        <f>'Lớp 6 - Chi tiết'!J78</f>
        <v/>
      </c>
      <c r="Z516" s="67" t="str">
        <f>'Lớp 6 - Chi tiết'!AC78</f>
        <v/>
      </c>
      <c r="AA516" s="67" t="str">
        <f>'Lớp 6 - Chi tiết'!AB78</f>
        <v/>
      </c>
      <c r="AB516" s="67" t="str">
        <f>'Lớp 6 - Chi tiết'!AF78</f>
        <v/>
      </c>
      <c r="AC516" s="67" t="str">
        <f>'Lớp 6 - Chi tiết'!AE78</f>
        <v/>
      </c>
      <c r="AD516" s="398" t="str">
        <f>'Lớp 6 - Chi tiết'!AJ78</f>
        <v/>
      </c>
      <c r="AE516" s="358" t="str">
        <f>'Lớp 6 - Chi tiết'!AH78</f>
        <v/>
      </c>
      <c r="AF516" s="187" t="str">
        <f>'Lớp 6 - Chi tiết'!AK78</f>
        <v/>
      </c>
      <c r="AG516" s="104" t="str">
        <f>'Lớp 6 - Chi tiết'!AL78</f>
        <v/>
      </c>
      <c r="AH516" s="389" t="str">
        <f t="shared" si="27"/>
        <v/>
      </c>
      <c r="AI516" s="389" t="str">
        <f t="shared" si="37"/>
        <v>🔵 Chưa có hạn</v>
      </c>
      <c r="AJ516" s="67" t="str">
        <f>'Lớp 6 - Chi tiết'!AO78</f>
        <v/>
      </c>
      <c r="AS516" s="389" t="str">
        <f t="shared" si="467"/>
        <v/>
      </c>
      <c r="AT516" s="389" t="str">
        <f t="shared" si="32"/>
        <v/>
      </c>
      <c r="AU516" s="389" t="str">
        <f t="shared" si="33"/>
        <v/>
      </c>
      <c r="AV516" s="389" t="str">
        <f t="shared" si="34"/>
        <v/>
      </c>
      <c r="AW516" s="389" t="str">
        <f t="shared" si="35"/>
        <v/>
      </c>
      <c r="AX516" s="67" t="str">
        <f t="shared" ref="AX516:BH516" si="531">Z516</f>
        <v/>
      </c>
      <c r="AY516" s="67" t="str">
        <f t="shared" si="531"/>
        <v/>
      </c>
      <c r="AZ516" s="67" t="str">
        <f t="shared" si="531"/>
        <v/>
      </c>
      <c r="BA516" s="67" t="str">
        <f t="shared" si="531"/>
        <v/>
      </c>
      <c r="BB516" s="398" t="str">
        <f t="shared" si="531"/>
        <v/>
      </c>
      <c r="BC516" s="358" t="str">
        <f t="shared" si="531"/>
        <v/>
      </c>
      <c r="BD516" s="187" t="str">
        <f t="shared" si="531"/>
        <v/>
      </c>
      <c r="BE516" s="104" t="str">
        <f t="shared" si="531"/>
        <v/>
      </c>
      <c r="BF516" s="389" t="str">
        <f t="shared" si="531"/>
        <v/>
      </c>
      <c r="BG516" s="389" t="str">
        <f t="shared" si="531"/>
        <v>🔵 Chưa có hạn</v>
      </c>
      <c r="BH516" s="67" t="str">
        <f t="shared" si="531"/>
        <v/>
      </c>
      <c r="BI516" s="389" t="str">
        <f t="array" ref="BI516">IF($X516="","",SWITCH($W516,3,IFERROR(INDEX('Lớp 3 - Công việc chính'!$AF$14:$AF$73,MATCH($X516,'Lớp 3 - Công việc chính'!$I$14:$I$73,0)),""),4,IFERROR(INDEX('Lớp 4 - Danh mục'!$AI$14:$AI$132,MATCH($X516,'Lớp 4 - Danh mục'!$I$14:$I$132,0)),""),5,IFERROR(INDEX('Lớp 5 - Phân công'!$AJ$14:$AJ$262,MATCH($X516,'Lớp 5 - Phân công'!$I$14:$I$262,0)),""),6,IFERROR(INDEX('Lớp 6 - Chi tiết'!$AM$14:$AM$267,MATCH($X516,'Lớp 6 - Chi tiết'!$I$14:$I$267,0)),""),""))</f>
        <v/>
      </c>
      <c r="BJ516" s="389" t="str">
        <f t="array" ref="BJ516">IF($X516="","",SWITCH($W516,3,IFERROR(INDEX('Lớp 3 - Công việc chính'!$AR$14:$AR$73,MATCH($X516,'Lớp 3 - Công việc chính'!$I$14:$I$73,0)),""),4,IFERROR(INDEX('Lớp 4 - Danh mục'!$AU$14:$AU$132,MATCH($X516,'Lớp 4 - Danh mục'!$I$14:$I$132,0)),""),5,IFERROR(INDEX('Lớp 5 - Phân công'!$AV$14:$AV$262,MATCH($X516,'Lớp 5 - Phân công'!$I$14:$I$262,0)),""),6,IFERROR(INDEX('Lớp 6 - Chi tiết'!$AY$14:$AY$267,MATCH($X516,'Lớp 6 - Chi tiết'!$I$14:$I$267,0)),""),""))</f>
        <v/>
      </c>
    </row>
    <row r="517" ht="15.75" customHeight="1">
      <c r="A517" s="294" t="str">
        <f t="shared" si="12"/>
        <v/>
      </c>
      <c r="B517" s="301" t="str">
        <f t="shared" si="13"/>
        <v/>
      </c>
      <c r="C517" s="301" t="str">
        <f t="shared" si="14"/>
        <v/>
      </c>
      <c r="D517" s="301" t="str">
        <f t="shared" si="15"/>
        <v/>
      </c>
      <c r="E517" s="301" t="str">
        <f t="shared" si="16"/>
        <v/>
      </c>
      <c r="F517" s="317" t="str">
        <f t="shared" si="17"/>
        <v/>
      </c>
      <c r="G517" s="323" t="str">
        <f t="shared" si="18"/>
        <v/>
      </c>
      <c r="H517" s="327" t="str">
        <f t="shared" si="19"/>
        <v/>
      </c>
      <c r="I517" s="327" t="str">
        <f t="shared" si="20"/>
        <v/>
      </c>
      <c r="J517" s="301" t="str">
        <f t="shared" si="21"/>
        <v/>
      </c>
      <c r="K517" s="301" t="str">
        <f t="shared" si="22"/>
        <v/>
      </c>
      <c r="L517" s="344" t="str">
        <f t="array" ref="L517">IF($T517="","",LET(m,MATCH($T517,$AS$24:$AS$700,0),lvl,INDEX($W$24:$W$700,m),id,INDEX($X$24:$X$700,m),SWITCH(lvl,3,"Lớp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7" s="351" t="str">
        <f t="shared" si="23"/>
        <v/>
      </c>
      <c r="N517" s="356" t="str">
        <f t="shared" si="24"/>
        <v/>
      </c>
      <c r="O517" s="358"/>
      <c r="P517" s="360"/>
      <c r="Q517" s="360"/>
      <c r="R517" s="67"/>
      <c r="S517" s="67"/>
      <c r="T517" s="67"/>
      <c r="U517" s="389" t="str">
        <f>IF('Lớp 6 - Chi tiết'!I79="","",'Lớp 6 - Chi tiết'!L79&amp;"|"&amp;'Lớp 6 - Chi tiết'!K79&amp;"|"&amp;'Lớp 6 - Chi tiết'!J79&amp;"|"&amp;'Lớp 6 - Chi tiết'!I79)</f>
        <v/>
      </c>
      <c r="V517" s="389" t="str">
        <f>IF('Lớp 6 - Chi tiết'!I79="","","           └─ "&amp;'Lớp 6 - Chi tiết'!S79)</f>
        <v/>
      </c>
      <c r="W517" s="389" t="str">
        <f>IF('Lớp 6 - Chi tiết'!I79="","",6)</f>
        <v/>
      </c>
      <c r="X517" s="67" t="str">
        <f>'Lớp 6 - Chi tiết'!I79</f>
        <v/>
      </c>
      <c r="Y517" s="389" t="str">
        <f>'Lớp 6 - Chi tiết'!J79</f>
        <v/>
      </c>
      <c r="Z517" s="67" t="str">
        <f>'Lớp 6 - Chi tiết'!AC79</f>
        <v/>
      </c>
      <c r="AA517" s="67" t="str">
        <f>'Lớp 6 - Chi tiết'!AB79</f>
        <v/>
      </c>
      <c r="AB517" s="67" t="str">
        <f>'Lớp 6 - Chi tiết'!AF79</f>
        <v/>
      </c>
      <c r="AC517" s="67" t="str">
        <f>'Lớp 6 - Chi tiết'!AE79</f>
        <v/>
      </c>
      <c r="AD517" s="398" t="str">
        <f>'Lớp 6 - Chi tiết'!AJ79</f>
        <v/>
      </c>
      <c r="AE517" s="358" t="str">
        <f>'Lớp 6 - Chi tiết'!AH79</f>
        <v/>
      </c>
      <c r="AF517" s="187" t="str">
        <f>'Lớp 6 - Chi tiết'!AK79</f>
        <v/>
      </c>
      <c r="AG517" s="104" t="str">
        <f>'Lớp 6 - Chi tiết'!AL79</f>
        <v/>
      </c>
      <c r="AH517" s="389" t="str">
        <f t="shared" si="27"/>
        <v/>
      </c>
      <c r="AI517" s="389" t="str">
        <f t="shared" si="37"/>
        <v>🔵 Chưa có hạn</v>
      </c>
      <c r="AJ517" s="67" t="str">
        <f>'Lớp 6 - Chi tiết'!AO79</f>
        <v/>
      </c>
      <c r="AS517" s="389" t="str">
        <f t="shared" si="467"/>
        <v/>
      </c>
      <c r="AT517" s="389" t="str">
        <f t="shared" si="32"/>
        <v/>
      </c>
      <c r="AU517" s="389" t="str">
        <f t="shared" si="33"/>
        <v/>
      </c>
      <c r="AV517" s="389" t="str">
        <f t="shared" si="34"/>
        <v/>
      </c>
      <c r="AW517" s="389" t="str">
        <f t="shared" si="35"/>
        <v/>
      </c>
      <c r="AX517" s="67" t="str">
        <f t="shared" ref="AX517:BH517" si="532">Z517</f>
        <v/>
      </c>
      <c r="AY517" s="67" t="str">
        <f t="shared" si="532"/>
        <v/>
      </c>
      <c r="AZ517" s="67" t="str">
        <f t="shared" si="532"/>
        <v/>
      </c>
      <c r="BA517" s="67" t="str">
        <f t="shared" si="532"/>
        <v/>
      </c>
      <c r="BB517" s="398" t="str">
        <f t="shared" si="532"/>
        <v/>
      </c>
      <c r="BC517" s="358" t="str">
        <f t="shared" si="532"/>
        <v/>
      </c>
      <c r="BD517" s="187" t="str">
        <f t="shared" si="532"/>
        <v/>
      </c>
      <c r="BE517" s="104" t="str">
        <f t="shared" si="532"/>
        <v/>
      </c>
      <c r="BF517" s="389" t="str">
        <f t="shared" si="532"/>
        <v/>
      </c>
      <c r="BG517" s="389" t="str">
        <f t="shared" si="532"/>
        <v>🔵 Chưa có hạn</v>
      </c>
      <c r="BH517" s="67" t="str">
        <f t="shared" si="532"/>
        <v/>
      </c>
      <c r="BI517" s="389" t="str">
        <f t="array" ref="BI517">IF($X517="","",SWITCH($W517,3,IFERROR(INDEX('Lớp 3 - Công việc chính'!$AF$14:$AF$73,MATCH($X517,'Lớp 3 - Công việc chính'!$I$14:$I$73,0)),""),4,IFERROR(INDEX('Lớp 4 - Danh mục'!$AI$14:$AI$132,MATCH($X517,'Lớp 4 - Danh mục'!$I$14:$I$132,0)),""),5,IFERROR(INDEX('Lớp 5 - Phân công'!$AJ$14:$AJ$262,MATCH($X517,'Lớp 5 - Phân công'!$I$14:$I$262,0)),""),6,IFERROR(INDEX('Lớp 6 - Chi tiết'!$AM$14:$AM$267,MATCH($X517,'Lớp 6 - Chi tiết'!$I$14:$I$267,0)),""),""))</f>
        <v/>
      </c>
      <c r="BJ517" s="389" t="str">
        <f t="array" ref="BJ517">IF($X517="","",SWITCH($W517,3,IFERROR(INDEX('Lớp 3 - Công việc chính'!$AR$14:$AR$73,MATCH($X517,'Lớp 3 - Công việc chính'!$I$14:$I$73,0)),""),4,IFERROR(INDEX('Lớp 4 - Danh mục'!$AU$14:$AU$132,MATCH($X517,'Lớp 4 - Danh mục'!$I$14:$I$132,0)),""),5,IFERROR(INDEX('Lớp 5 - Phân công'!$AV$14:$AV$262,MATCH($X517,'Lớp 5 - Phân công'!$I$14:$I$262,0)),""),6,IFERROR(INDEX('Lớp 6 - Chi tiết'!$AY$14:$AY$267,MATCH($X517,'Lớp 6 - Chi tiết'!$I$14:$I$267,0)),""),""))</f>
        <v/>
      </c>
    </row>
    <row r="518" ht="15.75" customHeight="1">
      <c r="A518" s="294" t="str">
        <f t="shared" si="12"/>
        <v/>
      </c>
      <c r="B518" s="301" t="str">
        <f t="shared" si="13"/>
        <v/>
      </c>
      <c r="C518" s="301" t="str">
        <f t="shared" si="14"/>
        <v/>
      </c>
      <c r="D518" s="301" t="str">
        <f t="shared" si="15"/>
        <v/>
      </c>
      <c r="E518" s="301" t="str">
        <f t="shared" si="16"/>
        <v/>
      </c>
      <c r="F518" s="317" t="str">
        <f t="shared" si="17"/>
        <v/>
      </c>
      <c r="G518" s="323" t="str">
        <f t="shared" si="18"/>
        <v/>
      </c>
      <c r="H518" s="327" t="str">
        <f t="shared" si="19"/>
        <v/>
      </c>
      <c r="I518" s="327" t="str">
        <f t="shared" si="20"/>
        <v/>
      </c>
      <c r="J518" s="301" t="str">
        <f t="shared" si="21"/>
        <v/>
      </c>
      <c r="K518" s="301" t="str">
        <f t="shared" si="22"/>
        <v/>
      </c>
      <c r="L518" s="344" t="str">
        <f t="array" ref="L518">IF($T518="","",LET(m,MATCH($T518,$AS$24:$AS$700,0),lvl,INDEX($W$24:$W$700,m),id,INDEX($X$24:$X$700,m),SWITCH(lvl,3,"Lớp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8" s="351" t="str">
        <f t="shared" si="23"/>
        <v/>
      </c>
      <c r="N518" s="356" t="str">
        <f t="shared" si="24"/>
        <v/>
      </c>
      <c r="O518" s="358"/>
      <c r="P518" s="360"/>
      <c r="Q518" s="360"/>
      <c r="R518" s="67"/>
      <c r="S518" s="67"/>
      <c r="T518" s="67"/>
      <c r="U518" s="389" t="str">
        <f>IF('Lớp 6 - Chi tiết'!I80="","",'Lớp 6 - Chi tiết'!L80&amp;"|"&amp;'Lớp 6 - Chi tiết'!K80&amp;"|"&amp;'Lớp 6 - Chi tiết'!J80&amp;"|"&amp;'Lớp 6 - Chi tiết'!I80)</f>
        <v/>
      </c>
      <c r="V518" s="389" t="str">
        <f>IF('Lớp 6 - Chi tiết'!I80="","","           └─ "&amp;'Lớp 6 - Chi tiết'!S80)</f>
        <v/>
      </c>
      <c r="W518" s="389" t="str">
        <f>IF('Lớp 6 - Chi tiết'!I80="","",6)</f>
        <v/>
      </c>
      <c r="X518" s="67" t="str">
        <f>'Lớp 6 - Chi tiết'!I80</f>
        <v/>
      </c>
      <c r="Y518" s="389" t="str">
        <f>'Lớp 6 - Chi tiết'!J80</f>
        <v/>
      </c>
      <c r="Z518" s="67" t="str">
        <f>'Lớp 6 - Chi tiết'!AC80</f>
        <v/>
      </c>
      <c r="AA518" s="67" t="str">
        <f>'Lớp 6 - Chi tiết'!AB80</f>
        <v/>
      </c>
      <c r="AB518" s="67" t="str">
        <f>'Lớp 6 - Chi tiết'!AF80</f>
        <v/>
      </c>
      <c r="AC518" s="67" t="str">
        <f>'Lớp 6 - Chi tiết'!AE80</f>
        <v/>
      </c>
      <c r="AD518" s="398" t="str">
        <f>'Lớp 6 - Chi tiết'!AJ80</f>
        <v/>
      </c>
      <c r="AE518" s="358" t="str">
        <f>'Lớp 6 - Chi tiết'!AH80</f>
        <v/>
      </c>
      <c r="AF518" s="187" t="str">
        <f>'Lớp 6 - Chi tiết'!AK80</f>
        <v/>
      </c>
      <c r="AG518" s="104" t="str">
        <f>'Lớp 6 - Chi tiết'!AL80</f>
        <v/>
      </c>
      <c r="AH518" s="389" t="str">
        <f t="shared" si="27"/>
        <v/>
      </c>
      <c r="AI518" s="389" t="str">
        <f t="shared" si="37"/>
        <v>🔵 Chưa có hạn</v>
      </c>
      <c r="AJ518" s="67" t="str">
        <f>'Lớp 6 - Chi tiết'!AO80</f>
        <v/>
      </c>
      <c r="AS518" s="389" t="str">
        <f t="shared" si="467"/>
        <v/>
      </c>
      <c r="AT518" s="389" t="str">
        <f t="shared" si="32"/>
        <v/>
      </c>
      <c r="AU518" s="389" t="str">
        <f t="shared" si="33"/>
        <v/>
      </c>
      <c r="AV518" s="389" t="str">
        <f t="shared" si="34"/>
        <v/>
      </c>
      <c r="AW518" s="389" t="str">
        <f t="shared" si="35"/>
        <v/>
      </c>
      <c r="AX518" s="67" t="str">
        <f t="shared" ref="AX518:BH518" si="533">Z518</f>
        <v/>
      </c>
      <c r="AY518" s="67" t="str">
        <f t="shared" si="533"/>
        <v/>
      </c>
      <c r="AZ518" s="67" t="str">
        <f t="shared" si="533"/>
        <v/>
      </c>
      <c r="BA518" s="67" t="str">
        <f t="shared" si="533"/>
        <v/>
      </c>
      <c r="BB518" s="398" t="str">
        <f t="shared" si="533"/>
        <v/>
      </c>
      <c r="BC518" s="358" t="str">
        <f t="shared" si="533"/>
        <v/>
      </c>
      <c r="BD518" s="187" t="str">
        <f t="shared" si="533"/>
        <v/>
      </c>
      <c r="BE518" s="104" t="str">
        <f t="shared" si="533"/>
        <v/>
      </c>
      <c r="BF518" s="389" t="str">
        <f t="shared" si="533"/>
        <v/>
      </c>
      <c r="BG518" s="389" t="str">
        <f t="shared" si="533"/>
        <v>🔵 Chưa có hạn</v>
      </c>
      <c r="BH518" s="67" t="str">
        <f t="shared" si="533"/>
        <v/>
      </c>
      <c r="BI518" s="389" t="str">
        <f t="array" ref="BI518">IF($X518="","",SWITCH($W518,3,IFERROR(INDEX('Lớp 3 - Công việc chính'!$AF$14:$AF$73,MATCH($X518,'Lớp 3 - Công việc chính'!$I$14:$I$73,0)),""),4,IFERROR(INDEX('Lớp 4 - Danh mục'!$AI$14:$AI$132,MATCH($X518,'Lớp 4 - Danh mục'!$I$14:$I$132,0)),""),5,IFERROR(INDEX('Lớp 5 - Phân công'!$AJ$14:$AJ$262,MATCH($X518,'Lớp 5 - Phân công'!$I$14:$I$262,0)),""),6,IFERROR(INDEX('Lớp 6 - Chi tiết'!$AM$14:$AM$267,MATCH($X518,'Lớp 6 - Chi tiết'!$I$14:$I$267,0)),""),""))</f>
        <v/>
      </c>
      <c r="BJ518" s="389" t="str">
        <f t="array" ref="BJ518">IF($X518="","",SWITCH($W518,3,IFERROR(INDEX('Lớp 3 - Công việc chính'!$AR$14:$AR$73,MATCH($X518,'Lớp 3 - Công việc chính'!$I$14:$I$73,0)),""),4,IFERROR(INDEX('Lớp 4 - Danh mục'!$AU$14:$AU$132,MATCH($X518,'Lớp 4 - Danh mục'!$I$14:$I$132,0)),""),5,IFERROR(INDEX('Lớp 5 - Phân công'!$AV$14:$AV$262,MATCH($X518,'Lớp 5 - Phân công'!$I$14:$I$262,0)),""),6,IFERROR(INDEX('Lớp 6 - Chi tiết'!$AY$14:$AY$267,MATCH($X518,'Lớp 6 - Chi tiết'!$I$14:$I$267,0)),""),""))</f>
        <v/>
      </c>
    </row>
    <row r="519" ht="15.75" customHeight="1">
      <c r="A519" s="294" t="str">
        <f t="shared" si="12"/>
        <v/>
      </c>
      <c r="B519" s="301" t="str">
        <f t="shared" si="13"/>
        <v/>
      </c>
      <c r="C519" s="301" t="str">
        <f t="shared" si="14"/>
        <v/>
      </c>
      <c r="D519" s="301" t="str">
        <f t="shared" si="15"/>
        <v/>
      </c>
      <c r="E519" s="301" t="str">
        <f t="shared" si="16"/>
        <v/>
      </c>
      <c r="F519" s="317" t="str">
        <f t="shared" si="17"/>
        <v/>
      </c>
      <c r="G519" s="323" t="str">
        <f t="shared" si="18"/>
        <v/>
      </c>
      <c r="H519" s="327" t="str">
        <f t="shared" si="19"/>
        <v/>
      </c>
      <c r="I519" s="327" t="str">
        <f t="shared" si="20"/>
        <v/>
      </c>
      <c r="J519" s="301" t="str">
        <f t="shared" si="21"/>
        <v/>
      </c>
      <c r="K519" s="301" t="str">
        <f t="shared" si="22"/>
        <v/>
      </c>
      <c r="L519" s="344" t="str">
        <f t="array" ref="L519">IF($T519="","",LET(m,MATCH($T519,$AS$24:$AS$700,0),lvl,INDEX($W$24:$W$700,m),id,INDEX($X$24:$X$700,m),SWITCH(lvl,3,"Lớp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19" s="351" t="str">
        <f t="shared" si="23"/>
        <v/>
      </c>
      <c r="N519" s="356" t="str">
        <f t="shared" si="24"/>
        <v/>
      </c>
      <c r="O519" s="358"/>
      <c r="P519" s="360"/>
      <c r="Q519" s="360"/>
      <c r="R519" s="67"/>
      <c r="S519" s="67"/>
      <c r="T519" s="67"/>
      <c r="U519" s="389" t="str">
        <f>IF('Lớp 6 - Chi tiết'!I81="","",'Lớp 6 - Chi tiết'!L81&amp;"|"&amp;'Lớp 6 - Chi tiết'!K81&amp;"|"&amp;'Lớp 6 - Chi tiết'!J81&amp;"|"&amp;'Lớp 6 - Chi tiết'!I81)</f>
        <v/>
      </c>
      <c r="V519" s="389" t="str">
        <f>IF('Lớp 6 - Chi tiết'!I81="","","           └─ "&amp;'Lớp 6 - Chi tiết'!S81)</f>
        <v/>
      </c>
      <c r="W519" s="389" t="str">
        <f>IF('Lớp 6 - Chi tiết'!I81="","",6)</f>
        <v/>
      </c>
      <c r="X519" s="67" t="str">
        <f>'Lớp 6 - Chi tiết'!I81</f>
        <v/>
      </c>
      <c r="Y519" s="389" t="str">
        <f>'Lớp 6 - Chi tiết'!J81</f>
        <v/>
      </c>
      <c r="Z519" s="67" t="str">
        <f>'Lớp 6 - Chi tiết'!AC81</f>
        <v/>
      </c>
      <c r="AA519" s="67" t="str">
        <f>'Lớp 6 - Chi tiết'!AB81</f>
        <v/>
      </c>
      <c r="AB519" s="67" t="str">
        <f>'Lớp 6 - Chi tiết'!AF81</f>
        <v/>
      </c>
      <c r="AC519" s="67" t="str">
        <f>'Lớp 6 - Chi tiết'!AE81</f>
        <v/>
      </c>
      <c r="AD519" s="398" t="str">
        <f>'Lớp 6 - Chi tiết'!AJ81</f>
        <v/>
      </c>
      <c r="AE519" s="358" t="str">
        <f>'Lớp 6 - Chi tiết'!AH81</f>
        <v/>
      </c>
      <c r="AF519" s="187" t="str">
        <f>'Lớp 6 - Chi tiết'!AK81</f>
        <v/>
      </c>
      <c r="AG519" s="104" t="str">
        <f>'Lớp 6 - Chi tiết'!AL81</f>
        <v/>
      </c>
      <c r="AH519" s="389" t="str">
        <f t="shared" si="27"/>
        <v/>
      </c>
      <c r="AI519" s="389" t="str">
        <f t="shared" si="37"/>
        <v>🔵 Chưa có hạn</v>
      </c>
      <c r="AJ519" s="67" t="str">
        <f>'Lớp 6 - Chi tiết'!AO81</f>
        <v/>
      </c>
      <c r="AS519" s="389" t="str">
        <f t="shared" si="467"/>
        <v/>
      </c>
      <c r="AT519" s="389" t="str">
        <f t="shared" si="32"/>
        <v/>
      </c>
      <c r="AU519" s="389" t="str">
        <f t="shared" si="33"/>
        <v/>
      </c>
      <c r="AV519" s="389" t="str">
        <f t="shared" si="34"/>
        <v/>
      </c>
      <c r="AW519" s="389" t="str">
        <f t="shared" si="35"/>
        <v/>
      </c>
      <c r="AX519" s="67" t="str">
        <f t="shared" ref="AX519:BH519" si="534">Z519</f>
        <v/>
      </c>
      <c r="AY519" s="67" t="str">
        <f t="shared" si="534"/>
        <v/>
      </c>
      <c r="AZ519" s="67" t="str">
        <f t="shared" si="534"/>
        <v/>
      </c>
      <c r="BA519" s="67" t="str">
        <f t="shared" si="534"/>
        <v/>
      </c>
      <c r="BB519" s="398" t="str">
        <f t="shared" si="534"/>
        <v/>
      </c>
      <c r="BC519" s="358" t="str">
        <f t="shared" si="534"/>
        <v/>
      </c>
      <c r="BD519" s="187" t="str">
        <f t="shared" si="534"/>
        <v/>
      </c>
      <c r="BE519" s="104" t="str">
        <f t="shared" si="534"/>
        <v/>
      </c>
      <c r="BF519" s="389" t="str">
        <f t="shared" si="534"/>
        <v/>
      </c>
      <c r="BG519" s="389" t="str">
        <f t="shared" si="534"/>
        <v>🔵 Chưa có hạn</v>
      </c>
      <c r="BH519" s="67" t="str">
        <f t="shared" si="534"/>
        <v/>
      </c>
      <c r="BI519" s="389" t="str">
        <f t="array" ref="BI519">IF($X519="","",SWITCH($W519,3,IFERROR(INDEX('Lớp 3 - Công việc chính'!$AF$14:$AF$73,MATCH($X519,'Lớp 3 - Công việc chính'!$I$14:$I$73,0)),""),4,IFERROR(INDEX('Lớp 4 - Danh mục'!$AI$14:$AI$132,MATCH($X519,'Lớp 4 - Danh mục'!$I$14:$I$132,0)),""),5,IFERROR(INDEX('Lớp 5 - Phân công'!$AJ$14:$AJ$262,MATCH($X519,'Lớp 5 - Phân công'!$I$14:$I$262,0)),""),6,IFERROR(INDEX('Lớp 6 - Chi tiết'!$AM$14:$AM$267,MATCH($X519,'Lớp 6 - Chi tiết'!$I$14:$I$267,0)),""),""))</f>
        <v/>
      </c>
      <c r="BJ519" s="389" t="str">
        <f t="array" ref="BJ519">IF($X519="","",SWITCH($W519,3,IFERROR(INDEX('Lớp 3 - Công việc chính'!$AR$14:$AR$73,MATCH($X519,'Lớp 3 - Công việc chính'!$I$14:$I$73,0)),""),4,IFERROR(INDEX('Lớp 4 - Danh mục'!$AU$14:$AU$132,MATCH($X519,'Lớp 4 - Danh mục'!$I$14:$I$132,0)),""),5,IFERROR(INDEX('Lớp 5 - Phân công'!$AV$14:$AV$262,MATCH($X519,'Lớp 5 - Phân công'!$I$14:$I$262,0)),""),6,IFERROR(INDEX('Lớp 6 - Chi tiết'!$AY$14:$AY$267,MATCH($X519,'Lớp 6 - Chi tiết'!$I$14:$I$267,0)),""),""))</f>
        <v/>
      </c>
    </row>
    <row r="520" ht="15.75" customHeight="1">
      <c r="A520" s="294" t="str">
        <f t="shared" si="12"/>
        <v/>
      </c>
      <c r="B520" s="301" t="str">
        <f t="shared" si="13"/>
        <v/>
      </c>
      <c r="C520" s="301" t="str">
        <f t="shared" si="14"/>
        <v/>
      </c>
      <c r="D520" s="301" t="str">
        <f t="shared" si="15"/>
        <v/>
      </c>
      <c r="E520" s="301" t="str">
        <f t="shared" si="16"/>
        <v/>
      </c>
      <c r="F520" s="317" t="str">
        <f t="shared" si="17"/>
        <v/>
      </c>
      <c r="G520" s="323" t="str">
        <f t="shared" si="18"/>
        <v/>
      </c>
      <c r="H520" s="327" t="str">
        <f t="shared" si="19"/>
        <v/>
      </c>
      <c r="I520" s="327" t="str">
        <f t="shared" si="20"/>
        <v/>
      </c>
      <c r="J520" s="301" t="str">
        <f t="shared" si="21"/>
        <v/>
      </c>
      <c r="K520" s="301" t="str">
        <f t="shared" si="22"/>
        <v/>
      </c>
      <c r="L520" s="344" t="str">
        <f t="array" ref="L520">IF($T520="","",LET(m,MATCH($T520,$AS$24:$AS$700,0),lvl,INDEX($W$24:$W$700,m),id,INDEX($X$24:$X$700,m),SWITCH(lvl,3,"Lớp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0" s="351" t="str">
        <f t="shared" si="23"/>
        <v/>
      </c>
      <c r="N520" s="356" t="str">
        <f t="shared" si="24"/>
        <v/>
      </c>
      <c r="O520" s="358"/>
      <c r="P520" s="360"/>
      <c r="Q520" s="360"/>
      <c r="R520" s="67"/>
      <c r="S520" s="67"/>
      <c r="T520" s="67"/>
      <c r="U520" s="389" t="str">
        <f>IF('Lớp 6 - Chi tiết'!I82="","",'Lớp 6 - Chi tiết'!L82&amp;"|"&amp;'Lớp 6 - Chi tiết'!K82&amp;"|"&amp;'Lớp 6 - Chi tiết'!J82&amp;"|"&amp;'Lớp 6 - Chi tiết'!I82)</f>
        <v/>
      </c>
      <c r="V520" s="389" t="str">
        <f>IF('Lớp 6 - Chi tiết'!I82="","","           └─ "&amp;'Lớp 6 - Chi tiết'!S82)</f>
        <v/>
      </c>
      <c r="W520" s="389" t="str">
        <f>IF('Lớp 6 - Chi tiết'!I82="","",6)</f>
        <v/>
      </c>
      <c r="X520" s="67" t="str">
        <f>'Lớp 6 - Chi tiết'!I82</f>
        <v/>
      </c>
      <c r="Y520" s="389" t="str">
        <f>'Lớp 6 - Chi tiết'!J82</f>
        <v/>
      </c>
      <c r="Z520" s="67" t="str">
        <f>'Lớp 6 - Chi tiết'!AC82</f>
        <v/>
      </c>
      <c r="AA520" s="67" t="str">
        <f>'Lớp 6 - Chi tiết'!AB82</f>
        <v/>
      </c>
      <c r="AB520" s="67" t="str">
        <f>'Lớp 6 - Chi tiết'!AF82</f>
        <v/>
      </c>
      <c r="AC520" s="67" t="str">
        <f>'Lớp 6 - Chi tiết'!AE82</f>
        <v/>
      </c>
      <c r="AD520" s="398" t="str">
        <f>'Lớp 6 - Chi tiết'!AJ82</f>
        <v/>
      </c>
      <c r="AE520" s="358" t="str">
        <f>'Lớp 6 - Chi tiết'!AH82</f>
        <v/>
      </c>
      <c r="AF520" s="187" t="str">
        <f>'Lớp 6 - Chi tiết'!AK82</f>
        <v/>
      </c>
      <c r="AG520" s="104" t="str">
        <f>'Lớp 6 - Chi tiết'!AL82</f>
        <v/>
      </c>
      <c r="AH520" s="389" t="str">
        <f t="shared" si="27"/>
        <v/>
      </c>
      <c r="AI520" s="389" t="str">
        <f t="shared" si="37"/>
        <v>🔵 Chưa có hạn</v>
      </c>
      <c r="AJ520" s="67" t="str">
        <f>'Lớp 6 - Chi tiết'!AO82</f>
        <v/>
      </c>
      <c r="AS520" s="389" t="str">
        <f t="shared" si="467"/>
        <v/>
      </c>
      <c r="AT520" s="389" t="str">
        <f t="shared" si="32"/>
        <v/>
      </c>
      <c r="AU520" s="389" t="str">
        <f t="shared" si="33"/>
        <v/>
      </c>
      <c r="AV520" s="389" t="str">
        <f t="shared" si="34"/>
        <v/>
      </c>
      <c r="AW520" s="389" t="str">
        <f t="shared" si="35"/>
        <v/>
      </c>
      <c r="AX520" s="67" t="str">
        <f t="shared" ref="AX520:BH520" si="535">Z520</f>
        <v/>
      </c>
      <c r="AY520" s="67" t="str">
        <f t="shared" si="535"/>
        <v/>
      </c>
      <c r="AZ520" s="67" t="str">
        <f t="shared" si="535"/>
        <v/>
      </c>
      <c r="BA520" s="67" t="str">
        <f t="shared" si="535"/>
        <v/>
      </c>
      <c r="BB520" s="398" t="str">
        <f t="shared" si="535"/>
        <v/>
      </c>
      <c r="BC520" s="358" t="str">
        <f t="shared" si="535"/>
        <v/>
      </c>
      <c r="BD520" s="187" t="str">
        <f t="shared" si="535"/>
        <v/>
      </c>
      <c r="BE520" s="104" t="str">
        <f t="shared" si="535"/>
        <v/>
      </c>
      <c r="BF520" s="389" t="str">
        <f t="shared" si="535"/>
        <v/>
      </c>
      <c r="BG520" s="389" t="str">
        <f t="shared" si="535"/>
        <v>🔵 Chưa có hạn</v>
      </c>
      <c r="BH520" s="67" t="str">
        <f t="shared" si="535"/>
        <v/>
      </c>
      <c r="BI520" s="389" t="str">
        <f t="array" ref="BI520">IF($X520="","",SWITCH($W520,3,IFERROR(INDEX('Lớp 3 - Công việc chính'!$AF$14:$AF$73,MATCH($X520,'Lớp 3 - Công việc chính'!$I$14:$I$73,0)),""),4,IFERROR(INDEX('Lớp 4 - Danh mục'!$AI$14:$AI$132,MATCH($X520,'Lớp 4 - Danh mục'!$I$14:$I$132,0)),""),5,IFERROR(INDEX('Lớp 5 - Phân công'!$AJ$14:$AJ$262,MATCH($X520,'Lớp 5 - Phân công'!$I$14:$I$262,0)),""),6,IFERROR(INDEX('Lớp 6 - Chi tiết'!$AM$14:$AM$267,MATCH($X520,'Lớp 6 - Chi tiết'!$I$14:$I$267,0)),""),""))</f>
        <v/>
      </c>
      <c r="BJ520" s="389" t="str">
        <f t="array" ref="BJ520">IF($X520="","",SWITCH($W520,3,IFERROR(INDEX('Lớp 3 - Công việc chính'!$AR$14:$AR$73,MATCH($X520,'Lớp 3 - Công việc chính'!$I$14:$I$73,0)),""),4,IFERROR(INDEX('Lớp 4 - Danh mục'!$AU$14:$AU$132,MATCH($X520,'Lớp 4 - Danh mục'!$I$14:$I$132,0)),""),5,IFERROR(INDEX('Lớp 5 - Phân công'!$AV$14:$AV$262,MATCH($X520,'Lớp 5 - Phân công'!$I$14:$I$262,0)),""),6,IFERROR(INDEX('Lớp 6 - Chi tiết'!$AY$14:$AY$267,MATCH($X520,'Lớp 6 - Chi tiết'!$I$14:$I$267,0)),""),""))</f>
        <v/>
      </c>
    </row>
    <row r="521" ht="15.75" customHeight="1">
      <c r="A521" s="294" t="str">
        <f t="shared" si="12"/>
        <v/>
      </c>
      <c r="B521" s="301" t="str">
        <f t="shared" si="13"/>
        <v/>
      </c>
      <c r="C521" s="301" t="str">
        <f t="shared" si="14"/>
        <v/>
      </c>
      <c r="D521" s="301" t="str">
        <f t="shared" si="15"/>
        <v/>
      </c>
      <c r="E521" s="301" t="str">
        <f t="shared" si="16"/>
        <v/>
      </c>
      <c r="F521" s="317" t="str">
        <f t="shared" si="17"/>
        <v/>
      </c>
      <c r="G521" s="323" t="str">
        <f t="shared" si="18"/>
        <v/>
      </c>
      <c r="H521" s="327" t="str">
        <f t="shared" si="19"/>
        <v/>
      </c>
      <c r="I521" s="327" t="str">
        <f t="shared" si="20"/>
        <v/>
      </c>
      <c r="J521" s="301" t="str">
        <f t="shared" si="21"/>
        <v/>
      </c>
      <c r="K521" s="301" t="str">
        <f t="shared" si="22"/>
        <v/>
      </c>
      <c r="L521" s="344" t="str">
        <f t="array" ref="L521">IF($T521="","",LET(m,MATCH($T521,$AS$24:$AS$700,0),lvl,INDEX($W$24:$W$700,m),id,INDEX($X$24:$X$700,m),SWITCH(lvl,3,"Lớp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1" s="351" t="str">
        <f t="shared" si="23"/>
        <v/>
      </c>
      <c r="N521" s="356" t="str">
        <f t="shared" si="24"/>
        <v/>
      </c>
      <c r="O521" s="358"/>
      <c r="P521" s="360"/>
      <c r="Q521" s="360"/>
      <c r="R521" s="67"/>
      <c r="S521" s="67"/>
      <c r="T521" s="67"/>
      <c r="U521" s="389" t="str">
        <f>IF('Lớp 6 - Chi tiết'!I83="","",'Lớp 6 - Chi tiết'!L83&amp;"|"&amp;'Lớp 6 - Chi tiết'!K83&amp;"|"&amp;'Lớp 6 - Chi tiết'!J83&amp;"|"&amp;'Lớp 6 - Chi tiết'!I83)</f>
        <v/>
      </c>
      <c r="V521" s="389" t="str">
        <f>IF('Lớp 6 - Chi tiết'!I83="","","           └─ "&amp;'Lớp 6 - Chi tiết'!S83)</f>
        <v/>
      </c>
      <c r="W521" s="389" t="str">
        <f>IF('Lớp 6 - Chi tiết'!I83="","",6)</f>
        <v/>
      </c>
      <c r="X521" s="67" t="str">
        <f>'Lớp 6 - Chi tiết'!I83</f>
        <v/>
      </c>
      <c r="Y521" s="389" t="str">
        <f>'Lớp 6 - Chi tiết'!J83</f>
        <v/>
      </c>
      <c r="Z521" s="67" t="str">
        <f>'Lớp 6 - Chi tiết'!AC83</f>
        <v/>
      </c>
      <c r="AA521" s="67" t="str">
        <f>'Lớp 6 - Chi tiết'!AB83</f>
        <v/>
      </c>
      <c r="AB521" s="67" t="str">
        <f>'Lớp 6 - Chi tiết'!AF83</f>
        <v/>
      </c>
      <c r="AC521" s="67" t="str">
        <f>'Lớp 6 - Chi tiết'!AE83</f>
        <v/>
      </c>
      <c r="AD521" s="398" t="str">
        <f>'Lớp 6 - Chi tiết'!AJ83</f>
        <v/>
      </c>
      <c r="AE521" s="358" t="str">
        <f>'Lớp 6 - Chi tiết'!AH83</f>
        <v/>
      </c>
      <c r="AF521" s="187" t="str">
        <f>'Lớp 6 - Chi tiết'!AK83</f>
        <v/>
      </c>
      <c r="AG521" s="104" t="str">
        <f>'Lớp 6 - Chi tiết'!AL83</f>
        <v/>
      </c>
      <c r="AH521" s="389" t="str">
        <f t="shared" si="27"/>
        <v/>
      </c>
      <c r="AI521" s="389" t="str">
        <f t="shared" si="37"/>
        <v>🔵 Chưa có hạn</v>
      </c>
      <c r="AJ521" s="67" t="str">
        <f>'Lớp 6 - Chi tiết'!AO83</f>
        <v/>
      </c>
      <c r="AS521" s="389" t="str">
        <f t="shared" si="467"/>
        <v/>
      </c>
      <c r="AT521" s="389" t="str">
        <f t="shared" si="32"/>
        <v/>
      </c>
      <c r="AU521" s="389" t="str">
        <f t="shared" si="33"/>
        <v/>
      </c>
      <c r="AV521" s="389" t="str">
        <f t="shared" si="34"/>
        <v/>
      </c>
      <c r="AW521" s="389" t="str">
        <f t="shared" si="35"/>
        <v/>
      </c>
      <c r="AX521" s="67" t="str">
        <f t="shared" ref="AX521:BH521" si="536">Z521</f>
        <v/>
      </c>
      <c r="AY521" s="67" t="str">
        <f t="shared" si="536"/>
        <v/>
      </c>
      <c r="AZ521" s="67" t="str">
        <f t="shared" si="536"/>
        <v/>
      </c>
      <c r="BA521" s="67" t="str">
        <f t="shared" si="536"/>
        <v/>
      </c>
      <c r="BB521" s="398" t="str">
        <f t="shared" si="536"/>
        <v/>
      </c>
      <c r="BC521" s="358" t="str">
        <f t="shared" si="536"/>
        <v/>
      </c>
      <c r="BD521" s="187" t="str">
        <f t="shared" si="536"/>
        <v/>
      </c>
      <c r="BE521" s="104" t="str">
        <f t="shared" si="536"/>
        <v/>
      </c>
      <c r="BF521" s="389" t="str">
        <f t="shared" si="536"/>
        <v/>
      </c>
      <c r="BG521" s="389" t="str">
        <f t="shared" si="536"/>
        <v>🔵 Chưa có hạn</v>
      </c>
      <c r="BH521" s="67" t="str">
        <f t="shared" si="536"/>
        <v/>
      </c>
      <c r="BI521" s="389" t="str">
        <f t="array" ref="BI521">IF($X521="","",SWITCH($W521,3,IFERROR(INDEX('Lớp 3 - Công việc chính'!$AF$14:$AF$73,MATCH($X521,'Lớp 3 - Công việc chính'!$I$14:$I$73,0)),""),4,IFERROR(INDEX('Lớp 4 - Danh mục'!$AI$14:$AI$132,MATCH($X521,'Lớp 4 - Danh mục'!$I$14:$I$132,0)),""),5,IFERROR(INDEX('Lớp 5 - Phân công'!$AJ$14:$AJ$262,MATCH($X521,'Lớp 5 - Phân công'!$I$14:$I$262,0)),""),6,IFERROR(INDEX('Lớp 6 - Chi tiết'!$AM$14:$AM$267,MATCH($X521,'Lớp 6 - Chi tiết'!$I$14:$I$267,0)),""),""))</f>
        <v/>
      </c>
      <c r="BJ521" s="389" t="str">
        <f t="array" ref="BJ521">IF($X521="","",SWITCH($W521,3,IFERROR(INDEX('Lớp 3 - Công việc chính'!$AR$14:$AR$73,MATCH($X521,'Lớp 3 - Công việc chính'!$I$14:$I$73,0)),""),4,IFERROR(INDEX('Lớp 4 - Danh mục'!$AU$14:$AU$132,MATCH($X521,'Lớp 4 - Danh mục'!$I$14:$I$132,0)),""),5,IFERROR(INDEX('Lớp 5 - Phân công'!$AV$14:$AV$262,MATCH($X521,'Lớp 5 - Phân công'!$I$14:$I$262,0)),""),6,IFERROR(INDEX('Lớp 6 - Chi tiết'!$AY$14:$AY$267,MATCH($X521,'Lớp 6 - Chi tiết'!$I$14:$I$267,0)),""),""))</f>
        <v/>
      </c>
    </row>
    <row r="522" ht="15.75" customHeight="1">
      <c r="A522" s="294" t="str">
        <f t="shared" si="12"/>
        <v/>
      </c>
      <c r="B522" s="301" t="str">
        <f t="shared" si="13"/>
        <v/>
      </c>
      <c r="C522" s="301" t="str">
        <f t="shared" si="14"/>
        <v/>
      </c>
      <c r="D522" s="301" t="str">
        <f t="shared" si="15"/>
        <v/>
      </c>
      <c r="E522" s="301" t="str">
        <f t="shared" si="16"/>
        <v/>
      </c>
      <c r="F522" s="317" t="str">
        <f t="shared" si="17"/>
        <v/>
      </c>
      <c r="G522" s="323" t="str">
        <f t="shared" si="18"/>
        <v/>
      </c>
      <c r="H522" s="327" t="str">
        <f t="shared" si="19"/>
        <v/>
      </c>
      <c r="I522" s="327" t="str">
        <f t="shared" si="20"/>
        <v/>
      </c>
      <c r="J522" s="301" t="str">
        <f t="shared" si="21"/>
        <v/>
      </c>
      <c r="K522" s="301" t="str">
        <f t="shared" si="22"/>
        <v/>
      </c>
      <c r="L522" s="344" t="str">
        <f t="array" ref="L522">IF($T522="","",LET(m,MATCH($T522,$AS$24:$AS$700,0),lvl,INDEX($W$24:$W$700,m),id,INDEX($X$24:$X$700,m),SWITCH(lvl,3,"Lớp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2" s="351" t="str">
        <f t="shared" si="23"/>
        <v/>
      </c>
      <c r="N522" s="356" t="str">
        <f t="shared" si="24"/>
        <v/>
      </c>
      <c r="O522" s="358"/>
      <c r="P522" s="360"/>
      <c r="Q522" s="360"/>
      <c r="R522" s="67"/>
      <c r="S522" s="67"/>
      <c r="T522" s="67"/>
      <c r="U522" s="389" t="str">
        <f>IF('Lớp 6 - Chi tiết'!I84="","",'Lớp 6 - Chi tiết'!L84&amp;"|"&amp;'Lớp 6 - Chi tiết'!K84&amp;"|"&amp;'Lớp 6 - Chi tiết'!J84&amp;"|"&amp;'Lớp 6 - Chi tiết'!I84)</f>
        <v/>
      </c>
      <c r="V522" s="389" t="str">
        <f>IF('Lớp 6 - Chi tiết'!I84="","","           └─ "&amp;'Lớp 6 - Chi tiết'!S84)</f>
        <v/>
      </c>
      <c r="W522" s="389" t="str">
        <f>IF('Lớp 6 - Chi tiết'!I84="","",6)</f>
        <v/>
      </c>
      <c r="X522" s="67" t="str">
        <f>'Lớp 6 - Chi tiết'!I84</f>
        <v/>
      </c>
      <c r="Y522" s="389" t="str">
        <f>'Lớp 6 - Chi tiết'!J84</f>
        <v/>
      </c>
      <c r="Z522" s="67" t="str">
        <f>'Lớp 6 - Chi tiết'!AC84</f>
        <v/>
      </c>
      <c r="AA522" s="67" t="str">
        <f>'Lớp 6 - Chi tiết'!AB84</f>
        <v/>
      </c>
      <c r="AB522" s="67" t="str">
        <f>'Lớp 6 - Chi tiết'!AF84</f>
        <v/>
      </c>
      <c r="AC522" s="67" t="str">
        <f>'Lớp 6 - Chi tiết'!AE84</f>
        <v/>
      </c>
      <c r="AD522" s="398" t="str">
        <f>'Lớp 6 - Chi tiết'!AJ84</f>
        <v/>
      </c>
      <c r="AE522" s="358" t="str">
        <f>'Lớp 6 - Chi tiết'!AH84</f>
        <v/>
      </c>
      <c r="AF522" s="187" t="str">
        <f>'Lớp 6 - Chi tiết'!AK84</f>
        <v/>
      </c>
      <c r="AG522" s="104" t="str">
        <f>'Lớp 6 - Chi tiết'!AL84</f>
        <v/>
      </c>
      <c r="AH522" s="389" t="str">
        <f t="shared" si="27"/>
        <v/>
      </c>
      <c r="AI522" s="389" t="str">
        <f t="shared" si="37"/>
        <v>🔵 Chưa có hạn</v>
      </c>
      <c r="AJ522" s="67" t="str">
        <f>'Lớp 6 - Chi tiết'!AO84</f>
        <v/>
      </c>
      <c r="AS522" s="389" t="str">
        <f t="shared" si="467"/>
        <v/>
      </c>
      <c r="AT522" s="389" t="str">
        <f t="shared" si="32"/>
        <v/>
      </c>
      <c r="AU522" s="389" t="str">
        <f t="shared" si="33"/>
        <v/>
      </c>
      <c r="AV522" s="389" t="str">
        <f t="shared" si="34"/>
        <v/>
      </c>
      <c r="AW522" s="389" t="str">
        <f t="shared" si="35"/>
        <v/>
      </c>
      <c r="AX522" s="67" t="str">
        <f t="shared" ref="AX522:BH522" si="537">Z522</f>
        <v/>
      </c>
      <c r="AY522" s="67" t="str">
        <f t="shared" si="537"/>
        <v/>
      </c>
      <c r="AZ522" s="67" t="str">
        <f t="shared" si="537"/>
        <v/>
      </c>
      <c r="BA522" s="67" t="str">
        <f t="shared" si="537"/>
        <v/>
      </c>
      <c r="BB522" s="398" t="str">
        <f t="shared" si="537"/>
        <v/>
      </c>
      <c r="BC522" s="358" t="str">
        <f t="shared" si="537"/>
        <v/>
      </c>
      <c r="BD522" s="187" t="str">
        <f t="shared" si="537"/>
        <v/>
      </c>
      <c r="BE522" s="104" t="str">
        <f t="shared" si="537"/>
        <v/>
      </c>
      <c r="BF522" s="389" t="str">
        <f t="shared" si="537"/>
        <v/>
      </c>
      <c r="BG522" s="389" t="str">
        <f t="shared" si="537"/>
        <v>🔵 Chưa có hạn</v>
      </c>
      <c r="BH522" s="67" t="str">
        <f t="shared" si="537"/>
        <v/>
      </c>
      <c r="BI522" s="389" t="str">
        <f t="array" ref="BI522">IF($X522="","",SWITCH($W522,3,IFERROR(INDEX('Lớp 3 - Công việc chính'!$AF$14:$AF$73,MATCH($X522,'Lớp 3 - Công việc chính'!$I$14:$I$73,0)),""),4,IFERROR(INDEX('Lớp 4 - Danh mục'!$AI$14:$AI$132,MATCH($X522,'Lớp 4 - Danh mục'!$I$14:$I$132,0)),""),5,IFERROR(INDEX('Lớp 5 - Phân công'!$AJ$14:$AJ$262,MATCH($X522,'Lớp 5 - Phân công'!$I$14:$I$262,0)),""),6,IFERROR(INDEX('Lớp 6 - Chi tiết'!$AM$14:$AM$267,MATCH($X522,'Lớp 6 - Chi tiết'!$I$14:$I$267,0)),""),""))</f>
        <v/>
      </c>
      <c r="BJ522" s="389" t="str">
        <f t="array" ref="BJ522">IF($X522="","",SWITCH($W522,3,IFERROR(INDEX('Lớp 3 - Công việc chính'!$AR$14:$AR$73,MATCH($X522,'Lớp 3 - Công việc chính'!$I$14:$I$73,0)),""),4,IFERROR(INDEX('Lớp 4 - Danh mục'!$AU$14:$AU$132,MATCH($X522,'Lớp 4 - Danh mục'!$I$14:$I$132,0)),""),5,IFERROR(INDEX('Lớp 5 - Phân công'!$AV$14:$AV$262,MATCH($X522,'Lớp 5 - Phân công'!$I$14:$I$262,0)),""),6,IFERROR(INDEX('Lớp 6 - Chi tiết'!$AY$14:$AY$267,MATCH($X522,'Lớp 6 - Chi tiết'!$I$14:$I$267,0)),""),""))</f>
        <v/>
      </c>
    </row>
    <row r="523" ht="15.75" customHeight="1">
      <c r="A523" s="294" t="str">
        <f t="shared" si="12"/>
        <v/>
      </c>
      <c r="B523" s="301" t="str">
        <f t="shared" si="13"/>
        <v/>
      </c>
      <c r="C523" s="301" t="str">
        <f t="shared" si="14"/>
        <v/>
      </c>
      <c r="D523" s="301" t="str">
        <f t="shared" si="15"/>
        <v/>
      </c>
      <c r="E523" s="301" t="str">
        <f t="shared" si="16"/>
        <v/>
      </c>
      <c r="F523" s="317" t="str">
        <f t="shared" si="17"/>
        <v/>
      </c>
      <c r="G523" s="323" t="str">
        <f t="shared" si="18"/>
        <v/>
      </c>
      <c r="H523" s="327" t="str">
        <f t="shared" si="19"/>
        <v/>
      </c>
      <c r="I523" s="327" t="str">
        <f t="shared" si="20"/>
        <v/>
      </c>
      <c r="J523" s="301" t="str">
        <f t="shared" si="21"/>
        <v/>
      </c>
      <c r="K523" s="301" t="str">
        <f t="shared" si="22"/>
        <v/>
      </c>
      <c r="L523" s="344" t="str">
        <f t="array" ref="L523">IF($T523="","",LET(m,MATCH($T523,$AS$24:$AS$700,0),lvl,INDEX($W$24:$W$700,m),id,INDEX($X$24:$X$700,m),SWITCH(lvl,3,"Lớp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3" s="351" t="str">
        <f t="shared" si="23"/>
        <v/>
      </c>
      <c r="N523" s="356" t="str">
        <f t="shared" si="24"/>
        <v/>
      </c>
      <c r="O523" s="358"/>
      <c r="P523" s="360"/>
      <c r="Q523" s="360"/>
      <c r="R523" s="67"/>
      <c r="S523" s="67"/>
      <c r="T523" s="67"/>
      <c r="U523" s="389" t="str">
        <f>IF('Lớp 6 - Chi tiết'!I85="","",'Lớp 6 - Chi tiết'!L85&amp;"|"&amp;'Lớp 6 - Chi tiết'!K85&amp;"|"&amp;'Lớp 6 - Chi tiết'!J85&amp;"|"&amp;'Lớp 6 - Chi tiết'!I85)</f>
        <v/>
      </c>
      <c r="V523" s="389" t="str">
        <f>IF('Lớp 6 - Chi tiết'!I85="","","           └─ "&amp;'Lớp 6 - Chi tiết'!S85)</f>
        <v/>
      </c>
      <c r="W523" s="389" t="str">
        <f>IF('Lớp 6 - Chi tiết'!I85="","",6)</f>
        <v/>
      </c>
      <c r="X523" s="67" t="str">
        <f>'Lớp 6 - Chi tiết'!I85</f>
        <v/>
      </c>
      <c r="Y523" s="389" t="str">
        <f>'Lớp 6 - Chi tiết'!J85</f>
        <v/>
      </c>
      <c r="Z523" s="67" t="str">
        <f>'Lớp 6 - Chi tiết'!AC85</f>
        <v/>
      </c>
      <c r="AA523" s="67" t="str">
        <f>'Lớp 6 - Chi tiết'!AB85</f>
        <v/>
      </c>
      <c r="AB523" s="67" t="str">
        <f>'Lớp 6 - Chi tiết'!AF85</f>
        <v/>
      </c>
      <c r="AC523" s="67" t="str">
        <f>'Lớp 6 - Chi tiết'!AE85</f>
        <v/>
      </c>
      <c r="AD523" s="398" t="str">
        <f>'Lớp 6 - Chi tiết'!AJ85</f>
        <v/>
      </c>
      <c r="AE523" s="358" t="str">
        <f>'Lớp 6 - Chi tiết'!AH85</f>
        <v/>
      </c>
      <c r="AF523" s="187" t="str">
        <f>'Lớp 6 - Chi tiết'!AK85</f>
        <v/>
      </c>
      <c r="AG523" s="104" t="str">
        <f>'Lớp 6 - Chi tiết'!AL85</f>
        <v/>
      </c>
      <c r="AH523" s="389" t="str">
        <f t="shared" si="27"/>
        <v/>
      </c>
      <c r="AI523" s="389" t="str">
        <f t="shared" si="37"/>
        <v>🔵 Chưa có hạn</v>
      </c>
      <c r="AJ523" s="67" t="str">
        <f>'Lớp 6 - Chi tiết'!AO85</f>
        <v/>
      </c>
      <c r="AS523" s="389" t="str">
        <f t="shared" si="467"/>
        <v/>
      </c>
      <c r="AT523" s="389" t="str">
        <f t="shared" si="32"/>
        <v/>
      </c>
      <c r="AU523" s="389" t="str">
        <f t="shared" si="33"/>
        <v/>
      </c>
      <c r="AV523" s="389" t="str">
        <f t="shared" si="34"/>
        <v/>
      </c>
      <c r="AW523" s="389" t="str">
        <f t="shared" si="35"/>
        <v/>
      </c>
      <c r="AX523" s="67" t="str">
        <f t="shared" ref="AX523:BH523" si="538">Z523</f>
        <v/>
      </c>
      <c r="AY523" s="67" t="str">
        <f t="shared" si="538"/>
        <v/>
      </c>
      <c r="AZ523" s="67" t="str">
        <f t="shared" si="538"/>
        <v/>
      </c>
      <c r="BA523" s="67" t="str">
        <f t="shared" si="538"/>
        <v/>
      </c>
      <c r="BB523" s="398" t="str">
        <f t="shared" si="538"/>
        <v/>
      </c>
      <c r="BC523" s="358" t="str">
        <f t="shared" si="538"/>
        <v/>
      </c>
      <c r="BD523" s="187" t="str">
        <f t="shared" si="538"/>
        <v/>
      </c>
      <c r="BE523" s="104" t="str">
        <f t="shared" si="538"/>
        <v/>
      </c>
      <c r="BF523" s="389" t="str">
        <f t="shared" si="538"/>
        <v/>
      </c>
      <c r="BG523" s="389" t="str">
        <f t="shared" si="538"/>
        <v>🔵 Chưa có hạn</v>
      </c>
      <c r="BH523" s="67" t="str">
        <f t="shared" si="538"/>
        <v/>
      </c>
      <c r="BI523" s="389" t="str">
        <f t="array" ref="BI523">IF($X523="","",SWITCH($W523,3,IFERROR(INDEX('Lớp 3 - Công việc chính'!$AF$14:$AF$73,MATCH($X523,'Lớp 3 - Công việc chính'!$I$14:$I$73,0)),""),4,IFERROR(INDEX('Lớp 4 - Danh mục'!$AI$14:$AI$132,MATCH($X523,'Lớp 4 - Danh mục'!$I$14:$I$132,0)),""),5,IFERROR(INDEX('Lớp 5 - Phân công'!$AJ$14:$AJ$262,MATCH($X523,'Lớp 5 - Phân công'!$I$14:$I$262,0)),""),6,IFERROR(INDEX('Lớp 6 - Chi tiết'!$AM$14:$AM$267,MATCH($X523,'Lớp 6 - Chi tiết'!$I$14:$I$267,0)),""),""))</f>
        <v/>
      </c>
      <c r="BJ523" s="389" t="str">
        <f t="array" ref="BJ523">IF($X523="","",SWITCH($W523,3,IFERROR(INDEX('Lớp 3 - Công việc chính'!$AR$14:$AR$73,MATCH($X523,'Lớp 3 - Công việc chính'!$I$14:$I$73,0)),""),4,IFERROR(INDEX('Lớp 4 - Danh mục'!$AU$14:$AU$132,MATCH($X523,'Lớp 4 - Danh mục'!$I$14:$I$132,0)),""),5,IFERROR(INDEX('Lớp 5 - Phân công'!$AV$14:$AV$262,MATCH($X523,'Lớp 5 - Phân công'!$I$14:$I$262,0)),""),6,IFERROR(INDEX('Lớp 6 - Chi tiết'!$AY$14:$AY$267,MATCH($X523,'Lớp 6 - Chi tiết'!$I$14:$I$267,0)),""),""))</f>
        <v/>
      </c>
    </row>
    <row r="524" ht="15.75" customHeight="1">
      <c r="A524" s="294" t="str">
        <f t="shared" si="12"/>
        <v/>
      </c>
      <c r="B524" s="301" t="str">
        <f t="shared" si="13"/>
        <v/>
      </c>
      <c r="C524" s="301" t="str">
        <f t="shared" si="14"/>
        <v/>
      </c>
      <c r="D524" s="301" t="str">
        <f t="shared" si="15"/>
        <v/>
      </c>
      <c r="E524" s="301" t="str">
        <f t="shared" si="16"/>
        <v/>
      </c>
      <c r="F524" s="317" t="str">
        <f t="shared" si="17"/>
        <v/>
      </c>
      <c r="G524" s="323" t="str">
        <f t="shared" si="18"/>
        <v/>
      </c>
      <c r="H524" s="327" t="str">
        <f t="shared" si="19"/>
        <v/>
      </c>
      <c r="I524" s="327" t="str">
        <f t="shared" si="20"/>
        <v/>
      </c>
      <c r="J524" s="301" t="str">
        <f t="shared" si="21"/>
        <v/>
      </c>
      <c r="K524" s="301" t="str">
        <f t="shared" si="22"/>
        <v/>
      </c>
      <c r="L524" s="344" t="str">
        <f t="array" ref="L524">IF($T524="","",LET(m,MATCH($T524,$AS$24:$AS$700,0),lvl,INDEX($W$24:$W$700,m),id,INDEX($X$24:$X$700,m),SWITCH(lvl,3,"Lớp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4" s="351" t="str">
        <f t="shared" si="23"/>
        <v/>
      </c>
      <c r="N524" s="356" t="str">
        <f t="shared" si="24"/>
        <v/>
      </c>
      <c r="O524" s="358"/>
      <c r="P524" s="360"/>
      <c r="Q524" s="360"/>
      <c r="R524" s="67"/>
      <c r="S524" s="67"/>
      <c r="T524" s="67"/>
      <c r="U524" s="389" t="str">
        <f>IF('Lớp 6 - Chi tiết'!I86="","",'Lớp 6 - Chi tiết'!L86&amp;"|"&amp;'Lớp 6 - Chi tiết'!K86&amp;"|"&amp;'Lớp 6 - Chi tiết'!J86&amp;"|"&amp;'Lớp 6 - Chi tiết'!I86)</f>
        <v/>
      </c>
      <c r="V524" s="389" t="str">
        <f>IF('Lớp 6 - Chi tiết'!I86="","","           └─ "&amp;'Lớp 6 - Chi tiết'!S86)</f>
        <v/>
      </c>
      <c r="W524" s="389" t="str">
        <f>IF('Lớp 6 - Chi tiết'!I86="","",6)</f>
        <v/>
      </c>
      <c r="X524" s="67" t="str">
        <f>'Lớp 6 - Chi tiết'!I86</f>
        <v/>
      </c>
      <c r="Y524" s="389" t="str">
        <f>'Lớp 6 - Chi tiết'!J86</f>
        <v/>
      </c>
      <c r="Z524" s="67" t="str">
        <f>'Lớp 6 - Chi tiết'!AC86</f>
        <v/>
      </c>
      <c r="AA524" s="67" t="str">
        <f>'Lớp 6 - Chi tiết'!AB86</f>
        <v/>
      </c>
      <c r="AB524" s="67" t="str">
        <f>'Lớp 6 - Chi tiết'!AF86</f>
        <v/>
      </c>
      <c r="AC524" s="67" t="str">
        <f>'Lớp 6 - Chi tiết'!AE86</f>
        <v/>
      </c>
      <c r="AD524" s="398" t="str">
        <f>'Lớp 6 - Chi tiết'!AJ86</f>
        <v/>
      </c>
      <c r="AE524" s="358" t="str">
        <f>'Lớp 6 - Chi tiết'!AH86</f>
        <v/>
      </c>
      <c r="AF524" s="187" t="str">
        <f>'Lớp 6 - Chi tiết'!AK86</f>
        <v/>
      </c>
      <c r="AG524" s="104" t="str">
        <f>'Lớp 6 - Chi tiết'!AL86</f>
        <v/>
      </c>
      <c r="AH524" s="389" t="str">
        <f t="shared" si="27"/>
        <v/>
      </c>
      <c r="AI524" s="389" t="str">
        <f t="shared" si="37"/>
        <v>🔵 Chưa có hạn</v>
      </c>
      <c r="AJ524" s="67" t="str">
        <f>'Lớp 6 - Chi tiết'!AO86</f>
        <v/>
      </c>
      <c r="AS524" s="389" t="str">
        <f t="shared" si="467"/>
        <v/>
      </c>
      <c r="AT524" s="389" t="str">
        <f t="shared" si="32"/>
        <v/>
      </c>
      <c r="AU524" s="389" t="str">
        <f t="shared" si="33"/>
        <v/>
      </c>
      <c r="AV524" s="389" t="str">
        <f t="shared" si="34"/>
        <v/>
      </c>
      <c r="AW524" s="389" t="str">
        <f t="shared" si="35"/>
        <v/>
      </c>
      <c r="AX524" s="67" t="str">
        <f t="shared" ref="AX524:BH524" si="539">Z524</f>
        <v/>
      </c>
      <c r="AY524" s="67" t="str">
        <f t="shared" si="539"/>
        <v/>
      </c>
      <c r="AZ524" s="67" t="str">
        <f t="shared" si="539"/>
        <v/>
      </c>
      <c r="BA524" s="67" t="str">
        <f t="shared" si="539"/>
        <v/>
      </c>
      <c r="BB524" s="398" t="str">
        <f t="shared" si="539"/>
        <v/>
      </c>
      <c r="BC524" s="358" t="str">
        <f t="shared" si="539"/>
        <v/>
      </c>
      <c r="BD524" s="187" t="str">
        <f t="shared" si="539"/>
        <v/>
      </c>
      <c r="BE524" s="104" t="str">
        <f t="shared" si="539"/>
        <v/>
      </c>
      <c r="BF524" s="389" t="str">
        <f t="shared" si="539"/>
        <v/>
      </c>
      <c r="BG524" s="389" t="str">
        <f t="shared" si="539"/>
        <v>🔵 Chưa có hạn</v>
      </c>
      <c r="BH524" s="67" t="str">
        <f t="shared" si="539"/>
        <v/>
      </c>
      <c r="BI524" s="389" t="str">
        <f t="array" ref="BI524">IF($X524="","",SWITCH($W524,3,IFERROR(INDEX('Lớp 3 - Công việc chính'!$AF$14:$AF$73,MATCH($X524,'Lớp 3 - Công việc chính'!$I$14:$I$73,0)),""),4,IFERROR(INDEX('Lớp 4 - Danh mục'!$AI$14:$AI$132,MATCH($X524,'Lớp 4 - Danh mục'!$I$14:$I$132,0)),""),5,IFERROR(INDEX('Lớp 5 - Phân công'!$AJ$14:$AJ$262,MATCH($X524,'Lớp 5 - Phân công'!$I$14:$I$262,0)),""),6,IFERROR(INDEX('Lớp 6 - Chi tiết'!$AM$14:$AM$267,MATCH($X524,'Lớp 6 - Chi tiết'!$I$14:$I$267,0)),""),""))</f>
        <v/>
      </c>
      <c r="BJ524" s="389" t="str">
        <f t="array" ref="BJ524">IF($X524="","",SWITCH($W524,3,IFERROR(INDEX('Lớp 3 - Công việc chính'!$AR$14:$AR$73,MATCH($X524,'Lớp 3 - Công việc chính'!$I$14:$I$73,0)),""),4,IFERROR(INDEX('Lớp 4 - Danh mục'!$AU$14:$AU$132,MATCH($X524,'Lớp 4 - Danh mục'!$I$14:$I$132,0)),""),5,IFERROR(INDEX('Lớp 5 - Phân công'!$AV$14:$AV$262,MATCH($X524,'Lớp 5 - Phân công'!$I$14:$I$262,0)),""),6,IFERROR(INDEX('Lớp 6 - Chi tiết'!$AY$14:$AY$267,MATCH($X524,'Lớp 6 - Chi tiết'!$I$14:$I$267,0)),""),""))</f>
        <v/>
      </c>
    </row>
    <row r="525" ht="15.75" customHeight="1">
      <c r="A525" s="294" t="str">
        <f t="shared" si="12"/>
        <v/>
      </c>
      <c r="B525" s="301" t="str">
        <f t="shared" si="13"/>
        <v/>
      </c>
      <c r="C525" s="301" t="str">
        <f t="shared" si="14"/>
        <v/>
      </c>
      <c r="D525" s="301" t="str">
        <f t="shared" si="15"/>
        <v/>
      </c>
      <c r="E525" s="301" t="str">
        <f t="shared" si="16"/>
        <v/>
      </c>
      <c r="F525" s="317" t="str">
        <f t="shared" si="17"/>
        <v/>
      </c>
      <c r="G525" s="323" t="str">
        <f t="shared" si="18"/>
        <v/>
      </c>
      <c r="H525" s="327" t="str">
        <f t="shared" si="19"/>
        <v/>
      </c>
      <c r="I525" s="327" t="str">
        <f t="shared" si="20"/>
        <v/>
      </c>
      <c r="J525" s="301" t="str">
        <f t="shared" si="21"/>
        <v/>
      </c>
      <c r="K525" s="301" t="str">
        <f t="shared" si="22"/>
        <v/>
      </c>
      <c r="L525" s="344" t="str">
        <f t="array" ref="L525">IF($T525="","",LET(m,MATCH($T525,$AS$24:$AS$700,0),lvl,INDEX($W$24:$W$700,m),id,INDEX($X$24:$X$700,m),SWITCH(lvl,3,"Lớp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5" s="351" t="str">
        <f t="shared" si="23"/>
        <v/>
      </c>
      <c r="N525" s="356" t="str">
        <f t="shared" si="24"/>
        <v/>
      </c>
      <c r="O525" s="358"/>
      <c r="P525" s="360"/>
      <c r="Q525" s="360"/>
      <c r="R525" s="67"/>
      <c r="S525" s="67"/>
      <c r="T525" s="67"/>
      <c r="U525" s="389" t="str">
        <f>IF('Lớp 6 - Chi tiết'!I87="","",'Lớp 6 - Chi tiết'!L87&amp;"|"&amp;'Lớp 6 - Chi tiết'!K87&amp;"|"&amp;'Lớp 6 - Chi tiết'!J87&amp;"|"&amp;'Lớp 6 - Chi tiết'!I87)</f>
        <v/>
      </c>
      <c r="V525" s="389" t="str">
        <f>IF('Lớp 6 - Chi tiết'!I87="","","           └─ "&amp;'Lớp 6 - Chi tiết'!S87)</f>
        <v/>
      </c>
      <c r="W525" s="389" t="str">
        <f>IF('Lớp 6 - Chi tiết'!I87="","",6)</f>
        <v/>
      </c>
      <c r="X525" s="67" t="str">
        <f>'Lớp 6 - Chi tiết'!I87</f>
        <v/>
      </c>
      <c r="Y525" s="389" t="str">
        <f>'Lớp 6 - Chi tiết'!J87</f>
        <v/>
      </c>
      <c r="Z525" s="67" t="str">
        <f>'Lớp 6 - Chi tiết'!AC87</f>
        <v/>
      </c>
      <c r="AA525" s="67" t="str">
        <f>'Lớp 6 - Chi tiết'!AB87</f>
        <v/>
      </c>
      <c r="AB525" s="67" t="str">
        <f>'Lớp 6 - Chi tiết'!AF87</f>
        <v/>
      </c>
      <c r="AC525" s="67" t="str">
        <f>'Lớp 6 - Chi tiết'!AE87</f>
        <v/>
      </c>
      <c r="AD525" s="398" t="str">
        <f>'Lớp 6 - Chi tiết'!AJ87</f>
        <v/>
      </c>
      <c r="AE525" s="358" t="str">
        <f>'Lớp 6 - Chi tiết'!AH87</f>
        <v/>
      </c>
      <c r="AF525" s="187" t="str">
        <f>'Lớp 6 - Chi tiết'!AK87</f>
        <v/>
      </c>
      <c r="AG525" s="104" t="str">
        <f>'Lớp 6 - Chi tiết'!AL87</f>
        <v/>
      </c>
      <c r="AH525" s="389" t="str">
        <f t="shared" si="27"/>
        <v/>
      </c>
      <c r="AI525" s="389" t="str">
        <f t="shared" si="37"/>
        <v>🔵 Chưa có hạn</v>
      </c>
      <c r="AJ525" s="67" t="str">
        <f>'Lớp 6 - Chi tiết'!AO87</f>
        <v/>
      </c>
      <c r="AS525" s="389" t="str">
        <f t="shared" si="467"/>
        <v/>
      </c>
      <c r="AT525" s="389" t="str">
        <f t="shared" si="32"/>
        <v/>
      </c>
      <c r="AU525" s="389" t="str">
        <f t="shared" si="33"/>
        <v/>
      </c>
      <c r="AV525" s="389" t="str">
        <f t="shared" si="34"/>
        <v/>
      </c>
      <c r="AW525" s="389" t="str">
        <f t="shared" si="35"/>
        <v/>
      </c>
      <c r="AX525" s="67" t="str">
        <f t="shared" ref="AX525:BH525" si="540">Z525</f>
        <v/>
      </c>
      <c r="AY525" s="67" t="str">
        <f t="shared" si="540"/>
        <v/>
      </c>
      <c r="AZ525" s="67" t="str">
        <f t="shared" si="540"/>
        <v/>
      </c>
      <c r="BA525" s="67" t="str">
        <f t="shared" si="540"/>
        <v/>
      </c>
      <c r="BB525" s="398" t="str">
        <f t="shared" si="540"/>
        <v/>
      </c>
      <c r="BC525" s="358" t="str">
        <f t="shared" si="540"/>
        <v/>
      </c>
      <c r="BD525" s="187" t="str">
        <f t="shared" si="540"/>
        <v/>
      </c>
      <c r="BE525" s="104" t="str">
        <f t="shared" si="540"/>
        <v/>
      </c>
      <c r="BF525" s="389" t="str">
        <f t="shared" si="540"/>
        <v/>
      </c>
      <c r="BG525" s="389" t="str">
        <f t="shared" si="540"/>
        <v>🔵 Chưa có hạn</v>
      </c>
      <c r="BH525" s="67" t="str">
        <f t="shared" si="540"/>
        <v/>
      </c>
      <c r="BI525" s="389" t="str">
        <f t="array" ref="BI525">IF($X525="","",SWITCH($W525,3,IFERROR(INDEX('Lớp 3 - Công việc chính'!$AF$14:$AF$73,MATCH($X525,'Lớp 3 - Công việc chính'!$I$14:$I$73,0)),""),4,IFERROR(INDEX('Lớp 4 - Danh mục'!$AI$14:$AI$132,MATCH($X525,'Lớp 4 - Danh mục'!$I$14:$I$132,0)),""),5,IFERROR(INDEX('Lớp 5 - Phân công'!$AJ$14:$AJ$262,MATCH($X525,'Lớp 5 - Phân công'!$I$14:$I$262,0)),""),6,IFERROR(INDEX('Lớp 6 - Chi tiết'!$AM$14:$AM$267,MATCH($X525,'Lớp 6 - Chi tiết'!$I$14:$I$267,0)),""),""))</f>
        <v/>
      </c>
      <c r="BJ525" s="389" t="str">
        <f t="array" ref="BJ525">IF($X525="","",SWITCH($W525,3,IFERROR(INDEX('Lớp 3 - Công việc chính'!$AR$14:$AR$73,MATCH($X525,'Lớp 3 - Công việc chính'!$I$14:$I$73,0)),""),4,IFERROR(INDEX('Lớp 4 - Danh mục'!$AU$14:$AU$132,MATCH($X525,'Lớp 4 - Danh mục'!$I$14:$I$132,0)),""),5,IFERROR(INDEX('Lớp 5 - Phân công'!$AV$14:$AV$262,MATCH($X525,'Lớp 5 - Phân công'!$I$14:$I$262,0)),""),6,IFERROR(INDEX('Lớp 6 - Chi tiết'!$AY$14:$AY$267,MATCH($X525,'Lớp 6 - Chi tiết'!$I$14:$I$267,0)),""),""))</f>
        <v/>
      </c>
    </row>
    <row r="526" ht="15.75" customHeight="1">
      <c r="A526" s="294" t="str">
        <f t="shared" si="12"/>
        <v/>
      </c>
      <c r="B526" s="301" t="str">
        <f t="shared" si="13"/>
        <v/>
      </c>
      <c r="C526" s="301" t="str">
        <f t="shared" si="14"/>
        <v/>
      </c>
      <c r="D526" s="301" t="str">
        <f t="shared" si="15"/>
        <v/>
      </c>
      <c r="E526" s="301" t="str">
        <f t="shared" si="16"/>
        <v/>
      </c>
      <c r="F526" s="317" t="str">
        <f t="shared" si="17"/>
        <v/>
      </c>
      <c r="G526" s="323" t="str">
        <f t="shared" si="18"/>
        <v/>
      </c>
      <c r="H526" s="327" t="str">
        <f t="shared" si="19"/>
        <v/>
      </c>
      <c r="I526" s="327" t="str">
        <f t="shared" si="20"/>
        <v/>
      </c>
      <c r="J526" s="301" t="str">
        <f t="shared" si="21"/>
        <v/>
      </c>
      <c r="K526" s="301" t="str">
        <f t="shared" si="22"/>
        <v/>
      </c>
      <c r="L526" s="344" t="str">
        <f t="array" ref="L526">IF($T526="","",LET(m,MATCH($T526,$AS$24:$AS$700,0),lvl,INDEX($W$24:$W$700,m),id,INDEX($X$24:$X$700,m),SWITCH(lvl,3,"Lớp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6" s="351" t="str">
        <f t="shared" si="23"/>
        <v/>
      </c>
      <c r="N526" s="356" t="str">
        <f t="shared" si="24"/>
        <v/>
      </c>
      <c r="O526" s="358"/>
      <c r="P526" s="360"/>
      <c r="Q526" s="360"/>
      <c r="R526" s="67"/>
      <c r="S526" s="67"/>
      <c r="T526" s="67"/>
      <c r="U526" s="389" t="str">
        <f>IF('Lớp 6 - Chi tiết'!I88="","",'Lớp 6 - Chi tiết'!L88&amp;"|"&amp;'Lớp 6 - Chi tiết'!K88&amp;"|"&amp;'Lớp 6 - Chi tiết'!J88&amp;"|"&amp;'Lớp 6 - Chi tiết'!I88)</f>
        <v/>
      </c>
      <c r="V526" s="389" t="str">
        <f>IF('Lớp 6 - Chi tiết'!I88="","","           └─ "&amp;'Lớp 6 - Chi tiết'!S88)</f>
        <v/>
      </c>
      <c r="W526" s="389" t="str">
        <f>IF('Lớp 6 - Chi tiết'!I88="","",6)</f>
        <v/>
      </c>
      <c r="X526" s="67" t="str">
        <f>'Lớp 6 - Chi tiết'!I88</f>
        <v/>
      </c>
      <c r="Y526" s="389" t="str">
        <f>'Lớp 6 - Chi tiết'!J88</f>
        <v/>
      </c>
      <c r="Z526" s="67" t="str">
        <f>'Lớp 6 - Chi tiết'!AC88</f>
        <v/>
      </c>
      <c r="AA526" s="67" t="str">
        <f>'Lớp 6 - Chi tiết'!AB88</f>
        <v/>
      </c>
      <c r="AB526" s="67" t="str">
        <f>'Lớp 6 - Chi tiết'!AF88</f>
        <v/>
      </c>
      <c r="AC526" s="67" t="str">
        <f>'Lớp 6 - Chi tiết'!AE88</f>
        <v/>
      </c>
      <c r="AD526" s="398" t="str">
        <f>'Lớp 6 - Chi tiết'!AJ88</f>
        <v/>
      </c>
      <c r="AE526" s="358" t="str">
        <f>'Lớp 6 - Chi tiết'!AH88</f>
        <v/>
      </c>
      <c r="AF526" s="187" t="str">
        <f>'Lớp 6 - Chi tiết'!AK88</f>
        <v/>
      </c>
      <c r="AG526" s="104" t="str">
        <f>'Lớp 6 - Chi tiết'!AL88</f>
        <v/>
      </c>
      <c r="AH526" s="389" t="str">
        <f t="shared" si="27"/>
        <v/>
      </c>
      <c r="AI526" s="389" t="str">
        <f t="shared" si="37"/>
        <v>🔵 Chưa có hạn</v>
      </c>
      <c r="AJ526" s="67" t="str">
        <f>'Lớp 6 - Chi tiết'!AO88</f>
        <v/>
      </c>
      <c r="AS526" s="389" t="str">
        <f t="shared" si="467"/>
        <v/>
      </c>
      <c r="AT526" s="389" t="str">
        <f t="shared" si="32"/>
        <v/>
      </c>
      <c r="AU526" s="389" t="str">
        <f t="shared" si="33"/>
        <v/>
      </c>
      <c r="AV526" s="389" t="str">
        <f t="shared" si="34"/>
        <v/>
      </c>
      <c r="AW526" s="389" t="str">
        <f t="shared" si="35"/>
        <v/>
      </c>
      <c r="AX526" s="67" t="str">
        <f t="shared" ref="AX526:BH526" si="541">Z526</f>
        <v/>
      </c>
      <c r="AY526" s="67" t="str">
        <f t="shared" si="541"/>
        <v/>
      </c>
      <c r="AZ526" s="67" t="str">
        <f t="shared" si="541"/>
        <v/>
      </c>
      <c r="BA526" s="67" t="str">
        <f t="shared" si="541"/>
        <v/>
      </c>
      <c r="BB526" s="398" t="str">
        <f t="shared" si="541"/>
        <v/>
      </c>
      <c r="BC526" s="358" t="str">
        <f t="shared" si="541"/>
        <v/>
      </c>
      <c r="BD526" s="187" t="str">
        <f t="shared" si="541"/>
        <v/>
      </c>
      <c r="BE526" s="104" t="str">
        <f t="shared" si="541"/>
        <v/>
      </c>
      <c r="BF526" s="389" t="str">
        <f t="shared" si="541"/>
        <v/>
      </c>
      <c r="BG526" s="389" t="str">
        <f t="shared" si="541"/>
        <v>🔵 Chưa có hạn</v>
      </c>
      <c r="BH526" s="67" t="str">
        <f t="shared" si="541"/>
        <v/>
      </c>
      <c r="BI526" s="389" t="str">
        <f t="array" ref="BI526">IF($X526="","",SWITCH($W526,3,IFERROR(INDEX('Lớp 3 - Công việc chính'!$AF$14:$AF$73,MATCH($X526,'Lớp 3 - Công việc chính'!$I$14:$I$73,0)),""),4,IFERROR(INDEX('Lớp 4 - Danh mục'!$AI$14:$AI$132,MATCH($X526,'Lớp 4 - Danh mục'!$I$14:$I$132,0)),""),5,IFERROR(INDEX('Lớp 5 - Phân công'!$AJ$14:$AJ$262,MATCH($X526,'Lớp 5 - Phân công'!$I$14:$I$262,0)),""),6,IFERROR(INDEX('Lớp 6 - Chi tiết'!$AM$14:$AM$267,MATCH($X526,'Lớp 6 - Chi tiết'!$I$14:$I$267,0)),""),""))</f>
        <v/>
      </c>
      <c r="BJ526" s="389" t="str">
        <f t="array" ref="BJ526">IF($X526="","",SWITCH($W526,3,IFERROR(INDEX('Lớp 3 - Công việc chính'!$AR$14:$AR$73,MATCH($X526,'Lớp 3 - Công việc chính'!$I$14:$I$73,0)),""),4,IFERROR(INDEX('Lớp 4 - Danh mục'!$AU$14:$AU$132,MATCH($X526,'Lớp 4 - Danh mục'!$I$14:$I$132,0)),""),5,IFERROR(INDEX('Lớp 5 - Phân công'!$AV$14:$AV$262,MATCH($X526,'Lớp 5 - Phân công'!$I$14:$I$262,0)),""),6,IFERROR(INDEX('Lớp 6 - Chi tiết'!$AY$14:$AY$267,MATCH($X526,'Lớp 6 - Chi tiết'!$I$14:$I$267,0)),""),""))</f>
        <v/>
      </c>
    </row>
    <row r="527" ht="15.75" customHeight="1">
      <c r="A527" s="294" t="str">
        <f t="shared" si="12"/>
        <v/>
      </c>
      <c r="B527" s="301" t="str">
        <f t="shared" si="13"/>
        <v/>
      </c>
      <c r="C527" s="301" t="str">
        <f t="shared" si="14"/>
        <v/>
      </c>
      <c r="D527" s="301" t="str">
        <f t="shared" si="15"/>
        <v/>
      </c>
      <c r="E527" s="301" t="str">
        <f t="shared" si="16"/>
        <v/>
      </c>
      <c r="F527" s="317" t="str">
        <f t="shared" si="17"/>
        <v/>
      </c>
      <c r="G527" s="323" t="str">
        <f t="shared" si="18"/>
        <v/>
      </c>
      <c r="H527" s="327" t="str">
        <f t="shared" si="19"/>
        <v/>
      </c>
      <c r="I527" s="327" t="str">
        <f t="shared" si="20"/>
        <v/>
      </c>
      <c r="J527" s="301" t="str">
        <f t="shared" si="21"/>
        <v/>
      </c>
      <c r="K527" s="301" t="str">
        <f t="shared" si="22"/>
        <v/>
      </c>
      <c r="L527" s="344" t="str">
        <f t="array" ref="L527">IF($T527="","",LET(m,MATCH($T527,$AS$24:$AS$700,0),lvl,INDEX($W$24:$W$700,m),id,INDEX($X$24:$X$700,m),SWITCH(lvl,3,"Lớp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7" s="351" t="str">
        <f t="shared" si="23"/>
        <v/>
      </c>
      <c r="N527" s="356" t="str">
        <f t="shared" si="24"/>
        <v/>
      </c>
      <c r="O527" s="358"/>
      <c r="P527" s="360"/>
      <c r="Q527" s="360"/>
      <c r="R527" s="67"/>
      <c r="S527" s="67"/>
      <c r="T527" s="67"/>
      <c r="U527" s="389" t="str">
        <f>IF('Lớp 6 - Chi tiết'!I89="","",'Lớp 6 - Chi tiết'!L89&amp;"|"&amp;'Lớp 6 - Chi tiết'!K89&amp;"|"&amp;'Lớp 6 - Chi tiết'!J89&amp;"|"&amp;'Lớp 6 - Chi tiết'!I89)</f>
        <v/>
      </c>
      <c r="V527" s="389" t="str">
        <f>IF('Lớp 6 - Chi tiết'!I89="","","           └─ "&amp;'Lớp 6 - Chi tiết'!S89)</f>
        <v/>
      </c>
      <c r="W527" s="389" t="str">
        <f>IF('Lớp 6 - Chi tiết'!I89="","",6)</f>
        <v/>
      </c>
      <c r="X527" s="67" t="str">
        <f>'Lớp 6 - Chi tiết'!I89</f>
        <v/>
      </c>
      <c r="Y527" s="389" t="str">
        <f>'Lớp 6 - Chi tiết'!J89</f>
        <v/>
      </c>
      <c r="Z527" s="67" t="str">
        <f>'Lớp 6 - Chi tiết'!AC89</f>
        <v/>
      </c>
      <c r="AA527" s="67" t="str">
        <f>'Lớp 6 - Chi tiết'!AB89</f>
        <v/>
      </c>
      <c r="AB527" s="67" t="str">
        <f>'Lớp 6 - Chi tiết'!AF89</f>
        <v/>
      </c>
      <c r="AC527" s="67" t="str">
        <f>'Lớp 6 - Chi tiết'!AE89</f>
        <v/>
      </c>
      <c r="AD527" s="398" t="str">
        <f>'Lớp 6 - Chi tiết'!AJ89</f>
        <v/>
      </c>
      <c r="AE527" s="358" t="str">
        <f>'Lớp 6 - Chi tiết'!AH89</f>
        <v/>
      </c>
      <c r="AF527" s="187" t="str">
        <f>'Lớp 6 - Chi tiết'!AK89</f>
        <v/>
      </c>
      <c r="AG527" s="104" t="str">
        <f>'Lớp 6 - Chi tiết'!AL89</f>
        <v/>
      </c>
      <c r="AH527" s="389" t="str">
        <f t="shared" si="27"/>
        <v/>
      </c>
      <c r="AI527" s="389" t="str">
        <f t="shared" si="37"/>
        <v>🔵 Chưa có hạn</v>
      </c>
      <c r="AJ527" s="67" t="str">
        <f>'Lớp 6 - Chi tiết'!AO89</f>
        <v/>
      </c>
      <c r="AS527" s="389" t="str">
        <f t="shared" si="467"/>
        <v/>
      </c>
      <c r="AT527" s="389" t="str">
        <f t="shared" si="32"/>
        <v/>
      </c>
      <c r="AU527" s="389" t="str">
        <f t="shared" si="33"/>
        <v/>
      </c>
      <c r="AV527" s="389" t="str">
        <f t="shared" si="34"/>
        <v/>
      </c>
      <c r="AW527" s="389" t="str">
        <f t="shared" si="35"/>
        <v/>
      </c>
      <c r="AX527" s="67" t="str">
        <f t="shared" ref="AX527:BH527" si="542">Z527</f>
        <v/>
      </c>
      <c r="AY527" s="67" t="str">
        <f t="shared" si="542"/>
        <v/>
      </c>
      <c r="AZ527" s="67" t="str">
        <f t="shared" si="542"/>
        <v/>
      </c>
      <c r="BA527" s="67" t="str">
        <f t="shared" si="542"/>
        <v/>
      </c>
      <c r="BB527" s="398" t="str">
        <f t="shared" si="542"/>
        <v/>
      </c>
      <c r="BC527" s="358" t="str">
        <f t="shared" si="542"/>
        <v/>
      </c>
      <c r="BD527" s="187" t="str">
        <f t="shared" si="542"/>
        <v/>
      </c>
      <c r="BE527" s="104" t="str">
        <f t="shared" si="542"/>
        <v/>
      </c>
      <c r="BF527" s="389" t="str">
        <f t="shared" si="542"/>
        <v/>
      </c>
      <c r="BG527" s="389" t="str">
        <f t="shared" si="542"/>
        <v>🔵 Chưa có hạn</v>
      </c>
      <c r="BH527" s="67" t="str">
        <f t="shared" si="542"/>
        <v/>
      </c>
      <c r="BI527" s="389" t="str">
        <f t="array" ref="BI527">IF($X527="","",SWITCH($W527,3,IFERROR(INDEX('Lớp 3 - Công việc chính'!$AF$14:$AF$73,MATCH($X527,'Lớp 3 - Công việc chính'!$I$14:$I$73,0)),""),4,IFERROR(INDEX('Lớp 4 - Danh mục'!$AI$14:$AI$132,MATCH($X527,'Lớp 4 - Danh mục'!$I$14:$I$132,0)),""),5,IFERROR(INDEX('Lớp 5 - Phân công'!$AJ$14:$AJ$262,MATCH($X527,'Lớp 5 - Phân công'!$I$14:$I$262,0)),""),6,IFERROR(INDEX('Lớp 6 - Chi tiết'!$AM$14:$AM$267,MATCH($X527,'Lớp 6 - Chi tiết'!$I$14:$I$267,0)),""),""))</f>
        <v/>
      </c>
      <c r="BJ527" s="389" t="str">
        <f t="array" ref="BJ527">IF($X527="","",SWITCH($W527,3,IFERROR(INDEX('Lớp 3 - Công việc chính'!$AR$14:$AR$73,MATCH($X527,'Lớp 3 - Công việc chính'!$I$14:$I$73,0)),""),4,IFERROR(INDEX('Lớp 4 - Danh mục'!$AU$14:$AU$132,MATCH($X527,'Lớp 4 - Danh mục'!$I$14:$I$132,0)),""),5,IFERROR(INDEX('Lớp 5 - Phân công'!$AV$14:$AV$262,MATCH($X527,'Lớp 5 - Phân công'!$I$14:$I$262,0)),""),6,IFERROR(INDEX('Lớp 6 - Chi tiết'!$AY$14:$AY$267,MATCH($X527,'Lớp 6 - Chi tiết'!$I$14:$I$267,0)),""),""))</f>
        <v/>
      </c>
    </row>
    <row r="528" ht="15.75" customHeight="1">
      <c r="A528" s="294" t="str">
        <f t="shared" si="12"/>
        <v/>
      </c>
      <c r="B528" s="301" t="str">
        <f t="shared" si="13"/>
        <v/>
      </c>
      <c r="C528" s="301" t="str">
        <f t="shared" si="14"/>
        <v/>
      </c>
      <c r="D528" s="301" t="str">
        <f t="shared" si="15"/>
        <v/>
      </c>
      <c r="E528" s="301" t="str">
        <f t="shared" si="16"/>
        <v/>
      </c>
      <c r="F528" s="317" t="str">
        <f t="shared" si="17"/>
        <v/>
      </c>
      <c r="G528" s="323" t="str">
        <f t="shared" si="18"/>
        <v/>
      </c>
      <c r="H528" s="327" t="str">
        <f t="shared" si="19"/>
        <v/>
      </c>
      <c r="I528" s="327" t="str">
        <f t="shared" si="20"/>
        <v/>
      </c>
      <c r="J528" s="301" t="str">
        <f t="shared" si="21"/>
        <v/>
      </c>
      <c r="K528" s="301" t="str">
        <f t="shared" si="22"/>
        <v/>
      </c>
      <c r="L528" s="344" t="str">
        <f t="array" ref="L528">IF($T528="","",LET(m,MATCH($T528,$AS$24:$AS$700,0),lvl,INDEX($W$24:$W$700,m),id,INDEX($X$24:$X$700,m),SWITCH(lvl,3,"Lớp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8" s="351" t="str">
        <f t="shared" si="23"/>
        <v/>
      </c>
      <c r="N528" s="356" t="str">
        <f t="shared" si="24"/>
        <v/>
      </c>
      <c r="O528" s="358"/>
      <c r="P528" s="360"/>
      <c r="Q528" s="360"/>
      <c r="R528" s="67"/>
      <c r="S528" s="67"/>
      <c r="T528" s="67"/>
      <c r="U528" s="389" t="str">
        <f>IF('Lớp 6 - Chi tiết'!I90="","",'Lớp 6 - Chi tiết'!L90&amp;"|"&amp;'Lớp 6 - Chi tiết'!K90&amp;"|"&amp;'Lớp 6 - Chi tiết'!J90&amp;"|"&amp;'Lớp 6 - Chi tiết'!I90)</f>
        <v/>
      </c>
      <c r="V528" s="389" t="str">
        <f>IF('Lớp 6 - Chi tiết'!I90="","","           └─ "&amp;'Lớp 6 - Chi tiết'!S90)</f>
        <v/>
      </c>
      <c r="W528" s="389" t="str">
        <f>IF('Lớp 6 - Chi tiết'!I90="","",6)</f>
        <v/>
      </c>
      <c r="X528" s="67" t="str">
        <f>'Lớp 6 - Chi tiết'!I90</f>
        <v/>
      </c>
      <c r="Y528" s="389" t="str">
        <f>'Lớp 6 - Chi tiết'!J90</f>
        <v/>
      </c>
      <c r="Z528" s="67" t="str">
        <f>'Lớp 6 - Chi tiết'!AC90</f>
        <v/>
      </c>
      <c r="AA528" s="67" t="str">
        <f>'Lớp 6 - Chi tiết'!AB90</f>
        <v/>
      </c>
      <c r="AB528" s="67" t="str">
        <f>'Lớp 6 - Chi tiết'!AF90</f>
        <v/>
      </c>
      <c r="AC528" s="67" t="str">
        <f>'Lớp 6 - Chi tiết'!AE90</f>
        <v/>
      </c>
      <c r="AD528" s="398" t="str">
        <f>'Lớp 6 - Chi tiết'!AJ90</f>
        <v/>
      </c>
      <c r="AE528" s="358" t="str">
        <f>'Lớp 6 - Chi tiết'!AH90</f>
        <v/>
      </c>
      <c r="AF528" s="187" t="str">
        <f>'Lớp 6 - Chi tiết'!AK90</f>
        <v/>
      </c>
      <c r="AG528" s="104" t="str">
        <f>'Lớp 6 - Chi tiết'!AL90</f>
        <v/>
      </c>
      <c r="AH528" s="389" t="str">
        <f t="shared" si="27"/>
        <v/>
      </c>
      <c r="AI528" s="389" t="str">
        <f t="shared" si="37"/>
        <v>🔵 Chưa có hạn</v>
      </c>
      <c r="AJ528" s="67" t="str">
        <f>'Lớp 6 - Chi tiết'!AO90</f>
        <v/>
      </c>
      <c r="AS528" s="389" t="str">
        <f t="shared" si="467"/>
        <v/>
      </c>
      <c r="AT528" s="389" t="str">
        <f t="shared" si="32"/>
        <v/>
      </c>
      <c r="AU528" s="389" t="str">
        <f t="shared" si="33"/>
        <v/>
      </c>
      <c r="AV528" s="389" t="str">
        <f t="shared" si="34"/>
        <v/>
      </c>
      <c r="AW528" s="389" t="str">
        <f t="shared" si="35"/>
        <v/>
      </c>
      <c r="AX528" s="67" t="str">
        <f t="shared" ref="AX528:BH528" si="543">Z528</f>
        <v/>
      </c>
      <c r="AY528" s="67" t="str">
        <f t="shared" si="543"/>
        <v/>
      </c>
      <c r="AZ528" s="67" t="str">
        <f t="shared" si="543"/>
        <v/>
      </c>
      <c r="BA528" s="67" t="str">
        <f t="shared" si="543"/>
        <v/>
      </c>
      <c r="BB528" s="398" t="str">
        <f t="shared" si="543"/>
        <v/>
      </c>
      <c r="BC528" s="358" t="str">
        <f t="shared" si="543"/>
        <v/>
      </c>
      <c r="BD528" s="187" t="str">
        <f t="shared" si="543"/>
        <v/>
      </c>
      <c r="BE528" s="104" t="str">
        <f t="shared" si="543"/>
        <v/>
      </c>
      <c r="BF528" s="389" t="str">
        <f t="shared" si="543"/>
        <v/>
      </c>
      <c r="BG528" s="389" t="str">
        <f t="shared" si="543"/>
        <v>🔵 Chưa có hạn</v>
      </c>
      <c r="BH528" s="67" t="str">
        <f t="shared" si="543"/>
        <v/>
      </c>
      <c r="BI528" s="389" t="str">
        <f t="array" ref="BI528">IF($X528="","",SWITCH($W528,3,IFERROR(INDEX('Lớp 3 - Công việc chính'!$AF$14:$AF$73,MATCH($X528,'Lớp 3 - Công việc chính'!$I$14:$I$73,0)),""),4,IFERROR(INDEX('Lớp 4 - Danh mục'!$AI$14:$AI$132,MATCH($X528,'Lớp 4 - Danh mục'!$I$14:$I$132,0)),""),5,IFERROR(INDEX('Lớp 5 - Phân công'!$AJ$14:$AJ$262,MATCH($X528,'Lớp 5 - Phân công'!$I$14:$I$262,0)),""),6,IFERROR(INDEX('Lớp 6 - Chi tiết'!$AM$14:$AM$267,MATCH($X528,'Lớp 6 - Chi tiết'!$I$14:$I$267,0)),""),""))</f>
        <v/>
      </c>
      <c r="BJ528" s="389" t="str">
        <f t="array" ref="BJ528">IF($X528="","",SWITCH($W528,3,IFERROR(INDEX('Lớp 3 - Công việc chính'!$AR$14:$AR$73,MATCH($X528,'Lớp 3 - Công việc chính'!$I$14:$I$73,0)),""),4,IFERROR(INDEX('Lớp 4 - Danh mục'!$AU$14:$AU$132,MATCH($X528,'Lớp 4 - Danh mục'!$I$14:$I$132,0)),""),5,IFERROR(INDEX('Lớp 5 - Phân công'!$AV$14:$AV$262,MATCH($X528,'Lớp 5 - Phân công'!$I$14:$I$262,0)),""),6,IFERROR(INDEX('Lớp 6 - Chi tiết'!$AY$14:$AY$267,MATCH($X528,'Lớp 6 - Chi tiết'!$I$14:$I$267,0)),""),""))</f>
        <v/>
      </c>
    </row>
    <row r="529" ht="15.75" customHeight="1">
      <c r="A529" s="294" t="str">
        <f t="shared" si="12"/>
        <v/>
      </c>
      <c r="B529" s="301" t="str">
        <f t="shared" si="13"/>
        <v/>
      </c>
      <c r="C529" s="301" t="str">
        <f t="shared" si="14"/>
        <v/>
      </c>
      <c r="D529" s="301" t="str">
        <f t="shared" si="15"/>
        <v/>
      </c>
      <c r="E529" s="301" t="str">
        <f t="shared" si="16"/>
        <v/>
      </c>
      <c r="F529" s="317" t="str">
        <f t="shared" si="17"/>
        <v/>
      </c>
      <c r="G529" s="323" t="str">
        <f t="shared" si="18"/>
        <v/>
      </c>
      <c r="H529" s="327" t="str">
        <f t="shared" si="19"/>
        <v/>
      </c>
      <c r="I529" s="327" t="str">
        <f t="shared" si="20"/>
        <v/>
      </c>
      <c r="J529" s="301" t="str">
        <f t="shared" si="21"/>
        <v/>
      </c>
      <c r="K529" s="301" t="str">
        <f t="shared" si="22"/>
        <v/>
      </c>
      <c r="L529" s="344" t="str">
        <f t="array" ref="L529">IF($T529="","",LET(m,MATCH($T529,$AS$24:$AS$700,0),lvl,INDEX($W$24:$W$700,m),id,INDEX($X$24:$X$700,m),SWITCH(lvl,3,"Lớp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29" s="351" t="str">
        <f t="shared" si="23"/>
        <v/>
      </c>
      <c r="N529" s="356" t="str">
        <f t="shared" si="24"/>
        <v/>
      </c>
      <c r="O529" s="358"/>
      <c r="P529" s="360"/>
      <c r="Q529" s="360"/>
      <c r="R529" s="67"/>
      <c r="S529" s="67"/>
      <c r="T529" s="67"/>
      <c r="U529" s="389" t="str">
        <f>IF('Lớp 6 - Chi tiết'!I91="","",'Lớp 6 - Chi tiết'!L91&amp;"|"&amp;'Lớp 6 - Chi tiết'!K91&amp;"|"&amp;'Lớp 6 - Chi tiết'!J91&amp;"|"&amp;'Lớp 6 - Chi tiết'!I91)</f>
        <v/>
      </c>
      <c r="V529" s="389" t="str">
        <f>IF('Lớp 6 - Chi tiết'!I91="","","           └─ "&amp;'Lớp 6 - Chi tiết'!S91)</f>
        <v/>
      </c>
      <c r="W529" s="389" t="str">
        <f>IF('Lớp 6 - Chi tiết'!I91="","",6)</f>
        <v/>
      </c>
      <c r="X529" s="67" t="str">
        <f>'Lớp 6 - Chi tiết'!I91</f>
        <v/>
      </c>
      <c r="Y529" s="389" t="str">
        <f>'Lớp 6 - Chi tiết'!J91</f>
        <v/>
      </c>
      <c r="Z529" s="67" t="str">
        <f>'Lớp 6 - Chi tiết'!AC91</f>
        <v/>
      </c>
      <c r="AA529" s="67" t="str">
        <f>'Lớp 6 - Chi tiết'!AB91</f>
        <v/>
      </c>
      <c r="AB529" s="67" t="str">
        <f>'Lớp 6 - Chi tiết'!AF91</f>
        <v/>
      </c>
      <c r="AC529" s="67" t="str">
        <f>'Lớp 6 - Chi tiết'!AE91</f>
        <v/>
      </c>
      <c r="AD529" s="398" t="str">
        <f>'Lớp 6 - Chi tiết'!AJ91</f>
        <v/>
      </c>
      <c r="AE529" s="358" t="str">
        <f>'Lớp 6 - Chi tiết'!AH91</f>
        <v/>
      </c>
      <c r="AF529" s="187" t="str">
        <f>'Lớp 6 - Chi tiết'!AK91</f>
        <v/>
      </c>
      <c r="AG529" s="104" t="str">
        <f>'Lớp 6 - Chi tiết'!AL91</f>
        <v/>
      </c>
      <c r="AH529" s="389" t="str">
        <f t="shared" si="27"/>
        <v/>
      </c>
      <c r="AI529" s="389" t="str">
        <f t="shared" si="37"/>
        <v>🔵 Chưa có hạn</v>
      </c>
      <c r="AJ529" s="67" t="str">
        <f>'Lớp 6 - Chi tiết'!AO91</f>
        <v/>
      </c>
      <c r="AS529" s="389" t="str">
        <f t="shared" si="467"/>
        <v/>
      </c>
      <c r="AT529" s="389" t="str">
        <f t="shared" si="32"/>
        <v/>
      </c>
      <c r="AU529" s="389" t="str">
        <f t="shared" si="33"/>
        <v/>
      </c>
      <c r="AV529" s="389" t="str">
        <f t="shared" si="34"/>
        <v/>
      </c>
      <c r="AW529" s="389" t="str">
        <f t="shared" si="35"/>
        <v/>
      </c>
      <c r="AX529" s="67" t="str">
        <f t="shared" ref="AX529:BH529" si="544">Z529</f>
        <v/>
      </c>
      <c r="AY529" s="67" t="str">
        <f t="shared" si="544"/>
        <v/>
      </c>
      <c r="AZ529" s="67" t="str">
        <f t="shared" si="544"/>
        <v/>
      </c>
      <c r="BA529" s="67" t="str">
        <f t="shared" si="544"/>
        <v/>
      </c>
      <c r="BB529" s="398" t="str">
        <f t="shared" si="544"/>
        <v/>
      </c>
      <c r="BC529" s="358" t="str">
        <f t="shared" si="544"/>
        <v/>
      </c>
      <c r="BD529" s="187" t="str">
        <f t="shared" si="544"/>
        <v/>
      </c>
      <c r="BE529" s="104" t="str">
        <f t="shared" si="544"/>
        <v/>
      </c>
      <c r="BF529" s="389" t="str">
        <f t="shared" si="544"/>
        <v/>
      </c>
      <c r="BG529" s="389" t="str">
        <f t="shared" si="544"/>
        <v>🔵 Chưa có hạn</v>
      </c>
      <c r="BH529" s="67" t="str">
        <f t="shared" si="544"/>
        <v/>
      </c>
      <c r="BI529" s="389" t="str">
        <f t="array" ref="BI529">IF($X529="","",SWITCH($W529,3,IFERROR(INDEX('Lớp 3 - Công việc chính'!$AF$14:$AF$73,MATCH($X529,'Lớp 3 - Công việc chính'!$I$14:$I$73,0)),""),4,IFERROR(INDEX('Lớp 4 - Danh mục'!$AI$14:$AI$132,MATCH($X529,'Lớp 4 - Danh mục'!$I$14:$I$132,0)),""),5,IFERROR(INDEX('Lớp 5 - Phân công'!$AJ$14:$AJ$262,MATCH($X529,'Lớp 5 - Phân công'!$I$14:$I$262,0)),""),6,IFERROR(INDEX('Lớp 6 - Chi tiết'!$AM$14:$AM$267,MATCH($X529,'Lớp 6 - Chi tiết'!$I$14:$I$267,0)),""),""))</f>
        <v/>
      </c>
      <c r="BJ529" s="389" t="str">
        <f t="array" ref="BJ529">IF($X529="","",SWITCH($W529,3,IFERROR(INDEX('Lớp 3 - Công việc chính'!$AR$14:$AR$73,MATCH($X529,'Lớp 3 - Công việc chính'!$I$14:$I$73,0)),""),4,IFERROR(INDEX('Lớp 4 - Danh mục'!$AU$14:$AU$132,MATCH($X529,'Lớp 4 - Danh mục'!$I$14:$I$132,0)),""),5,IFERROR(INDEX('Lớp 5 - Phân công'!$AV$14:$AV$262,MATCH($X529,'Lớp 5 - Phân công'!$I$14:$I$262,0)),""),6,IFERROR(INDEX('Lớp 6 - Chi tiết'!$AY$14:$AY$267,MATCH($X529,'Lớp 6 - Chi tiết'!$I$14:$I$267,0)),""),""))</f>
        <v/>
      </c>
    </row>
    <row r="530" ht="15.75" customHeight="1">
      <c r="A530" s="294" t="str">
        <f t="shared" si="12"/>
        <v/>
      </c>
      <c r="B530" s="301" t="str">
        <f t="shared" si="13"/>
        <v/>
      </c>
      <c r="C530" s="301" t="str">
        <f t="shared" si="14"/>
        <v/>
      </c>
      <c r="D530" s="301" t="str">
        <f t="shared" si="15"/>
        <v/>
      </c>
      <c r="E530" s="301" t="str">
        <f t="shared" si="16"/>
        <v/>
      </c>
      <c r="F530" s="317" t="str">
        <f t="shared" si="17"/>
        <v/>
      </c>
      <c r="G530" s="323" t="str">
        <f t="shared" si="18"/>
        <v/>
      </c>
      <c r="H530" s="327" t="str">
        <f t="shared" si="19"/>
        <v/>
      </c>
      <c r="I530" s="327" t="str">
        <f t="shared" si="20"/>
        <v/>
      </c>
      <c r="J530" s="301" t="str">
        <f t="shared" si="21"/>
        <v/>
      </c>
      <c r="K530" s="301" t="str">
        <f t="shared" si="22"/>
        <v/>
      </c>
      <c r="L530" s="344" t="str">
        <f t="array" ref="L530">IF($T530="","",LET(m,MATCH($T530,$AS$24:$AS$700,0),lvl,INDEX($W$24:$W$700,m),id,INDEX($X$24:$X$700,m),SWITCH(lvl,3,"Lớp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0" s="351" t="str">
        <f t="shared" si="23"/>
        <v/>
      </c>
      <c r="N530" s="356" t="str">
        <f t="shared" si="24"/>
        <v/>
      </c>
      <c r="O530" s="358"/>
      <c r="P530" s="360"/>
      <c r="Q530" s="360"/>
      <c r="R530" s="67"/>
      <c r="S530" s="67"/>
      <c r="T530" s="67"/>
      <c r="U530" s="389" t="str">
        <f>IF('Lớp 6 - Chi tiết'!I92="","",'Lớp 6 - Chi tiết'!L92&amp;"|"&amp;'Lớp 6 - Chi tiết'!K92&amp;"|"&amp;'Lớp 6 - Chi tiết'!J92&amp;"|"&amp;'Lớp 6 - Chi tiết'!I92)</f>
        <v/>
      </c>
      <c r="V530" s="389" t="str">
        <f>IF('Lớp 6 - Chi tiết'!I92="","","           └─ "&amp;'Lớp 6 - Chi tiết'!S92)</f>
        <v/>
      </c>
      <c r="W530" s="389" t="str">
        <f>IF('Lớp 6 - Chi tiết'!I92="","",6)</f>
        <v/>
      </c>
      <c r="X530" s="67" t="str">
        <f>'Lớp 6 - Chi tiết'!I92</f>
        <v/>
      </c>
      <c r="Y530" s="389" t="str">
        <f>'Lớp 6 - Chi tiết'!J92</f>
        <v/>
      </c>
      <c r="Z530" s="67" t="str">
        <f>'Lớp 6 - Chi tiết'!AC92</f>
        <v/>
      </c>
      <c r="AA530" s="67" t="str">
        <f>'Lớp 6 - Chi tiết'!AB92</f>
        <v/>
      </c>
      <c r="AB530" s="67" t="str">
        <f>'Lớp 6 - Chi tiết'!AF92</f>
        <v/>
      </c>
      <c r="AC530" s="67" t="str">
        <f>'Lớp 6 - Chi tiết'!AE92</f>
        <v/>
      </c>
      <c r="AD530" s="398" t="str">
        <f>'Lớp 6 - Chi tiết'!AJ92</f>
        <v/>
      </c>
      <c r="AE530" s="358" t="str">
        <f>'Lớp 6 - Chi tiết'!AH92</f>
        <v/>
      </c>
      <c r="AF530" s="187" t="str">
        <f>'Lớp 6 - Chi tiết'!AK92</f>
        <v/>
      </c>
      <c r="AG530" s="104" t="str">
        <f>'Lớp 6 - Chi tiết'!AL92</f>
        <v/>
      </c>
      <c r="AH530" s="389" t="str">
        <f t="shared" si="27"/>
        <v/>
      </c>
      <c r="AI530" s="389" t="str">
        <f t="shared" si="37"/>
        <v>🔵 Chưa có hạn</v>
      </c>
      <c r="AJ530" s="67" t="str">
        <f>'Lớp 6 - Chi tiết'!AO92</f>
        <v/>
      </c>
      <c r="AS530" s="389" t="str">
        <f t="shared" si="467"/>
        <v/>
      </c>
      <c r="AT530" s="389" t="str">
        <f t="shared" si="32"/>
        <v/>
      </c>
      <c r="AU530" s="389" t="str">
        <f t="shared" si="33"/>
        <v/>
      </c>
      <c r="AV530" s="389" t="str">
        <f t="shared" si="34"/>
        <v/>
      </c>
      <c r="AW530" s="389" t="str">
        <f t="shared" si="35"/>
        <v/>
      </c>
      <c r="AX530" s="67" t="str">
        <f t="shared" ref="AX530:BH530" si="545">Z530</f>
        <v/>
      </c>
      <c r="AY530" s="67" t="str">
        <f t="shared" si="545"/>
        <v/>
      </c>
      <c r="AZ530" s="67" t="str">
        <f t="shared" si="545"/>
        <v/>
      </c>
      <c r="BA530" s="67" t="str">
        <f t="shared" si="545"/>
        <v/>
      </c>
      <c r="BB530" s="398" t="str">
        <f t="shared" si="545"/>
        <v/>
      </c>
      <c r="BC530" s="358" t="str">
        <f t="shared" si="545"/>
        <v/>
      </c>
      <c r="BD530" s="187" t="str">
        <f t="shared" si="545"/>
        <v/>
      </c>
      <c r="BE530" s="104" t="str">
        <f t="shared" si="545"/>
        <v/>
      </c>
      <c r="BF530" s="389" t="str">
        <f t="shared" si="545"/>
        <v/>
      </c>
      <c r="BG530" s="389" t="str">
        <f t="shared" si="545"/>
        <v>🔵 Chưa có hạn</v>
      </c>
      <c r="BH530" s="67" t="str">
        <f t="shared" si="545"/>
        <v/>
      </c>
      <c r="BI530" s="389" t="str">
        <f t="array" ref="BI530">IF($X530="","",SWITCH($W530,3,IFERROR(INDEX('Lớp 3 - Công việc chính'!$AF$14:$AF$73,MATCH($X530,'Lớp 3 - Công việc chính'!$I$14:$I$73,0)),""),4,IFERROR(INDEX('Lớp 4 - Danh mục'!$AI$14:$AI$132,MATCH($X530,'Lớp 4 - Danh mục'!$I$14:$I$132,0)),""),5,IFERROR(INDEX('Lớp 5 - Phân công'!$AJ$14:$AJ$262,MATCH($X530,'Lớp 5 - Phân công'!$I$14:$I$262,0)),""),6,IFERROR(INDEX('Lớp 6 - Chi tiết'!$AM$14:$AM$267,MATCH($X530,'Lớp 6 - Chi tiết'!$I$14:$I$267,0)),""),""))</f>
        <v/>
      </c>
      <c r="BJ530" s="389" t="str">
        <f t="array" ref="BJ530">IF($X530="","",SWITCH($W530,3,IFERROR(INDEX('Lớp 3 - Công việc chính'!$AR$14:$AR$73,MATCH($X530,'Lớp 3 - Công việc chính'!$I$14:$I$73,0)),""),4,IFERROR(INDEX('Lớp 4 - Danh mục'!$AU$14:$AU$132,MATCH($X530,'Lớp 4 - Danh mục'!$I$14:$I$132,0)),""),5,IFERROR(INDEX('Lớp 5 - Phân công'!$AV$14:$AV$262,MATCH($X530,'Lớp 5 - Phân công'!$I$14:$I$262,0)),""),6,IFERROR(INDEX('Lớp 6 - Chi tiết'!$AY$14:$AY$267,MATCH($X530,'Lớp 6 - Chi tiết'!$I$14:$I$267,0)),""),""))</f>
        <v/>
      </c>
    </row>
    <row r="531" ht="15.75" customHeight="1">
      <c r="A531" s="294" t="str">
        <f t="shared" si="12"/>
        <v/>
      </c>
      <c r="B531" s="301" t="str">
        <f t="shared" si="13"/>
        <v/>
      </c>
      <c r="C531" s="301" t="str">
        <f t="shared" si="14"/>
        <v/>
      </c>
      <c r="D531" s="301" t="str">
        <f t="shared" si="15"/>
        <v/>
      </c>
      <c r="E531" s="301" t="str">
        <f t="shared" si="16"/>
        <v/>
      </c>
      <c r="F531" s="317" t="str">
        <f t="shared" si="17"/>
        <v/>
      </c>
      <c r="G531" s="323" t="str">
        <f t="shared" si="18"/>
        <v/>
      </c>
      <c r="H531" s="327" t="str">
        <f t="shared" si="19"/>
        <v/>
      </c>
      <c r="I531" s="327" t="str">
        <f t="shared" si="20"/>
        <v/>
      </c>
      <c r="J531" s="301" t="str">
        <f t="shared" si="21"/>
        <v/>
      </c>
      <c r="K531" s="301" t="str">
        <f t="shared" si="22"/>
        <v/>
      </c>
      <c r="L531" s="344" t="str">
        <f t="array" ref="L531">IF($T531="","",LET(m,MATCH($T531,$AS$24:$AS$700,0),lvl,INDEX($W$24:$W$700,m),id,INDEX($X$24:$X$700,m),SWITCH(lvl,3,"Lớp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1" s="351" t="str">
        <f t="shared" si="23"/>
        <v/>
      </c>
      <c r="N531" s="356" t="str">
        <f t="shared" si="24"/>
        <v/>
      </c>
      <c r="O531" s="358"/>
      <c r="P531" s="360"/>
      <c r="Q531" s="360"/>
      <c r="R531" s="67"/>
      <c r="S531" s="67"/>
      <c r="T531" s="67"/>
      <c r="U531" s="389" t="str">
        <f>IF('Lớp 6 - Chi tiết'!I93="","",'Lớp 6 - Chi tiết'!L93&amp;"|"&amp;'Lớp 6 - Chi tiết'!K93&amp;"|"&amp;'Lớp 6 - Chi tiết'!J93&amp;"|"&amp;'Lớp 6 - Chi tiết'!I93)</f>
        <v/>
      </c>
      <c r="V531" s="389" t="str">
        <f>IF('Lớp 6 - Chi tiết'!I93="","","           └─ "&amp;'Lớp 6 - Chi tiết'!S93)</f>
        <v/>
      </c>
      <c r="W531" s="389" t="str">
        <f>IF('Lớp 6 - Chi tiết'!I93="","",6)</f>
        <v/>
      </c>
      <c r="X531" s="67" t="str">
        <f>'Lớp 6 - Chi tiết'!I93</f>
        <v/>
      </c>
      <c r="Y531" s="389" t="str">
        <f>'Lớp 6 - Chi tiết'!J93</f>
        <v/>
      </c>
      <c r="Z531" s="67" t="str">
        <f>'Lớp 6 - Chi tiết'!AC93</f>
        <v/>
      </c>
      <c r="AA531" s="67" t="str">
        <f>'Lớp 6 - Chi tiết'!AB93</f>
        <v/>
      </c>
      <c r="AB531" s="67" t="str">
        <f>'Lớp 6 - Chi tiết'!AF93</f>
        <v/>
      </c>
      <c r="AC531" s="67" t="str">
        <f>'Lớp 6 - Chi tiết'!AE93</f>
        <v/>
      </c>
      <c r="AD531" s="398" t="str">
        <f>'Lớp 6 - Chi tiết'!AJ93</f>
        <v/>
      </c>
      <c r="AE531" s="358" t="str">
        <f>'Lớp 6 - Chi tiết'!AH93</f>
        <v/>
      </c>
      <c r="AF531" s="187" t="str">
        <f>'Lớp 6 - Chi tiết'!AK93</f>
        <v/>
      </c>
      <c r="AG531" s="104" t="str">
        <f>'Lớp 6 - Chi tiết'!AL93</f>
        <v/>
      </c>
      <c r="AH531" s="389" t="str">
        <f t="shared" si="27"/>
        <v/>
      </c>
      <c r="AI531" s="389" t="str">
        <f t="shared" si="37"/>
        <v>🔵 Chưa có hạn</v>
      </c>
      <c r="AJ531" s="67" t="str">
        <f>'Lớp 6 - Chi tiết'!AO93</f>
        <v/>
      </c>
      <c r="AS531" s="389" t="str">
        <f t="shared" si="467"/>
        <v/>
      </c>
      <c r="AT531" s="389" t="str">
        <f t="shared" si="32"/>
        <v/>
      </c>
      <c r="AU531" s="389" t="str">
        <f t="shared" si="33"/>
        <v/>
      </c>
      <c r="AV531" s="389" t="str">
        <f t="shared" si="34"/>
        <v/>
      </c>
      <c r="AW531" s="389" t="str">
        <f t="shared" si="35"/>
        <v/>
      </c>
      <c r="AX531" s="67" t="str">
        <f t="shared" ref="AX531:BH531" si="546">Z531</f>
        <v/>
      </c>
      <c r="AY531" s="67" t="str">
        <f t="shared" si="546"/>
        <v/>
      </c>
      <c r="AZ531" s="67" t="str">
        <f t="shared" si="546"/>
        <v/>
      </c>
      <c r="BA531" s="67" t="str">
        <f t="shared" si="546"/>
        <v/>
      </c>
      <c r="BB531" s="398" t="str">
        <f t="shared" si="546"/>
        <v/>
      </c>
      <c r="BC531" s="358" t="str">
        <f t="shared" si="546"/>
        <v/>
      </c>
      <c r="BD531" s="187" t="str">
        <f t="shared" si="546"/>
        <v/>
      </c>
      <c r="BE531" s="104" t="str">
        <f t="shared" si="546"/>
        <v/>
      </c>
      <c r="BF531" s="389" t="str">
        <f t="shared" si="546"/>
        <v/>
      </c>
      <c r="BG531" s="389" t="str">
        <f t="shared" si="546"/>
        <v>🔵 Chưa có hạn</v>
      </c>
      <c r="BH531" s="67" t="str">
        <f t="shared" si="546"/>
        <v/>
      </c>
      <c r="BI531" s="389" t="str">
        <f t="array" ref="BI531">IF($X531="","",SWITCH($W531,3,IFERROR(INDEX('Lớp 3 - Công việc chính'!$AF$14:$AF$73,MATCH($X531,'Lớp 3 - Công việc chính'!$I$14:$I$73,0)),""),4,IFERROR(INDEX('Lớp 4 - Danh mục'!$AI$14:$AI$132,MATCH($X531,'Lớp 4 - Danh mục'!$I$14:$I$132,0)),""),5,IFERROR(INDEX('Lớp 5 - Phân công'!$AJ$14:$AJ$262,MATCH($X531,'Lớp 5 - Phân công'!$I$14:$I$262,0)),""),6,IFERROR(INDEX('Lớp 6 - Chi tiết'!$AM$14:$AM$267,MATCH($X531,'Lớp 6 - Chi tiết'!$I$14:$I$267,0)),""),""))</f>
        <v/>
      </c>
      <c r="BJ531" s="389" t="str">
        <f t="array" ref="BJ531">IF($X531="","",SWITCH($W531,3,IFERROR(INDEX('Lớp 3 - Công việc chính'!$AR$14:$AR$73,MATCH($X531,'Lớp 3 - Công việc chính'!$I$14:$I$73,0)),""),4,IFERROR(INDEX('Lớp 4 - Danh mục'!$AU$14:$AU$132,MATCH($X531,'Lớp 4 - Danh mục'!$I$14:$I$132,0)),""),5,IFERROR(INDEX('Lớp 5 - Phân công'!$AV$14:$AV$262,MATCH($X531,'Lớp 5 - Phân công'!$I$14:$I$262,0)),""),6,IFERROR(INDEX('Lớp 6 - Chi tiết'!$AY$14:$AY$267,MATCH($X531,'Lớp 6 - Chi tiết'!$I$14:$I$267,0)),""),""))</f>
        <v/>
      </c>
    </row>
    <row r="532" ht="15.75" customHeight="1">
      <c r="A532" s="294" t="str">
        <f t="shared" si="12"/>
        <v/>
      </c>
      <c r="B532" s="301" t="str">
        <f t="shared" si="13"/>
        <v/>
      </c>
      <c r="C532" s="301" t="str">
        <f t="shared" si="14"/>
        <v/>
      </c>
      <c r="D532" s="301" t="str">
        <f t="shared" si="15"/>
        <v/>
      </c>
      <c r="E532" s="301" t="str">
        <f t="shared" si="16"/>
        <v/>
      </c>
      <c r="F532" s="317" t="str">
        <f t="shared" si="17"/>
        <v/>
      </c>
      <c r="G532" s="323" t="str">
        <f t="shared" si="18"/>
        <v/>
      </c>
      <c r="H532" s="327" t="str">
        <f t="shared" si="19"/>
        <v/>
      </c>
      <c r="I532" s="327" t="str">
        <f t="shared" si="20"/>
        <v/>
      </c>
      <c r="J532" s="301" t="str">
        <f t="shared" si="21"/>
        <v/>
      </c>
      <c r="K532" s="301" t="str">
        <f t="shared" si="22"/>
        <v/>
      </c>
      <c r="L532" s="344" t="str">
        <f t="array" ref="L532">IF($T532="","",LET(m,MATCH($T532,$AS$24:$AS$700,0),lvl,INDEX($W$24:$W$700,m),id,INDEX($X$24:$X$700,m),SWITCH(lvl,3,"Lớp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2" s="351" t="str">
        <f t="shared" si="23"/>
        <v/>
      </c>
      <c r="N532" s="356" t="str">
        <f t="shared" si="24"/>
        <v/>
      </c>
      <c r="O532" s="358"/>
      <c r="P532" s="360"/>
      <c r="Q532" s="360"/>
      <c r="R532" s="67"/>
      <c r="S532" s="67"/>
      <c r="T532" s="67"/>
      <c r="U532" s="389" t="str">
        <f>IF('Lớp 6 - Chi tiết'!I94="","",'Lớp 6 - Chi tiết'!L94&amp;"|"&amp;'Lớp 6 - Chi tiết'!K94&amp;"|"&amp;'Lớp 6 - Chi tiết'!J94&amp;"|"&amp;'Lớp 6 - Chi tiết'!I94)</f>
        <v/>
      </c>
      <c r="V532" s="389" t="str">
        <f>IF('Lớp 6 - Chi tiết'!I94="","","           └─ "&amp;'Lớp 6 - Chi tiết'!S94)</f>
        <v/>
      </c>
      <c r="W532" s="389" t="str">
        <f>IF('Lớp 6 - Chi tiết'!I94="","",6)</f>
        <v/>
      </c>
      <c r="X532" s="67" t="str">
        <f>'Lớp 6 - Chi tiết'!I94</f>
        <v/>
      </c>
      <c r="Y532" s="389" t="str">
        <f>'Lớp 6 - Chi tiết'!J94</f>
        <v/>
      </c>
      <c r="Z532" s="67" t="str">
        <f>'Lớp 6 - Chi tiết'!AC94</f>
        <v/>
      </c>
      <c r="AA532" s="67" t="str">
        <f>'Lớp 6 - Chi tiết'!AB94</f>
        <v/>
      </c>
      <c r="AB532" s="67" t="str">
        <f>'Lớp 6 - Chi tiết'!AF94</f>
        <v/>
      </c>
      <c r="AC532" s="67" t="str">
        <f>'Lớp 6 - Chi tiết'!AE94</f>
        <v/>
      </c>
      <c r="AD532" s="398" t="str">
        <f>'Lớp 6 - Chi tiết'!AJ94</f>
        <v/>
      </c>
      <c r="AE532" s="358" t="str">
        <f>'Lớp 6 - Chi tiết'!AH94</f>
        <v/>
      </c>
      <c r="AF532" s="187" t="str">
        <f>'Lớp 6 - Chi tiết'!AK94</f>
        <v/>
      </c>
      <c r="AG532" s="104" t="str">
        <f>'Lớp 6 - Chi tiết'!AL94</f>
        <v/>
      </c>
      <c r="AH532" s="389" t="str">
        <f t="shared" si="27"/>
        <v/>
      </c>
      <c r="AI532" s="389" t="str">
        <f t="shared" si="37"/>
        <v>🔵 Chưa có hạn</v>
      </c>
      <c r="AJ532" s="67" t="str">
        <f>'Lớp 6 - Chi tiết'!AO94</f>
        <v/>
      </c>
      <c r="AS532" s="389" t="str">
        <f t="shared" si="467"/>
        <v/>
      </c>
      <c r="AT532" s="389" t="str">
        <f t="shared" si="32"/>
        <v/>
      </c>
      <c r="AU532" s="389" t="str">
        <f t="shared" si="33"/>
        <v/>
      </c>
      <c r="AV532" s="389" t="str">
        <f t="shared" si="34"/>
        <v/>
      </c>
      <c r="AW532" s="389" t="str">
        <f t="shared" si="35"/>
        <v/>
      </c>
      <c r="AX532" s="67" t="str">
        <f t="shared" ref="AX532:BH532" si="547">Z532</f>
        <v/>
      </c>
      <c r="AY532" s="67" t="str">
        <f t="shared" si="547"/>
        <v/>
      </c>
      <c r="AZ532" s="67" t="str">
        <f t="shared" si="547"/>
        <v/>
      </c>
      <c r="BA532" s="67" t="str">
        <f t="shared" si="547"/>
        <v/>
      </c>
      <c r="BB532" s="398" t="str">
        <f t="shared" si="547"/>
        <v/>
      </c>
      <c r="BC532" s="358" t="str">
        <f t="shared" si="547"/>
        <v/>
      </c>
      <c r="BD532" s="187" t="str">
        <f t="shared" si="547"/>
        <v/>
      </c>
      <c r="BE532" s="104" t="str">
        <f t="shared" si="547"/>
        <v/>
      </c>
      <c r="BF532" s="389" t="str">
        <f t="shared" si="547"/>
        <v/>
      </c>
      <c r="BG532" s="389" t="str">
        <f t="shared" si="547"/>
        <v>🔵 Chưa có hạn</v>
      </c>
      <c r="BH532" s="67" t="str">
        <f t="shared" si="547"/>
        <v/>
      </c>
      <c r="BI532" s="389" t="str">
        <f t="array" ref="BI532">IF($X532="","",SWITCH($W532,3,IFERROR(INDEX('Lớp 3 - Công việc chính'!$AF$14:$AF$73,MATCH($X532,'Lớp 3 - Công việc chính'!$I$14:$I$73,0)),""),4,IFERROR(INDEX('Lớp 4 - Danh mục'!$AI$14:$AI$132,MATCH($X532,'Lớp 4 - Danh mục'!$I$14:$I$132,0)),""),5,IFERROR(INDEX('Lớp 5 - Phân công'!$AJ$14:$AJ$262,MATCH($X532,'Lớp 5 - Phân công'!$I$14:$I$262,0)),""),6,IFERROR(INDEX('Lớp 6 - Chi tiết'!$AM$14:$AM$267,MATCH($X532,'Lớp 6 - Chi tiết'!$I$14:$I$267,0)),""),""))</f>
        <v/>
      </c>
      <c r="BJ532" s="389" t="str">
        <f t="array" ref="BJ532">IF($X532="","",SWITCH($W532,3,IFERROR(INDEX('Lớp 3 - Công việc chính'!$AR$14:$AR$73,MATCH($X532,'Lớp 3 - Công việc chính'!$I$14:$I$73,0)),""),4,IFERROR(INDEX('Lớp 4 - Danh mục'!$AU$14:$AU$132,MATCH($X532,'Lớp 4 - Danh mục'!$I$14:$I$132,0)),""),5,IFERROR(INDEX('Lớp 5 - Phân công'!$AV$14:$AV$262,MATCH($X532,'Lớp 5 - Phân công'!$I$14:$I$262,0)),""),6,IFERROR(INDEX('Lớp 6 - Chi tiết'!$AY$14:$AY$267,MATCH($X532,'Lớp 6 - Chi tiết'!$I$14:$I$267,0)),""),""))</f>
        <v/>
      </c>
    </row>
    <row r="533" ht="15.75" customHeight="1">
      <c r="A533" s="294" t="str">
        <f t="shared" si="12"/>
        <v/>
      </c>
      <c r="B533" s="301" t="str">
        <f t="shared" si="13"/>
        <v/>
      </c>
      <c r="C533" s="301" t="str">
        <f t="shared" si="14"/>
        <v/>
      </c>
      <c r="D533" s="301" t="str">
        <f t="shared" si="15"/>
        <v/>
      </c>
      <c r="E533" s="301" t="str">
        <f t="shared" si="16"/>
        <v/>
      </c>
      <c r="F533" s="317" t="str">
        <f t="shared" si="17"/>
        <v/>
      </c>
      <c r="G533" s="323" t="str">
        <f t="shared" si="18"/>
        <v/>
      </c>
      <c r="H533" s="327" t="str">
        <f t="shared" si="19"/>
        <v/>
      </c>
      <c r="I533" s="327" t="str">
        <f t="shared" si="20"/>
        <v/>
      </c>
      <c r="J533" s="301" t="str">
        <f t="shared" si="21"/>
        <v/>
      </c>
      <c r="K533" s="301" t="str">
        <f t="shared" si="22"/>
        <v/>
      </c>
      <c r="L533" s="344" t="str">
        <f t="array" ref="L533">IF($T533="","",LET(m,MATCH($T533,$AS$24:$AS$700,0),lvl,INDEX($W$24:$W$700,m),id,INDEX($X$24:$X$700,m),SWITCH(lvl,3,"Lớp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3" s="351" t="str">
        <f t="shared" si="23"/>
        <v/>
      </c>
      <c r="N533" s="356" t="str">
        <f t="shared" si="24"/>
        <v/>
      </c>
      <c r="O533" s="358"/>
      <c r="P533" s="360"/>
      <c r="Q533" s="360"/>
      <c r="R533" s="67"/>
      <c r="S533" s="67"/>
      <c r="T533" s="67"/>
      <c r="U533" s="389" t="str">
        <f>IF('Lớp 6 - Chi tiết'!I95="","",'Lớp 6 - Chi tiết'!L95&amp;"|"&amp;'Lớp 6 - Chi tiết'!K95&amp;"|"&amp;'Lớp 6 - Chi tiết'!J95&amp;"|"&amp;'Lớp 6 - Chi tiết'!I95)</f>
        <v/>
      </c>
      <c r="V533" s="389" t="str">
        <f>IF('Lớp 6 - Chi tiết'!I95="","","           └─ "&amp;'Lớp 6 - Chi tiết'!S95)</f>
        <v/>
      </c>
      <c r="W533" s="389" t="str">
        <f>IF('Lớp 6 - Chi tiết'!I95="","",6)</f>
        <v/>
      </c>
      <c r="X533" s="67" t="str">
        <f>'Lớp 6 - Chi tiết'!I95</f>
        <v/>
      </c>
      <c r="Y533" s="389" t="str">
        <f>'Lớp 6 - Chi tiết'!J95</f>
        <v/>
      </c>
      <c r="Z533" s="67" t="str">
        <f>'Lớp 6 - Chi tiết'!AC95</f>
        <v/>
      </c>
      <c r="AA533" s="67" t="str">
        <f>'Lớp 6 - Chi tiết'!AB95</f>
        <v/>
      </c>
      <c r="AB533" s="67" t="str">
        <f>'Lớp 6 - Chi tiết'!AF95</f>
        <v/>
      </c>
      <c r="AC533" s="67" t="str">
        <f>'Lớp 6 - Chi tiết'!AE95</f>
        <v/>
      </c>
      <c r="AD533" s="398" t="str">
        <f>'Lớp 6 - Chi tiết'!AJ95</f>
        <v/>
      </c>
      <c r="AE533" s="358" t="str">
        <f>'Lớp 6 - Chi tiết'!AH95</f>
        <v/>
      </c>
      <c r="AF533" s="187" t="str">
        <f>'Lớp 6 - Chi tiết'!AK95</f>
        <v/>
      </c>
      <c r="AG533" s="104" t="str">
        <f>'Lớp 6 - Chi tiết'!AL95</f>
        <v/>
      </c>
      <c r="AH533" s="389" t="str">
        <f t="shared" si="27"/>
        <v/>
      </c>
      <c r="AI533" s="389" t="str">
        <f t="shared" si="37"/>
        <v>🔵 Chưa có hạn</v>
      </c>
      <c r="AJ533" s="67" t="str">
        <f>'Lớp 6 - Chi tiết'!AO95</f>
        <v/>
      </c>
      <c r="AS533" s="389" t="str">
        <f t="shared" si="467"/>
        <v/>
      </c>
      <c r="AT533" s="389" t="str">
        <f t="shared" si="32"/>
        <v/>
      </c>
      <c r="AU533" s="389" t="str">
        <f t="shared" si="33"/>
        <v/>
      </c>
      <c r="AV533" s="389" t="str">
        <f t="shared" si="34"/>
        <v/>
      </c>
      <c r="AW533" s="389" t="str">
        <f t="shared" si="35"/>
        <v/>
      </c>
      <c r="AX533" s="67" t="str">
        <f t="shared" ref="AX533:BH533" si="548">Z533</f>
        <v/>
      </c>
      <c r="AY533" s="67" t="str">
        <f t="shared" si="548"/>
        <v/>
      </c>
      <c r="AZ533" s="67" t="str">
        <f t="shared" si="548"/>
        <v/>
      </c>
      <c r="BA533" s="67" t="str">
        <f t="shared" si="548"/>
        <v/>
      </c>
      <c r="BB533" s="398" t="str">
        <f t="shared" si="548"/>
        <v/>
      </c>
      <c r="BC533" s="358" t="str">
        <f t="shared" si="548"/>
        <v/>
      </c>
      <c r="BD533" s="187" t="str">
        <f t="shared" si="548"/>
        <v/>
      </c>
      <c r="BE533" s="104" t="str">
        <f t="shared" si="548"/>
        <v/>
      </c>
      <c r="BF533" s="389" t="str">
        <f t="shared" si="548"/>
        <v/>
      </c>
      <c r="BG533" s="389" t="str">
        <f t="shared" si="548"/>
        <v>🔵 Chưa có hạn</v>
      </c>
      <c r="BH533" s="67" t="str">
        <f t="shared" si="548"/>
        <v/>
      </c>
      <c r="BI533" s="389" t="str">
        <f t="array" ref="BI533">IF($X533="","",SWITCH($W533,3,IFERROR(INDEX('Lớp 3 - Công việc chính'!$AF$14:$AF$73,MATCH($X533,'Lớp 3 - Công việc chính'!$I$14:$I$73,0)),""),4,IFERROR(INDEX('Lớp 4 - Danh mục'!$AI$14:$AI$132,MATCH($X533,'Lớp 4 - Danh mục'!$I$14:$I$132,0)),""),5,IFERROR(INDEX('Lớp 5 - Phân công'!$AJ$14:$AJ$262,MATCH($X533,'Lớp 5 - Phân công'!$I$14:$I$262,0)),""),6,IFERROR(INDEX('Lớp 6 - Chi tiết'!$AM$14:$AM$267,MATCH($X533,'Lớp 6 - Chi tiết'!$I$14:$I$267,0)),""),""))</f>
        <v/>
      </c>
      <c r="BJ533" s="389" t="str">
        <f t="array" ref="BJ533">IF($X533="","",SWITCH($W533,3,IFERROR(INDEX('Lớp 3 - Công việc chính'!$AR$14:$AR$73,MATCH($X533,'Lớp 3 - Công việc chính'!$I$14:$I$73,0)),""),4,IFERROR(INDEX('Lớp 4 - Danh mục'!$AU$14:$AU$132,MATCH($X533,'Lớp 4 - Danh mục'!$I$14:$I$132,0)),""),5,IFERROR(INDEX('Lớp 5 - Phân công'!$AV$14:$AV$262,MATCH($X533,'Lớp 5 - Phân công'!$I$14:$I$262,0)),""),6,IFERROR(INDEX('Lớp 6 - Chi tiết'!$AY$14:$AY$267,MATCH($X533,'Lớp 6 - Chi tiết'!$I$14:$I$267,0)),""),""))</f>
        <v/>
      </c>
    </row>
    <row r="534" ht="15.75" customHeight="1">
      <c r="A534" s="294" t="str">
        <f t="shared" si="12"/>
        <v/>
      </c>
      <c r="B534" s="301" t="str">
        <f t="shared" si="13"/>
        <v/>
      </c>
      <c r="C534" s="301" t="str">
        <f t="shared" si="14"/>
        <v/>
      </c>
      <c r="D534" s="301" t="str">
        <f t="shared" si="15"/>
        <v/>
      </c>
      <c r="E534" s="301" t="str">
        <f t="shared" si="16"/>
        <v/>
      </c>
      <c r="F534" s="317" t="str">
        <f t="shared" si="17"/>
        <v/>
      </c>
      <c r="G534" s="323" t="str">
        <f t="shared" si="18"/>
        <v/>
      </c>
      <c r="H534" s="327" t="str">
        <f t="shared" si="19"/>
        <v/>
      </c>
      <c r="I534" s="327" t="str">
        <f t="shared" si="20"/>
        <v/>
      </c>
      <c r="J534" s="301" t="str">
        <f t="shared" si="21"/>
        <v/>
      </c>
      <c r="K534" s="301" t="str">
        <f t="shared" si="22"/>
        <v/>
      </c>
      <c r="L534" s="344" t="str">
        <f t="array" ref="L534">IF($T534="","",LET(m,MATCH($T534,$AS$24:$AS$700,0),lvl,INDEX($W$24:$W$700,m),id,INDEX($X$24:$X$700,m),SWITCH(lvl,3,"Lớp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4" s="351" t="str">
        <f t="shared" si="23"/>
        <v/>
      </c>
      <c r="N534" s="356" t="str">
        <f t="shared" si="24"/>
        <v/>
      </c>
      <c r="O534" s="358"/>
      <c r="P534" s="360"/>
      <c r="Q534" s="360"/>
      <c r="R534" s="67"/>
      <c r="S534" s="67"/>
      <c r="T534" s="67"/>
      <c r="U534" s="389" t="str">
        <f>IF('Lớp 6 - Chi tiết'!I96="","",'Lớp 6 - Chi tiết'!L96&amp;"|"&amp;'Lớp 6 - Chi tiết'!K96&amp;"|"&amp;'Lớp 6 - Chi tiết'!J96&amp;"|"&amp;'Lớp 6 - Chi tiết'!I96)</f>
        <v/>
      </c>
      <c r="V534" s="389" t="str">
        <f>IF('Lớp 6 - Chi tiết'!I96="","","           └─ "&amp;'Lớp 6 - Chi tiết'!S96)</f>
        <v/>
      </c>
      <c r="W534" s="389" t="str">
        <f>IF('Lớp 6 - Chi tiết'!I96="","",6)</f>
        <v/>
      </c>
      <c r="X534" s="67" t="str">
        <f>'Lớp 6 - Chi tiết'!I96</f>
        <v/>
      </c>
      <c r="Y534" s="389" t="str">
        <f>'Lớp 6 - Chi tiết'!J96</f>
        <v/>
      </c>
      <c r="Z534" s="67" t="str">
        <f>'Lớp 6 - Chi tiết'!AC96</f>
        <v/>
      </c>
      <c r="AA534" s="67" t="str">
        <f>'Lớp 6 - Chi tiết'!AB96</f>
        <v/>
      </c>
      <c r="AB534" s="67" t="str">
        <f>'Lớp 6 - Chi tiết'!AF96</f>
        <v/>
      </c>
      <c r="AC534" s="67" t="str">
        <f>'Lớp 6 - Chi tiết'!AE96</f>
        <v/>
      </c>
      <c r="AD534" s="398" t="str">
        <f>'Lớp 6 - Chi tiết'!AJ96</f>
        <v/>
      </c>
      <c r="AE534" s="358" t="str">
        <f>'Lớp 6 - Chi tiết'!AH96</f>
        <v/>
      </c>
      <c r="AF534" s="187" t="str">
        <f>'Lớp 6 - Chi tiết'!AK96</f>
        <v/>
      </c>
      <c r="AG534" s="104" t="str">
        <f>'Lớp 6 - Chi tiết'!AL96</f>
        <v/>
      </c>
      <c r="AH534" s="389" t="str">
        <f t="shared" si="27"/>
        <v/>
      </c>
      <c r="AI534" s="389" t="str">
        <f t="shared" si="37"/>
        <v>🔵 Chưa có hạn</v>
      </c>
      <c r="AJ534" s="67" t="str">
        <f>'Lớp 6 - Chi tiết'!AO96</f>
        <v/>
      </c>
      <c r="AS534" s="389" t="str">
        <f t="shared" si="467"/>
        <v/>
      </c>
      <c r="AT534" s="389" t="str">
        <f t="shared" si="32"/>
        <v/>
      </c>
      <c r="AU534" s="389" t="str">
        <f t="shared" si="33"/>
        <v/>
      </c>
      <c r="AV534" s="389" t="str">
        <f t="shared" si="34"/>
        <v/>
      </c>
      <c r="AW534" s="389" t="str">
        <f t="shared" si="35"/>
        <v/>
      </c>
      <c r="AX534" s="67" t="str">
        <f t="shared" ref="AX534:BH534" si="549">Z534</f>
        <v/>
      </c>
      <c r="AY534" s="67" t="str">
        <f t="shared" si="549"/>
        <v/>
      </c>
      <c r="AZ534" s="67" t="str">
        <f t="shared" si="549"/>
        <v/>
      </c>
      <c r="BA534" s="67" t="str">
        <f t="shared" si="549"/>
        <v/>
      </c>
      <c r="BB534" s="398" t="str">
        <f t="shared" si="549"/>
        <v/>
      </c>
      <c r="BC534" s="358" t="str">
        <f t="shared" si="549"/>
        <v/>
      </c>
      <c r="BD534" s="187" t="str">
        <f t="shared" si="549"/>
        <v/>
      </c>
      <c r="BE534" s="104" t="str">
        <f t="shared" si="549"/>
        <v/>
      </c>
      <c r="BF534" s="389" t="str">
        <f t="shared" si="549"/>
        <v/>
      </c>
      <c r="BG534" s="389" t="str">
        <f t="shared" si="549"/>
        <v>🔵 Chưa có hạn</v>
      </c>
      <c r="BH534" s="67" t="str">
        <f t="shared" si="549"/>
        <v/>
      </c>
      <c r="BI534" s="389" t="str">
        <f t="array" ref="BI534">IF($X534="","",SWITCH($W534,3,IFERROR(INDEX('Lớp 3 - Công việc chính'!$AF$14:$AF$73,MATCH($X534,'Lớp 3 - Công việc chính'!$I$14:$I$73,0)),""),4,IFERROR(INDEX('Lớp 4 - Danh mục'!$AI$14:$AI$132,MATCH($X534,'Lớp 4 - Danh mục'!$I$14:$I$132,0)),""),5,IFERROR(INDEX('Lớp 5 - Phân công'!$AJ$14:$AJ$262,MATCH($X534,'Lớp 5 - Phân công'!$I$14:$I$262,0)),""),6,IFERROR(INDEX('Lớp 6 - Chi tiết'!$AM$14:$AM$267,MATCH($X534,'Lớp 6 - Chi tiết'!$I$14:$I$267,0)),""),""))</f>
        <v/>
      </c>
      <c r="BJ534" s="389" t="str">
        <f t="array" ref="BJ534">IF($X534="","",SWITCH($W534,3,IFERROR(INDEX('Lớp 3 - Công việc chính'!$AR$14:$AR$73,MATCH($X534,'Lớp 3 - Công việc chính'!$I$14:$I$73,0)),""),4,IFERROR(INDEX('Lớp 4 - Danh mục'!$AU$14:$AU$132,MATCH($X534,'Lớp 4 - Danh mục'!$I$14:$I$132,0)),""),5,IFERROR(INDEX('Lớp 5 - Phân công'!$AV$14:$AV$262,MATCH($X534,'Lớp 5 - Phân công'!$I$14:$I$262,0)),""),6,IFERROR(INDEX('Lớp 6 - Chi tiết'!$AY$14:$AY$267,MATCH($X534,'Lớp 6 - Chi tiết'!$I$14:$I$267,0)),""),""))</f>
        <v/>
      </c>
    </row>
    <row r="535" ht="15.75" customHeight="1">
      <c r="A535" s="294" t="str">
        <f t="shared" si="12"/>
        <v/>
      </c>
      <c r="B535" s="301" t="str">
        <f t="shared" si="13"/>
        <v/>
      </c>
      <c r="C535" s="301" t="str">
        <f t="shared" si="14"/>
        <v/>
      </c>
      <c r="D535" s="301" t="str">
        <f t="shared" si="15"/>
        <v/>
      </c>
      <c r="E535" s="301" t="str">
        <f t="shared" si="16"/>
        <v/>
      </c>
      <c r="F535" s="317" t="str">
        <f t="shared" si="17"/>
        <v/>
      </c>
      <c r="G535" s="323" t="str">
        <f t="shared" si="18"/>
        <v/>
      </c>
      <c r="H535" s="327" t="str">
        <f t="shared" si="19"/>
        <v/>
      </c>
      <c r="I535" s="327" t="str">
        <f t="shared" si="20"/>
        <v/>
      </c>
      <c r="J535" s="301" t="str">
        <f t="shared" si="21"/>
        <v/>
      </c>
      <c r="K535" s="301" t="str">
        <f t="shared" si="22"/>
        <v/>
      </c>
      <c r="L535" s="344" t="str">
        <f t="array" ref="L535">IF($T535="","",LET(m,MATCH($T535,$AS$24:$AS$700,0),lvl,INDEX($W$24:$W$700,m),id,INDEX($X$24:$X$700,m),SWITCH(lvl,3,"Lớp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5" s="351" t="str">
        <f t="shared" si="23"/>
        <v/>
      </c>
      <c r="N535" s="356" t="str">
        <f t="shared" si="24"/>
        <v/>
      </c>
      <c r="O535" s="358"/>
      <c r="P535" s="360"/>
      <c r="Q535" s="360"/>
      <c r="R535" s="67"/>
      <c r="S535" s="67"/>
      <c r="T535" s="67"/>
      <c r="U535" s="389" t="str">
        <f>IF('Lớp 6 - Chi tiết'!I97="","",'Lớp 6 - Chi tiết'!L97&amp;"|"&amp;'Lớp 6 - Chi tiết'!K97&amp;"|"&amp;'Lớp 6 - Chi tiết'!J97&amp;"|"&amp;'Lớp 6 - Chi tiết'!I97)</f>
        <v/>
      </c>
      <c r="V535" s="389" t="str">
        <f>IF('Lớp 6 - Chi tiết'!I97="","","           └─ "&amp;'Lớp 6 - Chi tiết'!S97)</f>
        <v/>
      </c>
      <c r="W535" s="389" t="str">
        <f>IF('Lớp 6 - Chi tiết'!I97="","",6)</f>
        <v/>
      </c>
      <c r="X535" s="67" t="str">
        <f>'Lớp 6 - Chi tiết'!I97</f>
        <v/>
      </c>
      <c r="Y535" s="389" t="str">
        <f>'Lớp 6 - Chi tiết'!J97</f>
        <v/>
      </c>
      <c r="Z535" s="67" t="str">
        <f>'Lớp 6 - Chi tiết'!AC97</f>
        <v/>
      </c>
      <c r="AA535" s="67" t="str">
        <f>'Lớp 6 - Chi tiết'!AB97</f>
        <v/>
      </c>
      <c r="AB535" s="67" t="str">
        <f>'Lớp 6 - Chi tiết'!AF97</f>
        <v/>
      </c>
      <c r="AC535" s="67" t="str">
        <f>'Lớp 6 - Chi tiết'!AE97</f>
        <v/>
      </c>
      <c r="AD535" s="398" t="str">
        <f>'Lớp 6 - Chi tiết'!AJ97</f>
        <v/>
      </c>
      <c r="AE535" s="358" t="str">
        <f>'Lớp 6 - Chi tiết'!AH97</f>
        <v/>
      </c>
      <c r="AF535" s="187" t="str">
        <f>'Lớp 6 - Chi tiết'!AK97</f>
        <v/>
      </c>
      <c r="AG535" s="104" t="str">
        <f>'Lớp 6 - Chi tiết'!AL97</f>
        <v/>
      </c>
      <c r="AH535" s="389" t="str">
        <f t="shared" si="27"/>
        <v/>
      </c>
      <c r="AI535" s="389" t="str">
        <f t="shared" si="37"/>
        <v>🔵 Chưa có hạn</v>
      </c>
      <c r="AJ535" s="67" t="str">
        <f>'Lớp 6 - Chi tiết'!AO97</f>
        <v/>
      </c>
      <c r="AS535" s="389" t="str">
        <f t="shared" si="467"/>
        <v/>
      </c>
      <c r="AT535" s="389" t="str">
        <f t="shared" si="32"/>
        <v/>
      </c>
      <c r="AU535" s="389" t="str">
        <f t="shared" si="33"/>
        <v/>
      </c>
      <c r="AV535" s="389" t="str">
        <f t="shared" si="34"/>
        <v/>
      </c>
      <c r="AW535" s="389" t="str">
        <f t="shared" si="35"/>
        <v/>
      </c>
      <c r="AX535" s="67" t="str">
        <f t="shared" ref="AX535:BH535" si="550">Z535</f>
        <v/>
      </c>
      <c r="AY535" s="67" t="str">
        <f t="shared" si="550"/>
        <v/>
      </c>
      <c r="AZ535" s="67" t="str">
        <f t="shared" si="550"/>
        <v/>
      </c>
      <c r="BA535" s="67" t="str">
        <f t="shared" si="550"/>
        <v/>
      </c>
      <c r="BB535" s="398" t="str">
        <f t="shared" si="550"/>
        <v/>
      </c>
      <c r="BC535" s="358" t="str">
        <f t="shared" si="550"/>
        <v/>
      </c>
      <c r="BD535" s="187" t="str">
        <f t="shared" si="550"/>
        <v/>
      </c>
      <c r="BE535" s="104" t="str">
        <f t="shared" si="550"/>
        <v/>
      </c>
      <c r="BF535" s="389" t="str">
        <f t="shared" si="550"/>
        <v/>
      </c>
      <c r="BG535" s="389" t="str">
        <f t="shared" si="550"/>
        <v>🔵 Chưa có hạn</v>
      </c>
      <c r="BH535" s="67" t="str">
        <f t="shared" si="550"/>
        <v/>
      </c>
      <c r="BI535" s="389" t="str">
        <f t="array" ref="BI535">IF($X535="","",SWITCH($W535,3,IFERROR(INDEX('Lớp 3 - Công việc chính'!$AF$14:$AF$73,MATCH($X535,'Lớp 3 - Công việc chính'!$I$14:$I$73,0)),""),4,IFERROR(INDEX('Lớp 4 - Danh mục'!$AI$14:$AI$132,MATCH($X535,'Lớp 4 - Danh mục'!$I$14:$I$132,0)),""),5,IFERROR(INDEX('Lớp 5 - Phân công'!$AJ$14:$AJ$262,MATCH($X535,'Lớp 5 - Phân công'!$I$14:$I$262,0)),""),6,IFERROR(INDEX('Lớp 6 - Chi tiết'!$AM$14:$AM$267,MATCH($X535,'Lớp 6 - Chi tiết'!$I$14:$I$267,0)),""),""))</f>
        <v/>
      </c>
      <c r="BJ535" s="389" t="str">
        <f t="array" ref="BJ535">IF($X535="","",SWITCH($W535,3,IFERROR(INDEX('Lớp 3 - Công việc chính'!$AR$14:$AR$73,MATCH($X535,'Lớp 3 - Công việc chính'!$I$14:$I$73,0)),""),4,IFERROR(INDEX('Lớp 4 - Danh mục'!$AU$14:$AU$132,MATCH($X535,'Lớp 4 - Danh mục'!$I$14:$I$132,0)),""),5,IFERROR(INDEX('Lớp 5 - Phân công'!$AV$14:$AV$262,MATCH($X535,'Lớp 5 - Phân công'!$I$14:$I$262,0)),""),6,IFERROR(INDEX('Lớp 6 - Chi tiết'!$AY$14:$AY$267,MATCH($X535,'Lớp 6 - Chi tiết'!$I$14:$I$267,0)),""),""))</f>
        <v/>
      </c>
    </row>
    <row r="536" ht="15.75" customHeight="1">
      <c r="A536" s="294" t="str">
        <f t="shared" si="12"/>
        <v/>
      </c>
      <c r="B536" s="301" t="str">
        <f t="shared" si="13"/>
        <v/>
      </c>
      <c r="C536" s="301" t="str">
        <f t="shared" si="14"/>
        <v/>
      </c>
      <c r="D536" s="301" t="str">
        <f t="shared" si="15"/>
        <v/>
      </c>
      <c r="E536" s="301" t="str">
        <f t="shared" si="16"/>
        <v/>
      </c>
      <c r="F536" s="317" t="str">
        <f t="shared" si="17"/>
        <v/>
      </c>
      <c r="G536" s="323" t="str">
        <f t="shared" si="18"/>
        <v/>
      </c>
      <c r="H536" s="327" t="str">
        <f t="shared" si="19"/>
        <v/>
      </c>
      <c r="I536" s="327" t="str">
        <f t="shared" si="20"/>
        <v/>
      </c>
      <c r="J536" s="301" t="str">
        <f t="shared" si="21"/>
        <v/>
      </c>
      <c r="K536" s="301" t="str">
        <f t="shared" si="22"/>
        <v/>
      </c>
      <c r="L536" s="344" t="str">
        <f t="array" ref="L536">IF($T536="","",LET(m,MATCH($T536,$AS$24:$AS$700,0),lvl,INDEX($W$24:$W$700,m),id,INDEX($X$24:$X$700,m),SWITCH(lvl,3,"Lớp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6" s="351" t="str">
        <f t="shared" si="23"/>
        <v/>
      </c>
      <c r="N536" s="356" t="str">
        <f t="shared" si="24"/>
        <v/>
      </c>
      <c r="O536" s="358"/>
      <c r="P536" s="360"/>
      <c r="Q536" s="360"/>
      <c r="R536" s="67"/>
      <c r="S536" s="67"/>
      <c r="T536" s="67"/>
      <c r="U536" s="389" t="str">
        <f>IF('Lớp 6 - Chi tiết'!I98="","",'Lớp 6 - Chi tiết'!L98&amp;"|"&amp;'Lớp 6 - Chi tiết'!K98&amp;"|"&amp;'Lớp 6 - Chi tiết'!J98&amp;"|"&amp;'Lớp 6 - Chi tiết'!I98)</f>
        <v/>
      </c>
      <c r="V536" s="389" t="str">
        <f>IF('Lớp 6 - Chi tiết'!I98="","","           └─ "&amp;'Lớp 6 - Chi tiết'!S98)</f>
        <v/>
      </c>
      <c r="W536" s="389" t="str">
        <f>IF('Lớp 6 - Chi tiết'!I98="","",6)</f>
        <v/>
      </c>
      <c r="X536" s="67" t="str">
        <f>'Lớp 6 - Chi tiết'!I98</f>
        <v/>
      </c>
      <c r="Y536" s="389" t="str">
        <f>'Lớp 6 - Chi tiết'!J98</f>
        <v/>
      </c>
      <c r="Z536" s="67" t="str">
        <f>'Lớp 6 - Chi tiết'!AC98</f>
        <v/>
      </c>
      <c r="AA536" s="67" t="str">
        <f>'Lớp 6 - Chi tiết'!AB98</f>
        <v/>
      </c>
      <c r="AB536" s="67" t="str">
        <f>'Lớp 6 - Chi tiết'!AF98</f>
        <v/>
      </c>
      <c r="AC536" s="67" t="str">
        <f>'Lớp 6 - Chi tiết'!AE98</f>
        <v/>
      </c>
      <c r="AD536" s="398" t="str">
        <f>'Lớp 6 - Chi tiết'!AJ98</f>
        <v/>
      </c>
      <c r="AE536" s="358" t="str">
        <f>'Lớp 6 - Chi tiết'!AH98</f>
        <v/>
      </c>
      <c r="AF536" s="187" t="str">
        <f>'Lớp 6 - Chi tiết'!AK98</f>
        <v/>
      </c>
      <c r="AG536" s="104" t="str">
        <f>'Lớp 6 - Chi tiết'!AL98</f>
        <v/>
      </c>
      <c r="AH536" s="389" t="str">
        <f t="shared" si="27"/>
        <v/>
      </c>
      <c r="AI536" s="389" t="str">
        <f t="shared" si="37"/>
        <v>🔵 Chưa có hạn</v>
      </c>
      <c r="AJ536" s="67" t="str">
        <f>'Lớp 6 - Chi tiết'!AO98</f>
        <v/>
      </c>
      <c r="AS536" s="389" t="str">
        <f t="shared" si="467"/>
        <v/>
      </c>
      <c r="AT536" s="389" t="str">
        <f t="shared" si="32"/>
        <v/>
      </c>
      <c r="AU536" s="389" t="str">
        <f t="shared" si="33"/>
        <v/>
      </c>
      <c r="AV536" s="389" t="str">
        <f t="shared" si="34"/>
        <v/>
      </c>
      <c r="AW536" s="389" t="str">
        <f t="shared" si="35"/>
        <v/>
      </c>
      <c r="AX536" s="67" t="str">
        <f t="shared" ref="AX536:BH536" si="551">Z536</f>
        <v/>
      </c>
      <c r="AY536" s="67" t="str">
        <f t="shared" si="551"/>
        <v/>
      </c>
      <c r="AZ536" s="67" t="str">
        <f t="shared" si="551"/>
        <v/>
      </c>
      <c r="BA536" s="67" t="str">
        <f t="shared" si="551"/>
        <v/>
      </c>
      <c r="BB536" s="398" t="str">
        <f t="shared" si="551"/>
        <v/>
      </c>
      <c r="BC536" s="358" t="str">
        <f t="shared" si="551"/>
        <v/>
      </c>
      <c r="BD536" s="187" t="str">
        <f t="shared" si="551"/>
        <v/>
      </c>
      <c r="BE536" s="104" t="str">
        <f t="shared" si="551"/>
        <v/>
      </c>
      <c r="BF536" s="389" t="str">
        <f t="shared" si="551"/>
        <v/>
      </c>
      <c r="BG536" s="389" t="str">
        <f t="shared" si="551"/>
        <v>🔵 Chưa có hạn</v>
      </c>
      <c r="BH536" s="67" t="str">
        <f t="shared" si="551"/>
        <v/>
      </c>
      <c r="BI536" s="389" t="str">
        <f t="array" ref="BI536">IF($X536="","",SWITCH($W536,3,IFERROR(INDEX('Lớp 3 - Công việc chính'!$AF$14:$AF$73,MATCH($X536,'Lớp 3 - Công việc chính'!$I$14:$I$73,0)),""),4,IFERROR(INDEX('Lớp 4 - Danh mục'!$AI$14:$AI$132,MATCH($X536,'Lớp 4 - Danh mục'!$I$14:$I$132,0)),""),5,IFERROR(INDEX('Lớp 5 - Phân công'!$AJ$14:$AJ$262,MATCH($X536,'Lớp 5 - Phân công'!$I$14:$I$262,0)),""),6,IFERROR(INDEX('Lớp 6 - Chi tiết'!$AM$14:$AM$267,MATCH($X536,'Lớp 6 - Chi tiết'!$I$14:$I$267,0)),""),""))</f>
        <v/>
      </c>
      <c r="BJ536" s="389" t="str">
        <f t="array" ref="BJ536">IF($X536="","",SWITCH($W536,3,IFERROR(INDEX('Lớp 3 - Công việc chính'!$AR$14:$AR$73,MATCH($X536,'Lớp 3 - Công việc chính'!$I$14:$I$73,0)),""),4,IFERROR(INDEX('Lớp 4 - Danh mục'!$AU$14:$AU$132,MATCH($X536,'Lớp 4 - Danh mục'!$I$14:$I$132,0)),""),5,IFERROR(INDEX('Lớp 5 - Phân công'!$AV$14:$AV$262,MATCH($X536,'Lớp 5 - Phân công'!$I$14:$I$262,0)),""),6,IFERROR(INDEX('Lớp 6 - Chi tiết'!$AY$14:$AY$267,MATCH($X536,'Lớp 6 - Chi tiết'!$I$14:$I$267,0)),""),""))</f>
        <v/>
      </c>
    </row>
    <row r="537" ht="15.75" customHeight="1">
      <c r="A537" s="294" t="str">
        <f t="shared" si="12"/>
        <v/>
      </c>
      <c r="B537" s="301" t="str">
        <f t="shared" si="13"/>
        <v/>
      </c>
      <c r="C537" s="301" t="str">
        <f t="shared" si="14"/>
        <v/>
      </c>
      <c r="D537" s="301" t="str">
        <f t="shared" si="15"/>
        <v/>
      </c>
      <c r="E537" s="301" t="str">
        <f t="shared" si="16"/>
        <v/>
      </c>
      <c r="F537" s="317" t="str">
        <f t="shared" si="17"/>
        <v/>
      </c>
      <c r="G537" s="323" t="str">
        <f t="shared" si="18"/>
        <v/>
      </c>
      <c r="H537" s="327" t="str">
        <f t="shared" si="19"/>
        <v/>
      </c>
      <c r="I537" s="327" t="str">
        <f t="shared" si="20"/>
        <v/>
      </c>
      <c r="J537" s="301" t="str">
        <f t="shared" si="21"/>
        <v/>
      </c>
      <c r="K537" s="301" t="str">
        <f t="shared" si="22"/>
        <v/>
      </c>
      <c r="L537" s="344" t="str">
        <f t="array" ref="L537">IF($T537="","",LET(m,MATCH($T537,$AS$24:$AS$700,0),lvl,INDEX($W$24:$W$700,m),id,INDEX($X$24:$X$700,m),SWITCH(lvl,3,"Lớp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7" s="351" t="str">
        <f t="shared" si="23"/>
        <v/>
      </c>
      <c r="N537" s="356" t="str">
        <f t="shared" si="24"/>
        <v/>
      </c>
      <c r="O537" s="358"/>
      <c r="P537" s="360"/>
      <c r="Q537" s="360"/>
      <c r="R537" s="67"/>
      <c r="S537" s="67"/>
      <c r="T537" s="67"/>
      <c r="U537" s="389" t="str">
        <f>IF('Lớp 6 - Chi tiết'!I99="","",'Lớp 6 - Chi tiết'!L99&amp;"|"&amp;'Lớp 6 - Chi tiết'!K99&amp;"|"&amp;'Lớp 6 - Chi tiết'!J99&amp;"|"&amp;'Lớp 6 - Chi tiết'!I99)</f>
        <v/>
      </c>
      <c r="V537" s="389" t="str">
        <f>IF('Lớp 6 - Chi tiết'!I99="","","           └─ "&amp;'Lớp 6 - Chi tiết'!S99)</f>
        <v/>
      </c>
      <c r="W537" s="389" t="str">
        <f>IF('Lớp 6 - Chi tiết'!I99="","",6)</f>
        <v/>
      </c>
      <c r="X537" s="67" t="str">
        <f>'Lớp 6 - Chi tiết'!I99</f>
        <v/>
      </c>
      <c r="Y537" s="389" t="str">
        <f>'Lớp 6 - Chi tiết'!J99</f>
        <v/>
      </c>
      <c r="Z537" s="67" t="str">
        <f>'Lớp 6 - Chi tiết'!AC99</f>
        <v/>
      </c>
      <c r="AA537" s="67" t="str">
        <f>'Lớp 6 - Chi tiết'!AB99</f>
        <v/>
      </c>
      <c r="AB537" s="67" t="str">
        <f>'Lớp 6 - Chi tiết'!AF99</f>
        <v/>
      </c>
      <c r="AC537" s="67" t="str">
        <f>'Lớp 6 - Chi tiết'!AE99</f>
        <v/>
      </c>
      <c r="AD537" s="398" t="str">
        <f>'Lớp 6 - Chi tiết'!AJ99</f>
        <v/>
      </c>
      <c r="AE537" s="358" t="str">
        <f>'Lớp 6 - Chi tiết'!AH99</f>
        <v/>
      </c>
      <c r="AF537" s="187" t="str">
        <f>'Lớp 6 - Chi tiết'!AK99</f>
        <v/>
      </c>
      <c r="AG537" s="104" t="str">
        <f>'Lớp 6 - Chi tiết'!AL99</f>
        <v/>
      </c>
      <c r="AH537" s="389" t="str">
        <f t="shared" si="27"/>
        <v/>
      </c>
      <c r="AI537" s="389" t="str">
        <f t="shared" si="37"/>
        <v>🔵 Chưa có hạn</v>
      </c>
      <c r="AJ537" s="67" t="str">
        <f>'Lớp 6 - Chi tiết'!AO99</f>
        <v/>
      </c>
      <c r="AS537" s="389" t="str">
        <f t="shared" si="467"/>
        <v/>
      </c>
      <c r="AT537" s="389" t="str">
        <f t="shared" si="32"/>
        <v/>
      </c>
      <c r="AU537" s="389" t="str">
        <f t="shared" si="33"/>
        <v/>
      </c>
      <c r="AV537" s="389" t="str">
        <f t="shared" si="34"/>
        <v/>
      </c>
      <c r="AW537" s="389" t="str">
        <f t="shared" si="35"/>
        <v/>
      </c>
      <c r="AX537" s="67" t="str">
        <f t="shared" ref="AX537:BH537" si="552">Z537</f>
        <v/>
      </c>
      <c r="AY537" s="67" t="str">
        <f t="shared" si="552"/>
        <v/>
      </c>
      <c r="AZ537" s="67" t="str">
        <f t="shared" si="552"/>
        <v/>
      </c>
      <c r="BA537" s="67" t="str">
        <f t="shared" si="552"/>
        <v/>
      </c>
      <c r="BB537" s="398" t="str">
        <f t="shared" si="552"/>
        <v/>
      </c>
      <c r="BC537" s="358" t="str">
        <f t="shared" si="552"/>
        <v/>
      </c>
      <c r="BD537" s="187" t="str">
        <f t="shared" si="552"/>
        <v/>
      </c>
      <c r="BE537" s="104" t="str">
        <f t="shared" si="552"/>
        <v/>
      </c>
      <c r="BF537" s="389" t="str">
        <f t="shared" si="552"/>
        <v/>
      </c>
      <c r="BG537" s="389" t="str">
        <f t="shared" si="552"/>
        <v>🔵 Chưa có hạn</v>
      </c>
      <c r="BH537" s="67" t="str">
        <f t="shared" si="552"/>
        <v/>
      </c>
      <c r="BI537" s="389" t="str">
        <f t="array" ref="BI537">IF($X537="","",SWITCH($W537,3,IFERROR(INDEX('Lớp 3 - Công việc chính'!$AF$14:$AF$73,MATCH($X537,'Lớp 3 - Công việc chính'!$I$14:$I$73,0)),""),4,IFERROR(INDEX('Lớp 4 - Danh mục'!$AI$14:$AI$132,MATCH($X537,'Lớp 4 - Danh mục'!$I$14:$I$132,0)),""),5,IFERROR(INDEX('Lớp 5 - Phân công'!$AJ$14:$AJ$262,MATCH($X537,'Lớp 5 - Phân công'!$I$14:$I$262,0)),""),6,IFERROR(INDEX('Lớp 6 - Chi tiết'!$AM$14:$AM$267,MATCH($X537,'Lớp 6 - Chi tiết'!$I$14:$I$267,0)),""),""))</f>
        <v/>
      </c>
      <c r="BJ537" s="389" t="str">
        <f t="array" ref="BJ537">IF($X537="","",SWITCH($W537,3,IFERROR(INDEX('Lớp 3 - Công việc chính'!$AR$14:$AR$73,MATCH($X537,'Lớp 3 - Công việc chính'!$I$14:$I$73,0)),""),4,IFERROR(INDEX('Lớp 4 - Danh mục'!$AU$14:$AU$132,MATCH($X537,'Lớp 4 - Danh mục'!$I$14:$I$132,0)),""),5,IFERROR(INDEX('Lớp 5 - Phân công'!$AV$14:$AV$262,MATCH($X537,'Lớp 5 - Phân công'!$I$14:$I$262,0)),""),6,IFERROR(INDEX('Lớp 6 - Chi tiết'!$AY$14:$AY$267,MATCH($X537,'Lớp 6 - Chi tiết'!$I$14:$I$267,0)),""),""))</f>
        <v/>
      </c>
    </row>
    <row r="538" ht="15.75" customHeight="1">
      <c r="A538" s="294" t="str">
        <f t="shared" si="12"/>
        <v/>
      </c>
      <c r="B538" s="301" t="str">
        <f t="shared" si="13"/>
        <v/>
      </c>
      <c r="C538" s="301" t="str">
        <f t="shared" si="14"/>
        <v/>
      </c>
      <c r="D538" s="301" t="str">
        <f t="shared" si="15"/>
        <v/>
      </c>
      <c r="E538" s="301" t="str">
        <f t="shared" si="16"/>
        <v/>
      </c>
      <c r="F538" s="317" t="str">
        <f t="shared" si="17"/>
        <v/>
      </c>
      <c r="G538" s="323" t="str">
        <f t="shared" si="18"/>
        <v/>
      </c>
      <c r="H538" s="327" t="str">
        <f t="shared" si="19"/>
        <v/>
      </c>
      <c r="I538" s="327" t="str">
        <f t="shared" si="20"/>
        <v/>
      </c>
      <c r="J538" s="301" t="str">
        <f t="shared" si="21"/>
        <v/>
      </c>
      <c r="K538" s="301" t="str">
        <f t="shared" si="22"/>
        <v/>
      </c>
      <c r="L538" s="344" t="str">
        <f t="array" ref="L538">IF($T538="","",LET(m,MATCH($T538,$AS$24:$AS$700,0),lvl,INDEX($W$24:$W$700,m),id,INDEX($X$24:$X$700,m),SWITCH(lvl,3,"Lớp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8" s="351" t="str">
        <f t="shared" si="23"/>
        <v/>
      </c>
      <c r="N538" s="356" t="str">
        <f t="shared" si="24"/>
        <v/>
      </c>
      <c r="O538" s="358"/>
      <c r="P538" s="360"/>
      <c r="Q538" s="360"/>
      <c r="R538" s="67"/>
      <c r="S538" s="67"/>
      <c r="T538" s="67"/>
      <c r="U538" s="389" t="str">
        <f>IF('Lớp 6 - Chi tiết'!I100="","",'Lớp 6 - Chi tiết'!L100&amp;"|"&amp;'Lớp 6 - Chi tiết'!K100&amp;"|"&amp;'Lớp 6 - Chi tiết'!J100&amp;"|"&amp;'Lớp 6 - Chi tiết'!I100)</f>
        <v/>
      </c>
      <c r="V538" s="389" t="str">
        <f>IF('Lớp 6 - Chi tiết'!I100="","","           └─ "&amp;'Lớp 6 - Chi tiết'!S100)</f>
        <v/>
      </c>
      <c r="W538" s="389" t="str">
        <f>IF('Lớp 6 - Chi tiết'!I100="","",6)</f>
        <v/>
      </c>
      <c r="X538" s="67" t="str">
        <f>'Lớp 6 - Chi tiết'!I100</f>
        <v/>
      </c>
      <c r="Y538" s="389" t="str">
        <f>'Lớp 6 - Chi tiết'!J100</f>
        <v/>
      </c>
      <c r="Z538" s="67" t="str">
        <f>'Lớp 6 - Chi tiết'!AC100</f>
        <v/>
      </c>
      <c r="AA538" s="67" t="str">
        <f>'Lớp 6 - Chi tiết'!AB100</f>
        <v/>
      </c>
      <c r="AB538" s="67" t="str">
        <f>'Lớp 6 - Chi tiết'!AF100</f>
        <v/>
      </c>
      <c r="AC538" s="67" t="str">
        <f>'Lớp 6 - Chi tiết'!AE100</f>
        <v/>
      </c>
      <c r="AD538" s="398" t="str">
        <f>'Lớp 6 - Chi tiết'!AJ100</f>
        <v/>
      </c>
      <c r="AE538" s="358" t="str">
        <f>'Lớp 6 - Chi tiết'!AH100</f>
        <v/>
      </c>
      <c r="AF538" s="187" t="str">
        <f>'Lớp 6 - Chi tiết'!AK100</f>
        <v/>
      </c>
      <c r="AG538" s="104" t="str">
        <f>'Lớp 6 - Chi tiết'!AL100</f>
        <v/>
      </c>
      <c r="AH538" s="389" t="str">
        <f t="shared" si="27"/>
        <v/>
      </c>
      <c r="AI538" s="389" t="str">
        <f t="shared" si="37"/>
        <v>🔵 Chưa có hạn</v>
      </c>
      <c r="AJ538" s="67" t="str">
        <f>'Lớp 6 - Chi tiết'!AO100</f>
        <v/>
      </c>
      <c r="AS538" s="389" t="str">
        <f t="shared" si="467"/>
        <v/>
      </c>
      <c r="AT538" s="389" t="str">
        <f t="shared" si="32"/>
        <v/>
      </c>
      <c r="AU538" s="389" t="str">
        <f t="shared" si="33"/>
        <v/>
      </c>
      <c r="AV538" s="389" t="str">
        <f t="shared" si="34"/>
        <v/>
      </c>
      <c r="AW538" s="389" t="str">
        <f t="shared" si="35"/>
        <v/>
      </c>
      <c r="AX538" s="67" t="str">
        <f t="shared" ref="AX538:BH538" si="553">Z538</f>
        <v/>
      </c>
      <c r="AY538" s="67" t="str">
        <f t="shared" si="553"/>
        <v/>
      </c>
      <c r="AZ538" s="67" t="str">
        <f t="shared" si="553"/>
        <v/>
      </c>
      <c r="BA538" s="67" t="str">
        <f t="shared" si="553"/>
        <v/>
      </c>
      <c r="BB538" s="398" t="str">
        <f t="shared" si="553"/>
        <v/>
      </c>
      <c r="BC538" s="358" t="str">
        <f t="shared" si="553"/>
        <v/>
      </c>
      <c r="BD538" s="187" t="str">
        <f t="shared" si="553"/>
        <v/>
      </c>
      <c r="BE538" s="104" t="str">
        <f t="shared" si="553"/>
        <v/>
      </c>
      <c r="BF538" s="389" t="str">
        <f t="shared" si="553"/>
        <v/>
      </c>
      <c r="BG538" s="389" t="str">
        <f t="shared" si="553"/>
        <v>🔵 Chưa có hạn</v>
      </c>
      <c r="BH538" s="67" t="str">
        <f t="shared" si="553"/>
        <v/>
      </c>
      <c r="BI538" s="389" t="str">
        <f t="array" ref="BI538">IF($X538="","",SWITCH($W538,3,IFERROR(INDEX('Lớp 3 - Công việc chính'!$AF$14:$AF$73,MATCH($X538,'Lớp 3 - Công việc chính'!$I$14:$I$73,0)),""),4,IFERROR(INDEX('Lớp 4 - Danh mục'!$AI$14:$AI$132,MATCH($X538,'Lớp 4 - Danh mục'!$I$14:$I$132,0)),""),5,IFERROR(INDEX('Lớp 5 - Phân công'!$AJ$14:$AJ$262,MATCH($X538,'Lớp 5 - Phân công'!$I$14:$I$262,0)),""),6,IFERROR(INDEX('Lớp 6 - Chi tiết'!$AM$14:$AM$267,MATCH($X538,'Lớp 6 - Chi tiết'!$I$14:$I$267,0)),""),""))</f>
        <v/>
      </c>
      <c r="BJ538" s="389" t="str">
        <f t="array" ref="BJ538">IF($X538="","",SWITCH($W538,3,IFERROR(INDEX('Lớp 3 - Công việc chính'!$AR$14:$AR$73,MATCH($X538,'Lớp 3 - Công việc chính'!$I$14:$I$73,0)),""),4,IFERROR(INDEX('Lớp 4 - Danh mục'!$AU$14:$AU$132,MATCH($X538,'Lớp 4 - Danh mục'!$I$14:$I$132,0)),""),5,IFERROR(INDEX('Lớp 5 - Phân công'!$AV$14:$AV$262,MATCH($X538,'Lớp 5 - Phân công'!$I$14:$I$262,0)),""),6,IFERROR(INDEX('Lớp 6 - Chi tiết'!$AY$14:$AY$267,MATCH($X538,'Lớp 6 - Chi tiết'!$I$14:$I$267,0)),""),""))</f>
        <v/>
      </c>
    </row>
    <row r="539" ht="15.75" customHeight="1">
      <c r="A539" s="294" t="str">
        <f t="shared" si="12"/>
        <v/>
      </c>
      <c r="B539" s="301" t="str">
        <f t="shared" si="13"/>
        <v/>
      </c>
      <c r="C539" s="301" t="str">
        <f t="shared" si="14"/>
        <v/>
      </c>
      <c r="D539" s="301" t="str">
        <f t="shared" si="15"/>
        <v/>
      </c>
      <c r="E539" s="301" t="str">
        <f t="shared" si="16"/>
        <v/>
      </c>
      <c r="F539" s="317" t="str">
        <f t="shared" si="17"/>
        <v/>
      </c>
      <c r="G539" s="323" t="str">
        <f t="shared" si="18"/>
        <v/>
      </c>
      <c r="H539" s="327" t="str">
        <f t="shared" si="19"/>
        <v/>
      </c>
      <c r="I539" s="327" t="str">
        <f t="shared" si="20"/>
        <v/>
      </c>
      <c r="J539" s="301" t="str">
        <f t="shared" si="21"/>
        <v/>
      </c>
      <c r="K539" s="301" t="str">
        <f t="shared" si="22"/>
        <v/>
      </c>
      <c r="L539" s="344" t="str">
        <f t="array" ref="L539">IF($T539="","",LET(m,MATCH($T539,$AS$24:$AS$700,0),lvl,INDEX($W$24:$W$700,m),id,INDEX($X$24:$X$700,m),SWITCH(lvl,3,"Lớp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39" s="351" t="str">
        <f t="shared" si="23"/>
        <v/>
      </c>
      <c r="N539" s="356" t="str">
        <f t="shared" si="24"/>
        <v/>
      </c>
      <c r="O539" s="358"/>
      <c r="P539" s="360"/>
      <c r="Q539" s="360"/>
      <c r="R539" s="67"/>
      <c r="S539" s="67"/>
      <c r="T539" s="67"/>
      <c r="U539" s="389" t="str">
        <f>IF('Lớp 6 - Chi tiết'!I101="","",'Lớp 6 - Chi tiết'!L101&amp;"|"&amp;'Lớp 6 - Chi tiết'!K101&amp;"|"&amp;'Lớp 6 - Chi tiết'!J101&amp;"|"&amp;'Lớp 6 - Chi tiết'!I101)</f>
        <v/>
      </c>
      <c r="V539" s="389" t="str">
        <f>IF('Lớp 6 - Chi tiết'!I101="","","           └─ "&amp;'Lớp 6 - Chi tiết'!S101)</f>
        <v/>
      </c>
      <c r="W539" s="389" t="str">
        <f>IF('Lớp 6 - Chi tiết'!I101="","",6)</f>
        <v/>
      </c>
      <c r="X539" s="67" t="str">
        <f>'Lớp 6 - Chi tiết'!I101</f>
        <v/>
      </c>
      <c r="Y539" s="389" t="str">
        <f>'Lớp 6 - Chi tiết'!J101</f>
        <v/>
      </c>
      <c r="Z539" s="67" t="str">
        <f>'Lớp 6 - Chi tiết'!AC101</f>
        <v/>
      </c>
      <c r="AA539" s="67" t="str">
        <f>'Lớp 6 - Chi tiết'!AB101</f>
        <v/>
      </c>
      <c r="AB539" s="67" t="str">
        <f>'Lớp 6 - Chi tiết'!AF101</f>
        <v/>
      </c>
      <c r="AC539" s="67" t="str">
        <f>'Lớp 6 - Chi tiết'!AE101</f>
        <v/>
      </c>
      <c r="AD539" s="398" t="str">
        <f>'Lớp 6 - Chi tiết'!AJ101</f>
        <v/>
      </c>
      <c r="AE539" s="358" t="str">
        <f>'Lớp 6 - Chi tiết'!AH101</f>
        <v/>
      </c>
      <c r="AF539" s="187" t="str">
        <f>'Lớp 6 - Chi tiết'!AK101</f>
        <v/>
      </c>
      <c r="AG539" s="104" t="str">
        <f>'Lớp 6 - Chi tiết'!AL101</f>
        <v/>
      </c>
      <c r="AH539" s="389" t="str">
        <f t="shared" si="27"/>
        <v/>
      </c>
      <c r="AI539" s="389" t="str">
        <f t="shared" si="37"/>
        <v>🔵 Chưa có hạn</v>
      </c>
      <c r="AJ539" s="67" t="str">
        <f>'Lớp 6 - Chi tiết'!AO101</f>
        <v/>
      </c>
      <c r="AS539" s="389" t="str">
        <f t="shared" si="467"/>
        <v/>
      </c>
      <c r="AT539" s="389" t="str">
        <f t="shared" si="32"/>
        <v/>
      </c>
      <c r="AU539" s="389" t="str">
        <f t="shared" si="33"/>
        <v/>
      </c>
      <c r="AV539" s="389" t="str">
        <f t="shared" si="34"/>
        <v/>
      </c>
      <c r="AW539" s="389" t="str">
        <f t="shared" si="35"/>
        <v/>
      </c>
      <c r="AX539" s="67" t="str">
        <f t="shared" ref="AX539:BH539" si="554">Z539</f>
        <v/>
      </c>
      <c r="AY539" s="67" t="str">
        <f t="shared" si="554"/>
        <v/>
      </c>
      <c r="AZ539" s="67" t="str">
        <f t="shared" si="554"/>
        <v/>
      </c>
      <c r="BA539" s="67" t="str">
        <f t="shared" si="554"/>
        <v/>
      </c>
      <c r="BB539" s="398" t="str">
        <f t="shared" si="554"/>
        <v/>
      </c>
      <c r="BC539" s="358" t="str">
        <f t="shared" si="554"/>
        <v/>
      </c>
      <c r="BD539" s="187" t="str">
        <f t="shared" si="554"/>
        <v/>
      </c>
      <c r="BE539" s="104" t="str">
        <f t="shared" si="554"/>
        <v/>
      </c>
      <c r="BF539" s="389" t="str">
        <f t="shared" si="554"/>
        <v/>
      </c>
      <c r="BG539" s="389" t="str">
        <f t="shared" si="554"/>
        <v>🔵 Chưa có hạn</v>
      </c>
      <c r="BH539" s="67" t="str">
        <f t="shared" si="554"/>
        <v/>
      </c>
      <c r="BI539" s="389" t="str">
        <f t="array" ref="BI539">IF($X539="","",SWITCH($W539,3,IFERROR(INDEX('Lớp 3 - Công việc chính'!$AF$14:$AF$73,MATCH($X539,'Lớp 3 - Công việc chính'!$I$14:$I$73,0)),""),4,IFERROR(INDEX('Lớp 4 - Danh mục'!$AI$14:$AI$132,MATCH($X539,'Lớp 4 - Danh mục'!$I$14:$I$132,0)),""),5,IFERROR(INDEX('Lớp 5 - Phân công'!$AJ$14:$AJ$262,MATCH($X539,'Lớp 5 - Phân công'!$I$14:$I$262,0)),""),6,IFERROR(INDEX('Lớp 6 - Chi tiết'!$AM$14:$AM$267,MATCH($X539,'Lớp 6 - Chi tiết'!$I$14:$I$267,0)),""),""))</f>
        <v/>
      </c>
      <c r="BJ539" s="389" t="str">
        <f t="array" ref="BJ539">IF($X539="","",SWITCH($W539,3,IFERROR(INDEX('Lớp 3 - Công việc chính'!$AR$14:$AR$73,MATCH($X539,'Lớp 3 - Công việc chính'!$I$14:$I$73,0)),""),4,IFERROR(INDEX('Lớp 4 - Danh mục'!$AU$14:$AU$132,MATCH($X539,'Lớp 4 - Danh mục'!$I$14:$I$132,0)),""),5,IFERROR(INDEX('Lớp 5 - Phân công'!$AV$14:$AV$262,MATCH($X539,'Lớp 5 - Phân công'!$I$14:$I$262,0)),""),6,IFERROR(INDEX('Lớp 6 - Chi tiết'!$AY$14:$AY$267,MATCH($X539,'Lớp 6 - Chi tiết'!$I$14:$I$267,0)),""),""))</f>
        <v/>
      </c>
    </row>
    <row r="540" ht="15.75" customHeight="1">
      <c r="A540" s="294" t="str">
        <f t="shared" si="12"/>
        <v/>
      </c>
      <c r="B540" s="301" t="str">
        <f t="shared" si="13"/>
        <v/>
      </c>
      <c r="C540" s="301" t="str">
        <f t="shared" si="14"/>
        <v/>
      </c>
      <c r="D540" s="301" t="str">
        <f t="shared" si="15"/>
        <v/>
      </c>
      <c r="E540" s="301" t="str">
        <f t="shared" si="16"/>
        <v/>
      </c>
      <c r="F540" s="317" t="str">
        <f t="shared" si="17"/>
        <v/>
      </c>
      <c r="G540" s="323" t="str">
        <f t="shared" si="18"/>
        <v/>
      </c>
      <c r="H540" s="327" t="str">
        <f t="shared" si="19"/>
        <v/>
      </c>
      <c r="I540" s="327" t="str">
        <f t="shared" si="20"/>
        <v/>
      </c>
      <c r="J540" s="301" t="str">
        <f t="shared" si="21"/>
        <v/>
      </c>
      <c r="K540" s="301" t="str">
        <f t="shared" si="22"/>
        <v/>
      </c>
      <c r="L540" s="344" t="str">
        <f t="array" ref="L540">IF($T540="","",LET(m,MATCH($T540,$AS$24:$AS$700,0),lvl,INDEX($W$24:$W$700,m),id,INDEX($X$24:$X$700,m),SWITCH(lvl,3,"Lớp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0" s="351" t="str">
        <f t="shared" si="23"/>
        <v/>
      </c>
      <c r="N540" s="356" t="str">
        <f t="shared" si="24"/>
        <v/>
      </c>
      <c r="O540" s="358"/>
      <c r="P540" s="360"/>
      <c r="Q540" s="360"/>
      <c r="R540" s="67"/>
      <c r="S540" s="67"/>
      <c r="T540" s="67"/>
      <c r="U540" s="389" t="str">
        <f>IF('Lớp 6 - Chi tiết'!I102="","",'Lớp 6 - Chi tiết'!L102&amp;"|"&amp;'Lớp 6 - Chi tiết'!K102&amp;"|"&amp;'Lớp 6 - Chi tiết'!J102&amp;"|"&amp;'Lớp 6 - Chi tiết'!I102)</f>
        <v/>
      </c>
      <c r="V540" s="389" t="str">
        <f>IF('Lớp 6 - Chi tiết'!I102="","","           └─ "&amp;'Lớp 6 - Chi tiết'!S102)</f>
        <v/>
      </c>
      <c r="W540" s="389" t="str">
        <f>IF('Lớp 6 - Chi tiết'!I102="","",6)</f>
        <v/>
      </c>
      <c r="X540" s="67" t="str">
        <f>'Lớp 6 - Chi tiết'!I102</f>
        <v/>
      </c>
      <c r="Y540" s="389" t="str">
        <f>'Lớp 6 - Chi tiết'!J102</f>
        <v/>
      </c>
      <c r="Z540" s="67" t="str">
        <f>'Lớp 6 - Chi tiết'!AC102</f>
        <v/>
      </c>
      <c r="AA540" s="67" t="str">
        <f>'Lớp 6 - Chi tiết'!AB102</f>
        <v/>
      </c>
      <c r="AB540" s="67" t="str">
        <f>'Lớp 6 - Chi tiết'!AF102</f>
        <v/>
      </c>
      <c r="AC540" s="67" t="str">
        <f>'Lớp 6 - Chi tiết'!AE102</f>
        <v/>
      </c>
      <c r="AD540" s="398" t="str">
        <f>'Lớp 6 - Chi tiết'!AJ102</f>
        <v/>
      </c>
      <c r="AE540" s="358" t="str">
        <f>'Lớp 6 - Chi tiết'!AH102</f>
        <v/>
      </c>
      <c r="AF540" s="187" t="str">
        <f>'Lớp 6 - Chi tiết'!AK102</f>
        <v/>
      </c>
      <c r="AG540" s="104" t="str">
        <f>'Lớp 6 - Chi tiết'!AL102</f>
        <v/>
      </c>
      <c r="AH540" s="389" t="str">
        <f t="shared" si="27"/>
        <v/>
      </c>
      <c r="AI540" s="389" t="str">
        <f t="shared" si="37"/>
        <v>🔵 Chưa có hạn</v>
      </c>
      <c r="AJ540" s="67" t="str">
        <f>'Lớp 6 - Chi tiết'!AO102</f>
        <v/>
      </c>
      <c r="AS540" s="389" t="str">
        <f t="shared" si="467"/>
        <v/>
      </c>
      <c r="AT540" s="389" t="str">
        <f t="shared" si="32"/>
        <v/>
      </c>
      <c r="AU540" s="389" t="str">
        <f t="shared" si="33"/>
        <v/>
      </c>
      <c r="AV540" s="389" t="str">
        <f t="shared" si="34"/>
        <v/>
      </c>
      <c r="AW540" s="389" t="str">
        <f t="shared" si="35"/>
        <v/>
      </c>
      <c r="AX540" s="67" t="str">
        <f t="shared" ref="AX540:BH540" si="555">Z540</f>
        <v/>
      </c>
      <c r="AY540" s="67" t="str">
        <f t="shared" si="555"/>
        <v/>
      </c>
      <c r="AZ540" s="67" t="str">
        <f t="shared" si="555"/>
        <v/>
      </c>
      <c r="BA540" s="67" t="str">
        <f t="shared" si="555"/>
        <v/>
      </c>
      <c r="BB540" s="398" t="str">
        <f t="shared" si="555"/>
        <v/>
      </c>
      <c r="BC540" s="358" t="str">
        <f t="shared" si="555"/>
        <v/>
      </c>
      <c r="BD540" s="187" t="str">
        <f t="shared" si="555"/>
        <v/>
      </c>
      <c r="BE540" s="104" t="str">
        <f t="shared" si="555"/>
        <v/>
      </c>
      <c r="BF540" s="389" t="str">
        <f t="shared" si="555"/>
        <v/>
      </c>
      <c r="BG540" s="389" t="str">
        <f t="shared" si="555"/>
        <v>🔵 Chưa có hạn</v>
      </c>
      <c r="BH540" s="67" t="str">
        <f t="shared" si="555"/>
        <v/>
      </c>
      <c r="BI540" s="389" t="str">
        <f t="array" ref="BI540">IF($X540="","",SWITCH($W540,3,IFERROR(INDEX('Lớp 3 - Công việc chính'!$AF$14:$AF$73,MATCH($X540,'Lớp 3 - Công việc chính'!$I$14:$I$73,0)),""),4,IFERROR(INDEX('Lớp 4 - Danh mục'!$AI$14:$AI$132,MATCH($X540,'Lớp 4 - Danh mục'!$I$14:$I$132,0)),""),5,IFERROR(INDEX('Lớp 5 - Phân công'!$AJ$14:$AJ$262,MATCH($X540,'Lớp 5 - Phân công'!$I$14:$I$262,0)),""),6,IFERROR(INDEX('Lớp 6 - Chi tiết'!$AM$14:$AM$267,MATCH($X540,'Lớp 6 - Chi tiết'!$I$14:$I$267,0)),""),""))</f>
        <v/>
      </c>
      <c r="BJ540" s="389" t="str">
        <f t="array" ref="BJ540">IF($X540="","",SWITCH($W540,3,IFERROR(INDEX('Lớp 3 - Công việc chính'!$AR$14:$AR$73,MATCH($X540,'Lớp 3 - Công việc chính'!$I$14:$I$73,0)),""),4,IFERROR(INDEX('Lớp 4 - Danh mục'!$AU$14:$AU$132,MATCH($X540,'Lớp 4 - Danh mục'!$I$14:$I$132,0)),""),5,IFERROR(INDEX('Lớp 5 - Phân công'!$AV$14:$AV$262,MATCH($X540,'Lớp 5 - Phân công'!$I$14:$I$262,0)),""),6,IFERROR(INDEX('Lớp 6 - Chi tiết'!$AY$14:$AY$267,MATCH($X540,'Lớp 6 - Chi tiết'!$I$14:$I$267,0)),""),""))</f>
        <v/>
      </c>
    </row>
    <row r="541" ht="15.75" customHeight="1">
      <c r="A541" s="294" t="str">
        <f t="shared" si="12"/>
        <v/>
      </c>
      <c r="B541" s="301" t="str">
        <f t="shared" si="13"/>
        <v/>
      </c>
      <c r="C541" s="301" t="str">
        <f t="shared" si="14"/>
        <v/>
      </c>
      <c r="D541" s="301" t="str">
        <f t="shared" si="15"/>
        <v/>
      </c>
      <c r="E541" s="301" t="str">
        <f t="shared" si="16"/>
        <v/>
      </c>
      <c r="F541" s="317" t="str">
        <f t="shared" si="17"/>
        <v/>
      </c>
      <c r="G541" s="323" t="str">
        <f t="shared" si="18"/>
        <v/>
      </c>
      <c r="H541" s="327" t="str">
        <f t="shared" si="19"/>
        <v/>
      </c>
      <c r="I541" s="327" t="str">
        <f t="shared" si="20"/>
        <v/>
      </c>
      <c r="J541" s="301" t="str">
        <f t="shared" si="21"/>
        <v/>
      </c>
      <c r="K541" s="301" t="str">
        <f t="shared" si="22"/>
        <v/>
      </c>
      <c r="L541" s="344" t="str">
        <f t="array" ref="L541">IF($T541="","",LET(m,MATCH($T541,$AS$24:$AS$700,0),lvl,INDEX($W$24:$W$700,m),id,INDEX($X$24:$X$700,m),SWITCH(lvl,3,"Lớp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1" s="351" t="str">
        <f t="shared" si="23"/>
        <v/>
      </c>
      <c r="N541" s="356" t="str">
        <f t="shared" si="24"/>
        <v/>
      </c>
      <c r="O541" s="358"/>
      <c r="P541" s="360"/>
      <c r="Q541" s="360"/>
      <c r="R541" s="67"/>
      <c r="S541" s="67"/>
      <c r="T541" s="67"/>
      <c r="U541" s="389" t="str">
        <f>IF('Lớp 6 - Chi tiết'!I103="","",'Lớp 6 - Chi tiết'!L103&amp;"|"&amp;'Lớp 6 - Chi tiết'!K103&amp;"|"&amp;'Lớp 6 - Chi tiết'!J103&amp;"|"&amp;'Lớp 6 - Chi tiết'!I103)</f>
        <v/>
      </c>
      <c r="V541" s="389" t="str">
        <f>IF('Lớp 6 - Chi tiết'!I103="","","           └─ "&amp;'Lớp 6 - Chi tiết'!S103)</f>
        <v/>
      </c>
      <c r="W541" s="389" t="str">
        <f>IF('Lớp 6 - Chi tiết'!I103="","",6)</f>
        <v/>
      </c>
      <c r="X541" s="67" t="str">
        <f>'Lớp 6 - Chi tiết'!I103</f>
        <v/>
      </c>
      <c r="Y541" s="389" t="str">
        <f>'Lớp 6 - Chi tiết'!J103</f>
        <v/>
      </c>
      <c r="Z541" s="67" t="str">
        <f>'Lớp 6 - Chi tiết'!AC103</f>
        <v/>
      </c>
      <c r="AA541" s="67" t="str">
        <f>'Lớp 6 - Chi tiết'!AB103</f>
        <v/>
      </c>
      <c r="AB541" s="67" t="str">
        <f>'Lớp 6 - Chi tiết'!AF103</f>
        <v/>
      </c>
      <c r="AC541" s="67" t="str">
        <f>'Lớp 6 - Chi tiết'!AE103</f>
        <v/>
      </c>
      <c r="AD541" s="398" t="str">
        <f>'Lớp 6 - Chi tiết'!AJ103</f>
        <v/>
      </c>
      <c r="AE541" s="358" t="str">
        <f>'Lớp 6 - Chi tiết'!AH103</f>
        <v/>
      </c>
      <c r="AF541" s="187" t="str">
        <f>'Lớp 6 - Chi tiết'!AK103</f>
        <v/>
      </c>
      <c r="AG541" s="104" t="str">
        <f>'Lớp 6 - Chi tiết'!AL103</f>
        <v/>
      </c>
      <c r="AH541" s="389" t="str">
        <f t="shared" si="27"/>
        <v/>
      </c>
      <c r="AI541" s="389" t="str">
        <f t="shared" si="37"/>
        <v>🔵 Chưa có hạn</v>
      </c>
      <c r="AJ541" s="67" t="str">
        <f>'Lớp 6 - Chi tiết'!AO103</f>
        <v/>
      </c>
      <c r="AS541" s="389" t="str">
        <f t="shared" si="467"/>
        <v/>
      </c>
      <c r="AT541" s="389" t="str">
        <f t="shared" si="32"/>
        <v/>
      </c>
      <c r="AU541" s="389" t="str">
        <f t="shared" si="33"/>
        <v/>
      </c>
      <c r="AV541" s="389" t="str">
        <f t="shared" si="34"/>
        <v/>
      </c>
      <c r="AW541" s="389" t="str">
        <f t="shared" si="35"/>
        <v/>
      </c>
      <c r="AX541" s="67" t="str">
        <f t="shared" ref="AX541:BH541" si="556">Z541</f>
        <v/>
      </c>
      <c r="AY541" s="67" t="str">
        <f t="shared" si="556"/>
        <v/>
      </c>
      <c r="AZ541" s="67" t="str">
        <f t="shared" si="556"/>
        <v/>
      </c>
      <c r="BA541" s="67" t="str">
        <f t="shared" si="556"/>
        <v/>
      </c>
      <c r="BB541" s="398" t="str">
        <f t="shared" si="556"/>
        <v/>
      </c>
      <c r="BC541" s="358" t="str">
        <f t="shared" si="556"/>
        <v/>
      </c>
      <c r="BD541" s="187" t="str">
        <f t="shared" si="556"/>
        <v/>
      </c>
      <c r="BE541" s="104" t="str">
        <f t="shared" si="556"/>
        <v/>
      </c>
      <c r="BF541" s="389" t="str">
        <f t="shared" si="556"/>
        <v/>
      </c>
      <c r="BG541" s="389" t="str">
        <f t="shared" si="556"/>
        <v>🔵 Chưa có hạn</v>
      </c>
      <c r="BH541" s="67" t="str">
        <f t="shared" si="556"/>
        <v/>
      </c>
      <c r="BI541" s="389" t="str">
        <f t="array" ref="BI541">IF($X541="","",SWITCH($W541,3,IFERROR(INDEX('Lớp 3 - Công việc chính'!$AF$14:$AF$73,MATCH($X541,'Lớp 3 - Công việc chính'!$I$14:$I$73,0)),""),4,IFERROR(INDEX('Lớp 4 - Danh mục'!$AI$14:$AI$132,MATCH($X541,'Lớp 4 - Danh mục'!$I$14:$I$132,0)),""),5,IFERROR(INDEX('Lớp 5 - Phân công'!$AJ$14:$AJ$262,MATCH($X541,'Lớp 5 - Phân công'!$I$14:$I$262,0)),""),6,IFERROR(INDEX('Lớp 6 - Chi tiết'!$AM$14:$AM$267,MATCH($X541,'Lớp 6 - Chi tiết'!$I$14:$I$267,0)),""),""))</f>
        <v/>
      </c>
      <c r="BJ541" s="389" t="str">
        <f t="array" ref="BJ541">IF($X541="","",SWITCH($W541,3,IFERROR(INDEX('Lớp 3 - Công việc chính'!$AR$14:$AR$73,MATCH($X541,'Lớp 3 - Công việc chính'!$I$14:$I$73,0)),""),4,IFERROR(INDEX('Lớp 4 - Danh mục'!$AU$14:$AU$132,MATCH($X541,'Lớp 4 - Danh mục'!$I$14:$I$132,0)),""),5,IFERROR(INDEX('Lớp 5 - Phân công'!$AV$14:$AV$262,MATCH($X541,'Lớp 5 - Phân công'!$I$14:$I$262,0)),""),6,IFERROR(INDEX('Lớp 6 - Chi tiết'!$AY$14:$AY$267,MATCH($X541,'Lớp 6 - Chi tiết'!$I$14:$I$267,0)),""),""))</f>
        <v/>
      </c>
    </row>
    <row r="542" ht="15.75" customHeight="1">
      <c r="A542" s="294" t="str">
        <f t="shared" si="12"/>
        <v/>
      </c>
      <c r="B542" s="301" t="str">
        <f t="shared" si="13"/>
        <v/>
      </c>
      <c r="C542" s="301" t="str">
        <f t="shared" si="14"/>
        <v/>
      </c>
      <c r="D542" s="301" t="str">
        <f t="shared" si="15"/>
        <v/>
      </c>
      <c r="E542" s="301" t="str">
        <f t="shared" si="16"/>
        <v/>
      </c>
      <c r="F542" s="317" t="str">
        <f t="shared" si="17"/>
        <v/>
      </c>
      <c r="G542" s="323" t="str">
        <f t="shared" si="18"/>
        <v/>
      </c>
      <c r="H542" s="327" t="str">
        <f t="shared" si="19"/>
        <v/>
      </c>
      <c r="I542" s="327" t="str">
        <f t="shared" si="20"/>
        <v/>
      </c>
      <c r="J542" s="301" t="str">
        <f t="shared" si="21"/>
        <v/>
      </c>
      <c r="K542" s="301" t="str">
        <f t="shared" si="22"/>
        <v/>
      </c>
      <c r="L542" s="344" t="str">
        <f t="array" ref="L542">IF($T542="","",LET(m,MATCH($T542,$AS$24:$AS$700,0),lvl,INDEX($W$24:$W$700,m),id,INDEX($X$24:$X$700,m),SWITCH(lvl,3,"Lớp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2" s="351" t="str">
        <f t="shared" si="23"/>
        <v/>
      </c>
      <c r="N542" s="356" t="str">
        <f t="shared" si="24"/>
        <v/>
      </c>
      <c r="O542" s="358"/>
      <c r="P542" s="360"/>
      <c r="Q542" s="360"/>
      <c r="R542" s="67"/>
      <c r="S542" s="67"/>
      <c r="T542" s="67"/>
      <c r="U542" s="389" t="str">
        <f>IF('Lớp 6 - Chi tiết'!I104="","",'Lớp 6 - Chi tiết'!L104&amp;"|"&amp;'Lớp 6 - Chi tiết'!K104&amp;"|"&amp;'Lớp 6 - Chi tiết'!J104&amp;"|"&amp;'Lớp 6 - Chi tiết'!I104)</f>
        <v/>
      </c>
      <c r="V542" s="389" t="str">
        <f>IF('Lớp 6 - Chi tiết'!I104="","","           └─ "&amp;'Lớp 6 - Chi tiết'!S104)</f>
        <v/>
      </c>
      <c r="W542" s="389" t="str">
        <f>IF('Lớp 6 - Chi tiết'!I104="","",6)</f>
        <v/>
      </c>
      <c r="X542" s="67" t="str">
        <f>'Lớp 6 - Chi tiết'!I104</f>
        <v/>
      </c>
      <c r="Y542" s="389" t="str">
        <f>'Lớp 6 - Chi tiết'!J104</f>
        <v/>
      </c>
      <c r="Z542" s="67" t="str">
        <f>'Lớp 6 - Chi tiết'!AC104</f>
        <v/>
      </c>
      <c r="AA542" s="67" t="str">
        <f>'Lớp 6 - Chi tiết'!AB104</f>
        <v/>
      </c>
      <c r="AB542" s="67" t="str">
        <f>'Lớp 6 - Chi tiết'!AF104</f>
        <v/>
      </c>
      <c r="AC542" s="67" t="str">
        <f>'Lớp 6 - Chi tiết'!AE104</f>
        <v/>
      </c>
      <c r="AD542" s="398" t="str">
        <f>'Lớp 6 - Chi tiết'!AJ104</f>
        <v/>
      </c>
      <c r="AE542" s="358" t="str">
        <f>'Lớp 6 - Chi tiết'!AH104</f>
        <v/>
      </c>
      <c r="AF542" s="187" t="str">
        <f>'Lớp 6 - Chi tiết'!AK104</f>
        <v/>
      </c>
      <c r="AG542" s="104" t="str">
        <f>'Lớp 6 - Chi tiết'!AL104</f>
        <v/>
      </c>
      <c r="AH542" s="389" t="str">
        <f t="shared" si="27"/>
        <v/>
      </c>
      <c r="AI542" s="389" t="str">
        <f t="shared" si="37"/>
        <v>🔵 Chưa có hạn</v>
      </c>
      <c r="AJ542" s="67" t="str">
        <f>'Lớp 6 - Chi tiết'!AO104</f>
        <v/>
      </c>
      <c r="AS542" s="389" t="str">
        <f t="shared" si="467"/>
        <v/>
      </c>
      <c r="AT542" s="389" t="str">
        <f t="shared" si="32"/>
        <v/>
      </c>
      <c r="AU542" s="389" t="str">
        <f t="shared" si="33"/>
        <v/>
      </c>
      <c r="AV542" s="389" t="str">
        <f t="shared" si="34"/>
        <v/>
      </c>
      <c r="AW542" s="389" t="str">
        <f t="shared" si="35"/>
        <v/>
      </c>
      <c r="AX542" s="67" t="str">
        <f t="shared" ref="AX542:BH542" si="557">Z542</f>
        <v/>
      </c>
      <c r="AY542" s="67" t="str">
        <f t="shared" si="557"/>
        <v/>
      </c>
      <c r="AZ542" s="67" t="str">
        <f t="shared" si="557"/>
        <v/>
      </c>
      <c r="BA542" s="67" t="str">
        <f t="shared" si="557"/>
        <v/>
      </c>
      <c r="BB542" s="398" t="str">
        <f t="shared" si="557"/>
        <v/>
      </c>
      <c r="BC542" s="358" t="str">
        <f t="shared" si="557"/>
        <v/>
      </c>
      <c r="BD542" s="187" t="str">
        <f t="shared" si="557"/>
        <v/>
      </c>
      <c r="BE542" s="104" t="str">
        <f t="shared" si="557"/>
        <v/>
      </c>
      <c r="BF542" s="389" t="str">
        <f t="shared" si="557"/>
        <v/>
      </c>
      <c r="BG542" s="389" t="str">
        <f t="shared" si="557"/>
        <v>🔵 Chưa có hạn</v>
      </c>
      <c r="BH542" s="67" t="str">
        <f t="shared" si="557"/>
        <v/>
      </c>
      <c r="BI542" s="389" t="str">
        <f t="array" ref="BI542">IF($X542="","",SWITCH($W542,3,IFERROR(INDEX('Lớp 3 - Công việc chính'!$AF$14:$AF$73,MATCH($X542,'Lớp 3 - Công việc chính'!$I$14:$I$73,0)),""),4,IFERROR(INDEX('Lớp 4 - Danh mục'!$AI$14:$AI$132,MATCH($X542,'Lớp 4 - Danh mục'!$I$14:$I$132,0)),""),5,IFERROR(INDEX('Lớp 5 - Phân công'!$AJ$14:$AJ$262,MATCH($X542,'Lớp 5 - Phân công'!$I$14:$I$262,0)),""),6,IFERROR(INDEX('Lớp 6 - Chi tiết'!$AM$14:$AM$267,MATCH($X542,'Lớp 6 - Chi tiết'!$I$14:$I$267,0)),""),""))</f>
        <v/>
      </c>
      <c r="BJ542" s="389" t="str">
        <f t="array" ref="BJ542">IF($X542="","",SWITCH($W542,3,IFERROR(INDEX('Lớp 3 - Công việc chính'!$AR$14:$AR$73,MATCH($X542,'Lớp 3 - Công việc chính'!$I$14:$I$73,0)),""),4,IFERROR(INDEX('Lớp 4 - Danh mục'!$AU$14:$AU$132,MATCH($X542,'Lớp 4 - Danh mục'!$I$14:$I$132,0)),""),5,IFERROR(INDEX('Lớp 5 - Phân công'!$AV$14:$AV$262,MATCH($X542,'Lớp 5 - Phân công'!$I$14:$I$262,0)),""),6,IFERROR(INDEX('Lớp 6 - Chi tiết'!$AY$14:$AY$267,MATCH($X542,'Lớp 6 - Chi tiết'!$I$14:$I$267,0)),""),""))</f>
        <v/>
      </c>
    </row>
    <row r="543" ht="15.75" customHeight="1">
      <c r="A543" s="294" t="str">
        <f t="shared" si="12"/>
        <v/>
      </c>
      <c r="B543" s="301" t="str">
        <f t="shared" si="13"/>
        <v/>
      </c>
      <c r="C543" s="301" t="str">
        <f t="shared" si="14"/>
        <v/>
      </c>
      <c r="D543" s="301" t="str">
        <f t="shared" si="15"/>
        <v/>
      </c>
      <c r="E543" s="301" t="str">
        <f t="shared" si="16"/>
        <v/>
      </c>
      <c r="F543" s="317" t="str">
        <f t="shared" si="17"/>
        <v/>
      </c>
      <c r="G543" s="323" t="str">
        <f t="shared" si="18"/>
        <v/>
      </c>
      <c r="H543" s="327" t="str">
        <f t="shared" si="19"/>
        <v/>
      </c>
      <c r="I543" s="327" t="str">
        <f t="shared" si="20"/>
        <v/>
      </c>
      <c r="J543" s="301" t="str">
        <f t="shared" si="21"/>
        <v/>
      </c>
      <c r="K543" s="301" t="str">
        <f t="shared" si="22"/>
        <v/>
      </c>
      <c r="L543" s="344" t="str">
        <f t="array" ref="L543">IF($T543="","",LET(m,MATCH($T543,$AS$24:$AS$700,0),lvl,INDEX($W$24:$W$700,m),id,INDEX($X$24:$X$700,m),SWITCH(lvl,3,"Lớp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3" s="351" t="str">
        <f t="shared" si="23"/>
        <v/>
      </c>
      <c r="N543" s="356" t="str">
        <f t="shared" si="24"/>
        <v/>
      </c>
      <c r="O543" s="358"/>
      <c r="P543" s="360"/>
      <c r="Q543" s="360"/>
      <c r="R543" s="67"/>
      <c r="S543" s="67"/>
      <c r="T543" s="67"/>
      <c r="U543" s="389" t="str">
        <f>IF('Lớp 6 - Chi tiết'!I105="","",'Lớp 6 - Chi tiết'!L105&amp;"|"&amp;'Lớp 6 - Chi tiết'!K105&amp;"|"&amp;'Lớp 6 - Chi tiết'!J105&amp;"|"&amp;'Lớp 6 - Chi tiết'!I105)</f>
        <v/>
      </c>
      <c r="V543" s="389" t="str">
        <f>IF('Lớp 6 - Chi tiết'!I105="","","           └─ "&amp;'Lớp 6 - Chi tiết'!S105)</f>
        <v/>
      </c>
      <c r="W543" s="389" t="str">
        <f>IF('Lớp 6 - Chi tiết'!I105="","",6)</f>
        <v/>
      </c>
      <c r="X543" s="67" t="str">
        <f>'Lớp 6 - Chi tiết'!I105</f>
        <v/>
      </c>
      <c r="Y543" s="389" t="str">
        <f>'Lớp 6 - Chi tiết'!J105</f>
        <v/>
      </c>
      <c r="Z543" s="67" t="str">
        <f>'Lớp 6 - Chi tiết'!AC105</f>
        <v/>
      </c>
      <c r="AA543" s="67" t="str">
        <f>'Lớp 6 - Chi tiết'!AB105</f>
        <v/>
      </c>
      <c r="AB543" s="67" t="str">
        <f>'Lớp 6 - Chi tiết'!AF105</f>
        <v/>
      </c>
      <c r="AC543" s="67" t="str">
        <f>'Lớp 6 - Chi tiết'!AE105</f>
        <v/>
      </c>
      <c r="AD543" s="398" t="str">
        <f>'Lớp 6 - Chi tiết'!AJ105</f>
        <v/>
      </c>
      <c r="AE543" s="358" t="str">
        <f>'Lớp 6 - Chi tiết'!AH105</f>
        <v/>
      </c>
      <c r="AF543" s="187" t="str">
        <f>'Lớp 6 - Chi tiết'!AK105</f>
        <v/>
      </c>
      <c r="AG543" s="104" t="str">
        <f>'Lớp 6 - Chi tiết'!AL105</f>
        <v/>
      </c>
      <c r="AH543" s="389" t="str">
        <f t="shared" si="27"/>
        <v/>
      </c>
      <c r="AI543" s="389" t="str">
        <f t="shared" si="37"/>
        <v>🔵 Chưa có hạn</v>
      </c>
      <c r="AJ543" s="67" t="str">
        <f>'Lớp 6 - Chi tiết'!AO105</f>
        <v/>
      </c>
      <c r="AS543" s="389" t="str">
        <f t="shared" si="467"/>
        <v/>
      </c>
      <c r="AT543" s="389" t="str">
        <f t="shared" si="32"/>
        <v/>
      </c>
      <c r="AU543" s="389" t="str">
        <f t="shared" si="33"/>
        <v/>
      </c>
      <c r="AV543" s="389" t="str">
        <f t="shared" si="34"/>
        <v/>
      </c>
      <c r="AW543" s="389" t="str">
        <f t="shared" si="35"/>
        <v/>
      </c>
      <c r="AX543" s="67" t="str">
        <f t="shared" ref="AX543:BH543" si="558">Z543</f>
        <v/>
      </c>
      <c r="AY543" s="67" t="str">
        <f t="shared" si="558"/>
        <v/>
      </c>
      <c r="AZ543" s="67" t="str">
        <f t="shared" si="558"/>
        <v/>
      </c>
      <c r="BA543" s="67" t="str">
        <f t="shared" si="558"/>
        <v/>
      </c>
      <c r="BB543" s="398" t="str">
        <f t="shared" si="558"/>
        <v/>
      </c>
      <c r="BC543" s="358" t="str">
        <f t="shared" si="558"/>
        <v/>
      </c>
      <c r="BD543" s="187" t="str">
        <f t="shared" si="558"/>
        <v/>
      </c>
      <c r="BE543" s="104" t="str">
        <f t="shared" si="558"/>
        <v/>
      </c>
      <c r="BF543" s="389" t="str">
        <f t="shared" si="558"/>
        <v/>
      </c>
      <c r="BG543" s="389" t="str">
        <f t="shared" si="558"/>
        <v>🔵 Chưa có hạn</v>
      </c>
      <c r="BH543" s="67" t="str">
        <f t="shared" si="558"/>
        <v/>
      </c>
      <c r="BI543" s="389" t="str">
        <f t="array" ref="BI543">IF($X543="","",SWITCH($W543,3,IFERROR(INDEX('Lớp 3 - Công việc chính'!$AF$14:$AF$73,MATCH($X543,'Lớp 3 - Công việc chính'!$I$14:$I$73,0)),""),4,IFERROR(INDEX('Lớp 4 - Danh mục'!$AI$14:$AI$132,MATCH($X543,'Lớp 4 - Danh mục'!$I$14:$I$132,0)),""),5,IFERROR(INDEX('Lớp 5 - Phân công'!$AJ$14:$AJ$262,MATCH($X543,'Lớp 5 - Phân công'!$I$14:$I$262,0)),""),6,IFERROR(INDEX('Lớp 6 - Chi tiết'!$AM$14:$AM$267,MATCH($X543,'Lớp 6 - Chi tiết'!$I$14:$I$267,0)),""),""))</f>
        <v/>
      </c>
      <c r="BJ543" s="389" t="str">
        <f t="array" ref="BJ543">IF($X543="","",SWITCH($W543,3,IFERROR(INDEX('Lớp 3 - Công việc chính'!$AR$14:$AR$73,MATCH($X543,'Lớp 3 - Công việc chính'!$I$14:$I$73,0)),""),4,IFERROR(INDEX('Lớp 4 - Danh mục'!$AU$14:$AU$132,MATCH($X543,'Lớp 4 - Danh mục'!$I$14:$I$132,0)),""),5,IFERROR(INDEX('Lớp 5 - Phân công'!$AV$14:$AV$262,MATCH($X543,'Lớp 5 - Phân công'!$I$14:$I$262,0)),""),6,IFERROR(INDEX('Lớp 6 - Chi tiết'!$AY$14:$AY$267,MATCH($X543,'Lớp 6 - Chi tiết'!$I$14:$I$267,0)),""),""))</f>
        <v/>
      </c>
    </row>
    <row r="544" ht="15.75" customHeight="1">
      <c r="A544" s="294" t="str">
        <f t="shared" si="12"/>
        <v/>
      </c>
      <c r="B544" s="301" t="str">
        <f t="shared" si="13"/>
        <v/>
      </c>
      <c r="C544" s="301" t="str">
        <f t="shared" si="14"/>
        <v/>
      </c>
      <c r="D544" s="301" t="str">
        <f t="shared" si="15"/>
        <v/>
      </c>
      <c r="E544" s="301" t="str">
        <f t="shared" si="16"/>
        <v/>
      </c>
      <c r="F544" s="317" t="str">
        <f t="shared" si="17"/>
        <v/>
      </c>
      <c r="G544" s="323" t="str">
        <f t="shared" si="18"/>
        <v/>
      </c>
      <c r="H544" s="327" t="str">
        <f t="shared" si="19"/>
        <v/>
      </c>
      <c r="I544" s="327" t="str">
        <f t="shared" si="20"/>
        <v/>
      </c>
      <c r="J544" s="301" t="str">
        <f t="shared" si="21"/>
        <v/>
      </c>
      <c r="K544" s="301" t="str">
        <f t="shared" si="22"/>
        <v/>
      </c>
      <c r="L544" s="344" t="str">
        <f t="array" ref="L544">IF($T544="","",LET(m,MATCH($T544,$AS$24:$AS$700,0),lvl,INDEX($W$24:$W$700,m),id,INDEX($X$24:$X$700,m),SWITCH(lvl,3,"Lớp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4" s="351" t="str">
        <f t="shared" si="23"/>
        <v/>
      </c>
      <c r="N544" s="356" t="str">
        <f t="shared" si="24"/>
        <v/>
      </c>
      <c r="O544" s="358"/>
      <c r="P544" s="360"/>
      <c r="Q544" s="360"/>
      <c r="R544" s="67"/>
      <c r="S544" s="67"/>
      <c r="T544" s="67"/>
      <c r="U544" s="389" t="str">
        <f>IF('Lớp 6 - Chi tiết'!I106="","",'Lớp 6 - Chi tiết'!L106&amp;"|"&amp;'Lớp 6 - Chi tiết'!K106&amp;"|"&amp;'Lớp 6 - Chi tiết'!J106&amp;"|"&amp;'Lớp 6 - Chi tiết'!I106)</f>
        <v/>
      </c>
      <c r="V544" s="389" t="str">
        <f>IF('Lớp 6 - Chi tiết'!I106="","","           └─ "&amp;'Lớp 6 - Chi tiết'!S106)</f>
        <v/>
      </c>
      <c r="W544" s="389" t="str">
        <f>IF('Lớp 6 - Chi tiết'!I106="","",6)</f>
        <v/>
      </c>
      <c r="X544" s="67" t="str">
        <f>'Lớp 6 - Chi tiết'!I106</f>
        <v/>
      </c>
      <c r="Y544" s="389" t="str">
        <f>'Lớp 6 - Chi tiết'!J106</f>
        <v/>
      </c>
      <c r="Z544" s="67" t="str">
        <f>'Lớp 6 - Chi tiết'!AC106</f>
        <v/>
      </c>
      <c r="AA544" s="67" t="str">
        <f>'Lớp 6 - Chi tiết'!AB106</f>
        <v/>
      </c>
      <c r="AB544" s="67" t="str">
        <f>'Lớp 6 - Chi tiết'!AF106</f>
        <v/>
      </c>
      <c r="AC544" s="67" t="str">
        <f>'Lớp 6 - Chi tiết'!AE106</f>
        <v/>
      </c>
      <c r="AD544" s="398" t="str">
        <f>'Lớp 6 - Chi tiết'!AJ106</f>
        <v/>
      </c>
      <c r="AE544" s="358" t="str">
        <f>'Lớp 6 - Chi tiết'!AH106</f>
        <v/>
      </c>
      <c r="AF544" s="187" t="str">
        <f>'Lớp 6 - Chi tiết'!AK106</f>
        <v/>
      </c>
      <c r="AG544" s="104" t="str">
        <f>'Lớp 6 - Chi tiết'!AL106</f>
        <v/>
      </c>
      <c r="AH544" s="389" t="str">
        <f t="shared" si="27"/>
        <v/>
      </c>
      <c r="AI544" s="389" t="str">
        <f t="shared" si="37"/>
        <v>🔵 Chưa có hạn</v>
      </c>
      <c r="AJ544" s="67" t="str">
        <f>'Lớp 6 - Chi tiết'!AO106</f>
        <v/>
      </c>
      <c r="AS544" s="389" t="str">
        <f t="shared" si="467"/>
        <v/>
      </c>
      <c r="AT544" s="389" t="str">
        <f t="shared" si="32"/>
        <v/>
      </c>
      <c r="AU544" s="389" t="str">
        <f t="shared" si="33"/>
        <v/>
      </c>
      <c r="AV544" s="389" t="str">
        <f t="shared" si="34"/>
        <v/>
      </c>
      <c r="AW544" s="389" t="str">
        <f t="shared" si="35"/>
        <v/>
      </c>
      <c r="AX544" s="67" t="str">
        <f t="shared" ref="AX544:BH544" si="559">Z544</f>
        <v/>
      </c>
      <c r="AY544" s="67" t="str">
        <f t="shared" si="559"/>
        <v/>
      </c>
      <c r="AZ544" s="67" t="str">
        <f t="shared" si="559"/>
        <v/>
      </c>
      <c r="BA544" s="67" t="str">
        <f t="shared" si="559"/>
        <v/>
      </c>
      <c r="BB544" s="398" t="str">
        <f t="shared" si="559"/>
        <v/>
      </c>
      <c r="BC544" s="358" t="str">
        <f t="shared" si="559"/>
        <v/>
      </c>
      <c r="BD544" s="187" t="str">
        <f t="shared" si="559"/>
        <v/>
      </c>
      <c r="BE544" s="104" t="str">
        <f t="shared" si="559"/>
        <v/>
      </c>
      <c r="BF544" s="389" t="str">
        <f t="shared" si="559"/>
        <v/>
      </c>
      <c r="BG544" s="389" t="str">
        <f t="shared" si="559"/>
        <v>🔵 Chưa có hạn</v>
      </c>
      <c r="BH544" s="67" t="str">
        <f t="shared" si="559"/>
        <v/>
      </c>
      <c r="BI544" s="389" t="str">
        <f t="array" ref="BI544">IF($X544="","",SWITCH($W544,3,IFERROR(INDEX('Lớp 3 - Công việc chính'!$AF$14:$AF$73,MATCH($X544,'Lớp 3 - Công việc chính'!$I$14:$I$73,0)),""),4,IFERROR(INDEX('Lớp 4 - Danh mục'!$AI$14:$AI$132,MATCH($X544,'Lớp 4 - Danh mục'!$I$14:$I$132,0)),""),5,IFERROR(INDEX('Lớp 5 - Phân công'!$AJ$14:$AJ$262,MATCH($X544,'Lớp 5 - Phân công'!$I$14:$I$262,0)),""),6,IFERROR(INDEX('Lớp 6 - Chi tiết'!$AM$14:$AM$267,MATCH($X544,'Lớp 6 - Chi tiết'!$I$14:$I$267,0)),""),""))</f>
        <v/>
      </c>
      <c r="BJ544" s="389" t="str">
        <f t="array" ref="BJ544">IF($X544="","",SWITCH($W544,3,IFERROR(INDEX('Lớp 3 - Công việc chính'!$AR$14:$AR$73,MATCH($X544,'Lớp 3 - Công việc chính'!$I$14:$I$73,0)),""),4,IFERROR(INDEX('Lớp 4 - Danh mục'!$AU$14:$AU$132,MATCH($X544,'Lớp 4 - Danh mục'!$I$14:$I$132,0)),""),5,IFERROR(INDEX('Lớp 5 - Phân công'!$AV$14:$AV$262,MATCH($X544,'Lớp 5 - Phân công'!$I$14:$I$262,0)),""),6,IFERROR(INDEX('Lớp 6 - Chi tiết'!$AY$14:$AY$267,MATCH($X544,'Lớp 6 - Chi tiết'!$I$14:$I$267,0)),""),""))</f>
        <v/>
      </c>
    </row>
    <row r="545" ht="15.75" customHeight="1">
      <c r="A545" s="294" t="str">
        <f t="shared" si="12"/>
        <v/>
      </c>
      <c r="B545" s="301" t="str">
        <f t="shared" si="13"/>
        <v/>
      </c>
      <c r="C545" s="301" t="str">
        <f t="shared" si="14"/>
        <v/>
      </c>
      <c r="D545" s="301" t="str">
        <f t="shared" si="15"/>
        <v/>
      </c>
      <c r="E545" s="301" t="str">
        <f t="shared" si="16"/>
        <v/>
      </c>
      <c r="F545" s="317" t="str">
        <f t="shared" si="17"/>
        <v/>
      </c>
      <c r="G545" s="323" t="str">
        <f t="shared" si="18"/>
        <v/>
      </c>
      <c r="H545" s="327" t="str">
        <f t="shared" si="19"/>
        <v/>
      </c>
      <c r="I545" s="327" t="str">
        <f t="shared" si="20"/>
        <v/>
      </c>
      <c r="J545" s="301" t="str">
        <f t="shared" si="21"/>
        <v/>
      </c>
      <c r="K545" s="301" t="str">
        <f t="shared" si="22"/>
        <v/>
      </c>
      <c r="L545" s="344" t="str">
        <f t="array" ref="L545">IF($T545="","",LET(m,MATCH($T545,$AS$24:$AS$700,0),lvl,INDEX($W$24:$W$700,m),id,INDEX($X$24:$X$700,m),SWITCH(lvl,3,"Lớp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5" s="351" t="str">
        <f t="shared" si="23"/>
        <v/>
      </c>
      <c r="N545" s="356" t="str">
        <f t="shared" si="24"/>
        <v/>
      </c>
      <c r="O545" s="358"/>
      <c r="P545" s="360"/>
      <c r="Q545" s="360"/>
      <c r="R545" s="67"/>
      <c r="S545" s="67"/>
      <c r="T545" s="67"/>
      <c r="U545" s="389" t="str">
        <f>IF('Lớp 6 - Chi tiết'!I107="","",'Lớp 6 - Chi tiết'!L107&amp;"|"&amp;'Lớp 6 - Chi tiết'!K107&amp;"|"&amp;'Lớp 6 - Chi tiết'!J107&amp;"|"&amp;'Lớp 6 - Chi tiết'!I107)</f>
        <v/>
      </c>
      <c r="V545" s="389" t="str">
        <f>IF('Lớp 6 - Chi tiết'!I107="","","           └─ "&amp;'Lớp 6 - Chi tiết'!S107)</f>
        <v/>
      </c>
      <c r="W545" s="389" t="str">
        <f>IF('Lớp 6 - Chi tiết'!I107="","",6)</f>
        <v/>
      </c>
      <c r="X545" s="67" t="str">
        <f>'Lớp 6 - Chi tiết'!I107</f>
        <v/>
      </c>
      <c r="Y545" s="389" t="str">
        <f>'Lớp 6 - Chi tiết'!J107</f>
        <v/>
      </c>
      <c r="Z545" s="67" t="str">
        <f>'Lớp 6 - Chi tiết'!AC107</f>
        <v/>
      </c>
      <c r="AA545" s="67" t="str">
        <f>'Lớp 6 - Chi tiết'!AB107</f>
        <v/>
      </c>
      <c r="AB545" s="67" t="str">
        <f>'Lớp 6 - Chi tiết'!AF107</f>
        <v/>
      </c>
      <c r="AC545" s="67" t="str">
        <f>'Lớp 6 - Chi tiết'!AE107</f>
        <v/>
      </c>
      <c r="AD545" s="398" t="str">
        <f>'Lớp 6 - Chi tiết'!AJ107</f>
        <v/>
      </c>
      <c r="AE545" s="358" t="str">
        <f>'Lớp 6 - Chi tiết'!AH107</f>
        <v/>
      </c>
      <c r="AF545" s="187" t="str">
        <f>'Lớp 6 - Chi tiết'!AK107</f>
        <v/>
      </c>
      <c r="AG545" s="104" t="str">
        <f>'Lớp 6 - Chi tiết'!AL107</f>
        <v/>
      </c>
      <c r="AH545" s="389" t="str">
        <f t="shared" si="27"/>
        <v/>
      </c>
      <c r="AI545" s="389" t="str">
        <f t="shared" si="37"/>
        <v>🔵 Chưa có hạn</v>
      </c>
      <c r="AJ545" s="67" t="str">
        <f>'Lớp 6 - Chi tiết'!AO107</f>
        <v/>
      </c>
      <c r="AS545" s="389" t="str">
        <f t="shared" si="467"/>
        <v/>
      </c>
      <c r="AT545" s="389" t="str">
        <f t="shared" si="32"/>
        <v/>
      </c>
      <c r="AU545" s="389" t="str">
        <f t="shared" si="33"/>
        <v/>
      </c>
      <c r="AV545" s="389" t="str">
        <f t="shared" si="34"/>
        <v/>
      </c>
      <c r="AW545" s="389" t="str">
        <f t="shared" si="35"/>
        <v/>
      </c>
      <c r="AX545" s="67" t="str">
        <f t="shared" ref="AX545:BH545" si="560">Z545</f>
        <v/>
      </c>
      <c r="AY545" s="67" t="str">
        <f t="shared" si="560"/>
        <v/>
      </c>
      <c r="AZ545" s="67" t="str">
        <f t="shared" si="560"/>
        <v/>
      </c>
      <c r="BA545" s="67" t="str">
        <f t="shared" si="560"/>
        <v/>
      </c>
      <c r="BB545" s="398" t="str">
        <f t="shared" si="560"/>
        <v/>
      </c>
      <c r="BC545" s="358" t="str">
        <f t="shared" si="560"/>
        <v/>
      </c>
      <c r="BD545" s="187" t="str">
        <f t="shared" si="560"/>
        <v/>
      </c>
      <c r="BE545" s="104" t="str">
        <f t="shared" si="560"/>
        <v/>
      </c>
      <c r="BF545" s="389" t="str">
        <f t="shared" si="560"/>
        <v/>
      </c>
      <c r="BG545" s="389" t="str">
        <f t="shared" si="560"/>
        <v>🔵 Chưa có hạn</v>
      </c>
      <c r="BH545" s="67" t="str">
        <f t="shared" si="560"/>
        <v/>
      </c>
      <c r="BI545" s="389" t="str">
        <f t="array" ref="BI545">IF($X545="","",SWITCH($W545,3,IFERROR(INDEX('Lớp 3 - Công việc chính'!$AF$14:$AF$73,MATCH($X545,'Lớp 3 - Công việc chính'!$I$14:$I$73,0)),""),4,IFERROR(INDEX('Lớp 4 - Danh mục'!$AI$14:$AI$132,MATCH($X545,'Lớp 4 - Danh mục'!$I$14:$I$132,0)),""),5,IFERROR(INDEX('Lớp 5 - Phân công'!$AJ$14:$AJ$262,MATCH($X545,'Lớp 5 - Phân công'!$I$14:$I$262,0)),""),6,IFERROR(INDEX('Lớp 6 - Chi tiết'!$AM$14:$AM$267,MATCH($X545,'Lớp 6 - Chi tiết'!$I$14:$I$267,0)),""),""))</f>
        <v/>
      </c>
      <c r="BJ545" s="389" t="str">
        <f t="array" ref="BJ545">IF($X545="","",SWITCH($W545,3,IFERROR(INDEX('Lớp 3 - Công việc chính'!$AR$14:$AR$73,MATCH($X545,'Lớp 3 - Công việc chính'!$I$14:$I$73,0)),""),4,IFERROR(INDEX('Lớp 4 - Danh mục'!$AU$14:$AU$132,MATCH($X545,'Lớp 4 - Danh mục'!$I$14:$I$132,0)),""),5,IFERROR(INDEX('Lớp 5 - Phân công'!$AV$14:$AV$262,MATCH($X545,'Lớp 5 - Phân công'!$I$14:$I$262,0)),""),6,IFERROR(INDEX('Lớp 6 - Chi tiết'!$AY$14:$AY$267,MATCH($X545,'Lớp 6 - Chi tiết'!$I$14:$I$267,0)),""),""))</f>
        <v/>
      </c>
    </row>
    <row r="546" ht="15.75" customHeight="1">
      <c r="A546" s="294" t="str">
        <f t="shared" si="12"/>
        <v/>
      </c>
      <c r="B546" s="301" t="str">
        <f t="shared" si="13"/>
        <v/>
      </c>
      <c r="C546" s="301" t="str">
        <f t="shared" si="14"/>
        <v/>
      </c>
      <c r="D546" s="301" t="str">
        <f t="shared" si="15"/>
        <v/>
      </c>
      <c r="E546" s="301" t="str">
        <f t="shared" si="16"/>
        <v/>
      </c>
      <c r="F546" s="317" t="str">
        <f t="shared" si="17"/>
        <v/>
      </c>
      <c r="G546" s="323" t="str">
        <f t="shared" si="18"/>
        <v/>
      </c>
      <c r="H546" s="327" t="str">
        <f t="shared" si="19"/>
        <v/>
      </c>
      <c r="I546" s="327" t="str">
        <f t="shared" si="20"/>
        <v/>
      </c>
      <c r="J546" s="301" t="str">
        <f t="shared" si="21"/>
        <v/>
      </c>
      <c r="K546" s="301" t="str">
        <f t="shared" si="22"/>
        <v/>
      </c>
      <c r="L546" s="344" t="str">
        <f t="array" ref="L546">IF($T546="","",LET(m,MATCH($T546,$AS$24:$AS$700,0),lvl,INDEX($W$24:$W$700,m),id,INDEX($X$24:$X$700,m),SWITCH(lvl,3,"Lớp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6" s="351" t="str">
        <f t="shared" si="23"/>
        <v/>
      </c>
      <c r="N546" s="356" t="str">
        <f t="shared" si="24"/>
        <v/>
      </c>
      <c r="O546" s="358"/>
      <c r="P546" s="360"/>
      <c r="Q546" s="360"/>
      <c r="R546" s="67"/>
      <c r="S546" s="67"/>
      <c r="T546" s="67"/>
      <c r="U546" s="389" t="str">
        <f>IF('Lớp 6 - Chi tiết'!I108="","",'Lớp 6 - Chi tiết'!L108&amp;"|"&amp;'Lớp 6 - Chi tiết'!K108&amp;"|"&amp;'Lớp 6 - Chi tiết'!J108&amp;"|"&amp;'Lớp 6 - Chi tiết'!I108)</f>
        <v/>
      </c>
      <c r="V546" s="389" t="str">
        <f>IF('Lớp 6 - Chi tiết'!I108="","","           └─ "&amp;'Lớp 6 - Chi tiết'!S108)</f>
        <v/>
      </c>
      <c r="W546" s="389" t="str">
        <f>IF('Lớp 6 - Chi tiết'!I108="","",6)</f>
        <v/>
      </c>
      <c r="X546" s="67" t="str">
        <f>'Lớp 6 - Chi tiết'!I108</f>
        <v/>
      </c>
      <c r="Y546" s="389" t="str">
        <f>'Lớp 6 - Chi tiết'!J108</f>
        <v/>
      </c>
      <c r="Z546" s="67" t="str">
        <f>'Lớp 6 - Chi tiết'!AC108</f>
        <v/>
      </c>
      <c r="AA546" s="67" t="str">
        <f>'Lớp 6 - Chi tiết'!AB108</f>
        <v/>
      </c>
      <c r="AB546" s="67" t="str">
        <f>'Lớp 6 - Chi tiết'!AF108</f>
        <v/>
      </c>
      <c r="AC546" s="67" t="str">
        <f>'Lớp 6 - Chi tiết'!AE108</f>
        <v/>
      </c>
      <c r="AD546" s="398" t="str">
        <f>'Lớp 6 - Chi tiết'!AJ108</f>
        <v/>
      </c>
      <c r="AE546" s="358" t="str">
        <f>'Lớp 6 - Chi tiết'!AH108</f>
        <v/>
      </c>
      <c r="AF546" s="187" t="str">
        <f>'Lớp 6 - Chi tiết'!AK108</f>
        <v/>
      </c>
      <c r="AG546" s="104" t="str">
        <f>'Lớp 6 - Chi tiết'!AL108</f>
        <v/>
      </c>
      <c r="AH546" s="389" t="str">
        <f t="shared" si="27"/>
        <v/>
      </c>
      <c r="AI546" s="389" t="str">
        <f t="shared" si="37"/>
        <v>🔵 Chưa có hạn</v>
      </c>
      <c r="AJ546" s="67" t="str">
        <f>'Lớp 6 - Chi tiết'!AO108</f>
        <v/>
      </c>
      <c r="AS546" s="389" t="str">
        <f t="shared" si="467"/>
        <v/>
      </c>
      <c r="AT546" s="389" t="str">
        <f t="shared" si="32"/>
        <v/>
      </c>
      <c r="AU546" s="389" t="str">
        <f t="shared" si="33"/>
        <v/>
      </c>
      <c r="AV546" s="389" t="str">
        <f t="shared" si="34"/>
        <v/>
      </c>
      <c r="AW546" s="389" t="str">
        <f t="shared" si="35"/>
        <v/>
      </c>
      <c r="AX546" s="67" t="str">
        <f t="shared" ref="AX546:BH546" si="561">Z546</f>
        <v/>
      </c>
      <c r="AY546" s="67" t="str">
        <f t="shared" si="561"/>
        <v/>
      </c>
      <c r="AZ546" s="67" t="str">
        <f t="shared" si="561"/>
        <v/>
      </c>
      <c r="BA546" s="67" t="str">
        <f t="shared" si="561"/>
        <v/>
      </c>
      <c r="BB546" s="398" t="str">
        <f t="shared" si="561"/>
        <v/>
      </c>
      <c r="BC546" s="358" t="str">
        <f t="shared" si="561"/>
        <v/>
      </c>
      <c r="BD546" s="187" t="str">
        <f t="shared" si="561"/>
        <v/>
      </c>
      <c r="BE546" s="104" t="str">
        <f t="shared" si="561"/>
        <v/>
      </c>
      <c r="BF546" s="389" t="str">
        <f t="shared" si="561"/>
        <v/>
      </c>
      <c r="BG546" s="389" t="str">
        <f t="shared" si="561"/>
        <v>🔵 Chưa có hạn</v>
      </c>
      <c r="BH546" s="67" t="str">
        <f t="shared" si="561"/>
        <v/>
      </c>
      <c r="BI546" s="389" t="str">
        <f t="array" ref="BI546">IF($X546="","",SWITCH($W546,3,IFERROR(INDEX('Lớp 3 - Công việc chính'!$AF$14:$AF$73,MATCH($X546,'Lớp 3 - Công việc chính'!$I$14:$I$73,0)),""),4,IFERROR(INDEX('Lớp 4 - Danh mục'!$AI$14:$AI$132,MATCH($X546,'Lớp 4 - Danh mục'!$I$14:$I$132,0)),""),5,IFERROR(INDEX('Lớp 5 - Phân công'!$AJ$14:$AJ$262,MATCH($X546,'Lớp 5 - Phân công'!$I$14:$I$262,0)),""),6,IFERROR(INDEX('Lớp 6 - Chi tiết'!$AM$14:$AM$267,MATCH($X546,'Lớp 6 - Chi tiết'!$I$14:$I$267,0)),""),""))</f>
        <v/>
      </c>
      <c r="BJ546" s="389" t="str">
        <f t="array" ref="BJ546">IF($X546="","",SWITCH($W546,3,IFERROR(INDEX('Lớp 3 - Công việc chính'!$AR$14:$AR$73,MATCH($X546,'Lớp 3 - Công việc chính'!$I$14:$I$73,0)),""),4,IFERROR(INDEX('Lớp 4 - Danh mục'!$AU$14:$AU$132,MATCH($X546,'Lớp 4 - Danh mục'!$I$14:$I$132,0)),""),5,IFERROR(INDEX('Lớp 5 - Phân công'!$AV$14:$AV$262,MATCH($X546,'Lớp 5 - Phân công'!$I$14:$I$262,0)),""),6,IFERROR(INDEX('Lớp 6 - Chi tiết'!$AY$14:$AY$267,MATCH($X546,'Lớp 6 - Chi tiết'!$I$14:$I$267,0)),""),""))</f>
        <v/>
      </c>
    </row>
    <row r="547" ht="15.75" customHeight="1">
      <c r="A547" s="294" t="str">
        <f t="shared" si="12"/>
        <v/>
      </c>
      <c r="B547" s="301" t="str">
        <f t="shared" si="13"/>
        <v/>
      </c>
      <c r="C547" s="301" t="str">
        <f t="shared" si="14"/>
        <v/>
      </c>
      <c r="D547" s="301" t="str">
        <f t="shared" si="15"/>
        <v/>
      </c>
      <c r="E547" s="301" t="str">
        <f t="shared" si="16"/>
        <v/>
      </c>
      <c r="F547" s="317" t="str">
        <f t="shared" si="17"/>
        <v/>
      </c>
      <c r="G547" s="323" t="str">
        <f t="shared" si="18"/>
        <v/>
      </c>
      <c r="H547" s="327" t="str">
        <f t="shared" si="19"/>
        <v/>
      </c>
      <c r="I547" s="327" t="str">
        <f t="shared" si="20"/>
        <v/>
      </c>
      <c r="J547" s="301" t="str">
        <f t="shared" si="21"/>
        <v/>
      </c>
      <c r="K547" s="301" t="str">
        <f t="shared" si="22"/>
        <v/>
      </c>
      <c r="L547" s="344" t="str">
        <f t="array" ref="L547">IF($T547="","",LET(m,MATCH($T547,$AS$24:$AS$700,0),lvl,INDEX($W$24:$W$700,m),id,INDEX($X$24:$X$700,m),SWITCH(lvl,3,"Lớp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7" s="351" t="str">
        <f t="shared" si="23"/>
        <v/>
      </c>
      <c r="N547" s="356" t="str">
        <f t="shared" si="24"/>
        <v/>
      </c>
      <c r="O547" s="358"/>
      <c r="P547" s="360"/>
      <c r="Q547" s="360"/>
      <c r="R547" s="67"/>
      <c r="S547" s="67"/>
      <c r="T547" s="67"/>
      <c r="U547" s="389" t="str">
        <f>IF('Lớp 6 - Chi tiết'!I109="","",'Lớp 6 - Chi tiết'!L109&amp;"|"&amp;'Lớp 6 - Chi tiết'!K109&amp;"|"&amp;'Lớp 6 - Chi tiết'!J109&amp;"|"&amp;'Lớp 6 - Chi tiết'!I109)</f>
        <v/>
      </c>
      <c r="V547" s="389" t="str">
        <f>IF('Lớp 6 - Chi tiết'!I109="","","           └─ "&amp;'Lớp 6 - Chi tiết'!S109)</f>
        <v/>
      </c>
      <c r="W547" s="389" t="str">
        <f>IF('Lớp 6 - Chi tiết'!I109="","",6)</f>
        <v/>
      </c>
      <c r="X547" s="67" t="str">
        <f>'Lớp 6 - Chi tiết'!I109</f>
        <v/>
      </c>
      <c r="Y547" s="389" t="str">
        <f>'Lớp 6 - Chi tiết'!J109</f>
        <v/>
      </c>
      <c r="Z547" s="67" t="str">
        <f>'Lớp 6 - Chi tiết'!AC109</f>
        <v/>
      </c>
      <c r="AA547" s="67" t="str">
        <f>'Lớp 6 - Chi tiết'!AB109</f>
        <v/>
      </c>
      <c r="AB547" s="67" t="str">
        <f>'Lớp 6 - Chi tiết'!AF109</f>
        <v/>
      </c>
      <c r="AC547" s="67" t="str">
        <f>'Lớp 6 - Chi tiết'!AE109</f>
        <v/>
      </c>
      <c r="AD547" s="398" t="str">
        <f>'Lớp 6 - Chi tiết'!AJ109</f>
        <v/>
      </c>
      <c r="AE547" s="358" t="str">
        <f>'Lớp 6 - Chi tiết'!AH109</f>
        <v/>
      </c>
      <c r="AF547" s="187" t="str">
        <f>'Lớp 6 - Chi tiết'!AK109</f>
        <v/>
      </c>
      <c r="AG547" s="104" t="str">
        <f>'Lớp 6 - Chi tiết'!AL109</f>
        <v/>
      </c>
      <c r="AH547" s="389" t="str">
        <f t="shared" si="27"/>
        <v/>
      </c>
      <c r="AI547" s="389" t="str">
        <f t="shared" si="37"/>
        <v>🔵 Chưa có hạn</v>
      </c>
      <c r="AJ547" s="67" t="str">
        <f>'Lớp 6 - Chi tiết'!AO109</f>
        <v/>
      </c>
      <c r="AS547" s="389" t="str">
        <f t="shared" si="467"/>
        <v/>
      </c>
      <c r="AT547" s="389" t="str">
        <f t="shared" si="32"/>
        <v/>
      </c>
      <c r="AU547" s="389" t="str">
        <f t="shared" si="33"/>
        <v/>
      </c>
      <c r="AV547" s="389" t="str">
        <f t="shared" si="34"/>
        <v/>
      </c>
      <c r="AW547" s="389" t="str">
        <f t="shared" si="35"/>
        <v/>
      </c>
      <c r="AX547" s="67" t="str">
        <f t="shared" ref="AX547:BH547" si="562">Z547</f>
        <v/>
      </c>
      <c r="AY547" s="67" t="str">
        <f t="shared" si="562"/>
        <v/>
      </c>
      <c r="AZ547" s="67" t="str">
        <f t="shared" si="562"/>
        <v/>
      </c>
      <c r="BA547" s="67" t="str">
        <f t="shared" si="562"/>
        <v/>
      </c>
      <c r="BB547" s="398" t="str">
        <f t="shared" si="562"/>
        <v/>
      </c>
      <c r="BC547" s="358" t="str">
        <f t="shared" si="562"/>
        <v/>
      </c>
      <c r="BD547" s="187" t="str">
        <f t="shared" si="562"/>
        <v/>
      </c>
      <c r="BE547" s="104" t="str">
        <f t="shared" si="562"/>
        <v/>
      </c>
      <c r="BF547" s="389" t="str">
        <f t="shared" si="562"/>
        <v/>
      </c>
      <c r="BG547" s="389" t="str">
        <f t="shared" si="562"/>
        <v>🔵 Chưa có hạn</v>
      </c>
      <c r="BH547" s="67" t="str">
        <f t="shared" si="562"/>
        <v/>
      </c>
      <c r="BI547" s="389" t="str">
        <f t="array" ref="BI547">IF($X547="","",SWITCH($W547,3,IFERROR(INDEX('Lớp 3 - Công việc chính'!$AF$14:$AF$73,MATCH($X547,'Lớp 3 - Công việc chính'!$I$14:$I$73,0)),""),4,IFERROR(INDEX('Lớp 4 - Danh mục'!$AI$14:$AI$132,MATCH($X547,'Lớp 4 - Danh mục'!$I$14:$I$132,0)),""),5,IFERROR(INDEX('Lớp 5 - Phân công'!$AJ$14:$AJ$262,MATCH($X547,'Lớp 5 - Phân công'!$I$14:$I$262,0)),""),6,IFERROR(INDEX('Lớp 6 - Chi tiết'!$AM$14:$AM$267,MATCH($X547,'Lớp 6 - Chi tiết'!$I$14:$I$267,0)),""),""))</f>
        <v/>
      </c>
      <c r="BJ547" s="389" t="str">
        <f t="array" ref="BJ547">IF($X547="","",SWITCH($W547,3,IFERROR(INDEX('Lớp 3 - Công việc chính'!$AR$14:$AR$73,MATCH($X547,'Lớp 3 - Công việc chính'!$I$14:$I$73,0)),""),4,IFERROR(INDEX('Lớp 4 - Danh mục'!$AU$14:$AU$132,MATCH($X547,'Lớp 4 - Danh mục'!$I$14:$I$132,0)),""),5,IFERROR(INDEX('Lớp 5 - Phân công'!$AV$14:$AV$262,MATCH($X547,'Lớp 5 - Phân công'!$I$14:$I$262,0)),""),6,IFERROR(INDEX('Lớp 6 - Chi tiết'!$AY$14:$AY$267,MATCH($X547,'Lớp 6 - Chi tiết'!$I$14:$I$267,0)),""),""))</f>
        <v/>
      </c>
    </row>
    <row r="548" ht="15.75" customHeight="1">
      <c r="A548" s="294" t="str">
        <f t="shared" si="12"/>
        <v/>
      </c>
      <c r="B548" s="301" t="str">
        <f t="shared" si="13"/>
        <v/>
      </c>
      <c r="C548" s="301" t="str">
        <f t="shared" si="14"/>
        <v/>
      </c>
      <c r="D548" s="301" t="str">
        <f t="shared" si="15"/>
        <v/>
      </c>
      <c r="E548" s="301" t="str">
        <f t="shared" si="16"/>
        <v/>
      </c>
      <c r="F548" s="317" t="str">
        <f t="shared" si="17"/>
        <v/>
      </c>
      <c r="G548" s="323" t="str">
        <f t="shared" si="18"/>
        <v/>
      </c>
      <c r="H548" s="327" t="str">
        <f t="shared" si="19"/>
        <v/>
      </c>
      <c r="I548" s="327" t="str">
        <f t="shared" si="20"/>
        <v/>
      </c>
      <c r="J548" s="301" t="str">
        <f t="shared" si="21"/>
        <v/>
      </c>
      <c r="K548" s="301" t="str">
        <f t="shared" si="22"/>
        <v/>
      </c>
      <c r="L548" s="344" t="str">
        <f t="array" ref="L548">IF($T548="","",LET(m,MATCH($T548,$AS$24:$AS$700,0),lvl,INDEX($W$24:$W$700,m),id,INDEX($X$24:$X$700,m),SWITCH(lvl,3,"Lớp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8" s="351" t="str">
        <f t="shared" si="23"/>
        <v/>
      </c>
      <c r="N548" s="356" t="str">
        <f t="shared" si="24"/>
        <v/>
      </c>
      <c r="O548" s="358"/>
      <c r="P548" s="360"/>
      <c r="Q548" s="360"/>
      <c r="R548" s="67"/>
      <c r="S548" s="67"/>
      <c r="T548" s="67"/>
      <c r="U548" s="389" t="str">
        <f>IF('Lớp 6 - Chi tiết'!I110="","",'Lớp 6 - Chi tiết'!L110&amp;"|"&amp;'Lớp 6 - Chi tiết'!K110&amp;"|"&amp;'Lớp 6 - Chi tiết'!J110&amp;"|"&amp;'Lớp 6 - Chi tiết'!I110)</f>
        <v/>
      </c>
      <c r="V548" s="389" t="str">
        <f>IF('Lớp 6 - Chi tiết'!I110="","","           └─ "&amp;'Lớp 6 - Chi tiết'!S110)</f>
        <v/>
      </c>
      <c r="W548" s="389" t="str">
        <f>IF('Lớp 6 - Chi tiết'!I110="","",6)</f>
        <v/>
      </c>
      <c r="X548" s="67" t="str">
        <f>'Lớp 6 - Chi tiết'!I110</f>
        <v/>
      </c>
      <c r="Y548" s="389" t="str">
        <f>'Lớp 6 - Chi tiết'!J110</f>
        <v/>
      </c>
      <c r="Z548" s="67" t="str">
        <f>'Lớp 6 - Chi tiết'!AC110</f>
        <v/>
      </c>
      <c r="AA548" s="67" t="str">
        <f>'Lớp 6 - Chi tiết'!AB110</f>
        <v/>
      </c>
      <c r="AB548" s="67" t="str">
        <f>'Lớp 6 - Chi tiết'!AF110</f>
        <v/>
      </c>
      <c r="AC548" s="67" t="str">
        <f>'Lớp 6 - Chi tiết'!AE110</f>
        <v/>
      </c>
      <c r="AD548" s="398" t="str">
        <f>'Lớp 6 - Chi tiết'!AJ110</f>
        <v/>
      </c>
      <c r="AE548" s="358" t="str">
        <f>'Lớp 6 - Chi tiết'!AH110</f>
        <v/>
      </c>
      <c r="AF548" s="187" t="str">
        <f>'Lớp 6 - Chi tiết'!AK110</f>
        <v/>
      </c>
      <c r="AG548" s="104" t="str">
        <f>'Lớp 6 - Chi tiết'!AL110</f>
        <v/>
      </c>
      <c r="AH548" s="389" t="str">
        <f t="shared" si="27"/>
        <v/>
      </c>
      <c r="AI548" s="389" t="str">
        <f t="shared" si="37"/>
        <v>🔵 Chưa có hạn</v>
      </c>
      <c r="AJ548" s="67" t="str">
        <f>'Lớp 6 - Chi tiết'!AO110</f>
        <v/>
      </c>
      <c r="AS548" s="389" t="str">
        <f t="shared" si="467"/>
        <v/>
      </c>
      <c r="AT548" s="389" t="str">
        <f t="shared" si="32"/>
        <v/>
      </c>
      <c r="AU548" s="389" t="str">
        <f t="shared" si="33"/>
        <v/>
      </c>
      <c r="AV548" s="389" t="str">
        <f t="shared" si="34"/>
        <v/>
      </c>
      <c r="AW548" s="389" t="str">
        <f t="shared" si="35"/>
        <v/>
      </c>
      <c r="AX548" s="67" t="str">
        <f t="shared" ref="AX548:BH548" si="563">Z548</f>
        <v/>
      </c>
      <c r="AY548" s="67" t="str">
        <f t="shared" si="563"/>
        <v/>
      </c>
      <c r="AZ548" s="67" t="str">
        <f t="shared" si="563"/>
        <v/>
      </c>
      <c r="BA548" s="67" t="str">
        <f t="shared" si="563"/>
        <v/>
      </c>
      <c r="BB548" s="398" t="str">
        <f t="shared" si="563"/>
        <v/>
      </c>
      <c r="BC548" s="358" t="str">
        <f t="shared" si="563"/>
        <v/>
      </c>
      <c r="BD548" s="187" t="str">
        <f t="shared" si="563"/>
        <v/>
      </c>
      <c r="BE548" s="104" t="str">
        <f t="shared" si="563"/>
        <v/>
      </c>
      <c r="BF548" s="389" t="str">
        <f t="shared" si="563"/>
        <v/>
      </c>
      <c r="BG548" s="389" t="str">
        <f t="shared" si="563"/>
        <v>🔵 Chưa có hạn</v>
      </c>
      <c r="BH548" s="67" t="str">
        <f t="shared" si="563"/>
        <v/>
      </c>
      <c r="BI548" s="389" t="str">
        <f t="array" ref="BI548">IF($X548="","",SWITCH($W548,3,IFERROR(INDEX('Lớp 3 - Công việc chính'!$AF$14:$AF$73,MATCH($X548,'Lớp 3 - Công việc chính'!$I$14:$I$73,0)),""),4,IFERROR(INDEX('Lớp 4 - Danh mục'!$AI$14:$AI$132,MATCH($X548,'Lớp 4 - Danh mục'!$I$14:$I$132,0)),""),5,IFERROR(INDEX('Lớp 5 - Phân công'!$AJ$14:$AJ$262,MATCH($X548,'Lớp 5 - Phân công'!$I$14:$I$262,0)),""),6,IFERROR(INDEX('Lớp 6 - Chi tiết'!$AM$14:$AM$267,MATCH($X548,'Lớp 6 - Chi tiết'!$I$14:$I$267,0)),""),""))</f>
        <v/>
      </c>
      <c r="BJ548" s="389" t="str">
        <f t="array" ref="BJ548">IF($X548="","",SWITCH($W548,3,IFERROR(INDEX('Lớp 3 - Công việc chính'!$AR$14:$AR$73,MATCH($X548,'Lớp 3 - Công việc chính'!$I$14:$I$73,0)),""),4,IFERROR(INDEX('Lớp 4 - Danh mục'!$AU$14:$AU$132,MATCH($X548,'Lớp 4 - Danh mục'!$I$14:$I$132,0)),""),5,IFERROR(INDEX('Lớp 5 - Phân công'!$AV$14:$AV$262,MATCH($X548,'Lớp 5 - Phân công'!$I$14:$I$262,0)),""),6,IFERROR(INDEX('Lớp 6 - Chi tiết'!$AY$14:$AY$267,MATCH($X548,'Lớp 6 - Chi tiết'!$I$14:$I$267,0)),""),""))</f>
        <v/>
      </c>
    </row>
    <row r="549" ht="15.75" customHeight="1">
      <c r="A549" s="294" t="str">
        <f t="shared" si="12"/>
        <v/>
      </c>
      <c r="B549" s="301" t="str">
        <f t="shared" si="13"/>
        <v/>
      </c>
      <c r="C549" s="301" t="str">
        <f t="shared" si="14"/>
        <v/>
      </c>
      <c r="D549" s="301" t="str">
        <f t="shared" si="15"/>
        <v/>
      </c>
      <c r="E549" s="301" t="str">
        <f t="shared" si="16"/>
        <v/>
      </c>
      <c r="F549" s="317" t="str">
        <f t="shared" si="17"/>
        <v/>
      </c>
      <c r="G549" s="323" t="str">
        <f t="shared" si="18"/>
        <v/>
      </c>
      <c r="H549" s="327" t="str">
        <f t="shared" si="19"/>
        <v/>
      </c>
      <c r="I549" s="327" t="str">
        <f t="shared" si="20"/>
        <v/>
      </c>
      <c r="J549" s="301" t="str">
        <f t="shared" si="21"/>
        <v/>
      </c>
      <c r="K549" s="301" t="str">
        <f t="shared" si="22"/>
        <v/>
      </c>
      <c r="L549" s="344" t="str">
        <f t="array" ref="L549">IF($T549="","",LET(m,MATCH($T549,$AS$24:$AS$700,0),lvl,INDEX($W$24:$W$700,m),id,INDEX($X$24:$X$700,m),SWITCH(lvl,3,"Lớp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49" s="351" t="str">
        <f t="shared" si="23"/>
        <v/>
      </c>
      <c r="N549" s="356" t="str">
        <f t="shared" si="24"/>
        <v/>
      </c>
      <c r="O549" s="358"/>
      <c r="P549" s="360"/>
      <c r="Q549" s="360"/>
      <c r="R549" s="67"/>
      <c r="S549" s="67"/>
      <c r="T549" s="67"/>
      <c r="U549" s="389" t="str">
        <f>IF('Lớp 6 - Chi tiết'!I111="","",'Lớp 6 - Chi tiết'!L111&amp;"|"&amp;'Lớp 6 - Chi tiết'!K111&amp;"|"&amp;'Lớp 6 - Chi tiết'!J111&amp;"|"&amp;'Lớp 6 - Chi tiết'!I111)</f>
        <v/>
      </c>
      <c r="V549" s="389" t="str">
        <f>IF('Lớp 6 - Chi tiết'!I111="","","           └─ "&amp;'Lớp 6 - Chi tiết'!S111)</f>
        <v/>
      </c>
      <c r="W549" s="389" t="str">
        <f>IF('Lớp 6 - Chi tiết'!I111="","",6)</f>
        <v/>
      </c>
      <c r="X549" s="67" t="str">
        <f>'Lớp 6 - Chi tiết'!I111</f>
        <v/>
      </c>
      <c r="Y549" s="389" t="str">
        <f>'Lớp 6 - Chi tiết'!J111</f>
        <v/>
      </c>
      <c r="Z549" s="67" t="str">
        <f>'Lớp 6 - Chi tiết'!AC111</f>
        <v/>
      </c>
      <c r="AA549" s="67" t="str">
        <f>'Lớp 6 - Chi tiết'!AB111</f>
        <v/>
      </c>
      <c r="AB549" s="67" t="str">
        <f>'Lớp 6 - Chi tiết'!AF111</f>
        <v/>
      </c>
      <c r="AC549" s="67" t="str">
        <f>'Lớp 6 - Chi tiết'!AE111</f>
        <v/>
      </c>
      <c r="AD549" s="398" t="str">
        <f>'Lớp 6 - Chi tiết'!AJ111</f>
        <v/>
      </c>
      <c r="AE549" s="358" t="str">
        <f>'Lớp 6 - Chi tiết'!AH111</f>
        <v/>
      </c>
      <c r="AF549" s="187" t="str">
        <f>'Lớp 6 - Chi tiết'!AK111</f>
        <v/>
      </c>
      <c r="AG549" s="104" t="str">
        <f>'Lớp 6 - Chi tiết'!AL111</f>
        <v/>
      </c>
      <c r="AH549" s="389" t="str">
        <f t="shared" si="27"/>
        <v/>
      </c>
      <c r="AI549" s="389" t="str">
        <f t="shared" si="37"/>
        <v>🔵 Chưa có hạn</v>
      </c>
      <c r="AJ549" s="67" t="str">
        <f>'Lớp 6 - Chi tiết'!AO111</f>
        <v/>
      </c>
      <c r="AS549" s="389" t="str">
        <f t="shared" si="467"/>
        <v/>
      </c>
      <c r="AT549" s="389" t="str">
        <f t="shared" si="32"/>
        <v/>
      </c>
      <c r="AU549" s="389" t="str">
        <f t="shared" si="33"/>
        <v/>
      </c>
      <c r="AV549" s="389" t="str">
        <f t="shared" si="34"/>
        <v/>
      </c>
      <c r="AW549" s="389" t="str">
        <f t="shared" si="35"/>
        <v/>
      </c>
      <c r="AX549" s="67" t="str">
        <f t="shared" ref="AX549:BH549" si="564">Z549</f>
        <v/>
      </c>
      <c r="AY549" s="67" t="str">
        <f t="shared" si="564"/>
        <v/>
      </c>
      <c r="AZ549" s="67" t="str">
        <f t="shared" si="564"/>
        <v/>
      </c>
      <c r="BA549" s="67" t="str">
        <f t="shared" si="564"/>
        <v/>
      </c>
      <c r="BB549" s="398" t="str">
        <f t="shared" si="564"/>
        <v/>
      </c>
      <c r="BC549" s="358" t="str">
        <f t="shared" si="564"/>
        <v/>
      </c>
      <c r="BD549" s="187" t="str">
        <f t="shared" si="564"/>
        <v/>
      </c>
      <c r="BE549" s="104" t="str">
        <f t="shared" si="564"/>
        <v/>
      </c>
      <c r="BF549" s="389" t="str">
        <f t="shared" si="564"/>
        <v/>
      </c>
      <c r="BG549" s="389" t="str">
        <f t="shared" si="564"/>
        <v>🔵 Chưa có hạn</v>
      </c>
      <c r="BH549" s="67" t="str">
        <f t="shared" si="564"/>
        <v/>
      </c>
      <c r="BI549" s="389" t="str">
        <f t="array" ref="BI549">IF($X549="","",SWITCH($W549,3,IFERROR(INDEX('Lớp 3 - Công việc chính'!$AF$14:$AF$73,MATCH($X549,'Lớp 3 - Công việc chính'!$I$14:$I$73,0)),""),4,IFERROR(INDEX('Lớp 4 - Danh mục'!$AI$14:$AI$132,MATCH($X549,'Lớp 4 - Danh mục'!$I$14:$I$132,0)),""),5,IFERROR(INDEX('Lớp 5 - Phân công'!$AJ$14:$AJ$262,MATCH($X549,'Lớp 5 - Phân công'!$I$14:$I$262,0)),""),6,IFERROR(INDEX('Lớp 6 - Chi tiết'!$AM$14:$AM$267,MATCH($X549,'Lớp 6 - Chi tiết'!$I$14:$I$267,0)),""),""))</f>
        <v/>
      </c>
      <c r="BJ549" s="389" t="str">
        <f t="array" ref="BJ549">IF($X549="","",SWITCH($W549,3,IFERROR(INDEX('Lớp 3 - Công việc chính'!$AR$14:$AR$73,MATCH($X549,'Lớp 3 - Công việc chính'!$I$14:$I$73,0)),""),4,IFERROR(INDEX('Lớp 4 - Danh mục'!$AU$14:$AU$132,MATCH($X549,'Lớp 4 - Danh mục'!$I$14:$I$132,0)),""),5,IFERROR(INDEX('Lớp 5 - Phân công'!$AV$14:$AV$262,MATCH($X549,'Lớp 5 - Phân công'!$I$14:$I$262,0)),""),6,IFERROR(INDEX('Lớp 6 - Chi tiết'!$AY$14:$AY$267,MATCH($X549,'Lớp 6 - Chi tiết'!$I$14:$I$267,0)),""),""))</f>
        <v/>
      </c>
    </row>
    <row r="550" ht="15.75" customHeight="1">
      <c r="A550" s="294" t="str">
        <f t="shared" si="12"/>
        <v/>
      </c>
      <c r="B550" s="301" t="str">
        <f t="shared" si="13"/>
        <v/>
      </c>
      <c r="C550" s="301" t="str">
        <f t="shared" si="14"/>
        <v/>
      </c>
      <c r="D550" s="301" t="str">
        <f t="shared" si="15"/>
        <v/>
      </c>
      <c r="E550" s="301" t="str">
        <f t="shared" si="16"/>
        <v/>
      </c>
      <c r="F550" s="317" t="str">
        <f t="shared" si="17"/>
        <v/>
      </c>
      <c r="G550" s="323" t="str">
        <f t="shared" si="18"/>
        <v/>
      </c>
      <c r="H550" s="327" t="str">
        <f t="shared" si="19"/>
        <v/>
      </c>
      <c r="I550" s="327" t="str">
        <f t="shared" si="20"/>
        <v/>
      </c>
      <c r="J550" s="301" t="str">
        <f t="shared" si="21"/>
        <v/>
      </c>
      <c r="K550" s="301" t="str">
        <f t="shared" si="22"/>
        <v/>
      </c>
      <c r="L550" s="344" t="str">
        <f t="array" ref="L550">IF($T550="","",LET(m,MATCH($T550,$AS$24:$AS$700,0),lvl,INDEX($W$24:$W$700,m),id,INDEX($X$24:$X$700,m),SWITCH(lvl,3,"Lớp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0" s="351" t="str">
        <f t="shared" si="23"/>
        <v/>
      </c>
      <c r="N550" s="356" t="str">
        <f t="shared" si="24"/>
        <v/>
      </c>
      <c r="O550" s="358"/>
      <c r="P550" s="360"/>
      <c r="Q550" s="360"/>
      <c r="R550" s="67"/>
      <c r="S550" s="67"/>
      <c r="T550" s="67"/>
      <c r="U550" s="389" t="str">
        <f>IF('Lớp 6 - Chi tiết'!I112="","",'Lớp 6 - Chi tiết'!L112&amp;"|"&amp;'Lớp 6 - Chi tiết'!K112&amp;"|"&amp;'Lớp 6 - Chi tiết'!J112&amp;"|"&amp;'Lớp 6 - Chi tiết'!I112)</f>
        <v/>
      </c>
      <c r="V550" s="389" t="str">
        <f>IF('Lớp 6 - Chi tiết'!I112="","","           └─ "&amp;'Lớp 6 - Chi tiết'!S112)</f>
        <v/>
      </c>
      <c r="W550" s="389" t="str">
        <f>IF('Lớp 6 - Chi tiết'!I112="","",6)</f>
        <v/>
      </c>
      <c r="X550" s="67" t="str">
        <f>'Lớp 6 - Chi tiết'!I112</f>
        <v/>
      </c>
      <c r="Y550" s="389" t="str">
        <f>'Lớp 6 - Chi tiết'!J112</f>
        <v/>
      </c>
      <c r="Z550" s="67" t="str">
        <f>'Lớp 6 - Chi tiết'!AC112</f>
        <v/>
      </c>
      <c r="AA550" s="67" t="str">
        <f>'Lớp 6 - Chi tiết'!AB112</f>
        <v/>
      </c>
      <c r="AB550" s="67" t="str">
        <f>'Lớp 6 - Chi tiết'!AF112</f>
        <v/>
      </c>
      <c r="AC550" s="67" t="str">
        <f>'Lớp 6 - Chi tiết'!AE112</f>
        <v/>
      </c>
      <c r="AD550" s="398" t="str">
        <f>'Lớp 6 - Chi tiết'!AJ112</f>
        <v/>
      </c>
      <c r="AE550" s="358" t="str">
        <f>'Lớp 6 - Chi tiết'!AH112</f>
        <v/>
      </c>
      <c r="AF550" s="187" t="str">
        <f>'Lớp 6 - Chi tiết'!AK112</f>
        <v/>
      </c>
      <c r="AG550" s="104" t="str">
        <f>'Lớp 6 - Chi tiết'!AL112</f>
        <v/>
      </c>
      <c r="AH550" s="389" t="str">
        <f t="shared" si="27"/>
        <v/>
      </c>
      <c r="AI550" s="389" t="str">
        <f t="shared" si="37"/>
        <v>🔵 Chưa có hạn</v>
      </c>
      <c r="AJ550" s="67" t="str">
        <f>'Lớp 6 - Chi tiết'!AO112</f>
        <v/>
      </c>
      <c r="AS550" s="389" t="str">
        <f t="shared" si="467"/>
        <v/>
      </c>
      <c r="AT550" s="389" t="str">
        <f t="shared" si="32"/>
        <v/>
      </c>
      <c r="AU550" s="389" t="str">
        <f t="shared" si="33"/>
        <v/>
      </c>
      <c r="AV550" s="389" t="str">
        <f t="shared" si="34"/>
        <v/>
      </c>
      <c r="AW550" s="389" t="str">
        <f t="shared" si="35"/>
        <v/>
      </c>
      <c r="AX550" s="67" t="str">
        <f t="shared" ref="AX550:BH550" si="565">Z550</f>
        <v/>
      </c>
      <c r="AY550" s="67" t="str">
        <f t="shared" si="565"/>
        <v/>
      </c>
      <c r="AZ550" s="67" t="str">
        <f t="shared" si="565"/>
        <v/>
      </c>
      <c r="BA550" s="67" t="str">
        <f t="shared" si="565"/>
        <v/>
      </c>
      <c r="BB550" s="398" t="str">
        <f t="shared" si="565"/>
        <v/>
      </c>
      <c r="BC550" s="358" t="str">
        <f t="shared" si="565"/>
        <v/>
      </c>
      <c r="BD550" s="187" t="str">
        <f t="shared" si="565"/>
        <v/>
      </c>
      <c r="BE550" s="104" t="str">
        <f t="shared" si="565"/>
        <v/>
      </c>
      <c r="BF550" s="389" t="str">
        <f t="shared" si="565"/>
        <v/>
      </c>
      <c r="BG550" s="389" t="str">
        <f t="shared" si="565"/>
        <v>🔵 Chưa có hạn</v>
      </c>
      <c r="BH550" s="67" t="str">
        <f t="shared" si="565"/>
        <v/>
      </c>
      <c r="BI550" s="389" t="str">
        <f t="array" ref="BI550">IF($X550="","",SWITCH($W550,3,IFERROR(INDEX('Lớp 3 - Công việc chính'!$AF$14:$AF$73,MATCH($X550,'Lớp 3 - Công việc chính'!$I$14:$I$73,0)),""),4,IFERROR(INDEX('Lớp 4 - Danh mục'!$AI$14:$AI$132,MATCH($X550,'Lớp 4 - Danh mục'!$I$14:$I$132,0)),""),5,IFERROR(INDEX('Lớp 5 - Phân công'!$AJ$14:$AJ$262,MATCH($X550,'Lớp 5 - Phân công'!$I$14:$I$262,0)),""),6,IFERROR(INDEX('Lớp 6 - Chi tiết'!$AM$14:$AM$267,MATCH($X550,'Lớp 6 - Chi tiết'!$I$14:$I$267,0)),""),""))</f>
        <v/>
      </c>
      <c r="BJ550" s="389" t="str">
        <f t="array" ref="BJ550">IF($X550="","",SWITCH($W550,3,IFERROR(INDEX('Lớp 3 - Công việc chính'!$AR$14:$AR$73,MATCH($X550,'Lớp 3 - Công việc chính'!$I$14:$I$73,0)),""),4,IFERROR(INDEX('Lớp 4 - Danh mục'!$AU$14:$AU$132,MATCH($X550,'Lớp 4 - Danh mục'!$I$14:$I$132,0)),""),5,IFERROR(INDEX('Lớp 5 - Phân công'!$AV$14:$AV$262,MATCH($X550,'Lớp 5 - Phân công'!$I$14:$I$262,0)),""),6,IFERROR(INDEX('Lớp 6 - Chi tiết'!$AY$14:$AY$267,MATCH($X550,'Lớp 6 - Chi tiết'!$I$14:$I$267,0)),""),""))</f>
        <v/>
      </c>
    </row>
    <row r="551" ht="15.75" customHeight="1">
      <c r="A551" s="294" t="str">
        <f t="shared" si="12"/>
        <v/>
      </c>
      <c r="B551" s="301" t="str">
        <f t="shared" si="13"/>
        <v/>
      </c>
      <c r="C551" s="301" t="str">
        <f t="shared" si="14"/>
        <v/>
      </c>
      <c r="D551" s="301" t="str">
        <f t="shared" si="15"/>
        <v/>
      </c>
      <c r="E551" s="301" t="str">
        <f t="shared" si="16"/>
        <v/>
      </c>
      <c r="F551" s="317" t="str">
        <f t="shared" si="17"/>
        <v/>
      </c>
      <c r="G551" s="323" t="str">
        <f t="shared" si="18"/>
        <v/>
      </c>
      <c r="H551" s="327" t="str">
        <f t="shared" si="19"/>
        <v/>
      </c>
      <c r="I551" s="327" t="str">
        <f t="shared" si="20"/>
        <v/>
      </c>
      <c r="J551" s="301" t="str">
        <f t="shared" si="21"/>
        <v/>
      </c>
      <c r="K551" s="301" t="str">
        <f t="shared" si="22"/>
        <v/>
      </c>
      <c r="L551" s="344" t="str">
        <f t="array" ref="L551">IF($T551="","",LET(m,MATCH($T551,$AS$24:$AS$700,0),lvl,INDEX($W$24:$W$700,m),id,INDEX($X$24:$X$700,m),SWITCH(lvl,3,"Lớp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1" s="351" t="str">
        <f t="shared" si="23"/>
        <v/>
      </c>
      <c r="N551" s="356" t="str">
        <f t="shared" si="24"/>
        <v/>
      </c>
      <c r="O551" s="358"/>
      <c r="P551" s="360"/>
      <c r="Q551" s="360"/>
      <c r="R551" s="67"/>
      <c r="S551" s="67"/>
      <c r="T551" s="67"/>
      <c r="U551" s="389" t="str">
        <f>IF('Lớp 6 - Chi tiết'!I113="","",'Lớp 6 - Chi tiết'!L113&amp;"|"&amp;'Lớp 6 - Chi tiết'!K113&amp;"|"&amp;'Lớp 6 - Chi tiết'!J113&amp;"|"&amp;'Lớp 6 - Chi tiết'!I113)</f>
        <v/>
      </c>
      <c r="V551" s="389" t="str">
        <f>IF('Lớp 6 - Chi tiết'!I113="","","           └─ "&amp;'Lớp 6 - Chi tiết'!S113)</f>
        <v/>
      </c>
      <c r="W551" s="389" t="str">
        <f>IF('Lớp 6 - Chi tiết'!I113="","",6)</f>
        <v/>
      </c>
      <c r="X551" s="67" t="str">
        <f>'Lớp 6 - Chi tiết'!I113</f>
        <v/>
      </c>
      <c r="Y551" s="389" t="str">
        <f>'Lớp 6 - Chi tiết'!J113</f>
        <v/>
      </c>
      <c r="Z551" s="67" t="str">
        <f>'Lớp 6 - Chi tiết'!AC113</f>
        <v/>
      </c>
      <c r="AA551" s="67" t="str">
        <f>'Lớp 6 - Chi tiết'!AB113</f>
        <v/>
      </c>
      <c r="AB551" s="67" t="str">
        <f>'Lớp 6 - Chi tiết'!AF113</f>
        <v/>
      </c>
      <c r="AC551" s="67" t="str">
        <f>'Lớp 6 - Chi tiết'!AE113</f>
        <v/>
      </c>
      <c r="AD551" s="398" t="str">
        <f>'Lớp 6 - Chi tiết'!AJ113</f>
        <v/>
      </c>
      <c r="AE551" s="358" t="str">
        <f>'Lớp 6 - Chi tiết'!AH113</f>
        <v/>
      </c>
      <c r="AF551" s="187" t="str">
        <f>'Lớp 6 - Chi tiết'!AK113</f>
        <v/>
      </c>
      <c r="AG551" s="104" t="str">
        <f>'Lớp 6 - Chi tiết'!AL113</f>
        <v/>
      </c>
      <c r="AH551" s="389" t="str">
        <f t="shared" si="27"/>
        <v/>
      </c>
      <c r="AI551" s="389" t="str">
        <f t="shared" si="37"/>
        <v>🔵 Chưa có hạn</v>
      </c>
      <c r="AJ551" s="67" t="str">
        <f>'Lớp 6 - Chi tiết'!AO113</f>
        <v/>
      </c>
      <c r="AS551" s="389" t="str">
        <f t="shared" si="467"/>
        <v/>
      </c>
      <c r="AT551" s="389" t="str">
        <f t="shared" si="32"/>
        <v/>
      </c>
      <c r="AU551" s="389" t="str">
        <f t="shared" si="33"/>
        <v/>
      </c>
      <c r="AV551" s="389" t="str">
        <f t="shared" si="34"/>
        <v/>
      </c>
      <c r="AW551" s="389" t="str">
        <f t="shared" si="35"/>
        <v/>
      </c>
      <c r="AX551" s="67" t="str">
        <f t="shared" ref="AX551:BH551" si="566">Z551</f>
        <v/>
      </c>
      <c r="AY551" s="67" t="str">
        <f t="shared" si="566"/>
        <v/>
      </c>
      <c r="AZ551" s="67" t="str">
        <f t="shared" si="566"/>
        <v/>
      </c>
      <c r="BA551" s="67" t="str">
        <f t="shared" si="566"/>
        <v/>
      </c>
      <c r="BB551" s="398" t="str">
        <f t="shared" si="566"/>
        <v/>
      </c>
      <c r="BC551" s="358" t="str">
        <f t="shared" si="566"/>
        <v/>
      </c>
      <c r="BD551" s="187" t="str">
        <f t="shared" si="566"/>
        <v/>
      </c>
      <c r="BE551" s="104" t="str">
        <f t="shared" si="566"/>
        <v/>
      </c>
      <c r="BF551" s="389" t="str">
        <f t="shared" si="566"/>
        <v/>
      </c>
      <c r="BG551" s="389" t="str">
        <f t="shared" si="566"/>
        <v>🔵 Chưa có hạn</v>
      </c>
      <c r="BH551" s="67" t="str">
        <f t="shared" si="566"/>
        <v/>
      </c>
      <c r="BI551" s="389" t="str">
        <f t="array" ref="BI551">IF($X551="","",SWITCH($W551,3,IFERROR(INDEX('Lớp 3 - Công việc chính'!$AF$14:$AF$73,MATCH($X551,'Lớp 3 - Công việc chính'!$I$14:$I$73,0)),""),4,IFERROR(INDEX('Lớp 4 - Danh mục'!$AI$14:$AI$132,MATCH($X551,'Lớp 4 - Danh mục'!$I$14:$I$132,0)),""),5,IFERROR(INDEX('Lớp 5 - Phân công'!$AJ$14:$AJ$262,MATCH($X551,'Lớp 5 - Phân công'!$I$14:$I$262,0)),""),6,IFERROR(INDEX('Lớp 6 - Chi tiết'!$AM$14:$AM$267,MATCH($X551,'Lớp 6 - Chi tiết'!$I$14:$I$267,0)),""),""))</f>
        <v/>
      </c>
      <c r="BJ551" s="389" t="str">
        <f t="array" ref="BJ551">IF($X551="","",SWITCH($W551,3,IFERROR(INDEX('Lớp 3 - Công việc chính'!$AR$14:$AR$73,MATCH($X551,'Lớp 3 - Công việc chính'!$I$14:$I$73,0)),""),4,IFERROR(INDEX('Lớp 4 - Danh mục'!$AU$14:$AU$132,MATCH($X551,'Lớp 4 - Danh mục'!$I$14:$I$132,0)),""),5,IFERROR(INDEX('Lớp 5 - Phân công'!$AV$14:$AV$262,MATCH($X551,'Lớp 5 - Phân công'!$I$14:$I$262,0)),""),6,IFERROR(INDEX('Lớp 6 - Chi tiết'!$AY$14:$AY$267,MATCH($X551,'Lớp 6 - Chi tiết'!$I$14:$I$267,0)),""),""))</f>
        <v/>
      </c>
    </row>
    <row r="552" ht="15.75" customHeight="1">
      <c r="A552" s="294" t="str">
        <f t="shared" si="12"/>
        <v/>
      </c>
      <c r="B552" s="301" t="str">
        <f t="shared" si="13"/>
        <v/>
      </c>
      <c r="C552" s="301" t="str">
        <f t="shared" si="14"/>
        <v/>
      </c>
      <c r="D552" s="301" t="str">
        <f t="shared" si="15"/>
        <v/>
      </c>
      <c r="E552" s="301" t="str">
        <f t="shared" si="16"/>
        <v/>
      </c>
      <c r="F552" s="317" t="str">
        <f t="shared" si="17"/>
        <v/>
      </c>
      <c r="G552" s="323" t="str">
        <f t="shared" si="18"/>
        <v/>
      </c>
      <c r="H552" s="327" t="str">
        <f t="shared" si="19"/>
        <v/>
      </c>
      <c r="I552" s="327" t="str">
        <f t="shared" si="20"/>
        <v/>
      </c>
      <c r="J552" s="301" t="str">
        <f t="shared" si="21"/>
        <v/>
      </c>
      <c r="K552" s="301" t="str">
        <f t="shared" si="22"/>
        <v/>
      </c>
      <c r="L552" s="344" t="str">
        <f t="array" ref="L552">IF($T552="","",LET(m,MATCH($T552,$AS$24:$AS$700,0),lvl,INDEX($W$24:$W$700,m),id,INDEX($X$24:$X$700,m),SWITCH(lvl,3,"Lớp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2" s="351" t="str">
        <f t="shared" si="23"/>
        <v/>
      </c>
      <c r="N552" s="356" t="str">
        <f t="shared" si="24"/>
        <v/>
      </c>
      <c r="O552" s="358"/>
      <c r="P552" s="360"/>
      <c r="Q552" s="360"/>
      <c r="R552" s="67"/>
      <c r="S552" s="67"/>
      <c r="T552" s="67"/>
      <c r="U552" s="389" t="str">
        <f>IF('Lớp 6 - Chi tiết'!I114="","",'Lớp 6 - Chi tiết'!L114&amp;"|"&amp;'Lớp 6 - Chi tiết'!K114&amp;"|"&amp;'Lớp 6 - Chi tiết'!J114&amp;"|"&amp;'Lớp 6 - Chi tiết'!I114)</f>
        <v/>
      </c>
      <c r="V552" s="389" t="str">
        <f>IF('Lớp 6 - Chi tiết'!I114="","","           └─ "&amp;'Lớp 6 - Chi tiết'!S114)</f>
        <v/>
      </c>
      <c r="W552" s="389" t="str">
        <f>IF('Lớp 6 - Chi tiết'!I114="","",6)</f>
        <v/>
      </c>
      <c r="X552" s="67" t="str">
        <f>'Lớp 6 - Chi tiết'!I114</f>
        <v/>
      </c>
      <c r="Y552" s="389" t="str">
        <f>'Lớp 6 - Chi tiết'!J114</f>
        <v/>
      </c>
      <c r="Z552" s="67" t="str">
        <f>'Lớp 6 - Chi tiết'!AC114</f>
        <v/>
      </c>
      <c r="AA552" s="67" t="str">
        <f>'Lớp 6 - Chi tiết'!AB114</f>
        <v/>
      </c>
      <c r="AB552" s="67" t="str">
        <f>'Lớp 6 - Chi tiết'!AF114</f>
        <v/>
      </c>
      <c r="AC552" s="67" t="str">
        <f>'Lớp 6 - Chi tiết'!AE114</f>
        <v/>
      </c>
      <c r="AD552" s="398" t="str">
        <f>'Lớp 6 - Chi tiết'!AJ114</f>
        <v/>
      </c>
      <c r="AE552" s="358" t="str">
        <f>'Lớp 6 - Chi tiết'!AH114</f>
        <v/>
      </c>
      <c r="AF552" s="187" t="str">
        <f>'Lớp 6 - Chi tiết'!AK114</f>
        <v/>
      </c>
      <c r="AG552" s="104" t="str">
        <f>'Lớp 6 - Chi tiết'!AL114</f>
        <v/>
      </c>
      <c r="AH552" s="389" t="str">
        <f t="shared" si="27"/>
        <v/>
      </c>
      <c r="AI552" s="389" t="str">
        <f t="shared" si="37"/>
        <v>🔵 Chưa có hạn</v>
      </c>
      <c r="AJ552" s="67" t="str">
        <f>'Lớp 6 - Chi tiết'!AO114</f>
        <v/>
      </c>
      <c r="AS552" s="389" t="str">
        <f t="shared" si="467"/>
        <v/>
      </c>
      <c r="AT552" s="389" t="str">
        <f t="shared" si="32"/>
        <v/>
      </c>
      <c r="AU552" s="389" t="str">
        <f t="shared" si="33"/>
        <v/>
      </c>
      <c r="AV552" s="389" t="str">
        <f t="shared" si="34"/>
        <v/>
      </c>
      <c r="AW552" s="389" t="str">
        <f t="shared" si="35"/>
        <v/>
      </c>
      <c r="AX552" s="67" t="str">
        <f t="shared" ref="AX552:BH552" si="567">Z552</f>
        <v/>
      </c>
      <c r="AY552" s="67" t="str">
        <f t="shared" si="567"/>
        <v/>
      </c>
      <c r="AZ552" s="67" t="str">
        <f t="shared" si="567"/>
        <v/>
      </c>
      <c r="BA552" s="67" t="str">
        <f t="shared" si="567"/>
        <v/>
      </c>
      <c r="BB552" s="398" t="str">
        <f t="shared" si="567"/>
        <v/>
      </c>
      <c r="BC552" s="358" t="str">
        <f t="shared" si="567"/>
        <v/>
      </c>
      <c r="BD552" s="187" t="str">
        <f t="shared" si="567"/>
        <v/>
      </c>
      <c r="BE552" s="104" t="str">
        <f t="shared" si="567"/>
        <v/>
      </c>
      <c r="BF552" s="389" t="str">
        <f t="shared" si="567"/>
        <v/>
      </c>
      <c r="BG552" s="389" t="str">
        <f t="shared" si="567"/>
        <v>🔵 Chưa có hạn</v>
      </c>
      <c r="BH552" s="67" t="str">
        <f t="shared" si="567"/>
        <v/>
      </c>
      <c r="BI552" s="389" t="str">
        <f t="array" ref="BI552">IF($X552="","",SWITCH($W552,3,IFERROR(INDEX('Lớp 3 - Công việc chính'!$AF$14:$AF$73,MATCH($X552,'Lớp 3 - Công việc chính'!$I$14:$I$73,0)),""),4,IFERROR(INDEX('Lớp 4 - Danh mục'!$AI$14:$AI$132,MATCH($X552,'Lớp 4 - Danh mục'!$I$14:$I$132,0)),""),5,IFERROR(INDEX('Lớp 5 - Phân công'!$AJ$14:$AJ$262,MATCH($X552,'Lớp 5 - Phân công'!$I$14:$I$262,0)),""),6,IFERROR(INDEX('Lớp 6 - Chi tiết'!$AM$14:$AM$267,MATCH($X552,'Lớp 6 - Chi tiết'!$I$14:$I$267,0)),""),""))</f>
        <v/>
      </c>
      <c r="BJ552" s="389" t="str">
        <f t="array" ref="BJ552">IF($X552="","",SWITCH($W552,3,IFERROR(INDEX('Lớp 3 - Công việc chính'!$AR$14:$AR$73,MATCH($X552,'Lớp 3 - Công việc chính'!$I$14:$I$73,0)),""),4,IFERROR(INDEX('Lớp 4 - Danh mục'!$AU$14:$AU$132,MATCH($X552,'Lớp 4 - Danh mục'!$I$14:$I$132,0)),""),5,IFERROR(INDEX('Lớp 5 - Phân công'!$AV$14:$AV$262,MATCH($X552,'Lớp 5 - Phân công'!$I$14:$I$262,0)),""),6,IFERROR(INDEX('Lớp 6 - Chi tiết'!$AY$14:$AY$267,MATCH($X552,'Lớp 6 - Chi tiết'!$I$14:$I$267,0)),""),""))</f>
        <v/>
      </c>
    </row>
    <row r="553" ht="15.75" customHeight="1">
      <c r="A553" s="294" t="str">
        <f t="shared" si="12"/>
        <v/>
      </c>
      <c r="B553" s="301" t="str">
        <f t="shared" si="13"/>
        <v/>
      </c>
      <c r="C553" s="301" t="str">
        <f t="shared" si="14"/>
        <v/>
      </c>
      <c r="D553" s="301" t="str">
        <f t="shared" si="15"/>
        <v/>
      </c>
      <c r="E553" s="301" t="str">
        <f t="shared" si="16"/>
        <v/>
      </c>
      <c r="F553" s="317" t="str">
        <f t="shared" si="17"/>
        <v/>
      </c>
      <c r="G553" s="323" t="str">
        <f t="shared" si="18"/>
        <v/>
      </c>
      <c r="H553" s="327" t="str">
        <f t="shared" si="19"/>
        <v/>
      </c>
      <c r="I553" s="327" t="str">
        <f t="shared" si="20"/>
        <v/>
      </c>
      <c r="J553" s="301" t="str">
        <f t="shared" si="21"/>
        <v/>
      </c>
      <c r="K553" s="301" t="str">
        <f t="shared" si="22"/>
        <v/>
      </c>
      <c r="L553" s="344" t="str">
        <f t="array" ref="L553">IF($T553="","",LET(m,MATCH($T553,$AS$24:$AS$700,0),lvl,INDEX($W$24:$W$700,m),id,INDEX($X$24:$X$700,m),SWITCH(lvl,3,"Lớp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3" s="351" t="str">
        <f t="shared" si="23"/>
        <v/>
      </c>
      <c r="N553" s="356" t="str">
        <f t="shared" si="24"/>
        <v/>
      </c>
      <c r="O553" s="358"/>
      <c r="P553" s="360"/>
      <c r="Q553" s="360"/>
      <c r="R553" s="67"/>
      <c r="S553" s="67"/>
      <c r="T553" s="67"/>
      <c r="U553" s="389" t="str">
        <f>IF('Lớp 6 - Chi tiết'!I115="","",'Lớp 6 - Chi tiết'!L115&amp;"|"&amp;'Lớp 6 - Chi tiết'!K115&amp;"|"&amp;'Lớp 6 - Chi tiết'!J115&amp;"|"&amp;'Lớp 6 - Chi tiết'!I115)</f>
        <v/>
      </c>
      <c r="V553" s="389" t="str">
        <f>IF('Lớp 6 - Chi tiết'!I115="","","           └─ "&amp;'Lớp 6 - Chi tiết'!S115)</f>
        <v/>
      </c>
      <c r="W553" s="389" t="str">
        <f>IF('Lớp 6 - Chi tiết'!I115="","",6)</f>
        <v/>
      </c>
      <c r="X553" s="67" t="str">
        <f>'Lớp 6 - Chi tiết'!I115</f>
        <v/>
      </c>
      <c r="Y553" s="389" t="str">
        <f>'Lớp 6 - Chi tiết'!J115</f>
        <v/>
      </c>
      <c r="Z553" s="67" t="str">
        <f>'Lớp 6 - Chi tiết'!AC115</f>
        <v/>
      </c>
      <c r="AA553" s="67" t="str">
        <f>'Lớp 6 - Chi tiết'!AB115</f>
        <v/>
      </c>
      <c r="AB553" s="67" t="str">
        <f>'Lớp 6 - Chi tiết'!AF115</f>
        <v/>
      </c>
      <c r="AC553" s="67" t="str">
        <f>'Lớp 6 - Chi tiết'!AE115</f>
        <v/>
      </c>
      <c r="AD553" s="398" t="str">
        <f>'Lớp 6 - Chi tiết'!AJ115</f>
        <v/>
      </c>
      <c r="AE553" s="358" t="str">
        <f>'Lớp 6 - Chi tiết'!AH115</f>
        <v/>
      </c>
      <c r="AF553" s="187" t="str">
        <f>'Lớp 6 - Chi tiết'!AK115</f>
        <v/>
      </c>
      <c r="AG553" s="104" t="str">
        <f>'Lớp 6 - Chi tiết'!AL115</f>
        <v/>
      </c>
      <c r="AH553" s="389" t="str">
        <f t="shared" si="27"/>
        <v/>
      </c>
      <c r="AI553" s="389" t="str">
        <f t="shared" si="37"/>
        <v>🔵 Chưa có hạn</v>
      </c>
      <c r="AJ553" s="67" t="str">
        <f>'Lớp 6 - Chi tiết'!AO115</f>
        <v/>
      </c>
      <c r="AS553" s="389" t="str">
        <f t="shared" si="467"/>
        <v/>
      </c>
      <c r="AT553" s="389" t="str">
        <f t="shared" si="32"/>
        <v/>
      </c>
      <c r="AU553" s="389" t="str">
        <f t="shared" si="33"/>
        <v/>
      </c>
      <c r="AV553" s="389" t="str">
        <f t="shared" si="34"/>
        <v/>
      </c>
      <c r="AW553" s="389" t="str">
        <f t="shared" si="35"/>
        <v/>
      </c>
      <c r="AX553" s="67" t="str">
        <f t="shared" ref="AX553:BH553" si="568">Z553</f>
        <v/>
      </c>
      <c r="AY553" s="67" t="str">
        <f t="shared" si="568"/>
        <v/>
      </c>
      <c r="AZ553" s="67" t="str">
        <f t="shared" si="568"/>
        <v/>
      </c>
      <c r="BA553" s="67" t="str">
        <f t="shared" si="568"/>
        <v/>
      </c>
      <c r="BB553" s="398" t="str">
        <f t="shared" si="568"/>
        <v/>
      </c>
      <c r="BC553" s="358" t="str">
        <f t="shared" si="568"/>
        <v/>
      </c>
      <c r="BD553" s="187" t="str">
        <f t="shared" si="568"/>
        <v/>
      </c>
      <c r="BE553" s="104" t="str">
        <f t="shared" si="568"/>
        <v/>
      </c>
      <c r="BF553" s="389" t="str">
        <f t="shared" si="568"/>
        <v/>
      </c>
      <c r="BG553" s="389" t="str">
        <f t="shared" si="568"/>
        <v>🔵 Chưa có hạn</v>
      </c>
      <c r="BH553" s="67" t="str">
        <f t="shared" si="568"/>
        <v/>
      </c>
      <c r="BI553" s="389" t="str">
        <f t="array" ref="BI553">IF($X553="","",SWITCH($W553,3,IFERROR(INDEX('Lớp 3 - Công việc chính'!$AF$14:$AF$73,MATCH($X553,'Lớp 3 - Công việc chính'!$I$14:$I$73,0)),""),4,IFERROR(INDEX('Lớp 4 - Danh mục'!$AI$14:$AI$132,MATCH($X553,'Lớp 4 - Danh mục'!$I$14:$I$132,0)),""),5,IFERROR(INDEX('Lớp 5 - Phân công'!$AJ$14:$AJ$262,MATCH($X553,'Lớp 5 - Phân công'!$I$14:$I$262,0)),""),6,IFERROR(INDEX('Lớp 6 - Chi tiết'!$AM$14:$AM$267,MATCH($X553,'Lớp 6 - Chi tiết'!$I$14:$I$267,0)),""),""))</f>
        <v/>
      </c>
      <c r="BJ553" s="389" t="str">
        <f t="array" ref="BJ553">IF($X553="","",SWITCH($W553,3,IFERROR(INDEX('Lớp 3 - Công việc chính'!$AR$14:$AR$73,MATCH($X553,'Lớp 3 - Công việc chính'!$I$14:$I$73,0)),""),4,IFERROR(INDEX('Lớp 4 - Danh mục'!$AU$14:$AU$132,MATCH($X553,'Lớp 4 - Danh mục'!$I$14:$I$132,0)),""),5,IFERROR(INDEX('Lớp 5 - Phân công'!$AV$14:$AV$262,MATCH($X553,'Lớp 5 - Phân công'!$I$14:$I$262,0)),""),6,IFERROR(INDEX('Lớp 6 - Chi tiết'!$AY$14:$AY$267,MATCH($X553,'Lớp 6 - Chi tiết'!$I$14:$I$267,0)),""),""))</f>
        <v/>
      </c>
    </row>
    <row r="554" ht="15.75" customHeight="1">
      <c r="A554" s="294" t="str">
        <f t="shared" si="12"/>
        <v/>
      </c>
      <c r="B554" s="301" t="str">
        <f t="shared" si="13"/>
        <v/>
      </c>
      <c r="C554" s="301" t="str">
        <f t="shared" si="14"/>
        <v/>
      </c>
      <c r="D554" s="301" t="str">
        <f t="shared" si="15"/>
        <v/>
      </c>
      <c r="E554" s="301" t="str">
        <f t="shared" si="16"/>
        <v/>
      </c>
      <c r="F554" s="317" t="str">
        <f t="shared" si="17"/>
        <v/>
      </c>
      <c r="G554" s="323" t="str">
        <f t="shared" si="18"/>
        <v/>
      </c>
      <c r="H554" s="327" t="str">
        <f t="shared" si="19"/>
        <v/>
      </c>
      <c r="I554" s="327" t="str">
        <f t="shared" si="20"/>
        <v/>
      </c>
      <c r="J554" s="301" t="str">
        <f t="shared" si="21"/>
        <v/>
      </c>
      <c r="K554" s="301" t="str">
        <f t="shared" si="22"/>
        <v/>
      </c>
      <c r="L554" s="344" t="str">
        <f t="array" ref="L554">IF($T554="","",LET(m,MATCH($T554,$AS$24:$AS$700,0),lvl,INDEX($W$24:$W$700,m),id,INDEX($X$24:$X$700,m),SWITCH(lvl,3,"Lớp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4" s="351" t="str">
        <f t="shared" si="23"/>
        <v/>
      </c>
      <c r="N554" s="356" t="str">
        <f t="shared" si="24"/>
        <v/>
      </c>
      <c r="O554" s="358"/>
      <c r="P554" s="360"/>
      <c r="Q554" s="360"/>
      <c r="R554" s="67"/>
      <c r="S554" s="67"/>
      <c r="T554" s="67"/>
      <c r="U554" s="389" t="str">
        <f>IF('Lớp 6 - Chi tiết'!I116="","",'Lớp 6 - Chi tiết'!L116&amp;"|"&amp;'Lớp 6 - Chi tiết'!K116&amp;"|"&amp;'Lớp 6 - Chi tiết'!J116&amp;"|"&amp;'Lớp 6 - Chi tiết'!I116)</f>
        <v/>
      </c>
      <c r="V554" s="389" t="str">
        <f>IF('Lớp 6 - Chi tiết'!I116="","","           └─ "&amp;'Lớp 6 - Chi tiết'!S116)</f>
        <v/>
      </c>
      <c r="W554" s="389" t="str">
        <f>IF('Lớp 6 - Chi tiết'!I116="","",6)</f>
        <v/>
      </c>
      <c r="X554" s="67" t="str">
        <f>'Lớp 6 - Chi tiết'!I116</f>
        <v/>
      </c>
      <c r="Y554" s="389" t="str">
        <f>'Lớp 6 - Chi tiết'!J116</f>
        <v/>
      </c>
      <c r="Z554" s="67" t="str">
        <f>'Lớp 6 - Chi tiết'!AC116</f>
        <v/>
      </c>
      <c r="AA554" s="67" t="str">
        <f>'Lớp 6 - Chi tiết'!AB116</f>
        <v/>
      </c>
      <c r="AB554" s="67" t="str">
        <f>'Lớp 6 - Chi tiết'!AF116</f>
        <v/>
      </c>
      <c r="AC554" s="67" t="str">
        <f>'Lớp 6 - Chi tiết'!AE116</f>
        <v/>
      </c>
      <c r="AD554" s="398" t="str">
        <f>'Lớp 6 - Chi tiết'!AJ116</f>
        <v/>
      </c>
      <c r="AE554" s="358" t="str">
        <f>'Lớp 6 - Chi tiết'!AH116</f>
        <v/>
      </c>
      <c r="AF554" s="187" t="str">
        <f>'Lớp 6 - Chi tiết'!AK116</f>
        <v/>
      </c>
      <c r="AG554" s="104" t="str">
        <f>'Lớp 6 - Chi tiết'!AL116</f>
        <v/>
      </c>
      <c r="AH554" s="389" t="str">
        <f t="shared" si="27"/>
        <v/>
      </c>
      <c r="AI554" s="389" t="str">
        <f t="shared" si="37"/>
        <v>🔵 Chưa có hạn</v>
      </c>
      <c r="AJ554" s="67" t="str">
        <f>'Lớp 6 - Chi tiết'!AO116</f>
        <v/>
      </c>
      <c r="AS554" s="389" t="str">
        <f t="shared" si="467"/>
        <v/>
      </c>
      <c r="AT554" s="389" t="str">
        <f t="shared" si="32"/>
        <v/>
      </c>
      <c r="AU554" s="389" t="str">
        <f t="shared" si="33"/>
        <v/>
      </c>
      <c r="AV554" s="389" t="str">
        <f t="shared" si="34"/>
        <v/>
      </c>
      <c r="AW554" s="389" t="str">
        <f t="shared" si="35"/>
        <v/>
      </c>
      <c r="AX554" s="67" t="str">
        <f t="shared" ref="AX554:BH554" si="569">Z554</f>
        <v/>
      </c>
      <c r="AY554" s="67" t="str">
        <f t="shared" si="569"/>
        <v/>
      </c>
      <c r="AZ554" s="67" t="str">
        <f t="shared" si="569"/>
        <v/>
      </c>
      <c r="BA554" s="67" t="str">
        <f t="shared" si="569"/>
        <v/>
      </c>
      <c r="BB554" s="398" t="str">
        <f t="shared" si="569"/>
        <v/>
      </c>
      <c r="BC554" s="358" t="str">
        <f t="shared" si="569"/>
        <v/>
      </c>
      <c r="BD554" s="187" t="str">
        <f t="shared" si="569"/>
        <v/>
      </c>
      <c r="BE554" s="104" t="str">
        <f t="shared" si="569"/>
        <v/>
      </c>
      <c r="BF554" s="389" t="str">
        <f t="shared" si="569"/>
        <v/>
      </c>
      <c r="BG554" s="389" t="str">
        <f t="shared" si="569"/>
        <v>🔵 Chưa có hạn</v>
      </c>
      <c r="BH554" s="67" t="str">
        <f t="shared" si="569"/>
        <v/>
      </c>
      <c r="BI554" s="389" t="str">
        <f t="array" ref="BI554">IF($X554="","",SWITCH($W554,3,IFERROR(INDEX('Lớp 3 - Công việc chính'!$AF$14:$AF$73,MATCH($X554,'Lớp 3 - Công việc chính'!$I$14:$I$73,0)),""),4,IFERROR(INDEX('Lớp 4 - Danh mục'!$AI$14:$AI$132,MATCH($X554,'Lớp 4 - Danh mục'!$I$14:$I$132,0)),""),5,IFERROR(INDEX('Lớp 5 - Phân công'!$AJ$14:$AJ$262,MATCH($X554,'Lớp 5 - Phân công'!$I$14:$I$262,0)),""),6,IFERROR(INDEX('Lớp 6 - Chi tiết'!$AM$14:$AM$267,MATCH($X554,'Lớp 6 - Chi tiết'!$I$14:$I$267,0)),""),""))</f>
        <v/>
      </c>
      <c r="BJ554" s="389" t="str">
        <f t="array" ref="BJ554">IF($X554="","",SWITCH($W554,3,IFERROR(INDEX('Lớp 3 - Công việc chính'!$AR$14:$AR$73,MATCH($X554,'Lớp 3 - Công việc chính'!$I$14:$I$73,0)),""),4,IFERROR(INDEX('Lớp 4 - Danh mục'!$AU$14:$AU$132,MATCH($X554,'Lớp 4 - Danh mục'!$I$14:$I$132,0)),""),5,IFERROR(INDEX('Lớp 5 - Phân công'!$AV$14:$AV$262,MATCH($X554,'Lớp 5 - Phân công'!$I$14:$I$262,0)),""),6,IFERROR(INDEX('Lớp 6 - Chi tiết'!$AY$14:$AY$267,MATCH($X554,'Lớp 6 - Chi tiết'!$I$14:$I$267,0)),""),""))</f>
        <v/>
      </c>
    </row>
    <row r="555" ht="15.75" customHeight="1">
      <c r="A555" s="294" t="str">
        <f t="shared" si="12"/>
        <v/>
      </c>
      <c r="B555" s="301" t="str">
        <f t="shared" si="13"/>
        <v/>
      </c>
      <c r="C555" s="301" t="str">
        <f t="shared" si="14"/>
        <v/>
      </c>
      <c r="D555" s="301" t="str">
        <f t="shared" si="15"/>
        <v/>
      </c>
      <c r="E555" s="301" t="str">
        <f t="shared" si="16"/>
        <v/>
      </c>
      <c r="F555" s="317" t="str">
        <f t="shared" si="17"/>
        <v/>
      </c>
      <c r="G555" s="323" t="str">
        <f t="shared" si="18"/>
        <v/>
      </c>
      <c r="H555" s="327" t="str">
        <f t="shared" si="19"/>
        <v/>
      </c>
      <c r="I555" s="327" t="str">
        <f t="shared" si="20"/>
        <v/>
      </c>
      <c r="J555" s="301" t="str">
        <f t="shared" si="21"/>
        <v/>
      </c>
      <c r="K555" s="301" t="str">
        <f t="shared" si="22"/>
        <v/>
      </c>
      <c r="L555" s="344" t="str">
        <f t="array" ref="L555">IF($T555="","",LET(m,MATCH($T555,$AS$24:$AS$700,0),lvl,INDEX($W$24:$W$700,m),id,INDEX($X$24:$X$700,m),SWITCH(lvl,3,"Lớp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5" s="351" t="str">
        <f t="shared" si="23"/>
        <v/>
      </c>
      <c r="N555" s="356" t="str">
        <f t="shared" si="24"/>
        <v/>
      </c>
      <c r="O555" s="358"/>
      <c r="P555" s="360"/>
      <c r="Q555" s="360"/>
      <c r="R555" s="67"/>
      <c r="S555" s="67"/>
      <c r="T555" s="67"/>
      <c r="U555" s="389" t="str">
        <f>IF('Lớp 6 - Chi tiết'!I117="","",'Lớp 6 - Chi tiết'!L117&amp;"|"&amp;'Lớp 6 - Chi tiết'!K117&amp;"|"&amp;'Lớp 6 - Chi tiết'!J117&amp;"|"&amp;'Lớp 6 - Chi tiết'!I117)</f>
        <v/>
      </c>
      <c r="V555" s="389" t="str">
        <f>IF('Lớp 6 - Chi tiết'!I117="","","           └─ "&amp;'Lớp 6 - Chi tiết'!S117)</f>
        <v/>
      </c>
      <c r="W555" s="389" t="str">
        <f>IF('Lớp 6 - Chi tiết'!I117="","",6)</f>
        <v/>
      </c>
      <c r="X555" s="67" t="str">
        <f>'Lớp 6 - Chi tiết'!I117</f>
        <v/>
      </c>
      <c r="Y555" s="389" t="str">
        <f>'Lớp 6 - Chi tiết'!J117</f>
        <v/>
      </c>
      <c r="Z555" s="67" t="str">
        <f>'Lớp 6 - Chi tiết'!AC117</f>
        <v/>
      </c>
      <c r="AA555" s="67" t="str">
        <f>'Lớp 6 - Chi tiết'!AB117</f>
        <v/>
      </c>
      <c r="AB555" s="67" t="str">
        <f>'Lớp 6 - Chi tiết'!AF117</f>
        <v/>
      </c>
      <c r="AC555" s="67" t="str">
        <f>'Lớp 6 - Chi tiết'!AE117</f>
        <v/>
      </c>
      <c r="AD555" s="398" t="str">
        <f>'Lớp 6 - Chi tiết'!AJ117</f>
        <v/>
      </c>
      <c r="AE555" s="358" t="str">
        <f>'Lớp 6 - Chi tiết'!AH117</f>
        <v/>
      </c>
      <c r="AF555" s="187" t="str">
        <f>'Lớp 6 - Chi tiết'!AK117</f>
        <v/>
      </c>
      <c r="AG555" s="104" t="str">
        <f>'Lớp 6 - Chi tiết'!AL117</f>
        <v/>
      </c>
      <c r="AH555" s="389" t="str">
        <f t="shared" si="27"/>
        <v/>
      </c>
      <c r="AI555" s="389" t="str">
        <f t="shared" si="37"/>
        <v>🔵 Chưa có hạn</v>
      </c>
      <c r="AJ555" s="67" t="str">
        <f>'Lớp 6 - Chi tiết'!AO117</f>
        <v/>
      </c>
      <c r="AS555" s="389" t="str">
        <f t="shared" si="467"/>
        <v/>
      </c>
      <c r="AT555" s="389" t="str">
        <f t="shared" si="32"/>
        <v/>
      </c>
      <c r="AU555" s="389" t="str">
        <f t="shared" si="33"/>
        <v/>
      </c>
      <c r="AV555" s="389" t="str">
        <f t="shared" si="34"/>
        <v/>
      </c>
      <c r="AW555" s="389" t="str">
        <f t="shared" si="35"/>
        <v/>
      </c>
      <c r="AX555" s="67" t="str">
        <f t="shared" ref="AX555:BH555" si="570">Z555</f>
        <v/>
      </c>
      <c r="AY555" s="67" t="str">
        <f t="shared" si="570"/>
        <v/>
      </c>
      <c r="AZ555" s="67" t="str">
        <f t="shared" si="570"/>
        <v/>
      </c>
      <c r="BA555" s="67" t="str">
        <f t="shared" si="570"/>
        <v/>
      </c>
      <c r="BB555" s="398" t="str">
        <f t="shared" si="570"/>
        <v/>
      </c>
      <c r="BC555" s="358" t="str">
        <f t="shared" si="570"/>
        <v/>
      </c>
      <c r="BD555" s="187" t="str">
        <f t="shared" si="570"/>
        <v/>
      </c>
      <c r="BE555" s="104" t="str">
        <f t="shared" si="570"/>
        <v/>
      </c>
      <c r="BF555" s="389" t="str">
        <f t="shared" si="570"/>
        <v/>
      </c>
      <c r="BG555" s="389" t="str">
        <f t="shared" si="570"/>
        <v>🔵 Chưa có hạn</v>
      </c>
      <c r="BH555" s="67" t="str">
        <f t="shared" si="570"/>
        <v/>
      </c>
      <c r="BI555" s="389" t="str">
        <f t="array" ref="BI555">IF($X555="","",SWITCH($W555,3,IFERROR(INDEX('Lớp 3 - Công việc chính'!$AF$14:$AF$73,MATCH($X555,'Lớp 3 - Công việc chính'!$I$14:$I$73,0)),""),4,IFERROR(INDEX('Lớp 4 - Danh mục'!$AI$14:$AI$132,MATCH($X555,'Lớp 4 - Danh mục'!$I$14:$I$132,0)),""),5,IFERROR(INDEX('Lớp 5 - Phân công'!$AJ$14:$AJ$262,MATCH($X555,'Lớp 5 - Phân công'!$I$14:$I$262,0)),""),6,IFERROR(INDEX('Lớp 6 - Chi tiết'!$AM$14:$AM$267,MATCH($X555,'Lớp 6 - Chi tiết'!$I$14:$I$267,0)),""),""))</f>
        <v/>
      </c>
      <c r="BJ555" s="389" t="str">
        <f t="array" ref="BJ555">IF($X555="","",SWITCH($W555,3,IFERROR(INDEX('Lớp 3 - Công việc chính'!$AR$14:$AR$73,MATCH($X555,'Lớp 3 - Công việc chính'!$I$14:$I$73,0)),""),4,IFERROR(INDEX('Lớp 4 - Danh mục'!$AU$14:$AU$132,MATCH($X555,'Lớp 4 - Danh mục'!$I$14:$I$132,0)),""),5,IFERROR(INDEX('Lớp 5 - Phân công'!$AV$14:$AV$262,MATCH($X555,'Lớp 5 - Phân công'!$I$14:$I$262,0)),""),6,IFERROR(INDEX('Lớp 6 - Chi tiết'!$AY$14:$AY$267,MATCH($X555,'Lớp 6 - Chi tiết'!$I$14:$I$267,0)),""),""))</f>
        <v/>
      </c>
    </row>
    <row r="556" ht="15.75" customHeight="1">
      <c r="A556" s="294" t="str">
        <f t="shared" si="12"/>
        <v/>
      </c>
      <c r="B556" s="301" t="str">
        <f t="shared" si="13"/>
        <v/>
      </c>
      <c r="C556" s="301" t="str">
        <f t="shared" si="14"/>
        <v/>
      </c>
      <c r="D556" s="301" t="str">
        <f t="shared" si="15"/>
        <v/>
      </c>
      <c r="E556" s="301" t="str">
        <f t="shared" si="16"/>
        <v/>
      </c>
      <c r="F556" s="317" t="str">
        <f t="shared" si="17"/>
        <v/>
      </c>
      <c r="G556" s="323" t="str">
        <f t="shared" si="18"/>
        <v/>
      </c>
      <c r="H556" s="327" t="str">
        <f t="shared" si="19"/>
        <v/>
      </c>
      <c r="I556" s="327" t="str">
        <f t="shared" si="20"/>
        <v/>
      </c>
      <c r="J556" s="301" t="str">
        <f t="shared" si="21"/>
        <v/>
      </c>
      <c r="K556" s="301" t="str">
        <f t="shared" si="22"/>
        <v/>
      </c>
      <c r="L556" s="344" t="str">
        <f t="array" ref="L556">IF($T556="","",LET(m,MATCH($T556,$AS$24:$AS$700,0),lvl,INDEX($W$24:$W$700,m),id,INDEX($X$24:$X$700,m),SWITCH(lvl,3,"Lớp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6" s="351" t="str">
        <f t="shared" si="23"/>
        <v/>
      </c>
      <c r="N556" s="356" t="str">
        <f t="shared" si="24"/>
        <v/>
      </c>
      <c r="O556" s="358"/>
      <c r="P556" s="360"/>
      <c r="Q556" s="360"/>
      <c r="R556" s="67"/>
      <c r="S556" s="67"/>
      <c r="T556" s="67"/>
      <c r="U556" s="389" t="str">
        <f>IF('Lớp 6 - Chi tiết'!I118="","",'Lớp 6 - Chi tiết'!L118&amp;"|"&amp;'Lớp 6 - Chi tiết'!K118&amp;"|"&amp;'Lớp 6 - Chi tiết'!J118&amp;"|"&amp;'Lớp 6 - Chi tiết'!I118)</f>
        <v/>
      </c>
      <c r="V556" s="389" t="str">
        <f>IF('Lớp 6 - Chi tiết'!I118="","","           └─ "&amp;'Lớp 6 - Chi tiết'!S118)</f>
        <v/>
      </c>
      <c r="W556" s="389" t="str">
        <f>IF('Lớp 6 - Chi tiết'!I118="","",6)</f>
        <v/>
      </c>
      <c r="X556" s="67" t="str">
        <f>'Lớp 6 - Chi tiết'!I118</f>
        <v/>
      </c>
      <c r="Y556" s="389" t="str">
        <f>'Lớp 6 - Chi tiết'!J118</f>
        <v/>
      </c>
      <c r="Z556" s="67" t="str">
        <f>'Lớp 6 - Chi tiết'!AC118</f>
        <v/>
      </c>
      <c r="AA556" s="67" t="str">
        <f>'Lớp 6 - Chi tiết'!AB118</f>
        <v/>
      </c>
      <c r="AB556" s="67" t="str">
        <f>'Lớp 6 - Chi tiết'!AF118</f>
        <v/>
      </c>
      <c r="AC556" s="67" t="str">
        <f>'Lớp 6 - Chi tiết'!AE118</f>
        <v/>
      </c>
      <c r="AD556" s="398" t="str">
        <f>'Lớp 6 - Chi tiết'!AJ118</f>
        <v/>
      </c>
      <c r="AE556" s="358" t="str">
        <f>'Lớp 6 - Chi tiết'!AH118</f>
        <v/>
      </c>
      <c r="AF556" s="187" t="str">
        <f>'Lớp 6 - Chi tiết'!AK118</f>
        <v/>
      </c>
      <c r="AG556" s="104" t="str">
        <f>'Lớp 6 - Chi tiết'!AL118</f>
        <v/>
      </c>
      <c r="AH556" s="389" t="str">
        <f t="shared" si="27"/>
        <v/>
      </c>
      <c r="AI556" s="389" t="str">
        <f t="shared" si="37"/>
        <v>🔵 Chưa có hạn</v>
      </c>
      <c r="AJ556" s="67" t="str">
        <f>'Lớp 6 - Chi tiết'!AO118</f>
        <v/>
      </c>
      <c r="AS556" s="389" t="str">
        <f t="shared" si="467"/>
        <v/>
      </c>
      <c r="AT556" s="389" t="str">
        <f t="shared" si="32"/>
        <v/>
      </c>
      <c r="AU556" s="389" t="str">
        <f t="shared" si="33"/>
        <v/>
      </c>
      <c r="AV556" s="389" t="str">
        <f t="shared" si="34"/>
        <v/>
      </c>
      <c r="AW556" s="389" t="str">
        <f t="shared" si="35"/>
        <v/>
      </c>
      <c r="AX556" s="67" t="str">
        <f t="shared" ref="AX556:BH556" si="571">Z556</f>
        <v/>
      </c>
      <c r="AY556" s="67" t="str">
        <f t="shared" si="571"/>
        <v/>
      </c>
      <c r="AZ556" s="67" t="str">
        <f t="shared" si="571"/>
        <v/>
      </c>
      <c r="BA556" s="67" t="str">
        <f t="shared" si="571"/>
        <v/>
      </c>
      <c r="BB556" s="398" t="str">
        <f t="shared" si="571"/>
        <v/>
      </c>
      <c r="BC556" s="358" t="str">
        <f t="shared" si="571"/>
        <v/>
      </c>
      <c r="BD556" s="187" t="str">
        <f t="shared" si="571"/>
        <v/>
      </c>
      <c r="BE556" s="104" t="str">
        <f t="shared" si="571"/>
        <v/>
      </c>
      <c r="BF556" s="389" t="str">
        <f t="shared" si="571"/>
        <v/>
      </c>
      <c r="BG556" s="389" t="str">
        <f t="shared" si="571"/>
        <v>🔵 Chưa có hạn</v>
      </c>
      <c r="BH556" s="67" t="str">
        <f t="shared" si="571"/>
        <v/>
      </c>
      <c r="BI556" s="389" t="str">
        <f t="array" ref="BI556">IF($X556="","",SWITCH($W556,3,IFERROR(INDEX('Lớp 3 - Công việc chính'!$AF$14:$AF$73,MATCH($X556,'Lớp 3 - Công việc chính'!$I$14:$I$73,0)),""),4,IFERROR(INDEX('Lớp 4 - Danh mục'!$AI$14:$AI$132,MATCH($X556,'Lớp 4 - Danh mục'!$I$14:$I$132,0)),""),5,IFERROR(INDEX('Lớp 5 - Phân công'!$AJ$14:$AJ$262,MATCH($X556,'Lớp 5 - Phân công'!$I$14:$I$262,0)),""),6,IFERROR(INDEX('Lớp 6 - Chi tiết'!$AM$14:$AM$267,MATCH($X556,'Lớp 6 - Chi tiết'!$I$14:$I$267,0)),""),""))</f>
        <v/>
      </c>
      <c r="BJ556" s="389" t="str">
        <f t="array" ref="BJ556">IF($X556="","",SWITCH($W556,3,IFERROR(INDEX('Lớp 3 - Công việc chính'!$AR$14:$AR$73,MATCH($X556,'Lớp 3 - Công việc chính'!$I$14:$I$73,0)),""),4,IFERROR(INDEX('Lớp 4 - Danh mục'!$AU$14:$AU$132,MATCH($X556,'Lớp 4 - Danh mục'!$I$14:$I$132,0)),""),5,IFERROR(INDEX('Lớp 5 - Phân công'!$AV$14:$AV$262,MATCH($X556,'Lớp 5 - Phân công'!$I$14:$I$262,0)),""),6,IFERROR(INDEX('Lớp 6 - Chi tiết'!$AY$14:$AY$267,MATCH($X556,'Lớp 6 - Chi tiết'!$I$14:$I$267,0)),""),""))</f>
        <v/>
      </c>
    </row>
    <row r="557" ht="15.75" customHeight="1">
      <c r="A557" s="294" t="str">
        <f t="shared" si="12"/>
        <v/>
      </c>
      <c r="B557" s="301" t="str">
        <f t="shared" si="13"/>
        <v/>
      </c>
      <c r="C557" s="301" t="str">
        <f t="shared" si="14"/>
        <v/>
      </c>
      <c r="D557" s="301" t="str">
        <f t="shared" si="15"/>
        <v/>
      </c>
      <c r="E557" s="301" t="str">
        <f t="shared" si="16"/>
        <v/>
      </c>
      <c r="F557" s="317" t="str">
        <f t="shared" si="17"/>
        <v/>
      </c>
      <c r="G557" s="323" t="str">
        <f t="shared" si="18"/>
        <v/>
      </c>
      <c r="H557" s="327" t="str">
        <f t="shared" si="19"/>
        <v/>
      </c>
      <c r="I557" s="327" t="str">
        <f t="shared" si="20"/>
        <v/>
      </c>
      <c r="J557" s="301" t="str">
        <f t="shared" si="21"/>
        <v/>
      </c>
      <c r="K557" s="301" t="str">
        <f t="shared" si="22"/>
        <v/>
      </c>
      <c r="L557" s="344" t="str">
        <f t="array" ref="L557">IF($T557="","",LET(m,MATCH($T557,$AS$24:$AS$700,0),lvl,INDEX($W$24:$W$700,m),id,INDEX($X$24:$X$700,m),SWITCH(lvl,3,"Lớp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7" s="351" t="str">
        <f t="shared" si="23"/>
        <v/>
      </c>
      <c r="N557" s="356" t="str">
        <f t="shared" si="24"/>
        <v/>
      </c>
      <c r="O557" s="358"/>
      <c r="P557" s="360"/>
      <c r="Q557" s="360"/>
      <c r="R557" s="67"/>
      <c r="S557" s="67"/>
      <c r="T557" s="67"/>
      <c r="U557" s="389" t="str">
        <f>IF('Lớp 6 - Chi tiết'!I119="","",'Lớp 6 - Chi tiết'!L119&amp;"|"&amp;'Lớp 6 - Chi tiết'!K119&amp;"|"&amp;'Lớp 6 - Chi tiết'!J119&amp;"|"&amp;'Lớp 6 - Chi tiết'!I119)</f>
        <v/>
      </c>
      <c r="V557" s="389" t="str">
        <f>IF('Lớp 6 - Chi tiết'!I119="","","           └─ "&amp;'Lớp 6 - Chi tiết'!S119)</f>
        <v/>
      </c>
      <c r="W557" s="389" t="str">
        <f>IF('Lớp 6 - Chi tiết'!I119="","",6)</f>
        <v/>
      </c>
      <c r="X557" s="67" t="str">
        <f>'Lớp 6 - Chi tiết'!I119</f>
        <v/>
      </c>
      <c r="Y557" s="389" t="str">
        <f>'Lớp 6 - Chi tiết'!J119</f>
        <v/>
      </c>
      <c r="Z557" s="67" t="str">
        <f>'Lớp 6 - Chi tiết'!AC119</f>
        <v/>
      </c>
      <c r="AA557" s="67" t="str">
        <f>'Lớp 6 - Chi tiết'!AB119</f>
        <v/>
      </c>
      <c r="AB557" s="67" t="str">
        <f>'Lớp 6 - Chi tiết'!AF119</f>
        <v/>
      </c>
      <c r="AC557" s="67" t="str">
        <f>'Lớp 6 - Chi tiết'!AE119</f>
        <v/>
      </c>
      <c r="AD557" s="398" t="str">
        <f>'Lớp 6 - Chi tiết'!AJ119</f>
        <v/>
      </c>
      <c r="AE557" s="358" t="str">
        <f>'Lớp 6 - Chi tiết'!AH119</f>
        <v/>
      </c>
      <c r="AF557" s="187" t="str">
        <f>'Lớp 6 - Chi tiết'!AK119</f>
        <v/>
      </c>
      <c r="AG557" s="104" t="str">
        <f>'Lớp 6 - Chi tiết'!AL119</f>
        <v/>
      </c>
      <c r="AH557" s="389" t="str">
        <f t="shared" si="27"/>
        <v/>
      </c>
      <c r="AI557" s="389" t="str">
        <f t="shared" si="37"/>
        <v>🔵 Chưa có hạn</v>
      </c>
      <c r="AJ557" s="67" t="str">
        <f>'Lớp 6 - Chi tiết'!AO119</f>
        <v/>
      </c>
      <c r="AS557" s="389" t="str">
        <f t="shared" si="467"/>
        <v/>
      </c>
      <c r="AT557" s="389" t="str">
        <f t="shared" si="32"/>
        <v/>
      </c>
      <c r="AU557" s="389" t="str">
        <f t="shared" si="33"/>
        <v/>
      </c>
      <c r="AV557" s="389" t="str">
        <f t="shared" si="34"/>
        <v/>
      </c>
      <c r="AW557" s="389" t="str">
        <f t="shared" si="35"/>
        <v/>
      </c>
      <c r="AX557" s="67" t="str">
        <f t="shared" ref="AX557:BH557" si="572">Z557</f>
        <v/>
      </c>
      <c r="AY557" s="67" t="str">
        <f t="shared" si="572"/>
        <v/>
      </c>
      <c r="AZ557" s="67" t="str">
        <f t="shared" si="572"/>
        <v/>
      </c>
      <c r="BA557" s="67" t="str">
        <f t="shared" si="572"/>
        <v/>
      </c>
      <c r="BB557" s="398" t="str">
        <f t="shared" si="572"/>
        <v/>
      </c>
      <c r="BC557" s="358" t="str">
        <f t="shared" si="572"/>
        <v/>
      </c>
      <c r="BD557" s="187" t="str">
        <f t="shared" si="572"/>
        <v/>
      </c>
      <c r="BE557" s="104" t="str">
        <f t="shared" si="572"/>
        <v/>
      </c>
      <c r="BF557" s="389" t="str">
        <f t="shared" si="572"/>
        <v/>
      </c>
      <c r="BG557" s="389" t="str">
        <f t="shared" si="572"/>
        <v>🔵 Chưa có hạn</v>
      </c>
      <c r="BH557" s="67" t="str">
        <f t="shared" si="572"/>
        <v/>
      </c>
      <c r="BI557" s="389" t="str">
        <f t="array" ref="BI557">IF($X557="","",SWITCH($W557,3,IFERROR(INDEX('Lớp 3 - Công việc chính'!$AF$14:$AF$73,MATCH($X557,'Lớp 3 - Công việc chính'!$I$14:$I$73,0)),""),4,IFERROR(INDEX('Lớp 4 - Danh mục'!$AI$14:$AI$132,MATCH($X557,'Lớp 4 - Danh mục'!$I$14:$I$132,0)),""),5,IFERROR(INDEX('Lớp 5 - Phân công'!$AJ$14:$AJ$262,MATCH($X557,'Lớp 5 - Phân công'!$I$14:$I$262,0)),""),6,IFERROR(INDEX('Lớp 6 - Chi tiết'!$AM$14:$AM$267,MATCH($X557,'Lớp 6 - Chi tiết'!$I$14:$I$267,0)),""),""))</f>
        <v/>
      </c>
      <c r="BJ557" s="389" t="str">
        <f t="array" ref="BJ557">IF($X557="","",SWITCH($W557,3,IFERROR(INDEX('Lớp 3 - Công việc chính'!$AR$14:$AR$73,MATCH($X557,'Lớp 3 - Công việc chính'!$I$14:$I$73,0)),""),4,IFERROR(INDEX('Lớp 4 - Danh mục'!$AU$14:$AU$132,MATCH($X557,'Lớp 4 - Danh mục'!$I$14:$I$132,0)),""),5,IFERROR(INDEX('Lớp 5 - Phân công'!$AV$14:$AV$262,MATCH($X557,'Lớp 5 - Phân công'!$I$14:$I$262,0)),""),6,IFERROR(INDEX('Lớp 6 - Chi tiết'!$AY$14:$AY$267,MATCH($X557,'Lớp 6 - Chi tiết'!$I$14:$I$267,0)),""),""))</f>
        <v/>
      </c>
    </row>
    <row r="558" ht="15.75" customHeight="1">
      <c r="A558" s="294" t="str">
        <f t="shared" si="12"/>
        <v/>
      </c>
      <c r="B558" s="301" t="str">
        <f t="shared" si="13"/>
        <v/>
      </c>
      <c r="C558" s="301" t="str">
        <f t="shared" si="14"/>
        <v/>
      </c>
      <c r="D558" s="301" t="str">
        <f t="shared" si="15"/>
        <v/>
      </c>
      <c r="E558" s="301" t="str">
        <f t="shared" si="16"/>
        <v/>
      </c>
      <c r="F558" s="317" t="str">
        <f t="shared" si="17"/>
        <v/>
      </c>
      <c r="G558" s="323" t="str">
        <f t="shared" si="18"/>
        <v/>
      </c>
      <c r="H558" s="327" t="str">
        <f t="shared" si="19"/>
        <v/>
      </c>
      <c r="I558" s="327" t="str">
        <f t="shared" si="20"/>
        <v/>
      </c>
      <c r="J558" s="301" t="str">
        <f t="shared" si="21"/>
        <v/>
      </c>
      <c r="K558" s="301" t="str">
        <f t="shared" si="22"/>
        <v/>
      </c>
      <c r="L558" s="344" t="str">
        <f t="array" ref="L558">IF($T558="","",LET(m,MATCH($T558,$AS$24:$AS$700,0),lvl,INDEX($W$24:$W$700,m),id,INDEX($X$24:$X$700,m),SWITCH(lvl,3,"Lớp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8" s="351" t="str">
        <f t="shared" si="23"/>
        <v/>
      </c>
      <c r="N558" s="356" t="str">
        <f t="shared" si="24"/>
        <v/>
      </c>
      <c r="O558" s="358"/>
      <c r="P558" s="360"/>
      <c r="Q558" s="360"/>
      <c r="R558" s="67"/>
      <c r="S558" s="67"/>
      <c r="T558" s="67"/>
      <c r="U558" s="389" t="str">
        <f>IF('Lớp 6 - Chi tiết'!I120="","",'Lớp 6 - Chi tiết'!L120&amp;"|"&amp;'Lớp 6 - Chi tiết'!K120&amp;"|"&amp;'Lớp 6 - Chi tiết'!J120&amp;"|"&amp;'Lớp 6 - Chi tiết'!I120)</f>
        <v/>
      </c>
      <c r="V558" s="389" t="str">
        <f>IF('Lớp 6 - Chi tiết'!I120="","","           └─ "&amp;'Lớp 6 - Chi tiết'!S120)</f>
        <v/>
      </c>
      <c r="W558" s="389" t="str">
        <f>IF('Lớp 6 - Chi tiết'!I120="","",6)</f>
        <v/>
      </c>
      <c r="X558" s="67" t="str">
        <f>'Lớp 6 - Chi tiết'!I120</f>
        <v/>
      </c>
      <c r="Y558" s="389" t="str">
        <f>'Lớp 6 - Chi tiết'!J120</f>
        <v/>
      </c>
      <c r="Z558" s="67" t="str">
        <f>'Lớp 6 - Chi tiết'!AC120</f>
        <v/>
      </c>
      <c r="AA558" s="67" t="str">
        <f>'Lớp 6 - Chi tiết'!AB120</f>
        <v/>
      </c>
      <c r="AB558" s="67" t="str">
        <f>'Lớp 6 - Chi tiết'!AF120</f>
        <v/>
      </c>
      <c r="AC558" s="67" t="str">
        <f>'Lớp 6 - Chi tiết'!AE120</f>
        <v/>
      </c>
      <c r="AD558" s="398" t="str">
        <f>'Lớp 6 - Chi tiết'!AJ120</f>
        <v/>
      </c>
      <c r="AE558" s="358" t="str">
        <f>'Lớp 6 - Chi tiết'!AH120</f>
        <v/>
      </c>
      <c r="AF558" s="187" t="str">
        <f>'Lớp 6 - Chi tiết'!AK120</f>
        <v/>
      </c>
      <c r="AG558" s="104" t="str">
        <f>'Lớp 6 - Chi tiết'!AL120</f>
        <v/>
      </c>
      <c r="AH558" s="389" t="str">
        <f t="shared" si="27"/>
        <v/>
      </c>
      <c r="AI558" s="389" t="str">
        <f t="shared" si="37"/>
        <v>🔵 Chưa có hạn</v>
      </c>
      <c r="AJ558" s="67" t="str">
        <f>'Lớp 6 - Chi tiết'!AO120</f>
        <v/>
      </c>
      <c r="AS558" s="389" t="str">
        <f t="shared" si="467"/>
        <v/>
      </c>
      <c r="AT558" s="389" t="str">
        <f t="shared" si="32"/>
        <v/>
      </c>
      <c r="AU558" s="389" t="str">
        <f t="shared" si="33"/>
        <v/>
      </c>
      <c r="AV558" s="389" t="str">
        <f t="shared" si="34"/>
        <v/>
      </c>
      <c r="AW558" s="389" t="str">
        <f t="shared" si="35"/>
        <v/>
      </c>
      <c r="AX558" s="67" t="str">
        <f t="shared" ref="AX558:BH558" si="573">Z558</f>
        <v/>
      </c>
      <c r="AY558" s="67" t="str">
        <f t="shared" si="573"/>
        <v/>
      </c>
      <c r="AZ558" s="67" t="str">
        <f t="shared" si="573"/>
        <v/>
      </c>
      <c r="BA558" s="67" t="str">
        <f t="shared" si="573"/>
        <v/>
      </c>
      <c r="BB558" s="398" t="str">
        <f t="shared" si="573"/>
        <v/>
      </c>
      <c r="BC558" s="358" t="str">
        <f t="shared" si="573"/>
        <v/>
      </c>
      <c r="BD558" s="187" t="str">
        <f t="shared" si="573"/>
        <v/>
      </c>
      <c r="BE558" s="104" t="str">
        <f t="shared" si="573"/>
        <v/>
      </c>
      <c r="BF558" s="389" t="str">
        <f t="shared" si="573"/>
        <v/>
      </c>
      <c r="BG558" s="389" t="str">
        <f t="shared" si="573"/>
        <v>🔵 Chưa có hạn</v>
      </c>
      <c r="BH558" s="67" t="str">
        <f t="shared" si="573"/>
        <v/>
      </c>
      <c r="BI558" s="389" t="str">
        <f t="array" ref="BI558">IF($X558="","",SWITCH($W558,3,IFERROR(INDEX('Lớp 3 - Công việc chính'!$AF$14:$AF$73,MATCH($X558,'Lớp 3 - Công việc chính'!$I$14:$I$73,0)),""),4,IFERROR(INDEX('Lớp 4 - Danh mục'!$AI$14:$AI$132,MATCH($X558,'Lớp 4 - Danh mục'!$I$14:$I$132,0)),""),5,IFERROR(INDEX('Lớp 5 - Phân công'!$AJ$14:$AJ$262,MATCH($X558,'Lớp 5 - Phân công'!$I$14:$I$262,0)),""),6,IFERROR(INDEX('Lớp 6 - Chi tiết'!$AM$14:$AM$267,MATCH($X558,'Lớp 6 - Chi tiết'!$I$14:$I$267,0)),""),""))</f>
        <v/>
      </c>
      <c r="BJ558" s="389" t="str">
        <f t="array" ref="BJ558">IF($X558="","",SWITCH($W558,3,IFERROR(INDEX('Lớp 3 - Công việc chính'!$AR$14:$AR$73,MATCH($X558,'Lớp 3 - Công việc chính'!$I$14:$I$73,0)),""),4,IFERROR(INDEX('Lớp 4 - Danh mục'!$AU$14:$AU$132,MATCH($X558,'Lớp 4 - Danh mục'!$I$14:$I$132,0)),""),5,IFERROR(INDEX('Lớp 5 - Phân công'!$AV$14:$AV$262,MATCH($X558,'Lớp 5 - Phân công'!$I$14:$I$262,0)),""),6,IFERROR(INDEX('Lớp 6 - Chi tiết'!$AY$14:$AY$267,MATCH($X558,'Lớp 6 - Chi tiết'!$I$14:$I$267,0)),""),""))</f>
        <v/>
      </c>
    </row>
    <row r="559" ht="15.75" customHeight="1">
      <c r="A559" s="294" t="str">
        <f t="shared" si="12"/>
        <v/>
      </c>
      <c r="B559" s="301" t="str">
        <f t="shared" si="13"/>
        <v/>
      </c>
      <c r="C559" s="301" t="str">
        <f t="shared" si="14"/>
        <v/>
      </c>
      <c r="D559" s="301" t="str">
        <f t="shared" si="15"/>
        <v/>
      </c>
      <c r="E559" s="301" t="str">
        <f t="shared" si="16"/>
        <v/>
      </c>
      <c r="F559" s="317" t="str">
        <f t="shared" si="17"/>
        <v/>
      </c>
      <c r="G559" s="323" t="str">
        <f t="shared" si="18"/>
        <v/>
      </c>
      <c r="H559" s="327" t="str">
        <f t="shared" si="19"/>
        <v/>
      </c>
      <c r="I559" s="327" t="str">
        <f t="shared" si="20"/>
        <v/>
      </c>
      <c r="J559" s="301" t="str">
        <f t="shared" si="21"/>
        <v/>
      </c>
      <c r="K559" s="301" t="str">
        <f t="shared" si="22"/>
        <v/>
      </c>
      <c r="L559" s="344" t="str">
        <f t="array" ref="L559">IF($T559="","",LET(m,MATCH($T559,$AS$24:$AS$700,0),lvl,INDEX($W$24:$W$700,m),id,INDEX($X$24:$X$700,m),SWITCH(lvl,3,"Lớp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59" s="351" t="str">
        <f t="shared" si="23"/>
        <v/>
      </c>
      <c r="N559" s="356" t="str">
        <f t="shared" si="24"/>
        <v/>
      </c>
      <c r="O559" s="358"/>
      <c r="P559" s="360"/>
      <c r="Q559" s="360"/>
      <c r="R559" s="67"/>
      <c r="S559" s="67"/>
      <c r="T559" s="67"/>
      <c r="U559" s="389" t="str">
        <f>IF('Lớp 6 - Chi tiết'!I121="","",'Lớp 6 - Chi tiết'!L121&amp;"|"&amp;'Lớp 6 - Chi tiết'!K121&amp;"|"&amp;'Lớp 6 - Chi tiết'!J121&amp;"|"&amp;'Lớp 6 - Chi tiết'!I121)</f>
        <v/>
      </c>
      <c r="V559" s="389" t="str">
        <f>IF('Lớp 6 - Chi tiết'!I121="","","           └─ "&amp;'Lớp 6 - Chi tiết'!S121)</f>
        <v/>
      </c>
      <c r="W559" s="389" t="str">
        <f>IF('Lớp 6 - Chi tiết'!I121="","",6)</f>
        <v/>
      </c>
      <c r="X559" s="67" t="str">
        <f>'Lớp 6 - Chi tiết'!I121</f>
        <v/>
      </c>
      <c r="Y559" s="389" t="str">
        <f>'Lớp 6 - Chi tiết'!J121</f>
        <v/>
      </c>
      <c r="Z559" s="67" t="str">
        <f>'Lớp 6 - Chi tiết'!AC121</f>
        <v/>
      </c>
      <c r="AA559" s="67" t="str">
        <f>'Lớp 6 - Chi tiết'!AB121</f>
        <v/>
      </c>
      <c r="AB559" s="67" t="str">
        <f>'Lớp 6 - Chi tiết'!AF121</f>
        <v/>
      </c>
      <c r="AC559" s="67" t="str">
        <f>'Lớp 6 - Chi tiết'!AE121</f>
        <v/>
      </c>
      <c r="AD559" s="398" t="str">
        <f>'Lớp 6 - Chi tiết'!AJ121</f>
        <v/>
      </c>
      <c r="AE559" s="358" t="str">
        <f>'Lớp 6 - Chi tiết'!AH121</f>
        <v/>
      </c>
      <c r="AF559" s="187" t="str">
        <f>'Lớp 6 - Chi tiết'!AK121</f>
        <v/>
      </c>
      <c r="AG559" s="104" t="str">
        <f>'Lớp 6 - Chi tiết'!AL121</f>
        <v/>
      </c>
      <c r="AH559" s="389" t="str">
        <f t="shared" si="27"/>
        <v/>
      </c>
      <c r="AI559" s="389" t="str">
        <f t="shared" si="37"/>
        <v>🔵 Chưa có hạn</v>
      </c>
      <c r="AJ559" s="67" t="str">
        <f>'Lớp 6 - Chi tiết'!AO121</f>
        <v/>
      </c>
      <c r="AS559" s="389" t="str">
        <f t="shared" si="467"/>
        <v/>
      </c>
      <c r="AT559" s="389" t="str">
        <f t="shared" si="32"/>
        <v/>
      </c>
      <c r="AU559" s="389" t="str">
        <f t="shared" si="33"/>
        <v/>
      </c>
      <c r="AV559" s="389" t="str">
        <f t="shared" si="34"/>
        <v/>
      </c>
      <c r="AW559" s="389" t="str">
        <f t="shared" si="35"/>
        <v/>
      </c>
      <c r="AX559" s="67" t="str">
        <f t="shared" ref="AX559:BH559" si="574">Z559</f>
        <v/>
      </c>
      <c r="AY559" s="67" t="str">
        <f t="shared" si="574"/>
        <v/>
      </c>
      <c r="AZ559" s="67" t="str">
        <f t="shared" si="574"/>
        <v/>
      </c>
      <c r="BA559" s="67" t="str">
        <f t="shared" si="574"/>
        <v/>
      </c>
      <c r="BB559" s="398" t="str">
        <f t="shared" si="574"/>
        <v/>
      </c>
      <c r="BC559" s="358" t="str">
        <f t="shared" si="574"/>
        <v/>
      </c>
      <c r="BD559" s="187" t="str">
        <f t="shared" si="574"/>
        <v/>
      </c>
      <c r="BE559" s="104" t="str">
        <f t="shared" si="574"/>
        <v/>
      </c>
      <c r="BF559" s="389" t="str">
        <f t="shared" si="574"/>
        <v/>
      </c>
      <c r="BG559" s="389" t="str">
        <f t="shared" si="574"/>
        <v>🔵 Chưa có hạn</v>
      </c>
      <c r="BH559" s="67" t="str">
        <f t="shared" si="574"/>
        <v/>
      </c>
      <c r="BI559" s="389" t="str">
        <f t="array" ref="BI559">IF($X559="","",SWITCH($W559,3,IFERROR(INDEX('Lớp 3 - Công việc chính'!$AF$14:$AF$73,MATCH($X559,'Lớp 3 - Công việc chính'!$I$14:$I$73,0)),""),4,IFERROR(INDEX('Lớp 4 - Danh mục'!$AI$14:$AI$132,MATCH($X559,'Lớp 4 - Danh mục'!$I$14:$I$132,0)),""),5,IFERROR(INDEX('Lớp 5 - Phân công'!$AJ$14:$AJ$262,MATCH($X559,'Lớp 5 - Phân công'!$I$14:$I$262,0)),""),6,IFERROR(INDEX('Lớp 6 - Chi tiết'!$AM$14:$AM$267,MATCH($X559,'Lớp 6 - Chi tiết'!$I$14:$I$267,0)),""),""))</f>
        <v/>
      </c>
      <c r="BJ559" s="389" t="str">
        <f t="array" ref="BJ559">IF($X559="","",SWITCH($W559,3,IFERROR(INDEX('Lớp 3 - Công việc chính'!$AR$14:$AR$73,MATCH($X559,'Lớp 3 - Công việc chính'!$I$14:$I$73,0)),""),4,IFERROR(INDEX('Lớp 4 - Danh mục'!$AU$14:$AU$132,MATCH($X559,'Lớp 4 - Danh mục'!$I$14:$I$132,0)),""),5,IFERROR(INDEX('Lớp 5 - Phân công'!$AV$14:$AV$262,MATCH($X559,'Lớp 5 - Phân công'!$I$14:$I$262,0)),""),6,IFERROR(INDEX('Lớp 6 - Chi tiết'!$AY$14:$AY$267,MATCH($X559,'Lớp 6 - Chi tiết'!$I$14:$I$267,0)),""),""))</f>
        <v/>
      </c>
    </row>
    <row r="560" ht="15.75" customHeight="1">
      <c r="A560" s="294" t="str">
        <f t="shared" si="12"/>
        <v/>
      </c>
      <c r="B560" s="301" t="str">
        <f t="shared" si="13"/>
        <v/>
      </c>
      <c r="C560" s="301" t="str">
        <f t="shared" si="14"/>
        <v/>
      </c>
      <c r="D560" s="301" t="str">
        <f t="shared" si="15"/>
        <v/>
      </c>
      <c r="E560" s="301" t="str">
        <f t="shared" si="16"/>
        <v/>
      </c>
      <c r="F560" s="317" t="str">
        <f t="shared" si="17"/>
        <v/>
      </c>
      <c r="G560" s="323" t="str">
        <f t="shared" si="18"/>
        <v/>
      </c>
      <c r="H560" s="327" t="str">
        <f t="shared" si="19"/>
        <v/>
      </c>
      <c r="I560" s="327" t="str">
        <f t="shared" si="20"/>
        <v/>
      </c>
      <c r="J560" s="301" t="str">
        <f t="shared" si="21"/>
        <v/>
      </c>
      <c r="K560" s="301" t="str">
        <f t="shared" si="22"/>
        <v/>
      </c>
      <c r="L560" s="344" t="str">
        <f t="array" ref="L560">IF($T560="","",LET(m,MATCH($T560,$AS$24:$AS$700,0),lvl,INDEX($W$24:$W$700,m),id,INDEX($X$24:$X$700,m),SWITCH(lvl,3,"Lớp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0" s="351" t="str">
        <f t="shared" si="23"/>
        <v/>
      </c>
      <c r="N560" s="356" t="str">
        <f t="shared" si="24"/>
        <v/>
      </c>
      <c r="O560" s="358"/>
      <c r="P560" s="360"/>
      <c r="Q560" s="360"/>
      <c r="R560" s="67"/>
      <c r="S560" s="67"/>
      <c r="T560" s="67"/>
      <c r="U560" s="389" t="str">
        <f>IF('Lớp 6 - Chi tiết'!I122="","",'Lớp 6 - Chi tiết'!L122&amp;"|"&amp;'Lớp 6 - Chi tiết'!K122&amp;"|"&amp;'Lớp 6 - Chi tiết'!J122&amp;"|"&amp;'Lớp 6 - Chi tiết'!I122)</f>
        <v/>
      </c>
      <c r="V560" s="389" t="str">
        <f>IF('Lớp 6 - Chi tiết'!I122="","","           └─ "&amp;'Lớp 6 - Chi tiết'!S122)</f>
        <v/>
      </c>
      <c r="W560" s="389" t="str">
        <f>IF('Lớp 6 - Chi tiết'!I122="","",6)</f>
        <v/>
      </c>
      <c r="X560" s="67" t="str">
        <f>'Lớp 6 - Chi tiết'!I122</f>
        <v/>
      </c>
      <c r="Y560" s="389" t="str">
        <f>'Lớp 6 - Chi tiết'!J122</f>
        <v/>
      </c>
      <c r="Z560" s="67" t="str">
        <f>'Lớp 6 - Chi tiết'!AC122</f>
        <v/>
      </c>
      <c r="AA560" s="67" t="str">
        <f>'Lớp 6 - Chi tiết'!AB122</f>
        <v/>
      </c>
      <c r="AB560" s="67" t="str">
        <f>'Lớp 6 - Chi tiết'!AF122</f>
        <v/>
      </c>
      <c r="AC560" s="67" t="str">
        <f>'Lớp 6 - Chi tiết'!AE122</f>
        <v/>
      </c>
      <c r="AD560" s="398" t="str">
        <f>'Lớp 6 - Chi tiết'!AJ122</f>
        <v/>
      </c>
      <c r="AE560" s="358" t="str">
        <f>'Lớp 6 - Chi tiết'!AH122</f>
        <v/>
      </c>
      <c r="AF560" s="187" t="str">
        <f>'Lớp 6 - Chi tiết'!AK122</f>
        <v/>
      </c>
      <c r="AG560" s="104" t="str">
        <f>'Lớp 6 - Chi tiết'!AL122</f>
        <v/>
      </c>
      <c r="AH560" s="389" t="str">
        <f t="shared" si="27"/>
        <v/>
      </c>
      <c r="AI560" s="389" t="str">
        <f t="shared" si="37"/>
        <v>🔵 Chưa có hạn</v>
      </c>
      <c r="AJ560" s="67" t="str">
        <f>'Lớp 6 - Chi tiết'!AO122</f>
        <v/>
      </c>
      <c r="AS560" s="389" t="str">
        <f t="shared" si="467"/>
        <v/>
      </c>
      <c r="AT560" s="389" t="str">
        <f t="shared" si="32"/>
        <v/>
      </c>
      <c r="AU560" s="389" t="str">
        <f t="shared" si="33"/>
        <v/>
      </c>
      <c r="AV560" s="389" t="str">
        <f t="shared" si="34"/>
        <v/>
      </c>
      <c r="AW560" s="389" t="str">
        <f t="shared" si="35"/>
        <v/>
      </c>
      <c r="AX560" s="67" t="str">
        <f t="shared" ref="AX560:BH560" si="575">Z560</f>
        <v/>
      </c>
      <c r="AY560" s="67" t="str">
        <f t="shared" si="575"/>
        <v/>
      </c>
      <c r="AZ560" s="67" t="str">
        <f t="shared" si="575"/>
        <v/>
      </c>
      <c r="BA560" s="67" t="str">
        <f t="shared" si="575"/>
        <v/>
      </c>
      <c r="BB560" s="398" t="str">
        <f t="shared" si="575"/>
        <v/>
      </c>
      <c r="BC560" s="358" t="str">
        <f t="shared" si="575"/>
        <v/>
      </c>
      <c r="BD560" s="187" t="str">
        <f t="shared" si="575"/>
        <v/>
      </c>
      <c r="BE560" s="104" t="str">
        <f t="shared" si="575"/>
        <v/>
      </c>
      <c r="BF560" s="389" t="str">
        <f t="shared" si="575"/>
        <v/>
      </c>
      <c r="BG560" s="389" t="str">
        <f t="shared" si="575"/>
        <v>🔵 Chưa có hạn</v>
      </c>
      <c r="BH560" s="67" t="str">
        <f t="shared" si="575"/>
        <v/>
      </c>
      <c r="BI560" s="389" t="str">
        <f t="array" ref="BI560">IF($X560="","",SWITCH($W560,3,IFERROR(INDEX('Lớp 3 - Công việc chính'!$AF$14:$AF$73,MATCH($X560,'Lớp 3 - Công việc chính'!$I$14:$I$73,0)),""),4,IFERROR(INDEX('Lớp 4 - Danh mục'!$AI$14:$AI$132,MATCH($X560,'Lớp 4 - Danh mục'!$I$14:$I$132,0)),""),5,IFERROR(INDEX('Lớp 5 - Phân công'!$AJ$14:$AJ$262,MATCH($X560,'Lớp 5 - Phân công'!$I$14:$I$262,0)),""),6,IFERROR(INDEX('Lớp 6 - Chi tiết'!$AM$14:$AM$267,MATCH($X560,'Lớp 6 - Chi tiết'!$I$14:$I$267,0)),""),""))</f>
        <v/>
      </c>
      <c r="BJ560" s="389" t="str">
        <f t="array" ref="BJ560">IF($X560="","",SWITCH($W560,3,IFERROR(INDEX('Lớp 3 - Công việc chính'!$AR$14:$AR$73,MATCH($X560,'Lớp 3 - Công việc chính'!$I$14:$I$73,0)),""),4,IFERROR(INDEX('Lớp 4 - Danh mục'!$AU$14:$AU$132,MATCH($X560,'Lớp 4 - Danh mục'!$I$14:$I$132,0)),""),5,IFERROR(INDEX('Lớp 5 - Phân công'!$AV$14:$AV$262,MATCH($X560,'Lớp 5 - Phân công'!$I$14:$I$262,0)),""),6,IFERROR(INDEX('Lớp 6 - Chi tiết'!$AY$14:$AY$267,MATCH($X560,'Lớp 6 - Chi tiết'!$I$14:$I$267,0)),""),""))</f>
        <v/>
      </c>
    </row>
    <row r="561" ht="15.75" customHeight="1">
      <c r="A561" s="294" t="str">
        <f t="shared" si="12"/>
        <v/>
      </c>
      <c r="B561" s="301" t="str">
        <f t="shared" si="13"/>
        <v/>
      </c>
      <c r="C561" s="301" t="str">
        <f t="shared" si="14"/>
        <v/>
      </c>
      <c r="D561" s="301" t="str">
        <f t="shared" si="15"/>
        <v/>
      </c>
      <c r="E561" s="301" t="str">
        <f t="shared" si="16"/>
        <v/>
      </c>
      <c r="F561" s="317" t="str">
        <f t="shared" si="17"/>
        <v/>
      </c>
      <c r="G561" s="323" t="str">
        <f t="shared" si="18"/>
        <v/>
      </c>
      <c r="H561" s="327" t="str">
        <f t="shared" si="19"/>
        <v/>
      </c>
      <c r="I561" s="327" t="str">
        <f t="shared" si="20"/>
        <v/>
      </c>
      <c r="J561" s="301" t="str">
        <f t="shared" si="21"/>
        <v/>
      </c>
      <c r="K561" s="301" t="str">
        <f t="shared" si="22"/>
        <v/>
      </c>
      <c r="L561" s="344" t="str">
        <f t="array" ref="L561">IF($T561="","",LET(m,MATCH($T561,$AS$24:$AS$700,0),lvl,INDEX($W$24:$W$700,m),id,INDEX($X$24:$X$700,m),SWITCH(lvl,3,"Lớp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1" s="351" t="str">
        <f t="shared" si="23"/>
        <v/>
      </c>
      <c r="N561" s="356" t="str">
        <f t="shared" si="24"/>
        <v/>
      </c>
      <c r="O561" s="358"/>
      <c r="P561" s="360"/>
      <c r="Q561" s="360"/>
      <c r="R561" s="67"/>
      <c r="S561" s="67"/>
      <c r="T561" s="67"/>
      <c r="U561" s="389" t="str">
        <f>IF('Lớp 6 - Chi tiết'!I123="","",'Lớp 6 - Chi tiết'!L123&amp;"|"&amp;'Lớp 6 - Chi tiết'!K123&amp;"|"&amp;'Lớp 6 - Chi tiết'!J123&amp;"|"&amp;'Lớp 6 - Chi tiết'!I123)</f>
        <v/>
      </c>
      <c r="V561" s="389" t="str">
        <f>IF('Lớp 6 - Chi tiết'!I123="","","           └─ "&amp;'Lớp 6 - Chi tiết'!S123)</f>
        <v/>
      </c>
      <c r="W561" s="389" t="str">
        <f>IF('Lớp 6 - Chi tiết'!I123="","",6)</f>
        <v/>
      </c>
      <c r="X561" s="67" t="str">
        <f>'Lớp 6 - Chi tiết'!I123</f>
        <v/>
      </c>
      <c r="Y561" s="389" t="str">
        <f>'Lớp 6 - Chi tiết'!J123</f>
        <v/>
      </c>
      <c r="Z561" s="67" t="str">
        <f>'Lớp 6 - Chi tiết'!AC123</f>
        <v/>
      </c>
      <c r="AA561" s="67" t="str">
        <f>'Lớp 6 - Chi tiết'!AB123</f>
        <v/>
      </c>
      <c r="AB561" s="67" t="str">
        <f>'Lớp 6 - Chi tiết'!AF123</f>
        <v/>
      </c>
      <c r="AC561" s="67" t="str">
        <f>'Lớp 6 - Chi tiết'!AE123</f>
        <v/>
      </c>
      <c r="AD561" s="398" t="str">
        <f>'Lớp 6 - Chi tiết'!AJ123</f>
        <v/>
      </c>
      <c r="AE561" s="358" t="str">
        <f>'Lớp 6 - Chi tiết'!AH123</f>
        <v/>
      </c>
      <c r="AF561" s="187" t="str">
        <f>'Lớp 6 - Chi tiết'!AK123</f>
        <v/>
      </c>
      <c r="AG561" s="104" t="str">
        <f>'Lớp 6 - Chi tiết'!AL123</f>
        <v/>
      </c>
      <c r="AH561" s="389" t="str">
        <f t="shared" si="27"/>
        <v/>
      </c>
      <c r="AI561" s="389" t="str">
        <f t="shared" si="37"/>
        <v>🔵 Chưa có hạn</v>
      </c>
      <c r="AJ561" s="67" t="str">
        <f>'Lớp 6 - Chi tiết'!AO123</f>
        <v/>
      </c>
      <c r="AS561" s="389" t="str">
        <f t="shared" si="467"/>
        <v/>
      </c>
      <c r="AT561" s="389" t="str">
        <f t="shared" si="32"/>
        <v/>
      </c>
      <c r="AU561" s="389" t="str">
        <f t="shared" si="33"/>
        <v/>
      </c>
      <c r="AV561" s="389" t="str">
        <f t="shared" si="34"/>
        <v/>
      </c>
      <c r="AW561" s="389" t="str">
        <f t="shared" si="35"/>
        <v/>
      </c>
      <c r="AX561" s="67" t="str">
        <f t="shared" ref="AX561:BH561" si="576">Z561</f>
        <v/>
      </c>
      <c r="AY561" s="67" t="str">
        <f t="shared" si="576"/>
        <v/>
      </c>
      <c r="AZ561" s="67" t="str">
        <f t="shared" si="576"/>
        <v/>
      </c>
      <c r="BA561" s="67" t="str">
        <f t="shared" si="576"/>
        <v/>
      </c>
      <c r="BB561" s="398" t="str">
        <f t="shared" si="576"/>
        <v/>
      </c>
      <c r="BC561" s="358" t="str">
        <f t="shared" si="576"/>
        <v/>
      </c>
      <c r="BD561" s="187" t="str">
        <f t="shared" si="576"/>
        <v/>
      </c>
      <c r="BE561" s="104" t="str">
        <f t="shared" si="576"/>
        <v/>
      </c>
      <c r="BF561" s="389" t="str">
        <f t="shared" si="576"/>
        <v/>
      </c>
      <c r="BG561" s="389" t="str">
        <f t="shared" si="576"/>
        <v>🔵 Chưa có hạn</v>
      </c>
      <c r="BH561" s="67" t="str">
        <f t="shared" si="576"/>
        <v/>
      </c>
      <c r="BI561" s="389" t="str">
        <f t="array" ref="BI561">IF($X561="","",SWITCH($W561,3,IFERROR(INDEX('Lớp 3 - Công việc chính'!$AF$14:$AF$73,MATCH($X561,'Lớp 3 - Công việc chính'!$I$14:$I$73,0)),""),4,IFERROR(INDEX('Lớp 4 - Danh mục'!$AI$14:$AI$132,MATCH($X561,'Lớp 4 - Danh mục'!$I$14:$I$132,0)),""),5,IFERROR(INDEX('Lớp 5 - Phân công'!$AJ$14:$AJ$262,MATCH($X561,'Lớp 5 - Phân công'!$I$14:$I$262,0)),""),6,IFERROR(INDEX('Lớp 6 - Chi tiết'!$AM$14:$AM$267,MATCH($X561,'Lớp 6 - Chi tiết'!$I$14:$I$267,0)),""),""))</f>
        <v/>
      </c>
      <c r="BJ561" s="389" t="str">
        <f t="array" ref="BJ561">IF($X561="","",SWITCH($W561,3,IFERROR(INDEX('Lớp 3 - Công việc chính'!$AR$14:$AR$73,MATCH($X561,'Lớp 3 - Công việc chính'!$I$14:$I$73,0)),""),4,IFERROR(INDEX('Lớp 4 - Danh mục'!$AU$14:$AU$132,MATCH($X561,'Lớp 4 - Danh mục'!$I$14:$I$132,0)),""),5,IFERROR(INDEX('Lớp 5 - Phân công'!$AV$14:$AV$262,MATCH($X561,'Lớp 5 - Phân công'!$I$14:$I$262,0)),""),6,IFERROR(INDEX('Lớp 6 - Chi tiết'!$AY$14:$AY$267,MATCH($X561,'Lớp 6 - Chi tiết'!$I$14:$I$267,0)),""),""))</f>
        <v/>
      </c>
    </row>
    <row r="562" ht="15.75" customHeight="1">
      <c r="A562" s="294" t="str">
        <f t="shared" si="12"/>
        <v/>
      </c>
      <c r="B562" s="301" t="str">
        <f t="shared" si="13"/>
        <v/>
      </c>
      <c r="C562" s="301" t="str">
        <f t="shared" si="14"/>
        <v/>
      </c>
      <c r="D562" s="301" t="str">
        <f t="shared" si="15"/>
        <v/>
      </c>
      <c r="E562" s="301" t="str">
        <f t="shared" si="16"/>
        <v/>
      </c>
      <c r="F562" s="317" t="str">
        <f t="shared" si="17"/>
        <v/>
      </c>
      <c r="G562" s="323" t="str">
        <f t="shared" si="18"/>
        <v/>
      </c>
      <c r="H562" s="327" t="str">
        <f t="shared" si="19"/>
        <v/>
      </c>
      <c r="I562" s="327" t="str">
        <f t="shared" si="20"/>
        <v/>
      </c>
      <c r="J562" s="301" t="str">
        <f t="shared" si="21"/>
        <v/>
      </c>
      <c r="K562" s="301" t="str">
        <f t="shared" si="22"/>
        <v/>
      </c>
      <c r="L562" s="344" t="str">
        <f t="array" ref="L562">IF($T562="","",LET(m,MATCH($T562,$AS$24:$AS$700,0),lvl,INDEX($W$24:$W$700,m),id,INDEX($X$24:$X$700,m),SWITCH(lvl,3,"Lớp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2" s="351" t="str">
        <f t="shared" si="23"/>
        <v/>
      </c>
      <c r="N562" s="356" t="str">
        <f t="shared" si="24"/>
        <v/>
      </c>
      <c r="O562" s="358"/>
      <c r="P562" s="360"/>
      <c r="Q562" s="360"/>
      <c r="R562" s="67"/>
      <c r="S562" s="67"/>
      <c r="T562" s="67"/>
      <c r="U562" s="389" t="str">
        <f>IF('Lớp 6 - Chi tiết'!I124="","",'Lớp 6 - Chi tiết'!L124&amp;"|"&amp;'Lớp 6 - Chi tiết'!K124&amp;"|"&amp;'Lớp 6 - Chi tiết'!J124&amp;"|"&amp;'Lớp 6 - Chi tiết'!I124)</f>
        <v/>
      </c>
      <c r="V562" s="389" t="str">
        <f>IF('Lớp 6 - Chi tiết'!I124="","","           └─ "&amp;'Lớp 6 - Chi tiết'!S124)</f>
        <v/>
      </c>
      <c r="W562" s="389" t="str">
        <f>IF('Lớp 6 - Chi tiết'!I124="","",6)</f>
        <v/>
      </c>
      <c r="X562" s="67" t="str">
        <f>'Lớp 6 - Chi tiết'!I124</f>
        <v/>
      </c>
      <c r="Y562" s="389" t="str">
        <f>'Lớp 6 - Chi tiết'!J124</f>
        <v/>
      </c>
      <c r="Z562" s="67" t="str">
        <f>'Lớp 6 - Chi tiết'!AC124</f>
        <v/>
      </c>
      <c r="AA562" s="67" t="str">
        <f>'Lớp 6 - Chi tiết'!AB124</f>
        <v/>
      </c>
      <c r="AB562" s="67" t="str">
        <f>'Lớp 6 - Chi tiết'!AF124</f>
        <v/>
      </c>
      <c r="AC562" s="67" t="str">
        <f>'Lớp 6 - Chi tiết'!AE124</f>
        <v/>
      </c>
      <c r="AD562" s="398" t="str">
        <f>'Lớp 6 - Chi tiết'!AJ124</f>
        <v/>
      </c>
      <c r="AE562" s="358" t="str">
        <f>'Lớp 6 - Chi tiết'!AH124</f>
        <v/>
      </c>
      <c r="AF562" s="187" t="str">
        <f>'Lớp 6 - Chi tiết'!AK124</f>
        <v/>
      </c>
      <c r="AG562" s="104" t="str">
        <f>'Lớp 6 - Chi tiết'!AL124</f>
        <v/>
      </c>
      <c r="AH562" s="389" t="str">
        <f t="shared" si="27"/>
        <v/>
      </c>
      <c r="AI562" s="389" t="str">
        <f t="shared" si="37"/>
        <v>🔵 Chưa có hạn</v>
      </c>
      <c r="AJ562" s="67" t="str">
        <f>'Lớp 6 - Chi tiết'!AO124</f>
        <v/>
      </c>
      <c r="AS562" s="389" t="str">
        <f t="shared" si="467"/>
        <v/>
      </c>
      <c r="AT562" s="389" t="str">
        <f t="shared" si="32"/>
        <v/>
      </c>
      <c r="AU562" s="389" t="str">
        <f t="shared" si="33"/>
        <v/>
      </c>
      <c r="AV562" s="389" t="str">
        <f t="shared" si="34"/>
        <v/>
      </c>
      <c r="AW562" s="389" t="str">
        <f t="shared" si="35"/>
        <v/>
      </c>
      <c r="AX562" s="67" t="str">
        <f t="shared" ref="AX562:BH562" si="577">Z562</f>
        <v/>
      </c>
      <c r="AY562" s="67" t="str">
        <f t="shared" si="577"/>
        <v/>
      </c>
      <c r="AZ562" s="67" t="str">
        <f t="shared" si="577"/>
        <v/>
      </c>
      <c r="BA562" s="67" t="str">
        <f t="shared" si="577"/>
        <v/>
      </c>
      <c r="BB562" s="398" t="str">
        <f t="shared" si="577"/>
        <v/>
      </c>
      <c r="BC562" s="358" t="str">
        <f t="shared" si="577"/>
        <v/>
      </c>
      <c r="BD562" s="187" t="str">
        <f t="shared" si="577"/>
        <v/>
      </c>
      <c r="BE562" s="104" t="str">
        <f t="shared" si="577"/>
        <v/>
      </c>
      <c r="BF562" s="389" t="str">
        <f t="shared" si="577"/>
        <v/>
      </c>
      <c r="BG562" s="389" t="str">
        <f t="shared" si="577"/>
        <v>🔵 Chưa có hạn</v>
      </c>
      <c r="BH562" s="67" t="str">
        <f t="shared" si="577"/>
        <v/>
      </c>
      <c r="BI562" s="389" t="str">
        <f t="array" ref="BI562">IF($X562="","",SWITCH($W562,3,IFERROR(INDEX('Lớp 3 - Công việc chính'!$AF$14:$AF$73,MATCH($X562,'Lớp 3 - Công việc chính'!$I$14:$I$73,0)),""),4,IFERROR(INDEX('Lớp 4 - Danh mục'!$AI$14:$AI$132,MATCH($X562,'Lớp 4 - Danh mục'!$I$14:$I$132,0)),""),5,IFERROR(INDEX('Lớp 5 - Phân công'!$AJ$14:$AJ$262,MATCH($X562,'Lớp 5 - Phân công'!$I$14:$I$262,0)),""),6,IFERROR(INDEX('Lớp 6 - Chi tiết'!$AM$14:$AM$267,MATCH($X562,'Lớp 6 - Chi tiết'!$I$14:$I$267,0)),""),""))</f>
        <v/>
      </c>
      <c r="BJ562" s="389" t="str">
        <f t="array" ref="BJ562">IF($X562="","",SWITCH($W562,3,IFERROR(INDEX('Lớp 3 - Công việc chính'!$AR$14:$AR$73,MATCH($X562,'Lớp 3 - Công việc chính'!$I$14:$I$73,0)),""),4,IFERROR(INDEX('Lớp 4 - Danh mục'!$AU$14:$AU$132,MATCH($X562,'Lớp 4 - Danh mục'!$I$14:$I$132,0)),""),5,IFERROR(INDEX('Lớp 5 - Phân công'!$AV$14:$AV$262,MATCH($X562,'Lớp 5 - Phân công'!$I$14:$I$262,0)),""),6,IFERROR(INDEX('Lớp 6 - Chi tiết'!$AY$14:$AY$267,MATCH($X562,'Lớp 6 - Chi tiết'!$I$14:$I$267,0)),""),""))</f>
        <v/>
      </c>
    </row>
    <row r="563" ht="15.75" customHeight="1">
      <c r="A563" s="294" t="str">
        <f t="shared" si="12"/>
        <v/>
      </c>
      <c r="B563" s="301" t="str">
        <f t="shared" si="13"/>
        <v/>
      </c>
      <c r="C563" s="301" t="str">
        <f t="shared" si="14"/>
        <v/>
      </c>
      <c r="D563" s="301" t="str">
        <f t="shared" si="15"/>
        <v/>
      </c>
      <c r="E563" s="301" t="str">
        <f t="shared" si="16"/>
        <v/>
      </c>
      <c r="F563" s="317" t="str">
        <f t="shared" si="17"/>
        <v/>
      </c>
      <c r="G563" s="323" t="str">
        <f t="shared" si="18"/>
        <v/>
      </c>
      <c r="H563" s="327" t="str">
        <f t="shared" si="19"/>
        <v/>
      </c>
      <c r="I563" s="327" t="str">
        <f t="shared" si="20"/>
        <v/>
      </c>
      <c r="J563" s="301" t="str">
        <f t="shared" si="21"/>
        <v/>
      </c>
      <c r="K563" s="301" t="str">
        <f t="shared" si="22"/>
        <v/>
      </c>
      <c r="L563" s="344" t="str">
        <f t="array" ref="L563">IF($T563="","",LET(m,MATCH($T563,$AS$24:$AS$700,0),lvl,INDEX($W$24:$W$700,m),id,INDEX($X$24:$X$700,m),SWITCH(lvl,3,"Lớp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3" s="351" t="str">
        <f t="shared" si="23"/>
        <v/>
      </c>
      <c r="N563" s="356" t="str">
        <f t="shared" si="24"/>
        <v/>
      </c>
      <c r="O563" s="358"/>
      <c r="P563" s="360"/>
      <c r="Q563" s="360"/>
      <c r="R563" s="67"/>
      <c r="S563" s="67"/>
      <c r="T563" s="67"/>
      <c r="U563" s="389" t="str">
        <f>IF('Lớp 6 - Chi tiết'!I125="","",'Lớp 6 - Chi tiết'!L125&amp;"|"&amp;'Lớp 6 - Chi tiết'!K125&amp;"|"&amp;'Lớp 6 - Chi tiết'!J125&amp;"|"&amp;'Lớp 6 - Chi tiết'!I125)</f>
        <v/>
      </c>
      <c r="V563" s="389" t="str">
        <f>IF('Lớp 6 - Chi tiết'!I125="","","           └─ "&amp;'Lớp 6 - Chi tiết'!S125)</f>
        <v/>
      </c>
      <c r="W563" s="389" t="str">
        <f>IF('Lớp 6 - Chi tiết'!I125="","",6)</f>
        <v/>
      </c>
      <c r="X563" s="67" t="str">
        <f>'Lớp 6 - Chi tiết'!I125</f>
        <v/>
      </c>
      <c r="Y563" s="389" t="str">
        <f>'Lớp 6 - Chi tiết'!J125</f>
        <v/>
      </c>
      <c r="Z563" s="67" t="str">
        <f>'Lớp 6 - Chi tiết'!AC125</f>
        <v/>
      </c>
      <c r="AA563" s="67" t="str">
        <f>'Lớp 6 - Chi tiết'!AB125</f>
        <v/>
      </c>
      <c r="AB563" s="67" t="str">
        <f>'Lớp 6 - Chi tiết'!AF125</f>
        <v/>
      </c>
      <c r="AC563" s="67" t="str">
        <f>'Lớp 6 - Chi tiết'!AE125</f>
        <v/>
      </c>
      <c r="AD563" s="398" t="str">
        <f>'Lớp 6 - Chi tiết'!AJ125</f>
        <v/>
      </c>
      <c r="AE563" s="358" t="str">
        <f>'Lớp 6 - Chi tiết'!AH125</f>
        <v/>
      </c>
      <c r="AF563" s="187" t="str">
        <f>'Lớp 6 - Chi tiết'!AK125</f>
        <v/>
      </c>
      <c r="AG563" s="104" t="str">
        <f>'Lớp 6 - Chi tiết'!AL125</f>
        <v/>
      </c>
      <c r="AH563" s="389" t="str">
        <f t="shared" si="27"/>
        <v/>
      </c>
      <c r="AI563" s="389" t="str">
        <f t="shared" si="37"/>
        <v>🔵 Chưa có hạn</v>
      </c>
      <c r="AJ563" s="67" t="str">
        <f>'Lớp 6 - Chi tiết'!AO125</f>
        <v/>
      </c>
      <c r="AS563" s="389" t="str">
        <f t="shared" si="467"/>
        <v/>
      </c>
      <c r="AT563" s="389" t="str">
        <f t="shared" si="32"/>
        <v/>
      </c>
      <c r="AU563" s="389" t="str">
        <f t="shared" si="33"/>
        <v/>
      </c>
      <c r="AV563" s="389" t="str">
        <f t="shared" si="34"/>
        <v/>
      </c>
      <c r="AW563" s="389" t="str">
        <f t="shared" si="35"/>
        <v/>
      </c>
      <c r="AX563" s="67" t="str">
        <f t="shared" ref="AX563:BH563" si="578">Z563</f>
        <v/>
      </c>
      <c r="AY563" s="67" t="str">
        <f t="shared" si="578"/>
        <v/>
      </c>
      <c r="AZ563" s="67" t="str">
        <f t="shared" si="578"/>
        <v/>
      </c>
      <c r="BA563" s="67" t="str">
        <f t="shared" si="578"/>
        <v/>
      </c>
      <c r="BB563" s="398" t="str">
        <f t="shared" si="578"/>
        <v/>
      </c>
      <c r="BC563" s="358" t="str">
        <f t="shared" si="578"/>
        <v/>
      </c>
      <c r="BD563" s="187" t="str">
        <f t="shared" si="578"/>
        <v/>
      </c>
      <c r="BE563" s="104" t="str">
        <f t="shared" si="578"/>
        <v/>
      </c>
      <c r="BF563" s="389" t="str">
        <f t="shared" si="578"/>
        <v/>
      </c>
      <c r="BG563" s="389" t="str">
        <f t="shared" si="578"/>
        <v>🔵 Chưa có hạn</v>
      </c>
      <c r="BH563" s="67" t="str">
        <f t="shared" si="578"/>
        <v/>
      </c>
      <c r="BI563" s="389" t="str">
        <f t="array" ref="BI563">IF($X563="","",SWITCH($W563,3,IFERROR(INDEX('Lớp 3 - Công việc chính'!$AF$14:$AF$73,MATCH($X563,'Lớp 3 - Công việc chính'!$I$14:$I$73,0)),""),4,IFERROR(INDEX('Lớp 4 - Danh mục'!$AI$14:$AI$132,MATCH($X563,'Lớp 4 - Danh mục'!$I$14:$I$132,0)),""),5,IFERROR(INDEX('Lớp 5 - Phân công'!$AJ$14:$AJ$262,MATCH($X563,'Lớp 5 - Phân công'!$I$14:$I$262,0)),""),6,IFERROR(INDEX('Lớp 6 - Chi tiết'!$AM$14:$AM$267,MATCH($X563,'Lớp 6 - Chi tiết'!$I$14:$I$267,0)),""),""))</f>
        <v/>
      </c>
      <c r="BJ563" s="389" t="str">
        <f t="array" ref="BJ563">IF($X563="","",SWITCH($W563,3,IFERROR(INDEX('Lớp 3 - Công việc chính'!$AR$14:$AR$73,MATCH($X563,'Lớp 3 - Công việc chính'!$I$14:$I$73,0)),""),4,IFERROR(INDEX('Lớp 4 - Danh mục'!$AU$14:$AU$132,MATCH($X563,'Lớp 4 - Danh mục'!$I$14:$I$132,0)),""),5,IFERROR(INDEX('Lớp 5 - Phân công'!$AV$14:$AV$262,MATCH($X563,'Lớp 5 - Phân công'!$I$14:$I$262,0)),""),6,IFERROR(INDEX('Lớp 6 - Chi tiết'!$AY$14:$AY$267,MATCH($X563,'Lớp 6 - Chi tiết'!$I$14:$I$267,0)),""),""))</f>
        <v/>
      </c>
    </row>
    <row r="564" ht="15.75" customHeight="1">
      <c r="A564" s="294" t="str">
        <f t="shared" si="12"/>
        <v/>
      </c>
      <c r="B564" s="301" t="str">
        <f t="shared" si="13"/>
        <v/>
      </c>
      <c r="C564" s="301" t="str">
        <f t="shared" si="14"/>
        <v/>
      </c>
      <c r="D564" s="301" t="str">
        <f t="shared" si="15"/>
        <v/>
      </c>
      <c r="E564" s="301" t="str">
        <f t="shared" si="16"/>
        <v/>
      </c>
      <c r="F564" s="317" t="str">
        <f t="shared" si="17"/>
        <v/>
      </c>
      <c r="G564" s="323" t="str">
        <f t="shared" si="18"/>
        <v/>
      </c>
      <c r="H564" s="327" t="str">
        <f t="shared" si="19"/>
        <v/>
      </c>
      <c r="I564" s="327" t="str">
        <f t="shared" si="20"/>
        <v/>
      </c>
      <c r="J564" s="301" t="str">
        <f t="shared" si="21"/>
        <v/>
      </c>
      <c r="K564" s="301" t="str">
        <f t="shared" si="22"/>
        <v/>
      </c>
      <c r="L564" s="344" t="str">
        <f t="array" ref="L564">IF($T564="","",LET(m,MATCH($T564,$AS$24:$AS$700,0),lvl,INDEX($W$24:$W$700,m),id,INDEX($X$24:$X$700,m),SWITCH(lvl,3,"Lớp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4" s="351" t="str">
        <f t="shared" si="23"/>
        <v/>
      </c>
      <c r="N564" s="356" t="str">
        <f t="shared" si="24"/>
        <v/>
      </c>
      <c r="O564" s="358"/>
      <c r="P564" s="360"/>
      <c r="Q564" s="360"/>
      <c r="R564" s="67"/>
      <c r="S564" s="67"/>
      <c r="T564" s="67"/>
      <c r="U564" s="389" t="str">
        <f>IF('Lớp 6 - Chi tiết'!I126="","",'Lớp 6 - Chi tiết'!L126&amp;"|"&amp;'Lớp 6 - Chi tiết'!K126&amp;"|"&amp;'Lớp 6 - Chi tiết'!J126&amp;"|"&amp;'Lớp 6 - Chi tiết'!I126)</f>
        <v/>
      </c>
      <c r="V564" s="389" t="str">
        <f>IF('Lớp 6 - Chi tiết'!I126="","","           └─ "&amp;'Lớp 6 - Chi tiết'!S126)</f>
        <v/>
      </c>
      <c r="W564" s="389" t="str">
        <f>IF('Lớp 6 - Chi tiết'!I126="","",6)</f>
        <v/>
      </c>
      <c r="X564" s="67" t="str">
        <f>'Lớp 6 - Chi tiết'!I126</f>
        <v/>
      </c>
      <c r="Y564" s="389" t="str">
        <f>'Lớp 6 - Chi tiết'!J126</f>
        <v/>
      </c>
      <c r="Z564" s="67" t="str">
        <f>'Lớp 6 - Chi tiết'!AC126</f>
        <v/>
      </c>
      <c r="AA564" s="67" t="str">
        <f>'Lớp 6 - Chi tiết'!AB126</f>
        <v/>
      </c>
      <c r="AB564" s="67" t="str">
        <f>'Lớp 6 - Chi tiết'!AF126</f>
        <v/>
      </c>
      <c r="AC564" s="67" t="str">
        <f>'Lớp 6 - Chi tiết'!AE126</f>
        <v/>
      </c>
      <c r="AD564" s="398" t="str">
        <f>'Lớp 6 - Chi tiết'!AJ126</f>
        <v/>
      </c>
      <c r="AE564" s="358" t="str">
        <f>'Lớp 6 - Chi tiết'!AH126</f>
        <v/>
      </c>
      <c r="AF564" s="187" t="str">
        <f>'Lớp 6 - Chi tiết'!AK126</f>
        <v/>
      </c>
      <c r="AG564" s="104" t="str">
        <f>'Lớp 6 - Chi tiết'!AL126</f>
        <v/>
      </c>
      <c r="AH564" s="389" t="str">
        <f t="shared" si="27"/>
        <v/>
      </c>
      <c r="AI564" s="389" t="str">
        <f t="shared" si="37"/>
        <v>🔵 Chưa có hạn</v>
      </c>
      <c r="AJ564" s="67" t="str">
        <f>'Lớp 6 - Chi tiết'!AO126</f>
        <v/>
      </c>
      <c r="AS564" s="389" t="str">
        <f t="shared" si="467"/>
        <v/>
      </c>
      <c r="AT564" s="389" t="str">
        <f t="shared" si="32"/>
        <v/>
      </c>
      <c r="AU564" s="389" t="str">
        <f t="shared" si="33"/>
        <v/>
      </c>
      <c r="AV564" s="389" t="str">
        <f t="shared" si="34"/>
        <v/>
      </c>
      <c r="AW564" s="389" t="str">
        <f t="shared" si="35"/>
        <v/>
      </c>
      <c r="AX564" s="67" t="str">
        <f t="shared" ref="AX564:BH564" si="579">Z564</f>
        <v/>
      </c>
      <c r="AY564" s="67" t="str">
        <f t="shared" si="579"/>
        <v/>
      </c>
      <c r="AZ564" s="67" t="str">
        <f t="shared" si="579"/>
        <v/>
      </c>
      <c r="BA564" s="67" t="str">
        <f t="shared" si="579"/>
        <v/>
      </c>
      <c r="BB564" s="398" t="str">
        <f t="shared" si="579"/>
        <v/>
      </c>
      <c r="BC564" s="358" t="str">
        <f t="shared" si="579"/>
        <v/>
      </c>
      <c r="BD564" s="187" t="str">
        <f t="shared" si="579"/>
        <v/>
      </c>
      <c r="BE564" s="104" t="str">
        <f t="shared" si="579"/>
        <v/>
      </c>
      <c r="BF564" s="389" t="str">
        <f t="shared" si="579"/>
        <v/>
      </c>
      <c r="BG564" s="389" t="str">
        <f t="shared" si="579"/>
        <v>🔵 Chưa có hạn</v>
      </c>
      <c r="BH564" s="67" t="str">
        <f t="shared" si="579"/>
        <v/>
      </c>
      <c r="BI564" s="389" t="str">
        <f t="array" ref="BI564">IF($X564="","",SWITCH($W564,3,IFERROR(INDEX('Lớp 3 - Công việc chính'!$AF$14:$AF$73,MATCH($X564,'Lớp 3 - Công việc chính'!$I$14:$I$73,0)),""),4,IFERROR(INDEX('Lớp 4 - Danh mục'!$AI$14:$AI$132,MATCH($X564,'Lớp 4 - Danh mục'!$I$14:$I$132,0)),""),5,IFERROR(INDEX('Lớp 5 - Phân công'!$AJ$14:$AJ$262,MATCH($X564,'Lớp 5 - Phân công'!$I$14:$I$262,0)),""),6,IFERROR(INDEX('Lớp 6 - Chi tiết'!$AM$14:$AM$267,MATCH($X564,'Lớp 6 - Chi tiết'!$I$14:$I$267,0)),""),""))</f>
        <v/>
      </c>
      <c r="BJ564" s="389" t="str">
        <f t="array" ref="BJ564">IF($X564="","",SWITCH($W564,3,IFERROR(INDEX('Lớp 3 - Công việc chính'!$AR$14:$AR$73,MATCH($X564,'Lớp 3 - Công việc chính'!$I$14:$I$73,0)),""),4,IFERROR(INDEX('Lớp 4 - Danh mục'!$AU$14:$AU$132,MATCH($X564,'Lớp 4 - Danh mục'!$I$14:$I$132,0)),""),5,IFERROR(INDEX('Lớp 5 - Phân công'!$AV$14:$AV$262,MATCH($X564,'Lớp 5 - Phân công'!$I$14:$I$262,0)),""),6,IFERROR(INDEX('Lớp 6 - Chi tiết'!$AY$14:$AY$267,MATCH($X564,'Lớp 6 - Chi tiết'!$I$14:$I$267,0)),""),""))</f>
        <v/>
      </c>
    </row>
    <row r="565" ht="15.75" customHeight="1">
      <c r="A565" s="294" t="str">
        <f t="shared" si="12"/>
        <v/>
      </c>
      <c r="B565" s="301" t="str">
        <f t="shared" si="13"/>
        <v/>
      </c>
      <c r="C565" s="301" t="str">
        <f t="shared" si="14"/>
        <v/>
      </c>
      <c r="D565" s="301" t="str">
        <f t="shared" si="15"/>
        <v/>
      </c>
      <c r="E565" s="301" t="str">
        <f t="shared" si="16"/>
        <v/>
      </c>
      <c r="F565" s="317" t="str">
        <f t="shared" si="17"/>
        <v/>
      </c>
      <c r="G565" s="323" t="str">
        <f t="shared" si="18"/>
        <v/>
      </c>
      <c r="H565" s="327" t="str">
        <f t="shared" si="19"/>
        <v/>
      </c>
      <c r="I565" s="327" t="str">
        <f t="shared" si="20"/>
        <v/>
      </c>
      <c r="J565" s="301" t="str">
        <f t="shared" si="21"/>
        <v/>
      </c>
      <c r="K565" s="301" t="str">
        <f t="shared" si="22"/>
        <v/>
      </c>
      <c r="L565" s="344" t="str">
        <f t="array" ref="L565">IF($T565="","",LET(m,MATCH($T565,$AS$24:$AS$700,0),lvl,INDEX($W$24:$W$700,m),id,INDEX($X$24:$X$700,m),SWITCH(lvl,3,"Lớp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5" s="351" t="str">
        <f t="shared" si="23"/>
        <v/>
      </c>
      <c r="N565" s="356" t="str">
        <f t="shared" si="24"/>
        <v/>
      </c>
      <c r="O565" s="358"/>
      <c r="P565" s="360"/>
      <c r="Q565" s="360"/>
      <c r="R565" s="67"/>
      <c r="S565" s="67"/>
      <c r="T565" s="67"/>
      <c r="U565" s="389" t="str">
        <f>IF('Lớp 6 - Chi tiết'!I127="","",'Lớp 6 - Chi tiết'!L127&amp;"|"&amp;'Lớp 6 - Chi tiết'!K127&amp;"|"&amp;'Lớp 6 - Chi tiết'!J127&amp;"|"&amp;'Lớp 6 - Chi tiết'!I127)</f>
        <v/>
      </c>
      <c r="V565" s="389" t="str">
        <f>IF('Lớp 6 - Chi tiết'!I127="","","           └─ "&amp;'Lớp 6 - Chi tiết'!S127)</f>
        <v/>
      </c>
      <c r="W565" s="389" t="str">
        <f>IF('Lớp 6 - Chi tiết'!I127="","",6)</f>
        <v/>
      </c>
      <c r="X565" s="67" t="str">
        <f>'Lớp 6 - Chi tiết'!I127</f>
        <v/>
      </c>
      <c r="Y565" s="389" t="str">
        <f>'Lớp 6 - Chi tiết'!J127</f>
        <v/>
      </c>
      <c r="Z565" s="67" t="str">
        <f>'Lớp 6 - Chi tiết'!AC127</f>
        <v/>
      </c>
      <c r="AA565" s="67" t="str">
        <f>'Lớp 6 - Chi tiết'!AB127</f>
        <v/>
      </c>
      <c r="AB565" s="67" t="str">
        <f>'Lớp 6 - Chi tiết'!AF127</f>
        <v/>
      </c>
      <c r="AC565" s="67" t="str">
        <f>'Lớp 6 - Chi tiết'!AE127</f>
        <v/>
      </c>
      <c r="AD565" s="398" t="str">
        <f>'Lớp 6 - Chi tiết'!AJ127</f>
        <v/>
      </c>
      <c r="AE565" s="358" t="str">
        <f>'Lớp 6 - Chi tiết'!AH127</f>
        <v/>
      </c>
      <c r="AF565" s="187" t="str">
        <f>'Lớp 6 - Chi tiết'!AK127</f>
        <v/>
      </c>
      <c r="AG565" s="104" t="str">
        <f>'Lớp 6 - Chi tiết'!AL127</f>
        <v/>
      </c>
      <c r="AH565" s="389" t="str">
        <f t="shared" si="27"/>
        <v/>
      </c>
      <c r="AI565" s="389" t="str">
        <f t="shared" si="37"/>
        <v>🔵 Chưa có hạn</v>
      </c>
      <c r="AJ565" s="67" t="str">
        <f>'Lớp 6 - Chi tiết'!AO127</f>
        <v/>
      </c>
      <c r="AS565" s="389" t="str">
        <f t="shared" si="467"/>
        <v/>
      </c>
      <c r="AT565" s="389" t="str">
        <f t="shared" si="32"/>
        <v/>
      </c>
      <c r="AU565" s="389" t="str">
        <f t="shared" si="33"/>
        <v/>
      </c>
      <c r="AV565" s="389" t="str">
        <f t="shared" si="34"/>
        <v/>
      </c>
      <c r="AW565" s="389" t="str">
        <f t="shared" si="35"/>
        <v/>
      </c>
      <c r="AX565" s="67" t="str">
        <f t="shared" ref="AX565:BH565" si="580">Z565</f>
        <v/>
      </c>
      <c r="AY565" s="67" t="str">
        <f t="shared" si="580"/>
        <v/>
      </c>
      <c r="AZ565" s="67" t="str">
        <f t="shared" si="580"/>
        <v/>
      </c>
      <c r="BA565" s="67" t="str">
        <f t="shared" si="580"/>
        <v/>
      </c>
      <c r="BB565" s="398" t="str">
        <f t="shared" si="580"/>
        <v/>
      </c>
      <c r="BC565" s="358" t="str">
        <f t="shared" si="580"/>
        <v/>
      </c>
      <c r="BD565" s="187" t="str">
        <f t="shared" si="580"/>
        <v/>
      </c>
      <c r="BE565" s="104" t="str">
        <f t="shared" si="580"/>
        <v/>
      </c>
      <c r="BF565" s="389" t="str">
        <f t="shared" si="580"/>
        <v/>
      </c>
      <c r="BG565" s="389" t="str">
        <f t="shared" si="580"/>
        <v>🔵 Chưa có hạn</v>
      </c>
      <c r="BH565" s="67" t="str">
        <f t="shared" si="580"/>
        <v/>
      </c>
      <c r="BI565" s="389" t="str">
        <f t="array" ref="BI565">IF($X565="","",SWITCH($W565,3,IFERROR(INDEX('Lớp 3 - Công việc chính'!$AF$14:$AF$73,MATCH($X565,'Lớp 3 - Công việc chính'!$I$14:$I$73,0)),""),4,IFERROR(INDEX('Lớp 4 - Danh mục'!$AI$14:$AI$132,MATCH($X565,'Lớp 4 - Danh mục'!$I$14:$I$132,0)),""),5,IFERROR(INDEX('Lớp 5 - Phân công'!$AJ$14:$AJ$262,MATCH($X565,'Lớp 5 - Phân công'!$I$14:$I$262,0)),""),6,IFERROR(INDEX('Lớp 6 - Chi tiết'!$AM$14:$AM$267,MATCH($X565,'Lớp 6 - Chi tiết'!$I$14:$I$267,0)),""),""))</f>
        <v/>
      </c>
      <c r="BJ565" s="389" t="str">
        <f t="array" ref="BJ565">IF($X565="","",SWITCH($W565,3,IFERROR(INDEX('Lớp 3 - Công việc chính'!$AR$14:$AR$73,MATCH($X565,'Lớp 3 - Công việc chính'!$I$14:$I$73,0)),""),4,IFERROR(INDEX('Lớp 4 - Danh mục'!$AU$14:$AU$132,MATCH($X565,'Lớp 4 - Danh mục'!$I$14:$I$132,0)),""),5,IFERROR(INDEX('Lớp 5 - Phân công'!$AV$14:$AV$262,MATCH($X565,'Lớp 5 - Phân công'!$I$14:$I$262,0)),""),6,IFERROR(INDEX('Lớp 6 - Chi tiết'!$AY$14:$AY$267,MATCH($X565,'Lớp 6 - Chi tiết'!$I$14:$I$267,0)),""),""))</f>
        <v/>
      </c>
    </row>
    <row r="566" ht="15.75" customHeight="1">
      <c r="A566" s="294" t="str">
        <f t="shared" si="12"/>
        <v/>
      </c>
      <c r="B566" s="301" t="str">
        <f t="shared" si="13"/>
        <v/>
      </c>
      <c r="C566" s="301" t="str">
        <f t="shared" si="14"/>
        <v/>
      </c>
      <c r="D566" s="301" t="str">
        <f t="shared" si="15"/>
        <v/>
      </c>
      <c r="E566" s="301" t="str">
        <f t="shared" si="16"/>
        <v/>
      </c>
      <c r="F566" s="317" t="str">
        <f t="shared" si="17"/>
        <v/>
      </c>
      <c r="G566" s="323" t="str">
        <f t="shared" si="18"/>
        <v/>
      </c>
      <c r="H566" s="327" t="str">
        <f t="shared" si="19"/>
        <v/>
      </c>
      <c r="I566" s="327" t="str">
        <f t="shared" si="20"/>
        <v/>
      </c>
      <c r="J566" s="301" t="str">
        <f t="shared" si="21"/>
        <v/>
      </c>
      <c r="K566" s="301" t="str">
        <f t="shared" si="22"/>
        <v/>
      </c>
      <c r="L566" s="344" t="str">
        <f t="array" ref="L566">IF($T566="","",LET(m,MATCH($T566,$AS$24:$AS$700,0),lvl,INDEX($W$24:$W$700,m),id,INDEX($X$24:$X$700,m),SWITCH(lvl,3,"Lớp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6" s="351" t="str">
        <f t="shared" si="23"/>
        <v/>
      </c>
      <c r="N566" s="356" t="str">
        <f t="shared" si="24"/>
        <v/>
      </c>
      <c r="O566" s="358"/>
      <c r="P566" s="360"/>
      <c r="Q566" s="360"/>
      <c r="R566" s="67"/>
      <c r="S566" s="67"/>
      <c r="T566" s="67"/>
      <c r="U566" s="389" t="str">
        <f>IF('Lớp 6 - Chi tiết'!I128="","",'Lớp 6 - Chi tiết'!L128&amp;"|"&amp;'Lớp 6 - Chi tiết'!K128&amp;"|"&amp;'Lớp 6 - Chi tiết'!J128&amp;"|"&amp;'Lớp 6 - Chi tiết'!I128)</f>
        <v/>
      </c>
      <c r="V566" s="389" t="str">
        <f>IF('Lớp 6 - Chi tiết'!I128="","","           └─ "&amp;'Lớp 6 - Chi tiết'!S128)</f>
        <v/>
      </c>
      <c r="W566" s="389" t="str">
        <f>IF('Lớp 6 - Chi tiết'!I128="","",6)</f>
        <v/>
      </c>
      <c r="X566" s="67" t="str">
        <f>'Lớp 6 - Chi tiết'!I128</f>
        <v/>
      </c>
      <c r="Y566" s="389" t="str">
        <f>'Lớp 6 - Chi tiết'!J128</f>
        <v/>
      </c>
      <c r="Z566" s="67" t="str">
        <f>'Lớp 6 - Chi tiết'!AC128</f>
        <v/>
      </c>
      <c r="AA566" s="67" t="str">
        <f>'Lớp 6 - Chi tiết'!AB128</f>
        <v/>
      </c>
      <c r="AB566" s="67" t="str">
        <f>'Lớp 6 - Chi tiết'!AF128</f>
        <v/>
      </c>
      <c r="AC566" s="67" t="str">
        <f>'Lớp 6 - Chi tiết'!AE128</f>
        <v/>
      </c>
      <c r="AD566" s="398" t="str">
        <f>'Lớp 6 - Chi tiết'!AJ128</f>
        <v/>
      </c>
      <c r="AE566" s="358" t="str">
        <f>'Lớp 6 - Chi tiết'!AH128</f>
        <v/>
      </c>
      <c r="AF566" s="187" t="str">
        <f>'Lớp 6 - Chi tiết'!AK128</f>
        <v/>
      </c>
      <c r="AG566" s="104" t="str">
        <f>'Lớp 6 - Chi tiết'!AL128</f>
        <v/>
      </c>
      <c r="AH566" s="389" t="str">
        <f t="shared" si="27"/>
        <v/>
      </c>
      <c r="AI566" s="389" t="str">
        <f t="shared" si="37"/>
        <v>🔵 Chưa có hạn</v>
      </c>
      <c r="AJ566" s="67" t="str">
        <f>'Lớp 6 - Chi tiết'!AO128</f>
        <v/>
      </c>
      <c r="AS566" s="389" t="str">
        <f t="shared" si="467"/>
        <v/>
      </c>
      <c r="AT566" s="389" t="str">
        <f t="shared" si="32"/>
        <v/>
      </c>
      <c r="AU566" s="389" t="str">
        <f t="shared" si="33"/>
        <v/>
      </c>
      <c r="AV566" s="389" t="str">
        <f t="shared" si="34"/>
        <v/>
      </c>
      <c r="AW566" s="389" t="str">
        <f t="shared" si="35"/>
        <v/>
      </c>
      <c r="AX566" s="67" t="str">
        <f t="shared" ref="AX566:BH566" si="581">Z566</f>
        <v/>
      </c>
      <c r="AY566" s="67" t="str">
        <f t="shared" si="581"/>
        <v/>
      </c>
      <c r="AZ566" s="67" t="str">
        <f t="shared" si="581"/>
        <v/>
      </c>
      <c r="BA566" s="67" t="str">
        <f t="shared" si="581"/>
        <v/>
      </c>
      <c r="BB566" s="398" t="str">
        <f t="shared" si="581"/>
        <v/>
      </c>
      <c r="BC566" s="358" t="str">
        <f t="shared" si="581"/>
        <v/>
      </c>
      <c r="BD566" s="187" t="str">
        <f t="shared" si="581"/>
        <v/>
      </c>
      <c r="BE566" s="104" t="str">
        <f t="shared" si="581"/>
        <v/>
      </c>
      <c r="BF566" s="389" t="str">
        <f t="shared" si="581"/>
        <v/>
      </c>
      <c r="BG566" s="389" t="str">
        <f t="shared" si="581"/>
        <v>🔵 Chưa có hạn</v>
      </c>
      <c r="BH566" s="67" t="str">
        <f t="shared" si="581"/>
        <v/>
      </c>
      <c r="BI566" s="389" t="str">
        <f t="array" ref="BI566">IF($X566="","",SWITCH($W566,3,IFERROR(INDEX('Lớp 3 - Công việc chính'!$AF$14:$AF$73,MATCH($X566,'Lớp 3 - Công việc chính'!$I$14:$I$73,0)),""),4,IFERROR(INDEX('Lớp 4 - Danh mục'!$AI$14:$AI$132,MATCH($X566,'Lớp 4 - Danh mục'!$I$14:$I$132,0)),""),5,IFERROR(INDEX('Lớp 5 - Phân công'!$AJ$14:$AJ$262,MATCH($X566,'Lớp 5 - Phân công'!$I$14:$I$262,0)),""),6,IFERROR(INDEX('Lớp 6 - Chi tiết'!$AM$14:$AM$267,MATCH($X566,'Lớp 6 - Chi tiết'!$I$14:$I$267,0)),""),""))</f>
        <v/>
      </c>
      <c r="BJ566" s="389" t="str">
        <f t="array" ref="BJ566">IF($X566="","",SWITCH($W566,3,IFERROR(INDEX('Lớp 3 - Công việc chính'!$AR$14:$AR$73,MATCH($X566,'Lớp 3 - Công việc chính'!$I$14:$I$73,0)),""),4,IFERROR(INDEX('Lớp 4 - Danh mục'!$AU$14:$AU$132,MATCH($X566,'Lớp 4 - Danh mục'!$I$14:$I$132,0)),""),5,IFERROR(INDEX('Lớp 5 - Phân công'!$AV$14:$AV$262,MATCH($X566,'Lớp 5 - Phân công'!$I$14:$I$262,0)),""),6,IFERROR(INDEX('Lớp 6 - Chi tiết'!$AY$14:$AY$267,MATCH($X566,'Lớp 6 - Chi tiết'!$I$14:$I$267,0)),""),""))</f>
        <v/>
      </c>
    </row>
    <row r="567" ht="15.75" customHeight="1">
      <c r="A567" s="294" t="str">
        <f t="shared" si="12"/>
        <v/>
      </c>
      <c r="B567" s="301" t="str">
        <f t="shared" si="13"/>
        <v/>
      </c>
      <c r="C567" s="301" t="str">
        <f t="shared" si="14"/>
        <v/>
      </c>
      <c r="D567" s="301" t="str">
        <f t="shared" si="15"/>
        <v/>
      </c>
      <c r="E567" s="301" t="str">
        <f t="shared" si="16"/>
        <v/>
      </c>
      <c r="F567" s="317" t="str">
        <f t="shared" si="17"/>
        <v/>
      </c>
      <c r="G567" s="323" t="str">
        <f t="shared" si="18"/>
        <v/>
      </c>
      <c r="H567" s="327" t="str">
        <f t="shared" si="19"/>
        <v/>
      </c>
      <c r="I567" s="327" t="str">
        <f t="shared" si="20"/>
        <v/>
      </c>
      <c r="J567" s="301" t="str">
        <f t="shared" si="21"/>
        <v/>
      </c>
      <c r="K567" s="301" t="str">
        <f t="shared" si="22"/>
        <v/>
      </c>
      <c r="L567" s="344" t="str">
        <f t="array" ref="L567">IF($T567="","",LET(m,MATCH($T567,$AS$24:$AS$700,0),lvl,INDEX($W$24:$W$700,m),id,INDEX($X$24:$X$700,m),SWITCH(lvl,3,"Lớp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7" s="351" t="str">
        <f t="shared" si="23"/>
        <v/>
      </c>
      <c r="N567" s="356" t="str">
        <f t="shared" si="24"/>
        <v/>
      </c>
      <c r="O567" s="358"/>
      <c r="P567" s="360"/>
      <c r="Q567" s="360"/>
      <c r="R567" s="67"/>
      <c r="S567" s="67"/>
      <c r="T567" s="67"/>
      <c r="U567" s="389" t="str">
        <f>IF('Lớp 6 - Chi tiết'!I129="","",'Lớp 6 - Chi tiết'!L129&amp;"|"&amp;'Lớp 6 - Chi tiết'!K129&amp;"|"&amp;'Lớp 6 - Chi tiết'!J129&amp;"|"&amp;'Lớp 6 - Chi tiết'!I129)</f>
        <v/>
      </c>
      <c r="V567" s="389" t="str">
        <f>IF('Lớp 6 - Chi tiết'!I129="","","           └─ "&amp;'Lớp 6 - Chi tiết'!S129)</f>
        <v/>
      </c>
      <c r="W567" s="389" t="str">
        <f>IF('Lớp 6 - Chi tiết'!I129="","",6)</f>
        <v/>
      </c>
      <c r="X567" s="67" t="str">
        <f>'Lớp 6 - Chi tiết'!I129</f>
        <v/>
      </c>
      <c r="Y567" s="389" t="str">
        <f>'Lớp 6 - Chi tiết'!J129</f>
        <v/>
      </c>
      <c r="Z567" s="67" t="str">
        <f>'Lớp 6 - Chi tiết'!AC129</f>
        <v/>
      </c>
      <c r="AA567" s="67" t="str">
        <f>'Lớp 6 - Chi tiết'!AB129</f>
        <v/>
      </c>
      <c r="AB567" s="67" t="str">
        <f>'Lớp 6 - Chi tiết'!AF129</f>
        <v/>
      </c>
      <c r="AC567" s="67" t="str">
        <f>'Lớp 6 - Chi tiết'!AE129</f>
        <v/>
      </c>
      <c r="AD567" s="398" t="str">
        <f>'Lớp 6 - Chi tiết'!AJ129</f>
        <v/>
      </c>
      <c r="AE567" s="358" t="str">
        <f>'Lớp 6 - Chi tiết'!AH129</f>
        <v/>
      </c>
      <c r="AF567" s="187" t="str">
        <f>'Lớp 6 - Chi tiết'!AK129</f>
        <v/>
      </c>
      <c r="AG567" s="104" t="str">
        <f>'Lớp 6 - Chi tiết'!AL129</f>
        <v/>
      </c>
      <c r="AH567" s="389" t="str">
        <f t="shared" si="27"/>
        <v/>
      </c>
      <c r="AI567" s="389" t="str">
        <f t="shared" si="37"/>
        <v>🔵 Chưa có hạn</v>
      </c>
      <c r="AJ567" s="67" t="str">
        <f>'Lớp 6 - Chi tiết'!AO129</f>
        <v/>
      </c>
      <c r="AS567" s="389" t="str">
        <f t="shared" si="467"/>
        <v/>
      </c>
      <c r="AT567" s="389" t="str">
        <f t="shared" si="32"/>
        <v/>
      </c>
      <c r="AU567" s="389" t="str">
        <f t="shared" si="33"/>
        <v/>
      </c>
      <c r="AV567" s="389" t="str">
        <f t="shared" si="34"/>
        <v/>
      </c>
      <c r="AW567" s="389" t="str">
        <f t="shared" si="35"/>
        <v/>
      </c>
      <c r="AX567" s="67" t="str">
        <f t="shared" ref="AX567:BH567" si="582">Z567</f>
        <v/>
      </c>
      <c r="AY567" s="67" t="str">
        <f t="shared" si="582"/>
        <v/>
      </c>
      <c r="AZ567" s="67" t="str">
        <f t="shared" si="582"/>
        <v/>
      </c>
      <c r="BA567" s="67" t="str">
        <f t="shared" si="582"/>
        <v/>
      </c>
      <c r="BB567" s="398" t="str">
        <f t="shared" si="582"/>
        <v/>
      </c>
      <c r="BC567" s="358" t="str">
        <f t="shared" si="582"/>
        <v/>
      </c>
      <c r="BD567" s="187" t="str">
        <f t="shared" si="582"/>
        <v/>
      </c>
      <c r="BE567" s="104" t="str">
        <f t="shared" si="582"/>
        <v/>
      </c>
      <c r="BF567" s="389" t="str">
        <f t="shared" si="582"/>
        <v/>
      </c>
      <c r="BG567" s="389" t="str">
        <f t="shared" si="582"/>
        <v>🔵 Chưa có hạn</v>
      </c>
      <c r="BH567" s="67" t="str">
        <f t="shared" si="582"/>
        <v/>
      </c>
      <c r="BI567" s="389" t="str">
        <f t="array" ref="BI567">IF($X567="","",SWITCH($W567,3,IFERROR(INDEX('Lớp 3 - Công việc chính'!$AF$14:$AF$73,MATCH($X567,'Lớp 3 - Công việc chính'!$I$14:$I$73,0)),""),4,IFERROR(INDEX('Lớp 4 - Danh mục'!$AI$14:$AI$132,MATCH($X567,'Lớp 4 - Danh mục'!$I$14:$I$132,0)),""),5,IFERROR(INDEX('Lớp 5 - Phân công'!$AJ$14:$AJ$262,MATCH($X567,'Lớp 5 - Phân công'!$I$14:$I$262,0)),""),6,IFERROR(INDEX('Lớp 6 - Chi tiết'!$AM$14:$AM$267,MATCH($X567,'Lớp 6 - Chi tiết'!$I$14:$I$267,0)),""),""))</f>
        <v/>
      </c>
      <c r="BJ567" s="389" t="str">
        <f t="array" ref="BJ567">IF($X567="","",SWITCH($W567,3,IFERROR(INDEX('Lớp 3 - Công việc chính'!$AR$14:$AR$73,MATCH($X567,'Lớp 3 - Công việc chính'!$I$14:$I$73,0)),""),4,IFERROR(INDEX('Lớp 4 - Danh mục'!$AU$14:$AU$132,MATCH($X567,'Lớp 4 - Danh mục'!$I$14:$I$132,0)),""),5,IFERROR(INDEX('Lớp 5 - Phân công'!$AV$14:$AV$262,MATCH($X567,'Lớp 5 - Phân công'!$I$14:$I$262,0)),""),6,IFERROR(INDEX('Lớp 6 - Chi tiết'!$AY$14:$AY$267,MATCH($X567,'Lớp 6 - Chi tiết'!$I$14:$I$267,0)),""),""))</f>
        <v/>
      </c>
    </row>
    <row r="568" ht="15.75" customHeight="1">
      <c r="A568" s="294" t="str">
        <f t="shared" si="12"/>
        <v/>
      </c>
      <c r="B568" s="301" t="str">
        <f t="shared" si="13"/>
        <v/>
      </c>
      <c r="C568" s="301" t="str">
        <f t="shared" si="14"/>
        <v/>
      </c>
      <c r="D568" s="301" t="str">
        <f t="shared" si="15"/>
        <v/>
      </c>
      <c r="E568" s="301" t="str">
        <f t="shared" si="16"/>
        <v/>
      </c>
      <c r="F568" s="317" t="str">
        <f t="shared" si="17"/>
        <v/>
      </c>
      <c r="G568" s="323" t="str">
        <f t="shared" si="18"/>
        <v/>
      </c>
      <c r="H568" s="327" t="str">
        <f t="shared" si="19"/>
        <v/>
      </c>
      <c r="I568" s="327" t="str">
        <f t="shared" si="20"/>
        <v/>
      </c>
      <c r="J568" s="301" t="str">
        <f t="shared" si="21"/>
        <v/>
      </c>
      <c r="K568" s="301" t="str">
        <f t="shared" si="22"/>
        <v/>
      </c>
      <c r="L568" s="344" t="str">
        <f t="array" ref="L568">IF($T568="","",LET(m,MATCH($T568,$AS$24:$AS$700,0),lvl,INDEX($W$24:$W$700,m),id,INDEX($X$24:$X$700,m),SWITCH(lvl,3,"Lớp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8" s="351" t="str">
        <f t="shared" si="23"/>
        <v/>
      </c>
      <c r="N568" s="356" t="str">
        <f t="shared" si="24"/>
        <v/>
      </c>
      <c r="O568" s="358"/>
      <c r="P568" s="360"/>
      <c r="Q568" s="360"/>
      <c r="R568" s="67"/>
      <c r="S568" s="67"/>
      <c r="T568" s="67"/>
      <c r="U568" s="389" t="str">
        <f>IF('Lớp 6 - Chi tiết'!I130="","",'Lớp 6 - Chi tiết'!L130&amp;"|"&amp;'Lớp 6 - Chi tiết'!K130&amp;"|"&amp;'Lớp 6 - Chi tiết'!J130&amp;"|"&amp;'Lớp 6 - Chi tiết'!I130)</f>
        <v/>
      </c>
      <c r="V568" s="389" t="str">
        <f>IF('Lớp 6 - Chi tiết'!I130="","","           └─ "&amp;'Lớp 6 - Chi tiết'!S130)</f>
        <v/>
      </c>
      <c r="W568" s="389" t="str">
        <f>IF('Lớp 6 - Chi tiết'!I130="","",6)</f>
        <v/>
      </c>
      <c r="X568" s="67" t="str">
        <f>'Lớp 6 - Chi tiết'!I130</f>
        <v/>
      </c>
      <c r="Y568" s="389" t="str">
        <f>'Lớp 6 - Chi tiết'!J130</f>
        <v/>
      </c>
      <c r="Z568" s="67" t="str">
        <f>'Lớp 6 - Chi tiết'!AC130</f>
        <v/>
      </c>
      <c r="AA568" s="67" t="str">
        <f>'Lớp 6 - Chi tiết'!AB130</f>
        <v/>
      </c>
      <c r="AB568" s="67" t="str">
        <f>'Lớp 6 - Chi tiết'!AF130</f>
        <v/>
      </c>
      <c r="AC568" s="67" t="str">
        <f>'Lớp 6 - Chi tiết'!AE130</f>
        <v/>
      </c>
      <c r="AD568" s="398" t="str">
        <f>'Lớp 6 - Chi tiết'!AJ130</f>
        <v/>
      </c>
      <c r="AE568" s="358" t="str">
        <f>'Lớp 6 - Chi tiết'!AH130</f>
        <v/>
      </c>
      <c r="AF568" s="187" t="str">
        <f>'Lớp 6 - Chi tiết'!AK130</f>
        <v/>
      </c>
      <c r="AG568" s="104" t="str">
        <f>'Lớp 6 - Chi tiết'!AL130</f>
        <v/>
      </c>
      <c r="AH568" s="389" t="str">
        <f t="shared" si="27"/>
        <v/>
      </c>
      <c r="AI568" s="389" t="str">
        <f t="shared" si="37"/>
        <v>🔵 Chưa có hạn</v>
      </c>
      <c r="AJ568" s="67" t="str">
        <f>'Lớp 6 - Chi tiết'!AO130</f>
        <v/>
      </c>
      <c r="AS568" s="389" t="str">
        <f t="shared" si="467"/>
        <v/>
      </c>
      <c r="AT568" s="389" t="str">
        <f t="shared" si="32"/>
        <v/>
      </c>
      <c r="AU568" s="389" t="str">
        <f t="shared" si="33"/>
        <v/>
      </c>
      <c r="AV568" s="389" t="str">
        <f t="shared" si="34"/>
        <v/>
      </c>
      <c r="AW568" s="389" t="str">
        <f t="shared" si="35"/>
        <v/>
      </c>
      <c r="AX568" s="67" t="str">
        <f t="shared" ref="AX568:BH568" si="583">Z568</f>
        <v/>
      </c>
      <c r="AY568" s="67" t="str">
        <f t="shared" si="583"/>
        <v/>
      </c>
      <c r="AZ568" s="67" t="str">
        <f t="shared" si="583"/>
        <v/>
      </c>
      <c r="BA568" s="67" t="str">
        <f t="shared" si="583"/>
        <v/>
      </c>
      <c r="BB568" s="398" t="str">
        <f t="shared" si="583"/>
        <v/>
      </c>
      <c r="BC568" s="358" t="str">
        <f t="shared" si="583"/>
        <v/>
      </c>
      <c r="BD568" s="187" t="str">
        <f t="shared" si="583"/>
        <v/>
      </c>
      <c r="BE568" s="104" t="str">
        <f t="shared" si="583"/>
        <v/>
      </c>
      <c r="BF568" s="389" t="str">
        <f t="shared" si="583"/>
        <v/>
      </c>
      <c r="BG568" s="389" t="str">
        <f t="shared" si="583"/>
        <v>🔵 Chưa có hạn</v>
      </c>
      <c r="BH568" s="67" t="str">
        <f t="shared" si="583"/>
        <v/>
      </c>
      <c r="BI568" s="389" t="str">
        <f t="array" ref="BI568">IF($X568="","",SWITCH($W568,3,IFERROR(INDEX('Lớp 3 - Công việc chính'!$AF$14:$AF$73,MATCH($X568,'Lớp 3 - Công việc chính'!$I$14:$I$73,0)),""),4,IFERROR(INDEX('Lớp 4 - Danh mục'!$AI$14:$AI$132,MATCH($X568,'Lớp 4 - Danh mục'!$I$14:$I$132,0)),""),5,IFERROR(INDEX('Lớp 5 - Phân công'!$AJ$14:$AJ$262,MATCH($X568,'Lớp 5 - Phân công'!$I$14:$I$262,0)),""),6,IFERROR(INDEX('Lớp 6 - Chi tiết'!$AM$14:$AM$267,MATCH($X568,'Lớp 6 - Chi tiết'!$I$14:$I$267,0)),""),""))</f>
        <v/>
      </c>
      <c r="BJ568" s="389" t="str">
        <f t="array" ref="BJ568">IF($X568="","",SWITCH($W568,3,IFERROR(INDEX('Lớp 3 - Công việc chính'!$AR$14:$AR$73,MATCH($X568,'Lớp 3 - Công việc chính'!$I$14:$I$73,0)),""),4,IFERROR(INDEX('Lớp 4 - Danh mục'!$AU$14:$AU$132,MATCH($X568,'Lớp 4 - Danh mục'!$I$14:$I$132,0)),""),5,IFERROR(INDEX('Lớp 5 - Phân công'!$AV$14:$AV$262,MATCH($X568,'Lớp 5 - Phân công'!$I$14:$I$262,0)),""),6,IFERROR(INDEX('Lớp 6 - Chi tiết'!$AY$14:$AY$267,MATCH($X568,'Lớp 6 - Chi tiết'!$I$14:$I$267,0)),""),""))</f>
        <v/>
      </c>
    </row>
    <row r="569" ht="15.75" customHeight="1">
      <c r="A569" s="294" t="str">
        <f t="shared" si="12"/>
        <v/>
      </c>
      <c r="B569" s="301" t="str">
        <f t="shared" si="13"/>
        <v/>
      </c>
      <c r="C569" s="301" t="str">
        <f t="shared" si="14"/>
        <v/>
      </c>
      <c r="D569" s="301" t="str">
        <f t="shared" si="15"/>
        <v/>
      </c>
      <c r="E569" s="301" t="str">
        <f t="shared" si="16"/>
        <v/>
      </c>
      <c r="F569" s="317" t="str">
        <f t="shared" si="17"/>
        <v/>
      </c>
      <c r="G569" s="323" t="str">
        <f t="shared" si="18"/>
        <v/>
      </c>
      <c r="H569" s="327" t="str">
        <f t="shared" si="19"/>
        <v/>
      </c>
      <c r="I569" s="327" t="str">
        <f t="shared" si="20"/>
        <v/>
      </c>
      <c r="J569" s="301" t="str">
        <f t="shared" si="21"/>
        <v/>
      </c>
      <c r="K569" s="301" t="str">
        <f t="shared" si="22"/>
        <v/>
      </c>
      <c r="L569" s="344" t="str">
        <f t="array" ref="L569">IF($T569="","",LET(m,MATCH($T569,$AS$24:$AS$700,0),lvl,INDEX($W$24:$W$700,m),id,INDEX($X$24:$X$700,m),SWITCH(lvl,3,"Lớp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69" s="351" t="str">
        <f t="shared" si="23"/>
        <v/>
      </c>
      <c r="N569" s="356" t="str">
        <f t="shared" si="24"/>
        <v/>
      </c>
      <c r="O569" s="358"/>
      <c r="P569" s="360"/>
      <c r="Q569" s="360"/>
      <c r="R569" s="67"/>
      <c r="S569" s="67"/>
      <c r="T569" s="67"/>
      <c r="U569" s="389" t="str">
        <f>IF('Lớp 6 - Chi tiết'!I131="","",'Lớp 6 - Chi tiết'!L131&amp;"|"&amp;'Lớp 6 - Chi tiết'!K131&amp;"|"&amp;'Lớp 6 - Chi tiết'!J131&amp;"|"&amp;'Lớp 6 - Chi tiết'!I131)</f>
        <v/>
      </c>
      <c r="V569" s="389" t="str">
        <f>IF('Lớp 6 - Chi tiết'!I131="","","           └─ "&amp;'Lớp 6 - Chi tiết'!S131)</f>
        <v/>
      </c>
      <c r="W569" s="389" t="str">
        <f>IF('Lớp 6 - Chi tiết'!I131="","",6)</f>
        <v/>
      </c>
      <c r="X569" s="67" t="str">
        <f>'Lớp 6 - Chi tiết'!I131</f>
        <v/>
      </c>
      <c r="Y569" s="389" t="str">
        <f>'Lớp 6 - Chi tiết'!J131</f>
        <v/>
      </c>
      <c r="Z569" s="67" t="str">
        <f>'Lớp 6 - Chi tiết'!AC131</f>
        <v/>
      </c>
      <c r="AA569" s="67" t="str">
        <f>'Lớp 6 - Chi tiết'!AB131</f>
        <v/>
      </c>
      <c r="AB569" s="67" t="str">
        <f>'Lớp 6 - Chi tiết'!AF131</f>
        <v/>
      </c>
      <c r="AC569" s="67" t="str">
        <f>'Lớp 6 - Chi tiết'!AE131</f>
        <v/>
      </c>
      <c r="AD569" s="398" t="str">
        <f>'Lớp 6 - Chi tiết'!AJ131</f>
        <v/>
      </c>
      <c r="AE569" s="358" t="str">
        <f>'Lớp 6 - Chi tiết'!AH131</f>
        <v/>
      </c>
      <c r="AF569" s="187" t="str">
        <f>'Lớp 6 - Chi tiết'!AK131</f>
        <v/>
      </c>
      <c r="AG569" s="104" t="str">
        <f>'Lớp 6 - Chi tiết'!AL131</f>
        <v/>
      </c>
      <c r="AH569" s="389" t="str">
        <f t="shared" si="27"/>
        <v/>
      </c>
      <c r="AI569" s="389" t="str">
        <f t="shared" si="37"/>
        <v>🔵 Chưa có hạn</v>
      </c>
      <c r="AJ569" s="67" t="str">
        <f>'Lớp 6 - Chi tiết'!AO131</f>
        <v/>
      </c>
      <c r="AS569" s="389" t="str">
        <f t="shared" si="467"/>
        <v/>
      </c>
      <c r="AT569" s="389" t="str">
        <f t="shared" si="32"/>
        <v/>
      </c>
      <c r="AU569" s="389" t="str">
        <f t="shared" si="33"/>
        <v/>
      </c>
      <c r="AV569" s="389" t="str">
        <f t="shared" si="34"/>
        <v/>
      </c>
      <c r="AW569" s="389" t="str">
        <f t="shared" si="35"/>
        <v/>
      </c>
      <c r="AX569" s="67" t="str">
        <f t="shared" ref="AX569:BH569" si="584">Z569</f>
        <v/>
      </c>
      <c r="AY569" s="67" t="str">
        <f t="shared" si="584"/>
        <v/>
      </c>
      <c r="AZ569" s="67" t="str">
        <f t="shared" si="584"/>
        <v/>
      </c>
      <c r="BA569" s="67" t="str">
        <f t="shared" si="584"/>
        <v/>
      </c>
      <c r="BB569" s="398" t="str">
        <f t="shared" si="584"/>
        <v/>
      </c>
      <c r="BC569" s="358" t="str">
        <f t="shared" si="584"/>
        <v/>
      </c>
      <c r="BD569" s="187" t="str">
        <f t="shared" si="584"/>
        <v/>
      </c>
      <c r="BE569" s="104" t="str">
        <f t="shared" si="584"/>
        <v/>
      </c>
      <c r="BF569" s="389" t="str">
        <f t="shared" si="584"/>
        <v/>
      </c>
      <c r="BG569" s="389" t="str">
        <f t="shared" si="584"/>
        <v>🔵 Chưa có hạn</v>
      </c>
      <c r="BH569" s="67" t="str">
        <f t="shared" si="584"/>
        <v/>
      </c>
      <c r="BI569" s="389" t="str">
        <f t="array" ref="BI569">IF($X569="","",SWITCH($W569,3,IFERROR(INDEX('Lớp 3 - Công việc chính'!$AF$14:$AF$73,MATCH($X569,'Lớp 3 - Công việc chính'!$I$14:$I$73,0)),""),4,IFERROR(INDEX('Lớp 4 - Danh mục'!$AI$14:$AI$132,MATCH($X569,'Lớp 4 - Danh mục'!$I$14:$I$132,0)),""),5,IFERROR(INDEX('Lớp 5 - Phân công'!$AJ$14:$AJ$262,MATCH($X569,'Lớp 5 - Phân công'!$I$14:$I$262,0)),""),6,IFERROR(INDEX('Lớp 6 - Chi tiết'!$AM$14:$AM$267,MATCH($X569,'Lớp 6 - Chi tiết'!$I$14:$I$267,0)),""),""))</f>
        <v/>
      </c>
      <c r="BJ569" s="389" t="str">
        <f t="array" ref="BJ569">IF($X569="","",SWITCH($W569,3,IFERROR(INDEX('Lớp 3 - Công việc chính'!$AR$14:$AR$73,MATCH($X569,'Lớp 3 - Công việc chính'!$I$14:$I$73,0)),""),4,IFERROR(INDEX('Lớp 4 - Danh mục'!$AU$14:$AU$132,MATCH($X569,'Lớp 4 - Danh mục'!$I$14:$I$132,0)),""),5,IFERROR(INDEX('Lớp 5 - Phân công'!$AV$14:$AV$262,MATCH($X569,'Lớp 5 - Phân công'!$I$14:$I$262,0)),""),6,IFERROR(INDEX('Lớp 6 - Chi tiết'!$AY$14:$AY$267,MATCH($X569,'Lớp 6 - Chi tiết'!$I$14:$I$267,0)),""),""))</f>
        <v/>
      </c>
    </row>
    <row r="570" ht="15.75" customHeight="1">
      <c r="A570" s="294" t="str">
        <f t="shared" si="12"/>
        <v/>
      </c>
      <c r="B570" s="301" t="str">
        <f t="shared" si="13"/>
        <v/>
      </c>
      <c r="C570" s="301" t="str">
        <f t="shared" si="14"/>
        <v/>
      </c>
      <c r="D570" s="301" t="str">
        <f t="shared" si="15"/>
        <v/>
      </c>
      <c r="E570" s="301" t="str">
        <f t="shared" si="16"/>
        <v/>
      </c>
      <c r="F570" s="317" t="str">
        <f t="shared" si="17"/>
        <v/>
      </c>
      <c r="G570" s="323" t="str">
        <f t="shared" si="18"/>
        <v/>
      </c>
      <c r="H570" s="327" t="str">
        <f t="shared" si="19"/>
        <v/>
      </c>
      <c r="I570" s="327" t="str">
        <f t="shared" si="20"/>
        <v/>
      </c>
      <c r="J570" s="301" t="str">
        <f t="shared" si="21"/>
        <v/>
      </c>
      <c r="K570" s="301" t="str">
        <f t="shared" si="22"/>
        <v/>
      </c>
      <c r="L570" s="344" t="str">
        <f t="array" ref="L570">IF($T570="","",LET(m,MATCH($T570,$AS$24:$AS$700,0),lvl,INDEX($W$24:$W$700,m),id,INDEX($X$24:$X$700,m),SWITCH(lvl,3,"Lớp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0" s="351" t="str">
        <f t="shared" si="23"/>
        <v/>
      </c>
      <c r="N570" s="356" t="str">
        <f t="shared" si="24"/>
        <v/>
      </c>
      <c r="O570" s="358"/>
      <c r="P570" s="360"/>
      <c r="Q570" s="360"/>
      <c r="R570" s="67"/>
      <c r="S570" s="67"/>
      <c r="T570" s="67"/>
      <c r="U570" s="389" t="str">
        <f>IF('Lớp 6 - Chi tiết'!I132="","",'Lớp 6 - Chi tiết'!L132&amp;"|"&amp;'Lớp 6 - Chi tiết'!K132&amp;"|"&amp;'Lớp 6 - Chi tiết'!J132&amp;"|"&amp;'Lớp 6 - Chi tiết'!I132)</f>
        <v/>
      </c>
      <c r="V570" s="389" t="str">
        <f>IF('Lớp 6 - Chi tiết'!I132="","","           └─ "&amp;'Lớp 6 - Chi tiết'!S132)</f>
        <v/>
      </c>
      <c r="W570" s="389" t="str">
        <f>IF('Lớp 6 - Chi tiết'!I132="","",6)</f>
        <v/>
      </c>
      <c r="X570" s="67" t="str">
        <f>'Lớp 6 - Chi tiết'!I132</f>
        <v/>
      </c>
      <c r="Y570" s="389" t="str">
        <f>'Lớp 6 - Chi tiết'!J132</f>
        <v/>
      </c>
      <c r="Z570" s="67" t="str">
        <f>'Lớp 6 - Chi tiết'!AC132</f>
        <v/>
      </c>
      <c r="AA570" s="67" t="str">
        <f>'Lớp 6 - Chi tiết'!AB132</f>
        <v/>
      </c>
      <c r="AB570" s="67" t="str">
        <f>'Lớp 6 - Chi tiết'!AF132</f>
        <v/>
      </c>
      <c r="AC570" s="67" t="str">
        <f>'Lớp 6 - Chi tiết'!AE132</f>
        <v/>
      </c>
      <c r="AD570" s="398" t="str">
        <f>'Lớp 6 - Chi tiết'!AJ132</f>
        <v/>
      </c>
      <c r="AE570" s="358" t="str">
        <f>'Lớp 6 - Chi tiết'!AH132</f>
        <v/>
      </c>
      <c r="AF570" s="187" t="str">
        <f>'Lớp 6 - Chi tiết'!AK132</f>
        <v/>
      </c>
      <c r="AG570" s="104" t="str">
        <f>'Lớp 6 - Chi tiết'!AL132</f>
        <v/>
      </c>
      <c r="AH570" s="389" t="str">
        <f t="shared" si="27"/>
        <v/>
      </c>
      <c r="AI570" s="389" t="str">
        <f t="shared" si="37"/>
        <v>🔵 Chưa có hạn</v>
      </c>
      <c r="AJ570" s="67" t="str">
        <f>'Lớp 6 - Chi tiết'!AO132</f>
        <v/>
      </c>
      <c r="AS570" s="389" t="str">
        <f t="shared" si="467"/>
        <v/>
      </c>
      <c r="AT570" s="389" t="str">
        <f t="shared" si="32"/>
        <v/>
      </c>
      <c r="AU570" s="389" t="str">
        <f t="shared" si="33"/>
        <v/>
      </c>
      <c r="AV570" s="389" t="str">
        <f t="shared" si="34"/>
        <v/>
      </c>
      <c r="AW570" s="389" t="str">
        <f t="shared" si="35"/>
        <v/>
      </c>
      <c r="AX570" s="67" t="str">
        <f t="shared" ref="AX570:BH570" si="585">Z570</f>
        <v/>
      </c>
      <c r="AY570" s="67" t="str">
        <f t="shared" si="585"/>
        <v/>
      </c>
      <c r="AZ570" s="67" t="str">
        <f t="shared" si="585"/>
        <v/>
      </c>
      <c r="BA570" s="67" t="str">
        <f t="shared" si="585"/>
        <v/>
      </c>
      <c r="BB570" s="398" t="str">
        <f t="shared" si="585"/>
        <v/>
      </c>
      <c r="BC570" s="358" t="str">
        <f t="shared" si="585"/>
        <v/>
      </c>
      <c r="BD570" s="187" t="str">
        <f t="shared" si="585"/>
        <v/>
      </c>
      <c r="BE570" s="104" t="str">
        <f t="shared" si="585"/>
        <v/>
      </c>
      <c r="BF570" s="389" t="str">
        <f t="shared" si="585"/>
        <v/>
      </c>
      <c r="BG570" s="389" t="str">
        <f t="shared" si="585"/>
        <v>🔵 Chưa có hạn</v>
      </c>
      <c r="BH570" s="67" t="str">
        <f t="shared" si="585"/>
        <v/>
      </c>
      <c r="BI570" s="389" t="str">
        <f t="array" ref="BI570">IF($X570="","",SWITCH($W570,3,IFERROR(INDEX('Lớp 3 - Công việc chính'!$AF$14:$AF$73,MATCH($X570,'Lớp 3 - Công việc chính'!$I$14:$I$73,0)),""),4,IFERROR(INDEX('Lớp 4 - Danh mục'!$AI$14:$AI$132,MATCH($X570,'Lớp 4 - Danh mục'!$I$14:$I$132,0)),""),5,IFERROR(INDEX('Lớp 5 - Phân công'!$AJ$14:$AJ$262,MATCH($X570,'Lớp 5 - Phân công'!$I$14:$I$262,0)),""),6,IFERROR(INDEX('Lớp 6 - Chi tiết'!$AM$14:$AM$267,MATCH($X570,'Lớp 6 - Chi tiết'!$I$14:$I$267,0)),""),""))</f>
        <v/>
      </c>
      <c r="BJ570" s="389" t="str">
        <f t="array" ref="BJ570">IF($X570="","",SWITCH($W570,3,IFERROR(INDEX('Lớp 3 - Công việc chính'!$AR$14:$AR$73,MATCH($X570,'Lớp 3 - Công việc chính'!$I$14:$I$73,0)),""),4,IFERROR(INDEX('Lớp 4 - Danh mục'!$AU$14:$AU$132,MATCH($X570,'Lớp 4 - Danh mục'!$I$14:$I$132,0)),""),5,IFERROR(INDEX('Lớp 5 - Phân công'!$AV$14:$AV$262,MATCH($X570,'Lớp 5 - Phân công'!$I$14:$I$262,0)),""),6,IFERROR(INDEX('Lớp 6 - Chi tiết'!$AY$14:$AY$267,MATCH($X570,'Lớp 6 - Chi tiết'!$I$14:$I$267,0)),""),""))</f>
        <v/>
      </c>
    </row>
    <row r="571" ht="15.75" customHeight="1">
      <c r="A571" s="294" t="str">
        <f t="shared" si="12"/>
        <v/>
      </c>
      <c r="B571" s="301" t="str">
        <f t="shared" si="13"/>
        <v/>
      </c>
      <c r="C571" s="301" t="str">
        <f t="shared" si="14"/>
        <v/>
      </c>
      <c r="D571" s="301" t="str">
        <f t="shared" si="15"/>
        <v/>
      </c>
      <c r="E571" s="301" t="str">
        <f t="shared" si="16"/>
        <v/>
      </c>
      <c r="F571" s="317" t="str">
        <f t="shared" si="17"/>
        <v/>
      </c>
      <c r="G571" s="323" t="str">
        <f t="shared" si="18"/>
        <v/>
      </c>
      <c r="H571" s="327" t="str">
        <f t="shared" si="19"/>
        <v/>
      </c>
      <c r="I571" s="327" t="str">
        <f t="shared" si="20"/>
        <v/>
      </c>
      <c r="J571" s="301" t="str">
        <f t="shared" si="21"/>
        <v/>
      </c>
      <c r="K571" s="301" t="str">
        <f t="shared" si="22"/>
        <v/>
      </c>
      <c r="L571" s="344" t="str">
        <f t="array" ref="L571">IF($T571="","",LET(m,MATCH($T571,$AS$24:$AS$700,0),lvl,INDEX($W$24:$W$700,m),id,INDEX($X$24:$X$700,m),SWITCH(lvl,3,"Lớp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1" s="351" t="str">
        <f t="shared" si="23"/>
        <v/>
      </c>
      <c r="N571" s="356" t="str">
        <f t="shared" si="24"/>
        <v/>
      </c>
      <c r="O571" s="358"/>
      <c r="P571" s="360"/>
      <c r="Q571" s="360"/>
      <c r="R571" s="67"/>
      <c r="S571" s="67"/>
      <c r="T571" s="67"/>
      <c r="U571" s="389" t="str">
        <f>IF('Lớp 6 - Chi tiết'!I133="","",'Lớp 6 - Chi tiết'!L133&amp;"|"&amp;'Lớp 6 - Chi tiết'!K133&amp;"|"&amp;'Lớp 6 - Chi tiết'!J133&amp;"|"&amp;'Lớp 6 - Chi tiết'!I133)</f>
        <v/>
      </c>
      <c r="V571" s="389" t="str">
        <f>IF('Lớp 6 - Chi tiết'!I133="","","           └─ "&amp;'Lớp 6 - Chi tiết'!S133)</f>
        <v/>
      </c>
      <c r="W571" s="389" t="str">
        <f>IF('Lớp 6 - Chi tiết'!I133="","",6)</f>
        <v/>
      </c>
      <c r="X571" s="67" t="str">
        <f>'Lớp 6 - Chi tiết'!I133</f>
        <v/>
      </c>
      <c r="Y571" s="389" t="str">
        <f>'Lớp 6 - Chi tiết'!J133</f>
        <v/>
      </c>
      <c r="Z571" s="67" t="str">
        <f>'Lớp 6 - Chi tiết'!AC133</f>
        <v/>
      </c>
      <c r="AA571" s="67" t="str">
        <f>'Lớp 6 - Chi tiết'!AB133</f>
        <v/>
      </c>
      <c r="AB571" s="67" t="str">
        <f>'Lớp 6 - Chi tiết'!AF133</f>
        <v/>
      </c>
      <c r="AC571" s="67" t="str">
        <f>'Lớp 6 - Chi tiết'!AE133</f>
        <v/>
      </c>
      <c r="AD571" s="398" t="str">
        <f>'Lớp 6 - Chi tiết'!AJ133</f>
        <v/>
      </c>
      <c r="AE571" s="358" t="str">
        <f>'Lớp 6 - Chi tiết'!AH133</f>
        <v/>
      </c>
      <c r="AF571" s="187" t="str">
        <f>'Lớp 6 - Chi tiết'!AK133</f>
        <v/>
      </c>
      <c r="AG571" s="104" t="str">
        <f>'Lớp 6 - Chi tiết'!AL133</f>
        <v/>
      </c>
      <c r="AH571" s="389" t="str">
        <f t="shared" si="27"/>
        <v/>
      </c>
      <c r="AI571" s="389" t="str">
        <f t="shared" si="37"/>
        <v>🔵 Chưa có hạn</v>
      </c>
      <c r="AJ571" s="67" t="str">
        <f>'Lớp 6 - Chi tiết'!AO133</f>
        <v/>
      </c>
      <c r="AS571" s="389" t="str">
        <f t="shared" si="467"/>
        <v/>
      </c>
      <c r="AT571" s="389" t="str">
        <f t="shared" si="32"/>
        <v/>
      </c>
      <c r="AU571" s="389" t="str">
        <f t="shared" si="33"/>
        <v/>
      </c>
      <c r="AV571" s="389" t="str">
        <f t="shared" si="34"/>
        <v/>
      </c>
      <c r="AW571" s="389" t="str">
        <f t="shared" si="35"/>
        <v/>
      </c>
      <c r="AX571" s="67" t="str">
        <f t="shared" ref="AX571:BH571" si="586">Z571</f>
        <v/>
      </c>
      <c r="AY571" s="67" t="str">
        <f t="shared" si="586"/>
        <v/>
      </c>
      <c r="AZ571" s="67" t="str">
        <f t="shared" si="586"/>
        <v/>
      </c>
      <c r="BA571" s="67" t="str">
        <f t="shared" si="586"/>
        <v/>
      </c>
      <c r="BB571" s="398" t="str">
        <f t="shared" si="586"/>
        <v/>
      </c>
      <c r="BC571" s="358" t="str">
        <f t="shared" si="586"/>
        <v/>
      </c>
      <c r="BD571" s="187" t="str">
        <f t="shared" si="586"/>
        <v/>
      </c>
      <c r="BE571" s="104" t="str">
        <f t="shared" si="586"/>
        <v/>
      </c>
      <c r="BF571" s="389" t="str">
        <f t="shared" si="586"/>
        <v/>
      </c>
      <c r="BG571" s="389" t="str">
        <f t="shared" si="586"/>
        <v>🔵 Chưa có hạn</v>
      </c>
      <c r="BH571" s="67" t="str">
        <f t="shared" si="586"/>
        <v/>
      </c>
      <c r="BI571" s="389" t="str">
        <f t="array" ref="BI571">IF($X571="","",SWITCH($W571,3,IFERROR(INDEX('Lớp 3 - Công việc chính'!$AF$14:$AF$73,MATCH($X571,'Lớp 3 - Công việc chính'!$I$14:$I$73,0)),""),4,IFERROR(INDEX('Lớp 4 - Danh mục'!$AI$14:$AI$132,MATCH($X571,'Lớp 4 - Danh mục'!$I$14:$I$132,0)),""),5,IFERROR(INDEX('Lớp 5 - Phân công'!$AJ$14:$AJ$262,MATCH($X571,'Lớp 5 - Phân công'!$I$14:$I$262,0)),""),6,IFERROR(INDEX('Lớp 6 - Chi tiết'!$AM$14:$AM$267,MATCH($X571,'Lớp 6 - Chi tiết'!$I$14:$I$267,0)),""),""))</f>
        <v/>
      </c>
      <c r="BJ571" s="389" t="str">
        <f t="array" ref="BJ571">IF($X571="","",SWITCH($W571,3,IFERROR(INDEX('Lớp 3 - Công việc chính'!$AR$14:$AR$73,MATCH($X571,'Lớp 3 - Công việc chính'!$I$14:$I$73,0)),""),4,IFERROR(INDEX('Lớp 4 - Danh mục'!$AU$14:$AU$132,MATCH($X571,'Lớp 4 - Danh mục'!$I$14:$I$132,0)),""),5,IFERROR(INDEX('Lớp 5 - Phân công'!$AV$14:$AV$262,MATCH($X571,'Lớp 5 - Phân công'!$I$14:$I$262,0)),""),6,IFERROR(INDEX('Lớp 6 - Chi tiết'!$AY$14:$AY$267,MATCH($X571,'Lớp 6 - Chi tiết'!$I$14:$I$267,0)),""),""))</f>
        <v/>
      </c>
    </row>
    <row r="572" ht="15.75" customHeight="1">
      <c r="A572" s="294" t="str">
        <f t="shared" si="12"/>
        <v/>
      </c>
      <c r="B572" s="301" t="str">
        <f t="shared" si="13"/>
        <v/>
      </c>
      <c r="C572" s="301" t="str">
        <f t="shared" si="14"/>
        <v/>
      </c>
      <c r="D572" s="301" t="str">
        <f t="shared" si="15"/>
        <v/>
      </c>
      <c r="E572" s="301" t="str">
        <f t="shared" si="16"/>
        <v/>
      </c>
      <c r="F572" s="317" t="str">
        <f t="shared" si="17"/>
        <v/>
      </c>
      <c r="G572" s="323" t="str">
        <f t="shared" si="18"/>
        <v/>
      </c>
      <c r="H572" s="327" t="str">
        <f t="shared" si="19"/>
        <v/>
      </c>
      <c r="I572" s="327" t="str">
        <f t="shared" si="20"/>
        <v/>
      </c>
      <c r="J572" s="301" t="str">
        <f t="shared" si="21"/>
        <v/>
      </c>
      <c r="K572" s="301" t="str">
        <f t="shared" si="22"/>
        <v/>
      </c>
      <c r="L572" s="344" t="str">
        <f t="array" ref="L572">IF($T572="","",LET(m,MATCH($T572,$AS$24:$AS$700,0),lvl,INDEX($W$24:$W$700,m),id,INDEX($X$24:$X$700,m),SWITCH(lvl,3,"Lớp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2" s="351" t="str">
        <f t="shared" si="23"/>
        <v/>
      </c>
      <c r="N572" s="356" t="str">
        <f t="shared" si="24"/>
        <v/>
      </c>
      <c r="O572" s="358"/>
      <c r="P572" s="360"/>
      <c r="Q572" s="360"/>
      <c r="R572" s="67"/>
      <c r="S572" s="67"/>
      <c r="T572" s="67"/>
      <c r="U572" s="389" t="str">
        <f>IF('Lớp 6 - Chi tiết'!I134="","",'Lớp 6 - Chi tiết'!L134&amp;"|"&amp;'Lớp 6 - Chi tiết'!K134&amp;"|"&amp;'Lớp 6 - Chi tiết'!J134&amp;"|"&amp;'Lớp 6 - Chi tiết'!I134)</f>
        <v/>
      </c>
      <c r="V572" s="389" t="str">
        <f>IF('Lớp 6 - Chi tiết'!I134="","","           └─ "&amp;'Lớp 6 - Chi tiết'!S134)</f>
        <v/>
      </c>
      <c r="W572" s="389" t="str">
        <f>IF('Lớp 6 - Chi tiết'!I134="","",6)</f>
        <v/>
      </c>
      <c r="X572" s="67" t="str">
        <f>'Lớp 6 - Chi tiết'!I134</f>
        <v/>
      </c>
      <c r="Y572" s="389" t="str">
        <f>'Lớp 6 - Chi tiết'!J134</f>
        <v/>
      </c>
      <c r="Z572" s="67" t="str">
        <f>'Lớp 6 - Chi tiết'!AC134</f>
        <v/>
      </c>
      <c r="AA572" s="67" t="str">
        <f>'Lớp 6 - Chi tiết'!AB134</f>
        <v/>
      </c>
      <c r="AB572" s="67" t="str">
        <f>'Lớp 6 - Chi tiết'!AF134</f>
        <v/>
      </c>
      <c r="AC572" s="67" t="str">
        <f>'Lớp 6 - Chi tiết'!AE134</f>
        <v/>
      </c>
      <c r="AD572" s="398" t="str">
        <f>'Lớp 6 - Chi tiết'!AJ134</f>
        <v/>
      </c>
      <c r="AE572" s="358" t="str">
        <f>'Lớp 6 - Chi tiết'!AH134</f>
        <v/>
      </c>
      <c r="AF572" s="187" t="str">
        <f>'Lớp 6 - Chi tiết'!AK134</f>
        <v/>
      </c>
      <c r="AG572" s="104" t="str">
        <f>'Lớp 6 - Chi tiết'!AL134</f>
        <v/>
      </c>
      <c r="AH572" s="389" t="str">
        <f t="shared" si="27"/>
        <v/>
      </c>
      <c r="AI572" s="389" t="str">
        <f t="shared" si="37"/>
        <v>🔵 Chưa có hạn</v>
      </c>
      <c r="AJ572" s="67" t="str">
        <f>'Lớp 6 - Chi tiết'!AO134</f>
        <v/>
      </c>
      <c r="AS572" s="389" t="str">
        <f t="shared" si="467"/>
        <v/>
      </c>
      <c r="AT572" s="389" t="str">
        <f t="shared" si="32"/>
        <v/>
      </c>
      <c r="AU572" s="389" t="str">
        <f t="shared" si="33"/>
        <v/>
      </c>
      <c r="AV572" s="389" t="str">
        <f t="shared" si="34"/>
        <v/>
      </c>
      <c r="AW572" s="389" t="str">
        <f t="shared" si="35"/>
        <v/>
      </c>
      <c r="AX572" s="67" t="str">
        <f t="shared" ref="AX572:BH572" si="587">Z572</f>
        <v/>
      </c>
      <c r="AY572" s="67" t="str">
        <f t="shared" si="587"/>
        <v/>
      </c>
      <c r="AZ572" s="67" t="str">
        <f t="shared" si="587"/>
        <v/>
      </c>
      <c r="BA572" s="67" t="str">
        <f t="shared" si="587"/>
        <v/>
      </c>
      <c r="BB572" s="398" t="str">
        <f t="shared" si="587"/>
        <v/>
      </c>
      <c r="BC572" s="358" t="str">
        <f t="shared" si="587"/>
        <v/>
      </c>
      <c r="BD572" s="187" t="str">
        <f t="shared" si="587"/>
        <v/>
      </c>
      <c r="BE572" s="104" t="str">
        <f t="shared" si="587"/>
        <v/>
      </c>
      <c r="BF572" s="389" t="str">
        <f t="shared" si="587"/>
        <v/>
      </c>
      <c r="BG572" s="389" t="str">
        <f t="shared" si="587"/>
        <v>🔵 Chưa có hạn</v>
      </c>
      <c r="BH572" s="67" t="str">
        <f t="shared" si="587"/>
        <v/>
      </c>
      <c r="BI572" s="389" t="str">
        <f t="array" ref="BI572">IF($X572="","",SWITCH($W572,3,IFERROR(INDEX('Lớp 3 - Công việc chính'!$AF$14:$AF$73,MATCH($X572,'Lớp 3 - Công việc chính'!$I$14:$I$73,0)),""),4,IFERROR(INDEX('Lớp 4 - Danh mục'!$AI$14:$AI$132,MATCH($X572,'Lớp 4 - Danh mục'!$I$14:$I$132,0)),""),5,IFERROR(INDEX('Lớp 5 - Phân công'!$AJ$14:$AJ$262,MATCH($X572,'Lớp 5 - Phân công'!$I$14:$I$262,0)),""),6,IFERROR(INDEX('Lớp 6 - Chi tiết'!$AM$14:$AM$267,MATCH($X572,'Lớp 6 - Chi tiết'!$I$14:$I$267,0)),""),""))</f>
        <v/>
      </c>
      <c r="BJ572" s="389" t="str">
        <f t="array" ref="BJ572">IF($X572="","",SWITCH($W572,3,IFERROR(INDEX('Lớp 3 - Công việc chính'!$AR$14:$AR$73,MATCH($X572,'Lớp 3 - Công việc chính'!$I$14:$I$73,0)),""),4,IFERROR(INDEX('Lớp 4 - Danh mục'!$AU$14:$AU$132,MATCH($X572,'Lớp 4 - Danh mục'!$I$14:$I$132,0)),""),5,IFERROR(INDEX('Lớp 5 - Phân công'!$AV$14:$AV$262,MATCH($X572,'Lớp 5 - Phân công'!$I$14:$I$262,0)),""),6,IFERROR(INDEX('Lớp 6 - Chi tiết'!$AY$14:$AY$267,MATCH($X572,'Lớp 6 - Chi tiết'!$I$14:$I$267,0)),""),""))</f>
        <v/>
      </c>
    </row>
    <row r="573" ht="15.75" customHeight="1">
      <c r="A573" s="294" t="str">
        <f t="shared" si="12"/>
        <v/>
      </c>
      <c r="B573" s="301" t="str">
        <f t="shared" si="13"/>
        <v/>
      </c>
      <c r="C573" s="301" t="str">
        <f t="shared" si="14"/>
        <v/>
      </c>
      <c r="D573" s="301" t="str">
        <f t="shared" si="15"/>
        <v/>
      </c>
      <c r="E573" s="301" t="str">
        <f t="shared" si="16"/>
        <v/>
      </c>
      <c r="F573" s="317" t="str">
        <f t="shared" si="17"/>
        <v/>
      </c>
      <c r="G573" s="323" t="str">
        <f t="shared" si="18"/>
        <v/>
      </c>
      <c r="H573" s="327" t="str">
        <f t="shared" si="19"/>
        <v/>
      </c>
      <c r="I573" s="327" t="str">
        <f t="shared" si="20"/>
        <v/>
      </c>
      <c r="J573" s="301" t="str">
        <f t="shared" si="21"/>
        <v/>
      </c>
      <c r="K573" s="301" t="str">
        <f t="shared" si="22"/>
        <v/>
      </c>
      <c r="L573" s="344" t="str">
        <f t="array" ref="L573">IF($T573="","",LET(m,MATCH($T573,$AS$24:$AS$700,0),lvl,INDEX($W$24:$W$700,m),id,INDEX($X$24:$X$700,m),SWITCH(lvl,3,"Lớp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3" s="351" t="str">
        <f t="shared" si="23"/>
        <v/>
      </c>
      <c r="N573" s="356" t="str">
        <f t="shared" si="24"/>
        <v/>
      </c>
      <c r="O573" s="358"/>
      <c r="P573" s="360"/>
      <c r="Q573" s="360"/>
      <c r="R573" s="67"/>
      <c r="S573" s="67"/>
      <c r="T573" s="67"/>
      <c r="U573" s="389" t="str">
        <f>IF('Lớp 6 - Chi tiết'!I135="","",'Lớp 6 - Chi tiết'!L135&amp;"|"&amp;'Lớp 6 - Chi tiết'!K135&amp;"|"&amp;'Lớp 6 - Chi tiết'!J135&amp;"|"&amp;'Lớp 6 - Chi tiết'!I135)</f>
        <v/>
      </c>
      <c r="V573" s="389" t="str">
        <f>IF('Lớp 6 - Chi tiết'!I135="","","           └─ "&amp;'Lớp 6 - Chi tiết'!S135)</f>
        <v/>
      </c>
      <c r="W573" s="389" t="str">
        <f>IF('Lớp 6 - Chi tiết'!I135="","",6)</f>
        <v/>
      </c>
      <c r="X573" s="67" t="str">
        <f>'Lớp 6 - Chi tiết'!I135</f>
        <v/>
      </c>
      <c r="Y573" s="389" t="str">
        <f>'Lớp 6 - Chi tiết'!J135</f>
        <v/>
      </c>
      <c r="Z573" s="67" t="str">
        <f>'Lớp 6 - Chi tiết'!AC135</f>
        <v/>
      </c>
      <c r="AA573" s="67" t="str">
        <f>'Lớp 6 - Chi tiết'!AB135</f>
        <v/>
      </c>
      <c r="AB573" s="67" t="str">
        <f>'Lớp 6 - Chi tiết'!AF135</f>
        <v/>
      </c>
      <c r="AC573" s="67" t="str">
        <f>'Lớp 6 - Chi tiết'!AE135</f>
        <v/>
      </c>
      <c r="AD573" s="398" t="str">
        <f>'Lớp 6 - Chi tiết'!AJ135</f>
        <v/>
      </c>
      <c r="AE573" s="358" t="str">
        <f>'Lớp 6 - Chi tiết'!AH135</f>
        <v/>
      </c>
      <c r="AF573" s="187" t="str">
        <f>'Lớp 6 - Chi tiết'!AK135</f>
        <v/>
      </c>
      <c r="AG573" s="104" t="str">
        <f>'Lớp 6 - Chi tiết'!AL135</f>
        <v/>
      </c>
      <c r="AH573" s="389" t="str">
        <f t="shared" si="27"/>
        <v/>
      </c>
      <c r="AI573" s="389" t="str">
        <f t="shared" si="37"/>
        <v>🔵 Chưa có hạn</v>
      </c>
      <c r="AJ573" s="67" t="str">
        <f>'Lớp 6 - Chi tiết'!AO135</f>
        <v/>
      </c>
      <c r="AS573" s="389" t="str">
        <f t="shared" si="467"/>
        <v/>
      </c>
      <c r="AT573" s="389" t="str">
        <f t="shared" si="32"/>
        <v/>
      </c>
      <c r="AU573" s="389" t="str">
        <f t="shared" si="33"/>
        <v/>
      </c>
      <c r="AV573" s="389" t="str">
        <f t="shared" si="34"/>
        <v/>
      </c>
      <c r="AW573" s="389" t="str">
        <f t="shared" si="35"/>
        <v/>
      </c>
      <c r="AX573" s="67" t="str">
        <f t="shared" ref="AX573:BH573" si="588">Z573</f>
        <v/>
      </c>
      <c r="AY573" s="67" t="str">
        <f t="shared" si="588"/>
        <v/>
      </c>
      <c r="AZ573" s="67" t="str">
        <f t="shared" si="588"/>
        <v/>
      </c>
      <c r="BA573" s="67" t="str">
        <f t="shared" si="588"/>
        <v/>
      </c>
      <c r="BB573" s="398" t="str">
        <f t="shared" si="588"/>
        <v/>
      </c>
      <c r="BC573" s="358" t="str">
        <f t="shared" si="588"/>
        <v/>
      </c>
      <c r="BD573" s="187" t="str">
        <f t="shared" si="588"/>
        <v/>
      </c>
      <c r="BE573" s="104" t="str">
        <f t="shared" si="588"/>
        <v/>
      </c>
      <c r="BF573" s="389" t="str">
        <f t="shared" si="588"/>
        <v/>
      </c>
      <c r="BG573" s="389" t="str">
        <f t="shared" si="588"/>
        <v>🔵 Chưa có hạn</v>
      </c>
      <c r="BH573" s="67" t="str">
        <f t="shared" si="588"/>
        <v/>
      </c>
      <c r="BI573" s="389" t="str">
        <f t="array" ref="BI573">IF($X573="","",SWITCH($W573,3,IFERROR(INDEX('Lớp 3 - Công việc chính'!$AF$14:$AF$73,MATCH($X573,'Lớp 3 - Công việc chính'!$I$14:$I$73,0)),""),4,IFERROR(INDEX('Lớp 4 - Danh mục'!$AI$14:$AI$132,MATCH($X573,'Lớp 4 - Danh mục'!$I$14:$I$132,0)),""),5,IFERROR(INDEX('Lớp 5 - Phân công'!$AJ$14:$AJ$262,MATCH($X573,'Lớp 5 - Phân công'!$I$14:$I$262,0)),""),6,IFERROR(INDEX('Lớp 6 - Chi tiết'!$AM$14:$AM$267,MATCH($X573,'Lớp 6 - Chi tiết'!$I$14:$I$267,0)),""),""))</f>
        <v/>
      </c>
      <c r="BJ573" s="389" t="str">
        <f t="array" ref="BJ573">IF($X573="","",SWITCH($W573,3,IFERROR(INDEX('Lớp 3 - Công việc chính'!$AR$14:$AR$73,MATCH($X573,'Lớp 3 - Công việc chính'!$I$14:$I$73,0)),""),4,IFERROR(INDEX('Lớp 4 - Danh mục'!$AU$14:$AU$132,MATCH($X573,'Lớp 4 - Danh mục'!$I$14:$I$132,0)),""),5,IFERROR(INDEX('Lớp 5 - Phân công'!$AV$14:$AV$262,MATCH($X573,'Lớp 5 - Phân công'!$I$14:$I$262,0)),""),6,IFERROR(INDEX('Lớp 6 - Chi tiết'!$AY$14:$AY$267,MATCH($X573,'Lớp 6 - Chi tiết'!$I$14:$I$267,0)),""),""))</f>
        <v/>
      </c>
    </row>
    <row r="574" ht="15.75" customHeight="1">
      <c r="A574" s="294" t="str">
        <f t="shared" si="12"/>
        <v/>
      </c>
      <c r="B574" s="301" t="str">
        <f t="shared" si="13"/>
        <v/>
      </c>
      <c r="C574" s="301" t="str">
        <f t="shared" si="14"/>
        <v/>
      </c>
      <c r="D574" s="301" t="str">
        <f t="shared" si="15"/>
        <v/>
      </c>
      <c r="E574" s="301" t="str">
        <f t="shared" si="16"/>
        <v/>
      </c>
      <c r="F574" s="317" t="str">
        <f t="shared" si="17"/>
        <v/>
      </c>
      <c r="G574" s="323" t="str">
        <f t="shared" si="18"/>
        <v/>
      </c>
      <c r="H574" s="327" t="str">
        <f t="shared" si="19"/>
        <v/>
      </c>
      <c r="I574" s="327" t="str">
        <f t="shared" si="20"/>
        <v/>
      </c>
      <c r="J574" s="301" t="str">
        <f t="shared" si="21"/>
        <v/>
      </c>
      <c r="K574" s="301" t="str">
        <f t="shared" si="22"/>
        <v/>
      </c>
      <c r="L574" s="344" t="str">
        <f t="array" ref="L574">IF($T574="","",LET(m,MATCH($T574,$AS$24:$AS$700,0),lvl,INDEX($W$24:$W$700,m),id,INDEX($X$24:$X$700,m),SWITCH(lvl,3,"Lớp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4" s="351" t="str">
        <f t="shared" si="23"/>
        <v/>
      </c>
      <c r="N574" s="356" t="str">
        <f t="shared" si="24"/>
        <v/>
      </c>
      <c r="O574" s="358"/>
      <c r="P574" s="360"/>
      <c r="Q574" s="360"/>
      <c r="R574" s="67"/>
      <c r="S574" s="67"/>
      <c r="T574" s="67"/>
      <c r="U574" s="389" t="str">
        <f>IF('Lớp 6 - Chi tiết'!I136="","",'Lớp 6 - Chi tiết'!L136&amp;"|"&amp;'Lớp 6 - Chi tiết'!K136&amp;"|"&amp;'Lớp 6 - Chi tiết'!J136&amp;"|"&amp;'Lớp 6 - Chi tiết'!I136)</f>
        <v/>
      </c>
      <c r="V574" s="389" t="str">
        <f>IF('Lớp 6 - Chi tiết'!I136="","","           └─ "&amp;'Lớp 6 - Chi tiết'!S136)</f>
        <v/>
      </c>
      <c r="W574" s="389" t="str">
        <f>IF('Lớp 6 - Chi tiết'!I136="","",6)</f>
        <v/>
      </c>
      <c r="X574" s="67" t="str">
        <f>'Lớp 6 - Chi tiết'!I136</f>
        <v/>
      </c>
      <c r="Y574" s="389" t="str">
        <f>'Lớp 6 - Chi tiết'!J136</f>
        <v/>
      </c>
      <c r="Z574" s="67" t="str">
        <f>'Lớp 6 - Chi tiết'!AC136</f>
        <v/>
      </c>
      <c r="AA574" s="67" t="str">
        <f>'Lớp 6 - Chi tiết'!AB136</f>
        <v/>
      </c>
      <c r="AB574" s="67" t="str">
        <f>'Lớp 6 - Chi tiết'!AF136</f>
        <v/>
      </c>
      <c r="AC574" s="67" t="str">
        <f>'Lớp 6 - Chi tiết'!AE136</f>
        <v/>
      </c>
      <c r="AD574" s="398" t="str">
        <f>'Lớp 6 - Chi tiết'!AJ136</f>
        <v/>
      </c>
      <c r="AE574" s="358" t="str">
        <f>'Lớp 6 - Chi tiết'!AH136</f>
        <v/>
      </c>
      <c r="AF574" s="187" t="str">
        <f>'Lớp 6 - Chi tiết'!AK136</f>
        <v/>
      </c>
      <c r="AG574" s="104" t="str">
        <f>'Lớp 6 - Chi tiết'!AL136</f>
        <v/>
      </c>
      <c r="AH574" s="389" t="str">
        <f t="shared" si="27"/>
        <v/>
      </c>
      <c r="AI574" s="389" t="str">
        <f t="shared" si="37"/>
        <v>🔵 Chưa có hạn</v>
      </c>
      <c r="AJ574" s="67" t="str">
        <f>'Lớp 6 - Chi tiết'!AO136</f>
        <v/>
      </c>
      <c r="AS574" s="389" t="str">
        <f t="shared" si="467"/>
        <v/>
      </c>
      <c r="AT574" s="389" t="str">
        <f t="shared" si="32"/>
        <v/>
      </c>
      <c r="AU574" s="389" t="str">
        <f t="shared" si="33"/>
        <v/>
      </c>
      <c r="AV574" s="389" t="str">
        <f t="shared" si="34"/>
        <v/>
      </c>
      <c r="AW574" s="389" t="str">
        <f t="shared" si="35"/>
        <v/>
      </c>
      <c r="AX574" s="67" t="str">
        <f t="shared" ref="AX574:BH574" si="589">Z574</f>
        <v/>
      </c>
      <c r="AY574" s="67" t="str">
        <f t="shared" si="589"/>
        <v/>
      </c>
      <c r="AZ574" s="67" t="str">
        <f t="shared" si="589"/>
        <v/>
      </c>
      <c r="BA574" s="67" t="str">
        <f t="shared" si="589"/>
        <v/>
      </c>
      <c r="BB574" s="398" t="str">
        <f t="shared" si="589"/>
        <v/>
      </c>
      <c r="BC574" s="358" t="str">
        <f t="shared" si="589"/>
        <v/>
      </c>
      <c r="BD574" s="187" t="str">
        <f t="shared" si="589"/>
        <v/>
      </c>
      <c r="BE574" s="104" t="str">
        <f t="shared" si="589"/>
        <v/>
      </c>
      <c r="BF574" s="389" t="str">
        <f t="shared" si="589"/>
        <v/>
      </c>
      <c r="BG574" s="389" t="str">
        <f t="shared" si="589"/>
        <v>🔵 Chưa có hạn</v>
      </c>
      <c r="BH574" s="67" t="str">
        <f t="shared" si="589"/>
        <v/>
      </c>
      <c r="BI574" s="389" t="str">
        <f t="array" ref="BI574">IF($X574="","",SWITCH($W574,3,IFERROR(INDEX('Lớp 3 - Công việc chính'!$AF$14:$AF$73,MATCH($X574,'Lớp 3 - Công việc chính'!$I$14:$I$73,0)),""),4,IFERROR(INDEX('Lớp 4 - Danh mục'!$AI$14:$AI$132,MATCH($X574,'Lớp 4 - Danh mục'!$I$14:$I$132,0)),""),5,IFERROR(INDEX('Lớp 5 - Phân công'!$AJ$14:$AJ$262,MATCH($X574,'Lớp 5 - Phân công'!$I$14:$I$262,0)),""),6,IFERROR(INDEX('Lớp 6 - Chi tiết'!$AM$14:$AM$267,MATCH($X574,'Lớp 6 - Chi tiết'!$I$14:$I$267,0)),""),""))</f>
        <v/>
      </c>
      <c r="BJ574" s="389" t="str">
        <f t="array" ref="BJ574">IF($X574="","",SWITCH($W574,3,IFERROR(INDEX('Lớp 3 - Công việc chính'!$AR$14:$AR$73,MATCH($X574,'Lớp 3 - Công việc chính'!$I$14:$I$73,0)),""),4,IFERROR(INDEX('Lớp 4 - Danh mục'!$AU$14:$AU$132,MATCH($X574,'Lớp 4 - Danh mục'!$I$14:$I$132,0)),""),5,IFERROR(INDEX('Lớp 5 - Phân công'!$AV$14:$AV$262,MATCH($X574,'Lớp 5 - Phân công'!$I$14:$I$262,0)),""),6,IFERROR(INDEX('Lớp 6 - Chi tiết'!$AY$14:$AY$267,MATCH($X574,'Lớp 6 - Chi tiết'!$I$14:$I$267,0)),""),""))</f>
        <v/>
      </c>
    </row>
    <row r="575" ht="15.75" customHeight="1">
      <c r="A575" s="294" t="str">
        <f t="shared" si="12"/>
        <v/>
      </c>
      <c r="B575" s="301" t="str">
        <f t="shared" si="13"/>
        <v/>
      </c>
      <c r="C575" s="301" t="str">
        <f t="shared" si="14"/>
        <v/>
      </c>
      <c r="D575" s="301" t="str">
        <f t="shared" si="15"/>
        <v/>
      </c>
      <c r="E575" s="301" t="str">
        <f t="shared" si="16"/>
        <v/>
      </c>
      <c r="F575" s="317" t="str">
        <f t="shared" si="17"/>
        <v/>
      </c>
      <c r="G575" s="323" t="str">
        <f t="shared" si="18"/>
        <v/>
      </c>
      <c r="H575" s="327" t="str">
        <f t="shared" si="19"/>
        <v/>
      </c>
      <c r="I575" s="327" t="str">
        <f t="shared" si="20"/>
        <v/>
      </c>
      <c r="J575" s="301" t="str">
        <f t="shared" si="21"/>
        <v/>
      </c>
      <c r="K575" s="301" t="str">
        <f t="shared" si="22"/>
        <v/>
      </c>
      <c r="L575" s="344" t="str">
        <f t="array" ref="L575">IF($T575="","",LET(m,MATCH($T575,$AS$24:$AS$700,0),lvl,INDEX($W$24:$W$700,m),id,INDEX($X$24:$X$700,m),SWITCH(lvl,3,"Lớp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5" s="351" t="str">
        <f t="shared" si="23"/>
        <v/>
      </c>
      <c r="N575" s="356" t="str">
        <f t="shared" si="24"/>
        <v/>
      </c>
      <c r="O575" s="358"/>
      <c r="P575" s="360"/>
      <c r="Q575" s="360"/>
      <c r="R575" s="67"/>
      <c r="S575" s="67"/>
      <c r="T575" s="67"/>
      <c r="U575" s="389" t="str">
        <f>IF('Lớp 6 - Chi tiết'!I137="","",'Lớp 6 - Chi tiết'!L137&amp;"|"&amp;'Lớp 6 - Chi tiết'!K137&amp;"|"&amp;'Lớp 6 - Chi tiết'!J137&amp;"|"&amp;'Lớp 6 - Chi tiết'!I137)</f>
        <v/>
      </c>
      <c r="V575" s="389" t="str">
        <f>IF('Lớp 6 - Chi tiết'!I137="","","           └─ "&amp;'Lớp 6 - Chi tiết'!S137)</f>
        <v/>
      </c>
      <c r="W575" s="389" t="str">
        <f>IF('Lớp 6 - Chi tiết'!I137="","",6)</f>
        <v/>
      </c>
      <c r="X575" s="67" t="str">
        <f>'Lớp 6 - Chi tiết'!I137</f>
        <v/>
      </c>
      <c r="Y575" s="389" t="str">
        <f>'Lớp 6 - Chi tiết'!J137</f>
        <v/>
      </c>
      <c r="Z575" s="67" t="str">
        <f>'Lớp 6 - Chi tiết'!AC137</f>
        <v/>
      </c>
      <c r="AA575" s="67" t="str">
        <f>'Lớp 6 - Chi tiết'!AB137</f>
        <v/>
      </c>
      <c r="AB575" s="67" t="str">
        <f>'Lớp 6 - Chi tiết'!AF137</f>
        <v/>
      </c>
      <c r="AC575" s="67" t="str">
        <f>'Lớp 6 - Chi tiết'!AE137</f>
        <v/>
      </c>
      <c r="AD575" s="398" t="str">
        <f>'Lớp 6 - Chi tiết'!AJ137</f>
        <v/>
      </c>
      <c r="AE575" s="358" t="str">
        <f>'Lớp 6 - Chi tiết'!AH137</f>
        <v/>
      </c>
      <c r="AF575" s="187" t="str">
        <f>'Lớp 6 - Chi tiết'!AK137</f>
        <v/>
      </c>
      <c r="AG575" s="104" t="str">
        <f>'Lớp 6 - Chi tiết'!AL137</f>
        <v/>
      </c>
      <c r="AH575" s="389" t="str">
        <f t="shared" si="27"/>
        <v/>
      </c>
      <c r="AI575" s="389" t="str">
        <f t="shared" si="37"/>
        <v>🔵 Chưa có hạn</v>
      </c>
      <c r="AJ575" s="67" t="str">
        <f>'Lớp 6 - Chi tiết'!AO137</f>
        <v/>
      </c>
      <c r="AS575" s="389" t="str">
        <f t="shared" si="467"/>
        <v/>
      </c>
      <c r="AT575" s="389" t="str">
        <f t="shared" si="32"/>
        <v/>
      </c>
      <c r="AU575" s="389" t="str">
        <f t="shared" si="33"/>
        <v/>
      </c>
      <c r="AV575" s="389" t="str">
        <f t="shared" si="34"/>
        <v/>
      </c>
      <c r="AW575" s="389" t="str">
        <f t="shared" si="35"/>
        <v/>
      </c>
      <c r="AX575" s="67" t="str">
        <f t="shared" ref="AX575:BH575" si="590">Z575</f>
        <v/>
      </c>
      <c r="AY575" s="67" t="str">
        <f t="shared" si="590"/>
        <v/>
      </c>
      <c r="AZ575" s="67" t="str">
        <f t="shared" si="590"/>
        <v/>
      </c>
      <c r="BA575" s="67" t="str">
        <f t="shared" si="590"/>
        <v/>
      </c>
      <c r="BB575" s="398" t="str">
        <f t="shared" si="590"/>
        <v/>
      </c>
      <c r="BC575" s="358" t="str">
        <f t="shared" si="590"/>
        <v/>
      </c>
      <c r="BD575" s="187" t="str">
        <f t="shared" si="590"/>
        <v/>
      </c>
      <c r="BE575" s="104" t="str">
        <f t="shared" si="590"/>
        <v/>
      </c>
      <c r="BF575" s="389" t="str">
        <f t="shared" si="590"/>
        <v/>
      </c>
      <c r="BG575" s="389" t="str">
        <f t="shared" si="590"/>
        <v>🔵 Chưa có hạn</v>
      </c>
      <c r="BH575" s="67" t="str">
        <f t="shared" si="590"/>
        <v/>
      </c>
      <c r="BI575" s="389" t="str">
        <f t="array" ref="BI575">IF($X575="","",SWITCH($W575,3,IFERROR(INDEX('Lớp 3 - Công việc chính'!$AF$14:$AF$73,MATCH($X575,'Lớp 3 - Công việc chính'!$I$14:$I$73,0)),""),4,IFERROR(INDEX('Lớp 4 - Danh mục'!$AI$14:$AI$132,MATCH($X575,'Lớp 4 - Danh mục'!$I$14:$I$132,0)),""),5,IFERROR(INDEX('Lớp 5 - Phân công'!$AJ$14:$AJ$262,MATCH($X575,'Lớp 5 - Phân công'!$I$14:$I$262,0)),""),6,IFERROR(INDEX('Lớp 6 - Chi tiết'!$AM$14:$AM$267,MATCH($X575,'Lớp 6 - Chi tiết'!$I$14:$I$267,0)),""),""))</f>
        <v/>
      </c>
      <c r="BJ575" s="389" t="str">
        <f t="array" ref="BJ575">IF($X575="","",SWITCH($W575,3,IFERROR(INDEX('Lớp 3 - Công việc chính'!$AR$14:$AR$73,MATCH($X575,'Lớp 3 - Công việc chính'!$I$14:$I$73,0)),""),4,IFERROR(INDEX('Lớp 4 - Danh mục'!$AU$14:$AU$132,MATCH($X575,'Lớp 4 - Danh mục'!$I$14:$I$132,0)),""),5,IFERROR(INDEX('Lớp 5 - Phân công'!$AV$14:$AV$262,MATCH($X575,'Lớp 5 - Phân công'!$I$14:$I$262,0)),""),6,IFERROR(INDEX('Lớp 6 - Chi tiết'!$AY$14:$AY$267,MATCH($X575,'Lớp 6 - Chi tiết'!$I$14:$I$267,0)),""),""))</f>
        <v/>
      </c>
    </row>
    <row r="576" ht="15.75" customHeight="1">
      <c r="A576" s="294" t="str">
        <f t="shared" si="12"/>
        <v/>
      </c>
      <c r="B576" s="301" t="str">
        <f t="shared" si="13"/>
        <v/>
      </c>
      <c r="C576" s="301" t="str">
        <f t="shared" si="14"/>
        <v/>
      </c>
      <c r="D576" s="301" t="str">
        <f t="shared" si="15"/>
        <v/>
      </c>
      <c r="E576" s="301" t="str">
        <f t="shared" si="16"/>
        <v/>
      </c>
      <c r="F576" s="317" t="str">
        <f t="shared" si="17"/>
        <v/>
      </c>
      <c r="G576" s="323" t="str">
        <f t="shared" si="18"/>
        <v/>
      </c>
      <c r="H576" s="327" t="str">
        <f t="shared" si="19"/>
        <v/>
      </c>
      <c r="I576" s="327" t="str">
        <f t="shared" si="20"/>
        <v/>
      </c>
      <c r="J576" s="301" t="str">
        <f t="shared" si="21"/>
        <v/>
      </c>
      <c r="K576" s="301" t="str">
        <f t="shared" si="22"/>
        <v/>
      </c>
      <c r="L576" s="344" t="str">
        <f t="array" ref="L576">IF($T576="","",LET(m,MATCH($T576,$AS$24:$AS$700,0),lvl,INDEX($W$24:$W$700,m),id,INDEX($X$24:$X$700,m),SWITCH(lvl,3,"Lớp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6" s="351" t="str">
        <f t="shared" si="23"/>
        <v/>
      </c>
      <c r="N576" s="356" t="str">
        <f t="shared" si="24"/>
        <v/>
      </c>
      <c r="O576" s="358"/>
      <c r="P576" s="360"/>
      <c r="Q576" s="360"/>
      <c r="R576" s="67"/>
      <c r="S576" s="67"/>
      <c r="T576" s="67"/>
      <c r="U576" s="389" t="str">
        <f>IF('Lớp 6 - Chi tiết'!I138="","",'Lớp 6 - Chi tiết'!L138&amp;"|"&amp;'Lớp 6 - Chi tiết'!K138&amp;"|"&amp;'Lớp 6 - Chi tiết'!J138&amp;"|"&amp;'Lớp 6 - Chi tiết'!I138)</f>
        <v/>
      </c>
      <c r="V576" s="389" t="str">
        <f>IF('Lớp 6 - Chi tiết'!I138="","","           └─ "&amp;'Lớp 6 - Chi tiết'!S138)</f>
        <v/>
      </c>
      <c r="W576" s="389" t="str">
        <f>IF('Lớp 6 - Chi tiết'!I138="","",6)</f>
        <v/>
      </c>
      <c r="X576" s="67" t="str">
        <f>'Lớp 6 - Chi tiết'!I138</f>
        <v/>
      </c>
      <c r="Y576" s="389" t="str">
        <f>'Lớp 6 - Chi tiết'!J138</f>
        <v/>
      </c>
      <c r="Z576" s="67" t="str">
        <f>'Lớp 6 - Chi tiết'!AC138</f>
        <v/>
      </c>
      <c r="AA576" s="67" t="str">
        <f>'Lớp 6 - Chi tiết'!AB138</f>
        <v/>
      </c>
      <c r="AB576" s="67" t="str">
        <f>'Lớp 6 - Chi tiết'!AF138</f>
        <v/>
      </c>
      <c r="AC576" s="67" t="str">
        <f>'Lớp 6 - Chi tiết'!AE138</f>
        <v/>
      </c>
      <c r="AD576" s="398" t="str">
        <f>'Lớp 6 - Chi tiết'!AJ138</f>
        <v/>
      </c>
      <c r="AE576" s="358" t="str">
        <f>'Lớp 6 - Chi tiết'!AH138</f>
        <v/>
      </c>
      <c r="AF576" s="187" t="str">
        <f>'Lớp 6 - Chi tiết'!AK138</f>
        <v/>
      </c>
      <c r="AG576" s="104" t="str">
        <f>'Lớp 6 - Chi tiết'!AL138</f>
        <v/>
      </c>
      <c r="AH576" s="389" t="str">
        <f t="shared" si="27"/>
        <v/>
      </c>
      <c r="AI576" s="389" t="str">
        <f t="shared" si="37"/>
        <v>🔵 Chưa có hạn</v>
      </c>
      <c r="AJ576" s="67" t="str">
        <f>'Lớp 6 - Chi tiết'!AO138</f>
        <v/>
      </c>
      <c r="AS576" s="389" t="str">
        <f t="shared" si="467"/>
        <v/>
      </c>
      <c r="AT576" s="389" t="str">
        <f t="shared" si="32"/>
        <v/>
      </c>
      <c r="AU576" s="389" t="str">
        <f t="shared" si="33"/>
        <v/>
      </c>
      <c r="AV576" s="389" t="str">
        <f t="shared" si="34"/>
        <v/>
      </c>
      <c r="AW576" s="389" t="str">
        <f t="shared" si="35"/>
        <v/>
      </c>
      <c r="AX576" s="67" t="str">
        <f t="shared" ref="AX576:BH576" si="591">Z576</f>
        <v/>
      </c>
      <c r="AY576" s="67" t="str">
        <f t="shared" si="591"/>
        <v/>
      </c>
      <c r="AZ576" s="67" t="str">
        <f t="shared" si="591"/>
        <v/>
      </c>
      <c r="BA576" s="67" t="str">
        <f t="shared" si="591"/>
        <v/>
      </c>
      <c r="BB576" s="398" t="str">
        <f t="shared" si="591"/>
        <v/>
      </c>
      <c r="BC576" s="358" t="str">
        <f t="shared" si="591"/>
        <v/>
      </c>
      <c r="BD576" s="187" t="str">
        <f t="shared" si="591"/>
        <v/>
      </c>
      <c r="BE576" s="104" t="str">
        <f t="shared" si="591"/>
        <v/>
      </c>
      <c r="BF576" s="389" t="str">
        <f t="shared" si="591"/>
        <v/>
      </c>
      <c r="BG576" s="389" t="str">
        <f t="shared" si="591"/>
        <v>🔵 Chưa có hạn</v>
      </c>
      <c r="BH576" s="67" t="str">
        <f t="shared" si="591"/>
        <v/>
      </c>
      <c r="BI576" s="389" t="str">
        <f t="array" ref="BI576">IF($X576="","",SWITCH($W576,3,IFERROR(INDEX('Lớp 3 - Công việc chính'!$AF$14:$AF$73,MATCH($X576,'Lớp 3 - Công việc chính'!$I$14:$I$73,0)),""),4,IFERROR(INDEX('Lớp 4 - Danh mục'!$AI$14:$AI$132,MATCH($X576,'Lớp 4 - Danh mục'!$I$14:$I$132,0)),""),5,IFERROR(INDEX('Lớp 5 - Phân công'!$AJ$14:$AJ$262,MATCH($X576,'Lớp 5 - Phân công'!$I$14:$I$262,0)),""),6,IFERROR(INDEX('Lớp 6 - Chi tiết'!$AM$14:$AM$267,MATCH($X576,'Lớp 6 - Chi tiết'!$I$14:$I$267,0)),""),""))</f>
        <v/>
      </c>
      <c r="BJ576" s="389" t="str">
        <f t="array" ref="BJ576">IF($X576="","",SWITCH($W576,3,IFERROR(INDEX('Lớp 3 - Công việc chính'!$AR$14:$AR$73,MATCH($X576,'Lớp 3 - Công việc chính'!$I$14:$I$73,0)),""),4,IFERROR(INDEX('Lớp 4 - Danh mục'!$AU$14:$AU$132,MATCH($X576,'Lớp 4 - Danh mục'!$I$14:$I$132,0)),""),5,IFERROR(INDEX('Lớp 5 - Phân công'!$AV$14:$AV$262,MATCH($X576,'Lớp 5 - Phân công'!$I$14:$I$262,0)),""),6,IFERROR(INDEX('Lớp 6 - Chi tiết'!$AY$14:$AY$267,MATCH($X576,'Lớp 6 - Chi tiết'!$I$14:$I$267,0)),""),""))</f>
        <v/>
      </c>
    </row>
    <row r="577" ht="15.75" customHeight="1">
      <c r="A577" s="294" t="str">
        <f t="shared" si="12"/>
        <v/>
      </c>
      <c r="B577" s="301" t="str">
        <f t="shared" si="13"/>
        <v/>
      </c>
      <c r="C577" s="301" t="str">
        <f t="shared" si="14"/>
        <v/>
      </c>
      <c r="D577" s="301" t="str">
        <f t="shared" si="15"/>
        <v/>
      </c>
      <c r="E577" s="301" t="str">
        <f t="shared" si="16"/>
        <v/>
      </c>
      <c r="F577" s="317" t="str">
        <f t="shared" si="17"/>
        <v/>
      </c>
      <c r="G577" s="323" t="str">
        <f t="shared" si="18"/>
        <v/>
      </c>
      <c r="H577" s="327" t="str">
        <f t="shared" si="19"/>
        <v/>
      </c>
      <c r="I577" s="327" t="str">
        <f t="shared" si="20"/>
        <v/>
      </c>
      <c r="J577" s="301" t="str">
        <f t="shared" si="21"/>
        <v/>
      </c>
      <c r="K577" s="301" t="str">
        <f t="shared" si="22"/>
        <v/>
      </c>
      <c r="L577" s="344" t="str">
        <f t="array" ref="L577">IF($T577="","",LET(m,MATCH($T577,$AS$24:$AS$700,0),lvl,INDEX($W$24:$W$700,m),id,INDEX($X$24:$X$700,m),SWITCH(lvl,3,"Lớp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7" s="351" t="str">
        <f t="shared" si="23"/>
        <v/>
      </c>
      <c r="N577" s="356" t="str">
        <f t="shared" si="24"/>
        <v/>
      </c>
      <c r="O577" s="358"/>
      <c r="P577" s="360"/>
      <c r="Q577" s="360"/>
      <c r="R577" s="67"/>
      <c r="S577" s="67"/>
      <c r="T577" s="67"/>
      <c r="U577" s="389" t="str">
        <f>IF('Lớp 6 - Chi tiết'!I139="","",'Lớp 6 - Chi tiết'!L139&amp;"|"&amp;'Lớp 6 - Chi tiết'!K139&amp;"|"&amp;'Lớp 6 - Chi tiết'!J139&amp;"|"&amp;'Lớp 6 - Chi tiết'!I139)</f>
        <v/>
      </c>
      <c r="V577" s="389" t="str">
        <f>IF('Lớp 6 - Chi tiết'!I139="","","           └─ "&amp;'Lớp 6 - Chi tiết'!S139)</f>
        <v/>
      </c>
      <c r="W577" s="389" t="str">
        <f>IF('Lớp 6 - Chi tiết'!I139="","",6)</f>
        <v/>
      </c>
      <c r="X577" s="67" t="str">
        <f>'Lớp 6 - Chi tiết'!I139</f>
        <v/>
      </c>
      <c r="Y577" s="389" t="str">
        <f>'Lớp 6 - Chi tiết'!J139</f>
        <v/>
      </c>
      <c r="Z577" s="67" t="str">
        <f>'Lớp 6 - Chi tiết'!AC139</f>
        <v/>
      </c>
      <c r="AA577" s="67" t="str">
        <f>'Lớp 6 - Chi tiết'!AB139</f>
        <v/>
      </c>
      <c r="AB577" s="67" t="str">
        <f>'Lớp 6 - Chi tiết'!AF139</f>
        <v/>
      </c>
      <c r="AC577" s="67" t="str">
        <f>'Lớp 6 - Chi tiết'!AE139</f>
        <v/>
      </c>
      <c r="AD577" s="398" t="str">
        <f>'Lớp 6 - Chi tiết'!AJ139</f>
        <v/>
      </c>
      <c r="AE577" s="358" t="str">
        <f>'Lớp 6 - Chi tiết'!AH139</f>
        <v/>
      </c>
      <c r="AF577" s="187" t="str">
        <f>'Lớp 6 - Chi tiết'!AK139</f>
        <v/>
      </c>
      <c r="AG577" s="104" t="str">
        <f>'Lớp 6 - Chi tiết'!AL139</f>
        <v/>
      </c>
      <c r="AH577" s="389" t="str">
        <f t="shared" si="27"/>
        <v/>
      </c>
      <c r="AI577" s="389" t="str">
        <f t="shared" si="37"/>
        <v>🔵 Chưa có hạn</v>
      </c>
      <c r="AJ577" s="67" t="str">
        <f>'Lớp 6 - Chi tiết'!AO139</f>
        <v/>
      </c>
      <c r="AS577" s="389" t="str">
        <f t="shared" si="467"/>
        <v/>
      </c>
      <c r="AT577" s="389" t="str">
        <f t="shared" si="32"/>
        <v/>
      </c>
      <c r="AU577" s="389" t="str">
        <f t="shared" si="33"/>
        <v/>
      </c>
      <c r="AV577" s="389" t="str">
        <f t="shared" si="34"/>
        <v/>
      </c>
      <c r="AW577" s="389" t="str">
        <f t="shared" si="35"/>
        <v/>
      </c>
      <c r="AX577" s="67" t="str">
        <f t="shared" ref="AX577:BH577" si="592">Z577</f>
        <v/>
      </c>
      <c r="AY577" s="67" t="str">
        <f t="shared" si="592"/>
        <v/>
      </c>
      <c r="AZ577" s="67" t="str">
        <f t="shared" si="592"/>
        <v/>
      </c>
      <c r="BA577" s="67" t="str">
        <f t="shared" si="592"/>
        <v/>
      </c>
      <c r="BB577" s="398" t="str">
        <f t="shared" si="592"/>
        <v/>
      </c>
      <c r="BC577" s="358" t="str">
        <f t="shared" si="592"/>
        <v/>
      </c>
      <c r="BD577" s="187" t="str">
        <f t="shared" si="592"/>
        <v/>
      </c>
      <c r="BE577" s="104" t="str">
        <f t="shared" si="592"/>
        <v/>
      </c>
      <c r="BF577" s="389" t="str">
        <f t="shared" si="592"/>
        <v/>
      </c>
      <c r="BG577" s="389" t="str">
        <f t="shared" si="592"/>
        <v>🔵 Chưa có hạn</v>
      </c>
      <c r="BH577" s="67" t="str">
        <f t="shared" si="592"/>
        <v/>
      </c>
      <c r="BI577" s="389" t="str">
        <f t="array" ref="BI577">IF($X577="","",SWITCH($W577,3,IFERROR(INDEX('Lớp 3 - Công việc chính'!$AF$14:$AF$73,MATCH($X577,'Lớp 3 - Công việc chính'!$I$14:$I$73,0)),""),4,IFERROR(INDEX('Lớp 4 - Danh mục'!$AI$14:$AI$132,MATCH($X577,'Lớp 4 - Danh mục'!$I$14:$I$132,0)),""),5,IFERROR(INDEX('Lớp 5 - Phân công'!$AJ$14:$AJ$262,MATCH($X577,'Lớp 5 - Phân công'!$I$14:$I$262,0)),""),6,IFERROR(INDEX('Lớp 6 - Chi tiết'!$AM$14:$AM$267,MATCH($X577,'Lớp 6 - Chi tiết'!$I$14:$I$267,0)),""),""))</f>
        <v/>
      </c>
      <c r="BJ577" s="389" t="str">
        <f t="array" ref="BJ577">IF($X577="","",SWITCH($W577,3,IFERROR(INDEX('Lớp 3 - Công việc chính'!$AR$14:$AR$73,MATCH($X577,'Lớp 3 - Công việc chính'!$I$14:$I$73,0)),""),4,IFERROR(INDEX('Lớp 4 - Danh mục'!$AU$14:$AU$132,MATCH($X577,'Lớp 4 - Danh mục'!$I$14:$I$132,0)),""),5,IFERROR(INDEX('Lớp 5 - Phân công'!$AV$14:$AV$262,MATCH($X577,'Lớp 5 - Phân công'!$I$14:$I$262,0)),""),6,IFERROR(INDEX('Lớp 6 - Chi tiết'!$AY$14:$AY$267,MATCH($X577,'Lớp 6 - Chi tiết'!$I$14:$I$267,0)),""),""))</f>
        <v/>
      </c>
    </row>
    <row r="578" ht="15.75" customHeight="1">
      <c r="A578" s="294" t="str">
        <f t="shared" si="12"/>
        <v/>
      </c>
      <c r="B578" s="301" t="str">
        <f t="shared" si="13"/>
        <v/>
      </c>
      <c r="C578" s="301" t="str">
        <f t="shared" si="14"/>
        <v/>
      </c>
      <c r="D578" s="301" t="str">
        <f t="shared" si="15"/>
        <v/>
      </c>
      <c r="E578" s="301" t="str">
        <f t="shared" si="16"/>
        <v/>
      </c>
      <c r="F578" s="317" t="str">
        <f t="shared" si="17"/>
        <v/>
      </c>
      <c r="G578" s="323" t="str">
        <f t="shared" si="18"/>
        <v/>
      </c>
      <c r="H578" s="327" t="str">
        <f t="shared" si="19"/>
        <v/>
      </c>
      <c r="I578" s="327" t="str">
        <f t="shared" si="20"/>
        <v/>
      </c>
      <c r="J578" s="301" t="str">
        <f t="shared" si="21"/>
        <v/>
      </c>
      <c r="K578" s="301" t="str">
        <f t="shared" si="22"/>
        <v/>
      </c>
      <c r="L578" s="344" t="str">
        <f t="array" ref="L578">IF($T578="","",LET(m,MATCH($T578,$AS$24:$AS$700,0),lvl,INDEX($W$24:$W$700,m),id,INDEX($X$24:$X$700,m),SWITCH(lvl,3,"Lớp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8" s="351" t="str">
        <f t="shared" si="23"/>
        <v/>
      </c>
      <c r="N578" s="356" t="str">
        <f t="shared" si="24"/>
        <v/>
      </c>
      <c r="O578" s="358"/>
      <c r="P578" s="360"/>
      <c r="Q578" s="360"/>
      <c r="R578" s="67"/>
      <c r="S578" s="67"/>
      <c r="T578" s="67"/>
      <c r="U578" s="389" t="str">
        <f>IF('Lớp 6 - Chi tiết'!I140="","",'Lớp 6 - Chi tiết'!L140&amp;"|"&amp;'Lớp 6 - Chi tiết'!K140&amp;"|"&amp;'Lớp 6 - Chi tiết'!J140&amp;"|"&amp;'Lớp 6 - Chi tiết'!I140)</f>
        <v/>
      </c>
      <c r="V578" s="389" t="str">
        <f>IF('Lớp 6 - Chi tiết'!I140="","","           └─ "&amp;'Lớp 6 - Chi tiết'!S140)</f>
        <v/>
      </c>
      <c r="W578" s="389" t="str">
        <f>IF('Lớp 6 - Chi tiết'!I140="","",6)</f>
        <v/>
      </c>
      <c r="X578" s="67" t="str">
        <f>'Lớp 6 - Chi tiết'!I140</f>
        <v/>
      </c>
      <c r="Y578" s="389" t="str">
        <f>'Lớp 6 - Chi tiết'!J140</f>
        <v/>
      </c>
      <c r="Z578" s="67" t="str">
        <f>'Lớp 6 - Chi tiết'!AC140</f>
        <v/>
      </c>
      <c r="AA578" s="67" t="str">
        <f>'Lớp 6 - Chi tiết'!AB140</f>
        <v/>
      </c>
      <c r="AB578" s="67" t="str">
        <f>'Lớp 6 - Chi tiết'!AF140</f>
        <v/>
      </c>
      <c r="AC578" s="67" t="str">
        <f>'Lớp 6 - Chi tiết'!AE140</f>
        <v/>
      </c>
      <c r="AD578" s="398" t="str">
        <f>'Lớp 6 - Chi tiết'!AJ140</f>
        <v/>
      </c>
      <c r="AE578" s="358" t="str">
        <f>'Lớp 6 - Chi tiết'!AH140</f>
        <v/>
      </c>
      <c r="AF578" s="187" t="str">
        <f>'Lớp 6 - Chi tiết'!AK140</f>
        <v/>
      </c>
      <c r="AG578" s="104" t="str">
        <f>'Lớp 6 - Chi tiết'!AL140</f>
        <v/>
      </c>
      <c r="AH578" s="389" t="str">
        <f t="shared" si="27"/>
        <v/>
      </c>
      <c r="AI578" s="389" t="str">
        <f t="shared" si="37"/>
        <v>🔵 Chưa có hạn</v>
      </c>
      <c r="AJ578" s="67" t="str">
        <f>'Lớp 6 - Chi tiết'!AO140</f>
        <v/>
      </c>
      <c r="AS578" s="389" t="str">
        <f t="shared" si="467"/>
        <v/>
      </c>
      <c r="AT578" s="389" t="str">
        <f t="shared" si="32"/>
        <v/>
      </c>
      <c r="AU578" s="389" t="str">
        <f t="shared" si="33"/>
        <v/>
      </c>
      <c r="AV578" s="389" t="str">
        <f t="shared" si="34"/>
        <v/>
      </c>
      <c r="AW578" s="389" t="str">
        <f t="shared" si="35"/>
        <v/>
      </c>
      <c r="AX578" s="67" t="str">
        <f t="shared" ref="AX578:BH578" si="593">Z578</f>
        <v/>
      </c>
      <c r="AY578" s="67" t="str">
        <f t="shared" si="593"/>
        <v/>
      </c>
      <c r="AZ578" s="67" t="str">
        <f t="shared" si="593"/>
        <v/>
      </c>
      <c r="BA578" s="67" t="str">
        <f t="shared" si="593"/>
        <v/>
      </c>
      <c r="BB578" s="398" t="str">
        <f t="shared" si="593"/>
        <v/>
      </c>
      <c r="BC578" s="358" t="str">
        <f t="shared" si="593"/>
        <v/>
      </c>
      <c r="BD578" s="187" t="str">
        <f t="shared" si="593"/>
        <v/>
      </c>
      <c r="BE578" s="104" t="str">
        <f t="shared" si="593"/>
        <v/>
      </c>
      <c r="BF578" s="389" t="str">
        <f t="shared" si="593"/>
        <v/>
      </c>
      <c r="BG578" s="389" t="str">
        <f t="shared" si="593"/>
        <v>🔵 Chưa có hạn</v>
      </c>
      <c r="BH578" s="67" t="str">
        <f t="shared" si="593"/>
        <v/>
      </c>
      <c r="BI578" s="389" t="str">
        <f t="array" ref="BI578">IF($X578="","",SWITCH($W578,3,IFERROR(INDEX('Lớp 3 - Công việc chính'!$AF$14:$AF$73,MATCH($X578,'Lớp 3 - Công việc chính'!$I$14:$I$73,0)),""),4,IFERROR(INDEX('Lớp 4 - Danh mục'!$AI$14:$AI$132,MATCH($X578,'Lớp 4 - Danh mục'!$I$14:$I$132,0)),""),5,IFERROR(INDEX('Lớp 5 - Phân công'!$AJ$14:$AJ$262,MATCH($X578,'Lớp 5 - Phân công'!$I$14:$I$262,0)),""),6,IFERROR(INDEX('Lớp 6 - Chi tiết'!$AM$14:$AM$267,MATCH($X578,'Lớp 6 - Chi tiết'!$I$14:$I$267,0)),""),""))</f>
        <v/>
      </c>
      <c r="BJ578" s="389" t="str">
        <f t="array" ref="BJ578">IF($X578="","",SWITCH($W578,3,IFERROR(INDEX('Lớp 3 - Công việc chính'!$AR$14:$AR$73,MATCH($X578,'Lớp 3 - Công việc chính'!$I$14:$I$73,0)),""),4,IFERROR(INDEX('Lớp 4 - Danh mục'!$AU$14:$AU$132,MATCH($X578,'Lớp 4 - Danh mục'!$I$14:$I$132,0)),""),5,IFERROR(INDEX('Lớp 5 - Phân công'!$AV$14:$AV$262,MATCH($X578,'Lớp 5 - Phân công'!$I$14:$I$262,0)),""),6,IFERROR(INDEX('Lớp 6 - Chi tiết'!$AY$14:$AY$267,MATCH($X578,'Lớp 6 - Chi tiết'!$I$14:$I$267,0)),""),""))</f>
        <v/>
      </c>
    </row>
    <row r="579" ht="15.75" customHeight="1">
      <c r="A579" s="294" t="str">
        <f t="shared" si="12"/>
        <v/>
      </c>
      <c r="B579" s="301" t="str">
        <f t="shared" si="13"/>
        <v/>
      </c>
      <c r="C579" s="301" t="str">
        <f t="shared" si="14"/>
        <v/>
      </c>
      <c r="D579" s="301" t="str">
        <f t="shared" si="15"/>
        <v/>
      </c>
      <c r="E579" s="301" t="str">
        <f t="shared" si="16"/>
        <v/>
      </c>
      <c r="F579" s="317" t="str">
        <f t="shared" si="17"/>
        <v/>
      </c>
      <c r="G579" s="323" t="str">
        <f t="shared" si="18"/>
        <v/>
      </c>
      <c r="H579" s="327" t="str">
        <f t="shared" si="19"/>
        <v/>
      </c>
      <c r="I579" s="327" t="str">
        <f t="shared" si="20"/>
        <v/>
      </c>
      <c r="J579" s="301" t="str">
        <f t="shared" si="21"/>
        <v/>
      </c>
      <c r="K579" s="301" t="str">
        <f t="shared" si="22"/>
        <v/>
      </c>
      <c r="L579" s="344" t="str">
        <f t="array" ref="L579">IF($T579="","",LET(m,MATCH($T579,$AS$24:$AS$700,0),lvl,INDEX($W$24:$W$700,m),id,INDEX($X$24:$X$700,m),SWITCH(lvl,3,"Lớp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79" s="351" t="str">
        <f t="shared" si="23"/>
        <v/>
      </c>
      <c r="N579" s="356" t="str">
        <f t="shared" si="24"/>
        <v/>
      </c>
      <c r="O579" s="358"/>
      <c r="P579" s="360"/>
      <c r="Q579" s="360"/>
      <c r="R579" s="67"/>
      <c r="S579" s="67"/>
      <c r="T579" s="67"/>
      <c r="U579" s="389" t="str">
        <f>IF('Lớp 6 - Chi tiết'!I141="","",'Lớp 6 - Chi tiết'!L141&amp;"|"&amp;'Lớp 6 - Chi tiết'!K141&amp;"|"&amp;'Lớp 6 - Chi tiết'!J141&amp;"|"&amp;'Lớp 6 - Chi tiết'!I141)</f>
        <v/>
      </c>
      <c r="V579" s="389" t="str">
        <f>IF('Lớp 6 - Chi tiết'!I141="","","           └─ "&amp;'Lớp 6 - Chi tiết'!S141)</f>
        <v/>
      </c>
      <c r="W579" s="389" t="str">
        <f>IF('Lớp 6 - Chi tiết'!I141="","",6)</f>
        <v/>
      </c>
      <c r="X579" s="67" t="str">
        <f>'Lớp 6 - Chi tiết'!I141</f>
        <v/>
      </c>
      <c r="Y579" s="389" t="str">
        <f>'Lớp 6 - Chi tiết'!J141</f>
        <v/>
      </c>
      <c r="Z579" s="67" t="str">
        <f>'Lớp 6 - Chi tiết'!AC141</f>
        <v/>
      </c>
      <c r="AA579" s="67" t="str">
        <f>'Lớp 6 - Chi tiết'!AB141</f>
        <v/>
      </c>
      <c r="AB579" s="67" t="str">
        <f>'Lớp 6 - Chi tiết'!AF141</f>
        <v/>
      </c>
      <c r="AC579" s="67" t="str">
        <f>'Lớp 6 - Chi tiết'!AE141</f>
        <v/>
      </c>
      <c r="AD579" s="398" t="str">
        <f>'Lớp 6 - Chi tiết'!AJ141</f>
        <v/>
      </c>
      <c r="AE579" s="358" t="str">
        <f>'Lớp 6 - Chi tiết'!AH141</f>
        <v/>
      </c>
      <c r="AF579" s="187" t="str">
        <f>'Lớp 6 - Chi tiết'!AK141</f>
        <v/>
      </c>
      <c r="AG579" s="104" t="str">
        <f>'Lớp 6 - Chi tiết'!AL141</f>
        <v/>
      </c>
      <c r="AH579" s="389" t="str">
        <f t="shared" si="27"/>
        <v/>
      </c>
      <c r="AI579" s="389" t="str">
        <f t="shared" si="37"/>
        <v>🔵 Chưa có hạn</v>
      </c>
      <c r="AJ579" s="67" t="str">
        <f>'Lớp 6 - Chi tiết'!AO141</f>
        <v/>
      </c>
      <c r="AS579" s="389" t="str">
        <f t="shared" si="467"/>
        <v/>
      </c>
      <c r="AT579" s="389" t="str">
        <f t="shared" si="32"/>
        <v/>
      </c>
      <c r="AU579" s="389" t="str">
        <f t="shared" si="33"/>
        <v/>
      </c>
      <c r="AV579" s="389" t="str">
        <f t="shared" si="34"/>
        <v/>
      </c>
      <c r="AW579" s="389" t="str">
        <f t="shared" si="35"/>
        <v/>
      </c>
      <c r="AX579" s="67" t="str">
        <f t="shared" ref="AX579:BH579" si="594">Z579</f>
        <v/>
      </c>
      <c r="AY579" s="67" t="str">
        <f t="shared" si="594"/>
        <v/>
      </c>
      <c r="AZ579" s="67" t="str">
        <f t="shared" si="594"/>
        <v/>
      </c>
      <c r="BA579" s="67" t="str">
        <f t="shared" si="594"/>
        <v/>
      </c>
      <c r="BB579" s="398" t="str">
        <f t="shared" si="594"/>
        <v/>
      </c>
      <c r="BC579" s="358" t="str">
        <f t="shared" si="594"/>
        <v/>
      </c>
      <c r="BD579" s="187" t="str">
        <f t="shared" si="594"/>
        <v/>
      </c>
      <c r="BE579" s="104" t="str">
        <f t="shared" si="594"/>
        <v/>
      </c>
      <c r="BF579" s="389" t="str">
        <f t="shared" si="594"/>
        <v/>
      </c>
      <c r="BG579" s="389" t="str">
        <f t="shared" si="594"/>
        <v>🔵 Chưa có hạn</v>
      </c>
      <c r="BH579" s="67" t="str">
        <f t="shared" si="594"/>
        <v/>
      </c>
      <c r="BI579" s="389" t="str">
        <f t="array" ref="BI579">IF($X579="","",SWITCH($W579,3,IFERROR(INDEX('Lớp 3 - Công việc chính'!$AF$14:$AF$73,MATCH($X579,'Lớp 3 - Công việc chính'!$I$14:$I$73,0)),""),4,IFERROR(INDEX('Lớp 4 - Danh mục'!$AI$14:$AI$132,MATCH($X579,'Lớp 4 - Danh mục'!$I$14:$I$132,0)),""),5,IFERROR(INDEX('Lớp 5 - Phân công'!$AJ$14:$AJ$262,MATCH($X579,'Lớp 5 - Phân công'!$I$14:$I$262,0)),""),6,IFERROR(INDEX('Lớp 6 - Chi tiết'!$AM$14:$AM$267,MATCH($X579,'Lớp 6 - Chi tiết'!$I$14:$I$267,0)),""),""))</f>
        <v/>
      </c>
      <c r="BJ579" s="389" t="str">
        <f t="array" ref="BJ579">IF($X579="","",SWITCH($W579,3,IFERROR(INDEX('Lớp 3 - Công việc chính'!$AR$14:$AR$73,MATCH($X579,'Lớp 3 - Công việc chính'!$I$14:$I$73,0)),""),4,IFERROR(INDEX('Lớp 4 - Danh mục'!$AU$14:$AU$132,MATCH($X579,'Lớp 4 - Danh mục'!$I$14:$I$132,0)),""),5,IFERROR(INDEX('Lớp 5 - Phân công'!$AV$14:$AV$262,MATCH($X579,'Lớp 5 - Phân công'!$I$14:$I$262,0)),""),6,IFERROR(INDEX('Lớp 6 - Chi tiết'!$AY$14:$AY$267,MATCH($X579,'Lớp 6 - Chi tiết'!$I$14:$I$267,0)),""),""))</f>
        <v/>
      </c>
    </row>
    <row r="580" ht="15.75" customHeight="1">
      <c r="A580" s="294" t="str">
        <f t="shared" si="12"/>
        <v/>
      </c>
      <c r="B580" s="301" t="str">
        <f t="shared" si="13"/>
        <v/>
      </c>
      <c r="C580" s="301" t="str">
        <f t="shared" si="14"/>
        <v/>
      </c>
      <c r="D580" s="301" t="str">
        <f t="shared" si="15"/>
        <v/>
      </c>
      <c r="E580" s="301" t="str">
        <f t="shared" si="16"/>
        <v/>
      </c>
      <c r="F580" s="317" t="str">
        <f t="shared" si="17"/>
        <v/>
      </c>
      <c r="G580" s="323" t="str">
        <f t="shared" si="18"/>
        <v/>
      </c>
      <c r="H580" s="327" t="str">
        <f t="shared" si="19"/>
        <v/>
      </c>
      <c r="I580" s="327" t="str">
        <f t="shared" si="20"/>
        <v/>
      </c>
      <c r="J580" s="301" t="str">
        <f t="shared" si="21"/>
        <v/>
      </c>
      <c r="K580" s="301" t="str">
        <f t="shared" si="22"/>
        <v/>
      </c>
      <c r="L580" s="344" t="str">
        <f t="array" ref="L580">IF($T580="","",LET(m,MATCH($T580,$AS$24:$AS$700,0),lvl,INDEX($W$24:$W$700,m),id,INDEX($X$24:$X$700,m),SWITCH(lvl,3,"Lớp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0" s="351" t="str">
        <f t="shared" si="23"/>
        <v/>
      </c>
      <c r="N580" s="356" t="str">
        <f t="shared" si="24"/>
        <v/>
      </c>
      <c r="O580" s="358"/>
      <c r="P580" s="360"/>
      <c r="Q580" s="360"/>
      <c r="R580" s="67"/>
      <c r="S580" s="67"/>
      <c r="T580" s="67"/>
      <c r="U580" s="389" t="str">
        <f>IF('Lớp 6 - Chi tiết'!I142="","",'Lớp 6 - Chi tiết'!L142&amp;"|"&amp;'Lớp 6 - Chi tiết'!K142&amp;"|"&amp;'Lớp 6 - Chi tiết'!J142&amp;"|"&amp;'Lớp 6 - Chi tiết'!I142)</f>
        <v/>
      </c>
      <c r="V580" s="389" t="str">
        <f>IF('Lớp 6 - Chi tiết'!I142="","","           └─ "&amp;'Lớp 6 - Chi tiết'!S142)</f>
        <v/>
      </c>
      <c r="W580" s="389" t="str">
        <f>IF('Lớp 6 - Chi tiết'!I142="","",6)</f>
        <v/>
      </c>
      <c r="X580" s="67" t="str">
        <f>'Lớp 6 - Chi tiết'!I142</f>
        <v/>
      </c>
      <c r="Y580" s="389" t="str">
        <f>'Lớp 6 - Chi tiết'!J142</f>
        <v/>
      </c>
      <c r="Z580" s="67" t="str">
        <f>'Lớp 6 - Chi tiết'!AC142</f>
        <v/>
      </c>
      <c r="AA580" s="67" t="str">
        <f>'Lớp 6 - Chi tiết'!AB142</f>
        <v/>
      </c>
      <c r="AB580" s="67" t="str">
        <f>'Lớp 6 - Chi tiết'!AF142</f>
        <v/>
      </c>
      <c r="AC580" s="67" t="str">
        <f>'Lớp 6 - Chi tiết'!AE142</f>
        <v/>
      </c>
      <c r="AD580" s="398" t="str">
        <f>'Lớp 6 - Chi tiết'!AJ142</f>
        <v/>
      </c>
      <c r="AE580" s="358" t="str">
        <f>'Lớp 6 - Chi tiết'!AH142</f>
        <v/>
      </c>
      <c r="AF580" s="187" t="str">
        <f>'Lớp 6 - Chi tiết'!AK142</f>
        <v/>
      </c>
      <c r="AG580" s="104" t="str">
        <f>'Lớp 6 - Chi tiết'!AL142</f>
        <v/>
      </c>
      <c r="AH580" s="389" t="str">
        <f t="shared" si="27"/>
        <v/>
      </c>
      <c r="AI580" s="389" t="str">
        <f t="shared" si="37"/>
        <v>🔵 Chưa có hạn</v>
      </c>
      <c r="AJ580" s="67" t="str">
        <f>'Lớp 6 - Chi tiết'!AO142</f>
        <v/>
      </c>
      <c r="AS580" s="389" t="str">
        <f t="shared" si="467"/>
        <v/>
      </c>
      <c r="AT580" s="389" t="str">
        <f t="shared" si="32"/>
        <v/>
      </c>
      <c r="AU580" s="389" t="str">
        <f t="shared" si="33"/>
        <v/>
      </c>
      <c r="AV580" s="389" t="str">
        <f t="shared" si="34"/>
        <v/>
      </c>
      <c r="AW580" s="389" t="str">
        <f t="shared" si="35"/>
        <v/>
      </c>
      <c r="AX580" s="67" t="str">
        <f t="shared" ref="AX580:BH580" si="595">Z580</f>
        <v/>
      </c>
      <c r="AY580" s="67" t="str">
        <f t="shared" si="595"/>
        <v/>
      </c>
      <c r="AZ580" s="67" t="str">
        <f t="shared" si="595"/>
        <v/>
      </c>
      <c r="BA580" s="67" t="str">
        <f t="shared" si="595"/>
        <v/>
      </c>
      <c r="BB580" s="398" t="str">
        <f t="shared" si="595"/>
        <v/>
      </c>
      <c r="BC580" s="358" t="str">
        <f t="shared" si="595"/>
        <v/>
      </c>
      <c r="BD580" s="187" t="str">
        <f t="shared" si="595"/>
        <v/>
      </c>
      <c r="BE580" s="104" t="str">
        <f t="shared" si="595"/>
        <v/>
      </c>
      <c r="BF580" s="389" t="str">
        <f t="shared" si="595"/>
        <v/>
      </c>
      <c r="BG580" s="389" t="str">
        <f t="shared" si="595"/>
        <v>🔵 Chưa có hạn</v>
      </c>
      <c r="BH580" s="67" t="str">
        <f t="shared" si="595"/>
        <v/>
      </c>
      <c r="BI580" s="389" t="str">
        <f t="array" ref="BI580">IF($X580="","",SWITCH($W580,3,IFERROR(INDEX('Lớp 3 - Công việc chính'!$AF$14:$AF$73,MATCH($X580,'Lớp 3 - Công việc chính'!$I$14:$I$73,0)),""),4,IFERROR(INDEX('Lớp 4 - Danh mục'!$AI$14:$AI$132,MATCH($X580,'Lớp 4 - Danh mục'!$I$14:$I$132,0)),""),5,IFERROR(INDEX('Lớp 5 - Phân công'!$AJ$14:$AJ$262,MATCH($X580,'Lớp 5 - Phân công'!$I$14:$I$262,0)),""),6,IFERROR(INDEX('Lớp 6 - Chi tiết'!$AM$14:$AM$267,MATCH($X580,'Lớp 6 - Chi tiết'!$I$14:$I$267,0)),""),""))</f>
        <v/>
      </c>
      <c r="BJ580" s="389" t="str">
        <f t="array" ref="BJ580">IF($X580="","",SWITCH($W580,3,IFERROR(INDEX('Lớp 3 - Công việc chính'!$AR$14:$AR$73,MATCH($X580,'Lớp 3 - Công việc chính'!$I$14:$I$73,0)),""),4,IFERROR(INDEX('Lớp 4 - Danh mục'!$AU$14:$AU$132,MATCH($X580,'Lớp 4 - Danh mục'!$I$14:$I$132,0)),""),5,IFERROR(INDEX('Lớp 5 - Phân công'!$AV$14:$AV$262,MATCH($X580,'Lớp 5 - Phân công'!$I$14:$I$262,0)),""),6,IFERROR(INDEX('Lớp 6 - Chi tiết'!$AY$14:$AY$267,MATCH($X580,'Lớp 6 - Chi tiết'!$I$14:$I$267,0)),""),""))</f>
        <v/>
      </c>
    </row>
    <row r="581" ht="15.75" customHeight="1">
      <c r="A581" s="294" t="str">
        <f t="shared" si="12"/>
        <v/>
      </c>
      <c r="B581" s="301" t="str">
        <f t="shared" si="13"/>
        <v/>
      </c>
      <c r="C581" s="301" t="str">
        <f t="shared" si="14"/>
        <v/>
      </c>
      <c r="D581" s="301" t="str">
        <f t="shared" si="15"/>
        <v/>
      </c>
      <c r="E581" s="301" t="str">
        <f t="shared" si="16"/>
        <v/>
      </c>
      <c r="F581" s="317" t="str">
        <f t="shared" si="17"/>
        <v/>
      </c>
      <c r="G581" s="323" t="str">
        <f t="shared" si="18"/>
        <v/>
      </c>
      <c r="H581" s="327" t="str">
        <f t="shared" si="19"/>
        <v/>
      </c>
      <c r="I581" s="327" t="str">
        <f t="shared" si="20"/>
        <v/>
      </c>
      <c r="J581" s="301" t="str">
        <f t="shared" si="21"/>
        <v/>
      </c>
      <c r="K581" s="301" t="str">
        <f t="shared" si="22"/>
        <v/>
      </c>
      <c r="L581" s="344" t="str">
        <f t="array" ref="L581">IF($T581="","",LET(m,MATCH($T581,$AS$24:$AS$700,0),lvl,INDEX($W$24:$W$700,m),id,INDEX($X$24:$X$700,m),SWITCH(lvl,3,"Lớp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1" s="351" t="str">
        <f t="shared" si="23"/>
        <v/>
      </c>
      <c r="N581" s="356" t="str">
        <f t="shared" si="24"/>
        <v/>
      </c>
      <c r="O581" s="358"/>
      <c r="P581" s="360"/>
      <c r="Q581" s="360"/>
      <c r="R581" s="67"/>
      <c r="S581" s="67"/>
      <c r="T581" s="67"/>
      <c r="U581" s="389" t="str">
        <f>IF('Lớp 6 - Chi tiết'!I143="","",'Lớp 6 - Chi tiết'!L143&amp;"|"&amp;'Lớp 6 - Chi tiết'!K143&amp;"|"&amp;'Lớp 6 - Chi tiết'!J143&amp;"|"&amp;'Lớp 6 - Chi tiết'!I143)</f>
        <v/>
      </c>
      <c r="V581" s="389" t="str">
        <f>IF('Lớp 6 - Chi tiết'!I143="","","           └─ "&amp;'Lớp 6 - Chi tiết'!S143)</f>
        <v/>
      </c>
      <c r="W581" s="389" t="str">
        <f>IF('Lớp 6 - Chi tiết'!I143="","",6)</f>
        <v/>
      </c>
      <c r="X581" s="67" t="str">
        <f>'Lớp 6 - Chi tiết'!I143</f>
        <v/>
      </c>
      <c r="Y581" s="389" t="str">
        <f>'Lớp 6 - Chi tiết'!J143</f>
        <v/>
      </c>
      <c r="Z581" s="67" t="str">
        <f>'Lớp 6 - Chi tiết'!AC143</f>
        <v/>
      </c>
      <c r="AA581" s="67" t="str">
        <f>'Lớp 6 - Chi tiết'!AB143</f>
        <v/>
      </c>
      <c r="AB581" s="67" t="str">
        <f>'Lớp 6 - Chi tiết'!AF143</f>
        <v/>
      </c>
      <c r="AC581" s="67" t="str">
        <f>'Lớp 6 - Chi tiết'!AE143</f>
        <v/>
      </c>
      <c r="AD581" s="398" t="str">
        <f>'Lớp 6 - Chi tiết'!AJ143</f>
        <v/>
      </c>
      <c r="AE581" s="358" t="str">
        <f>'Lớp 6 - Chi tiết'!AH143</f>
        <v/>
      </c>
      <c r="AF581" s="187" t="str">
        <f>'Lớp 6 - Chi tiết'!AK143</f>
        <v/>
      </c>
      <c r="AG581" s="104" t="str">
        <f>'Lớp 6 - Chi tiết'!AL143</f>
        <v/>
      </c>
      <c r="AH581" s="389" t="str">
        <f t="shared" si="27"/>
        <v/>
      </c>
      <c r="AI581" s="389" t="str">
        <f t="shared" si="37"/>
        <v>🔵 Chưa có hạn</v>
      </c>
      <c r="AJ581" s="67" t="str">
        <f>'Lớp 6 - Chi tiết'!AO143</f>
        <v/>
      </c>
      <c r="AS581" s="389" t="str">
        <f t="shared" si="467"/>
        <v/>
      </c>
      <c r="AT581" s="389" t="str">
        <f t="shared" si="32"/>
        <v/>
      </c>
      <c r="AU581" s="389" t="str">
        <f t="shared" si="33"/>
        <v/>
      </c>
      <c r="AV581" s="389" t="str">
        <f t="shared" si="34"/>
        <v/>
      </c>
      <c r="AW581" s="389" t="str">
        <f t="shared" si="35"/>
        <v/>
      </c>
      <c r="AX581" s="67" t="str">
        <f t="shared" ref="AX581:BH581" si="596">Z581</f>
        <v/>
      </c>
      <c r="AY581" s="67" t="str">
        <f t="shared" si="596"/>
        <v/>
      </c>
      <c r="AZ581" s="67" t="str">
        <f t="shared" si="596"/>
        <v/>
      </c>
      <c r="BA581" s="67" t="str">
        <f t="shared" si="596"/>
        <v/>
      </c>
      <c r="BB581" s="398" t="str">
        <f t="shared" si="596"/>
        <v/>
      </c>
      <c r="BC581" s="358" t="str">
        <f t="shared" si="596"/>
        <v/>
      </c>
      <c r="BD581" s="187" t="str">
        <f t="shared" si="596"/>
        <v/>
      </c>
      <c r="BE581" s="104" t="str">
        <f t="shared" si="596"/>
        <v/>
      </c>
      <c r="BF581" s="389" t="str">
        <f t="shared" si="596"/>
        <v/>
      </c>
      <c r="BG581" s="389" t="str">
        <f t="shared" si="596"/>
        <v>🔵 Chưa có hạn</v>
      </c>
      <c r="BH581" s="67" t="str">
        <f t="shared" si="596"/>
        <v/>
      </c>
      <c r="BI581" s="389" t="str">
        <f t="array" ref="BI581">IF($X581="","",SWITCH($W581,3,IFERROR(INDEX('Lớp 3 - Công việc chính'!$AF$14:$AF$73,MATCH($X581,'Lớp 3 - Công việc chính'!$I$14:$I$73,0)),""),4,IFERROR(INDEX('Lớp 4 - Danh mục'!$AI$14:$AI$132,MATCH($X581,'Lớp 4 - Danh mục'!$I$14:$I$132,0)),""),5,IFERROR(INDEX('Lớp 5 - Phân công'!$AJ$14:$AJ$262,MATCH($X581,'Lớp 5 - Phân công'!$I$14:$I$262,0)),""),6,IFERROR(INDEX('Lớp 6 - Chi tiết'!$AM$14:$AM$267,MATCH($X581,'Lớp 6 - Chi tiết'!$I$14:$I$267,0)),""),""))</f>
        <v/>
      </c>
      <c r="BJ581" s="389" t="str">
        <f t="array" ref="BJ581">IF($X581="","",SWITCH($W581,3,IFERROR(INDEX('Lớp 3 - Công việc chính'!$AR$14:$AR$73,MATCH($X581,'Lớp 3 - Công việc chính'!$I$14:$I$73,0)),""),4,IFERROR(INDEX('Lớp 4 - Danh mục'!$AU$14:$AU$132,MATCH($X581,'Lớp 4 - Danh mục'!$I$14:$I$132,0)),""),5,IFERROR(INDEX('Lớp 5 - Phân công'!$AV$14:$AV$262,MATCH($X581,'Lớp 5 - Phân công'!$I$14:$I$262,0)),""),6,IFERROR(INDEX('Lớp 6 - Chi tiết'!$AY$14:$AY$267,MATCH($X581,'Lớp 6 - Chi tiết'!$I$14:$I$267,0)),""),""))</f>
        <v/>
      </c>
    </row>
    <row r="582" ht="15.75" customHeight="1">
      <c r="A582" s="294" t="str">
        <f t="shared" si="12"/>
        <v/>
      </c>
      <c r="B582" s="301" t="str">
        <f t="shared" si="13"/>
        <v/>
      </c>
      <c r="C582" s="301" t="str">
        <f t="shared" si="14"/>
        <v/>
      </c>
      <c r="D582" s="301" t="str">
        <f t="shared" si="15"/>
        <v/>
      </c>
      <c r="E582" s="301" t="str">
        <f t="shared" si="16"/>
        <v/>
      </c>
      <c r="F582" s="317" t="str">
        <f t="shared" si="17"/>
        <v/>
      </c>
      <c r="G582" s="323" t="str">
        <f t="shared" si="18"/>
        <v/>
      </c>
      <c r="H582" s="327" t="str">
        <f t="shared" si="19"/>
        <v/>
      </c>
      <c r="I582" s="327" t="str">
        <f t="shared" si="20"/>
        <v/>
      </c>
      <c r="J582" s="301" t="str">
        <f t="shared" si="21"/>
        <v/>
      </c>
      <c r="K582" s="301" t="str">
        <f t="shared" si="22"/>
        <v/>
      </c>
      <c r="L582" s="344" t="str">
        <f t="array" ref="L582">IF($T582="","",LET(m,MATCH($T582,$AS$24:$AS$700,0),lvl,INDEX($W$24:$W$700,m),id,INDEX($X$24:$X$700,m),SWITCH(lvl,3,"Lớp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2" s="351" t="str">
        <f t="shared" si="23"/>
        <v/>
      </c>
      <c r="N582" s="356" t="str">
        <f t="shared" si="24"/>
        <v/>
      </c>
      <c r="O582" s="358"/>
      <c r="P582" s="360"/>
      <c r="Q582" s="360"/>
      <c r="R582" s="67"/>
      <c r="S582" s="67"/>
      <c r="T582" s="67"/>
      <c r="U582" s="389" t="str">
        <f>IF('Lớp 6 - Chi tiết'!I144="","",'Lớp 6 - Chi tiết'!L144&amp;"|"&amp;'Lớp 6 - Chi tiết'!K144&amp;"|"&amp;'Lớp 6 - Chi tiết'!J144&amp;"|"&amp;'Lớp 6 - Chi tiết'!I144)</f>
        <v/>
      </c>
      <c r="V582" s="389" t="str">
        <f>IF('Lớp 6 - Chi tiết'!I144="","","           └─ "&amp;'Lớp 6 - Chi tiết'!S144)</f>
        <v/>
      </c>
      <c r="W582" s="389" t="str">
        <f>IF('Lớp 6 - Chi tiết'!I144="","",6)</f>
        <v/>
      </c>
      <c r="X582" s="67" t="str">
        <f>'Lớp 6 - Chi tiết'!I144</f>
        <v/>
      </c>
      <c r="Y582" s="389" t="str">
        <f>'Lớp 6 - Chi tiết'!J144</f>
        <v/>
      </c>
      <c r="Z582" s="67" t="str">
        <f>'Lớp 6 - Chi tiết'!AC144</f>
        <v/>
      </c>
      <c r="AA582" s="67" t="str">
        <f>'Lớp 6 - Chi tiết'!AB144</f>
        <v/>
      </c>
      <c r="AB582" s="67" t="str">
        <f>'Lớp 6 - Chi tiết'!AF144</f>
        <v/>
      </c>
      <c r="AC582" s="67" t="str">
        <f>'Lớp 6 - Chi tiết'!AE144</f>
        <v/>
      </c>
      <c r="AD582" s="398" t="str">
        <f>'Lớp 6 - Chi tiết'!AJ144</f>
        <v/>
      </c>
      <c r="AE582" s="358" t="str">
        <f>'Lớp 6 - Chi tiết'!AH144</f>
        <v/>
      </c>
      <c r="AF582" s="187" t="str">
        <f>'Lớp 6 - Chi tiết'!AK144</f>
        <v/>
      </c>
      <c r="AG582" s="104" t="str">
        <f>'Lớp 6 - Chi tiết'!AL144</f>
        <v/>
      </c>
      <c r="AH582" s="389" t="str">
        <f t="shared" si="27"/>
        <v/>
      </c>
      <c r="AI582" s="389" t="str">
        <f t="shared" si="37"/>
        <v>🔵 Chưa có hạn</v>
      </c>
      <c r="AJ582" s="67" t="str">
        <f>'Lớp 6 - Chi tiết'!AO144</f>
        <v/>
      </c>
      <c r="AS582" s="389" t="str">
        <f t="shared" si="467"/>
        <v/>
      </c>
      <c r="AT582" s="389" t="str">
        <f t="shared" si="32"/>
        <v/>
      </c>
      <c r="AU582" s="389" t="str">
        <f t="shared" si="33"/>
        <v/>
      </c>
      <c r="AV582" s="389" t="str">
        <f t="shared" si="34"/>
        <v/>
      </c>
      <c r="AW582" s="389" t="str">
        <f t="shared" si="35"/>
        <v/>
      </c>
      <c r="AX582" s="67" t="str">
        <f t="shared" ref="AX582:BH582" si="597">Z582</f>
        <v/>
      </c>
      <c r="AY582" s="67" t="str">
        <f t="shared" si="597"/>
        <v/>
      </c>
      <c r="AZ582" s="67" t="str">
        <f t="shared" si="597"/>
        <v/>
      </c>
      <c r="BA582" s="67" t="str">
        <f t="shared" si="597"/>
        <v/>
      </c>
      <c r="BB582" s="398" t="str">
        <f t="shared" si="597"/>
        <v/>
      </c>
      <c r="BC582" s="358" t="str">
        <f t="shared" si="597"/>
        <v/>
      </c>
      <c r="BD582" s="187" t="str">
        <f t="shared" si="597"/>
        <v/>
      </c>
      <c r="BE582" s="104" t="str">
        <f t="shared" si="597"/>
        <v/>
      </c>
      <c r="BF582" s="389" t="str">
        <f t="shared" si="597"/>
        <v/>
      </c>
      <c r="BG582" s="389" t="str">
        <f t="shared" si="597"/>
        <v>🔵 Chưa có hạn</v>
      </c>
      <c r="BH582" s="67" t="str">
        <f t="shared" si="597"/>
        <v/>
      </c>
      <c r="BI582" s="389" t="str">
        <f t="array" ref="BI582">IF($X582="","",SWITCH($W582,3,IFERROR(INDEX('Lớp 3 - Công việc chính'!$AF$14:$AF$73,MATCH($X582,'Lớp 3 - Công việc chính'!$I$14:$I$73,0)),""),4,IFERROR(INDEX('Lớp 4 - Danh mục'!$AI$14:$AI$132,MATCH($X582,'Lớp 4 - Danh mục'!$I$14:$I$132,0)),""),5,IFERROR(INDEX('Lớp 5 - Phân công'!$AJ$14:$AJ$262,MATCH($X582,'Lớp 5 - Phân công'!$I$14:$I$262,0)),""),6,IFERROR(INDEX('Lớp 6 - Chi tiết'!$AM$14:$AM$267,MATCH($X582,'Lớp 6 - Chi tiết'!$I$14:$I$267,0)),""),""))</f>
        <v/>
      </c>
      <c r="BJ582" s="389" t="str">
        <f t="array" ref="BJ582">IF($X582="","",SWITCH($W582,3,IFERROR(INDEX('Lớp 3 - Công việc chính'!$AR$14:$AR$73,MATCH($X582,'Lớp 3 - Công việc chính'!$I$14:$I$73,0)),""),4,IFERROR(INDEX('Lớp 4 - Danh mục'!$AU$14:$AU$132,MATCH($X582,'Lớp 4 - Danh mục'!$I$14:$I$132,0)),""),5,IFERROR(INDEX('Lớp 5 - Phân công'!$AV$14:$AV$262,MATCH($X582,'Lớp 5 - Phân công'!$I$14:$I$262,0)),""),6,IFERROR(INDEX('Lớp 6 - Chi tiết'!$AY$14:$AY$267,MATCH($X582,'Lớp 6 - Chi tiết'!$I$14:$I$267,0)),""),""))</f>
        <v/>
      </c>
    </row>
    <row r="583" ht="15.75" customHeight="1">
      <c r="A583" s="294" t="str">
        <f t="shared" si="12"/>
        <v/>
      </c>
      <c r="B583" s="301" t="str">
        <f t="shared" si="13"/>
        <v/>
      </c>
      <c r="C583" s="301" t="str">
        <f t="shared" si="14"/>
        <v/>
      </c>
      <c r="D583" s="301" t="str">
        <f t="shared" si="15"/>
        <v/>
      </c>
      <c r="E583" s="301" t="str">
        <f t="shared" si="16"/>
        <v/>
      </c>
      <c r="F583" s="317" t="str">
        <f t="shared" si="17"/>
        <v/>
      </c>
      <c r="G583" s="323" t="str">
        <f t="shared" si="18"/>
        <v/>
      </c>
      <c r="H583" s="327" t="str">
        <f t="shared" si="19"/>
        <v/>
      </c>
      <c r="I583" s="327" t="str">
        <f t="shared" si="20"/>
        <v/>
      </c>
      <c r="J583" s="301" t="str">
        <f t="shared" si="21"/>
        <v/>
      </c>
      <c r="K583" s="301" t="str">
        <f t="shared" si="22"/>
        <v/>
      </c>
      <c r="L583" s="344" t="str">
        <f t="array" ref="L583">IF($T583="","",LET(m,MATCH($T583,$AS$24:$AS$700,0),lvl,INDEX($W$24:$W$700,m),id,INDEX($X$24:$X$700,m),SWITCH(lvl,3,"Lớp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3" s="351" t="str">
        <f t="shared" si="23"/>
        <v/>
      </c>
      <c r="N583" s="356" t="str">
        <f t="shared" si="24"/>
        <v/>
      </c>
      <c r="O583" s="358"/>
      <c r="P583" s="360"/>
      <c r="Q583" s="360"/>
      <c r="R583" s="67"/>
      <c r="S583" s="67"/>
      <c r="T583" s="67"/>
      <c r="U583" s="389" t="str">
        <f>IF('Lớp 6 - Chi tiết'!I145="","",'Lớp 6 - Chi tiết'!L145&amp;"|"&amp;'Lớp 6 - Chi tiết'!K145&amp;"|"&amp;'Lớp 6 - Chi tiết'!J145&amp;"|"&amp;'Lớp 6 - Chi tiết'!I145)</f>
        <v/>
      </c>
      <c r="V583" s="389" t="str">
        <f>IF('Lớp 6 - Chi tiết'!I145="","","           └─ "&amp;'Lớp 6 - Chi tiết'!S145)</f>
        <v/>
      </c>
      <c r="W583" s="389" t="str">
        <f>IF('Lớp 6 - Chi tiết'!I145="","",6)</f>
        <v/>
      </c>
      <c r="X583" s="67" t="str">
        <f>'Lớp 6 - Chi tiết'!I145</f>
        <v/>
      </c>
      <c r="Y583" s="389" t="str">
        <f>'Lớp 6 - Chi tiết'!J145</f>
        <v/>
      </c>
      <c r="Z583" s="67" t="str">
        <f>'Lớp 6 - Chi tiết'!AC145</f>
        <v/>
      </c>
      <c r="AA583" s="67" t="str">
        <f>'Lớp 6 - Chi tiết'!AB145</f>
        <v/>
      </c>
      <c r="AB583" s="67" t="str">
        <f>'Lớp 6 - Chi tiết'!AF145</f>
        <v/>
      </c>
      <c r="AC583" s="67" t="str">
        <f>'Lớp 6 - Chi tiết'!AE145</f>
        <v/>
      </c>
      <c r="AD583" s="398" t="str">
        <f>'Lớp 6 - Chi tiết'!AJ145</f>
        <v/>
      </c>
      <c r="AE583" s="358" t="str">
        <f>'Lớp 6 - Chi tiết'!AH145</f>
        <v/>
      </c>
      <c r="AF583" s="187" t="str">
        <f>'Lớp 6 - Chi tiết'!AK145</f>
        <v/>
      </c>
      <c r="AG583" s="104" t="str">
        <f>'Lớp 6 - Chi tiết'!AL145</f>
        <v/>
      </c>
      <c r="AH583" s="389" t="str">
        <f t="shared" si="27"/>
        <v/>
      </c>
      <c r="AI583" s="389" t="str">
        <f t="shared" si="37"/>
        <v>🔵 Chưa có hạn</v>
      </c>
      <c r="AJ583" s="67" t="str">
        <f>'Lớp 6 - Chi tiết'!AO145</f>
        <v/>
      </c>
      <c r="AS583" s="389" t="str">
        <f t="shared" si="467"/>
        <v/>
      </c>
      <c r="AT583" s="389" t="str">
        <f t="shared" si="32"/>
        <v/>
      </c>
      <c r="AU583" s="389" t="str">
        <f t="shared" si="33"/>
        <v/>
      </c>
      <c r="AV583" s="389" t="str">
        <f t="shared" si="34"/>
        <v/>
      </c>
      <c r="AW583" s="389" t="str">
        <f t="shared" si="35"/>
        <v/>
      </c>
      <c r="AX583" s="67" t="str">
        <f t="shared" ref="AX583:BH583" si="598">Z583</f>
        <v/>
      </c>
      <c r="AY583" s="67" t="str">
        <f t="shared" si="598"/>
        <v/>
      </c>
      <c r="AZ583" s="67" t="str">
        <f t="shared" si="598"/>
        <v/>
      </c>
      <c r="BA583" s="67" t="str">
        <f t="shared" si="598"/>
        <v/>
      </c>
      <c r="BB583" s="398" t="str">
        <f t="shared" si="598"/>
        <v/>
      </c>
      <c r="BC583" s="358" t="str">
        <f t="shared" si="598"/>
        <v/>
      </c>
      <c r="BD583" s="187" t="str">
        <f t="shared" si="598"/>
        <v/>
      </c>
      <c r="BE583" s="104" t="str">
        <f t="shared" si="598"/>
        <v/>
      </c>
      <c r="BF583" s="389" t="str">
        <f t="shared" si="598"/>
        <v/>
      </c>
      <c r="BG583" s="389" t="str">
        <f t="shared" si="598"/>
        <v>🔵 Chưa có hạn</v>
      </c>
      <c r="BH583" s="67" t="str">
        <f t="shared" si="598"/>
        <v/>
      </c>
      <c r="BI583" s="389" t="str">
        <f t="array" ref="BI583">IF($X583="","",SWITCH($W583,3,IFERROR(INDEX('Lớp 3 - Công việc chính'!$AF$14:$AF$73,MATCH($X583,'Lớp 3 - Công việc chính'!$I$14:$I$73,0)),""),4,IFERROR(INDEX('Lớp 4 - Danh mục'!$AI$14:$AI$132,MATCH($X583,'Lớp 4 - Danh mục'!$I$14:$I$132,0)),""),5,IFERROR(INDEX('Lớp 5 - Phân công'!$AJ$14:$AJ$262,MATCH($X583,'Lớp 5 - Phân công'!$I$14:$I$262,0)),""),6,IFERROR(INDEX('Lớp 6 - Chi tiết'!$AM$14:$AM$267,MATCH($X583,'Lớp 6 - Chi tiết'!$I$14:$I$267,0)),""),""))</f>
        <v/>
      </c>
      <c r="BJ583" s="389" t="str">
        <f t="array" ref="BJ583">IF($X583="","",SWITCH($W583,3,IFERROR(INDEX('Lớp 3 - Công việc chính'!$AR$14:$AR$73,MATCH($X583,'Lớp 3 - Công việc chính'!$I$14:$I$73,0)),""),4,IFERROR(INDEX('Lớp 4 - Danh mục'!$AU$14:$AU$132,MATCH($X583,'Lớp 4 - Danh mục'!$I$14:$I$132,0)),""),5,IFERROR(INDEX('Lớp 5 - Phân công'!$AV$14:$AV$262,MATCH($X583,'Lớp 5 - Phân công'!$I$14:$I$262,0)),""),6,IFERROR(INDEX('Lớp 6 - Chi tiết'!$AY$14:$AY$267,MATCH($X583,'Lớp 6 - Chi tiết'!$I$14:$I$267,0)),""),""))</f>
        <v/>
      </c>
    </row>
    <row r="584" ht="15.75" customHeight="1">
      <c r="A584" s="294" t="str">
        <f t="shared" si="12"/>
        <v/>
      </c>
      <c r="B584" s="301" t="str">
        <f t="shared" si="13"/>
        <v/>
      </c>
      <c r="C584" s="301" t="str">
        <f t="shared" si="14"/>
        <v/>
      </c>
      <c r="D584" s="301" t="str">
        <f t="shared" si="15"/>
        <v/>
      </c>
      <c r="E584" s="301" t="str">
        <f t="shared" si="16"/>
        <v/>
      </c>
      <c r="F584" s="317" t="str">
        <f t="shared" si="17"/>
        <v/>
      </c>
      <c r="G584" s="323" t="str">
        <f t="shared" si="18"/>
        <v/>
      </c>
      <c r="H584" s="327" t="str">
        <f t="shared" si="19"/>
        <v/>
      </c>
      <c r="I584" s="327" t="str">
        <f t="shared" si="20"/>
        <v/>
      </c>
      <c r="J584" s="301" t="str">
        <f t="shared" si="21"/>
        <v/>
      </c>
      <c r="K584" s="301" t="str">
        <f t="shared" si="22"/>
        <v/>
      </c>
      <c r="L584" s="344" t="str">
        <f t="array" ref="L584">IF($T584="","",LET(m,MATCH($T584,$AS$24:$AS$700,0),lvl,INDEX($W$24:$W$700,m),id,INDEX($X$24:$X$700,m),SWITCH(lvl,3,"Lớp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4" s="351" t="str">
        <f t="shared" si="23"/>
        <v/>
      </c>
      <c r="N584" s="356" t="str">
        <f t="shared" si="24"/>
        <v/>
      </c>
      <c r="O584" s="358"/>
      <c r="P584" s="360"/>
      <c r="Q584" s="360"/>
      <c r="R584" s="67"/>
      <c r="S584" s="67"/>
      <c r="T584" s="67"/>
      <c r="U584" s="389" t="str">
        <f>IF('Lớp 6 - Chi tiết'!I146="","",'Lớp 6 - Chi tiết'!L146&amp;"|"&amp;'Lớp 6 - Chi tiết'!K146&amp;"|"&amp;'Lớp 6 - Chi tiết'!J146&amp;"|"&amp;'Lớp 6 - Chi tiết'!I146)</f>
        <v/>
      </c>
      <c r="V584" s="389" t="str">
        <f>IF('Lớp 6 - Chi tiết'!I146="","","           └─ "&amp;'Lớp 6 - Chi tiết'!S146)</f>
        <v/>
      </c>
      <c r="W584" s="389" t="str">
        <f>IF('Lớp 6 - Chi tiết'!I146="","",6)</f>
        <v/>
      </c>
      <c r="X584" s="67" t="str">
        <f>'Lớp 6 - Chi tiết'!I146</f>
        <v/>
      </c>
      <c r="Y584" s="389" t="str">
        <f>'Lớp 6 - Chi tiết'!J146</f>
        <v/>
      </c>
      <c r="Z584" s="67" t="str">
        <f>'Lớp 6 - Chi tiết'!AC146</f>
        <v/>
      </c>
      <c r="AA584" s="67" t="str">
        <f>'Lớp 6 - Chi tiết'!AB146</f>
        <v/>
      </c>
      <c r="AB584" s="67" t="str">
        <f>'Lớp 6 - Chi tiết'!AF146</f>
        <v/>
      </c>
      <c r="AC584" s="67" t="str">
        <f>'Lớp 6 - Chi tiết'!AE146</f>
        <v/>
      </c>
      <c r="AD584" s="398" t="str">
        <f>'Lớp 6 - Chi tiết'!AJ146</f>
        <v/>
      </c>
      <c r="AE584" s="358" t="str">
        <f>'Lớp 6 - Chi tiết'!AH146</f>
        <v/>
      </c>
      <c r="AF584" s="187" t="str">
        <f>'Lớp 6 - Chi tiết'!AK146</f>
        <v/>
      </c>
      <c r="AG584" s="104" t="str">
        <f>'Lớp 6 - Chi tiết'!AL146</f>
        <v/>
      </c>
      <c r="AH584" s="389" t="str">
        <f t="shared" si="27"/>
        <v/>
      </c>
      <c r="AI584" s="389" t="str">
        <f t="shared" si="37"/>
        <v>🔵 Chưa có hạn</v>
      </c>
      <c r="AJ584" s="67" t="str">
        <f>'Lớp 6 - Chi tiết'!AO146</f>
        <v/>
      </c>
      <c r="AS584" s="389" t="str">
        <f t="shared" si="467"/>
        <v/>
      </c>
      <c r="AT584" s="389" t="str">
        <f t="shared" si="32"/>
        <v/>
      </c>
      <c r="AU584" s="389" t="str">
        <f t="shared" si="33"/>
        <v/>
      </c>
      <c r="AV584" s="389" t="str">
        <f t="shared" si="34"/>
        <v/>
      </c>
      <c r="AW584" s="389" t="str">
        <f t="shared" si="35"/>
        <v/>
      </c>
      <c r="AX584" s="67" t="str">
        <f t="shared" ref="AX584:BH584" si="599">Z584</f>
        <v/>
      </c>
      <c r="AY584" s="67" t="str">
        <f t="shared" si="599"/>
        <v/>
      </c>
      <c r="AZ584" s="67" t="str">
        <f t="shared" si="599"/>
        <v/>
      </c>
      <c r="BA584" s="67" t="str">
        <f t="shared" si="599"/>
        <v/>
      </c>
      <c r="BB584" s="398" t="str">
        <f t="shared" si="599"/>
        <v/>
      </c>
      <c r="BC584" s="358" t="str">
        <f t="shared" si="599"/>
        <v/>
      </c>
      <c r="BD584" s="187" t="str">
        <f t="shared" si="599"/>
        <v/>
      </c>
      <c r="BE584" s="104" t="str">
        <f t="shared" si="599"/>
        <v/>
      </c>
      <c r="BF584" s="389" t="str">
        <f t="shared" si="599"/>
        <v/>
      </c>
      <c r="BG584" s="389" t="str">
        <f t="shared" si="599"/>
        <v>🔵 Chưa có hạn</v>
      </c>
      <c r="BH584" s="67" t="str">
        <f t="shared" si="599"/>
        <v/>
      </c>
      <c r="BI584" s="389" t="str">
        <f t="array" ref="BI584">IF($X584="","",SWITCH($W584,3,IFERROR(INDEX('Lớp 3 - Công việc chính'!$AF$14:$AF$73,MATCH($X584,'Lớp 3 - Công việc chính'!$I$14:$I$73,0)),""),4,IFERROR(INDEX('Lớp 4 - Danh mục'!$AI$14:$AI$132,MATCH($X584,'Lớp 4 - Danh mục'!$I$14:$I$132,0)),""),5,IFERROR(INDEX('Lớp 5 - Phân công'!$AJ$14:$AJ$262,MATCH($X584,'Lớp 5 - Phân công'!$I$14:$I$262,0)),""),6,IFERROR(INDEX('Lớp 6 - Chi tiết'!$AM$14:$AM$267,MATCH($X584,'Lớp 6 - Chi tiết'!$I$14:$I$267,0)),""),""))</f>
        <v/>
      </c>
      <c r="BJ584" s="389" t="str">
        <f t="array" ref="BJ584">IF($X584="","",SWITCH($W584,3,IFERROR(INDEX('Lớp 3 - Công việc chính'!$AR$14:$AR$73,MATCH($X584,'Lớp 3 - Công việc chính'!$I$14:$I$73,0)),""),4,IFERROR(INDEX('Lớp 4 - Danh mục'!$AU$14:$AU$132,MATCH($X584,'Lớp 4 - Danh mục'!$I$14:$I$132,0)),""),5,IFERROR(INDEX('Lớp 5 - Phân công'!$AV$14:$AV$262,MATCH($X584,'Lớp 5 - Phân công'!$I$14:$I$262,0)),""),6,IFERROR(INDEX('Lớp 6 - Chi tiết'!$AY$14:$AY$267,MATCH($X584,'Lớp 6 - Chi tiết'!$I$14:$I$267,0)),""),""))</f>
        <v/>
      </c>
    </row>
    <row r="585" ht="15.75" customHeight="1">
      <c r="A585" s="294" t="str">
        <f t="shared" si="12"/>
        <v/>
      </c>
      <c r="B585" s="301" t="str">
        <f t="shared" si="13"/>
        <v/>
      </c>
      <c r="C585" s="301" t="str">
        <f t="shared" si="14"/>
        <v/>
      </c>
      <c r="D585" s="301" t="str">
        <f t="shared" si="15"/>
        <v/>
      </c>
      <c r="E585" s="301" t="str">
        <f t="shared" si="16"/>
        <v/>
      </c>
      <c r="F585" s="317" t="str">
        <f t="shared" si="17"/>
        <v/>
      </c>
      <c r="G585" s="323" t="str">
        <f t="shared" si="18"/>
        <v/>
      </c>
      <c r="H585" s="327" t="str">
        <f t="shared" si="19"/>
        <v/>
      </c>
      <c r="I585" s="327" t="str">
        <f t="shared" si="20"/>
        <v/>
      </c>
      <c r="J585" s="301" t="str">
        <f t="shared" si="21"/>
        <v/>
      </c>
      <c r="K585" s="301" t="str">
        <f t="shared" si="22"/>
        <v/>
      </c>
      <c r="L585" s="344" t="str">
        <f t="array" ref="L585">IF($T585="","",LET(m,MATCH($T585,$AS$24:$AS$700,0),lvl,INDEX($W$24:$W$700,m),id,INDEX($X$24:$X$700,m),SWITCH(lvl,3,"Lớp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5" s="351" t="str">
        <f t="shared" si="23"/>
        <v/>
      </c>
      <c r="N585" s="356" t="str">
        <f t="shared" si="24"/>
        <v/>
      </c>
      <c r="O585" s="358"/>
      <c r="P585" s="360"/>
      <c r="Q585" s="360"/>
      <c r="R585" s="67"/>
      <c r="S585" s="67"/>
      <c r="T585" s="67"/>
      <c r="U585" s="389" t="str">
        <f>IF('Lớp 6 - Chi tiết'!I147="","",'Lớp 6 - Chi tiết'!L147&amp;"|"&amp;'Lớp 6 - Chi tiết'!K147&amp;"|"&amp;'Lớp 6 - Chi tiết'!J147&amp;"|"&amp;'Lớp 6 - Chi tiết'!I147)</f>
        <v/>
      </c>
      <c r="V585" s="389" t="str">
        <f>IF('Lớp 6 - Chi tiết'!I147="","","           └─ "&amp;'Lớp 6 - Chi tiết'!S147)</f>
        <v/>
      </c>
      <c r="W585" s="389" t="str">
        <f>IF('Lớp 6 - Chi tiết'!I147="","",6)</f>
        <v/>
      </c>
      <c r="X585" s="67" t="str">
        <f>'Lớp 6 - Chi tiết'!I147</f>
        <v/>
      </c>
      <c r="Y585" s="389" t="str">
        <f>'Lớp 6 - Chi tiết'!J147</f>
        <v/>
      </c>
      <c r="Z585" s="67" t="str">
        <f>'Lớp 6 - Chi tiết'!AC147</f>
        <v/>
      </c>
      <c r="AA585" s="67" t="str">
        <f>'Lớp 6 - Chi tiết'!AB147</f>
        <v/>
      </c>
      <c r="AB585" s="67" t="str">
        <f>'Lớp 6 - Chi tiết'!AF147</f>
        <v/>
      </c>
      <c r="AC585" s="67" t="str">
        <f>'Lớp 6 - Chi tiết'!AE147</f>
        <v/>
      </c>
      <c r="AD585" s="398" t="str">
        <f>'Lớp 6 - Chi tiết'!AJ147</f>
        <v/>
      </c>
      <c r="AE585" s="358" t="str">
        <f>'Lớp 6 - Chi tiết'!AH147</f>
        <v/>
      </c>
      <c r="AF585" s="187" t="str">
        <f>'Lớp 6 - Chi tiết'!AK147</f>
        <v/>
      </c>
      <c r="AG585" s="104" t="str">
        <f>'Lớp 6 - Chi tiết'!AL147</f>
        <v/>
      </c>
      <c r="AH585" s="389" t="str">
        <f t="shared" si="27"/>
        <v/>
      </c>
      <c r="AI585" s="389" t="str">
        <f t="shared" si="37"/>
        <v>🔵 Chưa có hạn</v>
      </c>
      <c r="AJ585" s="67" t="str">
        <f>'Lớp 6 - Chi tiết'!AO147</f>
        <v/>
      </c>
      <c r="AS585" s="389" t="str">
        <f t="shared" si="467"/>
        <v/>
      </c>
      <c r="AT585" s="389" t="str">
        <f t="shared" si="32"/>
        <v/>
      </c>
      <c r="AU585" s="389" t="str">
        <f t="shared" si="33"/>
        <v/>
      </c>
      <c r="AV585" s="389" t="str">
        <f t="shared" si="34"/>
        <v/>
      </c>
      <c r="AW585" s="389" t="str">
        <f t="shared" si="35"/>
        <v/>
      </c>
      <c r="AX585" s="67" t="str">
        <f t="shared" ref="AX585:BH585" si="600">Z585</f>
        <v/>
      </c>
      <c r="AY585" s="67" t="str">
        <f t="shared" si="600"/>
        <v/>
      </c>
      <c r="AZ585" s="67" t="str">
        <f t="shared" si="600"/>
        <v/>
      </c>
      <c r="BA585" s="67" t="str">
        <f t="shared" si="600"/>
        <v/>
      </c>
      <c r="BB585" s="398" t="str">
        <f t="shared" si="600"/>
        <v/>
      </c>
      <c r="BC585" s="358" t="str">
        <f t="shared" si="600"/>
        <v/>
      </c>
      <c r="BD585" s="187" t="str">
        <f t="shared" si="600"/>
        <v/>
      </c>
      <c r="BE585" s="104" t="str">
        <f t="shared" si="600"/>
        <v/>
      </c>
      <c r="BF585" s="389" t="str">
        <f t="shared" si="600"/>
        <v/>
      </c>
      <c r="BG585" s="389" t="str">
        <f t="shared" si="600"/>
        <v>🔵 Chưa có hạn</v>
      </c>
      <c r="BH585" s="67" t="str">
        <f t="shared" si="600"/>
        <v/>
      </c>
      <c r="BI585" s="389" t="str">
        <f t="array" ref="BI585">IF($X585="","",SWITCH($W585,3,IFERROR(INDEX('Lớp 3 - Công việc chính'!$AF$14:$AF$73,MATCH($X585,'Lớp 3 - Công việc chính'!$I$14:$I$73,0)),""),4,IFERROR(INDEX('Lớp 4 - Danh mục'!$AI$14:$AI$132,MATCH($X585,'Lớp 4 - Danh mục'!$I$14:$I$132,0)),""),5,IFERROR(INDEX('Lớp 5 - Phân công'!$AJ$14:$AJ$262,MATCH($X585,'Lớp 5 - Phân công'!$I$14:$I$262,0)),""),6,IFERROR(INDEX('Lớp 6 - Chi tiết'!$AM$14:$AM$267,MATCH($X585,'Lớp 6 - Chi tiết'!$I$14:$I$267,0)),""),""))</f>
        <v/>
      </c>
      <c r="BJ585" s="389" t="str">
        <f t="array" ref="BJ585">IF($X585="","",SWITCH($W585,3,IFERROR(INDEX('Lớp 3 - Công việc chính'!$AR$14:$AR$73,MATCH($X585,'Lớp 3 - Công việc chính'!$I$14:$I$73,0)),""),4,IFERROR(INDEX('Lớp 4 - Danh mục'!$AU$14:$AU$132,MATCH($X585,'Lớp 4 - Danh mục'!$I$14:$I$132,0)),""),5,IFERROR(INDEX('Lớp 5 - Phân công'!$AV$14:$AV$262,MATCH($X585,'Lớp 5 - Phân công'!$I$14:$I$262,0)),""),6,IFERROR(INDEX('Lớp 6 - Chi tiết'!$AY$14:$AY$267,MATCH($X585,'Lớp 6 - Chi tiết'!$I$14:$I$267,0)),""),""))</f>
        <v/>
      </c>
    </row>
    <row r="586" ht="15.75" customHeight="1">
      <c r="A586" s="294" t="str">
        <f t="shared" si="12"/>
        <v/>
      </c>
      <c r="B586" s="301" t="str">
        <f t="shared" si="13"/>
        <v/>
      </c>
      <c r="C586" s="301" t="str">
        <f t="shared" si="14"/>
        <v/>
      </c>
      <c r="D586" s="301" t="str">
        <f t="shared" si="15"/>
        <v/>
      </c>
      <c r="E586" s="301" t="str">
        <f t="shared" si="16"/>
        <v/>
      </c>
      <c r="F586" s="317" t="str">
        <f t="shared" si="17"/>
        <v/>
      </c>
      <c r="G586" s="323" t="str">
        <f t="shared" si="18"/>
        <v/>
      </c>
      <c r="H586" s="327" t="str">
        <f t="shared" si="19"/>
        <v/>
      </c>
      <c r="I586" s="327" t="str">
        <f t="shared" si="20"/>
        <v/>
      </c>
      <c r="J586" s="301" t="str">
        <f t="shared" si="21"/>
        <v/>
      </c>
      <c r="K586" s="301" t="str">
        <f t="shared" si="22"/>
        <v/>
      </c>
      <c r="L586" s="344" t="str">
        <f t="array" ref="L586">IF($T586="","",LET(m,MATCH($T586,$AS$24:$AS$700,0),lvl,INDEX($W$24:$W$700,m),id,INDEX($X$24:$X$700,m),SWITCH(lvl,3,"Lớp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6" s="351" t="str">
        <f t="shared" si="23"/>
        <v/>
      </c>
      <c r="N586" s="356" t="str">
        <f t="shared" si="24"/>
        <v/>
      </c>
      <c r="O586" s="358"/>
      <c r="P586" s="360"/>
      <c r="Q586" s="360"/>
      <c r="R586" s="67"/>
      <c r="S586" s="67"/>
      <c r="T586" s="67"/>
      <c r="U586" s="389" t="str">
        <f>IF('Lớp 6 - Chi tiết'!I148="","",'Lớp 6 - Chi tiết'!L148&amp;"|"&amp;'Lớp 6 - Chi tiết'!K148&amp;"|"&amp;'Lớp 6 - Chi tiết'!J148&amp;"|"&amp;'Lớp 6 - Chi tiết'!I148)</f>
        <v/>
      </c>
      <c r="V586" s="389" t="str">
        <f>IF('Lớp 6 - Chi tiết'!I148="","","           └─ "&amp;'Lớp 6 - Chi tiết'!S148)</f>
        <v/>
      </c>
      <c r="W586" s="389" t="str">
        <f>IF('Lớp 6 - Chi tiết'!I148="","",6)</f>
        <v/>
      </c>
      <c r="X586" s="67" t="str">
        <f>'Lớp 6 - Chi tiết'!I148</f>
        <v/>
      </c>
      <c r="Y586" s="389" t="str">
        <f>'Lớp 6 - Chi tiết'!J148</f>
        <v/>
      </c>
      <c r="Z586" s="67" t="str">
        <f>'Lớp 6 - Chi tiết'!AC148</f>
        <v/>
      </c>
      <c r="AA586" s="67" t="str">
        <f>'Lớp 6 - Chi tiết'!AB148</f>
        <v/>
      </c>
      <c r="AB586" s="67" t="str">
        <f>'Lớp 6 - Chi tiết'!AF148</f>
        <v/>
      </c>
      <c r="AC586" s="67" t="str">
        <f>'Lớp 6 - Chi tiết'!AE148</f>
        <v/>
      </c>
      <c r="AD586" s="398" t="str">
        <f>'Lớp 6 - Chi tiết'!AJ148</f>
        <v/>
      </c>
      <c r="AE586" s="358" t="str">
        <f>'Lớp 6 - Chi tiết'!AH148</f>
        <v/>
      </c>
      <c r="AF586" s="187" t="str">
        <f>'Lớp 6 - Chi tiết'!AK148</f>
        <v/>
      </c>
      <c r="AG586" s="104" t="str">
        <f>'Lớp 6 - Chi tiết'!AL148</f>
        <v/>
      </c>
      <c r="AH586" s="389" t="str">
        <f t="shared" si="27"/>
        <v/>
      </c>
      <c r="AI586" s="389" t="str">
        <f t="shared" si="37"/>
        <v>🔵 Chưa có hạn</v>
      </c>
      <c r="AJ586" s="67" t="str">
        <f>'Lớp 6 - Chi tiết'!AO148</f>
        <v/>
      </c>
      <c r="AS586" s="389" t="str">
        <f t="shared" si="467"/>
        <v/>
      </c>
      <c r="AT586" s="389" t="str">
        <f t="shared" si="32"/>
        <v/>
      </c>
      <c r="AU586" s="389" t="str">
        <f t="shared" si="33"/>
        <v/>
      </c>
      <c r="AV586" s="389" t="str">
        <f t="shared" si="34"/>
        <v/>
      </c>
      <c r="AW586" s="389" t="str">
        <f t="shared" si="35"/>
        <v/>
      </c>
      <c r="AX586" s="67" t="str">
        <f t="shared" ref="AX586:BH586" si="601">Z586</f>
        <v/>
      </c>
      <c r="AY586" s="67" t="str">
        <f t="shared" si="601"/>
        <v/>
      </c>
      <c r="AZ586" s="67" t="str">
        <f t="shared" si="601"/>
        <v/>
      </c>
      <c r="BA586" s="67" t="str">
        <f t="shared" si="601"/>
        <v/>
      </c>
      <c r="BB586" s="398" t="str">
        <f t="shared" si="601"/>
        <v/>
      </c>
      <c r="BC586" s="358" t="str">
        <f t="shared" si="601"/>
        <v/>
      </c>
      <c r="BD586" s="187" t="str">
        <f t="shared" si="601"/>
        <v/>
      </c>
      <c r="BE586" s="104" t="str">
        <f t="shared" si="601"/>
        <v/>
      </c>
      <c r="BF586" s="389" t="str">
        <f t="shared" si="601"/>
        <v/>
      </c>
      <c r="BG586" s="389" t="str">
        <f t="shared" si="601"/>
        <v>🔵 Chưa có hạn</v>
      </c>
      <c r="BH586" s="67" t="str">
        <f t="shared" si="601"/>
        <v/>
      </c>
      <c r="BI586" s="389" t="str">
        <f t="array" ref="BI586">IF($X586="","",SWITCH($W586,3,IFERROR(INDEX('Lớp 3 - Công việc chính'!$AF$14:$AF$73,MATCH($X586,'Lớp 3 - Công việc chính'!$I$14:$I$73,0)),""),4,IFERROR(INDEX('Lớp 4 - Danh mục'!$AI$14:$AI$132,MATCH($X586,'Lớp 4 - Danh mục'!$I$14:$I$132,0)),""),5,IFERROR(INDEX('Lớp 5 - Phân công'!$AJ$14:$AJ$262,MATCH($X586,'Lớp 5 - Phân công'!$I$14:$I$262,0)),""),6,IFERROR(INDEX('Lớp 6 - Chi tiết'!$AM$14:$AM$267,MATCH($X586,'Lớp 6 - Chi tiết'!$I$14:$I$267,0)),""),""))</f>
        <v/>
      </c>
      <c r="BJ586" s="389" t="str">
        <f t="array" ref="BJ586">IF($X586="","",SWITCH($W586,3,IFERROR(INDEX('Lớp 3 - Công việc chính'!$AR$14:$AR$73,MATCH($X586,'Lớp 3 - Công việc chính'!$I$14:$I$73,0)),""),4,IFERROR(INDEX('Lớp 4 - Danh mục'!$AU$14:$AU$132,MATCH($X586,'Lớp 4 - Danh mục'!$I$14:$I$132,0)),""),5,IFERROR(INDEX('Lớp 5 - Phân công'!$AV$14:$AV$262,MATCH($X586,'Lớp 5 - Phân công'!$I$14:$I$262,0)),""),6,IFERROR(INDEX('Lớp 6 - Chi tiết'!$AY$14:$AY$267,MATCH($X586,'Lớp 6 - Chi tiết'!$I$14:$I$267,0)),""),""))</f>
        <v/>
      </c>
    </row>
    <row r="587" ht="15.75" customHeight="1">
      <c r="A587" s="294" t="str">
        <f t="shared" si="12"/>
        <v/>
      </c>
      <c r="B587" s="301" t="str">
        <f t="shared" si="13"/>
        <v/>
      </c>
      <c r="C587" s="301" t="str">
        <f t="shared" si="14"/>
        <v/>
      </c>
      <c r="D587" s="301" t="str">
        <f t="shared" si="15"/>
        <v/>
      </c>
      <c r="E587" s="301" t="str">
        <f t="shared" si="16"/>
        <v/>
      </c>
      <c r="F587" s="317" t="str">
        <f t="shared" si="17"/>
        <v/>
      </c>
      <c r="G587" s="323" t="str">
        <f t="shared" si="18"/>
        <v/>
      </c>
      <c r="H587" s="327" t="str">
        <f t="shared" si="19"/>
        <v/>
      </c>
      <c r="I587" s="327" t="str">
        <f t="shared" si="20"/>
        <v/>
      </c>
      <c r="J587" s="301" t="str">
        <f t="shared" si="21"/>
        <v/>
      </c>
      <c r="K587" s="301" t="str">
        <f t="shared" si="22"/>
        <v/>
      </c>
      <c r="L587" s="344" t="str">
        <f t="array" ref="L587">IF($T587="","",LET(m,MATCH($T587,$AS$24:$AS$700,0),lvl,INDEX($W$24:$W$700,m),id,INDEX($X$24:$X$700,m),SWITCH(lvl,3,"Lớp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7" s="351" t="str">
        <f t="shared" si="23"/>
        <v/>
      </c>
      <c r="N587" s="356" t="str">
        <f t="shared" si="24"/>
        <v/>
      </c>
      <c r="O587" s="358"/>
      <c r="P587" s="360"/>
      <c r="Q587" s="360"/>
      <c r="R587" s="67"/>
      <c r="S587" s="67"/>
      <c r="T587" s="67"/>
      <c r="U587" s="389" t="str">
        <f>IF('Lớp 6 - Chi tiết'!I149="","",'Lớp 6 - Chi tiết'!L149&amp;"|"&amp;'Lớp 6 - Chi tiết'!K149&amp;"|"&amp;'Lớp 6 - Chi tiết'!J149&amp;"|"&amp;'Lớp 6 - Chi tiết'!I149)</f>
        <v/>
      </c>
      <c r="V587" s="389" t="str">
        <f>IF('Lớp 6 - Chi tiết'!I149="","","           └─ "&amp;'Lớp 6 - Chi tiết'!S149)</f>
        <v/>
      </c>
      <c r="W587" s="389" t="str">
        <f>IF('Lớp 6 - Chi tiết'!I149="","",6)</f>
        <v/>
      </c>
      <c r="X587" s="67" t="str">
        <f>'Lớp 6 - Chi tiết'!I149</f>
        <v/>
      </c>
      <c r="Y587" s="389" t="str">
        <f>'Lớp 6 - Chi tiết'!J149</f>
        <v/>
      </c>
      <c r="Z587" s="67" t="str">
        <f>'Lớp 6 - Chi tiết'!AC149</f>
        <v/>
      </c>
      <c r="AA587" s="67" t="str">
        <f>'Lớp 6 - Chi tiết'!AB149</f>
        <v/>
      </c>
      <c r="AB587" s="67" t="str">
        <f>'Lớp 6 - Chi tiết'!AF149</f>
        <v/>
      </c>
      <c r="AC587" s="67" t="str">
        <f>'Lớp 6 - Chi tiết'!AE149</f>
        <v/>
      </c>
      <c r="AD587" s="398" t="str">
        <f>'Lớp 6 - Chi tiết'!AJ149</f>
        <v/>
      </c>
      <c r="AE587" s="358" t="str">
        <f>'Lớp 6 - Chi tiết'!AH149</f>
        <v/>
      </c>
      <c r="AF587" s="187" t="str">
        <f>'Lớp 6 - Chi tiết'!AK149</f>
        <v/>
      </c>
      <c r="AG587" s="104" t="str">
        <f>'Lớp 6 - Chi tiết'!AL149</f>
        <v/>
      </c>
      <c r="AH587" s="389" t="str">
        <f t="shared" si="27"/>
        <v/>
      </c>
      <c r="AI587" s="389" t="str">
        <f t="shared" si="37"/>
        <v>🔵 Chưa có hạn</v>
      </c>
      <c r="AJ587" s="67" t="str">
        <f>'Lớp 6 - Chi tiết'!AO149</f>
        <v/>
      </c>
      <c r="AS587" s="389" t="str">
        <f t="shared" si="467"/>
        <v/>
      </c>
      <c r="AT587" s="389" t="str">
        <f t="shared" si="32"/>
        <v/>
      </c>
      <c r="AU587" s="389" t="str">
        <f t="shared" si="33"/>
        <v/>
      </c>
      <c r="AV587" s="389" t="str">
        <f t="shared" si="34"/>
        <v/>
      </c>
      <c r="AW587" s="389" t="str">
        <f t="shared" si="35"/>
        <v/>
      </c>
      <c r="AX587" s="67" t="str">
        <f t="shared" ref="AX587:BH587" si="602">Z587</f>
        <v/>
      </c>
      <c r="AY587" s="67" t="str">
        <f t="shared" si="602"/>
        <v/>
      </c>
      <c r="AZ587" s="67" t="str">
        <f t="shared" si="602"/>
        <v/>
      </c>
      <c r="BA587" s="67" t="str">
        <f t="shared" si="602"/>
        <v/>
      </c>
      <c r="BB587" s="398" t="str">
        <f t="shared" si="602"/>
        <v/>
      </c>
      <c r="BC587" s="358" t="str">
        <f t="shared" si="602"/>
        <v/>
      </c>
      <c r="BD587" s="187" t="str">
        <f t="shared" si="602"/>
        <v/>
      </c>
      <c r="BE587" s="104" t="str">
        <f t="shared" si="602"/>
        <v/>
      </c>
      <c r="BF587" s="389" t="str">
        <f t="shared" si="602"/>
        <v/>
      </c>
      <c r="BG587" s="389" t="str">
        <f t="shared" si="602"/>
        <v>🔵 Chưa có hạn</v>
      </c>
      <c r="BH587" s="67" t="str">
        <f t="shared" si="602"/>
        <v/>
      </c>
      <c r="BI587" s="389" t="str">
        <f t="array" ref="BI587">IF($X587="","",SWITCH($W587,3,IFERROR(INDEX('Lớp 3 - Công việc chính'!$AF$14:$AF$73,MATCH($X587,'Lớp 3 - Công việc chính'!$I$14:$I$73,0)),""),4,IFERROR(INDEX('Lớp 4 - Danh mục'!$AI$14:$AI$132,MATCH($X587,'Lớp 4 - Danh mục'!$I$14:$I$132,0)),""),5,IFERROR(INDEX('Lớp 5 - Phân công'!$AJ$14:$AJ$262,MATCH($X587,'Lớp 5 - Phân công'!$I$14:$I$262,0)),""),6,IFERROR(INDEX('Lớp 6 - Chi tiết'!$AM$14:$AM$267,MATCH($X587,'Lớp 6 - Chi tiết'!$I$14:$I$267,0)),""),""))</f>
        <v/>
      </c>
      <c r="BJ587" s="389" t="str">
        <f t="array" ref="BJ587">IF($X587="","",SWITCH($W587,3,IFERROR(INDEX('Lớp 3 - Công việc chính'!$AR$14:$AR$73,MATCH($X587,'Lớp 3 - Công việc chính'!$I$14:$I$73,0)),""),4,IFERROR(INDEX('Lớp 4 - Danh mục'!$AU$14:$AU$132,MATCH($X587,'Lớp 4 - Danh mục'!$I$14:$I$132,0)),""),5,IFERROR(INDEX('Lớp 5 - Phân công'!$AV$14:$AV$262,MATCH($X587,'Lớp 5 - Phân công'!$I$14:$I$262,0)),""),6,IFERROR(INDEX('Lớp 6 - Chi tiết'!$AY$14:$AY$267,MATCH($X587,'Lớp 6 - Chi tiết'!$I$14:$I$267,0)),""),""))</f>
        <v/>
      </c>
    </row>
    <row r="588" ht="15.75" customHeight="1">
      <c r="A588" s="294" t="str">
        <f t="shared" si="12"/>
        <v/>
      </c>
      <c r="B588" s="301" t="str">
        <f t="shared" si="13"/>
        <v/>
      </c>
      <c r="C588" s="301" t="str">
        <f t="shared" si="14"/>
        <v/>
      </c>
      <c r="D588" s="301" t="str">
        <f t="shared" si="15"/>
        <v/>
      </c>
      <c r="E588" s="301" t="str">
        <f t="shared" si="16"/>
        <v/>
      </c>
      <c r="F588" s="317" t="str">
        <f t="shared" si="17"/>
        <v/>
      </c>
      <c r="G588" s="323" t="str">
        <f t="shared" si="18"/>
        <v/>
      </c>
      <c r="H588" s="327" t="str">
        <f t="shared" si="19"/>
        <v/>
      </c>
      <c r="I588" s="327" t="str">
        <f t="shared" si="20"/>
        <v/>
      </c>
      <c r="J588" s="301" t="str">
        <f t="shared" si="21"/>
        <v/>
      </c>
      <c r="K588" s="301" t="str">
        <f t="shared" si="22"/>
        <v/>
      </c>
      <c r="L588" s="344" t="str">
        <f t="array" ref="L588">IF($T588="","",LET(m,MATCH($T588,$AS$24:$AS$700,0),lvl,INDEX($W$24:$W$700,m),id,INDEX($X$24:$X$700,m),SWITCH(lvl,3,"Lớp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8" s="351" t="str">
        <f t="shared" si="23"/>
        <v/>
      </c>
      <c r="N588" s="356" t="str">
        <f t="shared" si="24"/>
        <v/>
      </c>
      <c r="O588" s="358"/>
      <c r="P588" s="360"/>
      <c r="Q588" s="360"/>
      <c r="R588" s="67"/>
      <c r="S588" s="67"/>
      <c r="T588" s="67"/>
      <c r="U588" s="389" t="str">
        <f>IF('Lớp 6 - Chi tiết'!I150="","",'Lớp 6 - Chi tiết'!L150&amp;"|"&amp;'Lớp 6 - Chi tiết'!K150&amp;"|"&amp;'Lớp 6 - Chi tiết'!J150&amp;"|"&amp;'Lớp 6 - Chi tiết'!I150)</f>
        <v/>
      </c>
      <c r="V588" s="389" t="str">
        <f>IF('Lớp 6 - Chi tiết'!I150="","","           └─ "&amp;'Lớp 6 - Chi tiết'!S150)</f>
        <v/>
      </c>
      <c r="W588" s="389" t="str">
        <f>IF('Lớp 6 - Chi tiết'!I150="","",6)</f>
        <v/>
      </c>
      <c r="X588" s="67" t="str">
        <f>'Lớp 6 - Chi tiết'!I150</f>
        <v/>
      </c>
      <c r="Y588" s="389" t="str">
        <f>'Lớp 6 - Chi tiết'!J150</f>
        <v/>
      </c>
      <c r="Z588" s="67" t="str">
        <f>'Lớp 6 - Chi tiết'!AC150</f>
        <v/>
      </c>
      <c r="AA588" s="67" t="str">
        <f>'Lớp 6 - Chi tiết'!AB150</f>
        <v/>
      </c>
      <c r="AB588" s="67" t="str">
        <f>'Lớp 6 - Chi tiết'!AF150</f>
        <v/>
      </c>
      <c r="AC588" s="67" t="str">
        <f>'Lớp 6 - Chi tiết'!AE150</f>
        <v/>
      </c>
      <c r="AD588" s="398" t="str">
        <f>'Lớp 6 - Chi tiết'!AJ150</f>
        <v/>
      </c>
      <c r="AE588" s="358" t="str">
        <f>'Lớp 6 - Chi tiết'!AH150</f>
        <v/>
      </c>
      <c r="AF588" s="187" t="str">
        <f>'Lớp 6 - Chi tiết'!AK150</f>
        <v/>
      </c>
      <c r="AG588" s="104" t="str">
        <f>'Lớp 6 - Chi tiết'!AL150</f>
        <v/>
      </c>
      <c r="AH588" s="389" t="str">
        <f t="shared" si="27"/>
        <v/>
      </c>
      <c r="AI588" s="389" t="str">
        <f t="shared" si="37"/>
        <v>🔵 Chưa có hạn</v>
      </c>
      <c r="AJ588" s="67" t="str">
        <f>'Lớp 6 - Chi tiết'!AO150</f>
        <v/>
      </c>
      <c r="AS588" s="389" t="str">
        <f t="shared" si="467"/>
        <v/>
      </c>
      <c r="AT588" s="389" t="str">
        <f t="shared" si="32"/>
        <v/>
      </c>
      <c r="AU588" s="389" t="str">
        <f t="shared" si="33"/>
        <v/>
      </c>
      <c r="AV588" s="389" t="str">
        <f t="shared" si="34"/>
        <v/>
      </c>
      <c r="AW588" s="389" t="str">
        <f t="shared" si="35"/>
        <v/>
      </c>
      <c r="AX588" s="67" t="str">
        <f t="shared" ref="AX588:BH588" si="603">Z588</f>
        <v/>
      </c>
      <c r="AY588" s="67" t="str">
        <f t="shared" si="603"/>
        <v/>
      </c>
      <c r="AZ588" s="67" t="str">
        <f t="shared" si="603"/>
        <v/>
      </c>
      <c r="BA588" s="67" t="str">
        <f t="shared" si="603"/>
        <v/>
      </c>
      <c r="BB588" s="398" t="str">
        <f t="shared" si="603"/>
        <v/>
      </c>
      <c r="BC588" s="358" t="str">
        <f t="shared" si="603"/>
        <v/>
      </c>
      <c r="BD588" s="187" t="str">
        <f t="shared" si="603"/>
        <v/>
      </c>
      <c r="BE588" s="104" t="str">
        <f t="shared" si="603"/>
        <v/>
      </c>
      <c r="BF588" s="389" t="str">
        <f t="shared" si="603"/>
        <v/>
      </c>
      <c r="BG588" s="389" t="str">
        <f t="shared" si="603"/>
        <v>🔵 Chưa có hạn</v>
      </c>
      <c r="BH588" s="67" t="str">
        <f t="shared" si="603"/>
        <v/>
      </c>
      <c r="BI588" s="389" t="str">
        <f t="array" ref="BI588">IF($X588="","",SWITCH($W588,3,IFERROR(INDEX('Lớp 3 - Công việc chính'!$AF$14:$AF$73,MATCH($X588,'Lớp 3 - Công việc chính'!$I$14:$I$73,0)),""),4,IFERROR(INDEX('Lớp 4 - Danh mục'!$AI$14:$AI$132,MATCH($X588,'Lớp 4 - Danh mục'!$I$14:$I$132,0)),""),5,IFERROR(INDEX('Lớp 5 - Phân công'!$AJ$14:$AJ$262,MATCH($X588,'Lớp 5 - Phân công'!$I$14:$I$262,0)),""),6,IFERROR(INDEX('Lớp 6 - Chi tiết'!$AM$14:$AM$267,MATCH($X588,'Lớp 6 - Chi tiết'!$I$14:$I$267,0)),""),""))</f>
        <v/>
      </c>
      <c r="BJ588" s="389" t="str">
        <f t="array" ref="BJ588">IF($X588="","",SWITCH($W588,3,IFERROR(INDEX('Lớp 3 - Công việc chính'!$AR$14:$AR$73,MATCH($X588,'Lớp 3 - Công việc chính'!$I$14:$I$73,0)),""),4,IFERROR(INDEX('Lớp 4 - Danh mục'!$AU$14:$AU$132,MATCH($X588,'Lớp 4 - Danh mục'!$I$14:$I$132,0)),""),5,IFERROR(INDEX('Lớp 5 - Phân công'!$AV$14:$AV$262,MATCH($X588,'Lớp 5 - Phân công'!$I$14:$I$262,0)),""),6,IFERROR(INDEX('Lớp 6 - Chi tiết'!$AY$14:$AY$267,MATCH($X588,'Lớp 6 - Chi tiết'!$I$14:$I$267,0)),""),""))</f>
        <v/>
      </c>
    </row>
    <row r="589" ht="15.75" customHeight="1">
      <c r="A589" s="294" t="str">
        <f t="shared" si="12"/>
        <v/>
      </c>
      <c r="B589" s="301" t="str">
        <f t="shared" si="13"/>
        <v/>
      </c>
      <c r="C589" s="301" t="str">
        <f t="shared" si="14"/>
        <v/>
      </c>
      <c r="D589" s="301" t="str">
        <f t="shared" si="15"/>
        <v/>
      </c>
      <c r="E589" s="301" t="str">
        <f t="shared" si="16"/>
        <v/>
      </c>
      <c r="F589" s="317" t="str">
        <f t="shared" si="17"/>
        <v/>
      </c>
      <c r="G589" s="323" t="str">
        <f t="shared" si="18"/>
        <v/>
      </c>
      <c r="H589" s="327" t="str">
        <f t="shared" si="19"/>
        <v/>
      </c>
      <c r="I589" s="327" t="str">
        <f t="shared" si="20"/>
        <v/>
      </c>
      <c r="J589" s="301" t="str">
        <f t="shared" si="21"/>
        <v/>
      </c>
      <c r="K589" s="301" t="str">
        <f t="shared" si="22"/>
        <v/>
      </c>
      <c r="L589" s="344" t="str">
        <f t="array" ref="L589">IF($T589="","",LET(m,MATCH($T589,$AS$24:$AS$700,0),lvl,INDEX($W$24:$W$700,m),id,INDEX($X$24:$X$700,m),SWITCH(lvl,3,"Lớp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89" s="351" t="str">
        <f t="shared" si="23"/>
        <v/>
      </c>
      <c r="N589" s="356" t="str">
        <f t="shared" si="24"/>
        <v/>
      </c>
      <c r="O589" s="358"/>
      <c r="P589" s="360"/>
      <c r="Q589" s="360"/>
      <c r="R589" s="67"/>
      <c r="S589" s="67"/>
      <c r="T589" s="67"/>
      <c r="U589" s="389" t="str">
        <f>IF('Lớp 6 - Chi tiết'!I151="","",'Lớp 6 - Chi tiết'!L151&amp;"|"&amp;'Lớp 6 - Chi tiết'!K151&amp;"|"&amp;'Lớp 6 - Chi tiết'!J151&amp;"|"&amp;'Lớp 6 - Chi tiết'!I151)</f>
        <v/>
      </c>
      <c r="V589" s="389" t="str">
        <f>IF('Lớp 6 - Chi tiết'!I151="","","           └─ "&amp;'Lớp 6 - Chi tiết'!S151)</f>
        <v/>
      </c>
      <c r="W589" s="389" t="str">
        <f>IF('Lớp 6 - Chi tiết'!I151="","",6)</f>
        <v/>
      </c>
      <c r="X589" s="67" t="str">
        <f>'Lớp 6 - Chi tiết'!I151</f>
        <v/>
      </c>
      <c r="Y589" s="389" t="str">
        <f>'Lớp 6 - Chi tiết'!J151</f>
        <v/>
      </c>
      <c r="Z589" s="67" t="str">
        <f>'Lớp 6 - Chi tiết'!AC151</f>
        <v/>
      </c>
      <c r="AA589" s="67" t="str">
        <f>'Lớp 6 - Chi tiết'!AB151</f>
        <v/>
      </c>
      <c r="AB589" s="67" t="str">
        <f>'Lớp 6 - Chi tiết'!AF151</f>
        <v/>
      </c>
      <c r="AC589" s="67" t="str">
        <f>'Lớp 6 - Chi tiết'!AE151</f>
        <v/>
      </c>
      <c r="AD589" s="398" t="str">
        <f>'Lớp 6 - Chi tiết'!AJ151</f>
        <v/>
      </c>
      <c r="AE589" s="358" t="str">
        <f>'Lớp 6 - Chi tiết'!AH151</f>
        <v/>
      </c>
      <c r="AF589" s="187" t="str">
        <f>'Lớp 6 - Chi tiết'!AK151</f>
        <v/>
      </c>
      <c r="AG589" s="104" t="str">
        <f>'Lớp 6 - Chi tiết'!AL151</f>
        <v/>
      </c>
      <c r="AH589" s="389" t="str">
        <f t="shared" si="27"/>
        <v/>
      </c>
      <c r="AI589" s="389" t="str">
        <f t="shared" si="37"/>
        <v>🔵 Chưa có hạn</v>
      </c>
      <c r="AJ589" s="67" t="str">
        <f>'Lớp 6 - Chi tiết'!AO151</f>
        <v/>
      </c>
      <c r="AS589" s="389" t="str">
        <f t="shared" si="467"/>
        <v/>
      </c>
      <c r="AT589" s="389" t="str">
        <f t="shared" si="32"/>
        <v/>
      </c>
      <c r="AU589" s="389" t="str">
        <f t="shared" si="33"/>
        <v/>
      </c>
      <c r="AV589" s="389" t="str">
        <f t="shared" si="34"/>
        <v/>
      </c>
      <c r="AW589" s="389" t="str">
        <f t="shared" si="35"/>
        <v/>
      </c>
      <c r="AX589" s="67" t="str">
        <f t="shared" ref="AX589:BH589" si="604">Z589</f>
        <v/>
      </c>
      <c r="AY589" s="67" t="str">
        <f t="shared" si="604"/>
        <v/>
      </c>
      <c r="AZ589" s="67" t="str">
        <f t="shared" si="604"/>
        <v/>
      </c>
      <c r="BA589" s="67" t="str">
        <f t="shared" si="604"/>
        <v/>
      </c>
      <c r="BB589" s="398" t="str">
        <f t="shared" si="604"/>
        <v/>
      </c>
      <c r="BC589" s="358" t="str">
        <f t="shared" si="604"/>
        <v/>
      </c>
      <c r="BD589" s="187" t="str">
        <f t="shared" si="604"/>
        <v/>
      </c>
      <c r="BE589" s="104" t="str">
        <f t="shared" si="604"/>
        <v/>
      </c>
      <c r="BF589" s="389" t="str">
        <f t="shared" si="604"/>
        <v/>
      </c>
      <c r="BG589" s="389" t="str">
        <f t="shared" si="604"/>
        <v>🔵 Chưa có hạn</v>
      </c>
      <c r="BH589" s="67" t="str">
        <f t="shared" si="604"/>
        <v/>
      </c>
      <c r="BI589" s="389" t="str">
        <f t="array" ref="BI589">IF($X589="","",SWITCH($W589,3,IFERROR(INDEX('Lớp 3 - Công việc chính'!$AF$14:$AF$73,MATCH($X589,'Lớp 3 - Công việc chính'!$I$14:$I$73,0)),""),4,IFERROR(INDEX('Lớp 4 - Danh mục'!$AI$14:$AI$132,MATCH($X589,'Lớp 4 - Danh mục'!$I$14:$I$132,0)),""),5,IFERROR(INDEX('Lớp 5 - Phân công'!$AJ$14:$AJ$262,MATCH($X589,'Lớp 5 - Phân công'!$I$14:$I$262,0)),""),6,IFERROR(INDEX('Lớp 6 - Chi tiết'!$AM$14:$AM$267,MATCH($X589,'Lớp 6 - Chi tiết'!$I$14:$I$267,0)),""),""))</f>
        <v/>
      </c>
      <c r="BJ589" s="389" t="str">
        <f t="array" ref="BJ589">IF($X589="","",SWITCH($W589,3,IFERROR(INDEX('Lớp 3 - Công việc chính'!$AR$14:$AR$73,MATCH($X589,'Lớp 3 - Công việc chính'!$I$14:$I$73,0)),""),4,IFERROR(INDEX('Lớp 4 - Danh mục'!$AU$14:$AU$132,MATCH($X589,'Lớp 4 - Danh mục'!$I$14:$I$132,0)),""),5,IFERROR(INDEX('Lớp 5 - Phân công'!$AV$14:$AV$262,MATCH($X589,'Lớp 5 - Phân công'!$I$14:$I$262,0)),""),6,IFERROR(INDEX('Lớp 6 - Chi tiết'!$AY$14:$AY$267,MATCH($X589,'Lớp 6 - Chi tiết'!$I$14:$I$267,0)),""),""))</f>
        <v/>
      </c>
    </row>
    <row r="590" ht="15.75" customHeight="1">
      <c r="A590" s="294" t="str">
        <f t="shared" si="12"/>
        <v/>
      </c>
      <c r="B590" s="301" t="str">
        <f t="shared" si="13"/>
        <v/>
      </c>
      <c r="C590" s="301" t="str">
        <f t="shared" si="14"/>
        <v/>
      </c>
      <c r="D590" s="301" t="str">
        <f t="shared" si="15"/>
        <v/>
      </c>
      <c r="E590" s="301" t="str">
        <f t="shared" si="16"/>
        <v/>
      </c>
      <c r="F590" s="317" t="str">
        <f t="shared" si="17"/>
        <v/>
      </c>
      <c r="G590" s="323" t="str">
        <f t="shared" si="18"/>
        <v/>
      </c>
      <c r="H590" s="327" t="str">
        <f t="shared" si="19"/>
        <v/>
      </c>
      <c r="I590" s="327" t="str">
        <f t="shared" si="20"/>
        <v/>
      </c>
      <c r="J590" s="301" t="str">
        <f t="shared" si="21"/>
        <v/>
      </c>
      <c r="K590" s="301" t="str">
        <f t="shared" si="22"/>
        <v/>
      </c>
      <c r="L590" s="344" t="str">
        <f t="array" ref="L590">IF($T590="","",LET(m,MATCH($T590,$AS$24:$AS$700,0),lvl,INDEX($W$24:$W$700,m),id,INDEX($X$24:$X$700,m),SWITCH(lvl,3,"Lớp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0" s="351" t="str">
        <f t="shared" si="23"/>
        <v/>
      </c>
      <c r="N590" s="356" t="str">
        <f t="shared" si="24"/>
        <v/>
      </c>
      <c r="O590" s="358"/>
      <c r="P590" s="360"/>
      <c r="Q590" s="360"/>
      <c r="R590" s="67"/>
      <c r="S590" s="67"/>
      <c r="T590" s="67"/>
      <c r="U590" s="389" t="str">
        <f>IF('Lớp 6 - Chi tiết'!I152="","",'Lớp 6 - Chi tiết'!L152&amp;"|"&amp;'Lớp 6 - Chi tiết'!K152&amp;"|"&amp;'Lớp 6 - Chi tiết'!J152&amp;"|"&amp;'Lớp 6 - Chi tiết'!I152)</f>
        <v/>
      </c>
      <c r="V590" s="389" t="str">
        <f>IF('Lớp 6 - Chi tiết'!I152="","","           └─ "&amp;'Lớp 6 - Chi tiết'!S152)</f>
        <v/>
      </c>
      <c r="W590" s="389" t="str">
        <f>IF('Lớp 6 - Chi tiết'!I152="","",6)</f>
        <v/>
      </c>
      <c r="X590" s="67" t="str">
        <f>'Lớp 6 - Chi tiết'!I152</f>
        <v/>
      </c>
      <c r="Y590" s="389" t="str">
        <f>'Lớp 6 - Chi tiết'!J152</f>
        <v/>
      </c>
      <c r="Z590" s="67" t="str">
        <f>'Lớp 6 - Chi tiết'!AC152</f>
        <v/>
      </c>
      <c r="AA590" s="67" t="str">
        <f>'Lớp 6 - Chi tiết'!AB152</f>
        <v/>
      </c>
      <c r="AB590" s="67" t="str">
        <f>'Lớp 6 - Chi tiết'!AF152</f>
        <v/>
      </c>
      <c r="AC590" s="67" t="str">
        <f>'Lớp 6 - Chi tiết'!AE152</f>
        <v/>
      </c>
      <c r="AD590" s="398" t="str">
        <f>'Lớp 6 - Chi tiết'!AJ152</f>
        <v/>
      </c>
      <c r="AE590" s="358" t="str">
        <f>'Lớp 6 - Chi tiết'!AH152</f>
        <v/>
      </c>
      <c r="AF590" s="187" t="str">
        <f>'Lớp 6 - Chi tiết'!AK152</f>
        <v/>
      </c>
      <c r="AG590" s="104" t="str">
        <f>'Lớp 6 - Chi tiết'!AL152</f>
        <v/>
      </c>
      <c r="AH590" s="389" t="str">
        <f t="shared" si="27"/>
        <v/>
      </c>
      <c r="AI590" s="389" t="str">
        <f t="shared" si="37"/>
        <v>🔵 Chưa có hạn</v>
      </c>
      <c r="AJ590" s="67" t="str">
        <f>'Lớp 6 - Chi tiết'!AO152</f>
        <v/>
      </c>
      <c r="AS590" s="389" t="str">
        <f t="shared" si="467"/>
        <v/>
      </c>
      <c r="AT590" s="389" t="str">
        <f t="shared" si="32"/>
        <v/>
      </c>
      <c r="AU590" s="389" t="str">
        <f t="shared" si="33"/>
        <v/>
      </c>
      <c r="AV590" s="389" t="str">
        <f t="shared" si="34"/>
        <v/>
      </c>
      <c r="AW590" s="389" t="str">
        <f t="shared" si="35"/>
        <v/>
      </c>
      <c r="AX590" s="67" t="str">
        <f t="shared" ref="AX590:BH590" si="605">Z590</f>
        <v/>
      </c>
      <c r="AY590" s="67" t="str">
        <f t="shared" si="605"/>
        <v/>
      </c>
      <c r="AZ590" s="67" t="str">
        <f t="shared" si="605"/>
        <v/>
      </c>
      <c r="BA590" s="67" t="str">
        <f t="shared" si="605"/>
        <v/>
      </c>
      <c r="BB590" s="398" t="str">
        <f t="shared" si="605"/>
        <v/>
      </c>
      <c r="BC590" s="358" t="str">
        <f t="shared" si="605"/>
        <v/>
      </c>
      <c r="BD590" s="187" t="str">
        <f t="shared" si="605"/>
        <v/>
      </c>
      <c r="BE590" s="104" t="str">
        <f t="shared" si="605"/>
        <v/>
      </c>
      <c r="BF590" s="389" t="str">
        <f t="shared" si="605"/>
        <v/>
      </c>
      <c r="BG590" s="389" t="str">
        <f t="shared" si="605"/>
        <v>🔵 Chưa có hạn</v>
      </c>
      <c r="BH590" s="67" t="str">
        <f t="shared" si="605"/>
        <v/>
      </c>
      <c r="BI590" s="389" t="str">
        <f t="array" ref="BI590">IF($X590="","",SWITCH($W590,3,IFERROR(INDEX('Lớp 3 - Công việc chính'!$AF$14:$AF$73,MATCH($X590,'Lớp 3 - Công việc chính'!$I$14:$I$73,0)),""),4,IFERROR(INDEX('Lớp 4 - Danh mục'!$AI$14:$AI$132,MATCH($X590,'Lớp 4 - Danh mục'!$I$14:$I$132,0)),""),5,IFERROR(INDEX('Lớp 5 - Phân công'!$AJ$14:$AJ$262,MATCH($X590,'Lớp 5 - Phân công'!$I$14:$I$262,0)),""),6,IFERROR(INDEX('Lớp 6 - Chi tiết'!$AM$14:$AM$267,MATCH($X590,'Lớp 6 - Chi tiết'!$I$14:$I$267,0)),""),""))</f>
        <v/>
      </c>
      <c r="BJ590" s="389" t="str">
        <f t="array" ref="BJ590">IF($X590="","",SWITCH($W590,3,IFERROR(INDEX('Lớp 3 - Công việc chính'!$AR$14:$AR$73,MATCH($X590,'Lớp 3 - Công việc chính'!$I$14:$I$73,0)),""),4,IFERROR(INDEX('Lớp 4 - Danh mục'!$AU$14:$AU$132,MATCH($X590,'Lớp 4 - Danh mục'!$I$14:$I$132,0)),""),5,IFERROR(INDEX('Lớp 5 - Phân công'!$AV$14:$AV$262,MATCH($X590,'Lớp 5 - Phân công'!$I$14:$I$262,0)),""),6,IFERROR(INDEX('Lớp 6 - Chi tiết'!$AY$14:$AY$267,MATCH($X590,'Lớp 6 - Chi tiết'!$I$14:$I$267,0)),""),""))</f>
        <v/>
      </c>
    </row>
    <row r="591" ht="15.75" customHeight="1">
      <c r="A591" s="294" t="str">
        <f t="shared" si="12"/>
        <v/>
      </c>
      <c r="B591" s="301" t="str">
        <f t="shared" si="13"/>
        <v/>
      </c>
      <c r="C591" s="301" t="str">
        <f t="shared" si="14"/>
        <v/>
      </c>
      <c r="D591" s="301" t="str">
        <f t="shared" si="15"/>
        <v/>
      </c>
      <c r="E591" s="301" t="str">
        <f t="shared" si="16"/>
        <v/>
      </c>
      <c r="F591" s="317" t="str">
        <f t="shared" si="17"/>
        <v/>
      </c>
      <c r="G591" s="323" t="str">
        <f t="shared" si="18"/>
        <v/>
      </c>
      <c r="H591" s="327" t="str">
        <f t="shared" si="19"/>
        <v/>
      </c>
      <c r="I591" s="327" t="str">
        <f t="shared" si="20"/>
        <v/>
      </c>
      <c r="J591" s="301" t="str">
        <f t="shared" si="21"/>
        <v/>
      </c>
      <c r="K591" s="301" t="str">
        <f t="shared" si="22"/>
        <v/>
      </c>
      <c r="L591" s="344" t="str">
        <f t="array" ref="L591">IF($T591="","",LET(m,MATCH($T591,$AS$24:$AS$700,0),lvl,INDEX($W$24:$W$700,m),id,INDEX($X$24:$X$700,m),SWITCH(lvl,3,"Lớp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1" s="351" t="str">
        <f t="shared" si="23"/>
        <v/>
      </c>
      <c r="N591" s="356" t="str">
        <f t="shared" si="24"/>
        <v/>
      </c>
      <c r="O591" s="358"/>
      <c r="P591" s="360"/>
      <c r="Q591" s="360"/>
      <c r="R591" s="67"/>
      <c r="S591" s="67"/>
      <c r="T591" s="67"/>
      <c r="U591" s="389" t="str">
        <f>IF('Lớp 6 - Chi tiết'!I153="","",'Lớp 6 - Chi tiết'!L153&amp;"|"&amp;'Lớp 6 - Chi tiết'!K153&amp;"|"&amp;'Lớp 6 - Chi tiết'!J153&amp;"|"&amp;'Lớp 6 - Chi tiết'!I153)</f>
        <v/>
      </c>
      <c r="V591" s="389" t="str">
        <f>IF('Lớp 6 - Chi tiết'!I153="","","           └─ "&amp;'Lớp 6 - Chi tiết'!S153)</f>
        <v/>
      </c>
      <c r="W591" s="389" t="str">
        <f>IF('Lớp 6 - Chi tiết'!I153="","",6)</f>
        <v/>
      </c>
      <c r="X591" s="67" t="str">
        <f>'Lớp 6 - Chi tiết'!I153</f>
        <v/>
      </c>
      <c r="Y591" s="389" t="str">
        <f>'Lớp 6 - Chi tiết'!J153</f>
        <v/>
      </c>
      <c r="Z591" s="67" t="str">
        <f>'Lớp 6 - Chi tiết'!AC153</f>
        <v/>
      </c>
      <c r="AA591" s="67" t="str">
        <f>'Lớp 6 - Chi tiết'!AB153</f>
        <v/>
      </c>
      <c r="AB591" s="67" t="str">
        <f>'Lớp 6 - Chi tiết'!AF153</f>
        <v/>
      </c>
      <c r="AC591" s="67" t="str">
        <f>'Lớp 6 - Chi tiết'!AE153</f>
        <v/>
      </c>
      <c r="AD591" s="398" t="str">
        <f>'Lớp 6 - Chi tiết'!AJ153</f>
        <v/>
      </c>
      <c r="AE591" s="358" t="str">
        <f>'Lớp 6 - Chi tiết'!AH153</f>
        <v/>
      </c>
      <c r="AF591" s="187" t="str">
        <f>'Lớp 6 - Chi tiết'!AK153</f>
        <v/>
      </c>
      <c r="AG591" s="104" t="str">
        <f>'Lớp 6 - Chi tiết'!AL153</f>
        <v/>
      </c>
      <c r="AH591" s="389" t="str">
        <f t="shared" si="27"/>
        <v/>
      </c>
      <c r="AI591" s="389" t="str">
        <f t="shared" si="37"/>
        <v>🔵 Chưa có hạn</v>
      </c>
      <c r="AJ591" s="67" t="str">
        <f>'Lớp 6 - Chi tiết'!AO153</f>
        <v/>
      </c>
      <c r="AS591" s="389" t="str">
        <f t="shared" si="467"/>
        <v/>
      </c>
      <c r="AT591" s="389" t="str">
        <f t="shared" si="32"/>
        <v/>
      </c>
      <c r="AU591" s="389" t="str">
        <f t="shared" si="33"/>
        <v/>
      </c>
      <c r="AV591" s="389" t="str">
        <f t="shared" si="34"/>
        <v/>
      </c>
      <c r="AW591" s="389" t="str">
        <f t="shared" si="35"/>
        <v/>
      </c>
      <c r="AX591" s="67" t="str">
        <f t="shared" ref="AX591:BH591" si="606">Z591</f>
        <v/>
      </c>
      <c r="AY591" s="67" t="str">
        <f t="shared" si="606"/>
        <v/>
      </c>
      <c r="AZ591" s="67" t="str">
        <f t="shared" si="606"/>
        <v/>
      </c>
      <c r="BA591" s="67" t="str">
        <f t="shared" si="606"/>
        <v/>
      </c>
      <c r="BB591" s="398" t="str">
        <f t="shared" si="606"/>
        <v/>
      </c>
      <c r="BC591" s="358" t="str">
        <f t="shared" si="606"/>
        <v/>
      </c>
      <c r="BD591" s="187" t="str">
        <f t="shared" si="606"/>
        <v/>
      </c>
      <c r="BE591" s="104" t="str">
        <f t="shared" si="606"/>
        <v/>
      </c>
      <c r="BF591" s="389" t="str">
        <f t="shared" si="606"/>
        <v/>
      </c>
      <c r="BG591" s="389" t="str">
        <f t="shared" si="606"/>
        <v>🔵 Chưa có hạn</v>
      </c>
      <c r="BH591" s="67" t="str">
        <f t="shared" si="606"/>
        <v/>
      </c>
      <c r="BI591" s="389" t="str">
        <f t="array" ref="BI591">IF($X591="","",SWITCH($W591,3,IFERROR(INDEX('Lớp 3 - Công việc chính'!$AF$14:$AF$73,MATCH($X591,'Lớp 3 - Công việc chính'!$I$14:$I$73,0)),""),4,IFERROR(INDEX('Lớp 4 - Danh mục'!$AI$14:$AI$132,MATCH($X591,'Lớp 4 - Danh mục'!$I$14:$I$132,0)),""),5,IFERROR(INDEX('Lớp 5 - Phân công'!$AJ$14:$AJ$262,MATCH($X591,'Lớp 5 - Phân công'!$I$14:$I$262,0)),""),6,IFERROR(INDEX('Lớp 6 - Chi tiết'!$AM$14:$AM$267,MATCH($X591,'Lớp 6 - Chi tiết'!$I$14:$I$267,0)),""),""))</f>
        <v/>
      </c>
      <c r="BJ591" s="389" t="str">
        <f t="array" ref="BJ591">IF($X591="","",SWITCH($W591,3,IFERROR(INDEX('Lớp 3 - Công việc chính'!$AR$14:$AR$73,MATCH($X591,'Lớp 3 - Công việc chính'!$I$14:$I$73,0)),""),4,IFERROR(INDEX('Lớp 4 - Danh mục'!$AU$14:$AU$132,MATCH($X591,'Lớp 4 - Danh mục'!$I$14:$I$132,0)),""),5,IFERROR(INDEX('Lớp 5 - Phân công'!$AV$14:$AV$262,MATCH($X591,'Lớp 5 - Phân công'!$I$14:$I$262,0)),""),6,IFERROR(INDEX('Lớp 6 - Chi tiết'!$AY$14:$AY$267,MATCH($X591,'Lớp 6 - Chi tiết'!$I$14:$I$267,0)),""),""))</f>
        <v/>
      </c>
    </row>
    <row r="592" ht="15.75" customHeight="1">
      <c r="A592" s="294" t="str">
        <f t="shared" si="12"/>
        <v/>
      </c>
      <c r="B592" s="301" t="str">
        <f t="shared" si="13"/>
        <v/>
      </c>
      <c r="C592" s="301" t="str">
        <f t="shared" si="14"/>
        <v/>
      </c>
      <c r="D592" s="301" t="str">
        <f t="shared" si="15"/>
        <v/>
      </c>
      <c r="E592" s="301" t="str">
        <f t="shared" si="16"/>
        <v/>
      </c>
      <c r="F592" s="317" t="str">
        <f t="shared" si="17"/>
        <v/>
      </c>
      <c r="G592" s="323" t="str">
        <f t="shared" si="18"/>
        <v/>
      </c>
      <c r="H592" s="327" t="str">
        <f t="shared" si="19"/>
        <v/>
      </c>
      <c r="I592" s="327" t="str">
        <f t="shared" si="20"/>
        <v/>
      </c>
      <c r="J592" s="301" t="str">
        <f t="shared" si="21"/>
        <v/>
      </c>
      <c r="K592" s="301" t="str">
        <f t="shared" si="22"/>
        <v/>
      </c>
      <c r="L592" s="344" t="str">
        <f t="array" ref="L592">IF($T592="","",LET(m,MATCH($T592,$AS$24:$AS$700,0),lvl,INDEX($W$24:$W$700,m),id,INDEX($X$24:$X$700,m),SWITCH(lvl,3,"Lớp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2" s="351" t="str">
        <f t="shared" si="23"/>
        <v/>
      </c>
      <c r="N592" s="356" t="str">
        <f t="shared" si="24"/>
        <v/>
      </c>
      <c r="O592" s="358"/>
      <c r="P592" s="360"/>
      <c r="Q592" s="360"/>
      <c r="R592" s="67"/>
      <c r="S592" s="67"/>
      <c r="T592" s="67"/>
      <c r="U592" s="389" t="str">
        <f>IF('Lớp 6 - Chi tiết'!I154="","",'Lớp 6 - Chi tiết'!L154&amp;"|"&amp;'Lớp 6 - Chi tiết'!K154&amp;"|"&amp;'Lớp 6 - Chi tiết'!J154&amp;"|"&amp;'Lớp 6 - Chi tiết'!I154)</f>
        <v/>
      </c>
      <c r="V592" s="389" t="str">
        <f>IF('Lớp 6 - Chi tiết'!I154="","","           └─ "&amp;'Lớp 6 - Chi tiết'!S154)</f>
        <v/>
      </c>
      <c r="W592" s="389" t="str">
        <f>IF('Lớp 6 - Chi tiết'!I154="","",6)</f>
        <v/>
      </c>
      <c r="X592" s="67" t="str">
        <f>'Lớp 6 - Chi tiết'!I154</f>
        <v/>
      </c>
      <c r="Y592" s="389" t="str">
        <f>'Lớp 6 - Chi tiết'!J154</f>
        <v/>
      </c>
      <c r="Z592" s="67" t="str">
        <f>'Lớp 6 - Chi tiết'!AC154</f>
        <v/>
      </c>
      <c r="AA592" s="67" t="str">
        <f>'Lớp 6 - Chi tiết'!AB154</f>
        <v/>
      </c>
      <c r="AB592" s="67" t="str">
        <f>'Lớp 6 - Chi tiết'!AF154</f>
        <v/>
      </c>
      <c r="AC592" s="67" t="str">
        <f>'Lớp 6 - Chi tiết'!AE154</f>
        <v/>
      </c>
      <c r="AD592" s="398" t="str">
        <f>'Lớp 6 - Chi tiết'!AJ154</f>
        <v/>
      </c>
      <c r="AE592" s="358" t="str">
        <f>'Lớp 6 - Chi tiết'!AH154</f>
        <v/>
      </c>
      <c r="AF592" s="187" t="str">
        <f>'Lớp 6 - Chi tiết'!AK154</f>
        <v/>
      </c>
      <c r="AG592" s="104" t="str">
        <f>'Lớp 6 - Chi tiết'!AL154</f>
        <v/>
      </c>
      <c r="AH592" s="389" t="str">
        <f t="shared" si="27"/>
        <v/>
      </c>
      <c r="AI592" s="389" t="str">
        <f t="shared" si="37"/>
        <v>🔵 Chưa có hạn</v>
      </c>
      <c r="AJ592" s="67" t="str">
        <f>'Lớp 6 - Chi tiết'!AO154</f>
        <v/>
      </c>
      <c r="AS592" s="389" t="str">
        <f t="shared" si="467"/>
        <v/>
      </c>
      <c r="AT592" s="389" t="str">
        <f t="shared" si="32"/>
        <v/>
      </c>
      <c r="AU592" s="389" t="str">
        <f t="shared" si="33"/>
        <v/>
      </c>
      <c r="AV592" s="389" t="str">
        <f t="shared" si="34"/>
        <v/>
      </c>
      <c r="AW592" s="389" t="str">
        <f t="shared" si="35"/>
        <v/>
      </c>
      <c r="AX592" s="67" t="str">
        <f t="shared" ref="AX592:BH592" si="607">Z592</f>
        <v/>
      </c>
      <c r="AY592" s="67" t="str">
        <f t="shared" si="607"/>
        <v/>
      </c>
      <c r="AZ592" s="67" t="str">
        <f t="shared" si="607"/>
        <v/>
      </c>
      <c r="BA592" s="67" t="str">
        <f t="shared" si="607"/>
        <v/>
      </c>
      <c r="BB592" s="398" t="str">
        <f t="shared" si="607"/>
        <v/>
      </c>
      <c r="BC592" s="358" t="str">
        <f t="shared" si="607"/>
        <v/>
      </c>
      <c r="BD592" s="187" t="str">
        <f t="shared" si="607"/>
        <v/>
      </c>
      <c r="BE592" s="104" t="str">
        <f t="shared" si="607"/>
        <v/>
      </c>
      <c r="BF592" s="389" t="str">
        <f t="shared" si="607"/>
        <v/>
      </c>
      <c r="BG592" s="389" t="str">
        <f t="shared" si="607"/>
        <v>🔵 Chưa có hạn</v>
      </c>
      <c r="BH592" s="67" t="str">
        <f t="shared" si="607"/>
        <v/>
      </c>
      <c r="BI592" s="389" t="str">
        <f t="array" ref="BI592">IF($X592="","",SWITCH($W592,3,IFERROR(INDEX('Lớp 3 - Công việc chính'!$AF$14:$AF$73,MATCH($X592,'Lớp 3 - Công việc chính'!$I$14:$I$73,0)),""),4,IFERROR(INDEX('Lớp 4 - Danh mục'!$AI$14:$AI$132,MATCH($X592,'Lớp 4 - Danh mục'!$I$14:$I$132,0)),""),5,IFERROR(INDEX('Lớp 5 - Phân công'!$AJ$14:$AJ$262,MATCH($X592,'Lớp 5 - Phân công'!$I$14:$I$262,0)),""),6,IFERROR(INDEX('Lớp 6 - Chi tiết'!$AM$14:$AM$267,MATCH($X592,'Lớp 6 - Chi tiết'!$I$14:$I$267,0)),""),""))</f>
        <v/>
      </c>
      <c r="BJ592" s="389" t="str">
        <f t="array" ref="BJ592">IF($X592="","",SWITCH($W592,3,IFERROR(INDEX('Lớp 3 - Công việc chính'!$AR$14:$AR$73,MATCH($X592,'Lớp 3 - Công việc chính'!$I$14:$I$73,0)),""),4,IFERROR(INDEX('Lớp 4 - Danh mục'!$AU$14:$AU$132,MATCH($X592,'Lớp 4 - Danh mục'!$I$14:$I$132,0)),""),5,IFERROR(INDEX('Lớp 5 - Phân công'!$AV$14:$AV$262,MATCH($X592,'Lớp 5 - Phân công'!$I$14:$I$262,0)),""),6,IFERROR(INDEX('Lớp 6 - Chi tiết'!$AY$14:$AY$267,MATCH($X592,'Lớp 6 - Chi tiết'!$I$14:$I$267,0)),""),""))</f>
        <v/>
      </c>
    </row>
    <row r="593" ht="15.75" customHeight="1">
      <c r="A593" s="294" t="str">
        <f t="shared" si="12"/>
        <v/>
      </c>
      <c r="B593" s="301" t="str">
        <f t="shared" si="13"/>
        <v/>
      </c>
      <c r="C593" s="301" t="str">
        <f t="shared" si="14"/>
        <v/>
      </c>
      <c r="D593" s="301" t="str">
        <f t="shared" si="15"/>
        <v/>
      </c>
      <c r="E593" s="301" t="str">
        <f t="shared" si="16"/>
        <v/>
      </c>
      <c r="F593" s="317" t="str">
        <f t="shared" si="17"/>
        <v/>
      </c>
      <c r="G593" s="323" t="str">
        <f t="shared" si="18"/>
        <v/>
      </c>
      <c r="H593" s="327" t="str">
        <f t="shared" si="19"/>
        <v/>
      </c>
      <c r="I593" s="327" t="str">
        <f t="shared" si="20"/>
        <v/>
      </c>
      <c r="J593" s="301" t="str">
        <f t="shared" si="21"/>
        <v/>
      </c>
      <c r="K593" s="301" t="str">
        <f t="shared" si="22"/>
        <v/>
      </c>
      <c r="L593" s="344" t="str">
        <f t="array" ref="L593">IF($T593="","",LET(m,MATCH($T593,$AS$24:$AS$700,0),lvl,INDEX($W$24:$W$700,m),id,INDEX($X$24:$X$700,m),SWITCH(lvl,3,"Lớp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3" s="351" t="str">
        <f t="shared" si="23"/>
        <v/>
      </c>
      <c r="N593" s="356" t="str">
        <f t="shared" si="24"/>
        <v/>
      </c>
      <c r="O593" s="358"/>
      <c r="P593" s="360"/>
      <c r="Q593" s="360"/>
      <c r="R593" s="67"/>
      <c r="S593" s="67"/>
      <c r="T593" s="67"/>
      <c r="U593" s="389" t="str">
        <f>IF('Lớp 6 - Chi tiết'!I155="","",'Lớp 6 - Chi tiết'!L155&amp;"|"&amp;'Lớp 6 - Chi tiết'!K155&amp;"|"&amp;'Lớp 6 - Chi tiết'!J155&amp;"|"&amp;'Lớp 6 - Chi tiết'!I155)</f>
        <v/>
      </c>
      <c r="V593" s="389" t="str">
        <f>IF('Lớp 6 - Chi tiết'!I155="","","           └─ "&amp;'Lớp 6 - Chi tiết'!S155)</f>
        <v/>
      </c>
      <c r="W593" s="389" t="str">
        <f>IF('Lớp 6 - Chi tiết'!I155="","",6)</f>
        <v/>
      </c>
      <c r="X593" s="67" t="str">
        <f>'Lớp 6 - Chi tiết'!I155</f>
        <v/>
      </c>
      <c r="Y593" s="389" t="str">
        <f>'Lớp 6 - Chi tiết'!J155</f>
        <v/>
      </c>
      <c r="Z593" s="67" t="str">
        <f>'Lớp 6 - Chi tiết'!AC155</f>
        <v/>
      </c>
      <c r="AA593" s="67" t="str">
        <f>'Lớp 6 - Chi tiết'!AB155</f>
        <v/>
      </c>
      <c r="AB593" s="67" t="str">
        <f>'Lớp 6 - Chi tiết'!AF155</f>
        <v/>
      </c>
      <c r="AC593" s="67" t="str">
        <f>'Lớp 6 - Chi tiết'!AE155</f>
        <v/>
      </c>
      <c r="AD593" s="398" t="str">
        <f>'Lớp 6 - Chi tiết'!AJ155</f>
        <v/>
      </c>
      <c r="AE593" s="358" t="str">
        <f>'Lớp 6 - Chi tiết'!AH155</f>
        <v/>
      </c>
      <c r="AF593" s="187" t="str">
        <f>'Lớp 6 - Chi tiết'!AK155</f>
        <v/>
      </c>
      <c r="AG593" s="104" t="str">
        <f>'Lớp 6 - Chi tiết'!AL155</f>
        <v/>
      </c>
      <c r="AH593" s="389" t="str">
        <f t="shared" si="27"/>
        <v/>
      </c>
      <c r="AI593" s="389" t="str">
        <f t="shared" si="37"/>
        <v>🔵 Chưa có hạn</v>
      </c>
      <c r="AJ593" s="67" t="str">
        <f>'Lớp 6 - Chi tiết'!AO155</f>
        <v/>
      </c>
      <c r="AS593" s="389" t="str">
        <f t="shared" si="467"/>
        <v/>
      </c>
      <c r="AT593" s="389" t="str">
        <f t="shared" si="32"/>
        <v/>
      </c>
      <c r="AU593" s="389" t="str">
        <f t="shared" si="33"/>
        <v/>
      </c>
      <c r="AV593" s="389" t="str">
        <f t="shared" si="34"/>
        <v/>
      </c>
      <c r="AW593" s="389" t="str">
        <f t="shared" si="35"/>
        <v/>
      </c>
      <c r="AX593" s="67" t="str">
        <f t="shared" ref="AX593:BH593" si="608">Z593</f>
        <v/>
      </c>
      <c r="AY593" s="67" t="str">
        <f t="shared" si="608"/>
        <v/>
      </c>
      <c r="AZ593" s="67" t="str">
        <f t="shared" si="608"/>
        <v/>
      </c>
      <c r="BA593" s="67" t="str">
        <f t="shared" si="608"/>
        <v/>
      </c>
      <c r="BB593" s="398" t="str">
        <f t="shared" si="608"/>
        <v/>
      </c>
      <c r="BC593" s="358" t="str">
        <f t="shared" si="608"/>
        <v/>
      </c>
      <c r="BD593" s="187" t="str">
        <f t="shared" si="608"/>
        <v/>
      </c>
      <c r="BE593" s="104" t="str">
        <f t="shared" si="608"/>
        <v/>
      </c>
      <c r="BF593" s="389" t="str">
        <f t="shared" si="608"/>
        <v/>
      </c>
      <c r="BG593" s="389" t="str">
        <f t="shared" si="608"/>
        <v>🔵 Chưa có hạn</v>
      </c>
      <c r="BH593" s="67" t="str">
        <f t="shared" si="608"/>
        <v/>
      </c>
      <c r="BI593" s="389" t="str">
        <f t="array" ref="BI593">IF($X593="","",SWITCH($W593,3,IFERROR(INDEX('Lớp 3 - Công việc chính'!$AF$14:$AF$73,MATCH($X593,'Lớp 3 - Công việc chính'!$I$14:$I$73,0)),""),4,IFERROR(INDEX('Lớp 4 - Danh mục'!$AI$14:$AI$132,MATCH($X593,'Lớp 4 - Danh mục'!$I$14:$I$132,0)),""),5,IFERROR(INDEX('Lớp 5 - Phân công'!$AJ$14:$AJ$262,MATCH($X593,'Lớp 5 - Phân công'!$I$14:$I$262,0)),""),6,IFERROR(INDEX('Lớp 6 - Chi tiết'!$AM$14:$AM$267,MATCH($X593,'Lớp 6 - Chi tiết'!$I$14:$I$267,0)),""),""))</f>
        <v/>
      </c>
      <c r="BJ593" s="389" t="str">
        <f t="array" ref="BJ593">IF($X593="","",SWITCH($W593,3,IFERROR(INDEX('Lớp 3 - Công việc chính'!$AR$14:$AR$73,MATCH($X593,'Lớp 3 - Công việc chính'!$I$14:$I$73,0)),""),4,IFERROR(INDEX('Lớp 4 - Danh mục'!$AU$14:$AU$132,MATCH($X593,'Lớp 4 - Danh mục'!$I$14:$I$132,0)),""),5,IFERROR(INDEX('Lớp 5 - Phân công'!$AV$14:$AV$262,MATCH($X593,'Lớp 5 - Phân công'!$I$14:$I$262,0)),""),6,IFERROR(INDEX('Lớp 6 - Chi tiết'!$AY$14:$AY$267,MATCH($X593,'Lớp 6 - Chi tiết'!$I$14:$I$267,0)),""),""))</f>
        <v/>
      </c>
    </row>
    <row r="594" ht="15.75" customHeight="1">
      <c r="A594" s="294" t="str">
        <f t="shared" si="12"/>
        <v/>
      </c>
      <c r="B594" s="301" t="str">
        <f t="shared" si="13"/>
        <v/>
      </c>
      <c r="C594" s="301" t="str">
        <f t="shared" si="14"/>
        <v/>
      </c>
      <c r="D594" s="301" t="str">
        <f t="shared" si="15"/>
        <v/>
      </c>
      <c r="E594" s="301" t="str">
        <f t="shared" si="16"/>
        <v/>
      </c>
      <c r="F594" s="317" t="str">
        <f t="shared" si="17"/>
        <v/>
      </c>
      <c r="G594" s="323" t="str">
        <f t="shared" si="18"/>
        <v/>
      </c>
      <c r="H594" s="327" t="str">
        <f t="shared" si="19"/>
        <v/>
      </c>
      <c r="I594" s="327" t="str">
        <f t="shared" si="20"/>
        <v/>
      </c>
      <c r="J594" s="301" t="str">
        <f t="shared" si="21"/>
        <v/>
      </c>
      <c r="K594" s="301" t="str">
        <f t="shared" si="22"/>
        <v/>
      </c>
      <c r="L594" s="344" t="str">
        <f t="array" ref="L594">IF($T594="","",LET(m,MATCH($T594,$AS$24:$AS$700,0),lvl,INDEX($W$24:$W$700,m),id,INDEX($X$24:$X$700,m),SWITCH(lvl,3,"Lớp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4" s="351" t="str">
        <f t="shared" si="23"/>
        <v/>
      </c>
      <c r="N594" s="356" t="str">
        <f t="shared" si="24"/>
        <v/>
      </c>
      <c r="O594" s="358"/>
      <c r="P594" s="360"/>
      <c r="Q594" s="360"/>
      <c r="R594" s="67"/>
      <c r="S594" s="67"/>
      <c r="T594" s="67"/>
      <c r="U594" s="389" t="str">
        <f>IF('Lớp 6 - Chi tiết'!I156="","",'Lớp 6 - Chi tiết'!L156&amp;"|"&amp;'Lớp 6 - Chi tiết'!K156&amp;"|"&amp;'Lớp 6 - Chi tiết'!J156&amp;"|"&amp;'Lớp 6 - Chi tiết'!I156)</f>
        <v/>
      </c>
      <c r="V594" s="389" t="str">
        <f>IF('Lớp 6 - Chi tiết'!I156="","","           └─ "&amp;'Lớp 6 - Chi tiết'!S156)</f>
        <v/>
      </c>
      <c r="W594" s="389" t="str">
        <f>IF('Lớp 6 - Chi tiết'!I156="","",6)</f>
        <v/>
      </c>
      <c r="X594" s="67" t="str">
        <f>'Lớp 6 - Chi tiết'!I156</f>
        <v/>
      </c>
      <c r="Y594" s="389" t="str">
        <f>'Lớp 6 - Chi tiết'!J156</f>
        <v/>
      </c>
      <c r="Z594" s="67" t="str">
        <f>'Lớp 6 - Chi tiết'!AC156</f>
        <v/>
      </c>
      <c r="AA594" s="67" t="str">
        <f>'Lớp 6 - Chi tiết'!AB156</f>
        <v/>
      </c>
      <c r="AB594" s="67" t="str">
        <f>'Lớp 6 - Chi tiết'!AF156</f>
        <v/>
      </c>
      <c r="AC594" s="67" t="str">
        <f>'Lớp 6 - Chi tiết'!AE156</f>
        <v/>
      </c>
      <c r="AD594" s="398" t="str">
        <f>'Lớp 6 - Chi tiết'!AJ156</f>
        <v/>
      </c>
      <c r="AE594" s="358" t="str">
        <f>'Lớp 6 - Chi tiết'!AH156</f>
        <v/>
      </c>
      <c r="AF594" s="187" t="str">
        <f>'Lớp 6 - Chi tiết'!AK156</f>
        <v/>
      </c>
      <c r="AG594" s="104" t="str">
        <f>'Lớp 6 - Chi tiết'!AL156</f>
        <v/>
      </c>
      <c r="AH594" s="389" t="str">
        <f t="shared" si="27"/>
        <v/>
      </c>
      <c r="AI594" s="389" t="str">
        <f t="shared" si="37"/>
        <v>🔵 Chưa có hạn</v>
      </c>
      <c r="AJ594" s="67" t="str">
        <f>'Lớp 6 - Chi tiết'!AO156</f>
        <v/>
      </c>
      <c r="AS594" s="389" t="str">
        <f t="shared" si="467"/>
        <v/>
      </c>
      <c r="AT594" s="389" t="str">
        <f t="shared" si="32"/>
        <v/>
      </c>
      <c r="AU594" s="389" t="str">
        <f t="shared" si="33"/>
        <v/>
      </c>
      <c r="AV594" s="389" t="str">
        <f t="shared" si="34"/>
        <v/>
      </c>
      <c r="AW594" s="389" t="str">
        <f t="shared" si="35"/>
        <v/>
      </c>
      <c r="AX594" s="67" t="str">
        <f t="shared" ref="AX594:BH594" si="609">Z594</f>
        <v/>
      </c>
      <c r="AY594" s="67" t="str">
        <f t="shared" si="609"/>
        <v/>
      </c>
      <c r="AZ594" s="67" t="str">
        <f t="shared" si="609"/>
        <v/>
      </c>
      <c r="BA594" s="67" t="str">
        <f t="shared" si="609"/>
        <v/>
      </c>
      <c r="BB594" s="398" t="str">
        <f t="shared" si="609"/>
        <v/>
      </c>
      <c r="BC594" s="358" t="str">
        <f t="shared" si="609"/>
        <v/>
      </c>
      <c r="BD594" s="187" t="str">
        <f t="shared" si="609"/>
        <v/>
      </c>
      <c r="BE594" s="104" t="str">
        <f t="shared" si="609"/>
        <v/>
      </c>
      <c r="BF594" s="389" t="str">
        <f t="shared" si="609"/>
        <v/>
      </c>
      <c r="BG594" s="389" t="str">
        <f t="shared" si="609"/>
        <v>🔵 Chưa có hạn</v>
      </c>
      <c r="BH594" s="67" t="str">
        <f t="shared" si="609"/>
        <v/>
      </c>
      <c r="BI594" s="389" t="str">
        <f t="array" ref="BI594">IF($X594="","",SWITCH($W594,3,IFERROR(INDEX('Lớp 3 - Công việc chính'!$AF$14:$AF$73,MATCH($X594,'Lớp 3 - Công việc chính'!$I$14:$I$73,0)),""),4,IFERROR(INDEX('Lớp 4 - Danh mục'!$AI$14:$AI$132,MATCH($X594,'Lớp 4 - Danh mục'!$I$14:$I$132,0)),""),5,IFERROR(INDEX('Lớp 5 - Phân công'!$AJ$14:$AJ$262,MATCH($X594,'Lớp 5 - Phân công'!$I$14:$I$262,0)),""),6,IFERROR(INDEX('Lớp 6 - Chi tiết'!$AM$14:$AM$267,MATCH($X594,'Lớp 6 - Chi tiết'!$I$14:$I$267,0)),""),""))</f>
        <v/>
      </c>
      <c r="BJ594" s="389" t="str">
        <f t="array" ref="BJ594">IF($X594="","",SWITCH($W594,3,IFERROR(INDEX('Lớp 3 - Công việc chính'!$AR$14:$AR$73,MATCH($X594,'Lớp 3 - Công việc chính'!$I$14:$I$73,0)),""),4,IFERROR(INDEX('Lớp 4 - Danh mục'!$AU$14:$AU$132,MATCH($X594,'Lớp 4 - Danh mục'!$I$14:$I$132,0)),""),5,IFERROR(INDEX('Lớp 5 - Phân công'!$AV$14:$AV$262,MATCH($X594,'Lớp 5 - Phân công'!$I$14:$I$262,0)),""),6,IFERROR(INDEX('Lớp 6 - Chi tiết'!$AY$14:$AY$267,MATCH($X594,'Lớp 6 - Chi tiết'!$I$14:$I$267,0)),""),""))</f>
        <v/>
      </c>
    </row>
    <row r="595" ht="15.75" customHeight="1">
      <c r="A595" s="294" t="str">
        <f t="shared" si="12"/>
        <v/>
      </c>
      <c r="B595" s="301" t="str">
        <f t="shared" si="13"/>
        <v/>
      </c>
      <c r="C595" s="301" t="str">
        <f t="shared" si="14"/>
        <v/>
      </c>
      <c r="D595" s="301" t="str">
        <f t="shared" si="15"/>
        <v/>
      </c>
      <c r="E595" s="301" t="str">
        <f t="shared" si="16"/>
        <v/>
      </c>
      <c r="F595" s="317" t="str">
        <f t="shared" si="17"/>
        <v/>
      </c>
      <c r="G595" s="323" t="str">
        <f t="shared" si="18"/>
        <v/>
      </c>
      <c r="H595" s="327" t="str">
        <f t="shared" si="19"/>
        <v/>
      </c>
      <c r="I595" s="327" t="str">
        <f t="shared" si="20"/>
        <v/>
      </c>
      <c r="J595" s="301" t="str">
        <f t="shared" si="21"/>
        <v/>
      </c>
      <c r="K595" s="301" t="str">
        <f t="shared" si="22"/>
        <v/>
      </c>
      <c r="L595" s="344" t="str">
        <f t="array" ref="L595">IF($T595="","",LET(m,MATCH($T595,$AS$24:$AS$700,0),lvl,INDEX($W$24:$W$700,m),id,INDEX($X$24:$X$700,m),SWITCH(lvl,3,"Lớp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5" s="351" t="str">
        <f t="shared" si="23"/>
        <v/>
      </c>
      <c r="N595" s="356" t="str">
        <f t="shared" si="24"/>
        <v/>
      </c>
      <c r="O595" s="358"/>
      <c r="P595" s="360"/>
      <c r="Q595" s="360"/>
      <c r="R595" s="67"/>
      <c r="S595" s="67"/>
      <c r="T595" s="67"/>
      <c r="U595" s="389" t="str">
        <f>IF('Lớp 6 - Chi tiết'!I157="","",'Lớp 6 - Chi tiết'!L157&amp;"|"&amp;'Lớp 6 - Chi tiết'!K157&amp;"|"&amp;'Lớp 6 - Chi tiết'!J157&amp;"|"&amp;'Lớp 6 - Chi tiết'!I157)</f>
        <v/>
      </c>
      <c r="V595" s="389" t="str">
        <f>IF('Lớp 6 - Chi tiết'!I157="","","           └─ "&amp;'Lớp 6 - Chi tiết'!S157)</f>
        <v/>
      </c>
      <c r="W595" s="389" t="str">
        <f>IF('Lớp 6 - Chi tiết'!I157="","",6)</f>
        <v/>
      </c>
      <c r="X595" s="67" t="str">
        <f>'Lớp 6 - Chi tiết'!I157</f>
        <v/>
      </c>
      <c r="Y595" s="389" t="str">
        <f>'Lớp 6 - Chi tiết'!J157</f>
        <v/>
      </c>
      <c r="Z595" s="67" t="str">
        <f>'Lớp 6 - Chi tiết'!AC157</f>
        <v/>
      </c>
      <c r="AA595" s="67" t="str">
        <f>'Lớp 6 - Chi tiết'!AB157</f>
        <v/>
      </c>
      <c r="AB595" s="67" t="str">
        <f>'Lớp 6 - Chi tiết'!AF157</f>
        <v/>
      </c>
      <c r="AC595" s="67" t="str">
        <f>'Lớp 6 - Chi tiết'!AE157</f>
        <v/>
      </c>
      <c r="AD595" s="398" t="str">
        <f>'Lớp 6 - Chi tiết'!AJ157</f>
        <v/>
      </c>
      <c r="AE595" s="358" t="str">
        <f>'Lớp 6 - Chi tiết'!AH157</f>
        <v/>
      </c>
      <c r="AF595" s="187" t="str">
        <f>'Lớp 6 - Chi tiết'!AK157</f>
        <v/>
      </c>
      <c r="AG595" s="104" t="str">
        <f>'Lớp 6 - Chi tiết'!AL157</f>
        <v/>
      </c>
      <c r="AH595" s="389" t="str">
        <f t="shared" si="27"/>
        <v/>
      </c>
      <c r="AI595" s="389" t="str">
        <f t="shared" si="37"/>
        <v>🔵 Chưa có hạn</v>
      </c>
      <c r="AJ595" s="67" t="str">
        <f>'Lớp 6 - Chi tiết'!AO157</f>
        <v/>
      </c>
      <c r="AS595" s="389" t="str">
        <f t="shared" si="467"/>
        <v/>
      </c>
      <c r="AT595" s="389" t="str">
        <f t="shared" si="32"/>
        <v/>
      </c>
      <c r="AU595" s="389" t="str">
        <f t="shared" si="33"/>
        <v/>
      </c>
      <c r="AV595" s="389" t="str">
        <f t="shared" si="34"/>
        <v/>
      </c>
      <c r="AW595" s="389" t="str">
        <f t="shared" si="35"/>
        <v/>
      </c>
      <c r="AX595" s="67" t="str">
        <f t="shared" ref="AX595:BH595" si="610">Z595</f>
        <v/>
      </c>
      <c r="AY595" s="67" t="str">
        <f t="shared" si="610"/>
        <v/>
      </c>
      <c r="AZ595" s="67" t="str">
        <f t="shared" si="610"/>
        <v/>
      </c>
      <c r="BA595" s="67" t="str">
        <f t="shared" si="610"/>
        <v/>
      </c>
      <c r="BB595" s="398" t="str">
        <f t="shared" si="610"/>
        <v/>
      </c>
      <c r="BC595" s="358" t="str">
        <f t="shared" si="610"/>
        <v/>
      </c>
      <c r="BD595" s="187" t="str">
        <f t="shared" si="610"/>
        <v/>
      </c>
      <c r="BE595" s="104" t="str">
        <f t="shared" si="610"/>
        <v/>
      </c>
      <c r="BF595" s="389" t="str">
        <f t="shared" si="610"/>
        <v/>
      </c>
      <c r="BG595" s="389" t="str">
        <f t="shared" si="610"/>
        <v>🔵 Chưa có hạn</v>
      </c>
      <c r="BH595" s="67" t="str">
        <f t="shared" si="610"/>
        <v/>
      </c>
      <c r="BI595" s="389" t="str">
        <f t="array" ref="BI595">IF($X595="","",SWITCH($W595,3,IFERROR(INDEX('Lớp 3 - Công việc chính'!$AF$14:$AF$73,MATCH($X595,'Lớp 3 - Công việc chính'!$I$14:$I$73,0)),""),4,IFERROR(INDEX('Lớp 4 - Danh mục'!$AI$14:$AI$132,MATCH($X595,'Lớp 4 - Danh mục'!$I$14:$I$132,0)),""),5,IFERROR(INDEX('Lớp 5 - Phân công'!$AJ$14:$AJ$262,MATCH($X595,'Lớp 5 - Phân công'!$I$14:$I$262,0)),""),6,IFERROR(INDEX('Lớp 6 - Chi tiết'!$AM$14:$AM$267,MATCH($X595,'Lớp 6 - Chi tiết'!$I$14:$I$267,0)),""),""))</f>
        <v/>
      </c>
      <c r="BJ595" s="389" t="str">
        <f t="array" ref="BJ595">IF($X595="","",SWITCH($W595,3,IFERROR(INDEX('Lớp 3 - Công việc chính'!$AR$14:$AR$73,MATCH($X595,'Lớp 3 - Công việc chính'!$I$14:$I$73,0)),""),4,IFERROR(INDEX('Lớp 4 - Danh mục'!$AU$14:$AU$132,MATCH($X595,'Lớp 4 - Danh mục'!$I$14:$I$132,0)),""),5,IFERROR(INDEX('Lớp 5 - Phân công'!$AV$14:$AV$262,MATCH($X595,'Lớp 5 - Phân công'!$I$14:$I$262,0)),""),6,IFERROR(INDEX('Lớp 6 - Chi tiết'!$AY$14:$AY$267,MATCH($X595,'Lớp 6 - Chi tiết'!$I$14:$I$267,0)),""),""))</f>
        <v/>
      </c>
    </row>
    <row r="596" ht="15.75" customHeight="1">
      <c r="A596" s="294" t="str">
        <f t="shared" si="12"/>
        <v/>
      </c>
      <c r="B596" s="301" t="str">
        <f t="shared" si="13"/>
        <v/>
      </c>
      <c r="C596" s="301" t="str">
        <f t="shared" si="14"/>
        <v/>
      </c>
      <c r="D596" s="301" t="str">
        <f t="shared" si="15"/>
        <v/>
      </c>
      <c r="E596" s="301" t="str">
        <f t="shared" si="16"/>
        <v/>
      </c>
      <c r="F596" s="317" t="str">
        <f t="shared" si="17"/>
        <v/>
      </c>
      <c r="G596" s="323" t="str">
        <f t="shared" si="18"/>
        <v/>
      </c>
      <c r="H596" s="327" t="str">
        <f t="shared" si="19"/>
        <v/>
      </c>
      <c r="I596" s="327" t="str">
        <f t="shared" si="20"/>
        <v/>
      </c>
      <c r="J596" s="301" t="str">
        <f t="shared" si="21"/>
        <v/>
      </c>
      <c r="K596" s="301" t="str">
        <f t="shared" si="22"/>
        <v/>
      </c>
      <c r="L596" s="344" t="str">
        <f t="array" ref="L596">IF($T596="","",LET(m,MATCH($T596,$AS$24:$AS$700,0),lvl,INDEX($W$24:$W$700,m),id,INDEX($X$24:$X$700,m),SWITCH(lvl,3,"Lớp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6" s="351" t="str">
        <f t="shared" si="23"/>
        <v/>
      </c>
      <c r="N596" s="356" t="str">
        <f t="shared" si="24"/>
        <v/>
      </c>
      <c r="O596" s="358"/>
      <c r="P596" s="360"/>
      <c r="Q596" s="360"/>
      <c r="R596" s="67"/>
      <c r="S596" s="67"/>
      <c r="T596" s="67"/>
      <c r="U596" s="389" t="str">
        <f>IF('Lớp 6 - Chi tiết'!I158="","",'Lớp 6 - Chi tiết'!L158&amp;"|"&amp;'Lớp 6 - Chi tiết'!K158&amp;"|"&amp;'Lớp 6 - Chi tiết'!J158&amp;"|"&amp;'Lớp 6 - Chi tiết'!I158)</f>
        <v/>
      </c>
      <c r="V596" s="389" t="str">
        <f>IF('Lớp 6 - Chi tiết'!I158="","","           └─ "&amp;'Lớp 6 - Chi tiết'!S158)</f>
        <v/>
      </c>
      <c r="W596" s="389" t="str">
        <f>IF('Lớp 6 - Chi tiết'!I158="","",6)</f>
        <v/>
      </c>
      <c r="X596" s="67" t="str">
        <f>'Lớp 6 - Chi tiết'!I158</f>
        <v/>
      </c>
      <c r="Y596" s="389" t="str">
        <f>'Lớp 6 - Chi tiết'!J158</f>
        <v/>
      </c>
      <c r="Z596" s="67" t="str">
        <f>'Lớp 6 - Chi tiết'!AC158</f>
        <v/>
      </c>
      <c r="AA596" s="67" t="str">
        <f>'Lớp 6 - Chi tiết'!AB158</f>
        <v/>
      </c>
      <c r="AB596" s="67" t="str">
        <f>'Lớp 6 - Chi tiết'!AF158</f>
        <v/>
      </c>
      <c r="AC596" s="67" t="str">
        <f>'Lớp 6 - Chi tiết'!AE158</f>
        <v/>
      </c>
      <c r="AD596" s="398" t="str">
        <f>'Lớp 6 - Chi tiết'!AJ158</f>
        <v/>
      </c>
      <c r="AE596" s="358" t="str">
        <f>'Lớp 6 - Chi tiết'!AH158</f>
        <v/>
      </c>
      <c r="AF596" s="187" t="str">
        <f>'Lớp 6 - Chi tiết'!AK158</f>
        <v/>
      </c>
      <c r="AG596" s="104" t="str">
        <f>'Lớp 6 - Chi tiết'!AL158</f>
        <v/>
      </c>
      <c r="AH596" s="389" t="str">
        <f t="shared" si="27"/>
        <v/>
      </c>
      <c r="AI596" s="389" t="str">
        <f t="shared" si="37"/>
        <v>🔵 Chưa có hạn</v>
      </c>
      <c r="AJ596" s="67" t="str">
        <f>'Lớp 6 - Chi tiết'!AO158</f>
        <v/>
      </c>
      <c r="AS596" s="389" t="str">
        <f t="shared" si="467"/>
        <v/>
      </c>
      <c r="AT596" s="389" t="str">
        <f t="shared" si="32"/>
        <v/>
      </c>
      <c r="AU596" s="389" t="str">
        <f t="shared" si="33"/>
        <v/>
      </c>
      <c r="AV596" s="389" t="str">
        <f t="shared" si="34"/>
        <v/>
      </c>
      <c r="AW596" s="389" t="str">
        <f t="shared" si="35"/>
        <v/>
      </c>
      <c r="AX596" s="67" t="str">
        <f t="shared" ref="AX596:BH596" si="611">Z596</f>
        <v/>
      </c>
      <c r="AY596" s="67" t="str">
        <f t="shared" si="611"/>
        <v/>
      </c>
      <c r="AZ596" s="67" t="str">
        <f t="shared" si="611"/>
        <v/>
      </c>
      <c r="BA596" s="67" t="str">
        <f t="shared" si="611"/>
        <v/>
      </c>
      <c r="BB596" s="398" t="str">
        <f t="shared" si="611"/>
        <v/>
      </c>
      <c r="BC596" s="358" t="str">
        <f t="shared" si="611"/>
        <v/>
      </c>
      <c r="BD596" s="187" t="str">
        <f t="shared" si="611"/>
        <v/>
      </c>
      <c r="BE596" s="104" t="str">
        <f t="shared" si="611"/>
        <v/>
      </c>
      <c r="BF596" s="389" t="str">
        <f t="shared" si="611"/>
        <v/>
      </c>
      <c r="BG596" s="389" t="str">
        <f t="shared" si="611"/>
        <v>🔵 Chưa có hạn</v>
      </c>
      <c r="BH596" s="67" t="str">
        <f t="shared" si="611"/>
        <v/>
      </c>
      <c r="BI596" s="389" t="str">
        <f t="array" ref="BI596">IF($X596="","",SWITCH($W596,3,IFERROR(INDEX('Lớp 3 - Công việc chính'!$AF$14:$AF$73,MATCH($X596,'Lớp 3 - Công việc chính'!$I$14:$I$73,0)),""),4,IFERROR(INDEX('Lớp 4 - Danh mục'!$AI$14:$AI$132,MATCH($X596,'Lớp 4 - Danh mục'!$I$14:$I$132,0)),""),5,IFERROR(INDEX('Lớp 5 - Phân công'!$AJ$14:$AJ$262,MATCH($X596,'Lớp 5 - Phân công'!$I$14:$I$262,0)),""),6,IFERROR(INDEX('Lớp 6 - Chi tiết'!$AM$14:$AM$267,MATCH($X596,'Lớp 6 - Chi tiết'!$I$14:$I$267,0)),""),""))</f>
        <v/>
      </c>
      <c r="BJ596" s="389" t="str">
        <f t="array" ref="BJ596">IF($X596="","",SWITCH($W596,3,IFERROR(INDEX('Lớp 3 - Công việc chính'!$AR$14:$AR$73,MATCH($X596,'Lớp 3 - Công việc chính'!$I$14:$I$73,0)),""),4,IFERROR(INDEX('Lớp 4 - Danh mục'!$AU$14:$AU$132,MATCH($X596,'Lớp 4 - Danh mục'!$I$14:$I$132,0)),""),5,IFERROR(INDEX('Lớp 5 - Phân công'!$AV$14:$AV$262,MATCH($X596,'Lớp 5 - Phân công'!$I$14:$I$262,0)),""),6,IFERROR(INDEX('Lớp 6 - Chi tiết'!$AY$14:$AY$267,MATCH($X596,'Lớp 6 - Chi tiết'!$I$14:$I$267,0)),""),""))</f>
        <v/>
      </c>
    </row>
    <row r="597" ht="15.75" customHeight="1">
      <c r="A597" s="294" t="str">
        <f t="shared" si="12"/>
        <v/>
      </c>
      <c r="B597" s="301" t="str">
        <f t="shared" si="13"/>
        <v/>
      </c>
      <c r="C597" s="301" t="str">
        <f t="shared" si="14"/>
        <v/>
      </c>
      <c r="D597" s="301" t="str">
        <f t="shared" si="15"/>
        <v/>
      </c>
      <c r="E597" s="301" t="str">
        <f t="shared" si="16"/>
        <v/>
      </c>
      <c r="F597" s="317" t="str">
        <f t="shared" si="17"/>
        <v/>
      </c>
      <c r="G597" s="323" t="str">
        <f t="shared" si="18"/>
        <v/>
      </c>
      <c r="H597" s="327" t="str">
        <f t="shared" si="19"/>
        <v/>
      </c>
      <c r="I597" s="327" t="str">
        <f t="shared" si="20"/>
        <v/>
      </c>
      <c r="J597" s="301" t="str">
        <f t="shared" si="21"/>
        <v/>
      </c>
      <c r="K597" s="301" t="str">
        <f t="shared" si="22"/>
        <v/>
      </c>
      <c r="L597" s="344" t="str">
        <f t="array" ref="L597">IF($T597="","",LET(m,MATCH($T597,$AS$24:$AS$700,0),lvl,INDEX($W$24:$W$700,m),id,INDEX($X$24:$X$700,m),SWITCH(lvl,3,"Lớp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7" s="351" t="str">
        <f t="shared" si="23"/>
        <v/>
      </c>
      <c r="N597" s="356" t="str">
        <f t="shared" si="24"/>
        <v/>
      </c>
      <c r="O597" s="358"/>
      <c r="P597" s="360"/>
      <c r="Q597" s="360"/>
      <c r="R597" s="67"/>
      <c r="S597" s="67"/>
      <c r="T597" s="67"/>
      <c r="U597" s="389" t="str">
        <f>IF('Lớp 6 - Chi tiết'!I159="","",'Lớp 6 - Chi tiết'!L159&amp;"|"&amp;'Lớp 6 - Chi tiết'!K159&amp;"|"&amp;'Lớp 6 - Chi tiết'!J159&amp;"|"&amp;'Lớp 6 - Chi tiết'!I159)</f>
        <v/>
      </c>
      <c r="V597" s="389" t="str">
        <f>IF('Lớp 6 - Chi tiết'!I159="","","           └─ "&amp;'Lớp 6 - Chi tiết'!S159)</f>
        <v/>
      </c>
      <c r="W597" s="389" t="str">
        <f>IF('Lớp 6 - Chi tiết'!I159="","",6)</f>
        <v/>
      </c>
      <c r="X597" s="67" t="str">
        <f>'Lớp 6 - Chi tiết'!I159</f>
        <v/>
      </c>
      <c r="Y597" s="389" t="str">
        <f>'Lớp 6 - Chi tiết'!J159</f>
        <v/>
      </c>
      <c r="Z597" s="67" t="str">
        <f>'Lớp 6 - Chi tiết'!AC159</f>
        <v/>
      </c>
      <c r="AA597" s="67" t="str">
        <f>'Lớp 6 - Chi tiết'!AB159</f>
        <v/>
      </c>
      <c r="AB597" s="67" t="str">
        <f>'Lớp 6 - Chi tiết'!AF159</f>
        <v/>
      </c>
      <c r="AC597" s="67" t="str">
        <f>'Lớp 6 - Chi tiết'!AE159</f>
        <v/>
      </c>
      <c r="AD597" s="398" t="str">
        <f>'Lớp 6 - Chi tiết'!AJ159</f>
        <v/>
      </c>
      <c r="AE597" s="358" t="str">
        <f>'Lớp 6 - Chi tiết'!AH159</f>
        <v/>
      </c>
      <c r="AF597" s="187" t="str">
        <f>'Lớp 6 - Chi tiết'!AK159</f>
        <v/>
      </c>
      <c r="AG597" s="104" t="str">
        <f>'Lớp 6 - Chi tiết'!AL159</f>
        <v/>
      </c>
      <c r="AH597" s="389" t="str">
        <f t="shared" si="27"/>
        <v/>
      </c>
      <c r="AI597" s="389" t="str">
        <f t="shared" si="37"/>
        <v>🔵 Chưa có hạn</v>
      </c>
      <c r="AJ597" s="67" t="str">
        <f>'Lớp 6 - Chi tiết'!AO159</f>
        <v/>
      </c>
      <c r="AS597" s="389" t="str">
        <f t="shared" si="467"/>
        <v/>
      </c>
      <c r="AT597" s="389" t="str">
        <f t="shared" si="32"/>
        <v/>
      </c>
      <c r="AU597" s="389" t="str">
        <f t="shared" si="33"/>
        <v/>
      </c>
      <c r="AV597" s="389" t="str">
        <f t="shared" si="34"/>
        <v/>
      </c>
      <c r="AW597" s="389" t="str">
        <f t="shared" si="35"/>
        <v/>
      </c>
      <c r="AX597" s="67" t="str">
        <f t="shared" ref="AX597:BH597" si="612">Z597</f>
        <v/>
      </c>
      <c r="AY597" s="67" t="str">
        <f t="shared" si="612"/>
        <v/>
      </c>
      <c r="AZ597" s="67" t="str">
        <f t="shared" si="612"/>
        <v/>
      </c>
      <c r="BA597" s="67" t="str">
        <f t="shared" si="612"/>
        <v/>
      </c>
      <c r="BB597" s="398" t="str">
        <f t="shared" si="612"/>
        <v/>
      </c>
      <c r="BC597" s="358" t="str">
        <f t="shared" si="612"/>
        <v/>
      </c>
      <c r="BD597" s="187" t="str">
        <f t="shared" si="612"/>
        <v/>
      </c>
      <c r="BE597" s="104" t="str">
        <f t="shared" si="612"/>
        <v/>
      </c>
      <c r="BF597" s="389" t="str">
        <f t="shared" si="612"/>
        <v/>
      </c>
      <c r="BG597" s="389" t="str">
        <f t="shared" si="612"/>
        <v>🔵 Chưa có hạn</v>
      </c>
      <c r="BH597" s="67" t="str">
        <f t="shared" si="612"/>
        <v/>
      </c>
      <c r="BI597" s="389" t="str">
        <f t="array" ref="BI597">IF($X597="","",SWITCH($W597,3,IFERROR(INDEX('Lớp 3 - Công việc chính'!$AF$14:$AF$73,MATCH($X597,'Lớp 3 - Công việc chính'!$I$14:$I$73,0)),""),4,IFERROR(INDEX('Lớp 4 - Danh mục'!$AI$14:$AI$132,MATCH($X597,'Lớp 4 - Danh mục'!$I$14:$I$132,0)),""),5,IFERROR(INDEX('Lớp 5 - Phân công'!$AJ$14:$AJ$262,MATCH($X597,'Lớp 5 - Phân công'!$I$14:$I$262,0)),""),6,IFERROR(INDEX('Lớp 6 - Chi tiết'!$AM$14:$AM$267,MATCH($X597,'Lớp 6 - Chi tiết'!$I$14:$I$267,0)),""),""))</f>
        <v/>
      </c>
      <c r="BJ597" s="389" t="str">
        <f t="array" ref="BJ597">IF($X597="","",SWITCH($W597,3,IFERROR(INDEX('Lớp 3 - Công việc chính'!$AR$14:$AR$73,MATCH($X597,'Lớp 3 - Công việc chính'!$I$14:$I$73,0)),""),4,IFERROR(INDEX('Lớp 4 - Danh mục'!$AU$14:$AU$132,MATCH($X597,'Lớp 4 - Danh mục'!$I$14:$I$132,0)),""),5,IFERROR(INDEX('Lớp 5 - Phân công'!$AV$14:$AV$262,MATCH($X597,'Lớp 5 - Phân công'!$I$14:$I$262,0)),""),6,IFERROR(INDEX('Lớp 6 - Chi tiết'!$AY$14:$AY$267,MATCH($X597,'Lớp 6 - Chi tiết'!$I$14:$I$267,0)),""),""))</f>
        <v/>
      </c>
    </row>
    <row r="598" ht="15.75" customHeight="1">
      <c r="A598" s="294" t="str">
        <f t="shared" si="12"/>
        <v/>
      </c>
      <c r="B598" s="301" t="str">
        <f t="shared" si="13"/>
        <v/>
      </c>
      <c r="C598" s="301" t="str">
        <f t="shared" si="14"/>
        <v/>
      </c>
      <c r="D598" s="301" t="str">
        <f t="shared" si="15"/>
        <v/>
      </c>
      <c r="E598" s="301" t="str">
        <f t="shared" si="16"/>
        <v/>
      </c>
      <c r="F598" s="317" t="str">
        <f t="shared" si="17"/>
        <v/>
      </c>
      <c r="G598" s="323" t="str">
        <f t="shared" si="18"/>
        <v/>
      </c>
      <c r="H598" s="327" t="str">
        <f t="shared" si="19"/>
        <v/>
      </c>
      <c r="I598" s="327" t="str">
        <f t="shared" si="20"/>
        <v/>
      </c>
      <c r="J598" s="301" t="str">
        <f t="shared" si="21"/>
        <v/>
      </c>
      <c r="K598" s="301" t="str">
        <f t="shared" si="22"/>
        <v/>
      </c>
      <c r="L598" s="344" t="str">
        <f t="array" ref="L598">IF($T598="","",LET(m,MATCH($T598,$AS$24:$AS$700,0),lvl,INDEX($W$24:$W$700,m),id,INDEX($X$24:$X$700,m),SWITCH(lvl,3,"Lớp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8" s="351" t="str">
        <f t="shared" si="23"/>
        <v/>
      </c>
      <c r="N598" s="356" t="str">
        <f t="shared" si="24"/>
        <v/>
      </c>
      <c r="O598" s="358"/>
      <c r="P598" s="360"/>
      <c r="Q598" s="360"/>
      <c r="R598" s="67"/>
      <c r="S598" s="67"/>
      <c r="T598" s="67"/>
      <c r="U598" s="389" t="str">
        <f>IF('Lớp 6 - Chi tiết'!I160="","",'Lớp 6 - Chi tiết'!L160&amp;"|"&amp;'Lớp 6 - Chi tiết'!K160&amp;"|"&amp;'Lớp 6 - Chi tiết'!J160&amp;"|"&amp;'Lớp 6 - Chi tiết'!I160)</f>
        <v/>
      </c>
      <c r="V598" s="389" t="str">
        <f>IF('Lớp 6 - Chi tiết'!I160="","","           └─ "&amp;'Lớp 6 - Chi tiết'!S160)</f>
        <v/>
      </c>
      <c r="W598" s="389" t="str">
        <f>IF('Lớp 6 - Chi tiết'!I160="","",6)</f>
        <v/>
      </c>
      <c r="X598" s="67" t="str">
        <f>'Lớp 6 - Chi tiết'!I160</f>
        <v/>
      </c>
      <c r="Y598" s="389" t="str">
        <f>'Lớp 6 - Chi tiết'!J160</f>
        <v/>
      </c>
      <c r="Z598" s="67" t="str">
        <f>'Lớp 6 - Chi tiết'!AC160</f>
        <v/>
      </c>
      <c r="AA598" s="67" t="str">
        <f>'Lớp 6 - Chi tiết'!AB160</f>
        <v/>
      </c>
      <c r="AB598" s="67" t="str">
        <f>'Lớp 6 - Chi tiết'!AF160</f>
        <v/>
      </c>
      <c r="AC598" s="67" t="str">
        <f>'Lớp 6 - Chi tiết'!AE160</f>
        <v/>
      </c>
      <c r="AD598" s="398" t="str">
        <f>'Lớp 6 - Chi tiết'!AJ160</f>
        <v/>
      </c>
      <c r="AE598" s="358" t="str">
        <f>'Lớp 6 - Chi tiết'!AH160</f>
        <v/>
      </c>
      <c r="AF598" s="187" t="str">
        <f>'Lớp 6 - Chi tiết'!AK160</f>
        <v/>
      </c>
      <c r="AG598" s="104" t="str">
        <f>'Lớp 6 - Chi tiết'!AL160</f>
        <v/>
      </c>
      <c r="AH598" s="389" t="str">
        <f t="shared" si="27"/>
        <v/>
      </c>
      <c r="AI598" s="389" t="str">
        <f t="shared" si="37"/>
        <v>🔵 Chưa có hạn</v>
      </c>
      <c r="AJ598" s="67" t="str">
        <f>'Lớp 6 - Chi tiết'!AO160</f>
        <v/>
      </c>
      <c r="AS598" s="389" t="str">
        <f t="shared" si="467"/>
        <v/>
      </c>
      <c r="AT598" s="389" t="str">
        <f t="shared" si="32"/>
        <v/>
      </c>
      <c r="AU598" s="389" t="str">
        <f t="shared" si="33"/>
        <v/>
      </c>
      <c r="AV598" s="389" t="str">
        <f t="shared" si="34"/>
        <v/>
      </c>
      <c r="AW598" s="389" t="str">
        <f t="shared" si="35"/>
        <v/>
      </c>
      <c r="AX598" s="67" t="str">
        <f t="shared" ref="AX598:BH598" si="613">Z598</f>
        <v/>
      </c>
      <c r="AY598" s="67" t="str">
        <f t="shared" si="613"/>
        <v/>
      </c>
      <c r="AZ598" s="67" t="str">
        <f t="shared" si="613"/>
        <v/>
      </c>
      <c r="BA598" s="67" t="str">
        <f t="shared" si="613"/>
        <v/>
      </c>
      <c r="BB598" s="398" t="str">
        <f t="shared" si="613"/>
        <v/>
      </c>
      <c r="BC598" s="358" t="str">
        <f t="shared" si="613"/>
        <v/>
      </c>
      <c r="BD598" s="187" t="str">
        <f t="shared" si="613"/>
        <v/>
      </c>
      <c r="BE598" s="104" t="str">
        <f t="shared" si="613"/>
        <v/>
      </c>
      <c r="BF598" s="389" t="str">
        <f t="shared" si="613"/>
        <v/>
      </c>
      <c r="BG598" s="389" t="str">
        <f t="shared" si="613"/>
        <v>🔵 Chưa có hạn</v>
      </c>
      <c r="BH598" s="67" t="str">
        <f t="shared" si="613"/>
        <v/>
      </c>
      <c r="BI598" s="389" t="str">
        <f t="array" ref="BI598">IF($X598="","",SWITCH($W598,3,IFERROR(INDEX('Lớp 3 - Công việc chính'!$AF$14:$AF$73,MATCH($X598,'Lớp 3 - Công việc chính'!$I$14:$I$73,0)),""),4,IFERROR(INDEX('Lớp 4 - Danh mục'!$AI$14:$AI$132,MATCH($X598,'Lớp 4 - Danh mục'!$I$14:$I$132,0)),""),5,IFERROR(INDEX('Lớp 5 - Phân công'!$AJ$14:$AJ$262,MATCH($X598,'Lớp 5 - Phân công'!$I$14:$I$262,0)),""),6,IFERROR(INDEX('Lớp 6 - Chi tiết'!$AM$14:$AM$267,MATCH($X598,'Lớp 6 - Chi tiết'!$I$14:$I$267,0)),""),""))</f>
        <v/>
      </c>
      <c r="BJ598" s="389" t="str">
        <f t="array" ref="BJ598">IF($X598="","",SWITCH($W598,3,IFERROR(INDEX('Lớp 3 - Công việc chính'!$AR$14:$AR$73,MATCH($X598,'Lớp 3 - Công việc chính'!$I$14:$I$73,0)),""),4,IFERROR(INDEX('Lớp 4 - Danh mục'!$AU$14:$AU$132,MATCH($X598,'Lớp 4 - Danh mục'!$I$14:$I$132,0)),""),5,IFERROR(INDEX('Lớp 5 - Phân công'!$AV$14:$AV$262,MATCH($X598,'Lớp 5 - Phân công'!$I$14:$I$262,0)),""),6,IFERROR(INDEX('Lớp 6 - Chi tiết'!$AY$14:$AY$267,MATCH($X598,'Lớp 6 - Chi tiết'!$I$14:$I$267,0)),""),""))</f>
        <v/>
      </c>
    </row>
    <row r="599" ht="15.75" customHeight="1">
      <c r="A599" s="294" t="str">
        <f t="shared" si="12"/>
        <v/>
      </c>
      <c r="B599" s="301" t="str">
        <f t="shared" si="13"/>
        <v/>
      </c>
      <c r="C599" s="301" t="str">
        <f t="shared" si="14"/>
        <v/>
      </c>
      <c r="D599" s="301" t="str">
        <f t="shared" si="15"/>
        <v/>
      </c>
      <c r="E599" s="301" t="str">
        <f t="shared" si="16"/>
        <v/>
      </c>
      <c r="F599" s="317" t="str">
        <f t="shared" si="17"/>
        <v/>
      </c>
      <c r="G599" s="323" t="str">
        <f t="shared" si="18"/>
        <v/>
      </c>
      <c r="H599" s="327" t="str">
        <f t="shared" si="19"/>
        <v/>
      </c>
      <c r="I599" s="327" t="str">
        <f t="shared" si="20"/>
        <v/>
      </c>
      <c r="J599" s="301" t="str">
        <f t="shared" si="21"/>
        <v/>
      </c>
      <c r="K599" s="301" t="str">
        <f t="shared" si="22"/>
        <v/>
      </c>
      <c r="L599" s="344" t="str">
        <f t="array" ref="L599">IF($T599="","",LET(m,MATCH($T599,$AS$24:$AS$700,0),lvl,INDEX($W$24:$W$700,m),id,INDEX($X$24:$X$700,m),SWITCH(lvl,3,"Lớp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599" s="351" t="str">
        <f t="shared" si="23"/>
        <v/>
      </c>
      <c r="N599" s="356" t="str">
        <f t="shared" si="24"/>
        <v/>
      </c>
      <c r="O599" s="358"/>
      <c r="P599" s="360"/>
      <c r="Q599" s="360"/>
      <c r="R599" s="67"/>
      <c r="S599" s="67"/>
      <c r="T599" s="67"/>
      <c r="U599" s="389" t="str">
        <f>IF('Lớp 6 - Chi tiết'!I161="","",'Lớp 6 - Chi tiết'!L161&amp;"|"&amp;'Lớp 6 - Chi tiết'!K161&amp;"|"&amp;'Lớp 6 - Chi tiết'!J161&amp;"|"&amp;'Lớp 6 - Chi tiết'!I161)</f>
        <v/>
      </c>
      <c r="V599" s="389" t="str">
        <f>IF('Lớp 6 - Chi tiết'!I161="","","           └─ "&amp;'Lớp 6 - Chi tiết'!S161)</f>
        <v/>
      </c>
      <c r="W599" s="389" t="str">
        <f>IF('Lớp 6 - Chi tiết'!I161="","",6)</f>
        <v/>
      </c>
      <c r="X599" s="67" t="str">
        <f>'Lớp 6 - Chi tiết'!I161</f>
        <v/>
      </c>
      <c r="Y599" s="389" t="str">
        <f>'Lớp 6 - Chi tiết'!J161</f>
        <v/>
      </c>
      <c r="Z599" s="67" t="str">
        <f>'Lớp 6 - Chi tiết'!AC161</f>
        <v/>
      </c>
      <c r="AA599" s="67" t="str">
        <f>'Lớp 6 - Chi tiết'!AB161</f>
        <v/>
      </c>
      <c r="AB599" s="67" t="str">
        <f>'Lớp 6 - Chi tiết'!AF161</f>
        <v/>
      </c>
      <c r="AC599" s="67" t="str">
        <f>'Lớp 6 - Chi tiết'!AE161</f>
        <v/>
      </c>
      <c r="AD599" s="398" t="str">
        <f>'Lớp 6 - Chi tiết'!AJ161</f>
        <v/>
      </c>
      <c r="AE599" s="358" t="str">
        <f>'Lớp 6 - Chi tiết'!AH161</f>
        <v/>
      </c>
      <c r="AF599" s="187" t="str">
        <f>'Lớp 6 - Chi tiết'!AK161</f>
        <v/>
      </c>
      <c r="AG599" s="104" t="str">
        <f>'Lớp 6 - Chi tiết'!AL161</f>
        <v/>
      </c>
      <c r="AH599" s="389" t="str">
        <f t="shared" si="27"/>
        <v/>
      </c>
      <c r="AI599" s="389" t="str">
        <f t="shared" si="37"/>
        <v>🔵 Chưa có hạn</v>
      </c>
      <c r="AJ599" s="67" t="str">
        <f>'Lớp 6 - Chi tiết'!AO161</f>
        <v/>
      </c>
      <c r="AS599" s="389" t="str">
        <f t="shared" si="467"/>
        <v/>
      </c>
      <c r="AT599" s="389" t="str">
        <f t="shared" si="32"/>
        <v/>
      </c>
      <c r="AU599" s="389" t="str">
        <f t="shared" si="33"/>
        <v/>
      </c>
      <c r="AV599" s="389" t="str">
        <f t="shared" si="34"/>
        <v/>
      </c>
      <c r="AW599" s="389" t="str">
        <f t="shared" si="35"/>
        <v/>
      </c>
      <c r="AX599" s="67" t="str">
        <f t="shared" ref="AX599:BH599" si="614">Z599</f>
        <v/>
      </c>
      <c r="AY599" s="67" t="str">
        <f t="shared" si="614"/>
        <v/>
      </c>
      <c r="AZ599" s="67" t="str">
        <f t="shared" si="614"/>
        <v/>
      </c>
      <c r="BA599" s="67" t="str">
        <f t="shared" si="614"/>
        <v/>
      </c>
      <c r="BB599" s="398" t="str">
        <f t="shared" si="614"/>
        <v/>
      </c>
      <c r="BC599" s="358" t="str">
        <f t="shared" si="614"/>
        <v/>
      </c>
      <c r="BD599" s="187" t="str">
        <f t="shared" si="614"/>
        <v/>
      </c>
      <c r="BE599" s="104" t="str">
        <f t="shared" si="614"/>
        <v/>
      </c>
      <c r="BF599" s="389" t="str">
        <f t="shared" si="614"/>
        <v/>
      </c>
      <c r="BG599" s="389" t="str">
        <f t="shared" si="614"/>
        <v>🔵 Chưa có hạn</v>
      </c>
      <c r="BH599" s="67" t="str">
        <f t="shared" si="614"/>
        <v/>
      </c>
      <c r="BI599" s="389" t="str">
        <f t="array" ref="BI599">IF($X599="","",SWITCH($W599,3,IFERROR(INDEX('Lớp 3 - Công việc chính'!$AF$14:$AF$73,MATCH($X599,'Lớp 3 - Công việc chính'!$I$14:$I$73,0)),""),4,IFERROR(INDEX('Lớp 4 - Danh mục'!$AI$14:$AI$132,MATCH($X599,'Lớp 4 - Danh mục'!$I$14:$I$132,0)),""),5,IFERROR(INDEX('Lớp 5 - Phân công'!$AJ$14:$AJ$262,MATCH($X599,'Lớp 5 - Phân công'!$I$14:$I$262,0)),""),6,IFERROR(INDEX('Lớp 6 - Chi tiết'!$AM$14:$AM$267,MATCH($X599,'Lớp 6 - Chi tiết'!$I$14:$I$267,0)),""),""))</f>
        <v/>
      </c>
      <c r="BJ599" s="389" t="str">
        <f t="array" ref="BJ599">IF($X599="","",SWITCH($W599,3,IFERROR(INDEX('Lớp 3 - Công việc chính'!$AR$14:$AR$73,MATCH($X599,'Lớp 3 - Công việc chính'!$I$14:$I$73,0)),""),4,IFERROR(INDEX('Lớp 4 - Danh mục'!$AU$14:$AU$132,MATCH($X599,'Lớp 4 - Danh mục'!$I$14:$I$132,0)),""),5,IFERROR(INDEX('Lớp 5 - Phân công'!$AV$14:$AV$262,MATCH($X599,'Lớp 5 - Phân công'!$I$14:$I$262,0)),""),6,IFERROR(INDEX('Lớp 6 - Chi tiết'!$AY$14:$AY$267,MATCH($X599,'Lớp 6 - Chi tiết'!$I$14:$I$267,0)),""),""))</f>
        <v/>
      </c>
    </row>
    <row r="600" ht="15.75" customHeight="1">
      <c r="A600" s="294" t="str">
        <f t="shared" si="12"/>
        <v/>
      </c>
      <c r="B600" s="301" t="str">
        <f t="shared" si="13"/>
        <v/>
      </c>
      <c r="C600" s="301" t="str">
        <f t="shared" si="14"/>
        <v/>
      </c>
      <c r="D600" s="301" t="str">
        <f t="shared" si="15"/>
        <v/>
      </c>
      <c r="E600" s="301" t="str">
        <f t="shared" si="16"/>
        <v/>
      </c>
      <c r="F600" s="317" t="str">
        <f t="shared" si="17"/>
        <v/>
      </c>
      <c r="G600" s="323" t="str">
        <f t="shared" si="18"/>
        <v/>
      </c>
      <c r="H600" s="327" t="str">
        <f t="shared" si="19"/>
        <v/>
      </c>
      <c r="I600" s="327" t="str">
        <f t="shared" si="20"/>
        <v/>
      </c>
      <c r="J600" s="301" t="str">
        <f t="shared" si="21"/>
        <v/>
      </c>
      <c r="K600" s="301" t="str">
        <f t="shared" si="22"/>
        <v/>
      </c>
      <c r="L600" s="344" t="str">
        <f t="array" ref="L600">IF($T600="","",LET(m,MATCH($T600,$AS$24:$AS$700,0),lvl,INDEX($W$24:$W$700,m),id,INDEX($X$24:$X$700,m),SWITCH(lvl,3,"Lớp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0" s="351" t="str">
        <f t="shared" si="23"/>
        <v/>
      </c>
      <c r="N600" s="356" t="str">
        <f t="shared" si="24"/>
        <v/>
      </c>
      <c r="O600" s="358"/>
      <c r="P600" s="360"/>
      <c r="Q600" s="360"/>
      <c r="R600" s="67"/>
      <c r="S600" s="67"/>
      <c r="T600" s="67"/>
      <c r="U600" s="389" t="str">
        <f>IF('Lớp 6 - Chi tiết'!I162="","",'Lớp 6 - Chi tiết'!L162&amp;"|"&amp;'Lớp 6 - Chi tiết'!K162&amp;"|"&amp;'Lớp 6 - Chi tiết'!J162&amp;"|"&amp;'Lớp 6 - Chi tiết'!I162)</f>
        <v/>
      </c>
      <c r="V600" s="389" t="str">
        <f>IF('Lớp 6 - Chi tiết'!I162="","","           └─ "&amp;'Lớp 6 - Chi tiết'!S162)</f>
        <v/>
      </c>
      <c r="W600" s="389" t="str">
        <f>IF('Lớp 6 - Chi tiết'!I162="","",6)</f>
        <v/>
      </c>
      <c r="X600" s="67" t="str">
        <f>'Lớp 6 - Chi tiết'!I162</f>
        <v/>
      </c>
      <c r="Y600" s="389" t="str">
        <f>'Lớp 6 - Chi tiết'!J162</f>
        <v/>
      </c>
      <c r="Z600" s="67" t="str">
        <f>'Lớp 6 - Chi tiết'!AC162</f>
        <v/>
      </c>
      <c r="AA600" s="67" t="str">
        <f>'Lớp 6 - Chi tiết'!AB162</f>
        <v/>
      </c>
      <c r="AB600" s="67" t="str">
        <f>'Lớp 6 - Chi tiết'!AF162</f>
        <v/>
      </c>
      <c r="AC600" s="67" t="str">
        <f>'Lớp 6 - Chi tiết'!AE162</f>
        <v/>
      </c>
      <c r="AD600" s="398" t="str">
        <f>'Lớp 6 - Chi tiết'!AJ162</f>
        <v/>
      </c>
      <c r="AE600" s="358" t="str">
        <f>'Lớp 6 - Chi tiết'!AH162</f>
        <v/>
      </c>
      <c r="AF600" s="187" t="str">
        <f>'Lớp 6 - Chi tiết'!AK162</f>
        <v/>
      </c>
      <c r="AG600" s="104" t="str">
        <f>'Lớp 6 - Chi tiết'!AL162</f>
        <v/>
      </c>
      <c r="AH600" s="389" t="str">
        <f t="shared" si="27"/>
        <v/>
      </c>
      <c r="AI600" s="389" t="str">
        <f t="shared" si="37"/>
        <v>🔵 Chưa có hạn</v>
      </c>
      <c r="AJ600" s="67" t="str">
        <f>'Lớp 6 - Chi tiết'!AO162</f>
        <v/>
      </c>
      <c r="AS600" s="389" t="str">
        <f t="shared" si="467"/>
        <v/>
      </c>
      <c r="AT600" s="389" t="str">
        <f t="shared" si="32"/>
        <v/>
      </c>
      <c r="AU600" s="389" t="str">
        <f t="shared" si="33"/>
        <v/>
      </c>
      <c r="AV600" s="389" t="str">
        <f t="shared" si="34"/>
        <v/>
      </c>
      <c r="AW600" s="389" t="str">
        <f t="shared" si="35"/>
        <v/>
      </c>
      <c r="AX600" s="67" t="str">
        <f t="shared" ref="AX600:BH600" si="615">Z600</f>
        <v/>
      </c>
      <c r="AY600" s="67" t="str">
        <f t="shared" si="615"/>
        <v/>
      </c>
      <c r="AZ600" s="67" t="str">
        <f t="shared" si="615"/>
        <v/>
      </c>
      <c r="BA600" s="67" t="str">
        <f t="shared" si="615"/>
        <v/>
      </c>
      <c r="BB600" s="398" t="str">
        <f t="shared" si="615"/>
        <v/>
      </c>
      <c r="BC600" s="358" t="str">
        <f t="shared" si="615"/>
        <v/>
      </c>
      <c r="BD600" s="187" t="str">
        <f t="shared" si="615"/>
        <v/>
      </c>
      <c r="BE600" s="104" t="str">
        <f t="shared" si="615"/>
        <v/>
      </c>
      <c r="BF600" s="389" t="str">
        <f t="shared" si="615"/>
        <v/>
      </c>
      <c r="BG600" s="389" t="str">
        <f t="shared" si="615"/>
        <v>🔵 Chưa có hạn</v>
      </c>
      <c r="BH600" s="67" t="str">
        <f t="shared" si="615"/>
        <v/>
      </c>
      <c r="BI600" s="389" t="str">
        <f t="array" ref="BI600">IF($X600="","",SWITCH($W600,3,IFERROR(INDEX('Lớp 3 - Công việc chính'!$AF$14:$AF$73,MATCH($X600,'Lớp 3 - Công việc chính'!$I$14:$I$73,0)),""),4,IFERROR(INDEX('Lớp 4 - Danh mục'!$AI$14:$AI$132,MATCH($X600,'Lớp 4 - Danh mục'!$I$14:$I$132,0)),""),5,IFERROR(INDEX('Lớp 5 - Phân công'!$AJ$14:$AJ$262,MATCH($X600,'Lớp 5 - Phân công'!$I$14:$I$262,0)),""),6,IFERROR(INDEX('Lớp 6 - Chi tiết'!$AM$14:$AM$267,MATCH($X600,'Lớp 6 - Chi tiết'!$I$14:$I$267,0)),""),""))</f>
        <v/>
      </c>
      <c r="BJ600" s="389" t="str">
        <f t="array" ref="BJ600">IF($X600="","",SWITCH($W600,3,IFERROR(INDEX('Lớp 3 - Công việc chính'!$AR$14:$AR$73,MATCH($X600,'Lớp 3 - Công việc chính'!$I$14:$I$73,0)),""),4,IFERROR(INDEX('Lớp 4 - Danh mục'!$AU$14:$AU$132,MATCH($X600,'Lớp 4 - Danh mục'!$I$14:$I$132,0)),""),5,IFERROR(INDEX('Lớp 5 - Phân công'!$AV$14:$AV$262,MATCH($X600,'Lớp 5 - Phân công'!$I$14:$I$262,0)),""),6,IFERROR(INDEX('Lớp 6 - Chi tiết'!$AY$14:$AY$267,MATCH($X600,'Lớp 6 - Chi tiết'!$I$14:$I$267,0)),""),""))</f>
        <v/>
      </c>
    </row>
    <row r="601" ht="15.75" customHeight="1">
      <c r="A601" s="294" t="str">
        <f t="shared" si="12"/>
        <v/>
      </c>
      <c r="B601" s="301" t="str">
        <f t="shared" si="13"/>
        <v/>
      </c>
      <c r="C601" s="301" t="str">
        <f t="shared" si="14"/>
        <v/>
      </c>
      <c r="D601" s="301" t="str">
        <f t="shared" si="15"/>
        <v/>
      </c>
      <c r="E601" s="301" t="str">
        <f t="shared" si="16"/>
        <v/>
      </c>
      <c r="F601" s="317" t="str">
        <f t="shared" si="17"/>
        <v/>
      </c>
      <c r="G601" s="323" t="str">
        <f t="shared" si="18"/>
        <v/>
      </c>
      <c r="H601" s="327" t="str">
        <f t="shared" si="19"/>
        <v/>
      </c>
      <c r="I601" s="327" t="str">
        <f t="shared" si="20"/>
        <v/>
      </c>
      <c r="J601" s="301" t="str">
        <f t="shared" si="21"/>
        <v/>
      </c>
      <c r="K601" s="301" t="str">
        <f t="shared" si="22"/>
        <v/>
      </c>
      <c r="L601" s="344" t="str">
        <f t="array" ref="L601">IF($T601="","",LET(m,MATCH($T601,$AS$24:$AS$700,0),lvl,INDEX($W$24:$W$700,m),id,INDEX($X$24:$X$700,m),SWITCH(lvl,3,"Lớp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1" s="351" t="str">
        <f t="shared" si="23"/>
        <v/>
      </c>
      <c r="N601" s="356" t="str">
        <f t="shared" si="24"/>
        <v/>
      </c>
      <c r="O601" s="358"/>
      <c r="P601" s="360"/>
      <c r="Q601" s="360"/>
      <c r="R601" s="67"/>
      <c r="S601" s="67"/>
      <c r="T601" s="67"/>
      <c r="U601" s="389" t="str">
        <f>IF('Lớp 6 - Chi tiết'!I163="","",'Lớp 6 - Chi tiết'!L163&amp;"|"&amp;'Lớp 6 - Chi tiết'!K163&amp;"|"&amp;'Lớp 6 - Chi tiết'!J163&amp;"|"&amp;'Lớp 6 - Chi tiết'!I163)</f>
        <v/>
      </c>
      <c r="V601" s="389" t="str">
        <f>IF('Lớp 6 - Chi tiết'!I163="","","           └─ "&amp;'Lớp 6 - Chi tiết'!S163)</f>
        <v/>
      </c>
      <c r="W601" s="389" t="str">
        <f>IF('Lớp 6 - Chi tiết'!I163="","",6)</f>
        <v/>
      </c>
      <c r="X601" s="67" t="str">
        <f>'Lớp 6 - Chi tiết'!I163</f>
        <v/>
      </c>
      <c r="Y601" s="389" t="str">
        <f>'Lớp 6 - Chi tiết'!J163</f>
        <v/>
      </c>
      <c r="Z601" s="67" t="str">
        <f>'Lớp 6 - Chi tiết'!AC163</f>
        <v/>
      </c>
      <c r="AA601" s="67" t="str">
        <f>'Lớp 6 - Chi tiết'!AB163</f>
        <v/>
      </c>
      <c r="AB601" s="67" t="str">
        <f>'Lớp 6 - Chi tiết'!AF163</f>
        <v/>
      </c>
      <c r="AC601" s="67" t="str">
        <f>'Lớp 6 - Chi tiết'!AE163</f>
        <v/>
      </c>
      <c r="AD601" s="398" t="str">
        <f>'Lớp 6 - Chi tiết'!AJ163</f>
        <v/>
      </c>
      <c r="AE601" s="358" t="str">
        <f>'Lớp 6 - Chi tiết'!AH163</f>
        <v/>
      </c>
      <c r="AF601" s="187" t="str">
        <f>'Lớp 6 - Chi tiết'!AK163</f>
        <v/>
      </c>
      <c r="AG601" s="104" t="str">
        <f>'Lớp 6 - Chi tiết'!AL163</f>
        <v/>
      </c>
      <c r="AH601" s="389" t="str">
        <f t="shared" si="27"/>
        <v/>
      </c>
      <c r="AI601" s="389" t="str">
        <f t="shared" si="37"/>
        <v>🔵 Chưa có hạn</v>
      </c>
      <c r="AJ601" s="67" t="str">
        <f>'Lớp 6 - Chi tiết'!AO163</f>
        <v/>
      </c>
      <c r="AS601" s="389" t="str">
        <f t="shared" si="467"/>
        <v/>
      </c>
      <c r="AT601" s="389" t="str">
        <f t="shared" si="32"/>
        <v/>
      </c>
      <c r="AU601" s="389" t="str">
        <f t="shared" si="33"/>
        <v/>
      </c>
      <c r="AV601" s="389" t="str">
        <f t="shared" si="34"/>
        <v/>
      </c>
      <c r="AW601" s="389" t="str">
        <f t="shared" si="35"/>
        <v/>
      </c>
      <c r="AX601" s="67" t="str">
        <f t="shared" ref="AX601:BH601" si="616">Z601</f>
        <v/>
      </c>
      <c r="AY601" s="67" t="str">
        <f t="shared" si="616"/>
        <v/>
      </c>
      <c r="AZ601" s="67" t="str">
        <f t="shared" si="616"/>
        <v/>
      </c>
      <c r="BA601" s="67" t="str">
        <f t="shared" si="616"/>
        <v/>
      </c>
      <c r="BB601" s="398" t="str">
        <f t="shared" si="616"/>
        <v/>
      </c>
      <c r="BC601" s="358" t="str">
        <f t="shared" si="616"/>
        <v/>
      </c>
      <c r="BD601" s="187" t="str">
        <f t="shared" si="616"/>
        <v/>
      </c>
      <c r="BE601" s="104" t="str">
        <f t="shared" si="616"/>
        <v/>
      </c>
      <c r="BF601" s="389" t="str">
        <f t="shared" si="616"/>
        <v/>
      </c>
      <c r="BG601" s="389" t="str">
        <f t="shared" si="616"/>
        <v>🔵 Chưa có hạn</v>
      </c>
      <c r="BH601" s="67" t="str">
        <f t="shared" si="616"/>
        <v/>
      </c>
      <c r="BI601" s="389" t="str">
        <f t="array" ref="BI601">IF($X601="","",SWITCH($W601,3,IFERROR(INDEX('Lớp 3 - Công việc chính'!$AF$14:$AF$73,MATCH($X601,'Lớp 3 - Công việc chính'!$I$14:$I$73,0)),""),4,IFERROR(INDEX('Lớp 4 - Danh mục'!$AI$14:$AI$132,MATCH($X601,'Lớp 4 - Danh mục'!$I$14:$I$132,0)),""),5,IFERROR(INDEX('Lớp 5 - Phân công'!$AJ$14:$AJ$262,MATCH($X601,'Lớp 5 - Phân công'!$I$14:$I$262,0)),""),6,IFERROR(INDEX('Lớp 6 - Chi tiết'!$AM$14:$AM$267,MATCH($X601,'Lớp 6 - Chi tiết'!$I$14:$I$267,0)),""),""))</f>
        <v/>
      </c>
      <c r="BJ601" s="389" t="str">
        <f t="array" ref="BJ601">IF($X601="","",SWITCH($W601,3,IFERROR(INDEX('Lớp 3 - Công việc chính'!$AR$14:$AR$73,MATCH($X601,'Lớp 3 - Công việc chính'!$I$14:$I$73,0)),""),4,IFERROR(INDEX('Lớp 4 - Danh mục'!$AU$14:$AU$132,MATCH($X601,'Lớp 4 - Danh mục'!$I$14:$I$132,0)),""),5,IFERROR(INDEX('Lớp 5 - Phân công'!$AV$14:$AV$262,MATCH($X601,'Lớp 5 - Phân công'!$I$14:$I$262,0)),""),6,IFERROR(INDEX('Lớp 6 - Chi tiết'!$AY$14:$AY$267,MATCH($X601,'Lớp 6 - Chi tiết'!$I$14:$I$267,0)),""),""))</f>
        <v/>
      </c>
    </row>
    <row r="602" ht="15.75" customHeight="1">
      <c r="A602" s="294" t="str">
        <f t="shared" si="12"/>
        <v/>
      </c>
      <c r="B602" s="301" t="str">
        <f t="shared" si="13"/>
        <v/>
      </c>
      <c r="C602" s="301" t="str">
        <f t="shared" si="14"/>
        <v/>
      </c>
      <c r="D602" s="301" t="str">
        <f t="shared" si="15"/>
        <v/>
      </c>
      <c r="E602" s="301" t="str">
        <f t="shared" si="16"/>
        <v/>
      </c>
      <c r="F602" s="317" t="str">
        <f t="shared" si="17"/>
        <v/>
      </c>
      <c r="G602" s="323" t="str">
        <f t="shared" si="18"/>
        <v/>
      </c>
      <c r="H602" s="327" t="str">
        <f t="shared" si="19"/>
        <v/>
      </c>
      <c r="I602" s="327" t="str">
        <f t="shared" si="20"/>
        <v/>
      </c>
      <c r="J602" s="301" t="str">
        <f t="shared" si="21"/>
        <v/>
      </c>
      <c r="K602" s="301" t="str">
        <f t="shared" si="22"/>
        <v/>
      </c>
      <c r="L602" s="344" t="str">
        <f t="array" ref="L602">IF($T602="","",LET(m,MATCH($T602,$AS$24:$AS$700,0),lvl,INDEX($W$24:$W$700,m),id,INDEX($X$24:$X$700,m),SWITCH(lvl,3,"Lớp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2" s="351" t="str">
        <f t="shared" si="23"/>
        <v/>
      </c>
      <c r="N602" s="356" t="str">
        <f t="shared" si="24"/>
        <v/>
      </c>
      <c r="O602" s="358"/>
      <c r="P602" s="360"/>
      <c r="Q602" s="360"/>
      <c r="R602" s="67"/>
      <c r="S602" s="67"/>
      <c r="T602" s="67"/>
      <c r="U602" s="389" t="str">
        <f>IF('Lớp 6 - Chi tiết'!I164="","",'Lớp 6 - Chi tiết'!L164&amp;"|"&amp;'Lớp 6 - Chi tiết'!K164&amp;"|"&amp;'Lớp 6 - Chi tiết'!J164&amp;"|"&amp;'Lớp 6 - Chi tiết'!I164)</f>
        <v/>
      </c>
      <c r="V602" s="389" t="str">
        <f>IF('Lớp 6 - Chi tiết'!I164="","","           └─ "&amp;'Lớp 6 - Chi tiết'!S164)</f>
        <v/>
      </c>
      <c r="W602" s="389" t="str">
        <f>IF('Lớp 6 - Chi tiết'!I164="","",6)</f>
        <v/>
      </c>
      <c r="X602" s="67" t="str">
        <f>'Lớp 6 - Chi tiết'!I164</f>
        <v/>
      </c>
      <c r="Y602" s="389" t="str">
        <f>'Lớp 6 - Chi tiết'!J164</f>
        <v/>
      </c>
      <c r="Z602" s="67" t="str">
        <f>'Lớp 6 - Chi tiết'!AC164</f>
        <v/>
      </c>
      <c r="AA602" s="67" t="str">
        <f>'Lớp 6 - Chi tiết'!AB164</f>
        <v/>
      </c>
      <c r="AB602" s="67" t="str">
        <f>'Lớp 6 - Chi tiết'!AF164</f>
        <v/>
      </c>
      <c r="AC602" s="67" t="str">
        <f>'Lớp 6 - Chi tiết'!AE164</f>
        <v/>
      </c>
      <c r="AD602" s="398" t="str">
        <f>'Lớp 6 - Chi tiết'!AJ164</f>
        <v/>
      </c>
      <c r="AE602" s="358" t="str">
        <f>'Lớp 6 - Chi tiết'!AH164</f>
        <v/>
      </c>
      <c r="AF602" s="187" t="str">
        <f>'Lớp 6 - Chi tiết'!AK164</f>
        <v/>
      </c>
      <c r="AG602" s="104" t="str">
        <f>'Lớp 6 - Chi tiết'!AL164</f>
        <v/>
      </c>
      <c r="AH602" s="389" t="str">
        <f t="shared" si="27"/>
        <v/>
      </c>
      <c r="AI602" s="389" t="str">
        <f t="shared" si="37"/>
        <v>🔵 Chưa có hạn</v>
      </c>
      <c r="AJ602" s="67" t="str">
        <f>'Lớp 6 - Chi tiết'!AO164</f>
        <v/>
      </c>
      <c r="AS602" s="389" t="str">
        <f t="shared" si="467"/>
        <v/>
      </c>
      <c r="AT602" s="389" t="str">
        <f t="shared" si="32"/>
        <v/>
      </c>
      <c r="AU602" s="389" t="str">
        <f t="shared" si="33"/>
        <v/>
      </c>
      <c r="AV602" s="389" t="str">
        <f t="shared" si="34"/>
        <v/>
      </c>
      <c r="AW602" s="389" t="str">
        <f t="shared" si="35"/>
        <v/>
      </c>
      <c r="AX602" s="67" t="str">
        <f t="shared" ref="AX602:BH602" si="617">Z602</f>
        <v/>
      </c>
      <c r="AY602" s="67" t="str">
        <f t="shared" si="617"/>
        <v/>
      </c>
      <c r="AZ602" s="67" t="str">
        <f t="shared" si="617"/>
        <v/>
      </c>
      <c r="BA602" s="67" t="str">
        <f t="shared" si="617"/>
        <v/>
      </c>
      <c r="BB602" s="398" t="str">
        <f t="shared" si="617"/>
        <v/>
      </c>
      <c r="BC602" s="358" t="str">
        <f t="shared" si="617"/>
        <v/>
      </c>
      <c r="BD602" s="187" t="str">
        <f t="shared" si="617"/>
        <v/>
      </c>
      <c r="BE602" s="104" t="str">
        <f t="shared" si="617"/>
        <v/>
      </c>
      <c r="BF602" s="389" t="str">
        <f t="shared" si="617"/>
        <v/>
      </c>
      <c r="BG602" s="389" t="str">
        <f t="shared" si="617"/>
        <v>🔵 Chưa có hạn</v>
      </c>
      <c r="BH602" s="67" t="str">
        <f t="shared" si="617"/>
        <v/>
      </c>
      <c r="BI602" s="389" t="str">
        <f t="array" ref="BI602">IF($X602="","",SWITCH($W602,3,IFERROR(INDEX('Lớp 3 - Công việc chính'!$AF$14:$AF$73,MATCH($X602,'Lớp 3 - Công việc chính'!$I$14:$I$73,0)),""),4,IFERROR(INDEX('Lớp 4 - Danh mục'!$AI$14:$AI$132,MATCH($X602,'Lớp 4 - Danh mục'!$I$14:$I$132,0)),""),5,IFERROR(INDEX('Lớp 5 - Phân công'!$AJ$14:$AJ$262,MATCH($X602,'Lớp 5 - Phân công'!$I$14:$I$262,0)),""),6,IFERROR(INDEX('Lớp 6 - Chi tiết'!$AM$14:$AM$267,MATCH($X602,'Lớp 6 - Chi tiết'!$I$14:$I$267,0)),""),""))</f>
        <v/>
      </c>
      <c r="BJ602" s="389" t="str">
        <f t="array" ref="BJ602">IF($X602="","",SWITCH($W602,3,IFERROR(INDEX('Lớp 3 - Công việc chính'!$AR$14:$AR$73,MATCH($X602,'Lớp 3 - Công việc chính'!$I$14:$I$73,0)),""),4,IFERROR(INDEX('Lớp 4 - Danh mục'!$AU$14:$AU$132,MATCH($X602,'Lớp 4 - Danh mục'!$I$14:$I$132,0)),""),5,IFERROR(INDEX('Lớp 5 - Phân công'!$AV$14:$AV$262,MATCH($X602,'Lớp 5 - Phân công'!$I$14:$I$262,0)),""),6,IFERROR(INDEX('Lớp 6 - Chi tiết'!$AY$14:$AY$267,MATCH($X602,'Lớp 6 - Chi tiết'!$I$14:$I$267,0)),""),""))</f>
        <v/>
      </c>
    </row>
    <row r="603" ht="15.75" customHeight="1">
      <c r="A603" s="294" t="str">
        <f t="shared" si="12"/>
        <v/>
      </c>
      <c r="B603" s="301" t="str">
        <f t="shared" si="13"/>
        <v/>
      </c>
      <c r="C603" s="301" t="str">
        <f t="shared" si="14"/>
        <v/>
      </c>
      <c r="D603" s="301" t="str">
        <f t="shared" si="15"/>
        <v/>
      </c>
      <c r="E603" s="301" t="str">
        <f t="shared" si="16"/>
        <v/>
      </c>
      <c r="F603" s="317" t="str">
        <f t="shared" si="17"/>
        <v/>
      </c>
      <c r="G603" s="323" t="str">
        <f t="shared" si="18"/>
        <v/>
      </c>
      <c r="H603" s="327" t="str">
        <f t="shared" si="19"/>
        <v/>
      </c>
      <c r="I603" s="327" t="str">
        <f t="shared" si="20"/>
        <v/>
      </c>
      <c r="J603" s="301" t="str">
        <f t="shared" si="21"/>
        <v/>
      </c>
      <c r="K603" s="301" t="str">
        <f t="shared" si="22"/>
        <v/>
      </c>
      <c r="L603" s="344" t="str">
        <f t="array" ref="L603">IF($T603="","",LET(m,MATCH($T603,$AS$24:$AS$700,0),lvl,INDEX($W$24:$W$700,m),id,INDEX($X$24:$X$700,m),SWITCH(lvl,3,"Lớp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3" s="351" t="str">
        <f t="shared" si="23"/>
        <v/>
      </c>
      <c r="N603" s="356" t="str">
        <f t="shared" si="24"/>
        <v/>
      </c>
      <c r="O603" s="358"/>
      <c r="P603" s="360"/>
      <c r="Q603" s="360"/>
      <c r="R603" s="67"/>
      <c r="S603" s="67"/>
      <c r="T603" s="67"/>
      <c r="U603" s="389" t="str">
        <f>IF('Lớp 6 - Chi tiết'!I165="","",'Lớp 6 - Chi tiết'!L165&amp;"|"&amp;'Lớp 6 - Chi tiết'!K165&amp;"|"&amp;'Lớp 6 - Chi tiết'!J165&amp;"|"&amp;'Lớp 6 - Chi tiết'!I165)</f>
        <v/>
      </c>
      <c r="V603" s="389" t="str">
        <f>IF('Lớp 6 - Chi tiết'!I165="","","           └─ "&amp;'Lớp 6 - Chi tiết'!S165)</f>
        <v/>
      </c>
      <c r="W603" s="389" t="str">
        <f>IF('Lớp 6 - Chi tiết'!I165="","",6)</f>
        <v/>
      </c>
      <c r="X603" s="67" t="str">
        <f>'Lớp 6 - Chi tiết'!I165</f>
        <v/>
      </c>
      <c r="Y603" s="389" t="str">
        <f>'Lớp 6 - Chi tiết'!J165</f>
        <v/>
      </c>
      <c r="Z603" s="67" t="str">
        <f>'Lớp 6 - Chi tiết'!AC165</f>
        <v/>
      </c>
      <c r="AA603" s="67" t="str">
        <f>'Lớp 6 - Chi tiết'!AB165</f>
        <v/>
      </c>
      <c r="AB603" s="67" t="str">
        <f>'Lớp 6 - Chi tiết'!AF165</f>
        <v/>
      </c>
      <c r="AC603" s="67" t="str">
        <f>'Lớp 6 - Chi tiết'!AE165</f>
        <v/>
      </c>
      <c r="AD603" s="398" t="str">
        <f>'Lớp 6 - Chi tiết'!AJ165</f>
        <v/>
      </c>
      <c r="AE603" s="358" t="str">
        <f>'Lớp 6 - Chi tiết'!AH165</f>
        <v/>
      </c>
      <c r="AF603" s="187" t="str">
        <f>'Lớp 6 - Chi tiết'!AK165</f>
        <v/>
      </c>
      <c r="AG603" s="104" t="str">
        <f>'Lớp 6 - Chi tiết'!AL165</f>
        <v/>
      </c>
      <c r="AH603" s="389" t="str">
        <f t="shared" si="27"/>
        <v/>
      </c>
      <c r="AI603" s="389" t="str">
        <f t="shared" si="37"/>
        <v>🔵 Chưa có hạn</v>
      </c>
      <c r="AJ603" s="67" t="str">
        <f>'Lớp 6 - Chi tiết'!AO165</f>
        <v/>
      </c>
      <c r="AS603" s="389" t="str">
        <f t="shared" si="467"/>
        <v/>
      </c>
      <c r="AT603" s="389" t="str">
        <f t="shared" si="32"/>
        <v/>
      </c>
      <c r="AU603" s="389" t="str">
        <f t="shared" si="33"/>
        <v/>
      </c>
      <c r="AV603" s="389" t="str">
        <f t="shared" si="34"/>
        <v/>
      </c>
      <c r="AW603" s="389" t="str">
        <f t="shared" si="35"/>
        <v/>
      </c>
      <c r="AX603" s="67" t="str">
        <f t="shared" ref="AX603:BH603" si="618">Z603</f>
        <v/>
      </c>
      <c r="AY603" s="67" t="str">
        <f t="shared" si="618"/>
        <v/>
      </c>
      <c r="AZ603" s="67" t="str">
        <f t="shared" si="618"/>
        <v/>
      </c>
      <c r="BA603" s="67" t="str">
        <f t="shared" si="618"/>
        <v/>
      </c>
      <c r="BB603" s="398" t="str">
        <f t="shared" si="618"/>
        <v/>
      </c>
      <c r="BC603" s="358" t="str">
        <f t="shared" si="618"/>
        <v/>
      </c>
      <c r="BD603" s="187" t="str">
        <f t="shared" si="618"/>
        <v/>
      </c>
      <c r="BE603" s="104" t="str">
        <f t="shared" si="618"/>
        <v/>
      </c>
      <c r="BF603" s="389" t="str">
        <f t="shared" si="618"/>
        <v/>
      </c>
      <c r="BG603" s="389" t="str">
        <f t="shared" si="618"/>
        <v>🔵 Chưa có hạn</v>
      </c>
      <c r="BH603" s="67" t="str">
        <f t="shared" si="618"/>
        <v/>
      </c>
      <c r="BI603" s="389" t="str">
        <f t="array" ref="BI603">IF($X603="","",SWITCH($W603,3,IFERROR(INDEX('Lớp 3 - Công việc chính'!$AF$14:$AF$73,MATCH($X603,'Lớp 3 - Công việc chính'!$I$14:$I$73,0)),""),4,IFERROR(INDEX('Lớp 4 - Danh mục'!$AI$14:$AI$132,MATCH($X603,'Lớp 4 - Danh mục'!$I$14:$I$132,0)),""),5,IFERROR(INDEX('Lớp 5 - Phân công'!$AJ$14:$AJ$262,MATCH($X603,'Lớp 5 - Phân công'!$I$14:$I$262,0)),""),6,IFERROR(INDEX('Lớp 6 - Chi tiết'!$AM$14:$AM$267,MATCH($X603,'Lớp 6 - Chi tiết'!$I$14:$I$267,0)),""),""))</f>
        <v/>
      </c>
      <c r="BJ603" s="389" t="str">
        <f t="array" ref="BJ603">IF($X603="","",SWITCH($W603,3,IFERROR(INDEX('Lớp 3 - Công việc chính'!$AR$14:$AR$73,MATCH($X603,'Lớp 3 - Công việc chính'!$I$14:$I$73,0)),""),4,IFERROR(INDEX('Lớp 4 - Danh mục'!$AU$14:$AU$132,MATCH($X603,'Lớp 4 - Danh mục'!$I$14:$I$132,0)),""),5,IFERROR(INDEX('Lớp 5 - Phân công'!$AV$14:$AV$262,MATCH($X603,'Lớp 5 - Phân công'!$I$14:$I$262,0)),""),6,IFERROR(INDEX('Lớp 6 - Chi tiết'!$AY$14:$AY$267,MATCH($X603,'Lớp 6 - Chi tiết'!$I$14:$I$267,0)),""),""))</f>
        <v/>
      </c>
    </row>
    <row r="604" ht="15.75" customHeight="1">
      <c r="A604" s="294" t="str">
        <f t="shared" si="12"/>
        <v/>
      </c>
      <c r="B604" s="301" t="str">
        <f t="shared" si="13"/>
        <v/>
      </c>
      <c r="C604" s="301" t="str">
        <f t="shared" si="14"/>
        <v/>
      </c>
      <c r="D604" s="301" t="str">
        <f t="shared" si="15"/>
        <v/>
      </c>
      <c r="E604" s="301" t="str">
        <f t="shared" si="16"/>
        <v/>
      </c>
      <c r="F604" s="317" t="str">
        <f t="shared" si="17"/>
        <v/>
      </c>
      <c r="G604" s="323" t="str">
        <f t="shared" si="18"/>
        <v/>
      </c>
      <c r="H604" s="327" t="str">
        <f t="shared" si="19"/>
        <v/>
      </c>
      <c r="I604" s="327" t="str">
        <f t="shared" si="20"/>
        <v/>
      </c>
      <c r="J604" s="301" t="str">
        <f t="shared" si="21"/>
        <v/>
      </c>
      <c r="K604" s="301" t="str">
        <f t="shared" si="22"/>
        <v/>
      </c>
      <c r="L604" s="344" t="str">
        <f t="array" ref="L604">IF($T604="","",LET(m,MATCH($T604,$AS$24:$AS$700,0),lvl,INDEX($W$24:$W$700,m),id,INDEX($X$24:$X$700,m),SWITCH(lvl,3,"Lớp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4" s="351" t="str">
        <f t="shared" si="23"/>
        <v/>
      </c>
      <c r="N604" s="356" t="str">
        <f t="shared" si="24"/>
        <v/>
      </c>
      <c r="O604" s="358"/>
      <c r="P604" s="360"/>
      <c r="Q604" s="360"/>
      <c r="R604" s="67"/>
      <c r="S604" s="67"/>
      <c r="T604" s="67"/>
      <c r="U604" s="389" t="str">
        <f>IF('Lớp 6 - Chi tiết'!I166="","",'Lớp 6 - Chi tiết'!L166&amp;"|"&amp;'Lớp 6 - Chi tiết'!K166&amp;"|"&amp;'Lớp 6 - Chi tiết'!J166&amp;"|"&amp;'Lớp 6 - Chi tiết'!I166)</f>
        <v/>
      </c>
      <c r="V604" s="389" t="str">
        <f>IF('Lớp 6 - Chi tiết'!I166="","","           └─ "&amp;'Lớp 6 - Chi tiết'!S166)</f>
        <v/>
      </c>
      <c r="W604" s="389" t="str">
        <f>IF('Lớp 6 - Chi tiết'!I166="","",6)</f>
        <v/>
      </c>
      <c r="X604" s="67" t="str">
        <f>'Lớp 6 - Chi tiết'!I166</f>
        <v/>
      </c>
      <c r="Y604" s="389" t="str">
        <f>'Lớp 6 - Chi tiết'!J166</f>
        <v/>
      </c>
      <c r="Z604" s="67" t="str">
        <f>'Lớp 6 - Chi tiết'!AC166</f>
        <v/>
      </c>
      <c r="AA604" s="67" t="str">
        <f>'Lớp 6 - Chi tiết'!AB166</f>
        <v/>
      </c>
      <c r="AB604" s="67" t="str">
        <f>'Lớp 6 - Chi tiết'!AF166</f>
        <v/>
      </c>
      <c r="AC604" s="67" t="str">
        <f>'Lớp 6 - Chi tiết'!AE166</f>
        <v/>
      </c>
      <c r="AD604" s="398" t="str">
        <f>'Lớp 6 - Chi tiết'!AJ166</f>
        <v/>
      </c>
      <c r="AE604" s="358" t="str">
        <f>'Lớp 6 - Chi tiết'!AH166</f>
        <v/>
      </c>
      <c r="AF604" s="187" t="str">
        <f>'Lớp 6 - Chi tiết'!AK166</f>
        <v/>
      </c>
      <c r="AG604" s="104" t="str">
        <f>'Lớp 6 - Chi tiết'!AL166</f>
        <v/>
      </c>
      <c r="AH604" s="389" t="str">
        <f t="shared" si="27"/>
        <v/>
      </c>
      <c r="AI604" s="389" t="str">
        <f t="shared" si="37"/>
        <v>🔵 Chưa có hạn</v>
      </c>
      <c r="AJ604" s="67" t="str">
        <f>'Lớp 6 - Chi tiết'!AO166</f>
        <v/>
      </c>
      <c r="AS604" s="389" t="str">
        <f t="shared" si="467"/>
        <v/>
      </c>
      <c r="AT604" s="389" t="str">
        <f t="shared" si="32"/>
        <v/>
      </c>
      <c r="AU604" s="389" t="str">
        <f t="shared" si="33"/>
        <v/>
      </c>
      <c r="AV604" s="389" t="str">
        <f t="shared" si="34"/>
        <v/>
      </c>
      <c r="AW604" s="389" t="str">
        <f t="shared" si="35"/>
        <v/>
      </c>
      <c r="AX604" s="67" t="str">
        <f t="shared" ref="AX604:BH604" si="619">Z604</f>
        <v/>
      </c>
      <c r="AY604" s="67" t="str">
        <f t="shared" si="619"/>
        <v/>
      </c>
      <c r="AZ604" s="67" t="str">
        <f t="shared" si="619"/>
        <v/>
      </c>
      <c r="BA604" s="67" t="str">
        <f t="shared" si="619"/>
        <v/>
      </c>
      <c r="BB604" s="398" t="str">
        <f t="shared" si="619"/>
        <v/>
      </c>
      <c r="BC604" s="358" t="str">
        <f t="shared" si="619"/>
        <v/>
      </c>
      <c r="BD604" s="187" t="str">
        <f t="shared" si="619"/>
        <v/>
      </c>
      <c r="BE604" s="104" t="str">
        <f t="shared" si="619"/>
        <v/>
      </c>
      <c r="BF604" s="389" t="str">
        <f t="shared" si="619"/>
        <v/>
      </c>
      <c r="BG604" s="389" t="str">
        <f t="shared" si="619"/>
        <v>🔵 Chưa có hạn</v>
      </c>
      <c r="BH604" s="67" t="str">
        <f t="shared" si="619"/>
        <v/>
      </c>
      <c r="BI604" s="389" t="str">
        <f t="array" ref="BI604">IF($X604="","",SWITCH($W604,3,IFERROR(INDEX('Lớp 3 - Công việc chính'!$AF$14:$AF$73,MATCH($X604,'Lớp 3 - Công việc chính'!$I$14:$I$73,0)),""),4,IFERROR(INDEX('Lớp 4 - Danh mục'!$AI$14:$AI$132,MATCH($X604,'Lớp 4 - Danh mục'!$I$14:$I$132,0)),""),5,IFERROR(INDEX('Lớp 5 - Phân công'!$AJ$14:$AJ$262,MATCH($X604,'Lớp 5 - Phân công'!$I$14:$I$262,0)),""),6,IFERROR(INDEX('Lớp 6 - Chi tiết'!$AM$14:$AM$267,MATCH($X604,'Lớp 6 - Chi tiết'!$I$14:$I$267,0)),""),""))</f>
        <v/>
      </c>
      <c r="BJ604" s="389" t="str">
        <f t="array" ref="BJ604">IF($X604="","",SWITCH($W604,3,IFERROR(INDEX('Lớp 3 - Công việc chính'!$AR$14:$AR$73,MATCH($X604,'Lớp 3 - Công việc chính'!$I$14:$I$73,0)),""),4,IFERROR(INDEX('Lớp 4 - Danh mục'!$AU$14:$AU$132,MATCH($X604,'Lớp 4 - Danh mục'!$I$14:$I$132,0)),""),5,IFERROR(INDEX('Lớp 5 - Phân công'!$AV$14:$AV$262,MATCH($X604,'Lớp 5 - Phân công'!$I$14:$I$262,0)),""),6,IFERROR(INDEX('Lớp 6 - Chi tiết'!$AY$14:$AY$267,MATCH($X604,'Lớp 6 - Chi tiết'!$I$14:$I$267,0)),""),""))</f>
        <v/>
      </c>
    </row>
    <row r="605" ht="15.75" customHeight="1">
      <c r="A605" s="294" t="str">
        <f t="shared" si="12"/>
        <v/>
      </c>
      <c r="B605" s="301" t="str">
        <f t="shared" si="13"/>
        <v/>
      </c>
      <c r="C605" s="301" t="str">
        <f t="shared" si="14"/>
        <v/>
      </c>
      <c r="D605" s="301" t="str">
        <f t="shared" si="15"/>
        <v/>
      </c>
      <c r="E605" s="301" t="str">
        <f t="shared" si="16"/>
        <v/>
      </c>
      <c r="F605" s="317" t="str">
        <f t="shared" si="17"/>
        <v/>
      </c>
      <c r="G605" s="323" t="str">
        <f t="shared" si="18"/>
        <v/>
      </c>
      <c r="H605" s="327" t="str">
        <f t="shared" si="19"/>
        <v/>
      </c>
      <c r="I605" s="327" t="str">
        <f t="shared" si="20"/>
        <v/>
      </c>
      <c r="J605" s="301" t="str">
        <f t="shared" si="21"/>
        <v/>
      </c>
      <c r="K605" s="301" t="str">
        <f t="shared" si="22"/>
        <v/>
      </c>
      <c r="L605" s="344" t="str">
        <f t="array" ref="L605">IF($T605="","",LET(m,MATCH($T605,$AS$24:$AS$700,0),lvl,INDEX($W$24:$W$700,m),id,INDEX($X$24:$X$700,m),SWITCH(lvl,3,"Lớp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5" s="351" t="str">
        <f t="shared" si="23"/>
        <v/>
      </c>
      <c r="N605" s="356" t="str">
        <f t="shared" si="24"/>
        <v/>
      </c>
      <c r="O605" s="358"/>
      <c r="P605" s="360"/>
      <c r="Q605" s="360"/>
      <c r="R605" s="67"/>
      <c r="S605" s="67"/>
      <c r="T605" s="67"/>
      <c r="U605" s="389" t="str">
        <f>IF('Lớp 6 - Chi tiết'!I167="","",'Lớp 6 - Chi tiết'!L167&amp;"|"&amp;'Lớp 6 - Chi tiết'!K167&amp;"|"&amp;'Lớp 6 - Chi tiết'!J167&amp;"|"&amp;'Lớp 6 - Chi tiết'!I167)</f>
        <v/>
      </c>
      <c r="V605" s="389" t="str">
        <f>IF('Lớp 6 - Chi tiết'!I167="","","           └─ "&amp;'Lớp 6 - Chi tiết'!S167)</f>
        <v/>
      </c>
      <c r="W605" s="389" t="str">
        <f>IF('Lớp 6 - Chi tiết'!I167="","",6)</f>
        <v/>
      </c>
      <c r="X605" s="67" t="str">
        <f>'Lớp 6 - Chi tiết'!I167</f>
        <v/>
      </c>
      <c r="Y605" s="389" t="str">
        <f>'Lớp 6 - Chi tiết'!J167</f>
        <v/>
      </c>
      <c r="Z605" s="67" t="str">
        <f>'Lớp 6 - Chi tiết'!AC167</f>
        <v/>
      </c>
      <c r="AA605" s="67" t="str">
        <f>'Lớp 6 - Chi tiết'!AB167</f>
        <v/>
      </c>
      <c r="AB605" s="67" t="str">
        <f>'Lớp 6 - Chi tiết'!AF167</f>
        <v/>
      </c>
      <c r="AC605" s="67" t="str">
        <f>'Lớp 6 - Chi tiết'!AE167</f>
        <v/>
      </c>
      <c r="AD605" s="398" t="str">
        <f>'Lớp 6 - Chi tiết'!AJ167</f>
        <v/>
      </c>
      <c r="AE605" s="358" t="str">
        <f>'Lớp 6 - Chi tiết'!AH167</f>
        <v/>
      </c>
      <c r="AF605" s="187" t="str">
        <f>'Lớp 6 - Chi tiết'!AK167</f>
        <v/>
      </c>
      <c r="AG605" s="104" t="str">
        <f>'Lớp 6 - Chi tiết'!AL167</f>
        <v/>
      </c>
      <c r="AH605" s="389" t="str">
        <f t="shared" si="27"/>
        <v/>
      </c>
      <c r="AI605" s="389" t="str">
        <f t="shared" si="37"/>
        <v>🔵 Chưa có hạn</v>
      </c>
      <c r="AJ605" s="67" t="str">
        <f>'Lớp 6 - Chi tiết'!AO167</f>
        <v/>
      </c>
      <c r="AS605" s="389" t="str">
        <f t="shared" si="467"/>
        <v/>
      </c>
      <c r="AT605" s="389" t="str">
        <f t="shared" si="32"/>
        <v/>
      </c>
      <c r="AU605" s="389" t="str">
        <f t="shared" si="33"/>
        <v/>
      </c>
      <c r="AV605" s="389" t="str">
        <f t="shared" si="34"/>
        <v/>
      </c>
      <c r="AW605" s="389" t="str">
        <f t="shared" si="35"/>
        <v/>
      </c>
      <c r="AX605" s="67" t="str">
        <f t="shared" ref="AX605:BH605" si="620">Z605</f>
        <v/>
      </c>
      <c r="AY605" s="67" t="str">
        <f t="shared" si="620"/>
        <v/>
      </c>
      <c r="AZ605" s="67" t="str">
        <f t="shared" si="620"/>
        <v/>
      </c>
      <c r="BA605" s="67" t="str">
        <f t="shared" si="620"/>
        <v/>
      </c>
      <c r="BB605" s="398" t="str">
        <f t="shared" si="620"/>
        <v/>
      </c>
      <c r="BC605" s="358" t="str">
        <f t="shared" si="620"/>
        <v/>
      </c>
      <c r="BD605" s="187" t="str">
        <f t="shared" si="620"/>
        <v/>
      </c>
      <c r="BE605" s="104" t="str">
        <f t="shared" si="620"/>
        <v/>
      </c>
      <c r="BF605" s="389" t="str">
        <f t="shared" si="620"/>
        <v/>
      </c>
      <c r="BG605" s="389" t="str">
        <f t="shared" si="620"/>
        <v>🔵 Chưa có hạn</v>
      </c>
      <c r="BH605" s="67" t="str">
        <f t="shared" si="620"/>
        <v/>
      </c>
      <c r="BI605" s="389" t="str">
        <f t="array" ref="BI605">IF($X605="","",SWITCH($W605,3,IFERROR(INDEX('Lớp 3 - Công việc chính'!$AF$14:$AF$73,MATCH($X605,'Lớp 3 - Công việc chính'!$I$14:$I$73,0)),""),4,IFERROR(INDEX('Lớp 4 - Danh mục'!$AI$14:$AI$132,MATCH($X605,'Lớp 4 - Danh mục'!$I$14:$I$132,0)),""),5,IFERROR(INDEX('Lớp 5 - Phân công'!$AJ$14:$AJ$262,MATCH($X605,'Lớp 5 - Phân công'!$I$14:$I$262,0)),""),6,IFERROR(INDEX('Lớp 6 - Chi tiết'!$AM$14:$AM$267,MATCH($X605,'Lớp 6 - Chi tiết'!$I$14:$I$267,0)),""),""))</f>
        <v/>
      </c>
      <c r="BJ605" s="389" t="str">
        <f t="array" ref="BJ605">IF($X605="","",SWITCH($W605,3,IFERROR(INDEX('Lớp 3 - Công việc chính'!$AR$14:$AR$73,MATCH($X605,'Lớp 3 - Công việc chính'!$I$14:$I$73,0)),""),4,IFERROR(INDEX('Lớp 4 - Danh mục'!$AU$14:$AU$132,MATCH($X605,'Lớp 4 - Danh mục'!$I$14:$I$132,0)),""),5,IFERROR(INDEX('Lớp 5 - Phân công'!$AV$14:$AV$262,MATCH($X605,'Lớp 5 - Phân công'!$I$14:$I$262,0)),""),6,IFERROR(INDEX('Lớp 6 - Chi tiết'!$AY$14:$AY$267,MATCH($X605,'Lớp 6 - Chi tiết'!$I$14:$I$267,0)),""),""))</f>
        <v/>
      </c>
    </row>
    <row r="606" ht="15.75" customHeight="1">
      <c r="A606" s="294" t="str">
        <f t="shared" si="12"/>
        <v/>
      </c>
      <c r="B606" s="301" t="str">
        <f t="shared" si="13"/>
        <v/>
      </c>
      <c r="C606" s="301" t="str">
        <f t="shared" si="14"/>
        <v/>
      </c>
      <c r="D606" s="301" t="str">
        <f t="shared" si="15"/>
        <v/>
      </c>
      <c r="E606" s="301" t="str">
        <f t="shared" si="16"/>
        <v/>
      </c>
      <c r="F606" s="317" t="str">
        <f t="shared" si="17"/>
        <v/>
      </c>
      <c r="G606" s="323" t="str">
        <f t="shared" si="18"/>
        <v/>
      </c>
      <c r="H606" s="327" t="str">
        <f t="shared" si="19"/>
        <v/>
      </c>
      <c r="I606" s="327" t="str">
        <f t="shared" si="20"/>
        <v/>
      </c>
      <c r="J606" s="301" t="str">
        <f t="shared" si="21"/>
        <v/>
      </c>
      <c r="K606" s="301" t="str">
        <f t="shared" si="22"/>
        <v/>
      </c>
      <c r="L606" s="344" t="str">
        <f t="array" ref="L606">IF($T606="","",LET(m,MATCH($T606,$AS$24:$AS$700,0),lvl,INDEX($W$24:$W$700,m),id,INDEX($X$24:$X$700,m),SWITCH(lvl,3,"Lớp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6" s="351" t="str">
        <f t="shared" si="23"/>
        <v/>
      </c>
      <c r="N606" s="356" t="str">
        <f t="shared" si="24"/>
        <v/>
      </c>
      <c r="O606" s="358"/>
      <c r="P606" s="360"/>
      <c r="Q606" s="360"/>
      <c r="R606" s="67"/>
      <c r="S606" s="67"/>
      <c r="T606" s="67"/>
      <c r="U606" s="389" t="str">
        <f>IF('Lớp 6 - Chi tiết'!I168="","",'Lớp 6 - Chi tiết'!L168&amp;"|"&amp;'Lớp 6 - Chi tiết'!K168&amp;"|"&amp;'Lớp 6 - Chi tiết'!J168&amp;"|"&amp;'Lớp 6 - Chi tiết'!I168)</f>
        <v/>
      </c>
      <c r="V606" s="389" t="str">
        <f>IF('Lớp 6 - Chi tiết'!I168="","","           └─ "&amp;'Lớp 6 - Chi tiết'!S168)</f>
        <v/>
      </c>
      <c r="W606" s="389" t="str">
        <f>IF('Lớp 6 - Chi tiết'!I168="","",6)</f>
        <v/>
      </c>
      <c r="X606" s="67" t="str">
        <f>'Lớp 6 - Chi tiết'!I168</f>
        <v/>
      </c>
      <c r="Y606" s="389" t="str">
        <f>'Lớp 6 - Chi tiết'!J168</f>
        <v/>
      </c>
      <c r="Z606" s="67" t="str">
        <f>'Lớp 6 - Chi tiết'!AC168</f>
        <v/>
      </c>
      <c r="AA606" s="67" t="str">
        <f>'Lớp 6 - Chi tiết'!AB168</f>
        <v/>
      </c>
      <c r="AB606" s="67" t="str">
        <f>'Lớp 6 - Chi tiết'!AF168</f>
        <v/>
      </c>
      <c r="AC606" s="67" t="str">
        <f>'Lớp 6 - Chi tiết'!AE168</f>
        <v/>
      </c>
      <c r="AD606" s="398" t="str">
        <f>'Lớp 6 - Chi tiết'!AJ168</f>
        <v/>
      </c>
      <c r="AE606" s="358" t="str">
        <f>'Lớp 6 - Chi tiết'!AH168</f>
        <v/>
      </c>
      <c r="AF606" s="187" t="str">
        <f>'Lớp 6 - Chi tiết'!AK168</f>
        <v/>
      </c>
      <c r="AG606" s="104" t="str">
        <f>'Lớp 6 - Chi tiết'!AL168</f>
        <v/>
      </c>
      <c r="AH606" s="389" t="str">
        <f t="shared" si="27"/>
        <v/>
      </c>
      <c r="AI606" s="389" t="str">
        <f t="shared" si="37"/>
        <v>🔵 Chưa có hạn</v>
      </c>
      <c r="AJ606" s="67" t="str">
        <f>'Lớp 6 - Chi tiết'!AO168</f>
        <v/>
      </c>
      <c r="AS606" s="389" t="str">
        <f t="shared" si="467"/>
        <v/>
      </c>
      <c r="AT606" s="389" t="str">
        <f t="shared" si="32"/>
        <v/>
      </c>
      <c r="AU606" s="389" t="str">
        <f t="shared" si="33"/>
        <v/>
      </c>
      <c r="AV606" s="389" t="str">
        <f t="shared" si="34"/>
        <v/>
      </c>
      <c r="AW606" s="389" t="str">
        <f t="shared" si="35"/>
        <v/>
      </c>
      <c r="AX606" s="67" t="str">
        <f t="shared" ref="AX606:BH606" si="621">Z606</f>
        <v/>
      </c>
      <c r="AY606" s="67" t="str">
        <f t="shared" si="621"/>
        <v/>
      </c>
      <c r="AZ606" s="67" t="str">
        <f t="shared" si="621"/>
        <v/>
      </c>
      <c r="BA606" s="67" t="str">
        <f t="shared" si="621"/>
        <v/>
      </c>
      <c r="BB606" s="398" t="str">
        <f t="shared" si="621"/>
        <v/>
      </c>
      <c r="BC606" s="358" t="str">
        <f t="shared" si="621"/>
        <v/>
      </c>
      <c r="BD606" s="187" t="str">
        <f t="shared" si="621"/>
        <v/>
      </c>
      <c r="BE606" s="104" t="str">
        <f t="shared" si="621"/>
        <v/>
      </c>
      <c r="BF606" s="389" t="str">
        <f t="shared" si="621"/>
        <v/>
      </c>
      <c r="BG606" s="389" t="str">
        <f t="shared" si="621"/>
        <v>🔵 Chưa có hạn</v>
      </c>
      <c r="BH606" s="67" t="str">
        <f t="shared" si="621"/>
        <v/>
      </c>
      <c r="BI606" s="389" t="str">
        <f t="array" ref="BI606">IF($X606="","",SWITCH($W606,3,IFERROR(INDEX('Lớp 3 - Công việc chính'!$AF$14:$AF$73,MATCH($X606,'Lớp 3 - Công việc chính'!$I$14:$I$73,0)),""),4,IFERROR(INDEX('Lớp 4 - Danh mục'!$AI$14:$AI$132,MATCH($X606,'Lớp 4 - Danh mục'!$I$14:$I$132,0)),""),5,IFERROR(INDEX('Lớp 5 - Phân công'!$AJ$14:$AJ$262,MATCH($X606,'Lớp 5 - Phân công'!$I$14:$I$262,0)),""),6,IFERROR(INDEX('Lớp 6 - Chi tiết'!$AM$14:$AM$267,MATCH($X606,'Lớp 6 - Chi tiết'!$I$14:$I$267,0)),""),""))</f>
        <v/>
      </c>
      <c r="BJ606" s="389" t="str">
        <f t="array" ref="BJ606">IF($X606="","",SWITCH($W606,3,IFERROR(INDEX('Lớp 3 - Công việc chính'!$AR$14:$AR$73,MATCH($X606,'Lớp 3 - Công việc chính'!$I$14:$I$73,0)),""),4,IFERROR(INDEX('Lớp 4 - Danh mục'!$AU$14:$AU$132,MATCH($X606,'Lớp 4 - Danh mục'!$I$14:$I$132,0)),""),5,IFERROR(INDEX('Lớp 5 - Phân công'!$AV$14:$AV$262,MATCH($X606,'Lớp 5 - Phân công'!$I$14:$I$262,0)),""),6,IFERROR(INDEX('Lớp 6 - Chi tiết'!$AY$14:$AY$267,MATCH($X606,'Lớp 6 - Chi tiết'!$I$14:$I$267,0)),""),""))</f>
        <v/>
      </c>
    </row>
    <row r="607" ht="15.75" customHeight="1">
      <c r="A607" s="294" t="str">
        <f t="shared" si="12"/>
        <v/>
      </c>
      <c r="B607" s="301" t="str">
        <f t="shared" si="13"/>
        <v/>
      </c>
      <c r="C607" s="301" t="str">
        <f t="shared" si="14"/>
        <v/>
      </c>
      <c r="D607" s="301" t="str">
        <f t="shared" si="15"/>
        <v/>
      </c>
      <c r="E607" s="301" t="str">
        <f t="shared" si="16"/>
        <v/>
      </c>
      <c r="F607" s="317" t="str">
        <f t="shared" si="17"/>
        <v/>
      </c>
      <c r="G607" s="323" t="str">
        <f t="shared" si="18"/>
        <v/>
      </c>
      <c r="H607" s="327" t="str">
        <f t="shared" si="19"/>
        <v/>
      </c>
      <c r="I607" s="327" t="str">
        <f t="shared" si="20"/>
        <v/>
      </c>
      <c r="J607" s="301" t="str">
        <f t="shared" si="21"/>
        <v/>
      </c>
      <c r="K607" s="301" t="str">
        <f t="shared" si="22"/>
        <v/>
      </c>
      <c r="L607" s="344" t="str">
        <f t="array" ref="L607">IF($T607="","",LET(m,MATCH($T607,$AS$24:$AS$700,0),lvl,INDEX($W$24:$W$700,m),id,INDEX($X$24:$X$700,m),SWITCH(lvl,3,"Lớp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7" s="351" t="str">
        <f t="shared" si="23"/>
        <v/>
      </c>
      <c r="N607" s="356" t="str">
        <f t="shared" si="24"/>
        <v/>
      </c>
      <c r="O607" s="358"/>
      <c r="P607" s="360"/>
      <c r="Q607" s="360"/>
      <c r="R607" s="67"/>
      <c r="S607" s="67"/>
      <c r="T607" s="67"/>
      <c r="U607" s="389" t="str">
        <f>IF('Lớp 6 - Chi tiết'!I169="","",'Lớp 6 - Chi tiết'!L169&amp;"|"&amp;'Lớp 6 - Chi tiết'!K169&amp;"|"&amp;'Lớp 6 - Chi tiết'!J169&amp;"|"&amp;'Lớp 6 - Chi tiết'!I169)</f>
        <v/>
      </c>
      <c r="V607" s="389" t="str">
        <f>IF('Lớp 6 - Chi tiết'!I169="","","           └─ "&amp;'Lớp 6 - Chi tiết'!S169)</f>
        <v/>
      </c>
      <c r="W607" s="389" t="str">
        <f>IF('Lớp 6 - Chi tiết'!I169="","",6)</f>
        <v/>
      </c>
      <c r="X607" s="67" t="str">
        <f>'Lớp 6 - Chi tiết'!I169</f>
        <v/>
      </c>
      <c r="Y607" s="389" t="str">
        <f>'Lớp 6 - Chi tiết'!J169</f>
        <v/>
      </c>
      <c r="Z607" s="67" t="str">
        <f>'Lớp 6 - Chi tiết'!AC169</f>
        <v/>
      </c>
      <c r="AA607" s="67" t="str">
        <f>'Lớp 6 - Chi tiết'!AB169</f>
        <v/>
      </c>
      <c r="AB607" s="67" t="str">
        <f>'Lớp 6 - Chi tiết'!AF169</f>
        <v/>
      </c>
      <c r="AC607" s="67" t="str">
        <f>'Lớp 6 - Chi tiết'!AE169</f>
        <v/>
      </c>
      <c r="AD607" s="398" t="str">
        <f>'Lớp 6 - Chi tiết'!AJ169</f>
        <v/>
      </c>
      <c r="AE607" s="358" t="str">
        <f>'Lớp 6 - Chi tiết'!AH169</f>
        <v/>
      </c>
      <c r="AF607" s="187" t="str">
        <f>'Lớp 6 - Chi tiết'!AK169</f>
        <v/>
      </c>
      <c r="AG607" s="104" t="str">
        <f>'Lớp 6 - Chi tiết'!AL169</f>
        <v/>
      </c>
      <c r="AH607" s="389" t="str">
        <f t="shared" si="27"/>
        <v/>
      </c>
      <c r="AI607" s="389" t="str">
        <f t="shared" si="37"/>
        <v>🔵 Chưa có hạn</v>
      </c>
      <c r="AJ607" s="67" t="str">
        <f>'Lớp 6 - Chi tiết'!AO169</f>
        <v/>
      </c>
      <c r="AS607" s="389" t="str">
        <f t="shared" si="467"/>
        <v/>
      </c>
      <c r="AT607" s="389" t="str">
        <f t="shared" si="32"/>
        <v/>
      </c>
      <c r="AU607" s="389" t="str">
        <f t="shared" si="33"/>
        <v/>
      </c>
      <c r="AV607" s="389" t="str">
        <f t="shared" si="34"/>
        <v/>
      </c>
      <c r="AW607" s="389" t="str">
        <f t="shared" si="35"/>
        <v/>
      </c>
      <c r="AX607" s="67" t="str">
        <f t="shared" ref="AX607:BH607" si="622">Z607</f>
        <v/>
      </c>
      <c r="AY607" s="67" t="str">
        <f t="shared" si="622"/>
        <v/>
      </c>
      <c r="AZ607" s="67" t="str">
        <f t="shared" si="622"/>
        <v/>
      </c>
      <c r="BA607" s="67" t="str">
        <f t="shared" si="622"/>
        <v/>
      </c>
      <c r="BB607" s="398" t="str">
        <f t="shared" si="622"/>
        <v/>
      </c>
      <c r="BC607" s="358" t="str">
        <f t="shared" si="622"/>
        <v/>
      </c>
      <c r="BD607" s="187" t="str">
        <f t="shared" si="622"/>
        <v/>
      </c>
      <c r="BE607" s="104" t="str">
        <f t="shared" si="622"/>
        <v/>
      </c>
      <c r="BF607" s="389" t="str">
        <f t="shared" si="622"/>
        <v/>
      </c>
      <c r="BG607" s="389" t="str">
        <f t="shared" si="622"/>
        <v>🔵 Chưa có hạn</v>
      </c>
      <c r="BH607" s="67" t="str">
        <f t="shared" si="622"/>
        <v/>
      </c>
      <c r="BI607" s="389" t="str">
        <f t="array" ref="BI607">IF($X607="","",SWITCH($W607,3,IFERROR(INDEX('Lớp 3 - Công việc chính'!$AF$14:$AF$73,MATCH($X607,'Lớp 3 - Công việc chính'!$I$14:$I$73,0)),""),4,IFERROR(INDEX('Lớp 4 - Danh mục'!$AI$14:$AI$132,MATCH($X607,'Lớp 4 - Danh mục'!$I$14:$I$132,0)),""),5,IFERROR(INDEX('Lớp 5 - Phân công'!$AJ$14:$AJ$262,MATCH($X607,'Lớp 5 - Phân công'!$I$14:$I$262,0)),""),6,IFERROR(INDEX('Lớp 6 - Chi tiết'!$AM$14:$AM$267,MATCH($X607,'Lớp 6 - Chi tiết'!$I$14:$I$267,0)),""),""))</f>
        <v/>
      </c>
      <c r="BJ607" s="389" t="str">
        <f t="array" ref="BJ607">IF($X607="","",SWITCH($W607,3,IFERROR(INDEX('Lớp 3 - Công việc chính'!$AR$14:$AR$73,MATCH($X607,'Lớp 3 - Công việc chính'!$I$14:$I$73,0)),""),4,IFERROR(INDEX('Lớp 4 - Danh mục'!$AU$14:$AU$132,MATCH($X607,'Lớp 4 - Danh mục'!$I$14:$I$132,0)),""),5,IFERROR(INDEX('Lớp 5 - Phân công'!$AV$14:$AV$262,MATCH($X607,'Lớp 5 - Phân công'!$I$14:$I$262,0)),""),6,IFERROR(INDEX('Lớp 6 - Chi tiết'!$AY$14:$AY$267,MATCH($X607,'Lớp 6 - Chi tiết'!$I$14:$I$267,0)),""),""))</f>
        <v/>
      </c>
    </row>
    <row r="608" ht="15.75" customHeight="1">
      <c r="A608" s="294" t="str">
        <f t="shared" si="12"/>
        <v/>
      </c>
      <c r="B608" s="301" t="str">
        <f t="shared" si="13"/>
        <v/>
      </c>
      <c r="C608" s="301" t="str">
        <f t="shared" si="14"/>
        <v/>
      </c>
      <c r="D608" s="301" t="str">
        <f t="shared" si="15"/>
        <v/>
      </c>
      <c r="E608" s="301" t="str">
        <f t="shared" si="16"/>
        <v/>
      </c>
      <c r="F608" s="317" t="str">
        <f t="shared" si="17"/>
        <v/>
      </c>
      <c r="G608" s="323" t="str">
        <f t="shared" si="18"/>
        <v/>
      </c>
      <c r="H608" s="327" t="str">
        <f t="shared" si="19"/>
        <v/>
      </c>
      <c r="I608" s="327" t="str">
        <f t="shared" si="20"/>
        <v/>
      </c>
      <c r="J608" s="301" t="str">
        <f t="shared" si="21"/>
        <v/>
      </c>
      <c r="K608" s="301" t="str">
        <f t="shared" si="22"/>
        <v/>
      </c>
      <c r="L608" s="344" t="str">
        <f t="array" ref="L608">IF($T608="","",LET(m,MATCH($T608,$AS$24:$AS$700,0),lvl,INDEX($W$24:$W$700,m),id,INDEX($X$24:$X$700,m),SWITCH(lvl,3,"Lớp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8" s="351" t="str">
        <f t="shared" si="23"/>
        <v/>
      </c>
      <c r="N608" s="356" t="str">
        <f t="shared" si="24"/>
        <v/>
      </c>
      <c r="O608" s="358"/>
      <c r="P608" s="360"/>
      <c r="Q608" s="360"/>
      <c r="R608" s="67"/>
      <c r="S608" s="67"/>
      <c r="T608" s="67"/>
      <c r="U608" s="389" t="str">
        <f>IF('Lớp 6 - Chi tiết'!I170="","",'Lớp 6 - Chi tiết'!L170&amp;"|"&amp;'Lớp 6 - Chi tiết'!K170&amp;"|"&amp;'Lớp 6 - Chi tiết'!J170&amp;"|"&amp;'Lớp 6 - Chi tiết'!I170)</f>
        <v/>
      </c>
      <c r="V608" s="389" t="str">
        <f>IF('Lớp 6 - Chi tiết'!I170="","","           └─ "&amp;'Lớp 6 - Chi tiết'!S170)</f>
        <v/>
      </c>
      <c r="W608" s="389" t="str">
        <f>IF('Lớp 6 - Chi tiết'!I170="","",6)</f>
        <v/>
      </c>
      <c r="X608" s="67" t="str">
        <f>'Lớp 6 - Chi tiết'!I170</f>
        <v/>
      </c>
      <c r="Y608" s="389" t="str">
        <f>'Lớp 6 - Chi tiết'!J170</f>
        <v/>
      </c>
      <c r="Z608" s="67" t="str">
        <f>'Lớp 6 - Chi tiết'!AC170</f>
        <v/>
      </c>
      <c r="AA608" s="67" t="str">
        <f>'Lớp 6 - Chi tiết'!AB170</f>
        <v/>
      </c>
      <c r="AB608" s="67" t="str">
        <f>'Lớp 6 - Chi tiết'!AF170</f>
        <v/>
      </c>
      <c r="AC608" s="67" t="str">
        <f>'Lớp 6 - Chi tiết'!AE170</f>
        <v/>
      </c>
      <c r="AD608" s="398" t="str">
        <f>'Lớp 6 - Chi tiết'!AJ170</f>
        <v/>
      </c>
      <c r="AE608" s="358" t="str">
        <f>'Lớp 6 - Chi tiết'!AH170</f>
        <v/>
      </c>
      <c r="AF608" s="187" t="str">
        <f>'Lớp 6 - Chi tiết'!AK170</f>
        <v/>
      </c>
      <c r="AG608" s="104" t="str">
        <f>'Lớp 6 - Chi tiết'!AL170</f>
        <v/>
      </c>
      <c r="AH608" s="389" t="str">
        <f t="shared" si="27"/>
        <v/>
      </c>
      <c r="AI608" s="389" t="str">
        <f t="shared" si="37"/>
        <v>🔵 Chưa có hạn</v>
      </c>
      <c r="AJ608" s="67" t="str">
        <f>'Lớp 6 - Chi tiết'!AO170</f>
        <v/>
      </c>
      <c r="AS608" s="389" t="str">
        <f t="shared" si="467"/>
        <v/>
      </c>
      <c r="AT608" s="389" t="str">
        <f t="shared" si="32"/>
        <v/>
      </c>
      <c r="AU608" s="389" t="str">
        <f t="shared" si="33"/>
        <v/>
      </c>
      <c r="AV608" s="389" t="str">
        <f t="shared" si="34"/>
        <v/>
      </c>
      <c r="AW608" s="389" t="str">
        <f t="shared" si="35"/>
        <v/>
      </c>
      <c r="AX608" s="67" t="str">
        <f t="shared" ref="AX608:BH608" si="623">Z608</f>
        <v/>
      </c>
      <c r="AY608" s="67" t="str">
        <f t="shared" si="623"/>
        <v/>
      </c>
      <c r="AZ608" s="67" t="str">
        <f t="shared" si="623"/>
        <v/>
      </c>
      <c r="BA608" s="67" t="str">
        <f t="shared" si="623"/>
        <v/>
      </c>
      <c r="BB608" s="398" t="str">
        <f t="shared" si="623"/>
        <v/>
      </c>
      <c r="BC608" s="358" t="str">
        <f t="shared" si="623"/>
        <v/>
      </c>
      <c r="BD608" s="187" t="str">
        <f t="shared" si="623"/>
        <v/>
      </c>
      <c r="BE608" s="104" t="str">
        <f t="shared" si="623"/>
        <v/>
      </c>
      <c r="BF608" s="389" t="str">
        <f t="shared" si="623"/>
        <v/>
      </c>
      <c r="BG608" s="389" t="str">
        <f t="shared" si="623"/>
        <v>🔵 Chưa có hạn</v>
      </c>
      <c r="BH608" s="67" t="str">
        <f t="shared" si="623"/>
        <v/>
      </c>
      <c r="BI608" s="389" t="str">
        <f t="array" ref="BI608">IF($X608="","",SWITCH($W608,3,IFERROR(INDEX('Lớp 3 - Công việc chính'!$AF$14:$AF$73,MATCH($X608,'Lớp 3 - Công việc chính'!$I$14:$I$73,0)),""),4,IFERROR(INDEX('Lớp 4 - Danh mục'!$AI$14:$AI$132,MATCH($X608,'Lớp 4 - Danh mục'!$I$14:$I$132,0)),""),5,IFERROR(INDEX('Lớp 5 - Phân công'!$AJ$14:$AJ$262,MATCH($X608,'Lớp 5 - Phân công'!$I$14:$I$262,0)),""),6,IFERROR(INDEX('Lớp 6 - Chi tiết'!$AM$14:$AM$267,MATCH($X608,'Lớp 6 - Chi tiết'!$I$14:$I$267,0)),""),""))</f>
        <v/>
      </c>
      <c r="BJ608" s="389" t="str">
        <f t="array" ref="BJ608">IF($X608="","",SWITCH($W608,3,IFERROR(INDEX('Lớp 3 - Công việc chính'!$AR$14:$AR$73,MATCH($X608,'Lớp 3 - Công việc chính'!$I$14:$I$73,0)),""),4,IFERROR(INDEX('Lớp 4 - Danh mục'!$AU$14:$AU$132,MATCH($X608,'Lớp 4 - Danh mục'!$I$14:$I$132,0)),""),5,IFERROR(INDEX('Lớp 5 - Phân công'!$AV$14:$AV$262,MATCH($X608,'Lớp 5 - Phân công'!$I$14:$I$262,0)),""),6,IFERROR(INDEX('Lớp 6 - Chi tiết'!$AY$14:$AY$267,MATCH($X608,'Lớp 6 - Chi tiết'!$I$14:$I$267,0)),""),""))</f>
        <v/>
      </c>
    </row>
    <row r="609" ht="15.75" customHeight="1">
      <c r="A609" s="294" t="str">
        <f t="shared" si="12"/>
        <v/>
      </c>
      <c r="B609" s="301" t="str">
        <f t="shared" si="13"/>
        <v/>
      </c>
      <c r="C609" s="301" t="str">
        <f t="shared" si="14"/>
        <v/>
      </c>
      <c r="D609" s="301" t="str">
        <f t="shared" si="15"/>
        <v/>
      </c>
      <c r="E609" s="301" t="str">
        <f t="shared" si="16"/>
        <v/>
      </c>
      <c r="F609" s="317" t="str">
        <f t="shared" si="17"/>
        <v/>
      </c>
      <c r="G609" s="323" t="str">
        <f t="shared" si="18"/>
        <v/>
      </c>
      <c r="H609" s="327" t="str">
        <f t="shared" si="19"/>
        <v/>
      </c>
      <c r="I609" s="327" t="str">
        <f t="shared" si="20"/>
        <v/>
      </c>
      <c r="J609" s="301" t="str">
        <f t="shared" si="21"/>
        <v/>
      </c>
      <c r="K609" s="301" t="str">
        <f t="shared" si="22"/>
        <v/>
      </c>
      <c r="L609" s="344" t="str">
        <f t="array" ref="L609">IF($T609="","",LET(m,MATCH($T609,$AS$24:$AS$700,0),lvl,INDEX($W$24:$W$700,m),id,INDEX($X$24:$X$700,m),SWITCH(lvl,3,"Lớp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09" s="351" t="str">
        <f t="shared" si="23"/>
        <v/>
      </c>
      <c r="N609" s="356" t="str">
        <f t="shared" si="24"/>
        <v/>
      </c>
      <c r="O609" s="358"/>
      <c r="P609" s="360"/>
      <c r="Q609" s="360"/>
      <c r="R609" s="67"/>
      <c r="S609" s="67"/>
      <c r="T609" s="67"/>
      <c r="U609" s="389" t="str">
        <f>IF('Lớp 6 - Chi tiết'!I171="","",'Lớp 6 - Chi tiết'!L171&amp;"|"&amp;'Lớp 6 - Chi tiết'!K171&amp;"|"&amp;'Lớp 6 - Chi tiết'!J171&amp;"|"&amp;'Lớp 6 - Chi tiết'!I171)</f>
        <v/>
      </c>
      <c r="V609" s="389" t="str">
        <f>IF('Lớp 6 - Chi tiết'!I171="","","           └─ "&amp;'Lớp 6 - Chi tiết'!S171)</f>
        <v/>
      </c>
      <c r="W609" s="389" t="str">
        <f>IF('Lớp 6 - Chi tiết'!I171="","",6)</f>
        <v/>
      </c>
      <c r="X609" s="67" t="str">
        <f>'Lớp 6 - Chi tiết'!I171</f>
        <v/>
      </c>
      <c r="Y609" s="389" t="str">
        <f>'Lớp 6 - Chi tiết'!J171</f>
        <v/>
      </c>
      <c r="Z609" s="67" t="str">
        <f>'Lớp 6 - Chi tiết'!AC171</f>
        <v/>
      </c>
      <c r="AA609" s="67" t="str">
        <f>'Lớp 6 - Chi tiết'!AB171</f>
        <v/>
      </c>
      <c r="AB609" s="67" t="str">
        <f>'Lớp 6 - Chi tiết'!AF171</f>
        <v/>
      </c>
      <c r="AC609" s="67" t="str">
        <f>'Lớp 6 - Chi tiết'!AE171</f>
        <v/>
      </c>
      <c r="AD609" s="398" t="str">
        <f>'Lớp 6 - Chi tiết'!AJ171</f>
        <v/>
      </c>
      <c r="AE609" s="358" t="str">
        <f>'Lớp 6 - Chi tiết'!AH171</f>
        <v/>
      </c>
      <c r="AF609" s="187" t="str">
        <f>'Lớp 6 - Chi tiết'!AK171</f>
        <v/>
      </c>
      <c r="AG609" s="104" t="str">
        <f>'Lớp 6 - Chi tiết'!AL171</f>
        <v/>
      </c>
      <c r="AH609" s="389" t="str">
        <f t="shared" si="27"/>
        <v/>
      </c>
      <c r="AI609" s="389" t="str">
        <f t="shared" si="37"/>
        <v>🔵 Chưa có hạn</v>
      </c>
      <c r="AJ609" s="67" t="str">
        <f>'Lớp 6 - Chi tiết'!AO171</f>
        <v/>
      </c>
      <c r="AS609" s="389" t="str">
        <f t="shared" si="467"/>
        <v/>
      </c>
      <c r="AT609" s="389" t="str">
        <f t="shared" si="32"/>
        <v/>
      </c>
      <c r="AU609" s="389" t="str">
        <f t="shared" si="33"/>
        <v/>
      </c>
      <c r="AV609" s="389" t="str">
        <f t="shared" si="34"/>
        <v/>
      </c>
      <c r="AW609" s="389" t="str">
        <f t="shared" si="35"/>
        <v/>
      </c>
      <c r="AX609" s="67" t="str">
        <f t="shared" ref="AX609:BH609" si="624">Z609</f>
        <v/>
      </c>
      <c r="AY609" s="67" t="str">
        <f t="shared" si="624"/>
        <v/>
      </c>
      <c r="AZ609" s="67" t="str">
        <f t="shared" si="624"/>
        <v/>
      </c>
      <c r="BA609" s="67" t="str">
        <f t="shared" si="624"/>
        <v/>
      </c>
      <c r="BB609" s="398" t="str">
        <f t="shared" si="624"/>
        <v/>
      </c>
      <c r="BC609" s="358" t="str">
        <f t="shared" si="624"/>
        <v/>
      </c>
      <c r="BD609" s="187" t="str">
        <f t="shared" si="624"/>
        <v/>
      </c>
      <c r="BE609" s="104" t="str">
        <f t="shared" si="624"/>
        <v/>
      </c>
      <c r="BF609" s="389" t="str">
        <f t="shared" si="624"/>
        <v/>
      </c>
      <c r="BG609" s="389" t="str">
        <f t="shared" si="624"/>
        <v>🔵 Chưa có hạn</v>
      </c>
      <c r="BH609" s="67" t="str">
        <f t="shared" si="624"/>
        <v/>
      </c>
      <c r="BI609" s="389" t="str">
        <f t="array" ref="BI609">IF($X609="","",SWITCH($W609,3,IFERROR(INDEX('Lớp 3 - Công việc chính'!$AF$14:$AF$73,MATCH($X609,'Lớp 3 - Công việc chính'!$I$14:$I$73,0)),""),4,IFERROR(INDEX('Lớp 4 - Danh mục'!$AI$14:$AI$132,MATCH($X609,'Lớp 4 - Danh mục'!$I$14:$I$132,0)),""),5,IFERROR(INDEX('Lớp 5 - Phân công'!$AJ$14:$AJ$262,MATCH($X609,'Lớp 5 - Phân công'!$I$14:$I$262,0)),""),6,IFERROR(INDEX('Lớp 6 - Chi tiết'!$AM$14:$AM$267,MATCH($X609,'Lớp 6 - Chi tiết'!$I$14:$I$267,0)),""),""))</f>
        <v/>
      </c>
      <c r="BJ609" s="389" t="str">
        <f t="array" ref="BJ609">IF($X609="","",SWITCH($W609,3,IFERROR(INDEX('Lớp 3 - Công việc chính'!$AR$14:$AR$73,MATCH($X609,'Lớp 3 - Công việc chính'!$I$14:$I$73,0)),""),4,IFERROR(INDEX('Lớp 4 - Danh mục'!$AU$14:$AU$132,MATCH($X609,'Lớp 4 - Danh mục'!$I$14:$I$132,0)),""),5,IFERROR(INDEX('Lớp 5 - Phân công'!$AV$14:$AV$262,MATCH($X609,'Lớp 5 - Phân công'!$I$14:$I$262,0)),""),6,IFERROR(INDEX('Lớp 6 - Chi tiết'!$AY$14:$AY$267,MATCH($X609,'Lớp 6 - Chi tiết'!$I$14:$I$267,0)),""),""))</f>
        <v/>
      </c>
    </row>
    <row r="610" ht="15.75" customHeight="1">
      <c r="A610" s="294" t="str">
        <f t="shared" si="12"/>
        <v/>
      </c>
      <c r="B610" s="301" t="str">
        <f t="shared" si="13"/>
        <v/>
      </c>
      <c r="C610" s="301" t="str">
        <f t="shared" si="14"/>
        <v/>
      </c>
      <c r="D610" s="301" t="str">
        <f t="shared" si="15"/>
        <v/>
      </c>
      <c r="E610" s="301" t="str">
        <f t="shared" si="16"/>
        <v/>
      </c>
      <c r="F610" s="317" t="str">
        <f t="shared" si="17"/>
        <v/>
      </c>
      <c r="G610" s="323" t="str">
        <f t="shared" si="18"/>
        <v/>
      </c>
      <c r="H610" s="327" t="str">
        <f t="shared" si="19"/>
        <v/>
      </c>
      <c r="I610" s="327" t="str">
        <f t="shared" si="20"/>
        <v/>
      </c>
      <c r="J610" s="301" t="str">
        <f t="shared" si="21"/>
        <v/>
      </c>
      <c r="K610" s="301" t="str">
        <f t="shared" si="22"/>
        <v/>
      </c>
      <c r="L610" s="344" t="str">
        <f t="array" ref="L610">IF($T610="","",LET(m,MATCH($T610,$AS$24:$AS$700,0),lvl,INDEX($W$24:$W$700,m),id,INDEX($X$24:$X$700,m),SWITCH(lvl,3,"Lớp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0" s="351" t="str">
        <f t="shared" si="23"/>
        <v/>
      </c>
      <c r="N610" s="356" t="str">
        <f t="shared" si="24"/>
        <v/>
      </c>
      <c r="O610" s="358"/>
      <c r="P610" s="360"/>
      <c r="Q610" s="360"/>
      <c r="R610" s="67"/>
      <c r="S610" s="67"/>
      <c r="T610" s="67"/>
      <c r="U610" s="389" t="str">
        <f>IF('Lớp 6 - Chi tiết'!I172="","",'Lớp 6 - Chi tiết'!L172&amp;"|"&amp;'Lớp 6 - Chi tiết'!K172&amp;"|"&amp;'Lớp 6 - Chi tiết'!J172&amp;"|"&amp;'Lớp 6 - Chi tiết'!I172)</f>
        <v/>
      </c>
      <c r="V610" s="389" t="str">
        <f>IF('Lớp 6 - Chi tiết'!I172="","","           └─ "&amp;'Lớp 6 - Chi tiết'!S172)</f>
        <v/>
      </c>
      <c r="W610" s="389" t="str">
        <f>IF('Lớp 6 - Chi tiết'!I172="","",6)</f>
        <v/>
      </c>
      <c r="X610" s="67" t="str">
        <f>'Lớp 6 - Chi tiết'!I172</f>
        <v/>
      </c>
      <c r="Y610" s="389" t="str">
        <f>'Lớp 6 - Chi tiết'!J172</f>
        <v/>
      </c>
      <c r="Z610" s="67" t="str">
        <f>'Lớp 6 - Chi tiết'!AC172</f>
        <v/>
      </c>
      <c r="AA610" s="67" t="str">
        <f>'Lớp 6 - Chi tiết'!AB172</f>
        <v/>
      </c>
      <c r="AB610" s="67" t="str">
        <f>'Lớp 6 - Chi tiết'!AF172</f>
        <v/>
      </c>
      <c r="AC610" s="67" t="str">
        <f>'Lớp 6 - Chi tiết'!AE172</f>
        <v/>
      </c>
      <c r="AD610" s="398" t="str">
        <f>'Lớp 6 - Chi tiết'!AJ172</f>
        <v/>
      </c>
      <c r="AE610" s="358" t="str">
        <f>'Lớp 6 - Chi tiết'!AH172</f>
        <v/>
      </c>
      <c r="AF610" s="187" t="str">
        <f>'Lớp 6 - Chi tiết'!AK172</f>
        <v/>
      </c>
      <c r="AG610" s="104" t="str">
        <f>'Lớp 6 - Chi tiết'!AL172</f>
        <v/>
      </c>
      <c r="AH610" s="389" t="str">
        <f t="shared" si="27"/>
        <v/>
      </c>
      <c r="AI610" s="389" t="str">
        <f t="shared" si="37"/>
        <v>🔵 Chưa có hạn</v>
      </c>
      <c r="AJ610" s="67" t="str">
        <f>'Lớp 6 - Chi tiết'!AO172</f>
        <v/>
      </c>
      <c r="AS610" s="389" t="str">
        <f t="shared" si="467"/>
        <v/>
      </c>
      <c r="AT610" s="389" t="str">
        <f t="shared" si="32"/>
        <v/>
      </c>
      <c r="AU610" s="389" t="str">
        <f t="shared" si="33"/>
        <v/>
      </c>
      <c r="AV610" s="389" t="str">
        <f t="shared" si="34"/>
        <v/>
      </c>
      <c r="AW610" s="389" t="str">
        <f t="shared" si="35"/>
        <v/>
      </c>
      <c r="AX610" s="67" t="str">
        <f t="shared" ref="AX610:BH610" si="625">Z610</f>
        <v/>
      </c>
      <c r="AY610" s="67" t="str">
        <f t="shared" si="625"/>
        <v/>
      </c>
      <c r="AZ610" s="67" t="str">
        <f t="shared" si="625"/>
        <v/>
      </c>
      <c r="BA610" s="67" t="str">
        <f t="shared" si="625"/>
        <v/>
      </c>
      <c r="BB610" s="398" t="str">
        <f t="shared" si="625"/>
        <v/>
      </c>
      <c r="BC610" s="358" t="str">
        <f t="shared" si="625"/>
        <v/>
      </c>
      <c r="BD610" s="187" t="str">
        <f t="shared" si="625"/>
        <v/>
      </c>
      <c r="BE610" s="104" t="str">
        <f t="shared" si="625"/>
        <v/>
      </c>
      <c r="BF610" s="389" t="str">
        <f t="shared" si="625"/>
        <v/>
      </c>
      <c r="BG610" s="389" t="str">
        <f t="shared" si="625"/>
        <v>🔵 Chưa có hạn</v>
      </c>
      <c r="BH610" s="67" t="str">
        <f t="shared" si="625"/>
        <v/>
      </c>
      <c r="BI610" s="389" t="str">
        <f t="array" ref="BI610">IF($X610="","",SWITCH($W610,3,IFERROR(INDEX('Lớp 3 - Công việc chính'!$AF$14:$AF$73,MATCH($X610,'Lớp 3 - Công việc chính'!$I$14:$I$73,0)),""),4,IFERROR(INDEX('Lớp 4 - Danh mục'!$AI$14:$AI$132,MATCH($X610,'Lớp 4 - Danh mục'!$I$14:$I$132,0)),""),5,IFERROR(INDEX('Lớp 5 - Phân công'!$AJ$14:$AJ$262,MATCH($X610,'Lớp 5 - Phân công'!$I$14:$I$262,0)),""),6,IFERROR(INDEX('Lớp 6 - Chi tiết'!$AM$14:$AM$267,MATCH($X610,'Lớp 6 - Chi tiết'!$I$14:$I$267,0)),""),""))</f>
        <v/>
      </c>
      <c r="BJ610" s="389" t="str">
        <f t="array" ref="BJ610">IF($X610="","",SWITCH($W610,3,IFERROR(INDEX('Lớp 3 - Công việc chính'!$AR$14:$AR$73,MATCH($X610,'Lớp 3 - Công việc chính'!$I$14:$I$73,0)),""),4,IFERROR(INDEX('Lớp 4 - Danh mục'!$AU$14:$AU$132,MATCH($X610,'Lớp 4 - Danh mục'!$I$14:$I$132,0)),""),5,IFERROR(INDEX('Lớp 5 - Phân công'!$AV$14:$AV$262,MATCH($X610,'Lớp 5 - Phân công'!$I$14:$I$262,0)),""),6,IFERROR(INDEX('Lớp 6 - Chi tiết'!$AY$14:$AY$267,MATCH($X610,'Lớp 6 - Chi tiết'!$I$14:$I$267,0)),""),""))</f>
        <v/>
      </c>
    </row>
    <row r="611" ht="15.75" customHeight="1">
      <c r="A611" s="294" t="str">
        <f t="shared" si="12"/>
        <v/>
      </c>
      <c r="B611" s="301" t="str">
        <f t="shared" si="13"/>
        <v/>
      </c>
      <c r="C611" s="301" t="str">
        <f t="shared" si="14"/>
        <v/>
      </c>
      <c r="D611" s="301" t="str">
        <f t="shared" si="15"/>
        <v/>
      </c>
      <c r="E611" s="301" t="str">
        <f t="shared" si="16"/>
        <v/>
      </c>
      <c r="F611" s="317" t="str">
        <f t="shared" si="17"/>
        <v/>
      </c>
      <c r="G611" s="323" t="str">
        <f t="shared" si="18"/>
        <v/>
      </c>
      <c r="H611" s="327" t="str">
        <f t="shared" si="19"/>
        <v/>
      </c>
      <c r="I611" s="327" t="str">
        <f t="shared" si="20"/>
        <v/>
      </c>
      <c r="J611" s="301" t="str">
        <f t="shared" si="21"/>
        <v/>
      </c>
      <c r="K611" s="301" t="str">
        <f t="shared" si="22"/>
        <v/>
      </c>
      <c r="L611" s="344" t="str">
        <f t="array" ref="L611">IF($T611="","",LET(m,MATCH($T611,$AS$24:$AS$700,0),lvl,INDEX($W$24:$W$700,m),id,INDEX($X$24:$X$700,m),SWITCH(lvl,3,"Lớp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1" s="351" t="str">
        <f t="shared" si="23"/>
        <v/>
      </c>
      <c r="N611" s="356" t="str">
        <f t="shared" si="24"/>
        <v/>
      </c>
      <c r="O611" s="358"/>
      <c r="P611" s="360"/>
      <c r="Q611" s="360"/>
      <c r="R611" s="67"/>
      <c r="S611" s="67"/>
      <c r="T611" s="67"/>
      <c r="U611" s="389" t="str">
        <f>IF('Lớp 6 - Chi tiết'!I173="","",'Lớp 6 - Chi tiết'!L173&amp;"|"&amp;'Lớp 6 - Chi tiết'!K173&amp;"|"&amp;'Lớp 6 - Chi tiết'!J173&amp;"|"&amp;'Lớp 6 - Chi tiết'!I173)</f>
        <v/>
      </c>
      <c r="V611" s="389" t="str">
        <f>IF('Lớp 6 - Chi tiết'!I173="","","           └─ "&amp;'Lớp 6 - Chi tiết'!S173)</f>
        <v/>
      </c>
      <c r="W611" s="389" t="str">
        <f>IF('Lớp 6 - Chi tiết'!I173="","",6)</f>
        <v/>
      </c>
      <c r="X611" s="67" t="str">
        <f>'Lớp 6 - Chi tiết'!I173</f>
        <v/>
      </c>
      <c r="Y611" s="389" t="str">
        <f>'Lớp 6 - Chi tiết'!J173</f>
        <v/>
      </c>
      <c r="Z611" s="67" t="str">
        <f>'Lớp 6 - Chi tiết'!AC173</f>
        <v/>
      </c>
      <c r="AA611" s="67" t="str">
        <f>'Lớp 6 - Chi tiết'!AB173</f>
        <v/>
      </c>
      <c r="AB611" s="67" t="str">
        <f>'Lớp 6 - Chi tiết'!AF173</f>
        <v/>
      </c>
      <c r="AC611" s="67" t="str">
        <f>'Lớp 6 - Chi tiết'!AE173</f>
        <v/>
      </c>
      <c r="AD611" s="398" t="str">
        <f>'Lớp 6 - Chi tiết'!AJ173</f>
        <v/>
      </c>
      <c r="AE611" s="358" t="str">
        <f>'Lớp 6 - Chi tiết'!AH173</f>
        <v/>
      </c>
      <c r="AF611" s="187" t="str">
        <f>'Lớp 6 - Chi tiết'!AK173</f>
        <v/>
      </c>
      <c r="AG611" s="104" t="str">
        <f>'Lớp 6 - Chi tiết'!AL173</f>
        <v/>
      </c>
      <c r="AH611" s="389" t="str">
        <f t="shared" si="27"/>
        <v/>
      </c>
      <c r="AI611" s="389" t="str">
        <f t="shared" si="37"/>
        <v>🔵 Chưa có hạn</v>
      </c>
      <c r="AJ611" s="67" t="str">
        <f>'Lớp 6 - Chi tiết'!AO173</f>
        <v/>
      </c>
      <c r="AS611" s="389" t="str">
        <f t="shared" si="467"/>
        <v/>
      </c>
      <c r="AT611" s="389" t="str">
        <f t="shared" si="32"/>
        <v/>
      </c>
      <c r="AU611" s="389" t="str">
        <f t="shared" si="33"/>
        <v/>
      </c>
      <c r="AV611" s="389" t="str">
        <f t="shared" si="34"/>
        <v/>
      </c>
      <c r="AW611" s="389" t="str">
        <f t="shared" si="35"/>
        <v/>
      </c>
      <c r="AX611" s="67" t="str">
        <f t="shared" ref="AX611:BH611" si="626">Z611</f>
        <v/>
      </c>
      <c r="AY611" s="67" t="str">
        <f t="shared" si="626"/>
        <v/>
      </c>
      <c r="AZ611" s="67" t="str">
        <f t="shared" si="626"/>
        <v/>
      </c>
      <c r="BA611" s="67" t="str">
        <f t="shared" si="626"/>
        <v/>
      </c>
      <c r="BB611" s="398" t="str">
        <f t="shared" si="626"/>
        <v/>
      </c>
      <c r="BC611" s="358" t="str">
        <f t="shared" si="626"/>
        <v/>
      </c>
      <c r="BD611" s="187" t="str">
        <f t="shared" si="626"/>
        <v/>
      </c>
      <c r="BE611" s="104" t="str">
        <f t="shared" si="626"/>
        <v/>
      </c>
      <c r="BF611" s="389" t="str">
        <f t="shared" si="626"/>
        <v/>
      </c>
      <c r="BG611" s="389" t="str">
        <f t="shared" si="626"/>
        <v>🔵 Chưa có hạn</v>
      </c>
      <c r="BH611" s="67" t="str">
        <f t="shared" si="626"/>
        <v/>
      </c>
      <c r="BI611" s="389" t="str">
        <f t="array" ref="BI611">IF($X611="","",SWITCH($W611,3,IFERROR(INDEX('Lớp 3 - Công việc chính'!$AF$14:$AF$73,MATCH($X611,'Lớp 3 - Công việc chính'!$I$14:$I$73,0)),""),4,IFERROR(INDEX('Lớp 4 - Danh mục'!$AI$14:$AI$132,MATCH($X611,'Lớp 4 - Danh mục'!$I$14:$I$132,0)),""),5,IFERROR(INDEX('Lớp 5 - Phân công'!$AJ$14:$AJ$262,MATCH($X611,'Lớp 5 - Phân công'!$I$14:$I$262,0)),""),6,IFERROR(INDEX('Lớp 6 - Chi tiết'!$AM$14:$AM$267,MATCH($X611,'Lớp 6 - Chi tiết'!$I$14:$I$267,0)),""),""))</f>
        <v/>
      </c>
      <c r="BJ611" s="389" t="str">
        <f t="array" ref="BJ611">IF($X611="","",SWITCH($W611,3,IFERROR(INDEX('Lớp 3 - Công việc chính'!$AR$14:$AR$73,MATCH($X611,'Lớp 3 - Công việc chính'!$I$14:$I$73,0)),""),4,IFERROR(INDEX('Lớp 4 - Danh mục'!$AU$14:$AU$132,MATCH($X611,'Lớp 4 - Danh mục'!$I$14:$I$132,0)),""),5,IFERROR(INDEX('Lớp 5 - Phân công'!$AV$14:$AV$262,MATCH($X611,'Lớp 5 - Phân công'!$I$14:$I$262,0)),""),6,IFERROR(INDEX('Lớp 6 - Chi tiết'!$AY$14:$AY$267,MATCH($X611,'Lớp 6 - Chi tiết'!$I$14:$I$267,0)),""),""))</f>
        <v/>
      </c>
    </row>
    <row r="612" ht="15.75" customHeight="1">
      <c r="A612" s="294" t="str">
        <f t="shared" si="12"/>
        <v/>
      </c>
      <c r="B612" s="301" t="str">
        <f t="shared" si="13"/>
        <v/>
      </c>
      <c r="C612" s="301" t="str">
        <f t="shared" si="14"/>
        <v/>
      </c>
      <c r="D612" s="301" t="str">
        <f t="shared" si="15"/>
        <v/>
      </c>
      <c r="E612" s="301" t="str">
        <f t="shared" si="16"/>
        <v/>
      </c>
      <c r="F612" s="317" t="str">
        <f t="shared" si="17"/>
        <v/>
      </c>
      <c r="G612" s="323" t="str">
        <f t="shared" si="18"/>
        <v/>
      </c>
      <c r="H612" s="327" t="str">
        <f t="shared" si="19"/>
        <v/>
      </c>
      <c r="I612" s="327" t="str">
        <f t="shared" si="20"/>
        <v/>
      </c>
      <c r="J612" s="301" t="str">
        <f t="shared" si="21"/>
        <v/>
      </c>
      <c r="K612" s="301" t="str">
        <f t="shared" si="22"/>
        <v/>
      </c>
      <c r="L612" s="344" t="str">
        <f t="array" ref="L612">IF($T612="","",LET(m,MATCH($T612,$AS$24:$AS$700,0),lvl,INDEX($W$24:$W$700,m),id,INDEX($X$24:$X$700,m),SWITCH(lvl,3,"Lớp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2" s="351" t="str">
        <f t="shared" si="23"/>
        <v/>
      </c>
      <c r="N612" s="356" t="str">
        <f t="shared" si="24"/>
        <v/>
      </c>
      <c r="O612" s="358"/>
      <c r="P612" s="360"/>
      <c r="Q612" s="360"/>
      <c r="R612" s="67"/>
      <c r="S612" s="67"/>
      <c r="T612" s="67"/>
      <c r="U612" s="389" t="str">
        <f>IF('Lớp 6 - Chi tiết'!I174="","",'Lớp 6 - Chi tiết'!L174&amp;"|"&amp;'Lớp 6 - Chi tiết'!K174&amp;"|"&amp;'Lớp 6 - Chi tiết'!J174&amp;"|"&amp;'Lớp 6 - Chi tiết'!I174)</f>
        <v/>
      </c>
      <c r="V612" s="389" t="str">
        <f>IF('Lớp 6 - Chi tiết'!I174="","","           └─ "&amp;'Lớp 6 - Chi tiết'!S174)</f>
        <v/>
      </c>
      <c r="W612" s="389" t="str">
        <f>IF('Lớp 6 - Chi tiết'!I174="","",6)</f>
        <v/>
      </c>
      <c r="X612" s="67" t="str">
        <f>'Lớp 6 - Chi tiết'!I174</f>
        <v/>
      </c>
      <c r="Y612" s="389" t="str">
        <f>'Lớp 6 - Chi tiết'!J174</f>
        <v/>
      </c>
      <c r="Z612" s="67" t="str">
        <f>'Lớp 6 - Chi tiết'!AC174</f>
        <v/>
      </c>
      <c r="AA612" s="67" t="str">
        <f>'Lớp 6 - Chi tiết'!AB174</f>
        <v/>
      </c>
      <c r="AB612" s="67" t="str">
        <f>'Lớp 6 - Chi tiết'!AF174</f>
        <v/>
      </c>
      <c r="AC612" s="67" t="str">
        <f>'Lớp 6 - Chi tiết'!AE174</f>
        <v/>
      </c>
      <c r="AD612" s="398" t="str">
        <f>'Lớp 6 - Chi tiết'!AJ174</f>
        <v/>
      </c>
      <c r="AE612" s="358" t="str">
        <f>'Lớp 6 - Chi tiết'!AH174</f>
        <v/>
      </c>
      <c r="AF612" s="187" t="str">
        <f>'Lớp 6 - Chi tiết'!AK174</f>
        <v/>
      </c>
      <c r="AG612" s="104" t="str">
        <f>'Lớp 6 - Chi tiết'!AL174</f>
        <v/>
      </c>
      <c r="AH612" s="389" t="str">
        <f t="shared" si="27"/>
        <v/>
      </c>
      <c r="AI612" s="389" t="str">
        <f t="shared" si="37"/>
        <v>🔵 Chưa có hạn</v>
      </c>
      <c r="AJ612" s="67" t="str">
        <f>'Lớp 6 - Chi tiết'!AO174</f>
        <v/>
      </c>
      <c r="AS612" s="389" t="str">
        <f t="shared" si="467"/>
        <v/>
      </c>
      <c r="AT612" s="389" t="str">
        <f t="shared" si="32"/>
        <v/>
      </c>
      <c r="AU612" s="389" t="str">
        <f t="shared" si="33"/>
        <v/>
      </c>
      <c r="AV612" s="389" t="str">
        <f t="shared" si="34"/>
        <v/>
      </c>
      <c r="AW612" s="389" t="str">
        <f t="shared" si="35"/>
        <v/>
      </c>
      <c r="AX612" s="67" t="str">
        <f t="shared" ref="AX612:BH612" si="627">Z612</f>
        <v/>
      </c>
      <c r="AY612" s="67" t="str">
        <f t="shared" si="627"/>
        <v/>
      </c>
      <c r="AZ612" s="67" t="str">
        <f t="shared" si="627"/>
        <v/>
      </c>
      <c r="BA612" s="67" t="str">
        <f t="shared" si="627"/>
        <v/>
      </c>
      <c r="BB612" s="398" t="str">
        <f t="shared" si="627"/>
        <v/>
      </c>
      <c r="BC612" s="358" t="str">
        <f t="shared" si="627"/>
        <v/>
      </c>
      <c r="BD612" s="187" t="str">
        <f t="shared" si="627"/>
        <v/>
      </c>
      <c r="BE612" s="104" t="str">
        <f t="shared" si="627"/>
        <v/>
      </c>
      <c r="BF612" s="389" t="str">
        <f t="shared" si="627"/>
        <v/>
      </c>
      <c r="BG612" s="389" t="str">
        <f t="shared" si="627"/>
        <v>🔵 Chưa có hạn</v>
      </c>
      <c r="BH612" s="67" t="str">
        <f t="shared" si="627"/>
        <v/>
      </c>
      <c r="BI612" s="389" t="str">
        <f t="array" ref="BI612">IF($X612="","",SWITCH($W612,3,IFERROR(INDEX('Lớp 3 - Công việc chính'!$AF$14:$AF$73,MATCH($X612,'Lớp 3 - Công việc chính'!$I$14:$I$73,0)),""),4,IFERROR(INDEX('Lớp 4 - Danh mục'!$AI$14:$AI$132,MATCH($X612,'Lớp 4 - Danh mục'!$I$14:$I$132,0)),""),5,IFERROR(INDEX('Lớp 5 - Phân công'!$AJ$14:$AJ$262,MATCH($X612,'Lớp 5 - Phân công'!$I$14:$I$262,0)),""),6,IFERROR(INDEX('Lớp 6 - Chi tiết'!$AM$14:$AM$267,MATCH($X612,'Lớp 6 - Chi tiết'!$I$14:$I$267,0)),""),""))</f>
        <v/>
      </c>
      <c r="BJ612" s="389" t="str">
        <f t="array" ref="BJ612">IF($X612="","",SWITCH($W612,3,IFERROR(INDEX('Lớp 3 - Công việc chính'!$AR$14:$AR$73,MATCH($X612,'Lớp 3 - Công việc chính'!$I$14:$I$73,0)),""),4,IFERROR(INDEX('Lớp 4 - Danh mục'!$AU$14:$AU$132,MATCH($X612,'Lớp 4 - Danh mục'!$I$14:$I$132,0)),""),5,IFERROR(INDEX('Lớp 5 - Phân công'!$AV$14:$AV$262,MATCH($X612,'Lớp 5 - Phân công'!$I$14:$I$262,0)),""),6,IFERROR(INDEX('Lớp 6 - Chi tiết'!$AY$14:$AY$267,MATCH($X612,'Lớp 6 - Chi tiết'!$I$14:$I$267,0)),""),""))</f>
        <v/>
      </c>
    </row>
    <row r="613" ht="15.75" customHeight="1">
      <c r="A613" s="294" t="str">
        <f t="shared" si="12"/>
        <v/>
      </c>
      <c r="B613" s="301" t="str">
        <f t="shared" si="13"/>
        <v/>
      </c>
      <c r="C613" s="301" t="str">
        <f t="shared" si="14"/>
        <v/>
      </c>
      <c r="D613" s="301" t="str">
        <f t="shared" si="15"/>
        <v/>
      </c>
      <c r="E613" s="301" t="str">
        <f t="shared" si="16"/>
        <v/>
      </c>
      <c r="F613" s="317" t="str">
        <f t="shared" si="17"/>
        <v/>
      </c>
      <c r="G613" s="323" t="str">
        <f t="shared" si="18"/>
        <v/>
      </c>
      <c r="H613" s="327" t="str">
        <f t="shared" si="19"/>
        <v/>
      </c>
      <c r="I613" s="327" t="str">
        <f t="shared" si="20"/>
        <v/>
      </c>
      <c r="J613" s="301" t="str">
        <f t="shared" si="21"/>
        <v/>
      </c>
      <c r="K613" s="301" t="str">
        <f t="shared" si="22"/>
        <v/>
      </c>
      <c r="L613" s="344" t="str">
        <f t="array" ref="L613">IF($T613="","",LET(m,MATCH($T613,$AS$24:$AS$700,0),lvl,INDEX($W$24:$W$700,m),id,INDEX($X$24:$X$700,m),SWITCH(lvl,3,"Lớp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3" s="351" t="str">
        <f t="shared" si="23"/>
        <v/>
      </c>
      <c r="N613" s="356" t="str">
        <f t="shared" si="24"/>
        <v/>
      </c>
      <c r="O613" s="358"/>
      <c r="P613" s="360"/>
      <c r="Q613" s="360"/>
      <c r="R613" s="67"/>
      <c r="S613" s="67"/>
      <c r="T613" s="67"/>
      <c r="U613" s="389" t="str">
        <f>IF('Lớp 6 - Chi tiết'!I175="","",'Lớp 6 - Chi tiết'!L175&amp;"|"&amp;'Lớp 6 - Chi tiết'!K175&amp;"|"&amp;'Lớp 6 - Chi tiết'!J175&amp;"|"&amp;'Lớp 6 - Chi tiết'!I175)</f>
        <v/>
      </c>
      <c r="V613" s="389" t="str">
        <f>IF('Lớp 6 - Chi tiết'!I175="","","           └─ "&amp;'Lớp 6 - Chi tiết'!S175)</f>
        <v/>
      </c>
      <c r="W613" s="389" t="str">
        <f>IF('Lớp 6 - Chi tiết'!I175="","",6)</f>
        <v/>
      </c>
      <c r="X613" s="67" t="str">
        <f>'Lớp 6 - Chi tiết'!I175</f>
        <v/>
      </c>
      <c r="Y613" s="389" t="str">
        <f>'Lớp 6 - Chi tiết'!J175</f>
        <v/>
      </c>
      <c r="Z613" s="67" t="str">
        <f>'Lớp 6 - Chi tiết'!AC175</f>
        <v/>
      </c>
      <c r="AA613" s="67" t="str">
        <f>'Lớp 6 - Chi tiết'!AB175</f>
        <v/>
      </c>
      <c r="AB613" s="67" t="str">
        <f>'Lớp 6 - Chi tiết'!AF175</f>
        <v/>
      </c>
      <c r="AC613" s="67" t="str">
        <f>'Lớp 6 - Chi tiết'!AE175</f>
        <v/>
      </c>
      <c r="AD613" s="398" t="str">
        <f>'Lớp 6 - Chi tiết'!AJ175</f>
        <v/>
      </c>
      <c r="AE613" s="358" t="str">
        <f>'Lớp 6 - Chi tiết'!AH175</f>
        <v/>
      </c>
      <c r="AF613" s="187" t="str">
        <f>'Lớp 6 - Chi tiết'!AK175</f>
        <v/>
      </c>
      <c r="AG613" s="104" t="str">
        <f>'Lớp 6 - Chi tiết'!AL175</f>
        <v/>
      </c>
      <c r="AH613" s="389" t="str">
        <f t="shared" si="27"/>
        <v/>
      </c>
      <c r="AI613" s="389" t="str">
        <f t="shared" si="37"/>
        <v>🔵 Chưa có hạn</v>
      </c>
      <c r="AJ613" s="67" t="str">
        <f>'Lớp 6 - Chi tiết'!AO175</f>
        <v/>
      </c>
      <c r="AS613" s="389" t="str">
        <f t="shared" si="467"/>
        <v/>
      </c>
      <c r="AT613" s="389" t="str">
        <f t="shared" si="32"/>
        <v/>
      </c>
      <c r="AU613" s="389" t="str">
        <f t="shared" si="33"/>
        <v/>
      </c>
      <c r="AV613" s="389" t="str">
        <f t="shared" si="34"/>
        <v/>
      </c>
      <c r="AW613" s="389" t="str">
        <f t="shared" si="35"/>
        <v/>
      </c>
      <c r="AX613" s="67" t="str">
        <f t="shared" ref="AX613:BH613" si="628">Z613</f>
        <v/>
      </c>
      <c r="AY613" s="67" t="str">
        <f t="shared" si="628"/>
        <v/>
      </c>
      <c r="AZ613" s="67" t="str">
        <f t="shared" si="628"/>
        <v/>
      </c>
      <c r="BA613" s="67" t="str">
        <f t="shared" si="628"/>
        <v/>
      </c>
      <c r="BB613" s="398" t="str">
        <f t="shared" si="628"/>
        <v/>
      </c>
      <c r="BC613" s="358" t="str">
        <f t="shared" si="628"/>
        <v/>
      </c>
      <c r="BD613" s="187" t="str">
        <f t="shared" si="628"/>
        <v/>
      </c>
      <c r="BE613" s="104" t="str">
        <f t="shared" si="628"/>
        <v/>
      </c>
      <c r="BF613" s="389" t="str">
        <f t="shared" si="628"/>
        <v/>
      </c>
      <c r="BG613" s="389" t="str">
        <f t="shared" si="628"/>
        <v>🔵 Chưa có hạn</v>
      </c>
      <c r="BH613" s="67" t="str">
        <f t="shared" si="628"/>
        <v/>
      </c>
      <c r="BI613" s="389" t="str">
        <f t="array" ref="BI613">IF($X613="","",SWITCH($W613,3,IFERROR(INDEX('Lớp 3 - Công việc chính'!$AF$14:$AF$73,MATCH($X613,'Lớp 3 - Công việc chính'!$I$14:$I$73,0)),""),4,IFERROR(INDEX('Lớp 4 - Danh mục'!$AI$14:$AI$132,MATCH($X613,'Lớp 4 - Danh mục'!$I$14:$I$132,0)),""),5,IFERROR(INDEX('Lớp 5 - Phân công'!$AJ$14:$AJ$262,MATCH($X613,'Lớp 5 - Phân công'!$I$14:$I$262,0)),""),6,IFERROR(INDEX('Lớp 6 - Chi tiết'!$AM$14:$AM$267,MATCH($X613,'Lớp 6 - Chi tiết'!$I$14:$I$267,0)),""),""))</f>
        <v/>
      </c>
      <c r="BJ613" s="389" t="str">
        <f t="array" ref="BJ613">IF($X613="","",SWITCH($W613,3,IFERROR(INDEX('Lớp 3 - Công việc chính'!$AR$14:$AR$73,MATCH($X613,'Lớp 3 - Công việc chính'!$I$14:$I$73,0)),""),4,IFERROR(INDEX('Lớp 4 - Danh mục'!$AU$14:$AU$132,MATCH($X613,'Lớp 4 - Danh mục'!$I$14:$I$132,0)),""),5,IFERROR(INDEX('Lớp 5 - Phân công'!$AV$14:$AV$262,MATCH($X613,'Lớp 5 - Phân công'!$I$14:$I$262,0)),""),6,IFERROR(INDEX('Lớp 6 - Chi tiết'!$AY$14:$AY$267,MATCH($X613,'Lớp 6 - Chi tiết'!$I$14:$I$267,0)),""),""))</f>
        <v/>
      </c>
    </row>
    <row r="614" ht="15.75" customHeight="1">
      <c r="A614" s="294" t="str">
        <f t="shared" si="12"/>
        <v/>
      </c>
      <c r="B614" s="301" t="str">
        <f t="shared" si="13"/>
        <v/>
      </c>
      <c r="C614" s="301" t="str">
        <f t="shared" si="14"/>
        <v/>
      </c>
      <c r="D614" s="301" t="str">
        <f t="shared" si="15"/>
        <v/>
      </c>
      <c r="E614" s="301" t="str">
        <f t="shared" si="16"/>
        <v/>
      </c>
      <c r="F614" s="317" t="str">
        <f t="shared" si="17"/>
        <v/>
      </c>
      <c r="G614" s="323" t="str">
        <f t="shared" si="18"/>
        <v/>
      </c>
      <c r="H614" s="327" t="str">
        <f t="shared" si="19"/>
        <v/>
      </c>
      <c r="I614" s="327" t="str">
        <f t="shared" si="20"/>
        <v/>
      </c>
      <c r="J614" s="301" t="str">
        <f t="shared" si="21"/>
        <v/>
      </c>
      <c r="K614" s="301" t="str">
        <f t="shared" si="22"/>
        <v/>
      </c>
      <c r="L614" s="344" t="str">
        <f t="array" ref="L614">IF($T614="","",LET(m,MATCH($T614,$AS$24:$AS$700,0),lvl,INDEX($W$24:$W$700,m),id,INDEX($X$24:$X$700,m),SWITCH(lvl,3,"Lớp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4" s="351" t="str">
        <f t="shared" si="23"/>
        <v/>
      </c>
      <c r="N614" s="356" t="str">
        <f t="shared" si="24"/>
        <v/>
      </c>
      <c r="O614" s="358"/>
      <c r="P614" s="360"/>
      <c r="Q614" s="360"/>
      <c r="R614" s="67"/>
      <c r="S614" s="67"/>
      <c r="T614" s="67"/>
      <c r="U614" s="389" t="str">
        <f>IF('Lớp 6 - Chi tiết'!I176="","",'Lớp 6 - Chi tiết'!L176&amp;"|"&amp;'Lớp 6 - Chi tiết'!K176&amp;"|"&amp;'Lớp 6 - Chi tiết'!J176&amp;"|"&amp;'Lớp 6 - Chi tiết'!I176)</f>
        <v/>
      </c>
      <c r="V614" s="389" t="str">
        <f>IF('Lớp 6 - Chi tiết'!I176="","","           └─ "&amp;'Lớp 6 - Chi tiết'!S176)</f>
        <v/>
      </c>
      <c r="W614" s="389" t="str">
        <f>IF('Lớp 6 - Chi tiết'!I176="","",6)</f>
        <v/>
      </c>
      <c r="X614" s="67" t="str">
        <f>'Lớp 6 - Chi tiết'!I176</f>
        <v/>
      </c>
      <c r="Y614" s="389" t="str">
        <f>'Lớp 6 - Chi tiết'!J176</f>
        <v/>
      </c>
      <c r="Z614" s="67" t="str">
        <f>'Lớp 6 - Chi tiết'!AC176</f>
        <v/>
      </c>
      <c r="AA614" s="67" t="str">
        <f>'Lớp 6 - Chi tiết'!AB176</f>
        <v/>
      </c>
      <c r="AB614" s="67" t="str">
        <f>'Lớp 6 - Chi tiết'!AF176</f>
        <v/>
      </c>
      <c r="AC614" s="67" t="str">
        <f>'Lớp 6 - Chi tiết'!AE176</f>
        <v/>
      </c>
      <c r="AD614" s="398" t="str">
        <f>'Lớp 6 - Chi tiết'!AJ176</f>
        <v/>
      </c>
      <c r="AE614" s="358" t="str">
        <f>'Lớp 6 - Chi tiết'!AH176</f>
        <v/>
      </c>
      <c r="AF614" s="187" t="str">
        <f>'Lớp 6 - Chi tiết'!AK176</f>
        <v/>
      </c>
      <c r="AG614" s="104" t="str">
        <f>'Lớp 6 - Chi tiết'!AL176</f>
        <v/>
      </c>
      <c r="AH614" s="389" t="str">
        <f t="shared" si="27"/>
        <v/>
      </c>
      <c r="AI614" s="389" t="str">
        <f t="shared" si="37"/>
        <v>🔵 Chưa có hạn</v>
      </c>
      <c r="AJ614" s="67" t="str">
        <f>'Lớp 6 - Chi tiết'!AO176</f>
        <v/>
      </c>
      <c r="AS614" s="389" t="str">
        <f t="shared" si="467"/>
        <v/>
      </c>
      <c r="AT614" s="389" t="str">
        <f t="shared" si="32"/>
        <v/>
      </c>
      <c r="AU614" s="389" t="str">
        <f t="shared" si="33"/>
        <v/>
      </c>
      <c r="AV614" s="389" t="str">
        <f t="shared" si="34"/>
        <v/>
      </c>
      <c r="AW614" s="389" t="str">
        <f t="shared" si="35"/>
        <v/>
      </c>
      <c r="AX614" s="67" t="str">
        <f t="shared" ref="AX614:BH614" si="629">Z614</f>
        <v/>
      </c>
      <c r="AY614" s="67" t="str">
        <f t="shared" si="629"/>
        <v/>
      </c>
      <c r="AZ614" s="67" t="str">
        <f t="shared" si="629"/>
        <v/>
      </c>
      <c r="BA614" s="67" t="str">
        <f t="shared" si="629"/>
        <v/>
      </c>
      <c r="BB614" s="398" t="str">
        <f t="shared" si="629"/>
        <v/>
      </c>
      <c r="BC614" s="358" t="str">
        <f t="shared" si="629"/>
        <v/>
      </c>
      <c r="BD614" s="187" t="str">
        <f t="shared" si="629"/>
        <v/>
      </c>
      <c r="BE614" s="104" t="str">
        <f t="shared" si="629"/>
        <v/>
      </c>
      <c r="BF614" s="389" t="str">
        <f t="shared" si="629"/>
        <v/>
      </c>
      <c r="BG614" s="389" t="str">
        <f t="shared" si="629"/>
        <v>🔵 Chưa có hạn</v>
      </c>
      <c r="BH614" s="67" t="str">
        <f t="shared" si="629"/>
        <v/>
      </c>
      <c r="BI614" s="389" t="str">
        <f t="array" ref="BI614">IF($X614="","",SWITCH($W614,3,IFERROR(INDEX('Lớp 3 - Công việc chính'!$AF$14:$AF$73,MATCH($X614,'Lớp 3 - Công việc chính'!$I$14:$I$73,0)),""),4,IFERROR(INDEX('Lớp 4 - Danh mục'!$AI$14:$AI$132,MATCH($X614,'Lớp 4 - Danh mục'!$I$14:$I$132,0)),""),5,IFERROR(INDEX('Lớp 5 - Phân công'!$AJ$14:$AJ$262,MATCH($X614,'Lớp 5 - Phân công'!$I$14:$I$262,0)),""),6,IFERROR(INDEX('Lớp 6 - Chi tiết'!$AM$14:$AM$267,MATCH($X614,'Lớp 6 - Chi tiết'!$I$14:$I$267,0)),""),""))</f>
        <v/>
      </c>
      <c r="BJ614" s="389" t="str">
        <f t="array" ref="BJ614">IF($X614="","",SWITCH($W614,3,IFERROR(INDEX('Lớp 3 - Công việc chính'!$AR$14:$AR$73,MATCH($X614,'Lớp 3 - Công việc chính'!$I$14:$I$73,0)),""),4,IFERROR(INDEX('Lớp 4 - Danh mục'!$AU$14:$AU$132,MATCH($X614,'Lớp 4 - Danh mục'!$I$14:$I$132,0)),""),5,IFERROR(INDEX('Lớp 5 - Phân công'!$AV$14:$AV$262,MATCH($X614,'Lớp 5 - Phân công'!$I$14:$I$262,0)),""),6,IFERROR(INDEX('Lớp 6 - Chi tiết'!$AY$14:$AY$267,MATCH($X614,'Lớp 6 - Chi tiết'!$I$14:$I$267,0)),""),""))</f>
        <v/>
      </c>
    </row>
    <row r="615" ht="15.75" customHeight="1">
      <c r="A615" s="294" t="str">
        <f t="shared" si="12"/>
        <v/>
      </c>
      <c r="B615" s="301" t="str">
        <f t="shared" si="13"/>
        <v/>
      </c>
      <c r="C615" s="301" t="str">
        <f t="shared" si="14"/>
        <v/>
      </c>
      <c r="D615" s="301" t="str">
        <f t="shared" si="15"/>
        <v/>
      </c>
      <c r="E615" s="301" t="str">
        <f t="shared" si="16"/>
        <v/>
      </c>
      <c r="F615" s="317" t="str">
        <f t="shared" si="17"/>
        <v/>
      </c>
      <c r="G615" s="323" t="str">
        <f t="shared" si="18"/>
        <v/>
      </c>
      <c r="H615" s="327" t="str">
        <f t="shared" si="19"/>
        <v/>
      </c>
      <c r="I615" s="327" t="str">
        <f t="shared" si="20"/>
        <v/>
      </c>
      <c r="J615" s="301" t="str">
        <f t="shared" si="21"/>
        <v/>
      </c>
      <c r="K615" s="301" t="str">
        <f t="shared" si="22"/>
        <v/>
      </c>
      <c r="L615" s="344" t="str">
        <f t="array" ref="L615">IF($T615="","",LET(m,MATCH($T615,$AS$24:$AS$700,0),lvl,INDEX($W$24:$W$700,m),id,INDEX($X$24:$X$700,m),SWITCH(lvl,3,"Lớp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5" s="351" t="str">
        <f t="shared" si="23"/>
        <v/>
      </c>
      <c r="N615" s="356" t="str">
        <f t="shared" si="24"/>
        <v/>
      </c>
      <c r="O615" s="358"/>
      <c r="P615" s="360"/>
      <c r="Q615" s="360"/>
      <c r="R615" s="67"/>
      <c r="S615" s="67"/>
      <c r="T615" s="67"/>
      <c r="U615" s="389" t="str">
        <f>IF('Lớp 6 - Chi tiết'!I177="","",'Lớp 6 - Chi tiết'!L177&amp;"|"&amp;'Lớp 6 - Chi tiết'!K177&amp;"|"&amp;'Lớp 6 - Chi tiết'!J177&amp;"|"&amp;'Lớp 6 - Chi tiết'!I177)</f>
        <v/>
      </c>
      <c r="V615" s="389" t="str">
        <f>IF('Lớp 6 - Chi tiết'!I177="","","           └─ "&amp;'Lớp 6 - Chi tiết'!S177)</f>
        <v/>
      </c>
      <c r="W615" s="389" t="str">
        <f>IF('Lớp 6 - Chi tiết'!I177="","",6)</f>
        <v/>
      </c>
      <c r="X615" s="67" t="str">
        <f>'Lớp 6 - Chi tiết'!I177</f>
        <v/>
      </c>
      <c r="Y615" s="389" t="str">
        <f>'Lớp 6 - Chi tiết'!J177</f>
        <v/>
      </c>
      <c r="Z615" s="67" t="str">
        <f>'Lớp 6 - Chi tiết'!AC177</f>
        <v/>
      </c>
      <c r="AA615" s="67" t="str">
        <f>'Lớp 6 - Chi tiết'!AB177</f>
        <v/>
      </c>
      <c r="AB615" s="67" t="str">
        <f>'Lớp 6 - Chi tiết'!AF177</f>
        <v/>
      </c>
      <c r="AC615" s="67" t="str">
        <f>'Lớp 6 - Chi tiết'!AE177</f>
        <v/>
      </c>
      <c r="AD615" s="398" t="str">
        <f>'Lớp 6 - Chi tiết'!AJ177</f>
        <v/>
      </c>
      <c r="AE615" s="358" t="str">
        <f>'Lớp 6 - Chi tiết'!AH177</f>
        <v/>
      </c>
      <c r="AF615" s="187" t="str">
        <f>'Lớp 6 - Chi tiết'!AK177</f>
        <v/>
      </c>
      <c r="AG615" s="104" t="str">
        <f>'Lớp 6 - Chi tiết'!AL177</f>
        <v/>
      </c>
      <c r="AH615" s="389" t="str">
        <f t="shared" si="27"/>
        <v/>
      </c>
      <c r="AI615" s="389" t="str">
        <f t="shared" si="37"/>
        <v>🔵 Chưa có hạn</v>
      </c>
      <c r="AJ615" s="67" t="str">
        <f>'Lớp 6 - Chi tiết'!AO177</f>
        <v/>
      </c>
      <c r="AS615" s="389" t="str">
        <f t="shared" si="467"/>
        <v/>
      </c>
      <c r="AT615" s="389" t="str">
        <f t="shared" si="32"/>
        <v/>
      </c>
      <c r="AU615" s="389" t="str">
        <f t="shared" si="33"/>
        <v/>
      </c>
      <c r="AV615" s="389" t="str">
        <f t="shared" si="34"/>
        <v/>
      </c>
      <c r="AW615" s="389" t="str">
        <f t="shared" si="35"/>
        <v/>
      </c>
      <c r="AX615" s="67" t="str">
        <f t="shared" ref="AX615:BH615" si="630">Z615</f>
        <v/>
      </c>
      <c r="AY615" s="67" t="str">
        <f t="shared" si="630"/>
        <v/>
      </c>
      <c r="AZ615" s="67" t="str">
        <f t="shared" si="630"/>
        <v/>
      </c>
      <c r="BA615" s="67" t="str">
        <f t="shared" si="630"/>
        <v/>
      </c>
      <c r="BB615" s="398" t="str">
        <f t="shared" si="630"/>
        <v/>
      </c>
      <c r="BC615" s="358" t="str">
        <f t="shared" si="630"/>
        <v/>
      </c>
      <c r="BD615" s="187" t="str">
        <f t="shared" si="630"/>
        <v/>
      </c>
      <c r="BE615" s="104" t="str">
        <f t="shared" si="630"/>
        <v/>
      </c>
      <c r="BF615" s="389" t="str">
        <f t="shared" si="630"/>
        <v/>
      </c>
      <c r="BG615" s="389" t="str">
        <f t="shared" si="630"/>
        <v>🔵 Chưa có hạn</v>
      </c>
      <c r="BH615" s="67" t="str">
        <f t="shared" si="630"/>
        <v/>
      </c>
      <c r="BI615" s="389" t="str">
        <f t="array" ref="BI615">IF($X615="","",SWITCH($W615,3,IFERROR(INDEX('Lớp 3 - Công việc chính'!$AF$14:$AF$73,MATCH($X615,'Lớp 3 - Công việc chính'!$I$14:$I$73,0)),""),4,IFERROR(INDEX('Lớp 4 - Danh mục'!$AI$14:$AI$132,MATCH($X615,'Lớp 4 - Danh mục'!$I$14:$I$132,0)),""),5,IFERROR(INDEX('Lớp 5 - Phân công'!$AJ$14:$AJ$262,MATCH($X615,'Lớp 5 - Phân công'!$I$14:$I$262,0)),""),6,IFERROR(INDEX('Lớp 6 - Chi tiết'!$AM$14:$AM$267,MATCH($X615,'Lớp 6 - Chi tiết'!$I$14:$I$267,0)),""),""))</f>
        <v/>
      </c>
      <c r="BJ615" s="389" t="str">
        <f t="array" ref="BJ615">IF($X615="","",SWITCH($W615,3,IFERROR(INDEX('Lớp 3 - Công việc chính'!$AR$14:$AR$73,MATCH($X615,'Lớp 3 - Công việc chính'!$I$14:$I$73,0)),""),4,IFERROR(INDEX('Lớp 4 - Danh mục'!$AU$14:$AU$132,MATCH($X615,'Lớp 4 - Danh mục'!$I$14:$I$132,0)),""),5,IFERROR(INDEX('Lớp 5 - Phân công'!$AV$14:$AV$262,MATCH($X615,'Lớp 5 - Phân công'!$I$14:$I$262,0)),""),6,IFERROR(INDEX('Lớp 6 - Chi tiết'!$AY$14:$AY$267,MATCH($X615,'Lớp 6 - Chi tiết'!$I$14:$I$267,0)),""),""))</f>
        <v/>
      </c>
    </row>
    <row r="616" ht="15.75" customHeight="1">
      <c r="A616" s="294" t="str">
        <f t="shared" si="12"/>
        <v/>
      </c>
      <c r="B616" s="301" t="str">
        <f t="shared" si="13"/>
        <v/>
      </c>
      <c r="C616" s="301" t="str">
        <f t="shared" si="14"/>
        <v/>
      </c>
      <c r="D616" s="301" t="str">
        <f t="shared" si="15"/>
        <v/>
      </c>
      <c r="E616" s="301" t="str">
        <f t="shared" si="16"/>
        <v/>
      </c>
      <c r="F616" s="317" t="str">
        <f t="shared" si="17"/>
        <v/>
      </c>
      <c r="G616" s="323" t="str">
        <f t="shared" si="18"/>
        <v/>
      </c>
      <c r="H616" s="327" t="str">
        <f t="shared" si="19"/>
        <v/>
      </c>
      <c r="I616" s="327" t="str">
        <f t="shared" si="20"/>
        <v/>
      </c>
      <c r="J616" s="301" t="str">
        <f t="shared" si="21"/>
        <v/>
      </c>
      <c r="K616" s="301" t="str">
        <f t="shared" si="22"/>
        <v/>
      </c>
      <c r="L616" s="344" t="str">
        <f t="array" ref="L616">IF($T616="","",LET(m,MATCH($T616,$AS$24:$AS$700,0),lvl,INDEX($W$24:$W$700,m),id,INDEX($X$24:$X$700,m),SWITCH(lvl,3,"Lớp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6" s="351" t="str">
        <f t="shared" si="23"/>
        <v/>
      </c>
      <c r="N616" s="356" t="str">
        <f t="shared" si="24"/>
        <v/>
      </c>
      <c r="O616" s="358"/>
      <c r="P616" s="360"/>
      <c r="Q616" s="360"/>
      <c r="R616" s="67"/>
      <c r="S616" s="67"/>
      <c r="T616" s="67"/>
      <c r="U616" s="389" t="str">
        <f>IF('Lớp 6 - Chi tiết'!I178="","",'Lớp 6 - Chi tiết'!L178&amp;"|"&amp;'Lớp 6 - Chi tiết'!K178&amp;"|"&amp;'Lớp 6 - Chi tiết'!J178&amp;"|"&amp;'Lớp 6 - Chi tiết'!I178)</f>
        <v/>
      </c>
      <c r="V616" s="389" t="str">
        <f>IF('Lớp 6 - Chi tiết'!I178="","","           └─ "&amp;'Lớp 6 - Chi tiết'!S178)</f>
        <v/>
      </c>
      <c r="W616" s="389" t="str">
        <f>IF('Lớp 6 - Chi tiết'!I178="","",6)</f>
        <v/>
      </c>
      <c r="X616" s="67" t="str">
        <f>'Lớp 6 - Chi tiết'!I178</f>
        <v/>
      </c>
      <c r="Y616" s="389" t="str">
        <f>'Lớp 6 - Chi tiết'!J178</f>
        <v/>
      </c>
      <c r="Z616" s="67" t="str">
        <f>'Lớp 6 - Chi tiết'!AC178</f>
        <v/>
      </c>
      <c r="AA616" s="67" t="str">
        <f>'Lớp 6 - Chi tiết'!AB178</f>
        <v/>
      </c>
      <c r="AB616" s="67" t="str">
        <f>'Lớp 6 - Chi tiết'!AF178</f>
        <v/>
      </c>
      <c r="AC616" s="67" t="str">
        <f>'Lớp 6 - Chi tiết'!AE178</f>
        <v/>
      </c>
      <c r="AD616" s="398" t="str">
        <f>'Lớp 6 - Chi tiết'!AJ178</f>
        <v/>
      </c>
      <c r="AE616" s="358" t="str">
        <f>'Lớp 6 - Chi tiết'!AH178</f>
        <v/>
      </c>
      <c r="AF616" s="187" t="str">
        <f>'Lớp 6 - Chi tiết'!AK178</f>
        <v/>
      </c>
      <c r="AG616" s="104" t="str">
        <f>'Lớp 6 - Chi tiết'!AL178</f>
        <v/>
      </c>
      <c r="AH616" s="389" t="str">
        <f t="shared" si="27"/>
        <v/>
      </c>
      <c r="AI616" s="389" t="str">
        <f t="shared" si="37"/>
        <v>🔵 Chưa có hạn</v>
      </c>
      <c r="AJ616" s="67" t="str">
        <f>'Lớp 6 - Chi tiết'!AO178</f>
        <v/>
      </c>
      <c r="AS616" s="389" t="str">
        <f t="shared" si="467"/>
        <v/>
      </c>
      <c r="AT616" s="389" t="str">
        <f t="shared" si="32"/>
        <v/>
      </c>
      <c r="AU616" s="389" t="str">
        <f t="shared" si="33"/>
        <v/>
      </c>
      <c r="AV616" s="389" t="str">
        <f t="shared" si="34"/>
        <v/>
      </c>
      <c r="AW616" s="389" t="str">
        <f t="shared" si="35"/>
        <v/>
      </c>
      <c r="AX616" s="67" t="str">
        <f t="shared" ref="AX616:BH616" si="631">Z616</f>
        <v/>
      </c>
      <c r="AY616" s="67" t="str">
        <f t="shared" si="631"/>
        <v/>
      </c>
      <c r="AZ616" s="67" t="str">
        <f t="shared" si="631"/>
        <v/>
      </c>
      <c r="BA616" s="67" t="str">
        <f t="shared" si="631"/>
        <v/>
      </c>
      <c r="BB616" s="398" t="str">
        <f t="shared" si="631"/>
        <v/>
      </c>
      <c r="BC616" s="358" t="str">
        <f t="shared" si="631"/>
        <v/>
      </c>
      <c r="BD616" s="187" t="str">
        <f t="shared" si="631"/>
        <v/>
      </c>
      <c r="BE616" s="104" t="str">
        <f t="shared" si="631"/>
        <v/>
      </c>
      <c r="BF616" s="389" t="str">
        <f t="shared" si="631"/>
        <v/>
      </c>
      <c r="BG616" s="389" t="str">
        <f t="shared" si="631"/>
        <v>🔵 Chưa có hạn</v>
      </c>
      <c r="BH616" s="67" t="str">
        <f t="shared" si="631"/>
        <v/>
      </c>
      <c r="BI616" s="389" t="str">
        <f t="array" ref="BI616">IF($X616="","",SWITCH($W616,3,IFERROR(INDEX('Lớp 3 - Công việc chính'!$AF$14:$AF$73,MATCH($X616,'Lớp 3 - Công việc chính'!$I$14:$I$73,0)),""),4,IFERROR(INDEX('Lớp 4 - Danh mục'!$AI$14:$AI$132,MATCH($X616,'Lớp 4 - Danh mục'!$I$14:$I$132,0)),""),5,IFERROR(INDEX('Lớp 5 - Phân công'!$AJ$14:$AJ$262,MATCH($X616,'Lớp 5 - Phân công'!$I$14:$I$262,0)),""),6,IFERROR(INDEX('Lớp 6 - Chi tiết'!$AM$14:$AM$267,MATCH($X616,'Lớp 6 - Chi tiết'!$I$14:$I$267,0)),""),""))</f>
        <v/>
      </c>
      <c r="BJ616" s="389" t="str">
        <f t="array" ref="BJ616">IF($X616="","",SWITCH($W616,3,IFERROR(INDEX('Lớp 3 - Công việc chính'!$AR$14:$AR$73,MATCH($X616,'Lớp 3 - Công việc chính'!$I$14:$I$73,0)),""),4,IFERROR(INDEX('Lớp 4 - Danh mục'!$AU$14:$AU$132,MATCH($X616,'Lớp 4 - Danh mục'!$I$14:$I$132,0)),""),5,IFERROR(INDEX('Lớp 5 - Phân công'!$AV$14:$AV$262,MATCH($X616,'Lớp 5 - Phân công'!$I$14:$I$262,0)),""),6,IFERROR(INDEX('Lớp 6 - Chi tiết'!$AY$14:$AY$267,MATCH($X616,'Lớp 6 - Chi tiết'!$I$14:$I$267,0)),""),""))</f>
        <v/>
      </c>
    </row>
    <row r="617" ht="15.75" customHeight="1">
      <c r="A617" s="294" t="str">
        <f t="shared" si="12"/>
        <v/>
      </c>
      <c r="B617" s="301" t="str">
        <f t="shared" si="13"/>
        <v/>
      </c>
      <c r="C617" s="301" t="str">
        <f t="shared" si="14"/>
        <v/>
      </c>
      <c r="D617" s="301" t="str">
        <f t="shared" si="15"/>
        <v/>
      </c>
      <c r="E617" s="301" t="str">
        <f t="shared" si="16"/>
        <v/>
      </c>
      <c r="F617" s="317" t="str">
        <f t="shared" si="17"/>
        <v/>
      </c>
      <c r="G617" s="323" t="str">
        <f t="shared" si="18"/>
        <v/>
      </c>
      <c r="H617" s="327" t="str">
        <f t="shared" si="19"/>
        <v/>
      </c>
      <c r="I617" s="327" t="str">
        <f t="shared" si="20"/>
        <v/>
      </c>
      <c r="J617" s="301" t="str">
        <f t="shared" si="21"/>
        <v/>
      </c>
      <c r="K617" s="301" t="str">
        <f t="shared" si="22"/>
        <v/>
      </c>
      <c r="L617" s="344" t="str">
        <f t="array" ref="L617">IF($T617="","",LET(m,MATCH($T617,$AS$24:$AS$700,0),lvl,INDEX($W$24:$W$700,m),id,INDEX($X$24:$X$700,m),SWITCH(lvl,3,"Lớp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7" s="351" t="str">
        <f t="shared" si="23"/>
        <v/>
      </c>
      <c r="N617" s="356" t="str">
        <f t="shared" si="24"/>
        <v/>
      </c>
      <c r="O617" s="358"/>
      <c r="P617" s="360"/>
      <c r="Q617" s="360"/>
      <c r="R617" s="67"/>
      <c r="S617" s="67"/>
      <c r="T617" s="67"/>
      <c r="U617" s="389" t="str">
        <f>IF('Lớp 6 - Chi tiết'!I179="","",'Lớp 6 - Chi tiết'!L179&amp;"|"&amp;'Lớp 6 - Chi tiết'!K179&amp;"|"&amp;'Lớp 6 - Chi tiết'!J179&amp;"|"&amp;'Lớp 6 - Chi tiết'!I179)</f>
        <v/>
      </c>
      <c r="V617" s="389" t="str">
        <f>IF('Lớp 6 - Chi tiết'!I179="","","           └─ "&amp;'Lớp 6 - Chi tiết'!S179)</f>
        <v/>
      </c>
      <c r="W617" s="389" t="str">
        <f>IF('Lớp 6 - Chi tiết'!I179="","",6)</f>
        <v/>
      </c>
      <c r="X617" s="67" t="str">
        <f>'Lớp 6 - Chi tiết'!I179</f>
        <v/>
      </c>
      <c r="Y617" s="389" t="str">
        <f>'Lớp 6 - Chi tiết'!J179</f>
        <v/>
      </c>
      <c r="Z617" s="67" t="str">
        <f>'Lớp 6 - Chi tiết'!AC179</f>
        <v/>
      </c>
      <c r="AA617" s="67" t="str">
        <f>'Lớp 6 - Chi tiết'!AB179</f>
        <v/>
      </c>
      <c r="AB617" s="67" t="str">
        <f>'Lớp 6 - Chi tiết'!AF179</f>
        <v/>
      </c>
      <c r="AC617" s="67" t="str">
        <f>'Lớp 6 - Chi tiết'!AE179</f>
        <v/>
      </c>
      <c r="AD617" s="398" t="str">
        <f>'Lớp 6 - Chi tiết'!AJ179</f>
        <v/>
      </c>
      <c r="AE617" s="358" t="str">
        <f>'Lớp 6 - Chi tiết'!AH179</f>
        <v/>
      </c>
      <c r="AF617" s="187" t="str">
        <f>'Lớp 6 - Chi tiết'!AK179</f>
        <v/>
      </c>
      <c r="AG617" s="104" t="str">
        <f>'Lớp 6 - Chi tiết'!AL179</f>
        <v/>
      </c>
      <c r="AH617" s="389" t="str">
        <f t="shared" si="27"/>
        <v/>
      </c>
      <c r="AI617" s="389" t="str">
        <f t="shared" si="37"/>
        <v>🔵 Chưa có hạn</v>
      </c>
      <c r="AJ617" s="67" t="str">
        <f>'Lớp 6 - Chi tiết'!AO179</f>
        <v/>
      </c>
      <c r="AS617" s="389" t="str">
        <f t="shared" si="467"/>
        <v/>
      </c>
      <c r="AT617" s="389" t="str">
        <f t="shared" si="32"/>
        <v/>
      </c>
      <c r="AU617" s="389" t="str">
        <f t="shared" si="33"/>
        <v/>
      </c>
      <c r="AV617" s="389" t="str">
        <f t="shared" si="34"/>
        <v/>
      </c>
      <c r="AW617" s="389" t="str">
        <f t="shared" si="35"/>
        <v/>
      </c>
      <c r="AX617" s="67" t="str">
        <f t="shared" ref="AX617:BH617" si="632">Z617</f>
        <v/>
      </c>
      <c r="AY617" s="67" t="str">
        <f t="shared" si="632"/>
        <v/>
      </c>
      <c r="AZ617" s="67" t="str">
        <f t="shared" si="632"/>
        <v/>
      </c>
      <c r="BA617" s="67" t="str">
        <f t="shared" si="632"/>
        <v/>
      </c>
      <c r="BB617" s="398" t="str">
        <f t="shared" si="632"/>
        <v/>
      </c>
      <c r="BC617" s="358" t="str">
        <f t="shared" si="632"/>
        <v/>
      </c>
      <c r="BD617" s="187" t="str">
        <f t="shared" si="632"/>
        <v/>
      </c>
      <c r="BE617" s="104" t="str">
        <f t="shared" si="632"/>
        <v/>
      </c>
      <c r="BF617" s="389" t="str">
        <f t="shared" si="632"/>
        <v/>
      </c>
      <c r="BG617" s="389" t="str">
        <f t="shared" si="632"/>
        <v>🔵 Chưa có hạn</v>
      </c>
      <c r="BH617" s="67" t="str">
        <f t="shared" si="632"/>
        <v/>
      </c>
      <c r="BI617" s="389" t="str">
        <f t="array" ref="BI617">IF($X617="","",SWITCH($W617,3,IFERROR(INDEX('Lớp 3 - Công việc chính'!$AF$14:$AF$73,MATCH($X617,'Lớp 3 - Công việc chính'!$I$14:$I$73,0)),""),4,IFERROR(INDEX('Lớp 4 - Danh mục'!$AI$14:$AI$132,MATCH($X617,'Lớp 4 - Danh mục'!$I$14:$I$132,0)),""),5,IFERROR(INDEX('Lớp 5 - Phân công'!$AJ$14:$AJ$262,MATCH($X617,'Lớp 5 - Phân công'!$I$14:$I$262,0)),""),6,IFERROR(INDEX('Lớp 6 - Chi tiết'!$AM$14:$AM$267,MATCH($X617,'Lớp 6 - Chi tiết'!$I$14:$I$267,0)),""),""))</f>
        <v/>
      </c>
      <c r="BJ617" s="389" t="str">
        <f t="array" ref="BJ617">IF($X617="","",SWITCH($W617,3,IFERROR(INDEX('Lớp 3 - Công việc chính'!$AR$14:$AR$73,MATCH($X617,'Lớp 3 - Công việc chính'!$I$14:$I$73,0)),""),4,IFERROR(INDEX('Lớp 4 - Danh mục'!$AU$14:$AU$132,MATCH($X617,'Lớp 4 - Danh mục'!$I$14:$I$132,0)),""),5,IFERROR(INDEX('Lớp 5 - Phân công'!$AV$14:$AV$262,MATCH($X617,'Lớp 5 - Phân công'!$I$14:$I$262,0)),""),6,IFERROR(INDEX('Lớp 6 - Chi tiết'!$AY$14:$AY$267,MATCH($X617,'Lớp 6 - Chi tiết'!$I$14:$I$267,0)),""),""))</f>
        <v/>
      </c>
    </row>
    <row r="618" ht="15.75" customHeight="1">
      <c r="A618" s="294" t="str">
        <f t="shared" si="12"/>
        <v/>
      </c>
      <c r="B618" s="301" t="str">
        <f t="shared" si="13"/>
        <v/>
      </c>
      <c r="C618" s="301" t="str">
        <f t="shared" si="14"/>
        <v/>
      </c>
      <c r="D618" s="301" t="str">
        <f t="shared" si="15"/>
        <v/>
      </c>
      <c r="E618" s="301" t="str">
        <f t="shared" si="16"/>
        <v/>
      </c>
      <c r="F618" s="317" t="str">
        <f t="shared" si="17"/>
        <v/>
      </c>
      <c r="G618" s="323" t="str">
        <f t="shared" si="18"/>
        <v/>
      </c>
      <c r="H618" s="327" t="str">
        <f t="shared" si="19"/>
        <v/>
      </c>
      <c r="I618" s="327" t="str">
        <f t="shared" si="20"/>
        <v/>
      </c>
      <c r="J618" s="301" t="str">
        <f t="shared" si="21"/>
        <v/>
      </c>
      <c r="K618" s="301" t="str">
        <f t="shared" si="22"/>
        <v/>
      </c>
      <c r="L618" s="344" t="str">
        <f t="array" ref="L618">IF($T618="","",LET(m,MATCH($T618,$AS$24:$AS$700,0),lvl,INDEX($W$24:$W$700,m),id,INDEX($X$24:$X$700,m),SWITCH(lvl,3,"Lớp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8" s="351" t="str">
        <f t="shared" si="23"/>
        <v/>
      </c>
      <c r="N618" s="356" t="str">
        <f t="shared" si="24"/>
        <v/>
      </c>
      <c r="O618" s="358"/>
      <c r="P618" s="360"/>
      <c r="Q618" s="360"/>
      <c r="R618" s="67"/>
      <c r="S618" s="67"/>
      <c r="T618" s="67"/>
      <c r="U618" s="389" t="str">
        <f>IF('Lớp 6 - Chi tiết'!I180="","",'Lớp 6 - Chi tiết'!L180&amp;"|"&amp;'Lớp 6 - Chi tiết'!K180&amp;"|"&amp;'Lớp 6 - Chi tiết'!J180&amp;"|"&amp;'Lớp 6 - Chi tiết'!I180)</f>
        <v/>
      </c>
      <c r="V618" s="389" t="str">
        <f>IF('Lớp 6 - Chi tiết'!I180="","","           └─ "&amp;'Lớp 6 - Chi tiết'!S180)</f>
        <v/>
      </c>
      <c r="W618" s="389" t="str">
        <f>IF('Lớp 6 - Chi tiết'!I180="","",6)</f>
        <v/>
      </c>
      <c r="X618" s="67" t="str">
        <f>'Lớp 6 - Chi tiết'!I180</f>
        <v/>
      </c>
      <c r="Y618" s="389" t="str">
        <f>'Lớp 6 - Chi tiết'!J180</f>
        <v/>
      </c>
      <c r="Z618" s="67" t="str">
        <f>'Lớp 6 - Chi tiết'!AC180</f>
        <v/>
      </c>
      <c r="AA618" s="67" t="str">
        <f>'Lớp 6 - Chi tiết'!AB180</f>
        <v/>
      </c>
      <c r="AB618" s="67" t="str">
        <f>'Lớp 6 - Chi tiết'!AF180</f>
        <v/>
      </c>
      <c r="AC618" s="67" t="str">
        <f>'Lớp 6 - Chi tiết'!AE180</f>
        <v/>
      </c>
      <c r="AD618" s="398" t="str">
        <f>'Lớp 6 - Chi tiết'!AJ180</f>
        <v/>
      </c>
      <c r="AE618" s="358" t="str">
        <f>'Lớp 6 - Chi tiết'!AH180</f>
        <v/>
      </c>
      <c r="AF618" s="187" t="str">
        <f>'Lớp 6 - Chi tiết'!AK180</f>
        <v/>
      </c>
      <c r="AG618" s="104" t="str">
        <f>'Lớp 6 - Chi tiết'!AL180</f>
        <v/>
      </c>
      <c r="AH618" s="389" t="str">
        <f t="shared" si="27"/>
        <v/>
      </c>
      <c r="AI618" s="389" t="str">
        <f t="shared" si="37"/>
        <v>🔵 Chưa có hạn</v>
      </c>
      <c r="AJ618" s="67" t="str">
        <f>'Lớp 6 - Chi tiết'!AO180</f>
        <v/>
      </c>
      <c r="AS618" s="389" t="str">
        <f t="shared" si="467"/>
        <v/>
      </c>
      <c r="AT618" s="389" t="str">
        <f t="shared" si="32"/>
        <v/>
      </c>
      <c r="AU618" s="389" t="str">
        <f t="shared" si="33"/>
        <v/>
      </c>
      <c r="AV618" s="389" t="str">
        <f t="shared" si="34"/>
        <v/>
      </c>
      <c r="AW618" s="389" t="str">
        <f t="shared" si="35"/>
        <v/>
      </c>
      <c r="AX618" s="67" t="str">
        <f t="shared" ref="AX618:BH618" si="633">Z618</f>
        <v/>
      </c>
      <c r="AY618" s="67" t="str">
        <f t="shared" si="633"/>
        <v/>
      </c>
      <c r="AZ618" s="67" t="str">
        <f t="shared" si="633"/>
        <v/>
      </c>
      <c r="BA618" s="67" t="str">
        <f t="shared" si="633"/>
        <v/>
      </c>
      <c r="BB618" s="398" t="str">
        <f t="shared" si="633"/>
        <v/>
      </c>
      <c r="BC618" s="358" t="str">
        <f t="shared" si="633"/>
        <v/>
      </c>
      <c r="BD618" s="187" t="str">
        <f t="shared" si="633"/>
        <v/>
      </c>
      <c r="BE618" s="104" t="str">
        <f t="shared" si="633"/>
        <v/>
      </c>
      <c r="BF618" s="389" t="str">
        <f t="shared" si="633"/>
        <v/>
      </c>
      <c r="BG618" s="389" t="str">
        <f t="shared" si="633"/>
        <v>🔵 Chưa có hạn</v>
      </c>
      <c r="BH618" s="67" t="str">
        <f t="shared" si="633"/>
        <v/>
      </c>
      <c r="BI618" s="389" t="str">
        <f t="array" ref="BI618">IF($X618="","",SWITCH($W618,3,IFERROR(INDEX('Lớp 3 - Công việc chính'!$AF$14:$AF$73,MATCH($X618,'Lớp 3 - Công việc chính'!$I$14:$I$73,0)),""),4,IFERROR(INDEX('Lớp 4 - Danh mục'!$AI$14:$AI$132,MATCH($X618,'Lớp 4 - Danh mục'!$I$14:$I$132,0)),""),5,IFERROR(INDEX('Lớp 5 - Phân công'!$AJ$14:$AJ$262,MATCH($X618,'Lớp 5 - Phân công'!$I$14:$I$262,0)),""),6,IFERROR(INDEX('Lớp 6 - Chi tiết'!$AM$14:$AM$267,MATCH($X618,'Lớp 6 - Chi tiết'!$I$14:$I$267,0)),""),""))</f>
        <v/>
      </c>
      <c r="BJ618" s="389" t="str">
        <f t="array" ref="BJ618">IF($X618="","",SWITCH($W618,3,IFERROR(INDEX('Lớp 3 - Công việc chính'!$AR$14:$AR$73,MATCH($X618,'Lớp 3 - Công việc chính'!$I$14:$I$73,0)),""),4,IFERROR(INDEX('Lớp 4 - Danh mục'!$AU$14:$AU$132,MATCH($X618,'Lớp 4 - Danh mục'!$I$14:$I$132,0)),""),5,IFERROR(INDEX('Lớp 5 - Phân công'!$AV$14:$AV$262,MATCH($X618,'Lớp 5 - Phân công'!$I$14:$I$262,0)),""),6,IFERROR(INDEX('Lớp 6 - Chi tiết'!$AY$14:$AY$267,MATCH($X618,'Lớp 6 - Chi tiết'!$I$14:$I$267,0)),""),""))</f>
        <v/>
      </c>
    </row>
    <row r="619" ht="15.75" customHeight="1">
      <c r="A619" s="294" t="str">
        <f t="shared" si="12"/>
        <v/>
      </c>
      <c r="B619" s="301" t="str">
        <f t="shared" si="13"/>
        <v/>
      </c>
      <c r="C619" s="301" t="str">
        <f t="shared" si="14"/>
        <v/>
      </c>
      <c r="D619" s="301" t="str">
        <f t="shared" si="15"/>
        <v/>
      </c>
      <c r="E619" s="301" t="str">
        <f t="shared" si="16"/>
        <v/>
      </c>
      <c r="F619" s="317" t="str">
        <f t="shared" si="17"/>
        <v/>
      </c>
      <c r="G619" s="323" t="str">
        <f t="shared" si="18"/>
        <v/>
      </c>
      <c r="H619" s="327" t="str">
        <f t="shared" si="19"/>
        <v/>
      </c>
      <c r="I619" s="327" t="str">
        <f t="shared" si="20"/>
        <v/>
      </c>
      <c r="J619" s="301" t="str">
        <f t="shared" si="21"/>
        <v/>
      </c>
      <c r="K619" s="301" t="str">
        <f t="shared" si="22"/>
        <v/>
      </c>
      <c r="L619" s="344" t="str">
        <f t="array" ref="L619">IF($T619="","",LET(m,MATCH($T619,$AS$24:$AS$700,0),lvl,INDEX($W$24:$W$700,m),id,INDEX($X$24:$X$700,m),SWITCH(lvl,3,"Lớp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19" s="351" t="str">
        <f t="shared" si="23"/>
        <v/>
      </c>
      <c r="N619" s="356" t="str">
        <f t="shared" si="24"/>
        <v/>
      </c>
      <c r="O619" s="358"/>
      <c r="P619" s="360"/>
      <c r="Q619" s="360"/>
      <c r="R619" s="67"/>
      <c r="S619" s="67"/>
      <c r="T619" s="67"/>
      <c r="U619" s="389" t="str">
        <f>IF('Lớp 6 - Chi tiết'!I181="","",'Lớp 6 - Chi tiết'!L181&amp;"|"&amp;'Lớp 6 - Chi tiết'!K181&amp;"|"&amp;'Lớp 6 - Chi tiết'!J181&amp;"|"&amp;'Lớp 6 - Chi tiết'!I181)</f>
        <v/>
      </c>
      <c r="V619" s="389" t="str">
        <f>IF('Lớp 6 - Chi tiết'!I181="","","           └─ "&amp;'Lớp 6 - Chi tiết'!S181)</f>
        <v/>
      </c>
      <c r="W619" s="389" t="str">
        <f>IF('Lớp 6 - Chi tiết'!I181="","",6)</f>
        <v/>
      </c>
      <c r="X619" s="67" t="str">
        <f>'Lớp 6 - Chi tiết'!I181</f>
        <v/>
      </c>
      <c r="Y619" s="389" t="str">
        <f>'Lớp 6 - Chi tiết'!J181</f>
        <v/>
      </c>
      <c r="Z619" s="67" t="str">
        <f>'Lớp 6 - Chi tiết'!AC181</f>
        <v/>
      </c>
      <c r="AA619" s="67" t="str">
        <f>'Lớp 6 - Chi tiết'!AB181</f>
        <v/>
      </c>
      <c r="AB619" s="67" t="str">
        <f>'Lớp 6 - Chi tiết'!AF181</f>
        <v/>
      </c>
      <c r="AC619" s="67" t="str">
        <f>'Lớp 6 - Chi tiết'!AE181</f>
        <v/>
      </c>
      <c r="AD619" s="398" t="str">
        <f>'Lớp 6 - Chi tiết'!AJ181</f>
        <v/>
      </c>
      <c r="AE619" s="358" t="str">
        <f>'Lớp 6 - Chi tiết'!AH181</f>
        <v/>
      </c>
      <c r="AF619" s="187" t="str">
        <f>'Lớp 6 - Chi tiết'!AK181</f>
        <v/>
      </c>
      <c r="AG619" s="104" t="str">
        <f>'Lớp 6 - Chi tiết'!AL181</f>
        <v/>
      </c>
      <c r="AH619" s="389" t="str">
        <f t="shared" si="27"/>
        <v/>
      </c>
      <c r="AI619" s="389" t="str">
        <f t="shared" si="37"/>
        <v>🔵 Chưa có hạn</v>
      </c>
      <c r="AJ619" s="67" t="str">
        <f>'Lớp 6 - Chi tiết'!AO181</f>
        <v/>
      </c>
      <c r="AS619" s="389" t="str">
        <f t="shared" si="467"/>
        <v/>
      </c>
      <c r="AT619" s="389" t="str">
        <f t="shared" si="32"/>
        <v/>
      </c>
      <c r="AU619" s="389" t="str">
        <f t="shared" si="33"/>
        <v/>
      </c>
      <c r="AV619" s="389" t="str">
        <f t="shared" si="34"/>
        <v/>
      </c>
      <c r="AW619" s="389" t="str">
        <f t="shared" si="35"/>
        <v/>
      </c>
      <c r="AX619" s="67" t="str">
        <f t="shared" ref="AX619:BH619" si="634">Z619</f>
        <v/>
      </c>
      <c r="AY619" s="67" t="str">
        <f t="shared" si="634"/>
        <v/>
      </c>
      <c r="AZ619" s="67" t="str">
        <f t="shared" si="634"/>
        <v/>
      </c>
      <c r="BA619" s="67" t="str">
        <f t="shared" si="634"/>
        <v/>
      </c>
      <c r="BB619" s="398" t="str">
        <f t="shared" si="634"/>
        <v/>
      </c>
      <c r="BC619" s="358" t="str">
        <f t="shared" si="634"/>
        <v/>
      </c>
      <c r="BD619" s="187" t="str">
        <f t="shared" si="634"/>
        <v/>
      </c>
      <c r="BE619" s="104" t="str">
        <f t="shared" si="634"/>
        <v/>
      </c>
      <c r="BF619" s="389" t="str">
        <f t="shared" si="634"/>
        <v/>
      </c>
      <c r="BG619" s="389" t="str">
        <f t="shared" si="634"/>
        <v>🔵 Chưa có hạn</v>
      </c>
      <c r="BH619" s="67" t="str">
        <f t="shared" si="634"/>
        <v/>
      </c>
      <c r="BI619" s="389" t="str">
        <f t="array" ref="BI619">IF($X619="","",SWITCH($W619,3,IFERROR(INDEX('Lớp 3 - Công việc chính'!$AF$14:$AF$73,MATCH($X619,'Lớp 3 - Công việc chính'!$I$14:$I$73,0)),""),4,IFERROR(INDEX('Lớp 4 - Danh mục'!$AI$14:$AI$132,MATCH($X619,'Lớp 4 - Danh mục'!$I$14:$I$132,0)),""),5,IFERROR(INDEX('Lớp 5 - Phân công'!$AJ$14:$AJ$262,MATCH($X619,'Lớp 5 - Phân công'!$I$14:$I$262,0)),""),6,IFERROR(INDEX('Lớp 6 - Chi tiết'!$AM$14:$AM$267,MATCH($X619,'Lớp 6 - Chi tiết'!$I$14:$I$267,0)),""),""))</f>
        <v/>
      </c>
      <c r="BJ619" s="389" t="str">
        <f t="array" ref="BJ619">IF($X619="","",SWITCH($W619,3,IFERROR(INDEX('Lớp 3 - Công việc chính'!$AR$14:$AR$73,MATCH($X619,'Lớp 3 - Công việc chính'!$I$14:$I$73,0)),""),4,IFERROR(INDEX('Lớp 4 - Danh mục'!$AU$14:$AU$132,MATCH($X619,'Lớp 4 - Danh mục'!$I$14:$I$132,0)),""),5,IFERROR(INDEX('Lớp 5 - Phân công'!$AV$14:$AV$262,MATCH($X619,'Lớp 5 - Phân công'!$I$14:$I$262,0)),""),6,IFERROR(INDEX('Lớp 6 - Chi tiết'!$AY$14:$AY$267,MATCH($X619,'Lớp 6 - Chi tiết'!$I$14:$I$267,0)),""),""))</f>
        <v/>
      </c>
    </row>
    <row r="620" ht="15.75" customHeight="1">
      <c r="A620" s="294" t="str">
        <f t="shared" si="12"/>
        <v/>
      </c>
      <c r="B620" s="301" t="str">
        <f t="shared" si="13"/>
        <v/>
      </c>
      <c r="C620" s="301" t="str">
        <f t="shared" si="14"/>
        <v/>
      </c>
      <c r="D620" s="301" t="str">
        <f t="shared" si="15"/>
        <v/>
      </c>
      <c r="E620" s="301" t="str">
        <f t="shared" si="16"/>
        <v/>
      </c>
      <c r="F620" s="317" t="str">
        <f t="shared" si="17"/>
        <v/>
      </c>
      <c r="G620" s="323" t="str">
        <f t="shared" si="18"/>
        <v/>
      </c>
      <c r="H620" s="327" t="str">
        <f t="shared" si="19"/>
        <v/>
      </c>
      <c r="I620" s="327" t="str">
        <f t="shared" si="20"/>
        <v/>
      </c>
      <c r="J620" s="301" t="str">
        <f t="shared" si="21"/>
        <v/>
      </c>
      <c r="K620" s="301" t="str">
        <f t="shared" si="22"/>
        <v/>
      </c>
      <c r="L620" s="344" t="str">
        <f t="array" ref="L620">IF($T620="","",LET(m,MATCH($T620,$AS$24:$AS$700,0),lvl,INDEX($W$24:$W$700,m),id,INDEX($X$24:$X$700,m),SWITCH(lvl,3,"Lớp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0" s="351" t="str">
        <f t="shared" si="23"/>
        <v/>
      </c>
      <c r="N620" s="356" t="str">
        <f t="shared" si="24"/>
        <v/>
      </c>
      <c r="O620" s="358"/>
      <c r="P620" s="360"/>
      <c r="Q620" s="360"/>
      <c r="R620" s="67"/>
      <c r="S620" s="67"/>
      <c r="T620" s="67"/>
      <c r="U620" s="389" t="str">
        <f>IF('Lớp 6 - Chi tiết'!I182="","",'Lớp 6 - Chi tiết'!L182&amp;"|"&amp;'Lớp 6 - Chi tiết'!K182&amp;"|"&amp;'Lớp 6 - Chi tiết'!J182&amp;"|"&amp;'Lớp 6 - Chi tiết'!I182)</f>
        <v/>
      </c>
      <c r="V620" s="389" t="str">
        <f>IF('Lớp 6 - Chi tiết'!I182="","","           └─ "&amp;'Lớp 6 - Chi tiết'!S182)</f>
        <v/>
      </c>
      <c r="W620" s="389" t="str">
        <f>IF('Lớp 6 - Chi tiết'!I182="","",6)</f>
        <v/>
      </c>
      <c r="X620" s="67" t="str">
        <f>'Lớp 6 - Chi tiết'!I182</f>
        <v/>
      </c>
      <c r="Y620" s="389" t="str">
        <f>'Lớp 6 - Chi tiết'!J182</f>
        <v/>
      </c>
      <c r="Z620" s="67" t="str">
        <f>'Lớp 6 - Chi tiết'!AC182</f>
        <v/>
      </c>
      <c r="AA620" s="67" t="str">
        <f>'Lớp 6 - Chi tiết'!AB182</f>
        <v/>
      </c>
      <c r="AB620" s="67" t="str">
        <f>'Lớp 6 - Chi tiết'!AF182</f>
        <v/>
      </c>
      <c r="AC620" s="67" t="str">
        <f>'Lớp 6 - Chi tiết'!AE182</f>
        <v/>
      </c>
      <c r="AD620" s="398" t="str">
        <f>'Lớp 6 - Chi tiết'!AJ182</f>
        <v/>
      </c>
      <c r="AE620" s="358" t="str">
        <f>'Lớp 6 - Chi tiết'!AH182</f>
        <v/>
      </c>
      <c r="AF620" s="187" t="str">
        <f>'Lớp 6 - Chi tiết'!AK182</f>
        <v/>
      </c>
      <c r="AG620" s="104" t="str">
        <f>'Lớp 6 - Chi tiết'!AL182</f>
        <v/>
      </c>
      <c r="AH620" s="389" t="str">
        <f t="shared" si="27"/>
        <v/>
      </c>
      <c r="AI620" s="389" t="str">
        <f t="shared" si="37"/>
        <v>🔵 Chưa có hạn</v>
      </c>
      <c r="AJ620" s="67" t="str">
        <f>'Lớp 6 - Chi tiết'!AO182</f>
        <v/>
      </c>
      <c r="AS620" s="389" t="str">
        <f t="shared" si="467"/>
        <v/>
      </c>
      <c r="AT620" s="389" t="str">
        <f t="shared" si="32"/>
        <v/>
      </c>
      <c r="AU620" s="389" t="str">
        <f t="shared" si="33"/>
        <v/>
      </c>
      <c r="AV620" s="389" t="str">
        <f t="shared" si="34"/>
        <v/>
      </c>
      <c r="AW620" s="389" t="str">
        <f t="shared" si="35"/>
        <v/>
      </c>
      <c r="AX620" s="67" t="str">
        <f t="shared" ref="AX620:BH620" si="635">Z620</f>
        <v/>
      </c>
      <c r="AY620" s="67" t="str">
        <f t="shared" si="635"/>
        <v/>
      </c>
      <c r="AZ620" s="67" t="str">
        <f t="shared" si="635"/>
        <v/>
      </c>
      <c r="BA620" s="67" t="str">
        <f t="shared" si="635"/>
        <v/>
      </c>
      <c r="BB620" s="398" t="str">
        <f t="shared" si="635"/>
        <v/>
      </c>
      <c r="BC620" s="358" t="str">
        <f t="shared" si="635"/>
        <v/>
      </c>
      <c r="BD620" s="187" t="str">
        <f t="shared" si="635"/>
        <v/>
      </c>
      <c r="BE620" s="104" t="str">
        <f t="shared" si="635"/>
        <v/>
      </c>
      <c r="BF620" s="389" t="str">
        <f t="shared" si="635"/>
        <v/>
      </c>
      <c r="BG620" s="389" t="str">
        <f t="shared" si="635"/>
        <v>🔵 Chưa có hạn</v>
      </c>
      <c r="BH620" s="67" t="str">
        <f t="shared" si="635"/>
        <v/>
      </c>
      <c r="BI620" s="389" t="str">
        <f t="array" ref="BI620">IF($X620="","",SWITCH($W620,3,IFERROR(INDEX('Lớp 3 - Công việc chính'!$AF$14:$AF$73,MATCH($X620,'Lớp 3 - Công việc chính'!$I$14:$I$73,0)),""),4,IFERROR(INDEX('Lớp 4 - Danh mục'!$AI$14:$AI$132,MATCH($X620,'Lớp 4 - Danh mục'!$I$14:$I$132,0)),""),5,IFERROR(INDEX('Lớp 5 - Phân công'!$AJ$14:$AJ$262,MATCH($X620,'Lớp 5 - Phân công'!$I$14:$I$262,0)),""),6,IFERROR(INDEX('Lớp 6 - Chi tiết'!$AM$14:$AM$267,MATCH($X620,'Lớp 6 - Chi tiết'!$I$14:$I$267,0)),""),""))</f>
        <v/>
      </c>
      <c r="BJ620" s="389" t="str">
        <f t="array" ref="BJ620">IF($X620="","",SWITCH($W620,3,IFERROR(INDEX('Lớp 3 - Công việc chính'!$AR$14:$AR$73,MATCH($X620,'Lớp 3 - Công việc chính'!$I$14:$I$73,0)),""),4,IFERROR(INDEX('Lớp 4 - Danh mục'!$AU$14:$AU$132,MATCH($X620,'Lớp 4 - Danh mục'!$I$14:$I$132,0)),""),5,IFERROR(INDEX('Lớp 5 - Phân công'!$AV$14:$AV$262,MATCH($X620,'Lớp 5 - Phân công'!$I$14:$I$262,0)),""),6,IFERROR(INDEX('Lớp 6 - Chi tiết'!$AY$14:$AY$267,MATCH($X620,'Lớp 6 - Chi tiết'!$I$14:$I$267,0)),""),""))</f>
        <v/>
      </c>
    </row>
    <row r="621" ht="15.75" customHeight="1">
      <c r="A621" s="294" t="str">
        <f t="shared" si="12"/>
        <v/>
      </c>
      <c r="B621" s="301" t="str">
        <f t="shared" si="13"/>
        <v/>
      </c>
      <c r="C621" s="301" t="str">
        <f t="shared" si="14"/>
        <v/>
      </c>
      <c r="D621" s="301" t="str">
        <f t="shared" si="15"/>
        <v/>
      </c>
      <c r="E621" s="301" t="str">
        <f t="shared" si="16"/>
        <v/>
      </c>
      <c r="F621" s="317" t="str">
        <f t="shared" si="17"/>
        <v/>
      </c>
      <c r="G621" s="323" t="str">
        <f t="shared" si="18"/>
        <v/>
      </c>
      <c r="H621" s="327" t="str">
        <f t="shared" si="19"/>
        <v/>
      </c>
      <c r="I621" s="327" t="str">
        <f t="shared" si="20"/>
        <v/>
      </c>
      <c r="J621" s="301" t="str">
        <f t="shared" si="21"/>
        <v/>
      </c>
      <c r="K621" s="301" t="str">
        <f t="shared" si="22"/>
        <v/>
      </c>
      <c r="L621" s="344" t="str">
        <f t="array" ref="L621">IF($T621="","",LET(m,MATCH($T621,$AS$24:$AS$700,0),lvl,INDEX($W$24:$W$700,m),id,INDEX($X$24:$X$700,m),SWITCH(lvl,3,"Lớp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1" s="351" t="str">
        <f t="shared" si="23"/>
        <v/>
      </c>
      <c r="N621" s="356" t="str">
        <f t="shared" si="24"/>
        <v/>
      </c>
      <c r="O621" s="358"/>
      <c r="P621" s="360"/>
      <c r="Q621" s="360"/>
      <c r="R621" s="67"/>
      <c r="S621" s="67"/>
      <c r="T621" s="67"/>
      <c r="U621" s="389" t="str">
        <f>IF('Lớp 6 - Chi tiết'!I183="","",'Lớp 6 - Chi tiết'!L183&amp;"|"&amp;'Lớp 6 - Chi tiết'!K183&amp;"|"&amp;'Lớp 6 - Chi tiết'!J183&amp;"|"&amp;'Lớp 6 - Chi tiết'!I183)</f>
        <v/>
      </c>
      <c r="V621" s="389" t="str">
        <f>IF('Lớp 6 - Chi tiết'!I183="","","           └─ "&amp;'Lớp 6 - Chi tiết'!S183)</f>
        <v/>
      </c>
      <c r="W621" s="389" t="str">
        <f>IF('Lớp 6 - Chi tiết'!I183="","",6)</f>
        <v/>
      </c>
      <c r="X621" s="67" t="str">
        <f>'Lớp 6 - Chi tiết'!I183</f>
        <v/>
      </c>
      <c r="Y621" s="389" t="str">
        <f>'Lớp 6 - Chi tiết'!J183</f>
        <v/>
      </c>
      <c r="Z621" s="67" t="str">
        <f>'Lớp 6 - Chi tiết'!AC183</f>
        <v/>
      </c>
      <c r="AA621" s="67" t="str">
        <f>'Lớp 6 - Chi tiết'!AB183</f>
        <v/>
      </c>
      <c r="AB621" s="67" t="str">
        <f>'Lớp 6 - Chi tiết'!AF183</f>
        <v/>
      </c>
      <c r="AC621" s="67" t="str">
        <f>'Lớp 6 - Chi tiết'!AE183</f>
        <v/>
      </c>
      <c r="AD621" s="398" t="str">
        <f>'Lớp 6 - Chi tiết'!AJ183</f>
        <v/>
      </c>
      <c r="AE621" s="358" t="str">
        <f>'Lớp 6 - Chi tiết'!AH183</f>
        <v/>
      </c>
      <c r="AF621" s="187" t="str">
        <f>'Lớp 6 - Chi tiết'!AK183</f>
        <v/>
      </c>
      <c r="AG621" s="104" t="str">
        <f>'Lớp 6 - Chi tiết'!AL183</f>
        <v/>
      </c>
      <c r="AH621" s="389" t="str">
        <f t="shared" si="27"/>
        <v/>
      </c>
      <c r="AI621" s="389" t="str">
        <f t="shared" si="37"/>
        <v>🔵 Chưa có hạn</v>
      </c>
      <c r="AJ621" s="67" t="str">
        <f>'Lớp 6 - Chi tiết'!AO183</f>
        <v/>
      </c>
      <c r="AS621" s="389" t="str">
        <f t="shared" si="467"/>
        <v/>
      </c>
      <c r="AT621" s="389" t="str">
        <f t="shared" si="32"/>
        <v/>
      </c>
      <c r="AU621" s="389" t="str">
        <f t="shared" si="33"/>
        <v/>
      </c>
      <c r="AV621" s="389" t="str">
        <f t="shared" si="34"/>
        <v/>
      </c>
      <c r="AW621" s="389" t="str">
        <f t="shared" si="35"/>
        <v/>
      </c>
      <c r="AX621" s="67" t="str">
        <f t="shared" ref="AX621:BH621" si="636">Z621</f>
        <v/>
      </c>
      <c r="AY621" s="67" t="str">
        <f t="shared" si="636"/>
        <v/>
      </c>
      <c r="AZ621" s="67" t="str">
        <f t="shared" si="636"/>
        <v/>
      </c>
      <c r="BA621" s="67" t="str">
        <f t="shared" si="636"/>
        <v/>
      </c>
      <c r="BB621" s="398" t="str">
        <f t="shared" si="636"/>
        <v/>
      </c>
      <c r="BC621" s="358" t="str">
        <f t="shared" si="636"/>
        <v/>
      </c>
      <c r="BD621" s="187" t="str">
        <f t="shared" si="636"/>
        <v/>
      </c>
      <c r="BE621" s="104" t="str">
        <f t="shared" si="636"/>
        <v/>
      </c>
      <c r="BF621" s="389" t="str">
        <f t="shared" si="636"/>
        <v/>
      </c>
      <c r="BG621" s="389" t="str">
        <f t="shared" si="636"/>
        <v>🔵 Chưa có hạn</v>
      </c>
      <c r="BH621" s="67" t="str">
        <f t="shared" si="636"/>
        <v/>
      </c>
      <c r="BI621" s="389" t="str">
        <f t="array" ref="BI621">IF($X621="","",SWITCH($W621,3,IFERROR(INDEX('Lớp 3 - Công việc chính'!$AF$14:$AF$73,MATCH($X621,'Lớp 3 - Công việc chính'!$I$14:$I$73,0)),""),4,IFERROR(INDEX('Lớp 4 - Danh mục'!$AI$14:$AI$132,MATCH($X621,'Lớp 4 - Danh mục'!$I$14:$I$132,0)),""),5,IFERROR(INDEX('Lớp 5 - Phân công'!$AJ$14:$AJ$262,MATCH($X621,'Lớp 5 - Phân công'!$I$14:$I$262,0)),""),6,IFERROR(INDEX('Lớp 6 - Chi tiết'!$AM$14:$AM$267,MATCH($X621,'Lớp 6 - Chi tiết'!$I$14:$I$267,0)),""),""))</f>
        <v/>
      </c>
      <c r="BJ621" s="389" t="str">
        <f t="array" ref="BJ621">IF($X621="","",SWITCH($W621,3,IFERROR(INDEX('Lớp 3 - Công việc chính'!$AR$14:$AR$73,MATCH($X621,'Lớp 3 - Công việc chính'!$I$14:$I$73,0)),""),4,IFERROR(INDEX('Lớp 4 - Danh mục'!$AU$14:$AU$132,MATCH($X621,'Lớp 4 - Danh mục'!$I$14:$I$132,0)),""),5,IFERROR(INDEX('Lớp 5 - Phân công'!$AV$14:$AV$262,MATCH($X621,'Lớp 5 - Phân công'!$I$14:$I$262,0)),""),6,IFERROR(INDEX('Lớp 6 - Chi tiết'!$AY$14:$AY$267,MATCH($X621,'Lớp 6 - Chi tiết'!$I$14:$I$267,0)),""),""))</f>
        <v/>
      </c>
    </row>
    <row r="622" ht="15.75" customHeight="1">
      <c r="A622" s="294" t="str">
        <f t="shared" si="12"/>
        <v/>
      </c>
      <c r="B622" s="301" t="str">
        <f t="shared" si="13"/>
        <v/>
      </c>
      <c r="C622" s="301" t="str">
        <f t="shared" si="14"/>
        <v/>
      </c>
      <c r="D622" s="301" t="str">
        <f t="shared" si="15"/>
        <v/>
      </c>
      <c r="E622" s="301" t="str">
        <f t="shared" si="16"/>
        <v/>
      </c>
      <c r="F622" s="317" t="str">
        <f t="shared" si="17"/>
        <v/>
      </c>
      <c r="G622" s="323" t="str">
        <f t="shared" si="18"/>
        <v/>
      </c>
      <c r="H622" s="327" t="str">
        <f t="shared" si="19"/>
        <v/>
      </c>
      <c r="I622" s="327" t="str">
        <f t="shared" si="20"/>
        <v/>
      </c>
      <c r="J622" s="301" t="str">
        <f t="shared" si="21"/>
        <v/>
      </c>
      <c r="K622" s="301" t="str">
        <f t="shared" si="22"/>
        <v/>
      </c>
      <c r="L622" s="344" t="str">
        <f t="array" ref="L622">IF($T622="","",LET(m,MATCH($T622,$AS$24:$AS$700,0),lvl,INDEX($W$24:$W$700,m),id,INDEX($X$24:$X$700,m),SWITCH(lvl,3,"Lớp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2" s="351" t="str">
        <f t="shared" si="23"/>
        <v/>
      </c>
      <c r="N622" s="356" t="str">
        <f t="shared" si="24"/>
        <v/>
      </c>
      <c r="O622" s="358"/>
      <c r="P622" s="360"/>
      <c r="Q622" s="360"/>
      <c r="R622" s="67"/>
      <c r="S622" s="67"/>
      <c r="T622" s="67"/>
      <c r="U622" s="389" t="str">
        <f>IF('Lớp 6 - Chi tiết'!I184="","",'Lớp 6 - Chi tiết'!L184&amp;"|"&amp;'Lớp 6 - Chi tiết'!K184&amp;"|"&amp;'Lớp 6 - Chi tiết'!J184&amp;"|"&amp;'Lớp 6 - Chi tiết'!I184)</f>
        <v/>
      </c>
      <c r="V622" s="389" t="str">
        <f>IF('Lớp 6 - Chi tiết'!I184="","","           └─ "&amp;'Lớp 6 - Chi tiết'!S184)</f>
        <v/>
      </c>
      <c r="W622" s="389" t="str">
        <f>IF('Lớp 6 - Chi tiết'!I184="","",6)</f>
        <v/>
      </c>
      <c r="X622" s="67" t="str">
        <f>'Lớp 6 - Chi tiết'!I184</f>
        <v/>
      </c>
      <c r="Y622" s="389" t="str">
        <f>'Lớp 6 - Chi tiết'!J184</f>
        <v/>
      </c>
      <c r="Z622" s="67" t="str">
        <f>'Lớp 6 - Chi tiết'!AC184</f>
        <v/>
      </c>
      <c r="AA622" s="67" t="str">
        <f>'Lớp 6 - Chi tiết'!AB184</f>
        <v/>
      </c>
      <c r="AB622" s="67" t="str">
        <f>'Lớp 6 - Chi tiết'!AF184</f>
        <v/>
      </c>
      <c r="AC622" s="67" t="str">
        <f>'Lớp 6 - Chi tiết'!AE184</f>
        <v/>
      </c>
      <c r="AD622" s="398" t="str">
        <f>'Lớp 6 - Chi tiết'!AJ184</f>
        <v/>
      </c>
      <c r="AE622" s="358" t="str">
        <f>'Lớp 6 - Chi tiết'!AH184</f>
        <v/>
      </c>
      <c r="AF622" s="187" t="str">
        <f>'Lớp 6 - Chi tiết'!AK184</f>
        <v/>
      </c>
      <c r="AG622" s="104" t="str">
        <f>'Lớp 6 - Chi tiết'!AL184</f>
        <v/>
      </c>
      <c r="AH622" s="389" t="str">
        <f t="shared" si="27"/>
        <v/>
      </c>
      <c r="AI622" s="389" t="str">
        <f t="shared" si="37"/>
        <v>🔵 Chưa có hạn</v>
      </c>
      <c r="AJ622" s="67" t="str">
        <f>'Lớp 6 - Chi tiết'!AO184</f>
        <v/>
      </c>
      <c r="AS622" s="389" t="str">
        <f t="shared" si="467"/>
        <v/>
      </c>
      <c r="AT622" s="389" t="str">
        <f t="shared" si="32"/>
        <v/>
      </c>
      <c r="AU622" s="389" t="str">
        <f t="shared" si="33"/>
        <v/>
      </c>
      <c r="AV622" s="389" t="str">
        <f t="shared" si="34"/>
        <v/>
      </c>
      <c r="AW622" s="389" t="str">
        <f t="shared" si="35"/>
        <v/>
      </c>
      <c r="AX622" s="67" t="str">
        <f t="shared" ref="AX622:BH622" si="637">Z622</f>
        <v/>
      </c>
      <c r="AY622" s="67" t="str">
        <f t="shared" si="637"/>
        <v/>
      </c>
      <c r="AZ622" s="67" t="str">
        <f t="shared" si="637"/>
        <v/>
      </c>
      <c r="BA622" s="67" t="str">
        <f t="shared" si="637"/>
        <v/>
      </c>
      <c r="BB622" s="398" t="str">
        <f t="shared" si="637"/>
        <v/>
      </c>
      <c r="BC622" s="358" t="str">
        <f t="shared" si="637"/>
        <v/>
      </c>
      <c r="BD622" s="187" t="str">
        <f t="shared" si="637"/>
        <v/>
      </c>
      <c r="BE622" s="104" t="str">
        <f t="shared" si="637"/>
        <v/>
      </c>
      <c r="BF622" s="389" t="str">
        <f t="shared" si="637"/>
        <v/>
      </c>
      <c r="BG622" s="389" t="str">
        <f t="shared" si="637"/>
        <v>🔵 Chưa có hạn</v>
      </c>
      <c r="BH622" s="67" t="str">
        <f t="shared" si="637"/>
        <v/>
      </c>
      <c r="BI622" s="389" t="str">
        <f t="array" ref="BI622">IF($X622="","",SWITCH($W622,3,IFERROR(INDEX('Lớp 3 - Công việc chính'!$AF$14:$AF$73,MATCH($X622,'Lớp 3 - Công việc chính'!$I$14:$I$73,0)),""),4,IFERROR(INDEX('Lớp 4 - Danh mục'!$AI$14:$AI$132,MATCH($X622,'Lớp 4 - Danh mục'!$I$14:$I$132,0)),""),5,IFERROR(INDEX('Lớp 5 - Phân công'!$AJ$14:$AJ$262,MATCH($X622,'Lớp 5 - Phân công'!$I$14:$I$262,0)),""),6,IFERROR(INDEX('Lớp 6 - Chi tiết'!$AM$14:$AM$267,MATCH($X622,'Lớp 6 - Chi tiết'!$I$14:$I$267,0)),""),""))</f>
        <v/>
      </c>
      <c r="BJ622" s="389" t="str">
        <f t="array" ref="BJ622">IF($X622="","",SWITCH($W622,3,IFERROR(INDEX('Lớp 3 - Công việc chính'!$AR$14:$AR$73,MATCH($X622,'Lớp 3 - Công việc chính'!$I$14:$I$73,0)),""),4,IFERROR(INDEX('Lớp 4 - Danh mục'!$AU$14:$AU$132,MATCH($X622,'Lớp 4 - Danh mục'!$I$14:$I$132,0)),""),5,IFERROR(INDEX('Lớp 5 - Phân công'!$AV$14:$AV$262,MATCH($X622,'Lớp 5 - Phân công'!$I$14:$I$262,0)),""),6,IFERROR(INDEX('Lớp 6 - Chi tiết'!$AY$14:$AY$267,MATCH($X622,'Lớp 6 - Chi tiết'!$I$14:$I$267,0)),""),""))</f>
        <v/>
      </c>
    </row>
    <row r="623" ht="15.75" customHeight="1">
      <c r="A623" s="294" t="str">
        <f t="shared" si="12"/>
        <v/>
      </c>
      <c r="B623" s="301" t="str">
        <f t="shared" si="13"/>
        <v/>
      </c>
      <c r="C623" s="301" t="str">
        <f t="shared" si="14"/>
        <v/>
      </c>
      <c r="D623" s="301" t="str">
        <f t="shared" si="15"/>
        <v/>
      </c>
      <c r="E623" s="301" t="str">
        <f t="shared" si="16"/>
        <v/>
      </c>
      <c r="F623" s="317" t="str">
        <f t="shared" si="17"/>
        <v/>
      </c>
      <c r="G623" s="323" t="str">
        <f t="shared" si="18"/>
        <v/>
      </c>
      <c r="H623" s="327" t="str">
        <f t="shared" si="19"/>
        <v/>
      </c>
      <c r="I623" s="327" t="str">
        <f t="shared" si="20"/>
        <v/>
      </c>
      <c r="J623" s="301" t="str">
        <f t="shared" si="21"/>
        <v/>
      </c>
      <c r="K623" s="301" t="str">
        <f t="shared" si="22"/>
        <v/>
      </c>
      <c r="L623" s="344" t="str">
        <f t="array" ref="L623">IF($T623="","",LET(m,MATCH($T623,$AS$24:$AS$700,0),lvl,INDEX($W$24:$W$700,m),id,INDEX($X$24:$X$700,m),SWITCH(lvl,3,"Lớp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3" s="351" t="str">
        <f t="shared" si="23"/>
        <v/>
      </c>
      <c r="N623" s="356" t="str">
        <f t="shared" si="24"/>
        <v/>
      </c>
      <c r="O623" s="358"/>
      <c r="P623" s="360"/>
      <c r="Q623" s="360"/>
      <c r="R623" s="67"/>
      <c r="S623" s="67"/>
      <c r="T623" s="67"/>
      <c r="U623" s="389" t="str">
        <f>IF('Lớp 6 - Chi tiết'!I185="","",'Lớp 6 - Chi tiết'!L185&amp;"|"&amp;'Lớp 6 - Chi tiết'!K185&amp;"|"&amp;'Lớp 6 - Chi tiết'!J185&amp;"|"&amp;'Lớp 6 - Chi tiết'!I185)</f>
        <v/>
      </c>
      <c r="V623" s="389" t="str">
        <f>IF('Lớp 6 - Chi tiết'!I185="","","           └─ "&amp;'Lớp 6 - Chi tiết'!S185)</f>
        <v/>
      </c>
      <c r="W623" s="389" t="str">
        <f>IF('Lớp 6 - Chi tiết'!I185="","",6)</f>
        <v/>
      </c>
      <c r="X623" s="67" t="str">
        <f>'Lớp 6 - Chi tiết'!I185</f>
        <v/>
      </c>
      <c r="Y623" s="389" t="str">
        <f>'Lớp 6 - Chi tiết'!J185</f>
        <v/>
      </c>
      <c r="Z623" s="67" t="str">
        <f>'Lớp 6 - Chi tiết'!AC185</f>
        <v/>
      </c>
      <c r="AA623" s="67" t="str">
        <f>'Lớp 6 - Chi tiết'!AB185</f>
        <v/>
      </c>
      <c r="AB623" s="67" t="str">
        <f>'Lớp 6 - Chi tiết'!AF185</f>
        <v/>
      </c>
      <c r="AC623" s="67" t="str">
        <f>'Lớp 6 - Chi tiết'!AE185</f>
        <v/>
      </c>
      <c r="AD623" s="398" t="str">
        <f>'Lớp 6 - Chi tiết'!AJ185</f>
        <v/>
      </c>
      <c r="AE623" s="358" t="str">
        <f>'Lớp 6 - Chi tiết'!AH185</f>
        <v/>
      </c>
      <c r="AF623" s="187" t="str">
        <f>'Lớp 6 - Chi tiết'!AK185</f>
        <v/>
      </c>
      <c r="AG623" s="104" t="str">
        <f>'Lớp 6 - Chi tiết'!AL185</f>
        <v/>
      </c>
      <c r="AH623" s="389" t="str">
        <f t="shared" si="27"/>
        <v/>
      </c>
      <c r="AI623" s="389" t="str">
        <f t="shared" si="37"/>
        <v>🔵 Chưa có hạn</v>
      </c>
      <c r="AJ623" s="67" t="str">
        <f>'Lớp 6 - Chi tiết'!AO185</f>
        <v/>
      </c>
      <c r="AS623" s="389" t="str">
        <f t="shared" si="467"/>
        <v/>
      </c>
      <c r="AT623" s="389" t="str">
        <f t="shared" si="32"/>
        <v/>
      </c>
      <c r="AU623" s="389" t="str">
        <f t="shared" si="33"/>
        <v/>
      </c>
      <c r="AV623" s="389" t="str">
        <f t="shared" si="34"/>
        <v/>
      </c>
      <c r="AW623" s="389" t="str">
        <f t="shared" si="35"/>
        <v/>
      </c>
      <c r="AX623" s="67" t="str">
        <f t="shared" ref="AX623:BH623" si="638">Z623</f>
        <v/>
      </c>
      <c r="AY623" s="67" t="str">
        <f t="shared" si="638"/>
        <v/>
      </c>
      <c r="AZ623" s="67" t="str">
        <f t="shared" si="638"/>
        <v/>
      </c>
      <c r="BA623" s="67" t="str">
        <f t="shared" si="638"/>
        <v/>
      </c>
      <c r="BB623" s="398" t="str">
        <f t="shared" si="638"/>
        <v/>
      </c>
      <c r="BC623" s="358" t="str">
        <f t="shared" si="638"/>
        <v/>
      </c>
      <c r="BD623" s="187" t="str">
        <f t="shared" si="638"/>
        <v/>
      </c>
      <c r="BE623" s="104" t="str">
        <f t="shared" si="638"/>
        <v/>
      </c>
      <c r="BF623" s="389" t="str">
        <f t="shared" si="638"/>
        <v/>
      </c>
      <c r="BG623" s="389" t="str">
        <f t="shared" si="638"/>
        <v>🔵 Chưa có hạn</v>
      </c>
      <c r="BH623" s="67" t="str">
        <f t="shared" si="638"/>
        <v/>
      </c>
      <c r="BI623" s="389" t="str">
        <f t="array" ref="BI623">IF($X623="","",SWITCH($W623,3,IFERROR(INDEX('Lớp 3 - Công việc chính'!$AF$14:$AF$73,MATCH($X623,'Lớp 3 - Công việc chính'!$I$14:$I$73,0)),""),4,IFERROR(INDEX('Lớp 4 - Danh mục'!$AI$14:$AI$132,MATCH($X623,'Lớp 4 - Danh mục'!$I$14:$I$132,0)),""),5,IFERROR(INDEX('Lớp 5 - Phân công'!$AJ$14:$AJ$262,MATCH($X623,'Lớp 5 - Phân công'!$I$14:$I$262,0)),""),6,IFERROR(INDEX('Lớp 6 - Chi tiết'!$AM$14:$AM$267,MATCH($X623,'Lớp 6 - Chi tiết'!$I$14:$I$267,0)),""),""))</f>
        <v/>
      </c>
      <c r="BJ623" s="389" t="str">
        <f t="array" ref="BJ623">IF($X623="","",SWITCH($W623,3,IFERROR(INDEX('Lớp 3 - Công việc chính'!$AR$14:$AR$73,MATCH($X623,'Lớp 3 - Công việc chính'!$I$14:$I$73,0)),""),4,IFERROR(INDEX('Lớp 4 - Danh mục'!$AU$14:$AU$132,MATCH($X623,'Lớp 4 - Danh mục'!$I$14:$I$132,0)),""),5,IFERROR(INDEX('Lớp 5 - Phân công'!$AV$14:$AV$262,MATCH($X623,'Lớp 5 - Phân công'!$I$14:$I$262,0)),""),6,IFERROR(INDEX('Lớp 6 - Chi tiết'!$AY$14:$AY$267,MATCH($X623,'Lớp 6 - Chi tiết'!$I$14:$I$267,0)),""),""))</f>
        <v/>
      </c>
    </row>
    <row r="624" ht="15.75" customHeight="1">
      <c r="A624" s="294" t="str">
        <f t="shared" si="12"/>
        <v/>
      </c>
      <c r="B624" s="301" t="str">
        <f t="shared" si="13"/>
        <v/>
      </c>
      <c r="C624" s="301" t="str">
        <f t="shared" si="14"/>
        <v/>
      </c>
      <c r="D624" s="301" t="str">
        <f t="shared" si="15"/>
        <v/>
      </c>
      <c r="E624" s="301" t="str">
        <f t="shared" si="16"/>
        <v/>
      </c>
      <c r="F624" s="317" t="str">
        <f t="shared" si="17"/>
        <v/>
      </c>
      <c r="G624" s="323" t="str">
        <f t="shared" si="18"/>
        <v/>
      </c>
      <c r="H624" s="327" t="str">
        <f t="shared" si="19"/>
        <v/>
      </c>
      <c r="I624" s="327" t="str">
        <f t="shared" si="20"/>
        <v/>
      </c>
      <c r="J624" s="301" t="str">
        <f t="shared" si="21"/>
        <v/>
      </c>
      <c r="K624" s="301" t="str">
        <f t="shared" si="22"/>
        <v/>
      </c>
      <c r="L624" s="344" t="str">
        <f t="array" ref="L624">IF($T624="","",LET(m,MATCH($T624,$AS$24:$AS$700,0),lvl,INDEX($W$24:$W$700,m),id,INDEX($X$24:$X$700,m),SWITCH(lvl,3,"Lớp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4" s="351" t="str">
        <f t="shared" si="23"/>
        <v/>
      </c>
      <c r="N624" s="356" t="str">
        <f t="shared" si="24"/>
        <v/>
      </c>
      <c r="O624" s="358"/>
      <c r="P624" s="360"/>
      <c r="Q624" s="360"/>
      <c r="R624" s="67"/>
      <c r="S624" s="67"/>
      <c r="T624" s="67"/>
      <c r="U624" s="389" t="str">
        <f>IF('Lớp 6 - Chi tiết'!I186="","",'Lớp 6 - Chi tiết'!L186&amp;"|"&amp;'Lớp 6 - Chi tiết'!K186&amp;"|"&amp;'Lớp 6 - Chi tiết'!J186&amp;"|"&amp;'Lớp 6 - Chi tiết'!I186)</f>
        <v/>
      </c>
      <c r="V624" s="389" t="str">
        <f>IF('Lớp 6 - Chi tiết'!I186="","","           └─ "&amp;'Lớp 6 - Chi tiết'!S186)</f>
        <v/>
      </c>
      <c r="W624" s="389" t="str">
        <f>IF('Lớp 6 - Chi tiết'!I186="","",6)</f>
        <v/>
      </c>
      <c r="X624" s="67" t="str">
        <f>'Lớp 6 - Chi tiết'!I186</f>
        <v/>
      </c>
      <c r="Y624" s="389" t="str">
        <f>'Lớp 6 - Chi tiết'!J186</f>
        <v/>
      </c>
      <c r="Z624" s="67" t="str">
        <f>'Lớp 6 - Chi tiết'!AC186</f>
        <v/>
      </c>
      <c r="AA624" s="67" t="str">
        <f>'Lớp 6 - Chi tiết'!AB186</f>
        <v/>
      </c>
      <c r="AB624" s="67" t="str">
        <f>'Lớp 6 - Chi tiết'!AF186</f>
        <v/>
      </c>
      <c r="AC624" s="67" t="str">
        <f>'Lớp 6 - Chi tiết'!AE186</f>
        <v/>
      </c>
      <c r="AD624" s="398" t="str">
        <f>'Lớp 6 - Chi tiết'!AJ186</f>
        <v/>
      </c>
      <c r="AE624" s="358" t="str">
        <f>'Lớp 6 - Chi tiết'!AH186</f>
        <v/>
      </c>
      <c r="AF624" s="187" t="str">
        <f>'Lớp 6 - Chi tiết'!AK186</f>
        <v/>
      </c>
      <c r="AG624" s="104" t="str">
        <f>'Lớp 6 - Chi tiết'!AL186</f>
        <v/>
      </c>
      <c r="AH624" s="389" t="str">
        <f t="shared" si="27"/>
        <v/>
      </c>
      <c r="AI624" s="389" t="str">
        <f t="shared" si="37"/>
        <v>🔵 Chưa có hạn</v>
      </c>
      <c r="AJ624" s="67" t="str">
        <f>'Lớp 6 - Chi tiết'!AO186</f>
        <v/>
      </c>
      <c r="AS624" s="389" t="str">
        <f t="shared" si="467"/>
        <v/>
      </c>
      <c r="AT624" s="389" t="str">
        <f t="shared" si="32"/>
        <v/>
      </c>
      <c r="AU624" s="389" t="str">
        <f t="shared" si="33"/>
        <v/>
      </c>
      <c r="AV624" s="389" t="str">
        <f t="shared" si="34"/>
        <v/>
      </c>
      <c r="AW624" s="389" t="str">
        <f t="shared" si="35"/>
        <v/>
      </c>
      <c r="AX624" s="67" t="str">
        <f t="shared" ref="AX624:BH624" si="639">Z624</f>
        <v/>
      </c>
      <c r="AY624" s="67" t="str">
        <f t="shared" si="639"/>
        <v/>
      </c>
      <c r="AZ624" s="67" t="str">
        <f t="shared" si="639"/>
        <v/>
      </c>
      <c r="BA624" s="67" t="str">
        <f t="shared" si="639"/>
        <v/>
      </c>
      <c r="BB624" s="398" t="str">
        <f t="shared" si="639"/>
        <v/>
      </c>
      <c r="BC624" s="358" t="str">
        <f t="shared" si="639"/>
        <v/>
      </c>
      <c r="BD624" s="187" t="str">
        <f t="shared" si="639"/>
        <v/>
      </c>
      <c r="BE624" s="104" t="str">
        <f t="shared" si="639"/>
        <v/>
      </c>
      <c r="BF624" s="389" t="str">
        <f t="shared" si="639"/>
        <v/>
      </c>
      <c r="BG624" s="389" t="str">
        <f t="shared" si="639"/>
        <v>🔵 Chưa có hạn</v>
      </c>
      <c r="BH624" s="67" t="str">
        <f t="shared" si="639"/>
        <v/>
      </c>
      <c r="BI624" s="389" t="str">
        <f t="array" ref="BI624">IF($X624="","",SWITCH($W624,3,IFERROR(INDEX('Lớp 3 - Công việc chính'!$AF$14:$AF$73,MATCH($X624,'Lớp 3 - Công việc chính'!$I$14:$I$73,0)),""),4,IFERROR(INDEX('Lớp 4 - Danh mục'!$AI$14:$AI$132,MATCH($X624,'Lớp 4 - Danh mục'!$I$14:$I$132,0)),""),5,IFERROR(INDEX('Lớp 5 - Phân công'!$AJ$14:$AJ$262,MATCH($X624,'Lớp 5 - Phân công'!$I$14:$I$262,0)),""),6,IFERROR(INDEX('Lớp 6 - Chi tiết'!$AM$14:$AM$267,MATCH($X624,'Lớp 6 - Chi tiết'!$I$14:$I$267,0)),""),""))</f>
        <v/>
      </c>
      <c r="BJ624" s="389" t="str">
        <f t="array" ref="BJ624">IF($X624="","",SWITCH($W624,3,IFERROR(INDEX('Lớp 3 - Công việc chính'!$AR$14:$AR$73,MATCH($X624,'Lớp 3 - Công việc chính'!$I$14:$I$73,0)),""),4,IFERROR(INDEX('Lớp 4 - Danh mục'!$AU$14:$AU$132,MATCH($X624,'Lớp 4 - Danh mục'!$I$14:$I$132,0)),""),5,IFERROR(INDEX('Lớp 5 - Phân công'!$AV$14:$AV$262,MATCH($X624,'Lớp 5 - Phân công'!$I$14:$I$262,0)),""),6,IFERROR(INDEX('Lớp 6 - Chi tiết'!$AY$14:$AY$267,MATCH($X624,'Lớp 6 - Chi tiết'!$I$14:$I$267,0)),""),""))</f>
        <v/>
      </c>
    </row>
    <row r="625" ht="15.75" customHeight="1">
      <c r="A625" s="294" t="str">
        <f t="shared" si="12"/>
        <v/>
      </c>
      <c r="B625" s="301" t="str">
        <f t="shared" si="13"/>
        <v/>
      </c>
      <c r="C625" s="301" t="str">
        <f t="shared" si="14"/>
        <v/>
      </c>
      <c r="D625" s="301" t="str">
        <f t="shared" si="15"/>
        <v/>
      </c>
      <c r="E625" s="301" t="str">
        <f t="shared" si="16"/>
        <v/>
      </c>
      <c r="F625" s="317" t="str">
        <f t="shared" si="17"/>
        <v/>
      </c>
      <c r="G625" s="323" t="str">
        <f t="shared" si="18"/>
        <v/>
      </c>
      <c r="H625" s="327" t="str">
        <f t="shared" si="19"/>
        <v/>
      </c>
      <c r="I625" s="327" t="str">
        <f t="shared" si="20"/>
        <v/>
      </c>
      <c r="J625" s="301" t="str">
        <f t="shared" si="21"/>
        <v/>
      </c>
      <c r="K625" s="301" t="str">
        <f t="shared" si="22"/>
        <v/>
      </c>
      <c r="L625" s="344" t="str">
        <f t="array" ref="L625">IF($T625="","",LET(m,MATCH($T625,$AS$24:$AS$700,0),lvl,INDEX($W$24:$W$700,m),id,INDEX($X$24:$X$700,m),SWITCH(lvl,3,"Lớp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5" s="351" t="str">
        <f t="shared" si="23"/>
        <v/>
      </c>
      <c r="N625" s="356" t="str">
        <f t="shared" si="24"/>
        <v/>
      </c>
      <c r="O625" s="358"/>
      <c r="P625" s="360"/>
      <c r="Q625" s="360"/>
      <c r="R625" s="67"/>
      <c r="S625" s="67"/>
      <c r="T625" s="67"/>
      <c r="U625" s="389" t="str">
        <f>IF('Lớp 6 - Chi tiết'!I187="","",'Lớp 6 - Chi tiết'!L187&amp;"|"&amp;'Lớp 6 - Chi tiết'!K187&amp;"|"&amp;'Lớp 6 - Chi tiết'!J187&amp;"|"&amp;'Lớp 6 - Chi tiết'!I187)</f>
        <v/>
      </c>
      <c r="V625" s="389" t="str">
        <f>IF('Lớp 6 - Chi tiết'!I187="","","           └─ "&amp;'Lớp 6 - Chi tiết'!S187)</f>
        <v/>
      </c>
      <c r="W625" s="389" t="str">
        <f>IF('Lớp 6 - Chi tiết'!I187="","",6)</f>
        <v/>
      </c>
      <c r="X625" s="67" t="str">
        <f>'Lớp 6 - Chi tiết'!I187</f>
        <v/>
      </c>
      <c r="Y625" s="389" t="str">
        <f>'Lớp 6 - Chi tiết'!J187</f>
        <v/>
      </c>
      <c r="Z625" s="67" t="str">
        <f>'Lớp 6 - Chi tiết'!AC187</f>
        <v/>
      </c>
      <c r="AA625" s="67" t="str">
        <f>'Lớp 6 - Chi tiết'!AB187</f>
        <v/>
      </c>
      <c r="AB625" s="67" t="str">
        <f>'Lớp 6 - Chi tiết'!AF187</f>
        <v/>
      </c>
      <c r="AC625" s="67" t="str">
        <f>'Lớp 6 - Chi tiết'!AE187</f>
        <v/>
      </c>
      <c r="AD625" s="398" t="str">
        <f>'Lớp 6 - Chi tiết'!AJ187</f>
        <v/>
      </c>
      <c r="AE625" s="358" t="str">
        <f>'Lớp 6 - Chi tiết'!AH187</f>
        <v/>
      </c>
      <c r="AF625" s="187" t="str">
        <f>'Lớp 6 - Chi tiết'!AK187</f>
        <v/>
      </c>
      <c r="AG625" s="104" t="str">
        <f>'Lớp 6 - Chi tiết'!AL187</f>
        <v/>
      </c>
      <c r="AH625" s="389" t="str">
        <f t="shared" si="27"/>
        <v/>
      </c>
      <c r="AI625" s="389" t="str">
        <f t="shared" si="37"/>
        <v>🔵 Chưa có hạn</v>
      </c>
      <c r="AJ625" s="67" t="str">
        <f>'Lớp 6 - Chi tiết'!AO187</f>
        <v/>
      </c>
      <c r="AS625" s="389" t="str">
        <f t="shared" si="467"/>
        <v/>
      </c>
      <c r="AT625" s="389" t="str">
        <f t="shared" si="32"/>
        <v/>
      </c>
      <c r="AU625" s="389" t="str">
        <f t="shared" si="33"/>
        <v/>
      </c>
      <c r="AV625" s="389" t="str">
        <f t="shared" si="34"/>
        <v/>
      </c>
      <c r="AW625" s="389" t="str">
        <f t="shared" si="35"/>
        <v/>
      </c>
      <c r="AX625" s="67" t="str">
        <f t="shared" ref="AX625:BH625" si="640">Z625</f>
        <v/>
      </c>
      <c r="AY625" s="67" t="str">
        <f t="shared" si="640"/>
        <v/>
      </c>
      <c r="AZ625" s="67" t="str">
        <f t="shared" si="640"/>
        <v/>
      </c>
      <c r="BA625" s="67" t="str">
        <f t="shared" si="640"/>
        <v/>
      </c>
      <c r="BB625" s="398" t="str">
        <f t="shared" si="640"/>
        <v/>
      </c>
      <c r="BC625" s="358" t="str">
        <f t="shared" si="640"/>
        <v/>
      </c>
      <c r="BD625" s="187" t="str">
        <f t="shared" si="640"/>
        <v/>
      </c>
      <c r="BE625" s="104" t="str">
        <f t="shared" si="640"/>
        <v/>
      </c>
      <c r="BF625" s="389" t="str">
        <f t="shared" si="640"/>
        <v/>
      </c>
      <c r="BG625" s="389" t="str">
        <f t="shared" si="640"/>
        <v>🔵 Chưa có hạn</v>
      </c>
      <c r="BH625" s="67" t="str">
        <f t="shared" si="640"/>
        <v/>
      </c>
      <c r="BI625" s="389" t="str">
        <f t="array" ref="BI625">IF($X625="","",SWITCH($W625,3,IFERROR(INDEX('Lớp 3 - Công việc chính'!$AF$14:$AF$73,MATCH($X625,'Lớp 3 - Công việc chính'!$I$14:$I$73,0)),""),4,IFERROR(INDEX('Lớp 4 - Danh mục'!$AI$14:$AI$132,MATCH($X625,'Lớp 4 - Danh mục'!$I$14:$I$132,0)),""),5,IFERROR(INDEX('Lớp 5 - Phân công'!$AJ$14:$AJ$262,MATCH($X625,'Lớp 5 - Phân công'!$I$14:$I$262,0)),""),6,IFERROR(INDEX('Lớp 6 - Chi tiết'!$AM$14:$AM$267,MATCH($X625,'Lớp 6 - Chi tiết'!$I$14:$I$267,0)),""),""))</f>
        <v/>
      </c>
      <c r="BJ625" s="389" t="str">
        <f t="array" ref="BJ625">IF($X625="","",SWITCH($W625,3,IFERROR(INDEX('Lớp 3 - Công việc chính'!$AR$14:$AR$73,MATCH($X625,'Lớp 3 - Công việc chính'!$I$14:$I$73,0)),""),4,IFERROR(INDEX('Lớp 4 - Danh mục'!$AU$14:$AU$132,MATCH($X625,'Lớp 4 - Danh mục'!$I$14:$I$132,0)),""),5,IFERROR(INDEX('Lớp 5 - Phân công'!$AV$14:$AV$262,MATCH($X625,'Lớp 5 - Phân công'!$I$14:$I$262,0)),""),6,IFERROR(INDEX('Lớp 6 - Chi tiết'!$AY$14:$AY$267,MATCH($X625,'Lớp 6 - Chi tiết'!$I$14:$I$267,0)),""),""))</f>
        <v/>
      </c>
    </row>
    <row r="626" ht="15.75" customHeight="1">
      <c r="A626" s="294" t="str">
        <f t="shared" si="12"/>
        <v/>
      </c>
      <c r="B626" s="301" t="str">
        <f t="shared" si="13"/>
        <v/>
      </c>
      <c r="C626" s="301" t="str">
        <f t="shared" si="14"/>
        <v/>
      </c>
      <c r="D626" s="301" t="str">
        <f t="shared" si="15"/>
        <v/>
      </c>
      <c r="E626" s="301" t="str">
        <f t="shared" si="16"/>
        <v/>
      </c>
      <c r="F626" s="317" t="str">
        <f t="shared" si="17"/>
        <v/>
      </c>
      <c r="G626" s="323" t="str">
        <f t="shared" si="18"/>
        <v/>
      </c>
      <c r="H626" s="327" t="str">
        <f t="shared" si="19"/>
        <v/>
      </c>
      <c r="I626" s="327" t="str">
        <f t="shared" si="20"/>
        <v/>
      </c>
      <c r="J626" s="301" t="str">
        <f t="shared" si="21"/>
        <v/>
      </c>
      <c r="K626" s="301" t="str">
        <f t="shared" si="22"/>
        <v/>
      </c>
      <c r="L626" s="344" t="str">
        <f t="array" ref="L626">IF($T626="","",LET(m,MATCH($T626,$AS$24:$AS$700,0),lvl,INDEX($W$24:$W$700,m),id,INDEX($X$24:$X$700,m),SWITCH(lvl,3,"Lớp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6" s="351" t="str">
        <f t="shared" si="23"/>
        <v/>
      </c>
      <c r="N626" s="356" t="str">
        <f t="shared" si="24"/>
        <v/>
      </c>
      <c r="O626" s="358"/>
      <c r="P626" s="360"/>
      <c r="Q626" s="360"/>
      <c r="R626" s="67"/>
      <c r="S626" s="67"/>
      <c r="T626" s="67"/>
      <c r="U626" s="389" t="str">
        <f>IF('Lớp 6 - Chi tiết'!I188="","",'Lớp 6 - Chi tiết'!L188&amp;"|"&amp;'Lớp 6 - Chi tiết'!K188&amp;"|"&amp;'Lớp 6 - Chi tiết'!J188&amp;"|"&amp;'Lớp 6 - Chi tiết'!I188)</f>
        <v/>
      </c>
      <c r="V626" s="389" t="str">
        <f>IF('Lớp 6 - Chi tiết'!I188="","","           └─ "&amp;'Lớp 6 - Chi tiết'!S188)</f>
        <v/>
      </c>
      <c r="W626" s="389" t="str">
        <f>IF('Lớp 6 - Chi tiết'!I188="","",6)</f>
        <v/>
      </c>
      <c r="X626" s="67" t="str">
        <f>'Lớp 6 - Chi tiết'!I188</f>
        <v/>
      </c>
      <c r="Y626" s="389" t="str">
        <f>'Lớp 6 - Chi tiết'!J188</f>
        <v/>
      </c>
      <c r="Z626" s="67" t="str">
        <f>'Lớp 6 - Chi tiết'!AC188</f>
        <v/>
      </c>
      <c r="AA626" s="67" t="str">
        <f>'Lớp 6 - Chi tiết'!AB188</f>
        <v/>
      </c>
      <c r="AB626" s="67" t="str">
        <f>'Lớp 6 - Chi tiết'!AF188</f>
        <v/>
      </c>
      <c r="AC626" s="67" t="str">
        <f>'Lớp 6 - Chi tiết'!AE188</f>
        <v/>
      </c>
      <c r="AD626" s="398" t="str">
        <f>'Lớp 6 - Chi tiết'!AJ188</f>
        <v/>
      </c>
      <c r="AE626" s="358" t="str">
        <f>'Lớp 6 - Chi tiết'!AH188</f>
        <v/>
      </c>
      <c r="AF626" s="187" t="str">
        <f>'Lớp 6 - Chi tiết'!AK188</f>
        <v/>
      </c>
      <c r="AG626" s="104" t="str">
        <f>'Lớp 6 - Chi tiết'!AL188</f>
        <v/>
      </c>
      <c r="AH626" s="389" t="str">
        <f t="shared" si="27"/>
        <v/>
      </c>
      <c r="AI626" s="389" t="str">
        <f t="shared" si="37"/>
        <v>🔵 Chưa có hạn</v>
      </c>
      <c r="AJ626" s="67" t="str">
        <f>'Lớp 6 - Chi tiết'!AO188</f>
        <v/>
      </c>
      <c r="AS626" s="389" t="str">
        <f t="shared" si="467"/>
        <v/>
      </c>
      <c r="AT626" s="389" t="str">
        <f t="shared" si="32"/>
        <v/>
      </c>
      <c r="AU626" s="389" t="str">
        <f t="shared" si="33"/>
        <v/>
      </c>
      <c r="AV626" s="389" t="str">
        <f t="shared" si="34"/>
        <v/>
      </c>
      <c r="AW626" s="389" t="str">
        <f t="shared" si="35"/>
        <v/>
      </c>
      <c r="AX626" s="67" t="str">
        <f t="shared" ref="AX626:BH626" si="641">Z626</f>
        <v/>
      </c>
      <c r="AY626" s="67" t="str">
        <f t="shared" si="641"/>
        <v/>
      </c>
      <c r="AZ626" s="67" t="str">
        <f t="shared" si="641"/>
        <v/>
      </c>
      <c r="BA626" s="67" t="str">
        <f t="shared" si="641"/>
        <v/>
      </c>
      <c r="BB626" s="398" t="str">
        <f t="shared" si="641"/>
        <v/>
      </c>
      <c r="BC626" s="358" t="str">
        <f t="shared" si="641"/>
        <v/>
      </c>
      <c r="BD626" s="187" t="str">
        <f t="shared" si="641"/>
        <v/>
      </c>
      <c r="BE626" s="104" t="str">
        <f t="shared" si="641"/>
        <v/>
      </c>
      <c r="BF626" s="389" t="str">
        <f t="shared" si="641"/>
        <v/>
      </c>
      <c r="BG626" s="389" t="str">
        <f t="shared" si="641"/>
        <v>🔵 Chưa có hạn</v>
      </c>
      <c r="BH626" s="67" t="str">
        <f t="shared" si="641"/>
        <v/>
      </c>
      <c r="BI626" s="389" t="str">
        <f t="array" ref="BI626">IF($X626="","",SWITCH($W626,3,IFERROR(INDEX('Lớp 3 - Công việc chính'!$AF$14:$AF$73,MATCH($X626,'Lớp 3 - Công việc chính'!$I$14:$I$73,0)),""),4,IFERROR(INDEX('Lớp 4 - Danh mục'!$AI$14:$AI$132,MATCH($X626,'Lớp 4 - Danh mục'!$I$14:$I$132,0)),""),5,IFERROR(INDEX('Lớp 5 - Phân công'!$AJ$14:$AJ$262,MATCH($X626,'Lớp 5 - Phân công'!$I$14:$I$262,0)),""),6,IFERROR(INDEX('Lớp 6 - Chi tiết'!$AM$14:$AM$267,MATCH($X626,'Lớp 6 - Chi tiết'!$I$14:$I$267,0)),""),""))</f>
        <v/>
      </c>
      <c r="BJ626" s="389" t="str">
        <f t="array" ref="BJ626">IF($X626="","",SWITCH($W626,3,IFERROR(INDEX('Lớp 3 - Công việc chính'!$AR$14:$AR$73,MATCH($X626,'Lớp 3 - Công việc chính'!$I$14:$I$73,0)),""),4,IFERROR(INDEX('Lớp 4 - Danh mục'!$AU$14:$AU$132,MATCH($X626,'Lớp 4 - Danh mục'!$I$14:$I$132,0)),""),5,IFERROR(INDEX('Lớp 5 - Phân công'!$AV$14:$AV$262,MATCH($X626,'Lớp 5 - Phân công'!$I$14:$I$262,0)),""),6,IFERROR(INDEX('Lớp 6 - Chi tiết'!$AY$14:$AY$267,MATCH($X626,'Lớp 6 - Chi tiết'!$I$14:$I$267,0)),""),""))</f>
        <v/>
      </c>
    </row>
    <row r="627" ht="15.75" customHeight="1">
      <c r="A627" s="294" t="str">
        <f t="shared" si="12"/>
        <v/>
      </c>
      <c r="B627" s="301" t="str">
        <f t="shared" si="13"/>
        <v/>
      </c>
      <c r="C627" s="301" t="str">
        <f t="shared" si="14"/>
        <v/>
      </c>
      <c r="D627" s="301" t="str">
        <f t="shared" si="15"/>
        <v/>
      </c>
      <c r="E627" s="301" t="str">
        <f t="shared" si="16"/>
        <v/>
      </c>
      <c r="F627" s="317" t="str">
        <f t="shared" si="17"/>
        <v/>
      </c>
      <c r="G627" s="323" t="str">
        <f t="shared" si="18"/>
        <v/>
      </c>
      <c r="H627" s="327" t="str">
        <f t="shared" si="19"/>
        <v/>
      </c>
      <c r="I627" s="327" t="str">
        <f t="shared" si="20"/>
        <v/>
      </c>
      <c r="J627" s="301" t="str">
        <f t="shared" si="21"/>
        <v/>
      </c>
      <c r="K627" s="301" t="str">
        <f t="shared" si="22"/>
        <v/>
      </c>
      <c r="L627" s="344" t="str">
        <f t="array" ref="L627">IF($T627="","",LET(m,MATCH($T627,$AS$24:$AS$700,0),lvl,INDEX($W$24:$W$700,m),id,INDEX($X$24:$X$700,m),SWITCH(lvl,3,"Lớp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7" s="351" t="str">
        <f t="shared" si="23"/>
        <v/>
      </c>
      <c r="N627" s="356" t="str">
        <f t="shared" si="24"/>
        <v/>
      </c>
      <c r="O627" s="358"/>
      <c r="P627" s="360"/>
      <c r="Q627" s="360"/>
      <c r="R627" s="67"/>
      <c r="S627" s="67"/>
      <c r="T627" s="67"/>
      <c r="U627" s="389" t="str">
        <f>IF('Lớp 6 - Chi tiết'!I189="","",'Lớp 6 - Chi tiết'!L189&amp;"|"&amp;'Lớp 6 - Chi tiết'!K189&amp;"|"&amp;'Lớp 6 - Chi tiết'!J189&amp;"|"&amp;'Lớp 6 - Chi tiết'!I189)</f>
        <v/>
      </c>
      <c r="V627" s="389" t="str">
        <f>IF('Lớp 6 - Chi tiết'!I189="","","           └─ "&amp;'Lớp 6 - Chi tiết'!S189)</f>
        <v/>
      </c>
      <c r="W627" s="389" t="str">
        <f>IF('Lớp 6 - Chi tiết'!I189="","",6)</f>
        <v/>
      </c>
      <c r="X627" s="67" t="str">
        <f>'Lớp 6 - Chi tiết'!I189</f>
        <v/>
      </c>
      <c r="Y627" s="389" t="str">
        <f>'Lớp 6 - Chi tiết'!J189</f>
        <v/>
      </c>
      <c r="Z627" s="67" t="str">
        <f>'Lớp 6 - Chi tiết'!AC189</f>
        <v/>
      </c>
      <c r="AA627" s="67" t="str">
        <f>'Lớp 6 - Chi tiết'!AB189</f>
        <v/>
      </c>
      <c r="AB627" s="67" t="str">
        <f>'Lớp 6 - Chi tiết'!AF189</f>
        <v/>
      </c>
      <c r="AC627" s="67" t="str">
        <f>'Lớp 6 - Chi tiết'!AE189</f>
        <v/>
      </c>
      <c r="AD627" s="398" t="str">
        <f>'Lớp 6 - Chi tiết'!AJ189</f>
        <v/>
      </c>
      <c r="AE627" s="358" t="str">
        <f>'Lớp 6 - Chi tiết'!AH189</f>
        <v/>
      </c>
      <c r="AF627" s="187" t="str">
        <f>'Lớp 6 - Chi tiết'!AK189</f>
        <v/>
      </c>
      <c r="AG627" s="104" t="str">
        <f>'Lớp 6 - Chi tiết'!AL189</f>
        <v/>
      </c>
      <c r="AH627" s="389" t="str">
        <f t="shared" si="27"/>
        <v/>
      </c>
      <c r="AI627" s="389" t="str">
        <f t="shared" si="37"/>
        <v>🔵 Chưa có hạn</v>
      </c>
      <c r="AJ627" s="67" t="str">
        <f>'Lớp 6 - Chi tiết'!AO189</f>
        <v/>
      </c>
      <c r="AS627" s="389" t="str">
        <f t="shared" si="467"/>
        <v/>
      </c>
      <c r="AT627" s="389" t="str">
        <f t="shared" si="32"/>
        <v/>
      </c>
      <c r="AU627" s="389" t="str">
        <f t="shared" si="33"/>
        <v/>
      </c>
      <c r="AV627" s="389" t="str">
        <f t="shared" si="34"/>
        <v/>
      </c>
      <c r="AW627" s="389" t="str">
        <f t="shared" si="35"/>
        <v/>
      </c>
      <c r="AX627" s="67" t="str">
        <f t="shared" ref="AX627:BH627" si="642">Z627</f>
        <v/>
      </c>
      <c r="AY627" s="67" t="str">
        <f t="shared" si="642"/>
        <v/>
      </c>
      <c r="AZ627" s="67" t="str">
        <f t="shared" si="642"/>
        <v/>
      </c>
      <c r="BA627" s="67" t="str">
        <f t="shared" si="642"/>
        <v/>
      </c>
      <c r="BB627" s="398" t="str">
        <f t="shared" si="642"/>
        <v/>
      </c>
      <c r="BC627" s="358" t="str">
        <f t="shared" si="642"/>
        <v/>
      </c>
      <c r="BD627" s="187" t="str">
        <f t="shared" si="642"/>
        <v/>
      </c>
      <c r="BE627" s="104" t="str">
        <f t="shared" si="642"/>
        <v/>
      </c>
      <c r="BF627" s="389" t="str">
        <f t="shared" si="642"/>
        <v/>
      </c>
      <c r="BG627" s="389" t="str">
        <f t="shared" si="642"/>
        <v>🔵 Chưa có hạn</v>
      </c>
      <c r="BH627" s="67" t="str">
        <f t="shared" si="642"/>
        <v/>
      </c>
      <c r="BI627" s="389" t="str">
        <f t="array" ref="BI627">IF($X627="","",SWITCH($W627,3,IFERROR(INDEX('Lớp 3 - Công việc chính'!$AF$14:$AF$73,MATCH($X627,'Lớp 3 - Công việc chính'!$I$14:$I$73,0)),""),4,IFERROR(INDEX('Lớp 4 - Danh mục'!$AI$14:$AI$132,MATCH($X627,'Lớp 4 - Danh mục'!$I$14:$I$132,0)),""),5,IFERROR(INDEX('Lớp 5 - Phân công'!$AJ$14:$AJ$262,MATCH($X627,'Lớp 5 - Phân công'!$I$14:$I$262,0)),""),6,IFERROR(INDEX('Lớp 6 - Chi tiết'!$AM$14:$AM$267,MATCH($X627,'Lớp 6 - Chi tiết'!$I$14:$I$267,0)),""),""))</f>
        <v/>
      </c>
      <c r="BJ627" s="389" t="str">
        <f t="array" ref="BJ627">IF($X627="","",SWITCH($W627,3,IFERROR(INDEX('Lớp 3 - Công việc chính'!$AR$14:$AR$73,MATCH($X627,'Lớp 3 - Công việc chính'!$I$14:$I$73,0)),""),4,IFERROR(INDEX('Lớp 4 - Danh mục'!$AU$14:$AU$132,MATCH($X627,'Lớp 4 - Danh mục'!$I$14:$I$132,0)),""),5,IFERROR(INDEX('Lớp 5 - Phân công'!$AV$14:$AV$262,MATCH($X627,'Lớp 5 - Phân công'!$I$14:$I$262,0)),""),6,IFERROR(INDEX('Lớp 6 - Chi tiết'!$AY$14:$AY$267,MATCH($X627,'Lớp 6 - Chi tiết'!$I$14:$I$267,0)),""),""))</f>
        <v/>
      </c>
    </row>
    <row r="628" ht="15.75" customHeight="1">
      <c r="A628" s="294" t="str">
        <f t="shared" si="12"/>
        <v/>
      </c>
      <c r="B628" s="301" t="str">
        <f t="shared" si="13"/>
        <v/>
      </c>
      <c r="C628" s="301" t="str">
        <f t="shared" si="14"/>
        <v/>
      </c>
      <c r="D628" s="301" t="str">
        <f t="shared" si="15"/>
        <v/>
      </c>
      <c r="E628" s="301" t="str">
        <f t="shared" si="16"/>
        <v/>
      </c>
      <c r="F628" s="317" t="str">
        <f t="shared" si="17"/>
        <v/>
      </c>
      <c r="G628" s="323" t="str">
        <f t="shared" si="18"/>
        <v/>
      </c>
      <c r="H628" s="327" t="str">
        <f t="shared" si="19"/>
        <v/>
      </c>
      <c r="I628" s="327" t="str">
        <f t="shared" si="20"/>
        <v/>
      </c>
      <c r="J628" s="301" t="str">
        <f t="shared" si="21"/>
        <v/>
      </c>
      <c r="K628" s="301" t="str">
        <f t="shared" si="22"/>
        <v/>
      </c>
      <c r="L628" s="344" t="str">
        <f t="array" ref="L628">IF($T628="","",LET(m,MATCH($T628,$AS$24:$AS$700,0),lvl,INDEX($W$24:$W$700,m),id,INDEX($X$24:$X$700,m),SWITCH(lvl,3,"Lớp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8" s="351" t="str">
        <f t="shared" si="23"/>
        <v/>
      </c>
      <c r="N628" s="356" t="str">
        <f t="shared" si="24"/>
        <v/>
      </c>
      <c r="O628" s="358"/>
      <c r="P628" s="360"/>
      <c r="Q628" s="360"/>
      <c r="R628" s="67"/>
      <c r="S628" s="67"/>
      <c r="T628" s="67"/>
      <c r="U628" s="389" t="str">
        <f>IF('Lớp 6 - Chi tiết'!I190="","",'Lớp 6 - Chi tiết'!L190&amp;"|"&amp;'Lớp 6 - Chi tiết'!K190&amp;"|"&amp;'Lớp 6 - Chi tiết'!J190&amp;"|"&amp;'Lớp 6 - Chi tiết'!I190)</f>
        <v/>
      </c>
      <c r="V628" s="389" t="str">
        <f>IF('Lớp 6 - Chi tiết'!I190="","","           └─ "&amp;'Lớp 6 - Chi tiết'!S190)</f>
        <v/>
      </c>
      <c r="W628" s="389" t="str">
        <f>IF('Lớp 6 - Chi tiết'!I190="","",6)</f>
        <v/>
      </c>
      <c r="X628" s="67" t="str">
        <f>'Lớp 6 - Chi tiết'!I190</f>
        <v/>
      </c>
      <c r="Y628" s="389" t="str">
        <f>'Lớp 6 - Chi tiết'!J190</f>
        <v/>
      </c>
      <c r="Z628" s="67" t="str">
        <f>'Lớp 6 - Chi tiết'!AC190</f>
        <v/>
      </c>
      <c r="AA628" s="67" t="str">
        <f>'Lớp 6 - Chi tiết'!AB190</f>
        <v/>
      </c>
      <c r="AB628" s="67" t="str">
        <f>'Lớp 6 - Chi tiết'!AF190</f>
        <v/>
      </c>
      <c r="AC628" s="67" t="str">
        <f>'Lớp 6 - Chi tiết'!AE190</f>
        <v/>
      </c>
      <c r="AD628" s="398" t="str">
        <f>'Lớp 6 - Chi tiết'!AJ190</f>
        <v/>
      </c>
      <c r="AE628" s="358" t="str">
        <f>'Lớp 6 - Chi tiết'!AH190</f>
        <v/>
      </c>
      <c r="AF628" s="187" t="str">
        <f>'Lớp 6 - Chi tiết'!AK190</f>
        <v/>
      </c>
      <c r="AG628" s="104" t="str">
        <f>'Lớp 6 - Chi tiết'!AL190</f>
        <v/>
      </c>
      <c r="AH628" s="389" t="str">
        <f t="shared" si="27"/>
        <v/>
      </c>
      <c r="AI628" s="389" t="str">
        <f t="shared" si="37"/>
        <v>🔵 Chưa có hạn</v>
      </c>
      <c r="AJ628" s="67" t="str">
        <f>'Lớp 6 - Chi tiết'!AO190</f>
        <v/>
      </c>
      <c r="AS628" s="389" t="str">
        <f t="shared" si="467"/>
        <v/>
      </c>
      <c r="AT628" s="389" t="str">
        <f t="shared" si="32"/>
        <v/>
      </c>
      <c r="AU628" s="389" t="str">
        <f t="shared" si="33"/>
        <v/>
      </c>
      <c r="AV628" s="389" t="str">
        <f t="shared" si="34"/>
        <v/>
      </c>
      <c r="AW628" s="389" t="str">
        <f t="shared" si="35"/>
        <v/>
      </c>
      <c r="AX628" s="67" t="str">
        <f t="shared" ref="AX628:BH628" si="643">Z628</f>
        <v/>
      </c>
      <c r="AY628" s="67" t="str">
        <f t="shared" si="643"/>
        <v/>
      </c>
      <c r="AZ628" s="67" t="str">
        <f t="shared" si="643"/>
        <v/>
      </c>
      <c r="BA628" s="67" t="str">
        <f t="shared" si="643"/>
        <v/>
      </c>
      <c r="BB628" s="398" t="str">
        <f t="shared" si="643"/>
        <v/>
      </c>
      <c r="BC628" s="358" t="str">
        <f t="shared" si="643"/>
        <v/>
      </c>
      <c r="BD628" s="187" t="str">
        <f t="shared" si="643"/>
        <v/>
      </c>
      <c r="BE628" s="104" t="str">
        <f t="shared" si="643"/>
        <v/>
      </c>
      <c r="BF628" s="389" t="str">
        <f t="shared" si="643"/>
        <v/>
      </c>
      <c r="BG628" s="389" t="str">
        <f t="shared" si="643"/>
        <v>🔵 Chưa có hạn</v>
      </c>
      <c r="BH628" s="67" t="str">
        <f t="shared" si="643"/>
        <v/>
      </c>
      <c r="BI628" s="389" t="str">
        <f t="array" ref="BI628">IF($X628="","",SWITCH($W628,3,IFERROR(INDEX('Lớp 3 - Công việc chính'!$AF$14:$AF$73,MATCH($X628,'Lớp 3 - Công việc chính'!$I$14:$I$73,0)),""),4,IFERROR(INDEX('Lớp 4 - Danh mục'!$AI$14:$AI$132,MATCH($X628,'Lớp 4 - Danh mục'!$I$14:$I$132,0)),""),5,IFERROR(INDEX('Lớp 5 - Phân công'!$AJ$14:$AJ$262,MATCH($X628,'Lớp 5 - Phân công'!$I$14:$I$262,0)),""),6,IFERROR(INDEX('Lớp 6 - Chi tiết'!$AM$14:$AM$267,MATCH($X628,'Lớp 6 - Chi tiết'!$I$14:$I$267,0)),""),""))</f>
        <v/>
      </c>
      <c r="BJ628" s="389" t="str">
        <f t="array" ref="BJ628">IF($X628="","",SWITCH($W628,3,IFERROR(INDEX('Lớp 3 - Công việc chính'!$AR$14:$AR$73,MATCH($X628,'Lớp 3 - Công việc chính'!$I$14:$I$73,0)),""),4,IFERROR(INDEX('Lớp 4 - Danh mục'!$AU$14:$AU$132,MATCH($X628,'Lớp 4 - Danh mục'!$I$14:$I$132,0)),""),5,IFERROR(INDEX('Lớp 5 - Phân công'!$AV$14:$AV$262,MATCH($X628,'Lớp 5 - Phân công'!$I$14:$I$262,0)),""),6,IFERROR(INDEX('Lớp 6 - Chi tiết'!$AY$14:$AY$267,MATCH($X628,'Lớp 6 - Chi tiết'!$I$14:$I$267,0)),""),""))</f>
        <v/>
      </c>
    </row>
    <row r="629" ht="15.75" customHeight="1">
      <c r="A629" s="294" t="str">
        <f t="shared" si="12"/>
        <v/>
      </c>
      <c r="B629" s="301" t="str">
        <f t="shared" si="13"/>
        <v/>
      </c>
      <c r="C629" s="301" t="str">
        <f t="shared" si="14"/>
        <v/>
      </c>
      <c r="D629" s="301" t="str">
        <f t="shared" si="15"/>
        <v/>
      </c>
      <c r="E629" s="301" t="str">
        <f t="shared" si="16"/>
        <v/>
      </c>
      <c r="F629" s="317" t="str">
        <f t="shared" si="17"/>
        <v/>
      </c>
      <c r="G629" s="323" t="str">
        <f t="shared" si="18"/>
        <v/>
      </c>
      <c r="H629" s="327" t="str">
        <f t="shared" si="19"/>
        <v/>
      </c>
      <c r="I629" s="327" t="str">
        <f t="shared" si="20"/>
        <v/>
      </c>
      <c r="J629" s="301" t="str">
        <f t="shared" si="21"/>
        <v/>
      </c>
      <c r="K629" s="301" t="str">
        <f t="shared" si="22"/>
        <v/>
      </c>
      <c r="L629" s="344" t="str">
        <f t="array" ref="L629">IF($T629="","",LET(m,MATCH($T629,$AS$24:$AS$700,0),lvl,INDEX($W$24:$W$700,m),id,INDEX($X$24:$X$700,m),SWITCH(lvl,3,"Lớp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29" s="351" t="str">
        <f t="shared" si="23"/>
        <v/>
      </c>
      <c r="N629" s="356" t="str">
        <f t="shared" si="24"/>
        <v/>
      </c>
      <c r="O629" s="358"/>
      <c r="P629" s="360"/>
      <c r="Q629" s="360"/>
      <c r="R629" s="67"/>
      <c r="S629" s="67"/>
      <c r="T629" s="67"/>
      <c r="U629" s="389" t="str">
        <f>IF('Lớp 6 - Chi tiết'!I191="","",'Lớp 6 - Chi tiết'!L191&amp;"|"&amp;'Lớp 6 - Chi tiết'!K191&amp;"|"&amp;'Lớp 6 - Chi tiết'!J191&amp;"|"&amp;'Lớp 6 - Chi tiết'!I191)</f>
        <v/>
      </c>
      <c r="V629" s="389" t="str">
        <f>IF('Lớp 6 - Chi tiết'!I191="","","           └─ "&amp;'Lớp 6 - Chi tiết'!S191)</f>
        <v/>
      </c>
      <c r="W629" s="389" t="str">
        <f>IF('Lớp 6 - Chi tiết'!I191="","",6)</f>
        <v/>
      </c>
      <c r="X629" s="67" t="str">
        <f>'Lớp 6 - Chi tiết'!I191</f>
        <v/>
      </c>
      <c r="Y629" s="389" t="str">
        <f>'Lớp 6 - Chi tiết'!J191</f>
        <v/>
      </c>
      <c r="Z629" s="67" t="str">
        <f>'Lớp 6 - Chi tiết'!AC191</f>
        <v/>
      </c>
      <c r="AA629" s="67" t="str">
        <f>'Lớp 6 - Chi tiết'!AB191</f>
        <v/>
      </c>
      <c r="AB629" s="67" t="str">
        <f>'Lớp 6 - Chi tiết'!AF191</f>
        <v/>
      </c>
      <c r="AC629" s="67" t="str">
        <f>'Lớp 6 - Chi tiết'!AE191</f>
        <v/>
      </c>
      <c r="AD629" s="398" t="str">
        <f>'Lớp 6 - Chi tiết'!AJ191</f>
        <v/>
      </c>
      <c r="AE629" s="358" t="str">
        <f>'Lớp 6 - Chi tiết'!AH191</f>
        <v/>
      </c>
      <c r="AF629" s="187" t="str">
        <f>'Lớp 6 - Chi tiết'!AK191</f>
        <v/>
      </c>
      <c r="AG629" s="104" t="str">
        <f>'Lớp 6 - Chi tiết'!AL191</f>
        <v/>
      </c>
      <c r="AH629" s="389" t="str">
        <f t="shared" si="27"/>
        <v/>
      </c>
      <c r="AI629" s="389" t="str">
        <f t="shared" si="37"/>
        <v>🔵 Chưa có hạn</v>
      </c>
      <c r="AJ629" s="67" t="str">
        <f>'Lớp 6 - Chi tiết'!AO191</f>
        <v/>
      </c>
      <c r="AS629" s="389" t="str">
        <f t="shared" si="467"/>
        <v/>
      </c>
      <c r="AT629" s="389" t="str">
        <f t="shared" si="32"/>
        <v/>
      </c>
      <c r="AU629" s="389" t="str">
        <f t="shared" si="33"/>
        <v/>
      </c>
      <c r="AV629" s="389" t="str">
        <f t="shared" si="34"/>
        <v/>
      </c>
      <c r="AW629" s="389" t="str">
        <f t="shared" si="35"/>
        <v/>
      </c>
      <c r="AX629" s="67" t="str">
        <f t="shared" ref="AX629:BH629" si="644">Z629</f>
        <v/>
      </c>
      <c r="AY629" s="67" t="str">
        <f t="shared" si="644"/>
        <v/>
      </c>
      <c r="AZ629" s="67" t="str">
        <f t="shared" si="644"/>
        <v/>
      </c>
      <c r="BA629" s="67" t="str">
        <f t="shared" si="644"/>
        <v/>
      </c>
      <c r="BB629" s="398" t="str">
        <f t="shared" si="644"/>
        <v/>
      </c>
      <c r="BC629" s="358" t="str">
        <f t="shared" si="644"/>
        <v/>
      </c>
      <c r="BD629" s="187" t="str">
        <f t="shared" si="644"/>
        <v/>
      </c>
      <c r="BE629" s="104" t="str">
        <f t="shared" si="644"/>
        <v/>
      </c>
      <c r="BF629" s="389" t="str">
        <f t="shared" si="644"/>
        <v/>
      </c>
      <c r="BG629" s="389" t="str">
        <f t="shared" si="644"/>
        <v>🔵 Chưa có hạn</v>
      </c>
      <c r="BH629" s="67" t="str">
        <f t="shared" si="644"/>
        <v/>
      </c>
      <c r="BI629" s="389" t="str">
        <f t="array" ref="BI629">IF($X629="","",SWITCH($W629,3,IFERROR(INDEX('Lớp 3 - Công việc chính'!$AF$14:$AF$73,MATCH($X629,'Lớp 3 - Công việc chính'!$I$14:$I$73,0)),""),4,IFERROR(INDEX('Lớp 4 - Danh mục'!$AI$14:$AI$132,MATCH($X629,'Lớp 4 - Danh mục'!$I$14:$I$132,0)),""),5,IFERROR(INDEX('Lớp 5 - Phân công'!$AJ$14:$AJ$262,MATCH($X629,'Lớp 5 - Phân công'!$I$14:$I$262,0)),""),6,IFERROR(INDEX('Lớp 6 - Chi tiết'!$AM$14:$AM$267,MATCH($X629,'Lớp 6 - Chi tiết'!$I$14:$I$267,0)),""),""))</f>
        <v/>
      </c>
      <c r="BJ629" s="389" t="str">
        <f t="array" ref="BJ629">IF($X629="","",SWITCH($W629,3,IFERROR(INDEX('Lớp 3 - Công việc chính'!$AR$14:$AR$73,MATCH($X629,'Lớp 3 - Công việc chính'!$I$14:$I$73,0)),""),4,IFERROR(INDEX('Lớp 4 - Danh mục'!$AU$14:$AU$132,MATCH($X629,'Lớp 4 - Danh mục'!$I$14:$I$132,0)),""),5,IFERROR(INDEX('Lớp 5 - Phân công'!$AV$14:$AV$262,MATCH($X629,'Lớp 5 - Phân công'!$I$14:$I$262,0)),""),6,IFERROR(INDEX('Lớp 6 - Chi tiết'!$AY$14:$AY$267,MATCH($X629,'Lớp 6 - Chi tiết'!$I$14:$I$267,0)),""),""))</f>
        <v/>
      </c>
    </row>
    <row r="630" ht="15.75" customHeight="1">
      <c r="A630" s="294" t="str">
        <f t="shared" si="12"/>
        <v/>
      </c>
      <c r="B630" s="301" t="str">
        <f t="shared" si="13"/>
        <v/>
      </c>
      <c r="C630" s="301" t="str">
        <f t="shared" si="14"/>
        <v/>
      </c>
      <c r="D630" s="301" t="str">
        <f t="shared" si="15"/>
        <v/>
      </c>
      <c r="E630" s="301" t="str">
        <f t="shared" si="16"/>
        <v/>
      </c>
      <c r="F630" s="317" t="str">
        <f t="shared" si="17"/>
        <v/>
      </c>
      <c r="G630" s="323" t="str">
        <f t="shared" si="18"/>
        <v/>
      </c>
      <c r="H630" s="327" t="str">
        <f t="shared" si="19"/>
        <v/>
      </c>
      <c r="I630" s="327" t="str">
        <f t="shared" si="20"/>
        <v/>
      </c>
      <c r="J630" s="301" t="str">
        <f t="shared" si="21"/>
        <v/>
      </c>
      <c r="K630" s="301" t="str">
        <f t="shared" si="22"/>
        <v/>
      </c>
      <c r="L630" s="344" t="str">
        <f t="array" ref="L630">IF($T630="","",LET(m,MATCH($T630,$AS$24:$AS$700,0),lvl,INDEX($W$24:$W$700,m),id,INDEX($X$24:$X$700,m),SWITCH(lvl,3,"Lớp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0" s="351" t="str">
        <f t="shared" si="23"/>
        <v/>
      </c>
      <c r="N630" s="356" t="str">
        <f t="shared" si="24"/>
        <v/>
      </c>
      <c r="O630" s="358"/>
      <c r="P630" s="360"/>
      <c r="Q630" s="360"/>
      <c r="R630" s="67"/>
      <c r="S630" s="67"/>
      <c r="T630" s="67"/>
      <c r="U630" s="389" t="str">
        <f>IF('Lớp 6 - Chi tiết'!I192="","",'Lớp 6 - Chi tiết'!L192&amp;"|"&amp;'Lớp 6 - Chi tiết'!K192&amp;"|"&amp;'Lớp 6 - Chi tiết'!J192&amp;"|"&amp;'Lớp 6 - Chi tiết'!I192)</f>
        <v/>
      </c>
      <c r="V630" s="389" t="str">
        <f>IF('Lớp 6 - Chi tiết'!I192="","","           └─ "&amp;'Lớp 6 - Chi tiết'!S192)</f>
        <v/>
      </c>
      <c r="W630" s="389" t="str">
        <f>IF('Lớp 6 - Chi tiết'!I192="","",6)</f>
        <v/>
      </c>
      <c r="X630" s="67" t="str">
        <f>'Lớp 6 - Chi tiết'!I192</f>
        <v/>
      </c>
      <c r="Y630" s="389" t="str">
        <f>'Lớp 6 - Chi tiết'!J192</f>
        <v/>
      </c>
      <c r="Z630" s="67" t="str">
        <f>'Lớp 6 - Chi tiết'!AC192</f>
        <v/>
      </c>
      <c r="AA630" s="67" t="str">
        <f>'Lớp 6 - Chi tiết'!AB192</f>
        <v/>
      </c>
      <c r="AB630" s="67" t="str">
        <f>'Lớp 6 - Chi tiết'!AF192</f>
        <v/>
      </c>
      <c r="AC630" s="67" t="str">
        <f>'Lớp 6 - Chi tiết'!AE192</f>
        <v/>
      </c>
      <c r="AD630" s="398" t="str">
        <f>'Lớp 6 - Chi tiết'!AJ192</f>
        <v/>
      </c>
      <c r="AE630" s="358" t="str">
        <f>'Lớp 6 - Chi tiết'!AH192</f>
        <v/>
      </c>
      <c r="AF630" s="187" t="str">
        <f>'Lớp 6 - Chi tiết'!AK192</f>
        <v/>
      </c>
      <c r="AG630" s="104" t="str">
        <f>'Lớp 6 - Chi tiết'!AL192</f>
        <v/>
      </c>
      <c r="AH630" s="389" t="str">
        <f t="shared" si="27"/>
        <v/>
      </c>
      <c r="AI630" s="389" t="str">
        <f t="shared" si="37"/>
        <v>🔵 Chưa có hạn</v>
      </c>
      <c r="AJ630" s="67" t="str">
        <f>'Lớp 6 - Chi tiết'!AO192</f>
        <v/>
      </c>
      <c r="AS630" s="389" t="str">
        <f t="shared" si="467"/>
        <v/>
      </c>
      <c r="AT630" s="389" t="str">
        <f t="shared" si="32"/>
        <v/>
      </c>
      <c r="AU630" s="389" t="str">
        <f t="shared" si="33"/>
        <v/>
      </c>
      <c r="AV630" s="389" t="str">
        <f t="shared" si="34"/>
        <v/>
      </c>
      <c r="AW630" s="389" t="str">
        <f t="shared" si="35"/>
        <v/>
      </c>
      <c r="AX630" s="67" t="str">
        <f t="shared" ref="AX630:BH630" si="645">Z630</f>
        <v/>
      </c>
      <c r="AY630" s="67" t="str">
        <f t="shared" si="645"/>
        <v/>
      </c>
      <c r="AZ630" s="67" t="str">
        <f t="shared" si="645"/>
        <v/>
      </c>
      <c r="BA630" s="67" t="str">
        <f t="shared" si="645"/>
        <v/>
      </c>
      <c r="BB630" s="398" t="str">
        <f t="shared" si="645"/>
        <v/>
      </c>
      <c r="BC630" s="358" t="str">
        <f t="shared" si="645"/>
        <v/>
      </c>
      <c r="BD630" s="187" t="str">
        <f t="shared" si="645"/>
        <v/>
      </c>
      <c r="BE630" s="104" t="str">
        <f t="shared" si="645"/>
        <v/>
      </c>
      <c r="BF630" s="389" t="str">
        <f t="shared" si="645"/>
        <v/>
      </c>
      <c r="BG630" s="389" t="str">
        <f t="shared" si="645"/>
        <v>🔵 Chưa có hạn</v>
      </c>
      <c r="BH630" s="67" t="str">
        <f t="shared" si="645"/>
        <v/>
      </c>
      <c r="BI630" s="389" t="str">
        <f t="array" ref="BI630">IF($X630="","",SWITCH($W630,3,IFERROR(INDEX('Lớp 3 - Công việc chính'!$AF$14:$AF$73,MATCH($X630,'Lớp 3 - Công việc chính'!$I$14:$I$73,0)),""),4,IFERROR(INDEX('Lớp 4 - Danh mục'!$AI$14:$AI$132,MATCH($X630,'Lớp 4 - Danh mục'!$I$14:$I$132,0)),""),5,IFERROR(INDEX('Lớp 5 - Phân công'!$AJ$14:$AJ$262,MATCH($X630,'Lớp 5 - Phân công'!$I$14:$I$262,0)),""),6,IFERROR(INDEX('Lớp 6 - Chi tiết'!$AM$14:$AM$267,MATCH($X630,'Lớp 6 - Chi tiết'!$I$14:$I$267,0)),""),""))</f>
        <v/>
      </c>
      <c r="BJ630" s="389" t="str">
        <f t="array" ref="BJ630">IF($X630="","",SWITCH($W630,3,IFERROR(INDEX('Lớp 3 - Công việc chính'!$AR$14:$AR$73,MATCH($X630,'Lớp 3 - Công việc chính'!$I$14:$I$73,0)),""),4,IFERROR(INDEX('Lớp 4 - Danh mục'!$AU$14:$AU$132,MATCH($X630,'Lớp 4 - Danh mục'!$I$14:$I$132,0)),""),5,IFERROR(INDEX('Lớp 5 - Phân công'!$AV$14:$AV$262,MATCH($X630,'Lớp 5 - Phân công'!$I$14:$I$262,0)),""),6,IFERROR(INDEX('Lớp 6 - Chi tiết'!$AY$14:$AY$267,MATCH($X630,'Lớp 6 - Chi tiết'!$I$14:$I$267,0)),""),""))</f>
        <v/>
      </c>
    </row>
    <row r="631" ht="15.75" customHeight="1">
      <c r="A631" s="294" t="str">
        <f t="shared" si="12"/>
        <v/>
      </c>
      <c r="B631" s="301" t="str">
        <f t="shared" si="13"/>
        <v/>
      </c>
      <c r="C631" s="301" t="str">
        <f t="shared" si="14"/>
        <v/>
      </c>
      <c r="D631" s="301" t="str">
        <f t="shared" si="15"/>
        <v/>
      </c>
      <c r="E631" s="301" t="str">
        <f t="shared" si="16"/>
        <v/>
      </c>
      <c r="F631" s="317" t="str">
        <f t="shared" si="17"/>
        <v/>
      </c>
      <c r="G631" s="323" t="str">
        <f t="shared" si="18"/>
        <v/>
      </c>
      <c r="H631" s="327" t="str">
        <f t="shared" si="19"/>
        <v/>
      </c>
      <c r="I631" s="327" t="str">
        <f t="shared" si="20"/>
        <v/>
      </c>
      <c r="J631" s="301" t="str">
        <f t="shared" si="21"/>
        <v/>
      </c>
      <c r="K631" s="301" t="str">
        <f t="shared" si="22"/>
        <v/>
      </c>
      <c r="L631" s="344" t="str">
        <f t="array" ref="L631">IF($T631="","",LET(m,MATCH($T631,$AS$24:$AS$700,0),lvl,INDEX($W$24:$W$700,m),id,INDEX($X$24:$X$700,m),SWITCH(lvl,3,"Lớp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1" s="351" t="str">
        <f t="shared" si="23"/>
        <v/>
      </c>
      <c r="N631" s="356" t="str">
        <f t="shared" si="24"/>
        <v/>
      </c>
      <c r="O631" s="358"/>
      <c r="P631" s="360"/>
      <c r="Q631" s="360"/>
      <c r="R631" s="67"/>
      <c r="S631" s="67"/>
      <c r="T631" s="67"/>
      <c r="U631" s="389" t="str">
        <f>IF('Lớp 6 - Chi tiết'!I193="","",'Lớp 6 - Chi tiết'!L193&amp;"|"&amp;'Lớp 6 - Chi tiết'!K193&amp;"|"&amp;'Lớp 6 - Chi tiết'!J193&amp;"|"&amp;'Lớp 6 - Chi tiết'!I193)</f>
        <v/>
      </c>
      <c r="V631" s="389" t="str">
        <f>IF('Lớp 6 - Chi tiết'!I193="","","           └─ "&amp;'Lớp 6 - Chi tiết'!S193)</f>
        <v/>
      </c>
      <c r="W631" s="389" t="str">
        <f>IF('Lớp 6 - Chi tiết'!I193="","",6)</f>
        <v/>
      </c>
      <c r="X631" s="67" t="str">
        <f>'Lớp 6 - Chi tiết'!I193</f>
        <v/>
      </c>
      <c r="Y631" s="389" t="str">
        <f>'Lớp 6 - Chi tiết'!J193</f>
        <v/>
      </c>
      <c r="Z631" s="67" t="str">
        <f>'Lớp 6 - Chi tiết'!AC193</f>
        <v/>
      </c>
      <c r="AA631" s="67" t="str">
        <f>'Lớp 6 - Chi tiết'!AB193</f>
        <v/>
      </c>
      <c r="AB631" s="67" t="str">
        <f>'Lớp 6 - Chi tiết'!AF193</f>
        <v/>
      </c>
      <c r="AC631" s="67" t="str">
        <f>'Lớp 6 - Chi tiết'!AE193</f>
        <v/>
      </c>
      <c r="AD631" s="398" t="str">
        <f>'Lớp 6 - Chi tiết'!AJ193</f>
        <v/>
      </c>
      <c r="AE631" s="358" t="str">
        <f>'Lớp 6 - Chi tiết'!AH193</f>
        <v/>
      </c>
      <c r="AF631" s="187" t="str">
        <f>'Lớp 6 - Chi tiết'!AK193</f>
        <v/>
      </c>
      <c r="AG631" s="104" t="str">
        <f>'Lớp 6 - Chi tiết'!AL193</f>
        <v/>
      </c>
      <c r="AH631" s="389" t="str">
        <f t="shared" si="27"/>
        <v/>
      </c>
      <c r="AI631" s="389" t="str">
        <f t="shared" si="37"/>
        <v>🔵 Chưa có hạn</v>
      </c>
      <c r="AJ631" s="67" t="str">
        <f>'Lớp 6 - Chi tiết'!AO193</f>
        <v/>
      </c>
      <c r="AS631" s="389" t="str">
        <f t="shared" si="467"/>
        <v/>
      </c>
      <c r="AT631" s="389" t="str">
        <f t="shared" si="32"/>
        <v/>
      </c>
      <c r="AU631" s="389" t="str">
        <f t="shared" si="33"/>
        <v/>
      </c>
      <c r="AV631" s="389" t="str">
        <f t="shared" si="34"/>
        <v/>
      </c>
      <c r="AW631" s="389" t="str">
        <f t="shared" si="35"/>
        <v/>
      </c>
      <c r="AX631" s="67" t="str">
        <f t="shared" ref="AX631:BH631" si="646">Z631</f>
        <v/>
      </c>
      <c r="AY631" s="67" t="str">
        <f t="shared" si="646"/>
        <v/>
      </c>
      <c r="AZ631" s="67" t="str">
        <f t="shared" si="646"/>
        <v/>
      </c>
      <c r="BA631" s="67" t="str">
        <f t="shared" si="646"/>
        <v/>
      </c>
      <c r="BB631" s="398" t="str">
        <f t="shared" si="646"/>
        <v/>
      </c>
      <c r="BC631" s="358" t="str">
        <f t="shared" si="646"/>
        <v/>
      </c>
      <c r="BD631" s="187" t="str">
        <f t="shared" si="646"/>
        <v/>
      </c>
      <c r="BE631" s="104" t="str">
        <f t="shared" si="646"/>
        <v/>
      </c>
      <c r="BF631" s="389" t="str">
        <f t="shared" si="646"/>
        <v/>
      </c>
      <c r="BG631" s="389" t="str">
        <f t="shared" si="646"/>
        <v>🔵 Chưa có hạn</v>
      </c>
      <c r="BH631" s="67" t="str">
        <f t="shared" si="646"/>
        <v/>
      </c>
      <c r="BI631" s="389" t="str">
        <f t="array" ref="BI631">IF($X631="","",SWITCH($W631,3,IFERROR(INDEX('Lớp 3 - Công việc chính'!$AF$14:$AF$73,MATCH($X631,'Lớp 3 - Công việc chính'!$I$14:$I$73,0)),""),4,IFERROR(INDEX('Lớp 4 - Danh mục'!$AI$14:$AI$132,MATCH($X631,'Lớp 4 - Danh mục'!$I$14:$I$132,0)),""),5,IFERROR(INDEX('Lớp 5 - Phân công'!$AJ$14:$AJ$262,MATCH($X631,'Lớp 5 - Phân công'!$I$14:$I$262,0)),""),6,IFERROR(INDEX('Lớp 6 - Chi tiết'!$AM$14:$AM$267,MATCH($X631,'Lớp 6 - Chi tiết'!$I$14:$I$267,0)),""),""))</f>
        <v/>
      </c>
      <c r="BJ631" s="389" t="str">
        <f t="array" ref="BJ631">IF($X631="","",SWITCH($W631,3,IFERROR(INDEX('Lớp 3 - Công việc chính'!$AR$14:$AR$73,MATCH($X631,'Lớp 3 - Công việc chính'!$I$14:$I$73,0)),""),4,IFERROR(INDEX('Lớp 4 - Danh mục'!$AU$14:$AU$132,MATCH($X631,'Lớp 4 - Danh mục'!$I$14:$I$132,0)),""),5,IFERROR(INDEX('Lớp 5 - Phân công'!$AV$14:$AV$262,MATCH($X631,'Lớp 5 - Phân công'!$I$14:$I$262,0)),""),6,IFERROR(INDEX('Lớp 6 - Chi tiết'!$AY$14:$AY$267,MATCH($X631,'Lớp 6 - Chi tiết'!$I$14:$I$267,0)),""),""))</f>
        <v/>
      </c>
    </row>
    <row r="632" ht="15.75" customHeight="1">
      <c r="A632" s="294" t="str">
        <f t="shared" si="12"/>
        <v/>
      </c>
      <c r="B632" s="301" t="str">
        <f t="shared" si="13"/>
        <v/>
      </c>
      <c r="C632" s="301" t="str">
        <f t="shared" si="14"/>
        <v/>
      </c>
      <c r="D632" s="301" t="str">
        <f t="shared" si="15"/>
        <v/>
      </c>
      <c r="E632" s="301" t="str">
        <f t="shared" si="16"/>
        <v/>
      </c>
      <c r="F632" s="317" t="str">
        <f t="shared" si="17"/>
        <v/>
      </c>
      <c r="G632" s="323" t="str">
        <f t="shared" si="18"/>
        <v/>
      </c>
      <c r="H632" s="327" t="str">
        <f t="shared" si="19"/>
        <v/>
      </c>
      <c r="I632" s="327" t="str">
        <f t="shared" si="20"/>
        <v/>
      </c>
      <c r="J632" s="301" t="str">
        <f t="shared" si="21"/>
        <v/>
      </c>
      <c r="K632" s="301" t="str">
        <f t="shared" si="22"/>
        <v/>
      </c>
      <c r="L632" s="344" t="str">
        <f t="array" ref="L632">IF($T632="","",LET(m,MATCH($T632,$AS$24:$AS$700,0),lvl,INDEX($W$24:$W$700,m),id,INDEX($X$24:$X$700,m),SWITCH(lvl,3,"Lớp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2" s="351" t="str">
        <f t="shared" si="23"/>
        <v/>
      </c>
      <c r="N632" s="356" t="str">
        <f t="shared" si="24"/>
        <v/>
      </c>
      <c r="O632" s="358"/>
      <c r="P632" s="360"/>
      <c r="Q632" s="360"/>
      <c r="R632" s="67"/>
      <c r="S632" s="67"/>
      <c r="T632" s="67"/>
      <c r="U632" s="389" t="str">
        <f>IF('Lớp 6 - Chi tiết'!I194="","",'Lớp 6 - Chi tiết'!L194&amp;"|"&amp;'Lớp 6 - Chi tiết'!K194&amp;"|"&amp;'Lớp 6 - Chi tiết'!J194&amp;"|"&amp;'Lớp 6 - Chi tiết'!I194)</f>
        <v/>
      </c>
      <c r="V632" s="389" t="str">
        <f>IF('Lớp 6 - Chi tiết'!I194="","","           └─ "&amp;'Lớp 6 - Chi tiết'!S194)</f>
        <v/>
      </c>
      <c r="W632" s="389" t="str">
        <f>IF('Lớp 6 - Chi tiết'!I194="","",6)</f>
        <v/>
      </c>
      <c r="X632" s="67" t="str">
        <f>'Lớp 6 - Chi tiết'!I194</f>
        <v/>
      </c>
      <c r="Y632" s="389" t="str">
        <f>'Lớp 6 - Chi tiết'!J194</f>
        <v/>
      </c>
      <c r="Z632" s="67" t="str">
        <f>'Lớp 6 - Chi tiết'!AC194</f>
        <v/>
      </c>
      <c r="AA632" s="67" t="str">
        <f>'Lớp 6 - Chi tiết'!AB194</f>
        <v/>
      </c>
      <c r="AB632" s="67" t="str">
        <f>'Lớp 6 - Chi tiết'!AF194</f>
        <v/>
      </c>
      <c r="AC632" s="67" t="str">
        <f>'Lớp 6 - Chi tiết'!AE194</f>
        <v/>
      </c>
      <c r="AD632" s="398" t="str">
        <f>'Lớp 6 - Chi tiết'!AJ194</f>
        <v/>
      </c>
      <c r="AE632" s="358" t="str">
        <f>'Lớp 6 - Chi tiết'!AH194</f>
        <v/>
      </c>
      <c r="AF632" s="187" t="str">
        <f>'Lớp 6 - Chi tiết'!AK194</f>
        <v/>
      </c>
      <c r="AG632" s="104" t="str">
        <f>'Lớp 6 - Chi tiết'!AL194</f>
        <v/>
      </c>
      <c r="AH632" s="389" t="str">
        <f t="shared" si="27"/>
        <v/>
      </c>
      <c r="AI632" s="389" t="str">
        <f t="shared" si="37"/>
        <v>🔵 Chưa có hạn</v>
      </c>
      <c r="AJ632" s="67" t="str">
        <f>'Lớp 6 - Chi tiết'!AO194</f>
        <v/>
      </c>
      <c r="AS632" s="389" t="str">
        <f t="shared" si="467"/>
        <v/>
      </c>
      <c r="AT632" s="389" t="str">
        <f t="shared" si="32"/>
        <v/>
      </c>
      <c r="AU632" s="389" t="str">
        <f t="shared" si="33"/>
        <v/>
      </c>
      <c r="AV632" s="389" t="str">
        <f t="shared" si="34"/>
        <v/>
      </c>
      <c r="AW632" s="389" t="str">
        <f t="shared" si="35"/>
        <v/>
      </c>
      <c r="AX632" s="67" t="str">
        <f t="shared" ref="AX632:BH632" si="647">Z632</f>
        <v/>
      </c>
      <c r="AY632" s="67" t="str">
        <f t="shared" si="647"/>
        <v/>
      </c>
      <c r="AZ632" s="67" t="str">
        <f t="shared" si="647"/>
        <v/>
      </c>
      <c r="BA632" s="67" t="str">
        <f t="shared" si="647"/>
        <v/>
      </c>
      <c r="BB632" s="398" t="str">
        <f t="shared" si="647"/>
        <v/>
      </c>
      <c r="BC632" s="358" t="str">
        <f t="shared" si="647"/>
        <v/>
      </c>
      <c r="BD632" s="187" t="str">
        <f t="shared" si="647"/>
        <v/>
      </c>
      <c r="BE632" s="104" t="str">
        <f t="shared" si="647"/>
        <v/>
      </c>
      <c r="BF632" s="389" t="str">
        <f t="shared" si="647"/>
        <v/>
      </c>
      <c r="BG632" s="389" t="str">
        <f t="shared" si="647"/>
        <v>🔵 Chưa có hạn</v>
      </c>
      <c r="BH632" s="67" t="str">
        <f t="shared" si="647"/>
        <v/>
      </c>
      <c r="BI632" s="389" t="str">
        <f t="array" ref="BI632">IF($X632="","",SWITCH($W632,3,IFERROR(INDEX('Lớp 3 - Công việc chính'!$AF$14:$AF$73,MATCH($X632,'Lớp 3 - Công việc chính'!$I$14:$I$73,0)),""),4,IFERROR(INDEX('Lớp 4 - Danh mục'!$AI$14:$AI$132,MATCH($X632,'Lớp 4 - Danh mục'!$I$14:$I$132,0)),""),5,IFERROR(INDEX('Lớp 5 - Phân công'!$AJ$14:$AJ$262,MATCH($X632,'Lớp 5 - Phân công'!$I$14:$I$262,0)),""),6,IFERROR(INDEX('Lớp 6 - Chi tiết'!$AM$14:$AM$267,MATCH($X632,'Lớp 6 - Chi tiết'!$I$14:$I$267,0)),""),""))</f>
        <v/>
      </c>
      <c r="BJ632" s="389" t="str">
        <f t="array" ref="BJ632">IF($X632="","",SWITCH($W632,3,IFERROR(INDEX('Lớp 3 - Công việc chính'!$AR$14:$AR$73,MATCH($X632,'Lớp 3 - Công việc chính'!$I$14:$I$73,0)),""),4,IFERROR(INDEX('Lớp 4 - Danh mục'!$AU$14:$AU$132,MATCH($X632,'Lớp 4 - Danh mục'!$I$14:$I$132,0)),""),5,IFERROR(INDEX('Lớp 5 - Phân công'!$AV$14:$AV$262,MATCH($X632,'Lớp 5 - Phân công'!$I$14:$I$262,0)),""),6,IFERROR(INDEX('Lớp 6 - Chi tiết'!$AY$14:$AY$267,MATCH($X632,'Lớp 6 - Chi tiết'!$I$14:$I$267,0)),""),""))</f>
        <v/>
      </c>
    </row>
    <row r="633" ht="15.75" customHeight="1">
      <c r="A633" s="294" t="str">
        <f t="shared" si="12"/>
        <v/>
      </c>
      <c r="B633" s="301" t="str">
        <f t="shared" si="13"/>
        <v/>
      </c>
      <c r="C633" s="301" t="str">
        <f t="shared" si="14"/>
        <v/>
      </c>
      <c r="D633" s="301" t="str">
        <f t="shared" si="15"/>
        <v/>
      </c>
      <c r="E633" s="301" t="str">
        <f t="shared" si="16"/>
        <v/>
      </c>
      <c r="F633" s="317" t="str">
        <f t="shared" si="17"/>
        <v/>
      </c>
      <c r="G633" s="323" t="str">
        <f t="shared" si="18"/>
        <v/>
      </c>
      <c r="H633" s="327" t="str">
        <f t="shared" si="19"/>
        <v/>
      </c>
      <c r="I633" s="327" t="str">
        <f t="shared" si="20"/>
        <v/>
      </c>
      <c r="J633" s="301" t="str">
        <f t="shared" si="21"/>
        <v/>
      </c>
      <c r="K633" s="301" t="str">
        <f t="shared" si="22"/>
        <v/>
      </c>
      <c r="L633" s="344" t="str">
        <f t="array" ref="L633">IF($T633="","",LET(m,MATCH($T633,$AS$24:$AS$700,0),lvl,INDEX($W$24:$W$700,m),id,INDEX($X$24:$X$700,m),SWITCH(lvl,3,"Lớp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3" s="351" t="str">
        <f t="shared" si="23"/>
        <v/>
      </c>
      <c r="N633" s="356" t="str">
        <f t="shared" si="24"/>
        <v/>
      </c>
      <c r="O633" s="358"/>
      <c r="P633" s="360"/>
      <c r="Q633" s="360"/>
      <c r="R633" s="67"/>
      <c r="S633" s="67"/>
      <c r="T633" s="67"/>
      <c r="U633" s="389" t="str">
        <f>IF('Lớp 6 - Chi tiết'!I195="","",'Lớp 6 - Chi tiết'!L195&amp;"|"&amp;'Lớp 6 - Chi tiết'!K195&amp;"|"&amp;'Lớp 6 - Chi tiết'!J195&amp;"|"&amp;'Lớp 6 - Chi tiết'!I195)</f>
        <v/>
      </c>
      <c r="V633" s="389" t="str">
        <f>IF('Lớp 6 - Chi tiết'!I195="","","           └─ "&amp;'Lớp 6 - Chi tiết'!S195)</f>
        <v/>
      </c>
      <c r="W633" s="389" t="str">
        <f>IF('Lớp 6 - Chi tiết'!I195="","",6)</f>
        <v/>
      </c>
      <c r="X633" s="67" t="str">
        <f>'Lớp 6 - Chi tiết'!I195</f>
        <v/>
      </c>
      <c r="Y633" s="389" t="str">
        <f>'Lớp 6 - Chi tiết'!J195</f>
        <v/>
      </c>
      <c r="Z633" s="67" t="str">
        <f>'Lớp 6 - Chi tiết'!AC195</f>
        <v/>
      </c>
      <c r="AA633" s="67" t="str">
        <f>'Lớp 6 - Chi tiết'!AB195</f>
        <v/>
      </c>
      <c r="AB633" s="67" t="str">
        <f>'Lớp 6 - Chi tiết'!AF195</f>
        <v/>
      </c>
      <c r="AC633" s="67" t="str">
        <f>'Lớp 6 - Chi tiết'!AE195</f>
        <v/>
      </c>
      <c r="AD633" s="398" t="str">
        <f>'Lớp 6 - Chi tiết'!AJ195</f>
        <v/>
      </c>
      <c r="AE633" s="358" t="str">
        <f>'Lớp 6 - Chi tiết'!AH195</f>
        <v/>
      </c>
      <c r="AF633" s="187" t="str">
        <f>'Lớp 6 - Chi tiết'!AK195</f>
        <v/>
      </c>
      <c r="AG633" s="104" t="str">
        <f>'Lớp 6 - Chi tiết'!AL195</f>
        <v/>
      </c>
      <c r="AH633" s="389" t="str">
        <f t="shared" si="27"/>
        <v/>
      </c>
      <c r="AI633" s="389" t="str">
        <f t="shared" si="37"/>
        <v>🔵 Chưa có hạn</v>
      </c>
      <c r="AJ633" s="67" t="str">
        <f>'Lớp 6 - Chi tiết'!AO195</f>
        <v/>
      </c>
      <c r="AS633" s="389" t="str">
        <f t="shared" si="467"/>
        <v/>
      </c>
      <c r="AT633" s="389" t="str">
        <f t="shared" si="32"/>
        <v/>
      </c>
      <c r="AU633" s="389" t="str">
        <f t="shared" si="33"/>
        <v/>
      </c>
      <c r="AV633" s="389" t="str">
        <f t="shared" si="34"/>
        <v/>
      </c>
      <c r="AW633" s="389" t="str">
        <f t="shared" si="35"/>
        <v/>
      </c>
      <c r="AX633" s="67" t="str">
        <f t="shared" ref="AX633:BH633" si="648">Z633</f>
        <v/>
      </c>
      <c r="AY633" s="67" t="str">
        <f t="shared" si="648"/>
        <v/>
      </c>
      <c r="AZ633" s="67" t="str">
        <f t="shared" si="648"/>
        <v/>
      </c>
      <c r="BA633" s="67" t="str">
        <f t="shared" si="648"/>
        <v/>
      </c>
      <c r="BB633" s="398" t="str">
        <f t="shared" si="648"/>
        <v/>
      </c>
      <c r="BC633" s="358" t="str">
        <f t="shared" si="648"/>
        <v/>
      </c>
      <c r="BD633" s="187" t="str">
        <f t="shared" si="648"/>
        <v/>
      </c>
      <c r="BE633" s="104" t="str">
        <f t="shared" si="648"/>
        <v/>
      </c>
      <c r="BF633" s="389" t="str">
        <f t="shared" si="648"/>
        <v/>
      </c>
      <c r="BG633" s="389" t="str">
        <f t="shared" si="648"/>
        <v>🔵 Chưa có hạn</v>
      </c>
      <c r="BH633" s="67" t="str">
        <f t="shared" si="648"/>
        <v/>
      </c>
      <c r="BI633" s="389" t="str">
        <f t="array" ref="BI633">IF($X633="","",SWITCH($W633,3,IFERROR(INDEX('Lớp 3 - Công việc chính'!$AF$14:$AF$73,MATCH($X633,'Lớp 3 - Công việc chính'!$I$14:$I$73,0)),""),4,IFERROR(INDEX('Lớp 4 - Danh mục'!$AI$14:$AI$132,MATCH($X633,'Lớp 4 - Danh mục'!$I$14:$I$132,0)),""),5,IFERROR(INDEX('Lớp 5 - Phân công'!$AJ$14:$AJ$262,MATCH($X633,'Lớp 5 - Phân công'!$I$14:$I$262,0)),""),6,IFERROR(INDEX('Lớp 6 - Chi tiết'!$AM$14:$AM$267,MATCH($X633,'Lớp 6 - Chi tiết'!$I$14:$I$267,0)),""),""))</f>
        <v/>
      </c>
      <c r="BJ633" s="389" t="str">
        <f t="array" ref="BJ633">IF($X633="","",SWITCH($W633,3,IFERROR(INDEX('Lớp 3 - Công việc chính'!$AR$14:$AR$73,MATCH($X633,'Lớp 3 - Công việc chính'!$I$14:$I$73,0)),""),4,IFERROR(INDEX('Lớp 4 - Danh mục'!$AU$14:$AU$132,MATCH($X633,'Lớp 4 - Danh mục'!$I$14:$I$132,0)),""),5,IFERROR(INDEX('Lớp 5 - Phân công'!$AV$14:$AV$262,MATCH($X633,'Lớp 5 - Phân công'!$I$14:$I$262,0)),""),6,IFERROR(INDEX('Lớp 6 - Chi tiết'!$AY$14:$AY$267,MATCH($X633,'Lớp 6 - Chi tiết'!$I$14:$I$267,0)),""),""))</f>
        <v/>
      </c>
    </row>
    <row r="634" ht="15.75" customHeight="1">
      <c r="A634" s="294" t="str">
        <f t="shared" si="12"/>
        <v/>
      </c>
      <c r="B634" s="301" t="str">
        <f t="shared" si="13"/>
        <v/>
      </c>
      <c r="C634" s="301" t="str">
        <f t="shared" si="14"/>
        <v/>
      </c>
      <c r="D634" s="301" t="str">
        <f t="shared" si="15"/>
        <v/>
      </c>
      <c r="E634" s="301" t="str">
        <f t="shared" si="16"/>
        <v/>
      </c>
      <c r="F634" s="317" t="str">
        <f t="shared" si="17"/>
        <v/>
      </c>
      <c r="G634" s="323" t="str">
        <f t="shared" si="18"/>
        <v/>
      </c>
      <c r="H634" s="327" t="str">
        <f t="shared" si="19"/>
        <v/>
      </c>
      <c r="I634" s="327" t="str">
        <f t="shared" si="20"/>
        <v/>
      </c>
      <c r="J634" s="301" t="str">
        <f t="shared" si="21"/>
        <v/>
      </c>
      <c r="K634" s="301" t="str">
        <f t="shared" si="22"/>
        <v/>
      </c>
      <c r="L634" s="344" t="str">
        <f t="array" ref="L634">IF($T634="","",LET(m,MATCH($T634,$AS$24:$AS$700,0),lvl,INDEX($W$24:$W$700,m),id,INDEX($X$24:$X$700,m),SWITCH(lvl,3,"Lớp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4" s="351" t="str">
        <f t="shared" si="23"/>
        <v/>
      </c>
      <c r="N634" s="356" t="str">
        <f t="shared" si="24"/>
        <v/>
      </c>
      <c r="O634" s="358"/>
      <c r="P634" s="360"/>
      <c r="Q634" s="360"/>
      <c r="R634" s="67"/>
      <c r="S634" s="67"/>
      <c r="T634" s="67"/>
      <c r="U634" s="389" t="str">
        <f>IF('Lớp 6 - Chi tiết'!I196="","",'Lớp 6 - Chi tiết'!L196&amp;"|"&amp;'Lớp 6 - Chi tiết'!K196&amp;"|"&amp;'Lớp 6 - Chi tiết'!J196&amp;"|"&amp;'Lớp 6 - Chi tiết'!I196)</f>
        <v/>
      </c>
      <c r="V634" s="389" t="str">
        <f>IF('Lớp 6 - Chi tiết'!I196="","","           └─ "&amp;'Lớp 6 - Chi tiết'!S196)</f>
        <v/>
      </c>
      <c r="W634" s="389" t="str">
        <f>IF('Lớp 6 - Chi tiết'!I196="","",6)</f>
        <v/>
      </c>
      <c r="X634" s="67" t="str">
        <f>'Lớp 6 - Chi tiết'!I196</f>
        <v/>
      </c>
      <c r="Y634" s="389" t="str">
        <f>'Lớp 6 - Chi tiết'!J196</f>
        <v/>
      </c>
      <c r="Z634" s="67" t="str">
        <f>'Lớp 6 - Chi tiết'!AC196</f>
        <v/>
      </c>
      <c r="AA634" s="67" t="str">
        <f>'Lớp 6 - Chi tiết'!AB196</f>
        <v/>
      </c>
      <c r="AB634" s="67" t="str">
        <f>'Lớp 6 - Chi tiết'!AF196</f>
        <v/>
      </c>
      <c r="AC634" s="67" t="str">
        <f>'Lớp 6 - Chi tiết'!AE196</f>
        <v/>
      </c>
      <c r="AD634" s="398" t="str">
        <f>'Lớp 6 - Chi tiết'!AJ196</f>
        <v/>
      </c>
      <c r="AE634" s="358" t="str">
        <f>'Lớp 6 - Chi tiết'!AH196</f>
        <v/>
      </c>
      <c r="AF634" s="187" t="str">
        <f>'Lớp 6 - Chi tiết'!AK196</f>
        <v/>
      </c>
      <c r="AG634" s="104" t="str">
        <f>'Lớp 6 - Chi tiết'!AL196</f>
        <v/>
      </c>
      <c r="AH634" s="389" t="str">
        <f t="shared" si="27"/>
        <v/>
      </c>
      <c r="AI634" s="389" t="str">
        <f t="shared" si="37"/>
        <v>🔵 Chưa có hạn</v>
      </c>
      <c r="AJ634" s="67" t="str">
        <f>'Lớp 6 - Chi tiết'!AO196</f>
        <v/>
      </c>
      <c r="AS634" s="389" t="str">
        <f t="shared" si="467"/>
        <v/>
      </c>
      <c r="AT634" s="389" t="str">
        <f t="shared" si="32"/>
        <v/>
      </c>
      <c r="AU634" s="389" t="str">
        <f t="shared" si="33"/>
        <v/>
      </c>
      <c r="AV634" s="389" t="str">
        <f t="shared" si="34"/>
        <v/>
      </c>
      <c r="AW634" s="389" t="str">
        <f t="shared" si="35"/>
        <v/>
      </c>
      <c r="AX634" s="67" t="str">
        <f t="shared" ref="AX634:BH634" si="649">Z634</f>
        <v/>
      </c>
      <c r="AY634" s="67" t="str">
        <f t="shared" si="649"/>
        <v/>
      </c>
      <c r="AZ634" s="67" t="str">
        <f t="shared" si="649"/>
        <v/>
      </c>
      <c r="BA634" s="67" t="str">
        <f t="shared" si="649"/>
        <v/>
      </c>
      <c r="BB634" s="398" t="str">
        <f t="shared" si="649"/>
        <v/>
      </c>
      <c r="BC634" s="358" t="str">
        <f t="shared" si="649"/>
        <v/>
      </c>
      <c r="BD634" s="187" t="str">
        <f t="shared" si="649"/>
        <v/>
      </c>
      <c r="BE634" s="104" t="str">
        <f t="shared" si="649"/>
        <v/>
      </c>
      <c r="BF634" s="389" t="str">
        <f t="shared" si="649"/>
        <v/>
      </c>
      <c r="BG634" s="389" t="str">
        <f t="shared" si="649"/>
        <v>🔵 Chưa có hạn</v>
      </c>
      <c r="BH634" s="67" t="str">
        <f t="shared" si="649"/>
        <v/>
      </c>
      <c r="BI634" s="389" t="str">
        <f t="array" ref="BI634">IF($X634="","",SWITCH($W634,3,IFERROR(INDEX('Lớp 3 - Công việc chính'!$AF$14:$AF$73,MATCH($X634,'Lớp 3 - Công việc chính'!$I$14:$I$73,0)),""),4,IFERROR(INDEX('Lớp 4 - Danh mục'!$AI$14:$AI$132,MATCH($X634,'Lớp 4 - Danh mục'!$I$14:$I$132,0)),""),5,IFERROR(INDEX('Lớp 5 - Phân công'!$AJ$14:$AJ$262,MATCH($X634,'Lớp 5 - Phân công'!$I$14:$I$262,0)),""),6,IFERROR(INDEX('Lớp 6 - Chi tiết'!$AM$14:$AM$267,MATCH($X634,'Lớp 6 - Chi tiết'!$I$14:$I$267,0)),""),""))</f>
        <v/>
      </c>
      <c r="BJ634" s="389" t="str">
        <f t="array" ref="BJ634">IF($X634="","",SWITCH($W634,3,IFERROR(INDEX('Lớp 3 - Công việc chính'!$AR$14:$AR$73,MATCH($X634,'Lớp 3 - Công việc chính'!$I$14:$I$73,0)),""),4,IFERROR(INDEX('Lớp 4 - Danh mục'!$AU$14:$AU$132,MATCH($X634,'Lớp 4 - Danh mục'!$I$14:$I$132,0)),""),5,IFERROR(INDEX('Lớp 5 - Phân công'!$AV$14:$AV$262,MATCH($X634,'Lớp 5 - Phân công'!$I$14:$I$262,0)),""),6,IFERROR(INDEX('Lớp 6 - Chi tiết'!$AY$14:$AY$267,MATCH($X634,'Lớp 6 - Chi tiết'!$I$14:$I$267,0)),""),""))</f>
        <v/>
      </c>
    </row>
    <row r="635" ht="15.75" customHeight="1">
      <c r="A635" s="294" t="str">
        <f t="shared" si="12"/>
        <v/>
      </c>
      <c r="B635" s="301" t="str">
        <f t="shared" si="13"/>
        <v/>
      </c>
      <c r="C635" s="301" t="str">
        <f t="shared" si="14"/>
        <v/>
      </c>
      <c r="D635" s="301" t="str">
        <f t="shared" si="15"/>
        <v/>
      </c>
      <c r="E635" s="301" t="str">
        <f t="shared" si="16"/>
        <v/>
      </c>
      <c r="F635" s="317" t="str">
        <f t="shared" si="17"/>
        <v/>
      </c>
      <c r="G635" s="323" t="str">
        <f t="shared" si="18"/>
        <v/>
      </c>
      <c r="H635" s="327" t="str">
        <f t="shared" si="19"/>
        <v/>
      </c>
      <c r="I635" s="327" t="str">
        <f t="shared" si="20"/>
        <v/>
      </c>
      <c r="J635" s="301" t="str">
        <f t="shared" si="21"/>
        <v/>
      </c>
      <c r="K635" s="301" t="str">
        <f t="shared" si="22"/>
        <v/>
      </c>
      <c r="L635" s="344" t="str">
        <f t="array" ref="L635">IF($T635="","",LET(m,MATCH($T635,$AS$24:$AS$700,0),lvl,INDEX($W$24:$W$700,m),id,INDEX($X$24:$X$700,m),SWITCH(lvl,3,"Lớp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5" s="351" t="str">
        <f t="shared" si="23"/>
        <v/>
      </c>
      <c r="N635" s="356" t="str">
        <f t="shared" si="24"/>
        <v/>
      </c>
      <c r="O635" s="358"/>
      <c r="P635" s="360"/>
      <c r="Q635" s="360"/>
      <c r="R635" s="67"/>
      <c r="S635" s="67"/>
      <c r="T635" s="67"/>
      <c r="U635" s="389" t="str">
        <f>IF('Lớp 6 - Chi tiết'!I197="","",'Lớp 6 - Chi tiết'!L197&amp;"|"&amp;'Lớp 6 - Chi tiết'!K197&amp;"|"&amp;'Lớp 6 - Chi tiết'!J197&amp;"|"&amp;'Lớp 6 - Chi tiết'!I197)</f>
        <v/>
      </c>
      <c r="V635" s="389" t="str">
        <f>IF('Lớp 6 - Chi tiết'!I197="","","           └─ "&amp;'Lớp 6 - Chi tiết'!S197)</f>
        <v/>
      </c>
      <c r="W635" s="389" t="str">
        <f>IF('Lớp 6 - Chi tiết'!I197="","",6)</f>
        <v/>
      </c>
      <c r="X635" s="67" t="str">
        <f>'Lớp 6 - Chi tiết'!I197</f>
        <v/>
      </c>
      <c r="Y635" s="389" t="str">
        <f>'Lớp 6 - Chi tiết'!J197</f>
        <v/>
      </c>
      <c r="Z635" s="67" t="str">
        <f>'Lớp 6 - Chi tiết'!AC197</f>
        <v/>
      </c>
      <c r="AA635" s="67" t="str">
        <f>'Lớp 6 - Chi tiết'!AB197</f>
        <v/>
      </c>
      <c r="AB635" s="67" t="str">
        <f>'Lớp 6 - Chi tiết'!AF197</f>
        <v/>
      </c>
      <c r="AC635" s="67" t="str">
        <f>'Lớp 6 - Chi tiết'!AE197</f>
        <v/>
      </c>
      <c r="AD635" s="398" t="str">
        <f>'Lớp 6 - Chi tiết'!AJ197</f>
        <v/>
      </c>
      <c r="AE635" s="358" t="str">
        <f>'Lớp 6 - Chi tiết'!AH197</f>
        <v/>
      </c>
      <c r="AF635" s="187" t="str">
        <f>'Lớp 6 - Chi tiết'!AK197</f>
        <v/>
      </c>
      <c r="AG635" s="104" t="str">
        <f>'Lớp 6 - Chi tiết'!AL197</f>
        <v/>
      </c>
      <c r="AH635" s="389" t="str">
        <f t="shared" si="27"/>
        <v/>
      </c>
      <c r="AI635" s="389" t="str">
        <f t="shared" si="37"/>
        <v>🔵 Chưa có hạn</v>
      </c>
      <c r="AJ635" s="67" t="str">
        <f>'Lớp 6 - Chi tiết'!AO197</f>
        <v/>
      </c>
      <c r="AS635" s="389" t="str">
        <f t="shared" si="467"/>
        <v/>
      </c>
      <c r="AT635" s="389" t="str">
        <f t="shared" si="32"/>
        <v/>
      </c>
      <c r="AU635" s="389" t="str">
        <f t="shared" si="33"/>
        <v/>
      </c>
      <c r="AV635" s="389" t="str">
        <f t="shared" si="34"/>
        <v/>
      </c>
      <c r="AW635" s="389" t="str">
        <f t="shared" si="35"/>
        <v/>
      </c>
      <c r="AX635" s="67" t="str">
        <f t="shared" ref="AX635:BH635" si="650">Z635</f>
        <v/>
      </c>
      <c r="AY635" s="67" t="str">
        <f t="shared" si="650"/>
        <v/>
      </c>
      <c r="AZ635" s="67" t="str">
        <f t="shared" si="650"/>
        <v/>
      </c>
      <c r="BA635" s="67" t="str">
        <f t="shared" si="650"/>
        <v/>
      </c>
      <c r="BB635" s="398" t="str">
        <f t="shared" si="650"/>
        <v/>
      </c>
      <c r="BC635" s="358" t="str">
        <f t="shared" si="650"/>
        <v/>
      </c>
      <c r="BD635" s="187" t="str">
        <f t="shared" si="650"/>
        <v/>
      </c>
      <c r="BE635" s="104" t="str">
        <f t="shared" si="650"/>
        <v/>
      </c>
      <c r="BF635" s="389" t="str">
        <f t="shared" si="650"/>
        <v/>
      </c>
      <c r="BG635" s="389" t="str">
        <f t="shared" si="650"/>
        <v>🔵 Chưa có hạn</v>
      </c>
      <c r="BH635" s="67" t="str">
        <f t="shared" si="650"/>
        <v/>
      </c>
      <c r="BI635" s="389" t="str">
        <f t="array" ref="BI635">IF($X635="","",SWITCH($W635,3,IFERROR(INDEX('Lớp 3 - Công việc chính'!$AF$14:$AF$73,MATCH($X635,'Lớp 3 - Công việc chính'!$I$14:$I$73,0)),""),4,IFERROR(INDEX('Lớp 4 - Danh mục'!$AI$14:$AI$132,MATCH($X635,'Lớp 4 - Danh mục'!$I$14:$I$132,0)),""),5,IFERROR(INDEX('Lớp 5 - Phân công'!$AJ$14:$AJ$262,MATCH($X635,'Lớp 5 - Phân công'!$I$14:$I$262,0)),""),6,IFERROR(INDEX('Lớp 6 - Chi tiết'!$AM$14:$AM$267,MATCH($X635,'Lớp 6 - Chi tiết'!$I$14:$I$267,0)),""),""))</f>
        <v/>
      </c>
      <c r="BJ635" s="389" t="str">
        <f t="array" ref="BJ635">IF($X635="","",SWITCH($W635,3,IFERROR(INDEX('Lớp 3 - Công việc chính'!$AR$14:$AR$73,MATCH($X635,'Lớp 3 - Công việc chính'!$I$14:$I$73,0)),""),4,IFERROR(INDEX('Lớp 4 - Danh mục'!$AU$14:$AU$132,MATCH($X635,'Lớp 4 - Danh mục'!$I$14:$I$132,0)),""),5,IFERROR(INDEX('Lớp 5 - Phân công'!$AV$14:$AV$262,MATCH($X635,'Lớp 5 - Phân công'!$I$14:$I$262,0)),""),6,IFERROR(INDEX('Lớp 6 - Chi tiết'!$AY$14:$AY$267,MATCH($X635,'Lớp 6 - Chi tiết'!$I$14:$I$267,0)),""),""))</f>
        <v/>
      </c>
    </row>
    <row r="636" ht="15.75" customHeight="1">
      <c r="A636" s="294" t="str">
        <f t="shared" si="12"/>
        <v/>
      </c>
      <c r="B636" s="301" t="str">
        <f t="shared" si="13"/>
        <v/>
      </c>
      <c r="C636" s="301" t="str">
        <f t="shared" si="14"/>
        <v/>
      </c>
      <c r="D636" s="301" t="str">
        <f t="shared" si="15"/>
        <v/>
      </c>
      <c r="E636" s="301" t="str">
        <f t="shared" si="16"/>
        <v/>
      </c>
      <c r="F636" s="317" t="str">
        <f t="shared" si="17"/>
        <v/>
      </c>
      <c r="G636" s="323" t="str">
        <f t="shared" si="18"/>
        <v/>
      </c>
      <c r="H636" s="327" t="str">
        <f t="shared" si="19"/>
        <v/>
      </c>
      <c r="I636" s="327" t="str">
        <f t="shared" si="20"/>
        <v/>
      </c>
      <c r="J636" s="301" t="str">
        <f t="shared" si="21"/>
        <v/>
      </c>
      <c r="K636" s="301" t="str">
        <f t="shared" si="22"/>
        <v/>
      </c>
      <c r="L636" s="344" t="str">
        <f t="array" ref="L636">IF($T636="","",LET(m,MATCH($T636,$AS$24:$AS$700,0),lvl,INDEX($W$24:$W$700,m),id,INDEX($X$24:$X$700,m),SWITCH(lvl,3,"Lớp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6" s="351" t="str">
        <f t="shared" si="23"/>
        <v/>
      </c>
      <c r="N636" s="356" t="str">
        <f t="shared" si="24"/>
        <v/>
      </c>
      <c r="O636" s="358"/>
      <c r="P636" s="360"/>
      <c r="Q636" s="360"/>
      <c r="R636" s="67"/>
      <c r="S636" s="67"/>
      <c r="T636" s="67"/>
      <c r="U636" s="389" t="str">
        <f>IF('Lớp 6 - Chi tiết'!I198="","",'Lớp 6 - Chi tiết'!L198&amp;"|"&amp;'Lớp 6 - Chi tiết'!K198&amp;"|"&amp;'Lớp 6 - Chi tiết'!J198&amp;"|"&amp;'Lớp 6 - Chi tiết'!I198)</f>
        <v/>
      </c>
      <c r="V636" s="389" t="str">
        <f>IF('Lớp 6 - Chi tiết'!I198="","","           └─ "&amp;'Lớp 6 - Chi tiết'!S198)</f>
        <v/>
      </c>
      <c r="W636" s="389" t="str">
        <f>IF('Lớp 6 - Chi tiết'!I198="","",6)</f>
        <v/>
      </c>
      <c r="X636" s="67" t="str">
        <f>'Lớp 6 - Chi tiết'!I198</f>
        <v/>
      </c>
      <c r="Y636" s="389" t="str">
        <f>'Lớp 6 - Chi tiết'!J198</f>
        <v/>
      </c>
      <c r="Z636" s="67" t="str">
        <f>'Lớp 6 - Chi tiết'!AC198</f>
        <v/>
      </c>
      <c r="AA636" s="67" t="str">
        <f>'Lớp 6 - Chi tiết'!AB198</f>
        <v/>
      </c>
      <c r="AB636" s="67" t="str">
        <f>'Lớp 6 - Chi tiết'!AF198</f>
        <v/>
      </c>
      <c r="AC636" s="67" t="str">
        <f>'Lớp 6 - Chi tiết'!AE198</f>
        <v/>
      </c>
      <c r="AD636" s="398" t="str">
        <f>'Lớp 6 - Chi tiết'!AJ198</f>
        <v/>
      </c>
      <c r="AE636" s="358" t="str">
        <f>'Lớp 6 - Chi tiết'!AH198</f>
        <v/>
      </c>
      <c r="AF636" s="187" t="str">
        <f>'Lớp 6 - Chi tiết'!AK198</f>
        <v/>
      </c>
      <c r="AG636" s="104" t="str">
        <f>'Lớp 6 - Chi tiết'!AL198</f>
        <v/>
      </c>
      <c r="AH636" s="389" t="str">
        <f t="shared" si="27"/>
        <v/>
      </c>
      <c r="AI636" s="389" t="str">
        <f t="shared" si="37"/>
        <v>🔵 Chưa có hạn</v>
      </c>
      <c r="AJ636" s="67" t="str">
        <f>'Lớp 6 - Chi tiết'!AO198</f>
        <v/>
      </c>
      <c r="AS636" s="389" t="str">
        <f t="shared" si="467"/>
        <v/>
      </c>
      <c r="AT636" s="389" t="str">
        <f t="shared" si="32"/>
        <v/>
      </c>
      <c r="AU636" s="389" t="str">
        <f t="shared" si="33"/>
        <v/>
      </c>
      <c r="AV636" s="389" t="str">
        <f t="shared" si="34"/>
        <v/>
      </c>
      <c r="AW636" s="389" t="str">
        <f t="shared" si="35"/>
        <v/>
      </c>
      <c r="AX636" s="67" t="str">
        <f t="shared" ref="AX636:BH636" si="651">Z636</f>
        <v/>
      </c>
      <c r="AY636" s="67" t="str">
        <f t="shared" si="651"/>
        <v/>
      </c>
      <c r="AZ636" s="67" t="str">
        <f t="shared" si="651"/>
        <v/>
      </c>
      <c r="BA636" s="67" t="str">
        <f t="shared" si="651"/>
        <v/>
      </c>
      <c r="BB636" s="398" t="str">
        <f t="shared" si="651"/>
        <v/>
      </c>
      <c r="BC636" s="358" t="str">
        <f t="shared" si="651"/>
        <v/>
      </c>
      <c r="BD636" s="187" t="str">
        <f t="shared" si="651"/>
        <v/>
      </c>
      <c r="BE636" s="104" t="str">
        <f t="shared" si="651"/>
        <v/>
      </c>
      <c r="BF636" s="389" t="str">
        <f t="shared" si="651"/>
        <v/>
      </c>
      <c r="BG636" s="389" t="str">
        <f t="shared" si="651"/>
        <v>🔵 Chưa có hạn</v>
      </c>
      <c r="BH636" s="67" t="str">
        <f t="shared" si="651"/>
        <v/>
      </c>
      <c r="BI636" s="389" t="str">
        <f t="array" ref="BI636">IF($X636="","",SWITCH($W636,3,IFERROR(INDEX('Lớp 3 - Công việc chính'!$AF$14:$AF$73,MATCH($X636,'Lớp 3 - Công việc chính'!$I$14:$I$73,0)),""),4,IFERROR(INDEX('Lớp 4 - Danh mục'!$AI$14:$AI$132,MATCH($X636,'Lớp 4 - Danh mục'!$I$14:$I$132,0)),""),5,IFERROR(INDEX('Lớp 5 - Phân công'!$AJ$14:$AJ$262,MATCH($X636,'Lớp 5 - Phân công'!$I$14:$I$262,0)),""),6,IFERROR(INDEX('Lớp 6 - Chi tiết'!$AM$14:$AM$267,MATCH($X636,'Lớp 6 - Chi tiết'!$I$14:$I$267,0)),""),""))</f>
        <v/>
      </c>
      <c r="BJ636" s="389" t="str">
        <f t="array" ref="BJ636">IF($X636="","",SWITCH($W636,3,IFERROR(INDEX('Lớp 3 - Công việc chính'!$AR$14:$AR$73,MATCH($X636,'Lớp 3 - Công việc chính'!$I$14:$I$73,0)),""),4,IFERROR(INDEX('Lớp 4 - Danh mục'!$AU$14:$AU$132,MATCH($X636,'Lớp 4 - Danh mục'!$I$14:$I$132,0)),""),5,IFERROR(INDEX('Lớp 5 - Phân công'!$AV$14:$AV$262,MATCH($X636,'Lớp 5 - Phân công'!$I$14:$I$262,0)),""),6,IFERROR(INDEX('Lớp 6 - Chi tiết'!$AY$14:$AY$267,MATCH($X636,'Lớp 6 - Chi tiết'!$I$14:$I$267,0)),""),""))</f>
        <v/>
      </c>
    </row>
    <row r="637" ht="15.75" customHeight="1">
      <c r="A637" s="294" t="str">
        <f t="shared" si="12"/>
        <v/>
      </c>
      <c r="B637" s="301" t="str">
        <f t="shared" si="13"/>
        <v/>
      </c>
      <c r="C637" s="301" t="str">
        <f t="shared" si="14"/>
        <v/>
      </c>
      <c r="D637" s="301" t="str">
        <f t="shared" si="15"/>
        <v/>
      </c>
      <c r="E637" s="301" t="str">
        <f t="shared" si="16"/>
        <v/>
      </c>
      <c r="F637" s="317" t="str">
        <f t="shared" si="17"/>
        <v/>
      </c>
      <c r="G637" s="323" t="str">
        <f t="shared" si="18"/>
        <v/>
      </c>
      <c r="H637" s="327" t="str">
        <f t="shared" si="19"/>
        <v/>
      </c>
      <c r="I637" s="327" t="str">
        <f t="shared" si="20"/>
        <v/>
      </c>
      <c r="J637" s="301" t="str">
        <f t="shared" si="21"/>
        <v/>
      </c>
      <c r="K637" s="301" t="str">
        <f t="shared" si="22"/>
        <v/>
      </c>
      <c r="L637" s="344" t="str">
        <f t="array" ref="L637">IF($T637="","",LET(m,MATCH($T637,$AS$24:$AS$700,0),lvl,INDEX($W$24:$W$700,m),id,INDEX($X$24:$X$700,m),SWITCH(lvl,3,"Lớp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7" s="351" t="str">
        <f t="shared" si="23"/>
        <v/>
      </c>
      <c r="N637" s="356" t="str">
        <f t="shared" si="24"/>
        <v/>
      </c>
      <c r="O637" s="358"/>
      <c r="P637" s="360"/>
      <c r="Q637" s="360"/>
      <c r="R637" s="67"/>
      <c r="S637" s="67"/>
      <c r="T637" s="67"/>
      <c r="U637" s="389" t="str">
        <f>IF('Lớp 6 - Chi tiết'!I199="","",'Lớp 6 - Chi tiết'!L199&amp;"|"&amp;'Lớp 6 - Chi tiết'!K199&amp;"|"&amp;'Lớp 6 - Chi tiết'!J199&amp;"|"&amp;'Lớp 6 - Chi tiết'!I199)</f>
        <v/>
      </c>
      <c r="V637" s="389" t="str">
        <f>IF('Lớp 6 - Chi tiết'!I199="","","           └─ "&amp;'Lớp 6 - Chi tiết'!S199)</f>
        <v/>
      </c>
      <c r="W637" s="389" t="str">
        <f>IF('Lớp 6 - Chi tiết'!I199="","",6)</f>
        <v/>
      </c>
      <c r="X637" s="67" t="str">
        <f>'Lớp 6 - Chi tiết'!I199</f>
        <v/>
      </c>
      <c r="Y637" s="389" t="str">
        <f>'Lớp 6 - Chi tiết'!J199</f>
        <v/>
      </c>
      <c r="Z637" s="67" t="str">
        <f>'Lớp 6 - Chi tiết'!AC199</f>
        <v/>
      </c>
      <c r="AA637" s="67" t="str">
        <f>'Lớp 6 - Chi tiết'!AB199</f>
        <v/>
      </c>
      <c r="AB637" s="67" t="str">
        <f>'Lớp 6 - Chi tiết'!AF199</f>
        <v/>
      </c>
      <c r="AC637" s="67" t="str">
        <f>'Lớp 6 - Chi tiết'!AE199</f>
        <v/>
      </c>
      <c r="AD637" s="398" t="str">
        <f>'Lớp 6 - Chi tiết'!AJ199</f>
        <v/>
      </c>
      <c r="AE637" s="358" t="str">
        <f>'Lớp 6 - Chi tiết'!AH199</f>
        <v/>
      </c>
      <c r="AF637" s="187" t="str">
        <f>'Lớp 6 - Chi tiết'!AK199</f>
        <v/>
      </c>
      <c r="AG637" s="104" t="str">
        <f>'Lớp 6 - Chi tiết'!AL199</f>
        <v/>
      </c>
      <c r="AH637" s="389" t="str">
        <f t="shared" si="27"/>
        <v/>
      </c>
      <c r="AI637" s="389" t="str">
        <f t="shared" si="37"/>
        <v>🔵 Chưa có hạn</v>
      </c>
      <c r="AJ637" s="67" t="str">
        <f>'Lớp 6 - Chi tiết'!AO199</f>
        <v/>
      </c>
      <c r="AS637" s="389" t="str">
        <f t="shared" si="467"/>
        <v/>
      </c>
      <c r="AT637" s="389" t="str">
        <f t="shared" si="32"/>
        <v/>
      </c>
      <c r="AU637" s="389" t="str">
        <f t="shared" si="33"/>
        <v/>
      </c>
      <c r="AV637" s="389" t="str">
        <f t="shared" si="34"/>
        <v/>
      </c>
      <c r="AW637" s="389" t="str">
        <f t="shared" si="35"/>
        <v/>
      </c>
      <c r="AX637" s="67" t="str">
        <f t="shared" ref="AX637:BH637" si="652">Z637</f>
        <v/>
      </c>
      <c r="AY637" s="67" t="str">
        <f t="shared" si="652"/>
        <v/>
      </c>
      <c r="AZ637" s="67" t="str">
        <f t="shared" si="652"/>
        <v/>
      </c>
      <c r="BA637" s="67" t="str">
        <f t="shared" si="652"/>
        <v/>
      </c>
      <c r="BB637" s="398" t="str">
        <f t="shared" si="652"/>
        <v/>
      </c>
      <c r="BC637" s="358" t="str">
        <f t="shared" si="652"/>
        <v/>
      </c>
      <c r="BD637" s="187" t="str">
        <f t="shared" si="652"/>
        <v/>
      </c>
      <c r="BE637" s="104" t="str">
        <f t="shared" si="652"/>
        <v/>
      </c>
      <c r="BF637" s="389" t="str">
        <f t="shared" si="652"/>
        <v/>
      </c>
      <c r="BG637" s="389" t="str">
        <f t="shared" si="652"/>
        <v>🔵 Chưa có hạn</v>
      </c>
      <c r="BH637" s="67" t="str">
        <f t="shared" si="652"/>
        <v/>
      </c>
      <c r="BI637" s="389" t="str">
        <f t="array" ref="BI637">IF($X637="","",SWITCH($W637,3,IFERROR(INDEX('Lớp 3 - Công việc chính'!$AF$14:$AF$73,MATCH($X637,'Lớp 3 - Công việc chính'!$I$14:$I$73,0)),""),4,IFERROR(INDEX('Lớp 4 - Danh mục'!$AI$14:$AI$132,MATCH($X637,'Lớp 4 - Danh mục'!$I$14:$I$132,0)),""),5,IFERROR(INDEX('Lớp 5 - Phân công'!$AJ$14:$AJ$262,MATCH($X637,'Lớp 5 - Phân công'!$I$14:$I$262,0)),""),6,IFERROR(INDEX('Lớp 6 - Chi tiết'!$AM$14:$AM$267,MATCH($X637,'Lớp 6 - Chi tiết'!$I$14:$I$267,0)),""),""))</f>
        <v/>
      </c>
      <c r="BJ637" s="389" t="str">
        <f t="array" ref="BJ637">IF($X637="","",SWITCH($W637,3,IFERROR(INDEX('Lớp 3 - Công việc chính'!$AR$14:$AR$73,MATCH($X637,'Lớp 3 - Công việc chính'!$I$14:$I$73,0)),""),4,IFERROR(INDEX('Lớp 4 - Danh mục'!$AU$14:$AU$132,MATCH($X637,'Lớp 4 - Danh mục'!$I$14:$I$132,0)),""),5,IFERROR(INDEX('Lớp 5 - Phân công'!$AV$14:$AV$262,MATCH($X637,'Lớp 5 - Phân công'!$I$14:$I$262,0)),""),6,IFERROR(INDEX('Lớp 6 - Chi tiết'!$AY$14:$AY$267,MATCH($X637,'Lớp 6 - Chi tiết'!$I$14:$I$267,0)),""),""))</f>
        <v/>
      </c>
    </row>
    <row r="638" ht="15.75" customHeight="1">
      <c r="A638" s="294" t="str">
        <f t="shared" si="12"/>
        <v/>
      </c>
      <c r="B638" s="301" t="str">
        <f t="shared" si="13"/>
        <v/>
      </c>
      <c r="C638" s="301" t="str">
        <f t="shared" si="14"/>
        <v/>
      </c>
      <c r="D638" s="301" t="str">
        <f t="shared" si="15"/>
        <v/>
      </c>
      <c r="E638" s="301" t="str">
        <f t="shared" si="16"/>
        <v/>
      </c>
      <c r="F638" s="317" t="str">
        <f t="shared" si="17"/>
        <v/>
      </c>
      <c r="G638" s="323" t="str">
        <f t="shared" si="18"/>
        <v/>
      </c>
      <c r="H638" s="327" t="str">
        <f t="shared" si="19"/>
        <v/>
      </c>
      <c r="I638" s="327" t="str">
        <f t="shared" si="20"/>
        <v/>
      </c>
      <c r="J638" s="301" t="str">
        <f t="shared" si="21"/>
        <v/>
      </c>
      <c r="K638" s="301" t="str">
        <f t="shared" si="22"/>
        <v/>
      </c>
      <c r="L638" s="344" t="str">
        <f t="array" ref="L638">IF($T638="","",LET(m,MATCH($T638,$AS$24:$AS$700,0),lvl,INDEX($W$24:$W$700,m),id,INDEX($X$24:$X$700,m),SWITCH(lvl,3,"Lớp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8" s="351" t="str">
        <f t="shared" si="23"/>
        <v/>
      </c>
      <c r="N638" s="356" t="str">
        <f t="shared" si="24"/>
        <v/>
      </c>
      <c r="O638" s="358"/>
      <c r="P638" s="360"/>
      <c r="Q638" s="360"/>
      <c r="R638" s="67"/>
      <c r="S638" s="67"/>
      <c r="T638" s="67"/>
      <c r="U638" s="389" t="str">
        <f>IF('Lớp 6 - Chi tiết'!I200="","",'Lớp 6 - Chi tiết'!L200&amp;"|"&amp;'Lớp 6 - Chi tiết'!K200&amp;"|"&amp;'Lớp 6 - Chi tiết'!J200&amp;"|"&amp;'Lớp 6 - Chi tiết'!I200)</f>
        <v/>
      </c>
      <c r="V638" s="389" t="str">
        <f>IF('Lớp 6 - Chi tiết'!I200="","","           └─ "&amp;'Lớp 6 - Chi tiết'!S200)</f>
        <v/>
      </c>
      <c r="W638" s="389" t="str">
        <f>IF('Lớp 6 - Chi tiết'!I200="","",6)</f>
        <v/>
      </c>
      <c r="X638" s="67" t="str">
        <f>'Lớp 6 - Chi tiết'!I200</f>
        <v/>
      </c>
      <c r="Y638" s="389" t="str">
        <f>'Lớp 6 - Chi tiết'!J200</f>
        <v/>
      </c>
      <c r="Z638" s="67" t="str">
        <f>'Lớp 6 - Chi tiết'!AC200</f>
        <v/>
      </c>
      <c r="AA638" s="67" t="str">
        <f>'Lớp 6 - Chi tiết'!AB200</f>
        <v/>
      </c>
      <c r="AB638" s="67" t="str">
        <f>'Lớp 6 - Chi tiết'!AF200</f>
        <v/>
      </c>
      <c r="AC638" s="67" t="str">
        <f>'Lớp 6 - Chi tiết'!AE200</f>
        <v/>
      </c>
      <c r="AD638" s="398" t="str">
        <f>'Lớp 6 - Chi tiết'!AJ200</f>
        <v/>
      </c>
      <c r="AE638" s="358" t="str">
        <f>'Lớp 6 - Chi tiết'!AH200</f>
        <v/>
      </c>
      <c r="AF638" s="187" t="str">
        <f>'Lớp 6 - Chi tiết'!AK200</f>
        <v/>
      </c>
      <c r="AG638" s="104" t="str">
        <f>'Lớp 6 - Chi tiết'!AL200</f>
        <v/>
      </c>
      <c r="AH638" s="389" t="str">
        <f t="shared" si="27"/>
        <v/>
      </c>
      <c r="AI638" s="389" t="str">
        <f t="shared" si="37"/>
        <v>🔵 Chưa có hạn</v>
      </c>
      <c r="AJ638" s="67" t="str">
        <f>'Lớp 6 - Chi tiết'!AO200</f>
        <v/>
      </c>
      <c r="AS638" s="389" t="str">
        <f t="shared" si="467"/>
        <v/>
      </c>
      <c r="AT638" s="389" t="str">
        <f t="shared" si="32"/>
        <v/>
      </c>
      <c r="AU638" s="389" t="str">
        <f t="shared" si="33"/>
        <v/>
      </c>
      <c r="AV638" s="389" t="str">
        <f t="shared" si="34"/>
        <v/>
      </c>
      <c r="AW638" s="389" t="str">
        <f t="shared" si="35"/>
        <v/>
      </c>
      <c r="AX638" s="67" t="str">
        <f t="shared" ref="AX638:BH638" si="653">Z638</f>
        <v/>
      </c>
      <c r="AY638" s="67" t="str">
        <f t="shared" si="653"/>
        <v/>
      </c>
      <c r="AZ638" s="67" t="str">
        <f t="shared" si="653"/>
        <v/>
      </c>
      <c r="BA638" s="67" t="str">
        <f t="shared" si="653"/>
        <v/>
      </c>
      <c r="BB638" s="398" t="str">
        <f t="shared" si="653"/>
        <v/>
      </c>
      <c r="BC638" s="358" t="str">
        <f t="shared" si="653"/>
        <v/>
      </c>
      <c r="BD638" s="187" t="str">
        <f t="shared" si="653"/>
        <v/>
      </c>
      <c r="BE638" s="104" t="str">
        <f t="shared" si="653"/>
        <v/>
      </c>
      <c r="BF638" s="389" t="str">
        <f t="shared" si="653"/>
        <v/>
      </c>
      <c r="BG638" s="389" t="str">
        <f t="shared" si="653"/>
        <v>🔵 Chưa có hạn</v>
      </c>
      <c r="BH638" s="67" t="str">
        <f t="shared" si="653"/>
        <v/>
      </c>
      <c r="BI638" s="389" t="str">
        <f t="array" ref="BI638">IF($X638="","",SWITCH($W638,3,IFERROR(INDEX('Lớp 3 - Công việc chính'!$AF$14:$AF$73,MATCH($X638,'Lớp 3 - Công việc chính'!$I$14:$I$73,0)),""),4,IFERROR(INDEX('Lớp 4 - Danh mục'!$AI$14:$AI$132,MATCH($X638,'Lớp 4 - Danh mục'!$I$14:$I$132,0)),""),5,IFERROR(INDEX('Lớp 5 - Phân công'!$AJ$14:$AJ$262,MATCH($X638,'Lớp 5 - Phân công'!$I$14:$I$262,0)),""),6,IFERROR(INDEX('Lớp 6 - Chi tiết'!$AM$14:$AM$267,MATCH($X638,'Lớp 6 - Chi tiết'!$I$14:$I$267,0)),""),""))</f>
        <v/>
      </c>
      <c r="BJ638" s="389" t="str">
        <f t="array" ref="BJ638">IF($X638="","",SWITCH($W638,3,IFERROR(INDEX('Lớp 3 - Công việc chính'!$AR$14:$AR$73,MATCH($X638,'Lớp 3 - Công việc chính'!$I$14:$I$73,0)),""),4,IFERROR(INDEX('Lớp 4 - Danh mục'!$AU$14:$AU$132,MATCH($X638,'Lớp 4 - Danh mục'!$I$14:$I$132,0)),""),5,IFERROR(INDEX('Lớp 5 - Phân công'!$AV$14:$AV$262,MATCH($X638,'Lớp 5 - Phân công'!$I$14:$I$262,0)),""),6,IFERROR(INDEX('Lớp 6 - Chi tiết'!$AY$14:$AY$267,MATCH($X638,'Lớp 6 - Chi tiết'!$I$14:$I$267,0)),""),""))</f>
        <v/>
      </c>
    </row>
    <row r="639" ht="15.75" customHeight="1">
      <c r="A639" s="294" t="str">
        <f t="shared" si="12"/>
        <v/>
      </c>
      <c r="B639" s="301" t="str">
        <f t="shared" si="13"/>
        <v/>
      </c>
      <c r="C639" s="301" t="str">
        <f t="shared" si="14"/>
        <v/>
      </c>
      <c r="D639" s="301" t="str">
        <f t="shared" si="15"/>
        <v/>
      </c>
      <c r="E639" s="301" t="str">
        <f t="shared" si="16"/>
        <v/>
      </c>
      <c r="F639" s="317" t="str">
        <f t="shared" si="17"/>
        <v/>
      </c>
      <c r="G639" s="323" t="str">
        <f t="shared" si="18"/>
        <v/>
      </c>
      <c r="H639" s="327" t="str">
        <f t="shared" si="19"/>
        <v/>
      </c>
      <c r="I639" s="327" t="str">
        <f t="shared" si="20"/>
        <v/>
      </c>
      <c r="J639" s="301" t="str">
        <f t="shared" si="21"/>
        <v/>
      </c>
      <c r="K639" s="301" t="str">
        <f t="shared" si="22"/>
        <v/>
      </c>
      <c r="L639" s="344" t="str">
        <f t="array" ref="L639">IF($T639="","",LET(m,MATCH($T639,$AS$24:$AS$700,0),lvl,INDEX($W$24:$W$700,m),id,INDEX($X$24:$X$700,m),SWITCH(lvl,3,"Lớp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39" s="351" t="str">
        <f t="shared" si="23"/>
        <v/>
      </c>
      <c r="N639" s="356" t="str">
        <f t="shared" si="24"/>
        <v/>
      </c>
      <c r="O639" s="358"/>
      <c r="P639" s="360"/>
      <c r="Q639" s="360"/>
      <c r="R639" s="67"/>
      <c r="S639" s="67"/>
      <c r="T639" s="67"/>
      <c r="U639" s="389" t="str">
        <f>IF('Lớp 6 - Chi tiết'!I201="","",'Lớp 6 - Chi tiết'!L201&amp;"|"&amp;'Lớp 6 - Chi tiết'!K201&amp;"|"&amp;'Lớp 6 - Chi tiết'!J201&amp;"|"&amp;'Lớp 6 - Chi tiết'!I201)</f>
        <v/>
      </c>
      <c r="V639" s="389" t="str">
        <f>IF('Lớp 6 - Chi tiết'!I201="","","           └─ "&amp;'Lớp 6 - Chi tiết'!S201)</f>
        <v/>
      </c>
      <c r="W639" s="389" t="str">
        <f>IF('Lớp 6 - Chi tiết'!I201="","",6)</f>
        <v/>
      </c>
      <c r="X639" s="67" t="str">
        <f>'Lớp 6 - Chi tiết'!I201</f>
        <v/>
      </c>
      <c r="Y639" s="389" t="str">
        <f>'Lớp 6 - Chi tiết'!J201</f>
        <v/>
      </c>
      <c r="Z639" s="67" t="str">
        <f>'Lớp 6 - Chi tiết'!AC201</f>
        <v/>
      </c>
      <c r="AA639" s="67" t="str">
        <f>'Lớp 6 - Chi tiết'!AB201</f>
        <v/>
      </c>
      <c r="AB639" s="67" t="str">
        <f>'Lớp 6 - Chi tiết'!AF201</f>
        <v/>
      </c>
      <c r="AC639" s="67" t="str">
        <f>'Lớp 6 - Chi tiết'!AE201</f>
        <v/>
      </c>
      <c r="AD639" s="398" t="str">
        <f>'Lớp 6 - Chi tiết'!AJ201</f>
        <v/>
      </c>
      <c r="AE639" s="358" t="str">
        <f>'Lớp 6 - Chi tiết'!AH201</f>
        <v/>
      </c>
      <c r="AF639" s="187" t="str">
        <f>'Lớp 6 - Chi tiết'!AK201</f>
        <v/>
      </c>
      <c r="AG639" s="104" t="str">
        <f>'Lớp 6 - Chi tiết'!AL201</f>
        <v/>
      </c>
      <c r="AH639" s="389" t="str">
        <f t="shared" si="27"/>
        <v/>
      </c>
      <c r="AI639" s="389" t="str">
        <f t="shared" si="37"/>
        <v>🔵 Chưa có hạn</v>
      </c>
      <c r="AJ639" s="67" t="str">
        <f>'Lớp 6 - Chi tiết'!AO201</f>
        <v/>
      </c>
      <c r="AS639" s="389" t="str">
        <f t="shared" si="467"/>
        <v/>
      </c>
      <c r="AT639" s="389" t="str">
        <f t="shared" si="32"/>
        <v/>
      </c>
      <c r="AU639" s="389" t="str">
        <f t="shared" si="33"/>
        <v/>
      </c>
      <c r="AV639" s="389" t="str">
        <f t="shared" si="34"/>
        <v/>
      </c>
      <c r="AW639" s="389" t="str">
        <f t="shared" si="35"/>
        <v/>
      </c>
      <c r="AX639" s="67" t="str">
        <f t="shared" ref="AX639:BH639" si="654">Z639</f>
        <v/>
      </c>
      <c r="AY639" s="67" t="str">
        <f t="shared" si="654"/>
        <v/>
      </c>
      <c r="AZ639" s="67" t="str">
        <f t="shared" si="654"/>
        <v/>
      </c>
      <c r="BA639" s="67" t="str">
        <f t="shared" si="654"/>
        <v/>
      </c>
      <c r="BB639" s="398" t="str">
        <f t="shared" si="654"/>
        <v/>
      </c>
      <c r="BC639" s="358" t="str">
        <f t="shared" si="654"/>
        <v/>
      </c>
      <c r="BD639" s="187" t="str">
        <f t="shared" si="654"/>
        <v/>
      </c>
      <c r="BE639" s="104" t="str">
        <f t="shared" si="654"/>
        <v/>
      </c>
      <c r="BF639" s="389" t="str">
        <f t="shared" si="654"/>
        <v/>
      </c>
      <c r="BG639" s="389" t="str">
        <f t="shared" si="654"/>
        <v>🔵 Chưa có hạn</v>
      </c>
      <c r="BH639" s="67" t="str">
        <f t="shared" si="654"/>
        <v/>
      </c>
      <c r="BI639" s="389" t="str">
        <f t="array" ref="BI639">IF($X639="","",SWITCH($W639,3,IFERROR(INDEX('Lớp 3 - Công việc chính'!$AF$14:$AF$73,MATCH($X639,'Lớp 3 - Công việc chính'!$I$14:$I$73,0)),""),4,IFERROR(INDEX('Lớp 4 - Danh mục'!$AI$14:$AI$132,MATCH($X639,'Lớp 4 - Danh mục'!$I$14:$I$132,0)),""),5,IFERROR(INDEX('Lớp 5 - Phân công'!$AJ$14:$AJ$262,MATCH($X639,'Lớp 5 - Phân công'!$I$14:$I$262,0)),""),6,IFERROR(INDEX('Lớp 6 - Chi tiết'!$AM$14:$AM$267,MATCH($X639,'Lớp 6 - Chi tiết'!$I$14:$I$267,0)),""),""))</f>
        <v/>
      </c>
      <c r="BJ639" s="389" t="str">
        <f t="array" ref="BJ639">IF($X639="","",SWITCH($W639,3,IFERROR(INDEX('Lớp 3 - Công việc chính'!$AR$14:$AR$73,MATCH($X639,'Lớp 3 - Công việc chính'!$I$14:$I$73,0)),""),4,IFERROR(INDEX('Lớp 4 - Danh mục'!$AU$14:$AU$132,MATCH($X639,'Lớp 4 - Danh mục'!$I$14:$I$132,0)),""),5,IFERROR(INDEX('Lớp 5 - Phân công'!$AV$14:$AV$262,MATCH($X639,'Lớp 5 - Phân công'!$I$14:$I$262,0)),""),6,IFERROR(INDEX('Lớp 6 - Chi tiết'!$AY$14:$AY$267,MATCH($X639,'Lớp 6 - Chi tiết'!$I$14:$I$267,0)),""),""))</f>
        <v/>
      </c>
    </row>
    <row r="640" ht="15.75" customHeight="1">
      <c r="A640" s="294" t="str">
        <f t="shared" si="12"/>
        <v/>
      </c>
      <c r="B640" s="301" t="str">
        <f t="shared" si="13"/>
        <v/>
      </c>
      <c r="C640" s="301" t="str">
        <f t="shared" si="14"/>
        <v/>
      </c>
      <c r="D640" s="301" t="str">
        <f t="shared" si="15"/>
        <v/>
      </c>
      <c r="E640" s="301" t="str">
        <f t="shared" si="16"/>
        <v/>
      </c>
      <c r="F640" s="317" t="str">
        <f t="shared" si="17"/>
        <v/>
      </c>
      <c r="G640" s="323" t="str">
        <f t="shared" si="18"/>
        <v/>
      </c>
      <c r="H640" s="327" t="str">
        <f t="shared" si="19"/>
        <v/>
      </c>
      <c r="I640" s="327" t="str">
        <f t="shared" si="20"/>
        <v/>
      </c>
      <c r="J640" s="301" t="str">
        <f t="shared" si="21"/>
        <v/>
      </c>
      <c r="K640" s="301" t="str">
        <f t="shared" si="22"/>
        <v/>
      </c>
      <c r="L640" s="344" t="str">
        <f t="array" ref="L640">IF($T640="","",LET(m,MATCH($T640,$AS$24:$AS$700,0),lvl,INDEX($W$24:$W$700,m),id,INDEX($X$24:$X$700,m),SWITCH(lvl,3,"Lớp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0" s="351" t="str">
        <f t="shared" si="23"/>
        <v/>
      </c>
      <c r="N640" s="356" t="str">
        <f t="shared" si="24"/>
        <v/>
      </c>
      <c r="O640" s="358"/>
      <c r="P640" s="360"/>
      <c r="Q640" s="360"/>
      <c r="R640" s="67"/>
      <c r="S640" s="67"/>
      <c r="T640" s="67"/>
      <c r="U640" s="389" t="str">
        <f>IF('Lớp 6 - Chi tiết'!I202="","",'Lớp 6 - Chi tiết'!L202&amp;"|"&amp;'Lớp 6 - Chi tiết'!K202&amp;"|"&amp;'Lớp 6 - Chi tiết'!J202&amp;"|"&amp;'Lớp 6 - Chi tiết'!I202)</f>
        <v/>
      </c>
      <c r="V640" s="389" t="str">
        <f>IF('Lớp 6 - Chi tiết'!I202="","","           └─ "&amp;'Lớp 6 - Chi tiết'!S202)</f>
        <v/>
      </c>
      <c r="W640" s="389" t="str">
        <f>IF('Lớp 6 - Chi tiết'!I202="","",6)</f>
        <v/>
      </c>
      <c r="X640" s="67" t="str">
        <f>'Lớp 6 - Chi tiết'!I202</f>
        <v/>
      </c>
      <c r="Y640" s="389" t="str">
        <f>'Lớp 6 - Chi tiết'!J202</f>
        <v/>
      </c>
      <c r="Z640" s="67" t="str">
        <f>'Lớp 6 - Chi tiết'!AC202</f>
        <v/>
      </c>
      <c r="AA640" s="67" t="str">
        <f>'Lớp 6 - Chi tiết'!AB202</f>
        <v/>
      </c>
      <c r="AB640" s="67" t="str">
        <f>'Lớp 6 - Chi tiết'!AF202</f>
        <v/>
      </c>
      <c r="AC640" s="67" t="str">
        <f>'Lớp 6 - Chi tiết'!AE202</f>
        <v/>
      </c>
      <c r="AD640" s="398" t="str">
        <f>'Lớp 6 - Chi tiết'!AJ202</f>
        <v/>
      </c>
      <c r="AE640" s="358" t="str">
        <f>'Lớp 6 - Chi tiết'!AH202</f>
        <v/>
      </c>
      <c r="AF640" s="187" t="str">
        <f>'Lớp 6 - Chi tiết'!AK202</f>
        <v/>
      </c>
      <c r="AG640" s="104" t="str">
        <f>'Lớp 6 - Chi tiết'!AL202</f>
        <v/>
      </c>
      <c r="AH640" s="389" t="str">
        <f t="shared" si="27"/>
        <v/>
      </c>
      <c r="AI640" s="389" t="str">
        <f t="shared" si="37"/>
        <v>🔵 Chưa có hạn</v>
      </c>
      <c r="AJ640" s="67" t="str">
        <f>'Lớp 6 - Chi tiết'!AO202</f>
        <v/>
      </c>
      <c r="AS640" s="389" t="str">
        <f t="shared" si="467"/>
        <v/>
      </c>
      <c r="AT640" s="389" t="str">
        <f t="shared" si="32"/>
        <v/>
      </c>
      <c r="AU640" s="389" t="str">
        <f t="shared" si="33"/>
        <v/>
      </c>
      <c r="AV640" s="389" t="str">
        <f t="shared" si="34"/>
        <v/>
      </c>
      <c r="AW640" s="389" t="str">
        <f t="shared" si="35"/>
        <v/>
      </c>
      <c r="AX640" s="67" t="str">
        <f t="shared" ref="AX640:BH640" si="655">Z640</f>
        <v/>
      </c>
      <c r="AY640" s="67" t="str">
        <f t="shared" si="655"/>
        <v/>
      </c>
      <c r="AZ640" s="67" t="str">
        <f t="shared" si="655"/>
        <v/>
      </c>
      <c r="BA640" s="67" t="str">
        <f t="shared" si="655"/>
        <v/>
      </c>
      <c r="BB640" s="398" t="str">
        <f t="shared" si="655"/>
        <v/>
      </c>
      <c r="BC640" s="358" t="str">
        <f t="shared" si="655"/>
        <v/>
      </c>
      <c r="BD640" s="187" t="str">
        <f t="shared" si="655"/>
        <v/>
      </c>
      <c r="BE640" s="104" t="str">
        <f t="shared" si="655"/>
        <v/>
      </c>
      <c r="BF640" s="389" t="str">
        <f t="shared" si="655"/>
        <v/>
      </c>
      <c r="BG640" s="389" t="str">
        <f t="shared" si="655"/>
        <v>🔵 Chưa có hạn</v>
      </c>
      <c r="BH640" s="67" t="str">
        <f t="shared" si="655"/>
        <v/>
      </c>
      <c r="BI640" s="389" t="str">
        <f t="array" ref="BI640">IF($X640="","",SWITCH($W640,3,IFERROR(INDEX('Lớp 3 - Công việc chính'!$AF$14:$AF$73,MATCH($X640,'Lớp 3 - Công việc chính'!$I$14:$I$73,0)),""),4,IFERROR(INDEX('Lớp 4 - Danh mục'!$AI$14:$AI$132,MATCH($X640,'Lớp 4 - Danh mục'!$I$14:$I$132,0)),""),5,IFERROR(INDEX('Lớp 5 - Phân công'!$AJ$14:$AJ$262,MATCH($X640,'Lớp 5 - Phân công'!$I$14:$I$262,0)),""),6,IFERROR(INDEX('Lớp 6 - Chi tiết'!$AM$14:$AM$267,MATCH($X640,'Lớp 6 - Chi tiết'!$I$14:$I$267,0)),""),""))</f>
        <v/>
      </c>
      <c r="BJ640" s="389" t="str">
        <f t="array" ref="BJ640">IF($X640="","",SWITCH($W640,3,IFERROR(INDEX('Lớp 3 - Công việc chính'!$AR$14:$AR$73,MATCH($X640,'Lớp 3 - Công việc chính'!$I$14:$I$73,0)),""),4,IFERROR(INDEX('Lớp 4 - Danh mục'!$AU$14:$AU$132,MATCH($X640,'Lớp 4 - Danh mục'!$I$14:$I$132,0)),""),5,IFERROR(INDEX('Lớp 5 - Phân công'!$AV$14:$AV$262,MATCH($X640,'Lớp 5 - Phân công'!$I$14:$I$262,0)),""),6,IFERROR(INDEX('Lớp 6 - Chi tiết'!$AY$14:$AY$267,MATCH($X640,'Lớp 6 - Chi tiết'!$I$14:$I$267,0)),""),""))</f>
        <v/>
      </c>
    </row>
    <row r="641" ht="15.75" customHeight="1">
      <c r="A641" s="294" t="str">
        <f t="shared" si="12"/>
        <v/>
      </c>
      <c r="B641" s="301" t="str">
        <f t="shared" si="13"/>
        <v/>
      </c>
      <c r="C641" s="301" t="str">
        <f t="shared" si="14"/>
        <v/>
      </c>
      <c r="D641" s="301" t="str">
        <f t="shared" si="15"/>
        <v/>
      </c>
      <c r="E641" s="301" t="str">
        <f t="shared" si="16"/>
        <v/>
      </c>
      <c r="F641" s="317" t="str">
        <f t="shared" si="17"/>
        <v/>
      </c>
      <c r="G641" s="323" t="str">
        <f t="shared" si="18"/>
        <v/>
      </c>
      <c r="H641" s="327" t="str">
        <f t="shared" si="19"/>
        <v/>
      </c>
      <c r="I641" s="327" t="str">
        <f t="shared" si="20"/>
        <v/>
      </c>
      <c r="J641" s="301" t="str">
        <f t="shared" si="21"/>
        <v/>
      </c>
      <c r="K641" s="301" t="str">
        <f t="shared" si="22"/>
        <v/>
      </c>
      <c r="L641" s="344" t="str">
        <f t="array" ref="L641">IF($T641="","",LET(m,MATCH($T641,$AS$24:$AS$700,0),lvl,INDEX($W$24:$W$700,m),id,INDEX($X$24:$X$700,m),SWITCH(lvl,3,"Lớp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1" s="351" t="str">
        <f t="shared" si="23"/>
        <v/>
      </c>
      <c r="N641" s="356" t="str">
        <f t="shared" si="24"/>
        <v/>
      </c>
      <c r="O641" s="358"/>
      <c r="P641" s="360"/>
      <c r="Q641" s="360"/>
      <c r="R641" s="67"/>
      <c r="S641" s="67"/>
      <c r="T641" s="67"/>
      <c r="U641" s="389" t="str">
        <f>IF('Lớp 6 - Chi tiết'!I203="","",'Lớp 6 - Chi tiết'!L203&amp;"|"&amp;'Lớp 6 - Chi tiết'!K203&amp;"|"&amp;'Lớp 6 - Chi tiết'!J203&amp;"|"&amp;'Lớp 6 - Chi tiết'!I203)</f>
        <v/>
      </c>
      <c r="V641" s="389" t="str">
        <f>IF('Lớp 6 - Chi tiết'!I203="","","           └─ "&amp;'Lớp 6 - Chi tiết'!S203)</f>
        <v/>
      </c>
      <c r="W641" s="389" t="str">
        <f>IF('Lớp 6 - Chi tiết'!I203="","",6)</f>
        <v/>
      </c>
      <c r="X641" s="67" t="str">
        <f>'Lớp 6 - Chi tiết'!I203</f>
        <v/>
      </c>
      <c r="Y641" s="389" t="str">
        <f>'Lớp 6 - Chi tiết'!J203</f>
        <v/>
      </c>
      <c r="Z641" s="67" t="str">
        <f>'Lớp 6 - Chi tiết'!AC203</f>
        <v/>
      </c>
      <c r="AA641" s="67" t="str">
        <f>'Lớp 6 - Chi tiết'!AB203</f>
        <v/>
      </c>
      <c r="AB641" s="67" t="str">
        <f>'Lớp 6 - Chi tiết'!AF203</f>
        <v/>
      </c>
      <c r="AC641" s="67" t="str">
        <f>'Lớp 6 - Chi tiết'!AE203</f>
        <v/>
      </c>
      <c r="AD641" s="398" t="str">
        <f>'Lớp 6 - Chi tiết'!AJ203</f>
        <v/>
      </c>
      <c r="AE641" s="358" t="str">
        <f>'Lớp 6 - Chi tiết'!AH203</f>
        <v/>
      </c>
      <c r="AF641" s="187" t="str">
        <f>'Lớp 6 - Chi tiết'!AK203</f>
        <v/>
      </c>
      <c r="AG641" s="104" t="str">
        <f>'Lớp 6 - Chi tiết'!AL203</f>
        <v/>
      </c>
      <c r="AH641" s="389" t="str">
        <f t="shared" si="27"/>
        <v/>
      </c>
      <c r="AI641" s="389" t="str">
        <f t="shared" si="37"/>
        <v>🔵 Chưa có hạn</v>
      </c>
      <c r="AJ641" s="67" t="str">
        <f>'Lớp 6 - Chi tiết'!AO203</f>
        <v/>
      </c>
      <c r="AS641" s="389" t="str">
        <f t="shared" si="467"/>
        <v/>
      </c>
      <c r="AT641" s="389" t="str">
        <f t="shared" si="32"/>
        <v/>
      </c>
      <c r="AU641" s="389" t="str">
        <f t="shared" si="33"/>
        <v/>
      </c>
      <c r="AV641" s="389" t="str">
        <f t="shared" si="34"/>
        <v/>
      </c>
      <c r="AW641" s="389" t="str">
        <f t="shared" si="35"/>
        <v/>
      </c>
      <c r="AX641" s="67" t="str">
        <f t="shared" ref="AX641:BH641" si="656">Z641</f>
        <v/>
      </c>
      <c r="AY641" s="67" t="str">
        <f t="shared" si="656"/>
        <v/>
      </c>
      <c r="AZ641" s="67" t="str">
        <f t="shared" si="656"/>
        <v/>
      </c>
      <c r="BA641" s="67" t="str">
        <f t="shared" si="656"/>
        <v/>
      </c>
      <c r="BB641" s="398" t="str">
        <f t="shared" si="656"/>
        <v/>
      </c>
      <c r="BC641" s="358" t="str">
        <f t="shared" si="656"/>
        <v/>
      </c>
      <c r="BD641" s="187" t="str">
        <f t="shared" si="656"/>
        <v/>
      </c>
      <c r="BE641" s="104" t="str">
        <f t="shared" si="656"/>
        <v/>
      </c>
      <c r="BF641" s="389" t="str">
        <f t="shared" si="656"/>
        <v/>
      </c>
      <c r="BG641" s="389" t="str">
        <f t="shared" si="656"/>
        <v>🔵 Chưa có hạn</v>
      </c>
      <c r="BH641" s="67" t="str">
        <f t="shared" si="656"/>
        <v/>
      </c>
      <c r="BI641" s="389" t="str">
        <f t="array" ref="BI641">IF($X641="","",SWITCH($W641,3,IFERROR(INDEX('Lớp 3 - Công việc chính'!$AF$14:$AF$73,MATCH($X641,'Lớp 3 - Công việc chính'!$I$14:$I$73,0)),""),4,IFERROR(INDEX('Lớp 4 - Danh mục'!$AI$14:$AI$132,MATCH($X641,'Lớp 4 - Danh mục'!$I$14:$I$132,0)),""),5,IFERROR(INDEX('Lớp 5 - Phân công'!$AJ$14:$AJ$262,MATCH($X641,'Lớp 5 - Phân công'!$I$14:$I$262,0)),""),6,IFERROR(INDEX('Lớp 6 - Chi tiết'!$AM$14:$AM$267,MATCH($X641,'Lớp 6 - Chi tiết'!$I$14:$I$267,0)),""),""))</f>
        <v/>
      </c>
      <c r="BJ641" s="389" t="str">
        <f t="array" ref="BJ641">IF($X641="","",SWITCH($W641,3,IFERROR(INDEX('Lớp 3 - Công việc chính'!$AR$14:$AR$73,MATCH($X641,'Lớp 3 - Công việc chính'!$I$14:$I$73,0)),""),4,IFERROR(INDEX('Lớp 4 - Danh mục'!$AU$14:$AU$132,MATCH($X641,'Lớp 4 - Danh mục'!$I$14:$I$132,0)),""),5,IFERROR(INDEX('Lớp 5 - Phân công'!$AV$14:$AV$262,MATCH($X641,'Lớp 5 - Phân công'!$I$14:$I$262,0)),""),6,IFERROR(INDEX('Lớp 6 - Chi tiết'!$AY$14:$AY$267,MATCH($X641,'Lớp 6 - Chi tiết'!$I$14:$I$267,0)),""),""))</f>
        <v/>
      </c>
    </row>
    <row r="642" ht="15.75" customHeight="1">
      <c r="A642" s="294" t="str">
        <f t="shared" si="12"/>
        <v/>
      </c>
      <c r="B642" s="301" t="str">
        <f t="shared" si="13"/>
        <v/>
      </c>
      <c r="C642" s="301" t="str">
        <f t="shared" si="14"/>
        <v/>
      </c>
      <c r="D642" s="301" t="str">
        <f t="shared" si="15"/>
        <v/>
      </c>
      <c r="E642" s="301" t="str">
        <f t="shared" si="16"/>
        <v/>
      </c>
      <c r="F642" s="317" t="str">
        <f t="shared" si="17"/>
        <v/>
      </c>
      <c r="G642" s="323" t="str">
        <f t="shared" si="18"/>
        <v/>
      </c>
      <c r="H642" s="327" t="str">
        <f t="shared" si="19"/>
        <v/>
      </c>
      <c r="I642" s="327" t="str">
        <f t="shared" si="20"/>
        <v/>
      </c>
      <c r="J642" s="301" t="str">
        <f t="shared" si="21"/>
        <v/>
      </c>
      <c r="K642" s="301" t="str">
        <f t="shared" si="22"/>
        <v/>
      </c>
      <c r="L642" s="344" t="str">
        <f t="array" ref="L642">IF($T642="","",LET(m,MATCH($T642,$AS$24:$AS$700,0),lvl,INDEX($W$24:$W$700,m),id,INDEX($X$24:$X$700,m),SWITCH(lvl,3,"Lớp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2" s="351" t="str">
        <f t="shared" si="23"/>
        <v/>
      </c>
      <c r="N642" s="356" t="str">
        <f t="shared" si="24"/>
        <v/>
      </c>
      <c r="O642" s="358"/>
      <c r="P642" s="360"/>
      <c r="Q642" s="360"/>
      <c r="R642" s="67"/>
      <c r="S642" s="67"/>
      <c r="T642" s="67"/>
      <c r="U642" s="389" t="str">
        <f>IF('Lớp 6 - Chi tiết'!I204="","",'Lớp 6 - Chi tiết'!L204&amp;"|"&amp;'Lớp 6 - Chi tiết'!K204&amp;"|"&amp;'Lớp 6 - Chi tiết'!J204&amp;"|"&amp;'Lớp 6 - Chi tiết'!I204)</f>
        <v/>
      </c>
      <c r="V642" s="389" t="str">
        <f>IF('Lớp 6 - Chi tiết'!I204="","","           └─ "&amp;'Lớp 6 - Chi tiết'!S204)</f>
        <v/>
      </c>
      <c r="W642" s="389" t="str">
        <f>IF('Lớp 6 - Chi tiết'!I204="","",6)</f>
        <v/>
      </c>
      <c r="X642" s="67" t="str">
        <f>'Lớp 6 - Chi tiết'!I204</f>
        <v/>
      </c>
      <c r="Y642" s="389" t="str">
        <f>'Lớp 6 - Chi tiết'!J204</f>
        <v/>
      </c>
      <c r="Z642" s="67" t="str">
        <f>'Lớp 6 - Chi tiết'!AC204</f>
        <v/>
      </c>
      <c r="AA642" s="67" t="str">
        <f>'Lớp 6 - Chi tiết'!AB204</f>
        <v/>
      </c>
      <c r="AB642" s="67" t="str">
        <f>'Lớp 6 - Chi tiết'!AF204</f>
        <v/>
      </c>
      <c r="AC642" s="67" t="str">
        <f>'Lớp 6 - Chi tiết'!AE204</f>
        <v/>
      </c>
      <c r="AD642" s="398" t="str">
        <f>'Lớp 6 - Chi tiết'!AJ204</f>
        <v/>
      </c>
      <c r="AE642" s="358" t="str">
        <f>'Lớp 6 - Chi tiết'!AH204</f>
        <v/>
      </c>
      <c r="AF642" s="187" t="str">
        <f>'Lớp 6 - Chi tiết'!AK204</f>
        <v/>
      </c>
      <c r="AG642" s="104" t="str">
        <f>'Lớp 6 - Chi tiết'!AL204</f>
        <v/>
      </c>
      <c r="AH642" s="389" t="str">
        <f t="shared" si="27"/>
        <v/>
      </c>
      <c r="AI642" s="389" t="str">
        <f t="shared" si="37"/>
        <v>🔵 Chưa có hạn</v>
      </c>
      <c r="AJ642" s="67" t="str">
        <f>'Lớp 6 - Chi tiết'!AO204</f>
        <v/>
      </c>
      <c r="AS642" s="389" t="str">
        <f t="shared" si="467"/>
        <v/>
      </c>
      <c r="AT642" s="389" t="str">
        <f t="shared" si="32"/>
        <v/>
      </c>
      <c r="AU642" s="389" t="str">
        <f t="shared" si="33"/>
        <v/>
      </c>
      <c r="AV642" s="389" t="str">
        <f t="shared" si="34"/>
        <v/>
      </c>
      <c r="AW642" s="389" t="str">
        <f t="shared" si="35"/>
        <v/>
      </c>
      <c r="AX642" s="67" t="str">
        <f t="shared" ref="AX642:BH642" si="657">Z642</f>
        <v/>
      </c>
      <c r="AY642" s="67" t="str">
        <f t="shared" si="657"/>
        <v/>
      </c>
      <c r="AZ642" s="67" t="str">
        <f t="shared" si="657"/>
        <v/>
      </c>
      <c r="BA642" s="67" t="str">
        <f t="shared" si="657"/>
        <v/>
      </c>
      <c r="BB642" s="398" t="str">
        <f t="shared" si="657"/>
        <v/>
      </c>
      <c r="BC642" s="358" t="str">
        <f t="shared" si="657"/>
        <v/>
      </c>
      <c r="BD642" s="187" t="str">
        <f t="shared" si="657"/>
        <v/>
      </c>
      <c r="BE642" s="104" t="str">
        <f t="shared" si="657"/>
        <v/>
      </c>
      <c r="BF642" s="389" t="str">
        <f t="shared" si="657"/>
        <v/>
      </c>
      <c r="BG642" s="389" t="str">
        <f t="shared" si="657"/>
        <v>🔵 Chưa có hạn</v>
      </c>
      <c r="BH642" s="67" t="str">
        <f t="shared" si="657"/>
        <v/>
      </c>
      <c r="BI642" s="389" t="str">
        <f t="array" ref="BI642">IF($X642="","",SWITCH($W642,3,IFERROR(INDEX('Lớp 3 - Công việc chính'!$AF$14:$AF$73,MATCH($X642,'Lớp 3 - Công việc chính'!$I$14:$I$73,0)),""),4,IFERROR(INDEX('Lớp 4 - Danh mục'!$AI$14:$AI$132,MATCH($X642,'Lớp 4 - Danh mục'!$I$14:$I$132,0)),""),5,IFERROR(INDEX('Lớp 5 - Phân công'!$AJ$14:$AJ$262,MATCH($X642,'Lớp 5 - Phân công'!$I$14:$I$262,0)),""),6,IFERROR(INDEX('Lớp 6 - Chi tiết'!$AM$14:$AM$267,MATCH($X642,'Lớp 6 - Chi tiết'!$I$14:$I$267,0)),""),""))</f>
        <v/>
      </c>
      <c r="BJ642" s="389" t="str">
        <f t="array" ref="BJ642">IF($X642="","",SWITCH($W642,3,IFERROR(INDEX('Lớp 3 - Công việc chính'!$AR$14:$AR$73,MATCH($X642,'Lớp 3 - Công việc chính'!$I$14:$I$73,0)),""),4,IFERROR(INDEX('Lớp 4 - Danh mục'!$AU$14:$AU$132,MATCH($X642,'Lớp 4 - Danh mục'!$I$14:$I$132,0)),""),5,IFERROR(INDEX('Lớp 5 - Phân công'!$AV$14:$AV$262,MATCH($X642,'Lớp 5 - Phân công'!$I$14:$I$262,0)),""),6,IFERROR(INDEX('Lớp 6 - Chi tiết'!$AY$14:$AY$267,MATCH($X642,'Lớp 6 - Chi tiết'!$I$14:$I$267,0)),""),""))</f>
        <v/>
      </c>
    </row>
    <row r="643" ht="15.75" customHeight="1">
      <c r="A643" s="294" t="str">
        <f t="shared" si="12"/>
        <v/>
      </c>
      <c r="B643" s="301" t="str">
        <f t="shared" si="13"/>
        <v/>
      </c>
      <c r="C643" s="301" t="str">
        <f t="shared" si="14"/>
        <v/>
      </c>
      <c r="D643" s="301" t="str">
        <f t="shared" si="15"/>
        <v/>
      </c>
      <c r="E643" s="301" t="str">
        <f t="shared" si="16"/>
        <v/>
      </c>
      <c r="F643" s="317" t="str">
        <f t="shared" si="17"/>
        <v/>
      </c>
      <c r="G643" s="323" t="str">
        <f t="shared" si="18"/>
        <v/>
      </c>
      <c r="H643" s="327" t="str">
        <f t="shared" si="19"/>
        <v/>
      </c>
      <c r="I643" s="327" t="str">
        <f t="shared" si="20"/>
        <v/>
      </c>
      <c r="J643" s="301" t="str">
        <f t="shared" si="21"/>
        <v/>
      </c>
      <c r="K643" s="301" t="str">
        <f t="shared" si="22"/>
        <v/>
      </c>
      <c r="L643" s="344" t="str">
        <f t="array" ref="L643">IF($T643="","",LET(m,MATCH($T643,$AS$24:$AS$700,0),lvl,INDEX($W$24:$W$700,m),id,INDEX($X$24:$X$700,m),SWITCH(lvl,3,"Lớp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3" s="351" t="str">
        <f t="shared" si="23"/>
        <v/>
      </c>
      <c r="N643" s="356" t="str">
        <f t="shared" si="24"/>
        <v/>
      </c>
      <c r="O643" s="358"/>
      <c r="P643" s="360"/>
      <c r="Q643" s="360"/>
      <c r="R643" s="67"/>
      <c r="S643" s="67"/>
      <c r="T643" s="67"/>
      <c r="U643" s="389" t="str">
        <f>IF('Lớp 6 - Chi tiết'!I205="","",'Lớp 6 - Chi tiết'!L205&amp;"|"&amp;'Lớp 6 - Chi tiết'!K205&amp;"|"&amp;'Lớp 6 - Chi tiết'!J205&amp;"|"&amp;'Lớp 6 - Chi tiết'!I205)</f>
        <v/>
      </c>
      <c r="V643" s="389" t="str">
        <f>IF('Lớp 6 - Chi tiết'!I205="","","           └─ "&amp;'Lớp 6 - Chi tiết'!S205)</f>
        <v/>
      </c>
      <c r="W643" s="389" t="str">
        <f>IF('Lớp 6 - Chi tiết'!I205="","",6)</f>
        <v/>
      </c>
      <c r="X643" s="67" t="str">
        <f>'Lớp 6 - Chi tiết'!I205</f>
        <v/>
      </c>
      <c r="Y643" s="389" t="str">
        <f>'Lớp 6 - Chi tiết'!J205</f>
        <v/>
      </c>
      <c r="Z643" s="67" t="str">
        <f>'Lớp 6 - Chi tiết'!AC205</f>
        <v/>
      </c>
      <c r="AA643" s="67" t="str">
        <f>'Lớp 6 - Chi tiết'!AB205</f>
        <v/>
      </c>
      <c r="AB643" s="67" t="str">
        <f>'Lớp 6 - Chi tiết'!AF205</f>
        <v/>
      </c>
      <c r="AC643" s="67" t="str">
        <f>'Lớp 6 - Chi tiết'!AE205</f>
        <v/>
      </c>
      <c r="AD643" s="398" t="str">
        <f>'Lớp 6 - Chi tiết'!AJ205</f>
        <v/>
      </c>
      <c r="AE643" s="358" t="str">
        <f>'Lớp 6 - Chi tiết'!AH205</f>
        <v/>
      </c>
      <c r="AF643" s="187" t="str">
        <f>'Lớp 6 - Chi tiết'!AK205</f>
        <v/>
      </c>
      <c r="AG643" s="104" t="str">
        <f>'Lớp 6 - Chi tiết'!AL205</f>
        <v/>
      </c>
      <c r="AH643" s="389" t="str">
        <f t="shared" si="27"/>
        <v/>
      </c>
      <c r="AI643" s="389" t="str">
        <f t="shared" si="37"/>
        <v>🔵 Chưa có hạn</v>
      </c>
      <c r="AJ643" s="67" t="str">
        <f>'Lớp 6 - Chi tiết'!AO205</f>
        <v/>
      </c>
      <c r="AS643" s="389" t="str">
        <f t="shared" si="467"/>
        <v/>
      </c>
      <c r="AT643" s="389" t="str">
        <f t="shared" si="32"/>
        <v/>
      </c>
      <c r="AU643" s="389" t="str">
        <f t="shared" si="33"/>
        <v/>
      </c>
      <c r="AV643" s="389" t="str">
        <f t="shared" si="34"/>
        <v/>
      </c>
      <c r="AW643" s="389" t="str">
        <f t="shared" si="35"/>
        <v/>
      </c>
      <c r="AX643" s="67" t="str">
        <f t="shared" ref="AX643:BH643" si="658">Z643</f>
        <v/>
      </c>
      <c r="AY643" s="67" t="str">
        <f t="shared" si="658"/>
        <v/>
      </c>
      <c r="AZ643" s="67" t="str">
        <f t="shared" si="658"/>
        <v/>
      </c>
      <c r="BA643" s="67" t="str">
        <f t="shared" si="658"/>
        <v/>
      </c>
      <c r="BB643" s="398" t="str">
        <f t="shared" si="658"/>
        <v/>
      </c>
      <c r="BC643" s="358" t="str">
        <f t="shared" si="658"/>
        <v/>
      </c>
      <c r="BD643" s="187" t="str">
        <f t="shared" si="658"/>
        <v/>
      </c>
      <c r="BE643" s="104" t="str">
        <f t="shared" si="658"/>
        <v/>
      </c>
      <c r="BF643" s="389" t="str">
        <f t="shared" si="658"/>
        <v/>
      </c>
      <c r="BG643" s="389" t="str">
        <f t="shared" si="658"/>
        <v>🔵 Chưa có hạn</v>
      </c>
      <c r="BH643" s="67" t="str">
        <f t="shared" si="658"/>
        <v/>
      </c>
      <c r="BI643" s="389" t="str">
        <f t="array" ref="BI643">IF($X643="","",SWITCH($W643,3,IFERROR(INDEX('Lớp 3 - Công việc chính'!$AF$14:$AF$73,MATCH($X643,'Lớp 3 - Công việc chính'!$I$14:$I$73,0)),""),4,IFERROR(INDEX('Lớp 4 - Danh mục'!$AI$14:$AI$132,MATCH($X643,'Lớp 4 - Danh mục'!$I$14:$I$132,0)),""),5,IFERROR(INDEX('Lớp 5 - Phân công'!$AJ$14:$AJ$262,MATCH($X643,'Lớp 5 - Phân công'!$I$14:$I$262,0)),""),6,IFERROR(INDEX('Lớp 6 - Chi tiết'!$AM$14:$AM$267,MATCH($X643,'Lớp 6 - Chi tiết'!$I$14:$I$267,0)),""),""))</f>
        <v/>
      </c>
      <c r="BJ643" s="389" t="str">
        <f t="array" ref="BJ643">IF($X643="","",SWITCH($W643,3,IFERROR(INDEX('Lớp 3 - Công việc chính'!$AR$14:$AR$73,MATCH($X643,'Lớp 3 - Công việc chính'!$I$14:$I$73,0)),""),4,IFERROR(INDEX('Lớp 4 - Danh mục'!$AU$14:$AU$132,MATCH($X643,'Lớp 4 - Danh mục'!$I$14:$I$132,0)),""),5,IFERROR(INDEX('Lớp 5 - Phân công'!$AV$14:$AV$262,MATCH($X643,'Lớp 5 - Phân công'!$I$14:$I$262,0)),""),6,IFERROR(INDEX('Lớp 6 - Chi tiết'!$AY$14:$AY$267,MATCH($X643,'Lớp 6 - Chi tiết'!$I$14:$I$267,0)),""),""))</f>
        <v/>
      </c>
    </row>
    <row r="644" ht="15.75" customHeight="1">
      <c r="A644" s="294" t="str">
        <f t="shared" si="12"/>
        <v/>
      </c>
      <c r="B644" s="301" t="str">
        <f t="shared" si="13"/>
        <v/>
      </c>
      <c r="C644" s="301" t="str">
        <f t="shared" si="14"/>
        <v/>
      </c>
      <c r="D644" s="301" t="str">
        <f t="shared" si="15"/>
        <v/>
      </c>
      <c r="E644" s="301" t="str">
        <f t="shared" si="16"/>
        <v/>
      </c>
      <c r="F644" s="317" t="str">
        <f t="shared" si="17"/>
        <v/>
      </c>
      <c r="G644" s="323" t="str">
        <f t="shared" si="18"/>
        <v/>
      </c>
      <c r="H644" s="327" t="str">
        <f t="shared" si="19"/>
        <v/>
      </c>
      <c r="I644" s="327" t="str">
        <f t="shared" si="20"/>
        <v/>
      </c>
      <c r="J644" s="301" t="str">
        <f t="shared" si="21"/>
        <v/>
      </c>
      <c r="K644" s="301" t="str">
        <f t="shared" si="22"/>
        <v/>
      </c>
      <c r="L644" s="344" t="str">
        <f t="array" ref="L644">IF($T644="","",LET(m,MATCH($T644,$AS$24:$AS$700,0),lvl,INDEX($W$24:$W$700,m),id,INDEX($X$24:$X$700,m),SWITCH(lvl,3,"Lớp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4" s="351" t="str">
        <f t="shared" si="23"/>
        <v/>
      </c>
      <c r="N644" s="356" t="str">
        <f t="shared" si="24"/>
        <v/>
      </c>
      <c r="O644" s="358"/>
      <c r="P644" s="360"/>
      <c r="Q644" s="360"/>
      <c r="R644" s="67"/>
      <c r="S644" s="67"/>
      <c r="T644" s="67"/>
      <c r="U644" s="389" t="str">
        <f>IF('Lớp 6 - Chi tiết'!I206="","",'Lớp 6 - Chi tiết'!L206&amp;"|"&amp;'Lớp 6 - Chi tiết'!K206&amp;"|"&amp;'Lớp 6 - Chi tiết'!J206&amp;"|"&amp;'Lớp 6 - Chi tiết'!I206)</f>
        <v/>
      </c>
      <c r="V644" s="389" t="str">
        <f>IF('Lớp 6 - Chi tiết'!I206="","","           └─ "&amp;'Lớp 6 - Chi tiết'!S206)</f>
        <v/>
      </c>
      <c r="W644" s="389" t="str">
        <f>IF('Lớp 6 - Chi tiết'!I206="","",6)</f>
        <v/>
      </c>
      <c r="X644" s="67" t="str">
        <f>'Lớp 6 - Chi tiết'!I206</f>
        <v/>
      </c>
      <c r="Y644" s="389" t="str">
        <f>'Lớp 6 - Chi tiết'!J206</f>
        <v/>
      </c>
      <c r="Z644" s="67" t="str">
        <f>'Lớp 6 - Chi tiết'!AC206</f>
        <v/>
      </c>
      <c r="AA644" s="67" t="str">
        <f>'Lớp 6 - Chi tiết'!AB206</f>
        <v/>
      </c>
      <c r="AB644" s="67" t="str">
        <f>'Lớp 6 - Chi tiết'!AF206</f>
        <v/>
      </c>
      <c r="AC644" s="67" t="str">
        <f>'Lớp 6 - Chi tiết'!AE206</f>
        <v/>
      </c>
      <c r="AD644" s="398" t="str">
        <f>'Lớp 6 - Chi tiết'!AJ206</f>
        <v/>
      </c>
      <c r="AE644" s="358" t="str">
        <f>'Lớp 6 - Chi tiết'!AH206</f>
        <v/>
      </c>
      <c r="AF644" s="187" t="str">
        <f>'Lớp 6 - Chi tiết'!AK206</f>
        <v/>
      </c>
      <c r="AG644" s="104" t="str">
        <f>'Lớp 6 - Chi tiết'!AL206</f>
        <v/>
      </c>
      <c r="AH644" s="389" t="str">
        <f t="shared" si="27"/>
        <v/>
      </c>
      <c r="AI644" s="389" t="str">
        <f t="shared" si="37"/>
        <v>🔵 Chưa có hạn</v>
      </c>
      <c r="AJ644" s="67" t="str">
        <f>'Lớp 6 - Chi tiết'!AO206</f>
        <v/>
      </c>
      <c r="AS644" s="389" t="str">
        <f t="shared" si="467"/>
        <v/>
      </c>
      <c r="AT644" s="389" t="str">
        <f t="shared" si="32"/>
        <v/>
      </c>
      <c r="AU644" s="389" t="str">
        <f t="shared" si="33"/>
        <v/>
      </c>
      <c r="AV644" s="389" t="str">
        <f t="shared" si="34"/>
        <v/>
      </c>
      <c r="AW644" s="389" t="str">
        <f t="shared" si="35"/>
        <v/>
      </c>
      <c r="AX644" s="67" t="str">
        <f t="shared" ref="AX644:BH644" si="659">Z644</f>
        <v/>
      </c>
      <c r="AY644" s="67" t="str">
        <f t="shared" si="659"/>
        <v/>
      </c>
      <c r="AZ644" s="67" t="str">
        <f t="shared" si="659"/>
        <v/>
      </c>
      <c r="BA644" s="67" t="str">
        <f t="shared" si="659"/>
        <v/>
      </c>
      <c r="BB644" s="398" t="str">
        <f t="shared" si="659"/>
        <v/>
      </c>
      <c r="BC644" s="358" t="str">
        <f t="shared" si="659"/>
        <v/>
      </c>
      <c r="BD644" s="187" t="str">
        <f t="shared" si="659"/>
        <v/>
      </c>
      <c r="BE644" s="104" t="str">
        <f t="shared" si="659"/>
        <v/>
      </c>
      <c r="BF644" s="389" t="str">
        <f t="shared" si="659"/>
        <v/>
      </c>
      <c r="BG644" s="389" t="str">
        <f t="shared" si="659"/>
        <v>🔵 Chưa có hạn</v>
      </c>
      <c r="BH644" s="67" t="str">
        <f t="shared" si="659"/>
        <v/>
      </c>
      <c r="BI644" s="389" t="str">
        <f t="array" ref="BI644">IF($X644="","",SWITCH($W644,3,IFERROR(INDEX('Lớp 3 - Công việc chính'!$AF$14:$AF$73,MATCH($X644,'Lớp 3 - Công việc chính'!$I$14:$I$73,0)),""),4,IFERROR(INDEX('Lớp 4 - Danh mục'!$AI$14:$AI$132,MATCH($X644,'Lớp 4 - Danh mục'!$I$14:$I$132,0)),""),5,IFERROR(INDEX('Lớp 5 - Phân công'!$AJ$14:$AJ$262,MATCH($X644,'Lớp 5 - Phân công'!$I$14:$I$262,0)),""),6,IFERROR(INDEX('Lớp 6 - Chi tiết'!$AM$14:$AM$267,MATCH($X644,'Lớp 6 - Chi tiết'!$I$14:$I$267,0)),""),""))</f>
        <v/>
      </c>
      <c r="BJ644" s="389" t="str">
        <f t="array" ref="BJ644">IF($X644="","",SWITCH($W644,3,IFERROR(INDEX('Lớp 3 - Công việc chính'!$AR$14:$AR$73,MATCH($X644,'Lớp 3 - Công việc chính'!$I$14:$I$73,0)),""),4,IFERROR(INDEX('Lớp 4 - Danh mục'!$AU$14:$AU$132,MATCH($X644,'Lớp 4 - Danh mục'!$I$14:$I$132,0)),""),5,IFERROR(INDEX('Lớp 5 - Phân công'!$AV$14:$AV$262,MATCH($X644,'Lớp 5 - Phân công'!$I$14:$I$262,0)),""),6,IFERROR(INDEX('Lớp 6 - Chi tiết'!$AY$14:$AY$267,MATCH($X644,'Lớp 6 - Chi tiết'!$I$14:$I$267,0)),""),""))</f>
        <v/>
      </c>
    </row>
    <row r="645" ht="15.75" customHeight="1">
      <c r="A645" s="294" t="str">
        <f t="shared" si="12"/>
        <v/>
      </c>
      <c r="B645" s="301" t="str">
        <f t="shared" si="13"/>
        <v/>
      </c>
      <c r="C645" s="301" t="str">
        <f t="shared" si="14"/>
        <v/>
      </c>
      <c r="D645" s="301" t="str">
        <f t="shared" si="15"/>
        <v/>
      </c>
      <c r="E645" s="301" t="str">
        <f t="shared" si="16"/>
        <v/>
      </c>
      <c r="F645" s="317" t="str">
        <f t="shared" si="17"/>
        <v/>
      </c>
      <c r="G645" s="323" t="str">
        <f t="shared" si="18"/>
        <v/>
      </c>
      <c r="H645" s="327" t="str">
        <f t="shared" si="19"/>
        <v/>
      </c>
      <c r="I645" s="327" t="str">
        <f t="shared" si="20"/>
        <v/>
      </c>
      <c r="J645" s="301" t="str">
        <f t="shared" si="21"/>
        <v/>
      </c>
      <c r="K645" s="301" t="str">
        <f t="shared" si="22"/>
        <v/>
      </c>
      <c r="L645" s="344" t="str">
        <f t="array" ref="L645">IF($T645="","",LET(m,MATCH($T645,$AS$24:$AS$700,0),lvl,INDEX($W$24:$W$700,m),id,INDEX($X$24:$X$700,m),SWITCH(lvl,3,"Lớp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5" s="351" t="str">
        <f t="shared" si="23"/>
        <v/>
      </c>
      <c r="N645" s="356" t="str">
        <f t="shared" si="24"/>
        <v/>
      </c>
      <c r="O645" s="358"/>
      <c r="P645" s="360"/>
      <c r="Q645" s="360"/>
      <c r="R645" s="67"/>
      <c r="S645" s="67"/>
      <c r="T645" s="67"/>
      <c r="U645" s="389" t="str">
        <f>IF('Lớp 6 - Chi tiết'!I207="","",'Lớp 6 - Chi tiết'!L207&amp;"|"&amp;'Lớp 6 - Chi tiết'!K207&amp;"|"&amp;'Lớp 6 - Chi tiết'!J207&amp;"|"&amp;'Lớp 6 - Chi tiết'!I207)</f>
        <v/>
      </c>
      <c r="V645" s="389" t="str">
        <f>IF('Lớp 6 - Chi tiết'!I207="","","           └─ "&amp;'Lớp 6 - Chi tiết'!S207)</f>
        <v/>
      </c>
      <c r="W645" s="389" t="str">
        <f>IF('Lớp 6 - Chi tiết'!I207="","",6)</f>
        <v/>
      </c>
      <c r="X645" s="67" t="str">
        <f>'Lớp 6 - Chi tiết'!I207</f>
        <v/>
      </c>
      <c r="Y645" s="389" t="str">
        <f>'Lớp 6 - Chi tiết'!J207</f>
        <v/>
      </c>
      <c r="Z645" s="67" t="str">
        <f>'Lớp 6 - Chi tiết'!AC207</f>
        <v/>
      </c>
      <c r="AA645" s="67" t="str">
        <f>'Lớp 6 - Chi tiết'!AB207</f>
        <v/>
      </c>
      <c r="AB645" s="67" t="str">
        <f>'Lớp 6 - Chi tiết'!AF207</f>
        <v/>
      </c>
      <c r="AC645" s="67" t="str">
        <f>'Lớp 6 - Chi tiết'!AE207</f>
        <v/>
      </c>
      <c r="AD645" s="398" t="str">
        <f>'Lớp 6 - Chi tiết'!AJ207</f>
        <v/>
      </c>
      <c r="AE645" s="358" t="str">
        <f>'Lớp 6 - Chi tiết'!AH207</f>
        <v/>
      </c>
      <c r="AF645" s="187" t="str">
        <f>'Lớp 6 - Chi tiết'!AK207</f>
        <v/>
      </c>
      <c r="AG645" s="104" t="str">
        <f>'Lớp 6 - Chi tiết'!AL207</f>
        <v/>
      </c>
      <c r="AH645" s="389" t="str">
        <f t="shared" si="27"/>
        <v/>
      </c>
      <c r="AI645" s="389" t="str">
        <f t="shared" si="37"/>
        <v>🔵 Chưa có hạn</v>
      </c>
      <c r="AJ645" s="67" t="str">
        <f>'Lớp 6 - Chi tiết'!AO207</f>
        <v/>
      </c>
      <c r="AS645" s="389" t="str">
        <f t="shared" si="467"/>
        <v/>
      </c>
      <c r="AT645" s="389" t="str">
        <f t="shared" si="32"/>
        <v/>
      </c>
      <c r="AU645" s="389" t="str">
        <f t="shared" si="33"/>
        <v/>
      </c>
      <c r="AV645" s="389" t="str">
        <f t="shared" si="34"/>
        <v/>
      </c>
      <c r="AW645" s="389" t="str">
        <f t="shared" si="35"/>
        <v/>
      </c>
      <c r="AX645" s="67" t="str">
        <f t="shared" ref="AX645:BH645" si="660">Z645</f>
        <v/>
      </c>
      <c r="AY645" s="67" t="str">
        <f t="shared" si="660"/>
        <v/>
      </c>
      <c r="AZ645" s="67" t="str">
        <f t="shared" si="660"/>
        <v/>
      </c>
      <c r="BA645" s="67" t="str">
        <f t="shared" si="660"/>
        <v/>
      </c>
      <c r="BB645" s="398" t="str">
        <f t="shared" si="660"/>
        <v/>
      </c>
      <c r="BC645" s="358" t="str">
        <f t="shared" si="660"/>
        <v/>
      </c>
      <c r="BD645" s="187" t="str">
        <f t="shared" si="660"/>
        <v/>
      </c>
      <c r="BE645" s="104" t="str">
        <f t="shared" si="660"/>
        <v/>
      </c>
      <c r="BF645" s="389" t="str">
        <f t="shared" si="660"/>
        <v/>
      </c>
      <c r="BG645" s="389" t="str">
        <f t="shared" si="660"/>
        <v>🔵 Chưa có hạn</v>
      </c>
      <c r="BH645" s="67" t="str">
        <f t="shared" si="660"/>
        <v/>
      </c>
      <c r="BI645" s="389" t="str">
        <f t="array" ref="BI645">IF($X645="","",SWITCH($W645,3,IFERROR(INDEX('Lớp 3 - Công việc chính'!$AF$14:$AF$73,MATCH($X645,'Lớp 3 - Công việc chính'!$I$14:$I$73,0)),""),4,IFERROR(INDEX('Lớp 4 - Danh mục'!$AI$14:$AI$132,MATCH($X645,'Lớp 4 - Danh mục'!$I$14:$I$132,0)),""),5,IFERROR(INDEX('Lớp 5 - Phân công'!$AJ$14:$AJ$262,MATCH($X645,'Lớp 5 - Phân công'!$I$14:$I$262,0)),""),6,IFERROR(INDEX('Lớp 6 - Chi tiết'!$AM$14:$AM$267,MATCH($X645,'Lớp 6 - Chi tiết'!$I$14:$I$267,0)),""),""))</f>
        <v/>
      </c>
      <c r="BJ645" s="389" t="str">
        <f t="array" ref="BJ645">IF($X645="","",SWITCH($W645,3,IFERROR(INDEX('Lớp 3 - Công việc chính'!$AR$14:$AR$73,MATCH($X645,'Lớp 3 - Công việc chính'!$I$14:$I$73,0)),""),4,IFERROR(INDEX('Lớp 4 - Danh mục'!$AU$14:$AU$132,MATCH($X645,'Lớp 4 - Danh mục'!$I$14:$I$132,0)),""),5,IFERROR(INDEX('Lớp 5 - Phân công'!$AV$14:$AV$262,MATCH($X645,'Lớp 5 - Phân công'!$I$14:$I$262,0)),""),6,IFERROR(INDEX('Lớp 6 - Chi tiết'!$AY$14:$AY$267,MATCH($X645,'Lớp 6 - Chi tiết'!$I$14:$I$267,0)),""),""))</f>
        <v/>
      </c>
    </row>
    <row r="646" ht="15.75" customHeight="1">
      <c r="A646" s="294" t="str">
        <f t="shared" si="12"/>
        <v/>
      </c>
      <c r="B646" s="301" t="str">
        <f t="shared" si="13"/>
        <v/>
      </c>
      <c r="C646" s="301" t="str">
        <f t="shared" si="14"/>
        <v/>
      </c>
      <c r="D646" s="301" t="str">
        <f t="shared" si="15"/>
        <v/>
      </c>
      <c r="E646" s="301" t="str">
        <f t="shared" si="16"/>
        <v/>
      </c>
      <c r="F646" s="317" t="str">
        <f t="shared" si="17"/>
        <v/>
      </c>
      <c r="G646" s="323" t="str">
        <f t="shared" si="18"/>
        <v/>
      </c>
      <c r="H646" s="327" t="str">
        <f t="shared" si="19"/>
        <v/>
      </c>
      <c r="I646" s="327" t="str">
        <f t="shared" si="20"/>
        <v/>
      </c>
      <c r="J646" s="301" t="str">
        <f t="shared" si="21"/>
        <v/>
      </c>
      <c r="K646" s="301" t="str">
        <f t="shared" si="22"/>
        <v/>
      </c>
      <c r="L646" s="344" t="str">
        <f t="array" ref="L646">IF($T646="","",LET(m,MATCH($T646,$AS$24:$AS$700,0),lvl,INDEX($W$24:$W$700,m),id,INDEX($X$24:$X$700,m),SWITCH(lvl,3,"Lớp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6" s="351" t="str">
        <f t="shared" si="23"/>
        <v/>
      </c>
      <c r="N646" s="356" t="str">
        <f t="shared" si="24"/>
        <v/>
      </c>
      <c r="O646" s="358"/>
      <c r="P646" s="360"/>
      <c r="Q646" s="360"/>
      <c r="R646" s="67"/>
      <c r="S646" s="67"/>
      <c r="T646" s="67"/>
      <c r="U646" s="389" t="str">
        <f>IF('Lớp 6 - Chi tiết'!I208="","",'Lớp 6 - Chi tiết'!L208&amp;"|"&amp;'Lớp 6 - Chi tiết'!K208&amp;"|"&amp;'Lớp 6 - Chi tiết'!J208&amp;"|"&amp;'Lớp 6 - Chi tiết'!I208)</f>
        <v/>
      </c>
      <c r="V646" s="389" t="str">
        <f>IF('Lớp 6 - Chi tiết'!I208="","","           └─ "&amp;'Lớp 6 - Chi tiết'!S208)</f>
        <v/>
      </c>
      <c r="W646" s="389" t="str">
        <f>IF('Lớp 6 - Chi tiết'!I208="","",6)</f>
        <v/>
      </c>
      <c r="X646" s="67" t="str">
        <f>'Lớp 6 - Chi tiết'!I208</f>
        <v/>
      </c>
      <c r="Y646" s="389" t="str">
        <f>'Lớp 6 - Chi tiết'!J208</f>
        <v/>
      </c>
      <c r="Z646" s="67" t="str">
        <f>'Lớp 6 - Chi tiết'!AC208</f>
        <v/>
      </c>
      <c r="AA646" s="67" t="str">
        <f>'Lớp 6 - Chi tiết'!AB208</f>
        <v/>
      </c>
      <c r="AB646" s="67" t="str">
        <f>'Lớp 6 - Chi tiết'!AF208</f>
        <v/>
      </c>
      <c r="AC646" s="67" t="str">
        <f>'Lớp 6 - Chi tiết'!AE208</f>
        <v/>
      </c>
      <c r="AD646" s="398" t="str">
        <f>'Lớp 6 - Chi tiết'!AJ208</f>
        <v/>
      </c>
      <c r="AE646" s="358" t="str">
        <f>'Lớp 6 - Chi tiết'!AH208</f>
        <v/>
      </c>
      <c r="AF646" s="187" t="str">
        <f>'Lớp 6 - Chi tiết'!AK208</f>
        <v/>
      </c>
      <c r="AG646" s="104" t="str">
        <f>'Lớp 6 - Chi tiết'!AL208</f>
        <v/>
      </c>
      <c r="AH646" s="389" t="str">
        <f t="shared" si="27"/>
        <v/>
      </c>
      <c r="AI646" s="389" t="str">
        <f t="shared" si="37"/>
        <v>🔵 Chưa có hạn</v>
      </c>
      <c r="AJ646" s="67" t="str">
        <f>'Lớp 6 - Chi tiết'!AO208</f>
        <v/>
      </c>
      <c r="AS646" s="389" t="str">
        <f t="shared" si="467"/>
        <v/>
      </c>
      <c r="AT646" s="389" t="str">
        <f t="shared" si="32"/>
        <v/>
      </c>
      <c r="AU646" s="389" t="str">
        <f t="shared" si="33"/>
        <v/>
      </c>
      <c r="AV646" s="389" t="str">
        <f t="shared" si="34"/>
        <v/>
      </c>
      <c r="AW646" s="389" t="str">
        <f t="shared" si="35"/>
        <v/>
      </c>
      <c r="AX646" s="67" t="str">
        <f t="shared" ref="AX646:BH646" si="661">Z646</f>
        <v/>
      </c>
      <c r="AY646" s="67" t="str">
        <f t="shared" si="661"/>
        <v/>
      </c>
      <c r="AZ646" s="67" t="str">
        <f t="shared" si="661"/>
        <v/>
      </c>
      <c r="BA646" s="67" t="str">
        <f t="shared" si="661"/>
        <v/>
      </c>
      <c r="BB646" s="398" t="str">
        <f t="shared" si="661"/>
        <v/>
      </c>
      <c r="BC646" s="358" t="str">
        <f t="shared" si="661"/>
        <v/>
      </c>
      <c r="BD646" s="187" t="str">
        <f t="shared" si="661"/>
        <v/>
      </c>
      <c r="BE646" s="104" t="str">
        <f t="shared" si="661"/>
        <v/>
      </c>
      <c r="BF646" s="389" t="str">
        <f t="shared" si="661"/>
        <v/>
      </c>
      <c r="BG646" s="389" t="str">
        <f t="shared" si="661"/>
        <v>🔵 Chưa có hạn</v>
      </c>
      <c r="BH646" s="67" t="str">
        <f t="shared" si="661"/>
        <v/>
      </c>
      <c r="BI646" s="389" t="str">
        <f t="array" ref="BI646">IF($X646="","",SWITCH($W646,3,IFERROR(INDEX('Lớp 3 - Công việc chính'!$AF$14:$AF$73,MATCH($X646,'Lớp 3 - Công việc chính'!$I$14:$I$73,0)),""),4,IFERROR(INDEX('Lớp 4 - Danh mục'!$AI$14:$AI$132,MATCH($X646,'Lớp 4 - Danh mục'!$I$14:$I$132,0)),""),5,IFERROR(INDEX('Lớp 5 - Phân công'!$AJ$14:$AJ$262,MATCH($X646,'Lớp 5 - Phân công'!$I$14:$I$262,0)),""),6,IFERROR(INDEX('Lớp 6 - Chi tiết'!$AM$14:$AM$267,MATCH($X646,'Lớp 6 - Chi tiết'!$I$14:$I$267,0)),""),""))</f>
        <v/>
      </c>
      <c r="BJ646" s="389" t="str">
        <f t="array" ref="BJ646">IF($X646="","",SWITCH($W646,3,IFERROR(INDEX('Lớp 3 - Công việc chính'!$AR$14:$AR$73,MATCH($X646,'Lớp 3 - Công việc chính'!$I$14:$I$73,0)),""),4,IFERROR(INDEX('Lớp 4 - Danh mục'!$AU$14:$AU$132,MATCH($X646,'Lớp 4 - Danh mục'!$I$14:$I$132,0)),""),5,IFERROR(INDEX('Lớp 5 - Phân công'!$AV$14:$AV$262,MATCH($X646,'Lớp 5 - Phân công'!$I$14:$I$262,0)),""),6,IFERROR(INDEX('Lớp 6 - Chi tiết'!$AY$14:$AY$267,MATCH($X646,'Lớp 6 - Chi tiết'!$I$14:$I$267,0)),""),""))</f>
        <v/>
      </c>
    </row>
    <row r="647" ht="15.75" customHeight="1">
      <c r="A647" s="294" t="str">
        <f t="shared" si="12"/>
        <v/>
      </c>
      <c r="B647" s="301" t="str">
        <f t="shared" si="13"/>
        <v/>
      </c>
      <c r="C647" s="301" t="str">
        <f t="shared" si="14"/>
        <v/>
      </c>
      <c r="D647" s="301" t="str">
        <f t="shared" si="15"/>
        <v/>
      </c>
      <c r="E647" s="301" t="str">
        <f t="shared" si="16"/>
        <v/>
      </c>
      <c r="F647" s="317" t="str">
        <f t="shared" si="17"/>
        <v/>
      </c>
      <c r="G647" s="323" t="str">
        <f t="shared" si="18"/>
        <v/>
      </c>
      <c r="H647" s="327" t="str">
        <f t="shared" si="19"/>
        <v/>
      </c>
      <c r="I647" s="327" t="str">
        <f t="shared" si="20"/>
        <v/>
      </c>
      <c r="J647" s="301" t="str">
        <f t="shared" si="21"/>
        <v/>
      </c>
      <c r="K647" s="301" t="str">
        <f t="shared" si="22"/>
        <v/>
      </c>
      <c r="L647" s="344" t="str">
        <f t="array" ref="L647">IF($T647="","",LET(m,MATCH($T647,$AS$24:$AS$700,0),lvl,INDEX($W$24:$W$700,m),id,INDEX($X$24:$X$700,m),SWITCH(lvl,3,"Lớp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7" s="351" t="str">
        <f t="shared" si="23"/>
        <v/>
      </c>
      <c r="N647" s="356" t="str">
        <f t="shared" si="24"/>
        <v/>
      </c>
      <c r="O647" s="358"/>
      <c r="P647" s="360"/>
      <c r="Q647" s="360"/>
      <c r="R647" s="67"/>
      <c r="S647" s="67"/>
      <c r="T647" s="67"/>
      <c r="U647" s="389" t="str">
        <f>IF('Lớp 6 - Chi tiết'!I209="","",'Lớp 6 - Chi tiết'!L209&amp;"|"&amp;'Lớp 6 - Chi tiết'!K209&amp;"|"&amp;'Lớp 6 - Chi tiết'!J209&amp;"|"&amp;'Lớp 6 - Chi tiết'!I209)</f>
        <v/>
      </c>
      <c r="V647" s="389" t="str">
        <f>IF('Lớp 6 - Chi tiết'!I209="","","           └─ "&amp;'Lớp 6 - Chi tiết'!S209)</f>
        <v/>
      </c>
      <c r="W647" s="389" t="str">
        <f>IF('Lớp 6 - Chi tiết'!I209="","",6)</f>
        <v/>
      </c>
      <c r="X647" s="67" t="str">
        <f>'Lớp 6 - Chi tiết'!I209</f>
        <v/>
      </c>
      <c r="Y647" s="389" t="str">
        <f>'Lớp 6 - Chi tiết'!J209</f>
        <v/>
      </c>
      <c r="Z647" s="67" t="str">
        <f>'Lớp 6 - Chi tiết'!AC209</f>
        <v/>
      </c>
      <c r="AA647" s="67" t="str">
        <f>'Lớp 6 - Chi tiết'!AB209</f>
        <v/>
      </c>
      <c r="AB647" s="67" t="str">
        <f>'Lớp 6 - Chi tiết'!AF209</f>
        <v/>
      </c>
      <c r="AC647" s="67" t="str">
        <f>'Lớp 6 - Chi tiết'!AE209</f>
        <v/>
      </c>
      <c r="AD647" s="398" t="str">
        <f>'Lớp 6 - Chi tiết'!AJ209</f>
        <v/>
      </c>
      <c r="AE647" s="358" t="str">
        <f>'Lớp 6 - Chi tiết'!AH209</f>
        <v/>
      </c>
      <c r="AF647" s="187" t="str">
        <f>'Lớp 6 - Chi tiết'!AK209</f>
        <v/>
      </c>
      <c r="AG647" s="104" t="str">
        <f>'Lớp 6 - Chi tiết'!AL209</f>
        <v/>
      </c>
      <c r="AH647" s="389" t="str">
        <f t="shared" si="27"/>
        <v/>
      </c>
      <c r="AI647" s="389" t="str">
        <f t="shared" si="37"/>
        <v>🔵 Chưa có hạn</v>
      </c>
      <c r="AJ647" s="67" t="str">
        <f>'Lớp 6 - Chi tiết'!AO209</f>
        <v/>
      </c>
      <c r="AS647" s="389" t="str">
        <f t="shared" si="467"/>
        <v/>
      </c>
      <c r="AT647" s="389" t="str">
        <f t="shared" si="32"/>
        <v/>
      </c>
      <c r="AU647" s="389" t="str">
        <f t="shared" si="33"/>
        <v/>
      </c>
      <c r="AV647" s="389" t="str">
        <f t="shared" si="34"/>
        <v/>
      </c>
      <c r="AW647" s="389" t="str">
        <f t="shared" si="35"/>
        <v/>
      </c>
      <c r="AX647" s="67" t="str">
        <f t="shared" ref="AX647:BH647" si="662">Z647</f>
        <v/>
      </c>
      <c r="AY647" s="67" t="str">
        <f t="shared" si="662"/>
        <v/>
      </c>
      <c r="AZ647" s="67" t="str">
        <f t="shared" si="662"/>
        <v/>
      </c>
      <c r="BA647" s="67" t="str">
        <f t="shared" si="662"/>
        <v/>
      </c>
      <c r="BB647" s="398" t="str">
        <f t="shared" si="662"/>
        <v/>
      </c>
      <c r="BC647" s="358" t="str">
        <f t="shared" si="662"/>
        <v/>
      </c>
      <c r="BD647" s="187" t="str">
        <f t="shared" si="662"/>
        <v/>
      </c>
      <c r="BE647" s="104" t="str">
        <f t="shared" si="662"/>
        <v/>
      </c>
      <c r="BF647" s="389" t="str">
        <f t="shared" si="662"/>
        <v/>
      </c>
      <c r="BG647" s="389" t="str">
        <f t="shared" si="662"/>
        <v>🔵 Chưa có hạn</v>
      </c>
      <c r="BH647" s="67" t="str">
        <f t="shared" si="662"/>
        <v/>
      </c>
      <c r="BI647" s="389" t="str">
        <f t="array" ref="BI647">IF($X647="","",SWITCH($W647,3,IFERROR(INDEX('Lớp 3 - Công việc chính'!$AF$14:$AF$73,MATCH($X647,'Lớp 3 - Công việc chính'!$I$14:$I$73,0)),""),4,IFERROR(INDEX('Lớp 4 - Danh mục'!$AI$14:$AI$132,MATCH($X647,'Lớp 4 - Danh mục'!$I$14:$I$132,0)),""),5,IFERROR(INDEX('Lớp 5 - Phân công'!$AJ$14:$AJ$262,MATCH($X647,'Lớp 5 - Phân công'!$I$14:$I$262,0)),""),6,IFERROR(INDEX('Lớp 6 - Chi tiết'!$AM$14:$AM$267,MATCH($X647,'Lớp 6 - Chi tiết'!$I$14:$I$267,0)),""),""))</f>
        <v/>
      </c>
      <c r="BJ647" s="389" t="str">
        <f t="array" ref="BJ647">IF($X647="","",SWITCH($W647,3,IFERROR(INDEX('Lớp 3 - Công việc chính'!$AR$14:$AR$73,MATCH($X647,'Lớp 3 - Công việc chính'!$I$14:$I$73,0)),""),4,IFERROR(INDEX('Lớp 4 - Danh mục'!$AU$14:$AU$132,MATCH($X647,'Lớp 4 - Danh mục'!$I$14:$I$132,0)),""),5,IFERROR(INDEX('Lớp 5 - Phân công'!$AV$14:$AV$262,MATCH($X647,'Lớp 5 - Phân công'!$I$14:$I$262,0)),""),6,IFERROR(INDEX('Lớp 6 - Chi tiết'!$AY$14:$AY$267,MATCH($X647,'Lớp 6 - Chi tiết'!$I$14:$I$267,0)),""),""))</f>
        <v/>
      </c>
    </row>
    <row r="648" ht="15.75" customHeight="1">
      <c r="A648" s="294" t="str">
        <f t="shared" si="12"/>
        <v/>
      </c>
      <c r="B648" s="301" t="str">
        <f t="shared" si="13"/>
        <v/>
      </c>
      <c r="C648" s="301" t="str">
        <f t="shared" si="14"/>
        <v/>
      </c>
      <c r="D648" s="301" t="str">
        <f t="shared" si="15"/>
        <v/>
      </c>
      <c r="E648" s="301" t="str">
        <f t="shared" si="16"/>
        <v/>
      </c>
      <c r="F648" s="317" t="str">
        <f t="shared" si="17"/>
        <v/>
      </c>
      <c r="G648" s="323" t="str">
        <f t="shared" si="18"/>
        <v/>
      </c>
      <c r="H648" s="327" t="str">
        <f t="shared" si="19"/>
        <v/>
      </c>
      <c r="I648" s="327" t="str">
        <f t="shared" si="20"/>
        <v/>
      </c>
      <c r="J648" s="301" t="str">
        <f t="shared" si="21"/>
        <v/>
      </c>
      <c r="K648" s="301" t="str">
        <f t="shared" si="22"/>
        <v/>
      </c>
      <c r="L648" s="344" t="str">
        <f t="array" ref="L648">IF($T648="","",LET(m,MATCH($T648,$AS$24:$AS$700,0),lvl,INDEX($W$24:$W$700,m),id,INDEX($X$24:$X$700,m),SWITCH(lvl,3,"Lớp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8" s="351" t="str">
        <f t="shared" si="23"/>
        <v/>
      </c>
      <c r="N648" s="356" t="str">
        <f t="shared" si="24"/>
        <v/>
      </c>
      <c r="O648" s="358"/>
      <c r="P648" s="360"/>
      <c r="Q648" s="360"/>
      <c r="R648" s="67"/>
      <c r="S648" s="67"/>
      <c r="T648" s="67"/>
      <c r="U648" s="389" t="str">
        <f>IF('Lớp 6 - Chi tiết'!I210="","",'Lớp 6 - Chi tiết'!L210&amp;"|"&amp;'Lớp 6 - Chi tiết'!K210&amp;"|"&amp;'Lớp 6 - Chi tiết'!J210&amp;"|"&amp;'Lớp 6 - Chi tiết'!I210)</f>
        <v/>
      </c>
      <c r="V648" s="389" t="str">
        <f>IF('Lớp 6 - Chi tiết'!I210="","","           └─ "&amp;'Lớp 6 - Chi tiết'!S210)</f>
        <v/>
      </c>
      <c r="W648" s="389" t="str">
        <f>IF('Lớp 6 - Chi tiết'!I210="","",6)</f>
        <v/>
      </c>
      <c r="X648" s="67" t="str">
        <f>'Lớp 6 - Chi tiết'!I210</f>
        <v/>
      </c>
      <c r="Y648" s="389" t="str">
        <f>'Lớp 6 - Chi tiết'!J210</f>
        <v/>
      </c>
      <c r="Z648" s="67" t="str">
        <f>'Lớp 6 - Chi tiết'!AC210</f>
        <v/>
      </c>
      <c r="AA648" s="67" t="str">
        <f>'Lớp 6 - Chi tiết'!AB210</f>
        <v/>
      </c>
      <c r="AB648" s="67" t="str">
        <f>'Lớp 6 - Chi tiết'!AF210</f>
        <v/>
      </c>
      <c r="AC648" s="67" t="str">
        <f>'Lớp 6 - Chi tiết'!AE210</f>
        <v/>
      </c>
      <c r="AD648" s="398" t="str">
        <f>'Lớp 6 - Chi tiết'!AJ210</f>
        <v/>
      </c>
      <c r="AE648" s="358" t="str">
        <f>'Lớp 6 - Chi tiết'!AH210</f>
        <v/>
      </c>
      <c r="AF648" s="187" t="str">
        <f>'Lớp 6 - Chi tiết'!AK210</f>
        <v/>
      </c>
      <c r="AG648" s="104" t="str">
        <f>'Lớp 6 - Chi tiết'!AL210</f>
        <v/>
      </c>
      <c r="AH648" s="389" t="str">
        <f t="shared" si="27"/>
        <v/>
      </c>
      <c r="AI648" s="389" t="str">
        <f t="shared" si="37"/>
        <v>🔵 Chưa có hạn</v>
      </c>
      <c r="AJ648" s="67" t="str">
        <f>'Lớp 6 - Chi tiết'!AO210</f>
        <v/>
      </c>
      <c r="AS648" s="389" t="str">
        <f t="shared" si="467"/>
        <v/>
      </c>
      <c r="AT648" s="389" t="str">
        <f t="shared" si="32"/>
        <v/>
      </c>
      <c r="AU648" s="389" t="str">
        <f t="shared" si="33"/>
        <v/>
      </c>
      <c r="AV648" s="389" t="str">
        <f t="shared" si="34"/>
        <v/>
      </c>
      <c r="AW648" s="389" t="str">
        <f t="shared" si="35"/>
        <v/>
      </c>
      <c r="AX648" s="67" t="str">
        <f t="shared" ref="AX648:BH648" si="663">Z648</f>
        <v/>
      </c>
      <c r="AY648" s="67" t="str">
        <f t="shared" si="663"/>
        <v/>
      </c>
      <c r="AZ648" s="67" t="str">
        <f t="shared" si="663"/>
        <v/>
      </c>
      <c r="BA648" s="67" t="str">
        <f t="shared" si="663"/>
        <v/>
      </c>
      <c r="BB648" s="398" t="str">
        <f t="shared" si="663"/>
        <v/>
      </c>
      <c r="BC648" s="358" t="str">
        <f t="shared" si="663"/>
        <v/>
      </c>
      <c r="BD648" s="187" t="str">
        <f t="shared" si="663"/>
        <v/>
      </c>
      <c r="BE648" s="104" t="str">
        <f t="shared" si="663"/>
        <v/>
      </c>
      <c r="BF648" s="389" t="str">
        <f t="shared" si="663"/>
        <v/>
      </c>
      <c r="BG648" s="389" t="str">
        <f t="shared" si="663"/>
        <v>🔵 Chưa có hạn</v>
      </c>
      <c r="BH648" s="67" t="str">
        <f t="shared" si="663"/>
        <v/>
      </c>
      <c r="BI648" s="389" t="str">
        <f t="array" ref="BI648">IF($X648="","",SWITCH($W648,3,IFERROR(INDEX('Lớp 3 - Công việc chính'!$AF$14:$AF$73,MATCH($X648,'Lớp 3 - Công việc chính'!$I$14:$I$73,0)),""),4,IFERROR(INDEX('Lớp 4 - Danh mục'!$AI$14:$AI$132,MATCH($X648,'Lớp 4 - Danh mục'!$I$14:$I$132,0)),""),5,IFERROR(INDEX('Lớp 5 - Phân công'!$AJ$14:$AJ$262,MATCH($X648,'Lớp 5 - Phân công'!$I$14:$I$262,0)),""),6,IFERROR(INDEX('Lớp 6 - Chi tiết'!$AM$14:$AM$267,MATCH($X648,'Lớp 6 - Chi tiết'!$I$14:$I$267,0)),""),""))</f>
        <v/>
      </c>
      <c r="BJ648" s="389" t="str">
        <f t="array" ref="BJ648">IF($X648="","",SWITCH($W648,3,IFERROR(INDEX('Lớp 3 - Công việc chính'!$AR$14:$AR$73,MATCH($X648,'Lớp 3 - Công việc chính'!$I$14:$I$73,0)),""),4,IFERROR(INDEX('Lớp 4 - Danh mục'!$AU$14:$AU$132,MATCH($X648,'Lớp 4 - Danh mục'!$I$14:$I$132,0)),""),5,IFERROR(INDEX('Lớp 5 - Phân công'!$AV$14:$AV$262,MATCH($X648,'Lớp 5 - Phân công'!$I$14:$I$262,0)),""),6,IFERROR(INDEX('Lớp 6 - Chi tiết'!$AY$14:$AY$267,MATCH($X648,'Lớp 6 - Chi tiết'!$I$14:$I$267,0)),""),""))</f>
        <v/>
      </c>
    </row>
    <row r="649" ht="15.75" customHeight="1">
      <c r="A649" s="294" t="str">
        <f t="shared" si="12"/>
        <v/>
      </c>
      <c r="B649" s="301" t="str">
        <f t="shared" si="13"/>
        <v/>
      </c>
      <c r="C649" s="301" t="str">
        <f t="shared" si="14"/>
        <v/>
      </c>
      <c r="D649" s="301" t="str">
        <f t="shared" si="15"/>
        <v/>
      </c>
      <c r="E649" s="301" t="str">
        <f t="shared" si="16"/>
        <v/>
      </c>
      <c r="F649" s="317" t="str">
        <f t="shared" si="17"/>
        <v/>
      </c>
      <c r="G649" s="323" t="str">
        <f t="shared" si="18"/>
        <v/>
      </c>
      <c r="H649" s="327" t="str">
        <f t="shared" si="19"/>
        <v/>
      </c>
      <c r="I649" s="327" t="str">
        <f t="shared" si="20"/>
        <v/>
      </c>
      <c r="J649" s="301" t="str">
        <f t="shared" si="21"/>
        <v/>
      </c>
      <c r="K649" s="301" t="str">
        <f t="shared" si="22"/>
        <v/>
      </c>
      <c r="L649" s="344" t="str">
        <f t="array" ref="L649">IF($T649="","",LET(m,MATCH($T649,$AS$24:$AS$700,0),lvl,INDEX($W$24:$W$700,m),id,INDEX($X$24:$X$700,m),SWITCH(lvl,3,"Lớp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49" s="351" t="str">
        <f t="shared" si="23"/>
        <v/>
      </c>
      <c r="N649" s="356" t="str">
        <f t="shared" si="24"/>
        <v/>
      </c>
      <c r="O649" s="358"/>
      <c r="P649" s="360"/>
      <c r="Q649" s="360"/>
      <c r="R649" s="67"/>
      <c r="S649" s="67"/>
      <c r="T649" s="67"/>
      <c r="U649" s="389" t="str">
        <f>IF('Lớp 6 - Chi tiết'!I211="","",'Lớp 6 - Chi tiết'!L211&amp;"|"&amp;'Lớp 6 - Chi tiết'!K211&amp;"|"&amp;'Lớp 6 - Chi tiết'!J211&amp;"|"&amp;'Lớp 6 - Chi tiết'!I211)</f>
        <v/>
      </c>
      <c r="V649" s="389" t="str">
        <f>IF('Lớp 6 - Chi tiết'!I211="","","           └─ "&amp;'Lớp 6 - Chi tiết'!S211)</f>
        <v/>
      </c>
      <c r="W649" s="389" t="str">
        <f>IF('Lớp 6 - Chi tiết'!I211="","",6)</f>
        <v/>
      </c>
      <c r="X649" s="67" t="str">
        <f>'Lớp 6 - Chi tiết'!I211</f>
        <v/>
      </c>
      <c r="Y649" s="389" t="str">
        <f>'Lớp 6 - Chi tiết'!J211</f>
        <v/>
      </c>
      <c r="Z649" s="67" t="str">
        <f>'Lớp 6 - Chi tiết'!AC211</f>
        <v/>
      </c>
      <c r="AA649" s="67" t="str">
        <f>'Lớp 6 - Chi tiết'!AB211</f>
        <v/>
      </c>
      <c r="AB649" s="67" t="str">
        <f>'Lớp 6 - Chi tiết'!AF211</f>
        <v/>
      </c>
      <c r="AC649" s="67" t="str">
        <f>'Lớp 6 - Chi tiết'!AE211</f>
        <v/>
      </c>
      <c r="AD649" s="398" t="str">
        <f>'Lớp 6 - Chi tiết'!AJ211</f>
        <v/>
      </c>
      <c r="AE649" s="358" t="str">
        <f>'Lớp 6 - Chi tiết'!AH211</f>
        <v/>
      </c>
      <c r="AF649" s="187" t="str">
        <f>'Lớp 6 - Chi tiết'!AK211</f>
        <v/>
      </c>
      <c r="AG649" s="104" t="str">
        <f>'Lớp 6 - Chi tiết'!AL211</f>
        <v/>
      </c>
      <c r="AH649" s="389" t="str">
        <f t="shared" si="27"/>
        <v/>
      </c>
      <c r="AI649" s="389" t="str">
        <f t="shared" si="37"/>
        <v>🔵 Chưa có hạn</v>
      </c>
      <c r="AJ649" s="67" t="str">
        <f>'Lớp 6 - Chi tiết'!AO211</f>
        <v/>
      </c>
      <c r="AS649" s="389" t="str">
        <f t="shared" si="467"/>
        <v/>
      </c>
      <c r="AT649" s="389" t="str">
        <f t="shared" si="32"/>
        <v/>
      </c>
      <c r="AU649" s="389" t="str">
        <f t="shared" si="33"/>
        <v/>
      </c>
      <c r="AV649" s="389" t="str">
        <f t="shared" si="34"/>
        <v/>
      </c>
      <c r="AW649" s="389" t="str">
        <f t="shared" si="35"/>
        <v/>
      </c>
      <c r="AX649" s="67" t="str">
        <f t="shared" ref="AX649:BH649" si="664">Z649</f>
        <v/>
      </c>
      <c r="AY649" s="67" t="str">
        <f t="shared" si="664"/>
        <v/>
      </c>
      <c r="AZ649" s="67" t="str">
        <f t="shared" si="664"/>
        <v/>
      </c>
      <c r="BA649" s="67" t="str">
        <f t="shared" si="664"/>
        <v/>
      </c>
      <c r="BB649" s="398" t="str">
        <f t="shared" si="664"/>
        <v/>
      </c>
      <c r="BC649" s="358" t="str">
        <f t="shared" si="664"/>
        <v/>
      </c>
      <c r="BD649" s="187" t="str">
        <f t="shared" si="664"/>
        <v/>
      </c>
      <c r="BE649" s="104" t="str">
        <f t="shared" si="664"/>
        <v/>
      </c>
      <c r="BF649" s="389" t="str">
        <f t="shared" si="664"/>
        <v/>
      </c>
      <c r="BG649" s="389" t="str">
        <f t="shared" si="664"/>
        <v>🔵 Chưa có hạn</v>
      </c>
      <c r="BH649" s="67" t="str">
        <f t="shared" si="664"/>
        <v/>
      </c>
      <c r="BI649" s="389" t="str">
        <f t="array" ref="BI649">IF($X649="","",SWITCH($W649,3,IFERROR(INDEX('Lớp 3 - Công việc chính'!$AF$14:$AF$73,MATCH($X649,'Lớp 3 - Công việc chính'!$I$14:$I$73,0)),""),4,IFERROR(INDEX('Lớp 4 - Danh mục'!$AI$14:$AI$132,MATCH($X649,'Lớp 4 - Danh mục'!$I$14:$I$132,0)),""),5,IFERROR(INDEX('Lớp 5 - Phân công'!$AJ$14:$AJ$262,MATCH($X649,'Lớp 5 - Phân công'!$I$14:$I$262,0)),""),6,IFERROR(INDEX('Lớp 6 - Chi tiết'!$AM$14:$AM$267,MATCH($X649,'Lớp 6 - Chi tiết'!$I$14:$I$267,0)),""),""))</f>
        <v/>
      </c>
      <c r="BJ649" s="389" t="str">
        <f t="array" ref="BJ649">IF($X649="","",SWITCH($W649,3,IFERROR(INDEX('Lớp 3 - Công việc chính'!$AR$14:$AR$73,MATCH($X649,'Lớp 3 - Công việc chính'!$I$14:$I$73,0)),""),4,IFERROR(INDEX('Lớp 4 - Danh mục'!$AU$14:$AU$132,MATCH($X649,'Lớp 4 - Danh mục'!$I$14:$I$132,0)),""),5,IFERROR(INDEX('Lớp 5 - Phân công'!$AV$14:$AV$262,MATCH($X649,'Lớp 5 - Phân công'!$I$14:$I$262,0)),""),6,IFERROR(INDEX('Lớp 6 - Chi tiết'!$AY$14:$AY$267,MATCH($X649,'Lớp 6 - Chi tiết'!$I$14:$I$267,0)),""),""))</f>
        <v/>
      </c>
    </row>
    <row r="650" ht="15.75" customHeight="1">
      <c r="A650" s="294" t="str">
        <f t="shared" si="12"/>
        <v/>
      </c>
      <c r="B650" s="301" t="str">
        <f t="shared" si="13"/>
        <v/>
      </c>
      <c r="C650" s="301" t="str">
        <f t="shared" si="14"/>
        <v/>
      </c>
      <c r="D650" s="301" t="str">
        <f t="shared" si="15"/>
        <v/>
      </c>
      <c r="E650" s="301" t="str">
        <f t="shared" si="16"/>
        <v/>
      </c>
      <c r="F650" s="317" t="str">
        <f t="shared" si="17"/>
        <v/>
      </c>
      <c r="G650" s="323" t="str">
        <f t="shared" si="18"/>
        <v/>
      </c>
      <c r="H650" s="327" t="str">
        <f t="shared" si="19"/>
        <v/>
      </c>
      <c r="I650" s="327" t="str">
        <f t="shared" si="20"/>
        <v/>
      </c>
      <c r="J650" s="301" t="str">
        <f t="shared" si="21"/>
        <v/>
      </c>
      <c r="K650" s="301" t="str">
        <f t="shared" si="22"/>
        <v/>
      </c>
      <c r="L650" s="344" t="str">
        <f t="array" ref="L650">IF($T650="","",LET(m,MATCH($T650,$AS$24:$AS$700,0),lvl,INDEX($W$24:$W$700,m),id,INDEX($X$24:$X$700,m),SWITCH(lvl,3,"Lớp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0" s="351" t="str">
        <f t="shared" si="23"/>
        <v/>
      </c>
      <c r="N650" s="356" t="str">
        <f t="shared" si="24"/>
        <v/>
      </c>
      <c r="O650" s="358"/>
      <c r="P650" s="360"/>
      <c r="Q650" s="360"/>
      <c r="R650" s="67"/>
      <c r="S650" s="67"/>
      <c r="T650" s="67"/>
      <c r="U650" s="389" t="str">
        <f>IF('Lớp 6 - Chi tiết'!I212="","",'Lớp 6 - Chi tiết'!L212&amp;"|"&amp;'Lớp 6 - Chi tiết'!K212&amp;"|"&amp;'Lớp 6 - Chi tiết'!J212&amp;"|"&amp;'Lớp 6 - Chi tiết'!I212)</f>
        <v/>
      </c>
      <c r="V650" s="389" t="str">
        <f>IF('Lớp 6 - Chi tiết'!I212="","","           └─ "&amp;'Lớp 6 - Chi tiết'!S212)</f>
        <v/>
      </c>
      <c r="W650" s="389" t="str">
        <f>IF('Lớp 6 - Chi tiết'!I212="","",6)</f>
        <v/>
      </c>
      <c r="X650" s="67" t="str">
        <f>'Lớp 6 - Chi tiết'!I212</f>
        <v/>
      </c>
      <c r="Y650" s="389" t="str">
        <f>'Lớp 6 - Chi tiết'!J212</f>
        <v/>
      </c>
      <c r="Z650" s="67" t="str">
        <f>'Lớp 6 - Chi tiết'!AC212</f>
        <v/>
      </c>
      <c r="AA650" s="67" t="str">
        <f>'Lớp 6 - Chi tiết'!AB212</f>
        <v/>
      </c>
      <c r="AB650" s="67" t="str">
        <f>'Lớp 6 - Chi tiết'!AF212</f>
        <v/>
      </c>
      <c r="AC650" s="67" t="str">
        <f>'Lớp 6 - Chi tiết'!AE212</f>
        <v/>
      </c>
      <c r="AD650" s="398" t="str">
        <f>'Lớp 6 - Chi tiết'!AJ212</f>
        <v/>
      </c>
      <c r="AE650" s="358" t="str">
        <f>'Lớp 6 - Chi tiết'!AH212</f>
        <v/>
      </c>
      <c r="AF650" s="187" t="str">
        <f>'Lớp 6 - Chi tiết'!AK212</f>
        <v/>
      </c>
      <c r="AG650" s="104" t="str">
        <f>'Lớp 6 - Chi tiết'!AL212</f>
        <v/>
      </c>
      <c r="AH650" s="389" t="str">
        <f t="shared" si="27"/>
        <v/>
      </c>
      <c r="AI650" s="389" t="str">
        <f t="shared" si="37"/>
        <v>🔵 Chưa có hạn</v>
      </c>
      <c r="AJ650" s="67" t="str">
        <f>'Lớp 6 - Chi tiết'!AO212</f>
        <v/>
      </c>
      <c r="AS650" s="389" t="str">
        <f t="shared" si="467"/>
        <v/>
      </c>
      <c r="AT650" s="389" t="str">
        <f t="shared" si="32"/>
        <v/>
      </c>
      <c r="AU650" s="389" t="str">
        <f t="shared" si="33"/>
        <v/>
      </c>
      <c r="AV650" s="389" t="str">
        <f t="shared" si="34"/>
        <v/>
      </c>
      <c r="AW650" s="389" t="str">
        <f t="shared" si="35"/>
        <v/>
      </c>
      <c r="AX650" s="67" t="str">
        <f t="shared" ref="AX650:BH650" si="665">Z650</f>
        <v/>
      </c>
      <c r="AY650" s="67" t="str">
        <f t="shared" si="665"/>
        <v/>
      </c>
      <c r="AZ650" s="67" t="str">
        <f t="shared" si="665"/>
        <v/>
      </c>
      <c r="BA650" s="67" t="str">
        <f t="shared" si="665"/>
        <v/>
      </c>
      <c r="BB650" s="398" t="str">
        <f t="shared" si="665"/>
        <v/>
      </c>
      <c r="BC650" s="358" t="str">
        <f t="shared" si="665"/>
        <v/>
      </c>
      <c r="BD650" s="187" t="str">
        <f t="shared" si="665"/>
        <v/>
      </c>
      <c r="BE650" s="104" t="str">
        <f t="shared" si="665"/>
        <v/>
      </c>
      <c r="BF650" s="389" t="str">
        <f t="shared" si="665"/>
        <v/>
      </c>
      <c r="BG650" s="389" t="str">
        <f t="shared" si="665"/>
        <v>🔵 Chưa có hạn</v>
      </c>
      <c r="BH650" s="67" t="str">
        <f t="shared" si="665"/>
        <v/>
      </c>
      <c r="BI650" s="389" t="str">
        <f t="array" ref="BI650">IF($X650="","",SWITCH($W650,3,IFERROR(INDEX('Lớp 3 - Công việc chính'!$AF$14:$AF$73,MATCH($X650,'Lớp 3 - Công việc chính'!$I$14:$I$73,0)),""),4,IFERROR(INDEX('Lớp 4 - Danh mục'!$AI$14:$AI$132,MATCH($X650,'Lớp 4 - Danh mục'!$I$14:$I$132,0)),""),5,IFERROR(INDEX('Lớp 5 - Phân công'!$AJ$14:$AJ$262,MATCH($X650,'Lớp 5 - Phân công'!$I$14:$I$262,0)),""),6,IFERROR(INDEX('Lớp 6 - Chi tiết'!$AM$14:$AM$267,MATCH($X650,'Lớp 6 - Chi tiết'!$I$14:$I$267,0)),""),""))</f>
        <v/>
      </c>
      <c r="BJ650" s="389" t="str">
        <f t="array" ref="BJ650">IF($X650="","",SWITCH($W650,3,IFERROR(INDEX('Lớp 3 - Công việc chính'!$AR$14:$AR$73,MATCH($X650,'Lớp 3 - Công việc chính'!$I$14:$I$73,0)),""),4,IFERROR(INDEX('Lớp 4 - Danh mục'!$AU$14:$AU$132,MATCH($X650,'Lớp 4 - Danh mục'!$I$14:$I$132,0)),""),5,IFERROR(INDEX('Lớp 5 - Phân công'!$AV$14:$AV$262,MATCH($X650,'Lớp 5 - Phân công'!$I$14:$I$262,0)),""),6,IFERROR(INDEX('Lớp 6 - Chi tiết'!$AY$14:$AY$267,MATCH($X650,'Lớp 6 - Chi tiết'!$I$14:$I$267,0)),""),""))</f>
        <v/>
      </c>
    </row>
    <row r="651" ht="15.75" customHeight="1">
      <c r="A651" s="294" t="str">
        <f t="shared" si="12"/>
        <v/>
      </c>
      <c r="B651" s="301" t="str">
        <f t="shared" si="13"/>
        <v/>
      </c>
      <c r="C651" s="301" t="str">
        <f t="shared" si="14"/>
        <v/>
      </c>
      <c r="D651" s="301" t="str">
        <f t="shared" si="15"/>
        <v/>
      </c>
      <c r="E651" s="301" t="str">
        <f t="shared" si="16"/>
        <v/>
      </c>
      <c r="F651" s="317" t="str">
        <f t="shared" si="17"/>
        <v/>
      </c>
      <c r="G651" s="323" t="str">
        <f t="shared" si="18"/>
        <v/>
      </c>
      <c r="H651" s="327" t="str">
        <f t="shared" si="19"/>
        <v/>
      </c>
      <c r="I651" s="327" t="str">
        <f t="shared" si="20"/>
        <v/>
      </c>
      <c r="J651" s="301" t="str">
        <f t="shared" si="21"/>
        <v/>
      </c>
      <c r="K651" s="301" t="str">
        <f t="shared" si="22"/>
        <v/>
      </c>
      <c r="L651" s="344" t="str">
        <f t="array" ref="L651">IF($T651="","",LET(m,MATCH($T651,$AS$24:$AS$700,0),lvl,INDEX($W$24:$W$700,m),id,INDEX($X$24:$X$700,m),SWITCH(lvl,3,"Lớp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1" s="351" t="str">
        <f t="shared" si="23"/>
        <v/>
      </c>
      <c r="N651" s="356" t="str">
        <f t="shared" si="24"/>
        <v/>
      </c>
      <c r="O651" s="358"/>
      <c r="P651" s="360"/>
      <c r="Q651" s="360"/>
      <c r="R651" s="67"/>
      <c r="S651" s="67"/>
      <c r="T651" s="67"/>
      <c r="U651" s="389" t="str">
        <f>IF('Lớp 6 - Chi tiết'!I213="","",'Lớp 6 - Chi tiết'!L213&amp;"|"&amp;'Lớp 6 - Chi tiết'!K213&amp;"|"&amp;'Lớp 6 - Chi tiết'!J213&amp;"|"&amp;'Lớp 6 - Chi tiết'!I213)</f>
        <v/>
      </c>
      <c r="V651" s="389" t="str">
        <f>IF('Lớp 6 - Chi tiết'!I213="","","           └─ "&amp;'Lớp 6 - Chi tiết'!S213)</f>
        <v/>
      </c>
      <c r="W651" s="389" t="str">
        <f>IF('Lớp 6 - Chi tiết'!I213="","",6)</f>
        <v/>
      </c>
      <c r="X651" s="67" t="str">
        <f>'Lớp 6 - Chi tiết'!I213</f>
        <v/>
      </c>
      <c r="Y651" s="389" t="str">
        <f>'Lớp 6 - Chi tiết'!J213</f>
        <v/>
      </c>
      <c r="Z651" s="67" t="str">
        <f>'Lớp 6 - Chi tiết'!AC213</f>
        <v/>
      </c>
      <c r="AA651" s="67" t="str">
        <f>'Lớp 6 - Chi tiết'!AB213</f>
        <v/>
      </c>
      <c r="AB651" s="67" t="str">
        <f>'Lớp 6 - Chi tiết'!AF213</f>
        <v/>
      </c>
      <c r="AC651" s="67" t="str">
        <f>'Lớp 6 - Chi tiết'!AE213</f>
        <v/>
      </c>
      <c r="AD651" s="398" t="str">
        <f>'Lớp 6 - Chi tiết'!AJ213</f>
        <v/>
      </c>
      <c r="AE651" s="358" t="str">
        <f>'Lớp 6 - Chi tiết'!AH213</f>
        <v/>
      </c>
      <c r="AF651" s="187" t="str">
        <f>'Lớp 6 - Chi tiết'!AK213</f>
        <v/>
      </c>
      <c r="AG651" s="104" t="str">
        <f>'Lớp 6 - Chi tiết'!AL213</f>
        <v/>
      </c>
      <c r="AH651" s="389" t="str">
        <f t="shared" si="27"/>
        <v/>
      </c>
      <c r="AI651" s="389" t="str">
        <f t="shared" si="37"/>
        <v>🔵 Chưa có hạn</v>
      </c>
      <c r="AJ651" s="67" t="str">
        <f>'Lớp 6 - Chi tiết'!AO213</f>
        <v/>
      </c>
      <c r="AS651" s="389" t="str">
        <f t="shared" si="467"/>
        <v/>
      </c>
      <c r="AT651" s="389" t="str">
        <f t="shared" si="32"/>
        <v/>
      </c>
      <c r="AU651" s="389" t="str">
        <f t="shared" si="33"/>
        <v/>
      </c>
      <c r="AV651" s="389" t="str">
        <f t="shared" si="34"/>
        <v/>
      </c>
      <c r="AW651" s="389" t="str">
        <f t="shared" si="35"/>
        <v/>
      </c>
      <c r="AX651" s="67" t="str">
        <f t="shared" ref="AX651:BH651" si="666">Z651</f>
        <v/>
      </c>
      <c r="AY651" s="67" t="str">
        <f t="shared" si="666"/>
        <v/>
      </c>
      <c r="AZ651" s="67" t="str">
        <f t="shared" si="666"/>
        <v/>
      </c>
      <c r="BA651" s="67" t="str">
        <f t="shared" si="666"/>
        <v/>
      </c>
      <c r="BB651" s="398" t="str">
        <f t="shared" si="666"/>
        <v/>
      </c>
      <c r="BC651" s="358" t="str">
        <f t="shared" si="666"/>
        <v/>
      </c>
      <c r="BD651" s="187" t="str">
        <f t="shared" si="666"/>
        <v/>
      </c>
      <c r="BE651" s="104" t="str">
        <f t="shared" si="666"/>
        <v/>
      </c>
      <c r="BF651" s="389" t="str">
        <f t="shared" si="666"/>
        <v/>
      </c>
      <c r="BG651" s="389" t="str">
        <f t="shared" si="666"/>
        <v>🔵 Chưa có hạn</v>
      </c>
      <c r="BH651" s="67" t="str">
        <f t="shared" si="666"/>
        <v/>
      </c>
      <c r="BI651" s="389" t="str">
        <f t="array" ref="BI651">IF($X651="","",SWITCH($W651,3,IFERROR(INDEX('Lớp 3 - Công việc chính'!$AF$14:$AF$73,MATCH($X651,'Lớp 3 - Công việc chính'!$I$14:$I$73,0)),""),4,IFERROR(INDEX('Lớp 4 - Danh mục'!$AI$14:$AI$132,MATCH($X651,'Lớp 4 - Danh mục'!$I$14:$I$132,0)),""),5,IFERROR(INDEX('Lớp 5 - Phân công'!$AJ$14:$AJ$262,MATCH($X651,'Lớp 5 - Phân công'!$I$14:$I$262,0)),""),6,IFERROR(INDEX('Lớp 6 - Chi tiết'!$AM$14:$AM$267,MATCH($X651,'Lớp 6 - Chi tiết'!$I$14:$I$267,0)),""),""))</f>
        <v/>
      </c>
      <c r="BJ651" s="389" t="str">
        <f t="array" ref="BJ651">IF($X651="","",SWITCH($W651,3,IFERROR(INDEX('Lớp 3 - Công việc chính'!$AR$14:$AR$73,MATCH($X651,'Lớp 3 - Công việc chính'!$I$14:$I$73,0)),""),4,IFERROR(INDEX('Lớp 4 - Danh mục'!$AU$14:$AU$132,MATCH($X651,'Lớp 4 - Danh mục'!$I$14:$I$132,0)),""),5,IFERROR(INDEX('Lớp 5 - Phân công'!$AV$14:$AV$262,MATCH($X651,'Lớp 5 - Phân công'!$I$14:$I$262,0)),""),6,IFERROR(INDEX('Lớp 6 - Chi tiết'!$AY$14:$AY$267,MATCH($X651,'Lớp 6 - Chi tiết'!$I$14:$I$267,0)),""),""))</f>
        <v/>
      </c>
    </row>
    <row r="652" ht="15.75" customHeight="1">
      <c r="A652" s="294" t="str">
        <f t="shared" si="12"/>
        <v/>
      </c>
      <c r="B652" s="301" t="str">
        <f t="shared" si="13"/>
        <v/>
      </c>
      <c r="C652" s="301" t="str">
        <f t="shared" si="14"/>
        <v/>
      </c>
      <c r="D652" s="301" t="str">
        <f t="shared" si="15"/>
        <v/>
      </c>
      <c r="E652" s="301" t="str">
        <f t="shared" si="16"/>
        <v/>
      </c>
      <c r="F652" s="317" t="str">
        <f t="shared" si="17"/>
        <v/>
      </c>
      <c r="G652" s="323" t="str">
        <f t="shared" si="18"/>
        <v/>
      </c>
      <c r="H652" s="327" t="str">
        <f t="shared" si="19"/>
        <v/>
      </c>
      <c r="I652" s="327" t="str">
        <f t="shared" si="20"/>
        <v/>
      </c>
      <c r="J652" s="301" t="str">
        <f t="shared" si="21"/>
        <v/>
      </c>
      <c r="K652" s="301" t="str">
        <f t="shared" si="22"/>
        <v/>
      </c>
      <c r="L652" s="344" t="str">
        <f t="array" ref="L652">IF($T652="","",LET(m,MATCH($T652,$AS$24:$AS$700,0),lvl,INDEX($W$24:$W$700,m),id,INDEX($X$24:$X$700,m),SWITCH(lvl,3,"Lớp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2" s="351" t="str">
        <f t="shared" si="23"/>
        <v/>
      </c>
      <c r="N652" s="356" t="str">
        <f t="shared" si="24"/>
        <v/>
      </c>
      <c r="O652" s="358"/>
      <c r="P652" s="360"/>
      <c r="Q652" s="360"/>
      <c r="R652" s="67"/>
      <c r="S652" s="67"/>
      <c r="T652" s="67"/>
      <c r="U652" s="389" t="str">
        <f>IF('Lớp 6 - Chi tiết'!I214="","",'Lớp 6 - Chi tiết'!L214&amp;"|"&amp;'Lớp 6 - Chi tiết'!K214&amp;"|"&amp;'Lớp 6 - Chi tiết'!J214&amp;"|"&amp;'Lớp 6 - Chi tiết'!I214)</f>
        <v/>
      </c>
      <c r="V652" s="389" t="str">
        <f>IF('Lớp 6 - Chi tiết'!I214="","","           └─ "&amp;'Lớp 6 - Chi tiết'!S214)</f>
        <v/>
      </c>
      <c r="W652" s="389" t="str">
        <f>IF('Lớp 6 - Chi tiết'!I214="","",6)</f>
        <v/>
      </c>
      <c r="X652" s="67" t="str">
        <f>'Lớp 6 - Chi tiết'!I214</f>
        <v/>
      </c>
      <c r="Y652" s="389" t="str">
        <f>'Lớp 6 - Chi tiết'!J214</f>
        <v/>
      </c>
      <c r="Z652" s="67" t="str">
        <f>'Lớp 6 - Chi tiết'!AC214</f>
        <v/>
      </c>
      <c r="AA652" s="67" t="str">
        <f>'Lớp 6 - Chi tiết'!AB214</f>
        <v/>
      </c>
      <c r="AB652" s="67" t="str">
        <f>'Lớp 6 - Chi tiết'!AF214</f>
        <v/>
      </c>
      <c r="AC652" s="67" t="str">
        <f>'Lớp 6 - Chi tiết'!AE214</f>
        <v/>
      </c>
      <c r="AD652" s="398" t="str">
        <f>'Lớp 6 - Chi tiết'!AJ214</f>
        <v/>
      </c>
      <c r="AE652" s="358" t="str">
        <f>'Lớp 6 - Chi tiết'!AH214</f>
        <v/>
      </c>
      <c r="AF652" s="187" t="str">
        <f>'Lớp 6 - Chi tiết'!AK214</f>
        <v/>
      </c>
      <c r="AG652" s="104" t="str">
        <f>'Lớp 6 - Chi tiết'!AL214</f>
        <v/>
      </c>
      <c r="AH652" s="389" t="str">
        <f t="shared" si="27"/>
        <v/>
      </c>
      <c r="AI652" s="389" t="str">
        <f t="shared" si="37"/>
        <v>🔵 Chưa có hạn</v>
      </c>
      <c r="AJ652" s="67" t="str">
        <f>'Lớp 6 - Chi tiết'!AO214</f>
        <v/>
      </c>
      <c r="AS652" s="389" t="str">
        <f t="shared" si="467"/>
        <v/>
      </c>
      <c r="AT652" s="389" t="str">
        <f t="shared" si="32"/>
        <v/>
      </c>
      <c r="AU652" s="389" t="str">
        <f t="shared" si="33"/>
        <v/>
      </c>
      <c r="AV652" s="389" t="str">
        <f t="shared" si="34"/>
        <v/>
      </c>
      <c r="AW652" s="389" t="str">
        <f t="shared" si="35"/>
        <v/>
      </c>
      <c r="AX652" s="67" t="str">
        <f t="shared" ref="AX652:BH652" si="667">Z652</f>
        <v/>
      </c>
      <c r="AY652" s="67" t="str">
        <f t="shared" si="667"/>
        <v/>
      </c>
      <c r="AZ652" s="67" t="str">
        <f t="shared" si="667"/>
        <v/>
      </c>
      <c r="BA652" s="67" t="str">
        <f t="shared" si="667"/>
        <v/>
      </c>
      <c r="BB652" s="398" t="str">
        <f t="shared" si="667"/>
        <v/>
      </c>
      <c r="BC652" s="358" t="str">
        <f t="shared" si="667"/>
        <v/>
      </c>
      <c r="BD652" s="187" t="str">
        <f t="shared" si="667"/>
        <v/>
      </c>
      <c r="BE652" s="104" t="str">
        <f t="shared" si="667"/>
        <v/>
      </c>
      <c r="BF652" s="389" t="str">
        <f t="shared" si="667"/>
        <v/>
      </c>
      <c r="BG652" s="389" t="str">
        <f t="shared" si="667"/>
        <v>🔵 Chưa có hạn</v>
      </c>
      <c r="BH652" s="67" t="str">
        <f t="shared" si="667"/>
        <v/>
      </c>
      <c r="BI652" s="389" t="str">
        <f t="array" ref="BI652">IF($X652="","",SWITCH($W652,3,IFERROR(INDEX('Lớp 3 - Công việc chính'!$AF$14:$AF$73,MATCH($X652,'Lớp 3 - Công việc chính'!$I$14:$I$73,0)),""),4,IFERROR(INDEX('Lớp 4 - Danh mục'!$AI$14:$AI$132,MATCH($X652,'Lớp 4 - Danh mục'!$I$14:$I$132,0)),""),5,IFERROR(INDEX('Lớp 5 - Phân công'!$AJ$14:$AJ$262,MATCH($X652,'Lớp 5 - Phân công'!$I$14:$I$262,0)),""),6,IFERROR(INDEX('Lớp 6 - Chi tiết'!$AM$14:$AM$267,MATCH($X652,'Lớp 6 - Chi tiết'!$I$14:$I$267,0)),""),""))</f>
        <v/>
      </c>
      <c r="BJ652" s="389" t="str">
        <f t="array" ref="BJ652">IF($X652="","",SWITCH($W652,3,IFERROR(INDEX('Lớp 3 - Công việc chính'!$AR$14:$AR$73,MATCH($X652,'Lớp 3 - Công việc chính'!$I$14:$I$73,0)),""),4,IFERROR(INDEX('Lớp 4 - Danh mục'!$AU$14:$AU$132,MATCH($X652,'Lớp 4 - Danh mục'!$I$14:$I$132,0)),""),5,IFERROR(INDEX('Lớp 5 - Phân công'!$AV$14:$AV$262,MATCH($X652,'Lớp 5 - Phân công'!$I$14:$I$262,0)),""),6,IFERROR(INDEX('Lớp 6 - Chi tiết'!$AY$14:$AY$267,MATCH($X652,'Lớp 6 - Chi tiết'!$I$14:$I$267,0)),""),""))</f>
        <v/>
      </c>
    </row>
    <row r="653" ht="15.75" customHeight="1">
      <c r="A653" s="294" t="str">
        <f t="shared" si="12"/>
        <v/>
      </c>
      <c r="B653" s="301" t="str">
        <f t="shared" si="13"/>
        <v/>
      </c>
      <c r="C653" s="301" t="str">
        <f t="shared" si="14"/>
        <v/>
      </c>
      <c r="D653" s="301" t="str">
        <f t="shared" si="15"/>
        <v/>
      </c>
      <c r="E653" s="301" t="str">
        <f t="shared" si="16"/>
        <v/>
      </c>
      <c r="F653" s="317" t="str">
        <f t="shared" si="17"/>
        <v/>
      </c>
      <c r="G653" s="323" t="str">
        <f t="shared" si="18"/>
        <v/>
      </c>
      <c r="H653" s="327" t="str">
        <f t="shared" si="19"/>
        <v/>
      </c>
      <c r="I653" s="327" t="str">
        <f t="shared" si="20"/>
        <v/>
      </c>
      <c r="J653" s="301" t="str">
        <f t="shared" si="21"/>
        <v/>
      </c>
      <c r="K653" s="301" t="str">
        <f t="shared" si="22"/>
        <v/>
      </c>
      <c r="L653" s="344" t="str">
        <f t="array" ref="L653">IF($T653="","",LET(m,MATCH($T653,$AS$24:$AS$700,0),lvl,INDEX($W$24:$W$700,m),id,INDEX($X$24:$X$700,m),SWITCH(lvl,3,"Lớp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3" s="351" t="str">
        <f t="shared" si="23"/>
        <v/>
      </c>
      <c r="N653" s="356" t="str">
        <f t="shared" si="24"/>
        <v/>
      </c>
      <c r="O653" s="358"/>
      <c r="P653" s="360"/>
      <c r="Q653" s="360"/>
      <c r="R653" s="67"/>
      <c r="S653" s="67"/>
      <c r="T653" s="67"/>
      <c r="U653" s="389" t="str">
        <f>IF('Lớp 6 - Chi tiết'!I215="","",'Lớp 6 - Chi tiết'!L215&amp;"|"&amp;'Lớp 6 - Chi tiết'!K215&amp;"|"&amp;'Lớp 6 - Chi tiết'!J215&amp;"|"&amp;'Lớp 6 - Chi tiết'!I215)</f>
        <v/>
      </c>
      <c r="V653" s="389" t="str">
        <f>IF('Lớp 6 - Chi tiết'!I215="","","           └─ "&amp;'Lớp 6 - Chi tiết'!S215)</f>
        <v/>
      </c>
      <c r="W653" s="389" t="str">
        <f>IF('Lớp 6 - Chi tiết'!I215="","",6)</f>
        <v/>
      </c>
      <c r="X653" s="67" t="str">
        <f>'Lớp 6 - Chi tiết'!I215</f>
        <v/>
      </c>
      <c r="Y653" s="389" t="str">
        <f>'Lớp 6 - Chi tiết'!J215</f>
        <v/>
      </c>
      <c r="Z653" s="67" t="str">
        <f>'Lớp 6 - Chi tiết'!AC215</f>
        <v/>
      </c>
      <c r="AA653" s="67" t="str">
        <f>'Lớp 6 - Chi tiết'!AB215</f>
        <v/>
      </c>
      <c r="AB653" s="67" t="str">
        <f>'Lớp 6 - Chi tiết'!AF215</f>
        <v/>
      </c>
      <c r="AC653" s="67" t="str">
        <f>'Lớp 6 - Chi tiết'!AE215</f>
        <v/>
      </c>
      <c r="AD653" s="398" t="str">
        <f>'Lớp 6 - Chi tiết'!AJ215</f>
        <v/>
      </c>
      <c r="AE653" s="358" t="str">
        <f>'Lớp 6 - Chi tiết'!AH215</f>
        <v/>
      </c>
      <c r="AF653" s="187" t="str">
        <f>'Lớp 6 - Chi tiết'!AK215</f>
        <v/>
      </c>
      <c r="AG653" s="104" t="str">
        <f>'Lớp 6 - Chi tiết'!AL215</f>
        <v/>
      </c>
      <c r="AH653" s="389" t="str">
        <f t="shared" si="27"/>
        <v/>
      </c>
      <c r="AI653" s="389" t="str">
        <f t="shared" si="37"/>
        <v>🔵 Chưa có hạn</v>
      </c>
      <c r="AJ653" s="67" t="str">
        <f>'Lớp 6 - Chi tiết'!AO215</f>
        <v/>
      </c>
      <c r="AS653" s="389" t="str">
        <f t="shared" si="467"/>
        <v/>
      </c>
      <c r="AT653" s="389" t="str">
        <f t="shared" si="32"/>
        <v/>
      </c>
      <c r="AU653" s="389" t="str">
        <f t="shared" si="33"/>
        <v/>
      </c>
      <c r="AV653" s="389" t="str">
        <f t="shared" si="34"/>
        <v/>
      </c>
      <c r="AW653" s="389" t="str">
        <f t="shared" si="35"/>
        <v/>
      </c>
      <c r="AX653" s="67" t="str">
        <f t="shared" ref="AX653:BH653" si="668">Z653</f>
        <v/>
      </c>
      <c r="AY653" s="67" t="str">
        <f t="shared" si="668"/>
        <v/>
      </c>
      <c r="AZ653" s="67" t="str">
        <f t="shared" si="668"/>
        <v/>
      </c>
      <c r="BA653" s="67" t="str">
        <f t="shared" si="668"/>
        <v/>
      </c>
      <c r="BB653" s="398" t="str">
        <f t="shared" si="668"/>
        <v/>
      </c>
      <c r="BC653" s="358" t="str">
        <f t="shared" si="668"/>
        <v/>
      </c>
      <c r="BD653" s="187" t="str">
        <f t="shared" si="668"/>
        <v/>
      </c>
      <c r="BE653" s="104" t="str">
        <f t="shared" si="668"/>
        <v/>
      </c>
      <c r="BF653" s="389" t="str">
        <f t="shared" si="668"/>
        <v/>
      </c>
      <c r="BG653" s="389" t="str">
        <f t="shared" si="668"/>
        <v>🔵 Chưa có hạn</v>
      </c>
      <c r="BH653" s="67" t="str">
        <f t="shared" si="668"/>
        <v/>
      </c>
      <c r="BI653" s="389" t="str">
        <f t="array" ref="BI653">IF($X653="","",SWITCH($W653,3,IFERROR(INDEX('Lớp 3 - Công việc chính'!$AF$14:$AF$73,MATCH($X653,'Lớp 3 - Công việc chính'!$I$14:$I$73,0)),""),4,IFERROR(INDEX('Lớp 4 - Danh mục'!$AI$14:$AI$132,MATCH($X653,'Lớp 4 - Danh mục'!$I$14:$I$132,0)),""),5,IFERROR(INDEX('Lớp 5 - Phân công'!$AJ$14:$AJ$262,MATCH($X653,'Lớp 5 - Phân công'!$I$14:$I$262,0)),""),6,IFERROR(INDEX('Lớp 6 - Chi tiết'!$AM$14:$AM$267,MATCH($X653,'Lớp 6 - Chi tiết'!$I$14:$I$267,0)),""),""))</f>
        <v/>
      </c>
      <c r="BJ653" s="389" t="str">
        <f t="array" ref="BJ653">IF($X653="","",SWITCH($W653,3,IFERROR(INDEX('Lớp 3 - Công việc chính'!$AR$14:$AR$73,MATCH($X653,'Lớp 3 - Công việc chính'!$I$14:$I$73,0)),""),4,IFERROR(INDEX('Lớp 4 - Danh mục'!$AU$14:$AU$132,MATCH($X653,'Lớp 4 - Danh mục'!$I$14:$I$132,0)),""),5,IFERROR(INDEX('Lớp 5 - Phân công'!$AV$14:$AV$262,MATCH($X653,'Lớp 5 - Phân công'!$I$14:$I$262,0)),""),6,IFERROR(INDEX('Lớp 6 - Chi tiết'!$AY$14:$AY$267,MATCH($X653,'Lớp 6 - Chi tiết'!$I$14:$I$267,0)),""),""))</f>
        <v/>
      </c>
    </row>
    <row r="654" ht="15.75" customHeight="1">
      <c r="A654" s="294" t="str">
        <f t="shared" si="12"/>
        <v/>
      </c>
      <c r="B654" s="301" t="str">
        <f t="shared" si="13"/>
        <v/>
      </c>
      <c r="C654" s="301" t="str">
        <f t="shared" si="14"/>
        <v/>
      </c>
      <c r="D654" s="301" t="str">
        <f t="shared" si="15"/>
        <v/>
      </c>
      <c r="E654" s="301" t="str">
        <f t="shared" si="16"/>
        <v/>
      </c>
      <c r="F654" s="317" t="str">
        <f t="shared" si="17"/>
        <v/>
      </c>
      <c r="G654" s="323" t="str">
        <f t="shared" si="18"/>
        <v/>
      </c>
      <c r="H654" s="327" t="str">
        <f t="shared" si="19"/>
        <v/>
      </c>
      <c r="I654" s="327" t="str">
        <f t="shared" si="20"/>
        <v/>
      </c>
      <c r="J654" s="301" t="str">
        <f t="shared" si="21"/>
        <v/>
      </c>
      <c r="K654" s="301" t="str">
        <f t="shared" si="22"/>
        <v/>
      </c>
      <c r="L654" s="344" t="str">
        <f t="array" ref="L654">IF($T654="","",LET(m,MATCH($T654,$AS$24:$AS$700,0),lvl,INDEX($W$24:$W$700,m),id,INDEX($X$24:$X$700,m),SWITCH(lvl,3,"Lớp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4" s="351" t="str">
        <f t="shared" si="23"/>
        <v/>
      </c>
      <c r="N654" s="356" t="str">
        <f t="shared" si="24"/>
        <v/>
      </c>
      <c r="O654" s="358"/>
      <c r="P654" s="360"/>
      <c r="Q654" s="360"/>
      <c r="R654" s="67"/>
      <c r="S654" s="67"/>
      <c r="T654" s="67"/>
      <c r="U654" s="389" t="str">
        <f>IF('Lớp 6 - Chi tiết'!I216="","",'Lớp 6 - Chi tiết'!L216&amp;"|"&amp;'Lớp 6 - Chi tiết'!K216&amp;"|"&amp;'Lớp 6 - Chi tiết'!J216&amp;"|"&amp;'Lớp 6 - Chi tiết'!I216)</f>
        <v/>
      </c>
      <c r="V654" s="389" t="str">
        <f>IF('Lớp 6 - Chi tiết'!I216="","","           └─ "&amp;'Lớp 6 - Chi tiết'!S216)</f>
        <v/>
      </c>
      <c r="W654" s="389" t="str">
        <f>IF('Lớp 6 - Chi tiết'!I216="","",6)</f>
        <v/>
      </c>
      <c r="X654" s="67" t="str">
        <f>'Lớp 6 - Chi tiết'!I216</f>
        <v/>
      </c>
      <c r="Y654" s="389" t="str">
        <f>'Lớp 6 - Chi tiết'!J216</f>
        <v/>
      </c>
      <c r="Z654" s="67" t="str">
        <f>'Lớp 6 - Chi tiết'!AC216</f>
        <v/>
      </c>
      <c r="AA654" s="67" t="str">
        <f>'Lớp 6 - Chi tiết'!AB216</f>
        <v/>
      </c>
      <c r="AB654" s="67" t="str">
        <f>'Lớp 6 - Chi tiết'!AF216</f>
        <v/>
      </c>
      <c r="AC654" s="67" t="str">
        <f>'Lớp 6 - Chi tiết'!AE216</f>
        <v/>
      </c>
      <c r="AD654" s="398" t="str">
        <f>'Lớp 6 - Chi tiết'!AJ216</f>
        <v/>
      </c>
      <c r="AE654" s="358" t="str">
        <f>'Lớp 6 - Chi tiết'!AH216</f>
        <v/>
      </c>
      <c r="AF654" s="187" t="str">
        <f>'Lớp 6 - Chi tiết'!AK216</f>
        <v/>
      </c>
      <c r="AG654" s="104" t="str">
        <f>'Lớp 6 - Chi tiết'!AL216</f>
        <v/>
      </c>
      <c r="AH654" s="389" t="str">
        <f t="shared" si="27"/>
        <v/>
      </c>
      <c r="AI654" s="389" t="str">
        <f t="shared" si="37"/>
        <v>🔵 Chưa có hạn</v>
      </c>
      <c r="AJ654" s="67" t="str">
        <f>'Lớp 6 - Chi tiết'!AO216</f>
        <v/>
      </c>
      <c r="AS654" s="389" t="str">
        <f t="shared" si="467"/>
        <v/>
      </c>
      <c r="AT654" s="389" t="str">
        <f t="shared" si="32"/>
        <v/>
      </c>
      <c r="AU654" s="389" t="str">
        <f t="shared" si="33"/>
        <v/>
      </c>
      <c r="AV654" s="389" t="str">
        <f t="shared" si="34"/>
        <v/>
      </c>
      <c r="AW654" s="389" t="str">
        <f t="shared" si="35"/>
        <v/>
      </c>
      <c r="AX654" s="67" t="str">
        <f t="shared" ref="AX654:BH654" si="669">Z654</f>
        <v/>
      </c>
      <c r="AY654" s="67" t="str">
        <f t="shared" si="669"/>
        <v/>
      </c>
      <c r="AZ654" s="67" t="str">
        <f t="shared" si="669"/>
        <v/>
      </c>
      <c r="BA654" s="67" t="str">
        <f t="shared" si="669"/>
        <v/>
      </c>
      <c r="BB654" s="398" t="str">
        <f t="shared" si="669"/>
        <v/>
      </c>
      <c r="BC654" s="358" t="str">
        <f t="shared" si="669"/>
        <v/>
      </c>
      <c r="BD654" s="187" t="str">
        <f t="shared" si="669"/>
        <v/>
      </c>
      <c r="BE654" s="104" t="str">
        <f t="shared" si="669"/>
        <v/>
      </c>
      <c r="BF654" s="389" t="str">
        <f t="shared" si="669"/>
        <v/>
      </c>
      <c r="BG654" s="389" t="str">
        <f t="shared" si="669"/>
        <v>🔵 Chưa có hạn</v>
      </c>
      <c r="BH654" s="67" t="str">
        <f t="shared" si="669"/>
        <v/>
      </c>
      <c r="BI654" s="389" t="str">
        <f t="array" ref="BI654">IF($X654="","",SWITCH($W654,3,IFERROR(INDEX('Lớp 3 - Công việc chính'!$AF$14:$AF$73,MATCH($X654,'Lớp 3 - Công việc chính'!$I$14:$I$73,0)),""),4,IFERROR(INDEX('Lớp 4 - Danh mục'!$AI$14:$AI$132,MATCH($X654,'Lớp 4 - Danh mục'!$I$14:$I$132,0)),""),5,IFERROR(INDEX('Lớp 5 - Phân công'!$AJ$14:$AJ$262,MATCH($X654,'Lớp 5 - Phân công'!$I$14:$I$262,0)),""),6,IFERROR(INDEX('Lớp 6 - Chi tiết'!$AM$14:$AM$267,MATCH($X654,'Lớp 6 - Chi tiết'!$I$14:$I$267,0)),""),""))</f>
        <v/>
      </c>
      <c r="BJ654" s="389" t="str">
        <f t="array" ref="BJ654">IF($X654="","",SWITCH($W654,3,IFERROR(INDEX('Lớp 3 - Công việc chính'!$AR$14:$AR$73,MATCH($X654,'Lớp 3 - Công việc chính'!$I$14:$I$73,0)),""),4,IFERROR(INDEX('Lớp 4 - Danh mục'!$AU$14:$AU$132,MATCH($X654,'Lớp 4 - Danh mục'!$I$14:$I$132,0)),""),5,IFERROR(INDEX('Lớp 5 - Phân công'!$AV$14:$AV$262,MATCH($X654,'Lớp 5 - Phân công'!$I$14:$I$262,0)),""),6,IFERROR(INDEX('Lớp 6 - Chi tiết'!$AY$14:$AY$267,MATCH($X654,'Lớp 6 - Chi tiết'!$I$14:$I$267,0)),""),""))</f>
        <v/>
      </c>
    </row>
    <row r="655" ht="15.75" customHeight="1">
      <c r="A655" s="294" t="str">
        <f t="shared" si="12"/>
        <v/>
      </c>
      <c r="B655" s="301" t="str">
        <f t="shared" si="13"/>
        <v/>
      </c>
      <c r="C655" s="301" t="str">
        <f t="shared" si="14"/>
        <v/>
      </c>
      <c r="D655" s="301" t="str">
        <f t="shared" si="15"/>
        <v/>
      </c>
      <c r="E655" s="301" t="str">
        <f t="shared" si="16"/>
        <v/>
      </c>
      <c r="F655" s="317" t="str">
        <f t="shared" si="17"/>
        <v/>
      </c>
      <c r="G655" s="323" t="str">
        <f t="shared" si="18"/>
        <v/>
      </c>
      <c r="H655" s="327" t="str">
        <f t="shared" si="19"/>
        <v/>
      </c>
      <c r="I655" s="327" t="str">
        <f t="shared" si="20"/>
        <v/>
      </c>
      <c r="J655" s="301" t="str">
        <f t="shared" si="21"/>
        <v/>
      </c>
      <c r="K655" s="301" t="str">
        <f t="shared" si="22"/>
        <v/>
      </c>
      <c r="L655" s="344" t="str">
        <f t="array" ref="L655">IF($T655="","",LET(m,MATCH($T655,$AS$24:$AS$700,0),lvl,INDEX($W$24:$W$700,m),id,INDEX($X$24:$X$700,m),SWITCH(lvl,3,"Lớp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5" s="351" t="str">
        <f t="shared" si="23"/>
        <v/>
      </c>
      <c r="N655" s="356" t="str">
        <f t="shared" si="24"/>
        <v/>
      </c>
      <c r="O655" s="358"/>
      <c r="P655" s="360"/>
      <c r="Q655" s="360"/>
      <c r="R655" s="67"/>
      <c r="S655" s="67"/>
      <c r="T655" s="67"/>
      <c r="U655" s="389" t="str">
        <f>IF('Lớp 6 - Chi tiết'!I217="","",'Lớp 6 - Chi tiết'!L217&amp;"|"&amp;'Lớp 6 - Chi tiết'!K217&amp;"|"&amp;'Lớp 6 - Chi tiết'!J217&amp;"|"&amp;'Lớp 6 - Chi tiết'!I217)</f>
        <v/>
      </c>
      <c r="V655" s="389" t="str">
        <f>IF('Lớp 6 - Chi tiết'!I217="","","           └─ "&amp;'Lớp 6 - Chi tiết'!S217)</f>
        <v/>
      </c>
      <c r="W655" s="389" t="str">
        <f>IF('Lớp 6 - Chi tiết'!I217="","",6)</f>
        <v/>
      </c>
      <c r="X655" s="67" t="str">
        <f>'Lớp 6 - Chi tiết'!I217</f>
        <v/>
      </c>
      <c r="Y655" s="389" t="str">
        <f>'Lớp 6 - Chi tiết'!J217</f>
        <v/>
      </c>
      <c r="Z655" s="67" t="str">
        <f>'Lớp 6 - Chi tiết'!AC217</f>
        <v/>
      </c>
      <c r="AA655" s="67" t="str">
        <f>'Lớp 6 - Chi tiết'!AB217</f>
        <v/>
      </c>
      <c r="AB655" s="67" t="str">
        <f>'Lớp 6 - Chi tiết'!AF217</f>
        <v/>
      </c>
      <c r="AC655" s="67" t="str">
        <f>'Lớp 6 - Chi tiết'!AE217</f>
        <v/>
      </c>
      <c r="AD655" s="398" t="str">
        <f>'Lớp 6 - Chi tiết'!AJ217</f>
        <v/>
      </c>
      <c r="AE655" s="358" t="str">
        <f>'Lớp 6 - Chi tiết'!AH217</f>
        <v/>
      </c>
      <c r="AF655" s="187" t="str">
        <f>'Lớp 6 - Chi tiết'!AK217</f>
        <v/>
      </c>
      <c r="AG655" s="104" t="str">
        <f>'Lớp 6 - Chi tiết'!AL217</f>
        <v/>
      </c>
      <c r="AH655" s="389" t="str">
        <f t="shared" si="27"/>
        <v/>
      </c>
      <c r="AI655" s="389" t="str">
        <f t="shared" si="37"/>
        <v>🔵 Chưa có hạn</v>
      </c>
      <c r="AJ655" s="67" t="str">
        <f>'Lớp 6 - Chi tiết'!AO217</f>
        <v/>
      </c>
      <c r="AS655" s="389" t="str">
        <f t="shared" si="467"/>
        <v/>
      </c>
      <c r="AT655" s="389" t="str">
        <f t="shared" si="32"/>
        <v/>
      </c>
      <c r="AU655" s="389" t="str">
        <f t="shared" si="33"/>
        <v/>
      </c>
      <c r="AV655" s="389" t="str">
        <f t="shared" si="34"/>
        <v/>
      </c>
      <c r="AW655" s="389" t="str">
        <f t="shared" si="35"/>
        <v/>
      </c>
      <c r="AX655" s="67" t="str">
        <f t="shared" ref="AX655:BH655" si="670">Z655</f>
        <v/>
      </c>
      <c r="AY655" s="67" t="str">
        <f t="shared" si="670"/>
        <v/>
      </c>
      <c r="AZ655" s="67" t="str">
        <f t="shared" si="670"/>
        <v/>
      </c>
      <c r="BA655" s="67" t="str">
        <f t="shared" si="670"/>
        <v/>
      </c>
      <c r="BB655" s="398" t="str">
        <f t="shared" si="670"/>
        <v/>
      </c>
      <c r="BC655" s="358" t="str">
        <f t="shared" si="670"/>
        <v/>
      </c>
      <c r="BD655" s="187" t="str">
        <f t="shared" si="670"/>
        <v/>
      </c>
      <c r="BE655" s="104" t="str">
        <f t="shared" si="670"/>
        <v/>
      </c>
      <c r="BF655" s="389" t="str">
        <f t="shared" si="670"/>
        <v/>
      </c>
      <c r="BG655" s="389" t="str">
        <f t="shared" si="670"/>
        <v>🔵 Chưa có hạn</v>
      </c>
      <c r="BH655" s="67" t="str">
        <f t="shared" si="670"/>
        <v/>
      </c>
      <c r="BI655" s="389" t="str">
        <f t="array" ref="BI655">IF($X655="","",SWITCH($W655,3,IFERROR(INDEX('Lớp 3 - Công việc chính'!$AF$14:$AF$73,MATCH($X655,'Lớp 3 - Công việc chính'!$I$14:$I$73,0)),""),4,IFERROR(INDEX('Lớp 4 - Danh mục'!$AI$14:$AI$132,MATCH($X655,'Lớp 4 - Danh mục'!$I$14:$I$132,0)),""),5,IFERROR(INDEX('Lớp 5 - Phân công'!$AJ$14:$AJ$262,MATCH($X655,'Lớp 5 - Phân công'!$I$14:$I$262,0)),""),6,IFERROR(INDEX('Lớp 6 - Chi tiết'!$AM$14:$AM$267,MATCH($X655,'Lớp 6 - Chi tiết'!$I$14:$I$267,0)),""),""))</f>
        <v/>
      </c>
      <c r="BJ655" s="389" t="str">
        <f t="array" ref="BJ655">IF($X655="","",SWITCH($W655,3,IFERROR(INDEX('Lớp 3 - Công việc chính'!$AR$14:$AR$73,MATCH($X655,'Lớp 3 - Công việc chính'!$I$14:$I$73,0)),""),4,IFERROR(INDEX('Lớp 4 - Danh mục'!$AU$14:$AU$132,MATCH($X655,'Lớp 4 - Danh mục'!$I$14:$I$132,0)),""),5,IFERROR(INDEX('Lớp 5 - Phân công'!$AV$14:$AV$262,MATCH($X655,'Lớp 5 - Phân công'!$I$14:$I$262,0)),""),6,IFERROR(INDEX('Lớp 6 - Chi tiết'!$AY$14:$AY$267,MATCH($X655,'Lớp 6 - Chi tiết'!$I$14:$I$267,0)),""),""))</f>
        <v/>
      </c>
    </row>
    <row r="656" ht="15.75" customHeight="1">
      <c r="A656" s="294" t="str">
        <f t="shared" si="12"/>
        <v/>
      </c>
      <c r="B656" s="301" t="str">
        <f t="shared" si="13"/>
        <v/>
      </c>
      <c r="C656" s="301" t="str">
        <f t="shared" si="14"/>
        <v/>
      </c>
      <c r="D656" s="301" t="str">
        <f t="shared" si="15"/>
        <v/>
      </c>
      <c r="E656" s="301" t="str">
        <f t="shared" si="16"/>
        <v/>
      </c>
      <c r="F656" s="317" t="str">
        <f t="shared" si="17"/>
        <v/>
      </c>
      <c r="G656" s="323" t="str">
        <f t="shared" si="18"/>
        <v/>
      </c>
      <c r="H656" s="327" t="str">
        <f t="shared" si="19"/>
        <v/>
      </c>
      <c r="I656" s="327" t="str">
        <f t="shared" si="20"/>
        <v/>
      </c>
      <c r="J656" s="301" t="str">
        <f t="shared" si="21"/>
        <v/>
      </c>
      <c r="K656" s="301" t="str">
        <f t="shared" si="22"/>
        <v/>
      </c>
      <c r="L656" s="344" t="str">
        <f t="array" ref="L656">IF($T656="","",LET(m,MATCH($T656,$AS$24:$AS$700,0),lvl,INDEX($W$24:$W$700,m),id,INDEX($X$24:$X$700,m),SWITCH(lvl,3,"Lớp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6" s="351" t="str">
        <f t="shared" si="23"/>
        <v/>
      </c>
      <c r="N656" s="356" t="str">
        <f t="shared" si="24"/>
        <v/>
      </c>
      <c r="O656" s="358"/>
      <c r="P656" s="360"/>
      <c r="Q656" s="360"/>
      <c r="R656" s="67"/>
      <c r="S656" s="67"/>
      <c r="T656" s="67"/>
      <c r="U656" s="389" t="str">
        <f>IF('Lớp 6 - Chi tiết'!I218="","",'Lớp 6 - Chi tiết'!L218&amp;"|"&amp;'Lớp 6 - Chi tiết'!K218&amp;"|"&amp;'Lớp 6 - Chi tiết'!J218&amp;"|"&amp;'Lớp 6 - Chi tiết'!I218)</f>
        <v/>
      </c>
      <c r="V656" s="389" t="str">
        <f>IF('Lớp 6 - Chi tiết'!I218="","","           └─ "&amp;'Lớp 6 - Chi tiết'!S218)</f>
        <v/>
      </c>
      <c r="W656" s="389" t="str">
        <f>IF('Lớp 6 - Chi tiết'!I218="","",6)</f>
        <v/>
      </c>
      <c r="X656" s="67" t="str">
        <f>'Lớp 6 - Chi tiết'!I218</f>
        <v/>
      </c>
      <c r="Y656" s="389" t="str">
        <f>'Lớp 6 - Chi tiết'!J218</f>
        <v/>
      </c>
      <c r="Z656" s="67" t="str">
        <f>'Lớp 6 - Chi tiết'!AC218</f>
        <v/>
      </c>
      <c r="AA656" s="67" t="str">
        <f>'Lớp 6 - Chi tiết'!AB218</f>
        <v/>
      </c>
      <c r="AB656" s="67" t="str">
        <f>'Lớp 6 - Chi tiết'!AF218</f>
        <v/>
      </c>
      <c r="AC656" s="67" t="str">
        <f>'Lớp 6 - Chi tiết'!AE218</f>
        <v/>
      </c>
      <c r="AD656" s="398" t="str">
        <f>'Lớp 6 - Chi tiết'!AJ218</f>
        <v/>
      </c>
      <c r="AE656" s="358" t="str">
        <f>'Lớp 6 - Chi tiết'!AH218</f>
        <v/>
      </c>
      <c r="AF656" s="187" t="str">
        <f>'Lớp 6 - Chi tiết'!AK218</f>
        <v/>
      </c>
      <c r="AG656" s="104" t="str">
        <f>'Lớp 6 - Chi tiết'!AL218</f>
        <v/>
      </c>
      <c r="AH656" s="389" t="str">
        <f t="shared" si="27"/>
        <v/>
      </c>
      <c r="AI656" s="389" t="str">
        <f t="shared" si="37"/>
        <v>🔵 Chưa có hạn</v>
      </c>
      <c r="AJ656" s="67" t="str">
        <f>'Lớp 6 - Chi tiết'!AO218</f>
        <v/>
      </c>
      <c r="AS656" s="389" t="str">
        <f t="shared" si="467"/>
        <v/>
      </c>
      <c r="AT656" s="389" t="str">
        <f t="shared" si="32"/>
        <v/>
      </c>
      <c r="AU656" s="389" t="str">
        <f t="shared" si="33"/>
        <v/>
      </c>
      <c r="AV656" s="389" t="str">
        <f t="shared" si="34"/>
        <v/>
      </c>
      <c r="AW656" s="389" t="str">
        <f t="shared" si="35"/>
        <v/>
      </c>
      <c r="AX656" s="67" t="str">
        <f t="shared" ref="AX656:BH656" si="671">Z656</f>
        <v/>
      </c>
      <c r="AY656" s="67" t="str">
        <f t="shared" si="671"/>
        <v/>
      </c>
      <c r="AZ656" s="67" t="str">
        <f t="shared" si="671"/>
        <v/>
      </c>
      <c r="BA656" s="67" t="str">
        <f t="shared" si="671"/>
        <v/>
      </c>
      <c r="BB656" s="398" t="str">
        <f t="shared" si="671"/>
        <v/>
      </c>
      <c r="BC656" s="358" t="str">
        <f t="shared" si="671"/>
        <v/>
      </c>
      <c r="BD656" s="187" t="str">
        <f t="shared" si="671"/>
        <v/>
      </c>
      <c r="BE656" s="104" t="str">
        <f t="shared" si="671"/>
        <v/>
      </c>
      <c r="BF656" s="389" t="str">
        <f t="shared" si="671"/>
        <v/>
      </c>
      <c r="BG656" s="389" t="str">
        <f t="shared" si="671"/>
        <v>🔵 Chưa có hạn</v>
      </c>
      <c r="BH656" s="67" t="str">
        <f t="shared" si="671"/>
        <v/>
      </c>
      <c r="BI656" s="389" t="str">
        <f t="array" ref="BI656">IF($X656="","",SWITCH($W656,3,IFERROR(INDEX('Lớp 3 - Công việc chính'!$AF$14:$AF$73,MATCH($X656,'Lớp 3 - Công việc chính'!$I$14:$I$73,0)),""),4,IFERROR(INDEX('Lớp 4 - Danh mục'!$AI$14:$AI$132,MATCH($X656,'Lớp 4 - Danh mục'!$I$14:$I$132,0)),""),5,IFERROR(INDEX('Lớp 5 - Phân công'!$AJ$14:$AJ$262,MATCH($X656,'Lớp 5 - Phân công'!$I$14:$I$262,0)),""),6,IFERROR(INDEX('Lớp 6 - Chi tiết'!$AM$14:$AM$267,MATCH($X656,'Lớp 6 - Chi tiết'!$I$14:$I$267,0)),""),""))</f>
        <v/>
      </c>
      <c r="BJ656" s="389" t="str">
        <f t="array" ref="BJ656">IF($X656="","",SWITCH($W656,3,IFERROR(INDEX('Lớp 3 - Công việc chính'!$AR$14:$AR$73,MATCH($X656,'Lớp 3 - Công việc chính'!$I$14:$I$73,0)),""),4,IFERROR(INDEX('Lớp 4 - Danh mục'!$AU$14:$AU$132,MATCH($X656,'Lớp 4 - Danh mục'!$I$14:$I$132,0)),""),5,IFERROR(INDEX('Lớp 5 - Phân công'!$AV$14:$AV$262,MATCH($X656,'Lớp 5 - Phân công'!$I$14:$I$262,0)),""),6,IFERROR(INDEX('Lớp 6 - Chi tiết'!$AY$14:$AY$267,MATCH($X656,'Lớp 6 - Chi tiết'!$I$14:$I$267,0)),""),""))</f>
        <v/>
      </c>
    </row>
    <row r="657" ht="15.75" customHeight="1">
      <c r="A657" s="294" t="str">
        <f t="shared" si="12"/>
        <v/>
      </c>
      <c r="B657" s="301" t="str">
        <f t="shared" si="13"/>
        <v/>
      </c>
      <c r="C657" s="301" t="str">
        <f t="shared" si="14"/>
        <v/>
      </c>
      <c r="D657" s="301" t="str">
        <f t="shared" si="15"/>
        <v/>
      </c>
      <c r="E657" s="301" t="str">
        <f t="shared" si="16"/>
        <v/>
      </c>
      <c r="F657" s="317" t="str">
        <f t="shared" si="17"/>
        <v/>
      </c>
      <c r="G657" s="323" t="str">
        <f t="shared" si="18"/>
        <v/>
      </c>
      <c r="H657" s="327" t="str">
        <f t="shared" si="19"/>
        <v/>
      </c>
      <c r="I657" s="327" t="str">
        <f t="shared" si="20"/>
        <v/>
      </c>
      <c r="J657" s="301" t="str">
        <f t="shared" si="21"/>
        <v/>
      </c>
      <c r="K657" s="301" t="str">
        <f t="shared" si="22"/>
        <v/>
      </c>
      <c r="L657" s="344" t="str">
        <f t="array" ref="L657">IF($T657="","",LET(m,MATCH($T657,$AS$24:$AS$700,0),lvl,INDEX($W$24:$W$700,m),id,INDEX($X$24:$X$700,m),SWITCH(lvl,3,"Lớp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7" s="351" t="str">
        <f t="shared" si="23"/>
        <v/>
      </c>
      <c r="N657" s="356" t="str">
        <f t="shared" si="24"/>
        <v/>
      </c>
      <c r="O657" s="358"/>
      <c r="P657" s="360"/>
      <c r="Q657" s="360"/>
      <c r="R657" s="67"/>
      <c r="S657" s="67"/>
      <c r="T657" s="67"/>
      <c r="U657" s="389" t="str">
        <f>IF('Lớp 6 - Chi tiết'!I219="","",'Lớp 6 - Chi tiết'!L219&amp;"|"&amp;'Lớp 6 - Chi tiết'!K219&amp;"|"&amp;'Lớp 6 - Chi tiết'!J219&amp;"|"&amp;'Lớp 6 - Chi tiết'!I219)</f>
        <v/>
      </c>
      <c r="V657" s="389" t="str">
        <f>IF('Lớp 6 - Chi tiết'!I219="","","           └─ "&amp;'Lớp 6 - Chi tiết'!S219)</f>
        <v/>
      </c>
      <c r="W657" s="389" t="str">
        <f>IF('Lớp 6 - Chi tiết'!I219="","",6)</f>
        <v/>
      </c>
      <c r="X657" s="67" t="str">
        <f>'Lớp 6 - Chi tiết'!I219</f>
        <v/>
      </c>
      <c r="Y657" s="389" t="str">
        <f>'Lớp 6 - Chi tiết'!J219</f>
        <v/>
      </c>
      <c r="Z657" s="67" t="str">
        <f>'Lớp 6 - Chi tiết'!AC219</f>
        <v/>
      </c>
      <c r="AA657" s="67" t="str">
        <f>'Lớp 6 - Chi tiết'!AB219</f>
        <v/>
      </c>
      <c r="AB657" s="67" t="str">
        <f>'Lớp 6 - Chi tiết'!AF219</f>
        <v/>
      </c>
      <c r="AC657" s="67" t="str">
        <f>'Lớp 6 - Chi tiết'!AE219</f>
        <v/>
      </c>
      <c r="AD657" s="398" t="str">
        <f>'Lớp 6 - Chi tiết'!AJ219</f>
        <v/>
      </c>
      <c r="AE657" s="358" t="str">
        <f>'Lớp 6 - Chi tiết'!AH219</f>
        <v/>
      </c>
      <c r="AF657" s="187" t="str">
        <f>'Lớp 6 - Chi tiết'!AK219</f>
        <v/>
      </c>
      <c r="AG657" s="104" t="str">
        <f>'Lớp 6 - Chi tiết'!AL219</f>
        <v/>
      </c>
      <c r="AH657" s="389" t="str">
        <f t="shared" si="27"/>
        <v/>
      </c>
      <c r="AI657" s="389" t="str">
        <f t="shared" si="37"/>
        <v>🔵 Chưa có hạn</v>
      </c>
      <c r="AJ657" s="67" t="str">
        <f>'Lớp 6 - Chi tiết'!AO219</f>
        <v/>
      </c>
      <c r="AS657" s="389" t="str">
        <f t="shared" si="467"/>
        <v/>
      </c>
      <c r="AT657" s="389" t="str">
        <f t="shared" si="32"/>
        <v/>
      </c>
      <c r="AU657" s="389" t="str">
        <f t="shared" si="33"/>
        <v/>
      </c>
      <c r="AV657" s="389" t="str">
        <f t="shared" si="34"/>
        <v/>
      </c>
      <c r="AW657" s="389" t="str">
        <f t="shared" si="35"/>
        <v/>
      </c>
      <c r="AX657" s="67" t="str">
        <f t="shared" ref="AX657:BH657" si="672">Z657</f>
        <v/>
      </c>
      <c r="AY657" s="67" t="str">
        <f t="shared" si="672"/>
        <v/>
      </c>
      <c r="AZ657" s="67" t="str">
        <f t="shared" si="672"/>
        <v/>
      </c>
      <c r="BA657" s="67" t="str">
        <f t="shared" si="672"/>
        <v/>
      </c>
      <c r="BB657" s="398" t="str">
        <f t="shared" si="672"/>
        <v/>
      </c>
      <c r="BC657" s="358" t="str">
        <f t="shared" si="672"/>
        <v/>
      </c>
      <c r="BD657" s="187" t="str">
        <f t="shared" si="672"/>
        <v/>
      </c>
      <c r="BE657" s="104" t="str">
        <f t="shared" si="672"/>
        <v/>
      </c>
      <c r="BF657" s="389" t="str">
        <f t="shared" si="672"/>
        <v/>
      </c>
      <c r="BG657" s="389" t="str">
        <f t="shared" si="672"/>
        <v>🔵 Chưa có hạn</v>
      </c>
      <c r="BH657" s="67" t="str">
        <f t="shared" si="672"/>
        <v/>
      </c>
      <c r="BI657" s="389" t="str">
        <f t="array" ref="BI657">IF($X657="","",SWITCH($W657,3,IFERROR(INDEX('Lớp 3 - Công việc chính'!$AF$14:$AF$73,MATCH($X657,'Lớp 3 - Công việc chính'!$I$14:$I$73,0)),""),4,IFERROR(INDEX('Lớp 4 - Danh mục'!$AI$14:$AI$132,MATCH($X657,'Lớp 4 - Danh mục'!$I$14:$I$132,0)),""),5,IFERROR(INDEX('Lớp 5 - Phân công'!$AJ$14:$AJ$262,MATCH($X657,'Lớp 5 - Phân công'!$I$14:$I$262,0)),""),6,IFERROR(INDEX('Lớp 6 - Chi tiết'!$AM$14:$AM$267,MATCH($X657,'Lớp 6 - Chi tiết'!$I$14:$I$267,0)),""),""))</f>
        <v/>
      </c>
      <c r="BJ657" s="389" t="str">
        <f t="array" ref="BJ657">IF($X657="","",SWITCH($W657,3,IFERROR(INDEX('Lớp 3 - Công việc chính'!$AR$14:$AR$73,MATCH($X657,'Lớp 3 - Công việc chính'!$I$14:$I$73,0)),""),4,IFERROR(INDEX('Lớp 4 - Danh mục'!$AU$14:$AU$132,MATCH($X657,'Lớp 4 - Danh mục'!$I$14:$I$132,0)),""),5,IFERROR(INDEX('Lớp 5 - Phân công'!$AV$14:$AV$262,MATCH($X657,'Lớp 5 - Phân công'!$I$14:$I$262,0)),""),6,IFERROR(INDEX('Lớp 6 - Chi tiết'!$AY$14:$AY$267,MATCH($X657,'Lớp 6 - Chi tiết'!$I$14:$I$267,0)),""),""))</f>
        <v/>
      </c>
    </row>
    <row r="658" ht="15.75" customHeight="1">
      <c r="A658" s="294" t="str">
        <f t="shared" si="12"/>
        <v/>
      </c>
      <c r="B658" s="301" t="str">
        <f t="shared" si="13"/>
        <v/>
      </c>
      <c r="C658" s="301" t="str">
        <f t="shared" si="14"/>
        <v/>
      </c>
      <c r="D658" s="301" t="str">
        <f t="shared" si="15"/>
        <v/>
      </c>
      <c r="E658" s="301" t="str">
        <f t="shared" si="16"/>
        <v/>
      </c>
      <c r="F658" s="317" t="str">
        <f t="shared" si="17"/>
        <v/>
      </c>
      <c r="G658" s="323" t="str">
        <f t="shared" si="18"/>
        <v/>
      </c>
      <c r="H658" s="327" t="str">
        <f t="shared" si="19"/>
        <v/>
      </c>
      <c r="I658" s="327" t="str">
        <f t="shared" si="20"/>
        <v/>
      </c>
      <c r="J658" s="301" t="str">
        <f t="shared" si="21"/>
        <v/>
      </c>
      <c r="K658" s="301" t="str">
        <f t="shared" si="22"/>
        <v/>
      </c>
      <c r="L658" s="344" t="str">
        <f t="array" ref="L658">IF($T658="","",LET(m,MATCH($T658,$AS$24:$AS$700,0),lvl,INDEX($W$24:$W$700,m),id,INDEX($X$24:$X$700,m),SWITCH(lvl,3,"Lớp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8" s="351" t="str">
        <f t="shared" si="23"/>
        <v/>
      </c>
      <c r="N658" s="356" t="str">
        <f t="shared" si="24"/>
        <v/>
      </c>
      <c r="O658" s="358"/>
      <c r="P658" s="360"/>
      <c r="Q658" s="360"/>
      <c r="R658" s="67"/>
      <c r="S658" s="67"/>
      <c r="T658" s="67"/>
      <c r="U658" s="389" t="str">
        <f>IF('Lớp 6 - Chi tiết'!I220="","",'Lớp 6 - Chi tiết'!L220&amp;"|"&amp;'Lớp 6 - Chi tiết'!K220&amp;"|"&amp;'Lớp 6 - Chi tiết'!J220&amp;"|"&amp;'Lớp 6 - Chi tiết'!I220)</f>
        <v/>
      </c>
      <c r="V658" s="389" t="str">
        <f>IF('Lớp 6 - Chi tiết'!I220="","","           └─ "&amp;'Lớp 6 - Chi tiết'!S220)</f>
        <v/>
      </c>
      <c r="W658" s="389" t="str">
        <f>IF('Lớp 6 - Chi tiết'!I220="","",6)</f>
        <v/>
      </c>
      <c r="X658" s="67" t="str">
        <f>'Lớp 6 - Chi tiết'!I220</f>
        <v/>
      </c>
      <c r="Y658" s="389" t="str">
        <f>'Lớp 6 - Chi tiết'!J220</f>
        <v/>
      </c>
      <c r="Z658" s="67" t="str">
        <f>'Lớp 6 - Chi tiết'!AC220</f>
        <v/>
      </c>
      <c r="AA658" s="67" t="str">
        <f>'Lớp 6 - Chi tiết'!AB220</f>
        <v/>
      </c>
      <c r="AB658" s="67" t="str">
        <f>'Lớp 6 - Chi tiết'!AF220</f>
        <v/>
      </c>
      <c r="AC658" s="67" t="str">
        <f>'Lớp 6 - Chi tiết'!AE220</f>
        <v/>
      </c>
      <c r="AD658" s="398" t="str">
        <f>'Lớp 6 - Chi tiết'!AJ220</f>
        <v/>
      </c>
      <c r="AE658" s="358" t="str">
        <f>'Lớp 6 - Chi tiết'!AH220</f>
        <v/>
      </c>
      <c r="AF658" s="187" t="str">
        <f>'Lớp 6 - Chi tiết'!AK220</f>
        <v/>
      </c>
      <c r="AG658" s="104" t="str">
        <f>'Lớp 6 - Chi tiết'!AL220</f>
        <v/>
      </c>
      <c r="AH658" s="389" t="str">
        <f t="shared" si="27"/>
        <v/>
      </c>
      <c r="AI658" s="389" t="str">
        <f t="shared" si="37"/>
        <v>🔵 Chưa có hạn</v>
      </c>
      <c r="AJ658" s="67" t="str">
        <f>'Lớp 6 - Chi tiết'!AO220</f>
        <v/>
      </c>
      <c r="AS658" s="389" t="str">
        <f t="shared" si="467"/>
        <v/>
      </c>
      <c r="AT658" s="389" t="str">
        <f t="shared" si="32"/>
        <v/>
      </c>
      <c r="AU658" s="389" t="str">
        <f t="shared" si="33"/>
        <v/>
      </c>
      <c r="AV658" s="389" t="str">
        <f t="shared" si="34"/>
        <v/>
      </c>
      <c r="AW658" s="389" t="str">
        <f t="shared" si="35"/>
        <v/>
      </c>
      <c r="AX658" s="67" t="str">
        <f t="shared" ref="AX658:BH658" si="673">Z658</f>
        <v/>
      </c>
      <c r="AY658" s="67" t="str">
        <f t="shared" si="673"/>
        <v/>
      </c>
      <c r="AZ658" s="67" t="str">
        <f t="shared" si="673"/>
        <v/>
      </c>
      <c r="BA658" s="67" t="str">
        <f t="shared" si="673"/>
        <v/>
      </c>
      <c r="BB658" s="398" t="str">
        <f t="shared" si="673"/>
        <v/>
      </c>
      <c r="BC658" s="358" t="str">
        <f t="shared" si="673"/>
        <v/>
      </c>
      <c r="BD658" s="187" t="str">
        <f t="shared" si="673"/>
        <v/>
      </c>
      <c r="BE658" s="104" t="str">
        <f t="shared" si="673"/>
        <v/>
      </c>
      <c r="BF658" s="389" t="str">
        <f t="shared" si="673"/>
        <v/>
      </c>
      <c r="BG658" s="389" t="str">
        <f t="shared" si="673"/>
        <v>🔵 Chưa có hạn</v>
      </c>
      <c r="BH658" s="67" t="str">
        <f t="shared" si="673"/>
        <v/>
      </c>
      <c r="BI658" s="389" t="str">
        <f t="array" ref="BI658">IF($X658="","",SWITCH($W658,3,IFERROR(INDEX('Lớp 3 - Công việc chính'!$AF$14:$AF$73,MATCH($X658,'Lớp 3 - Công việc chính'!$I$14:$I$73,0)),""),4,IFERROR(INDEX('Lớp 4 - Danh mục'!$AI$14:$AI$132,MATCH($X658,'Lớp 4 - Danh mục'!$I$14:$I$132,0)),""),5,IFERROR(INDEX('Lớp 5 - Phân công'!$AJ$14:$AJ$262,MATCH($X658,'Lớp 5 - Phân công'!$I$14:$I$262,0)),""),6,IFERROR(INDEX('Lớp 6 - Chi tiết'!$AM$14:$AM$267,MATCH($X658,'Lớp 6 - Chi tiết'!$I$14:$I$267,0)),""),""))</f>
        <v/>
      </c>
      <c r="BJ658" s="389" t="str">
        <f t="array" ref="BJ658">IF($X658="","",SWITCH($W658,3,IFERROR(INDEX('Lớp 3 - Công việc chính'!$AR$14:$AR$73,MATCH($X658,'Lớp 3 - Công việc chính'!$I$14:$I$73,0)),""),4,IFERROR(INDEX('Lớp 4 - Danh mục'!$AU$14:$AU$132,MATCH($X658,'Lớp 4 - Danh mục'!$I$14:$I$132,0)),""),5,IFERROR(INDEX('Lớp 5 - Phân công'!$AV$14:$AV$262,MATCH($X658,'Lớp 5 - Phân công'!$I$14:$I$262,0)),""),6,IFERROR(INDEX('Lớp 6 - Chi tiết'!$AY$14:$AY$267,MATCH($X658,'Lớp 6 - Chi tiết'!$I$14:$I$267,0)),""),""))</f>
        <v/>
      </c>
    </row>
    <row r="659" ht="15.75" customHeight="1">
      <c r="A659" s="294" t="str">
        <f t="shared" si="12"/>
        <v/>
      </c>
      <c r="B659" s="301" t="str">
        <f t="shared" si="13"/>
        <v/>
      </c>
      <c r="C659" s="301" t="str">
        <f t="shared" si="14"/>
        <v/>
      </c>
      <c r="D659" s="301" t="str">
        <f t="shared" si="15"/>
        <v/>
      </c>
      <c r="E659" s="301" t="str">
        <f t="shared" si="16"/>
        <v/>
      </c>
      <c r="F659" s="317" t="str">
        <f t="shared" si="17"/>
        <v/>
      </c>
      <c r="G659" s="323" t="str">
        <f t="shared" si="18"/>
        <v/>
      </c>
      <c r="H659" s="327" t="str">
        <f t="shared" si="19"/>
        <v/>
      </c>
      <c r="I659" s="327" t="str">
        <f t="shared" si="20"/>
        <v/>
      </c>
      <c r="J659" s="301" t="str">
        <f t="shared" si="21"/>
        <v/>
      </c>
      <c r="K659" s="301" t="str">
        <f t="shared" si="22"/>
        <v/>
      </c>
      <c r="L659" s="344" t="str">
        <f t="array" ref="L659">IF($T659="","",LET(m,MATCH($T659,$AS$24:$AS$700,0),lvl,INDEX($W$24:$W$700,m),id,INDEX($X$24:$X$700,m),SWITCH(lvl,3,"Lớp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59" s="351" t="str">
        <f t="shared" si="23"/>
        <v/>
      </c>
      <c r="N659" s="356" t="str">
        <f t="shared" si="24"/>
        <v/>
      </c>
      <c r="O659" s="358"/>
      <c r="P659" s="360"/>
      <c r="Q659" s="360"/>
      <c r="R659" s="67"/>
      <c r="S659" s="67"/>
      <c r="T659" s="67"/>
      <c r="U659" s="389" t="str">
        <f>IF('Lớp 6 - Chi tiết'!I221="","",'Lớp 6 - Chi tiết'!L221&amp;"|"&amp;'Lớp 6 - Chi tiết'!K221&amp;"|"&amp;'Lớp 6 - Chi tiết'!J221&amp;"|"&amp;'Lớp 6 - Chi tiết'!I221)</f>
        <v/>
      </c>
      <c r="V659" s="389" t="str">
        <f>IF('Lớp 6 - Chi tiết'!I221="","","           └─ "&amp;'Lớp 6 - Chi tiết'!S221)</f>
        <v/>
      </c>
      <c r="W659" s="389" t="str">
        <f>IF('Lớp 6 - Chi tiết'!I221="","",6)</f>
        <v/>
      </c>
      <c r="X659" s="67" t="str">
        <f>'Lớp 6 - Chi tiết'!I221</f>
        <v/>
      </c>
      <c r="Y659" s="389" t="str">
        <f>'Lớp 6 - Chi tiết'!J221</f>
        <v/>
      </c>
      <c r="Z659" s="67" t="str">
        <f>'Lớp 6 - Chi tiết'!AC221</f>
        <v/>
      </c>
      <c r="AA659" s="67" t="str">
        <f>'Lớp 6 - Chi tiết'!AB221</f>
        <v/>
      </c>
      <c r="AB659" s="67" t="str">
        <f>'Lớp 6 - Chi tiết'!AF221</f>
        <v/>
      </c>
      <c r="AC659" s="67" t="str">
        <f>'Lớp 6 - Chi tiết'!AE221</f>
        <v/>
      </c>
      <c r="AD659" s="398" t="str">
        <f>'Lớp 6 - Chi tiết'!AJ221</f>
        <v/>
      </c>
      <c r="AE659" s="358" t="str">
        <f>'Lớp 6 - Chi tiết'!AH221</f>
        <v/>
      </c>
      <c r="AF659" s="187" t="str">
        <f>'Lớp 6 - Chi tiết'!AK221</f>
        <v/>
      </c>
      <c r="AG659" s="104" t="str">
        <f>'Lớp 6 - Chi tiết'!AL221</f>
        <v/>
      </c>
      <c r="AH659" s="389" t="str">
        <f t="shared" si="27"/>
        <v/>
      </c>
      <c r="AI659" s="389" t="str">
        <f t="shared" si="37"/>
        <v>🔵 Chưa có hạn</v>
      </c>
      <c r="AJ659" s="67" t="str">
        <f>'Lớp 6 - Chi tiết'!AO221</f>
        <v/>
      </c>
      <c r="AS659" s="389" t="str">
        <f t="shared" si="467"/>
        <v/>
      </c>
      <c r="AT659" s="389" t="str">
        <f t="shared" si="32"/>
        <v/>
      </c>
      <c r="AU659" s="389" t="str">
        <f t="shared" si="33"/>
        <v/>
      </c>
      <c r="AV659" s="389" t="str">
        <f t="shared" si="34"/>
        <v/>
      </c>
      <c r="AW659" s="389" t="str">
        <f t="shared" si="35"/>
        <v/>
      </c>
      <c r="AX659" s="67" t="str">
        <f t="shared" ref="AX659:BH659" si="674">Z659</f>
        <v/>
      </c>
      <c r="AY659" s="67" t="str">
        <f t="shared" si="674"/>
        <v/>
      </c>
      <c r="AZ659" s="67" t="str">
        <f t="shared" si="674"/>
        <v/>
      </c>
      <c r="BA659" s="67" t="str">
        <f t="shared" si="674"/>
        <v/>
      </c>
      <c r="BB659" s="398" t="str">
        <f t="shared" si="674"/>
        <v/>
      </c>
      <c r="BC659" s="358" t="str">
        <f t="shared" si="674"/>
        <v/>
      </c>
      <c r="BD659" s="187" t="str">
        <f t="shared" si="674"/>
        <v/>
      </c>
      <c r="BE659" s="104" t="str">
        <f t="shared" si="674"/>
        <v/>
      </c>
      <c r="BF659" s="389" t="str">
        <f t="shared" si="674"/>
        <v/>
      </c>
      <c r="BG659" s="389" t="str">
        <f t="shared" si="674"/>
        <v>🔵 Chưa có hạn</v>
      </c>
      <c r="BH659" s="67" t="str">
        <f t="shared" si="674"/>
        <v/>
      </c>
      <c r="BI659" s="389" t="str">
        <f t="array" ref="BI659">IF($X659="","",SWITCH($W659,3,IFERROR(INDEX('Lớp 3 - Công việc chính'!$AF$14:$AF$73,MATCH($X659,'Lớp 3 - Công việc chính'!$I$14:$I$73,0)),""),4,IFERROR(INDEX('Lớp 4 - Danh mục'!$AI$14:$AI$132,MATCH($X659,'Lớp 4 - Danh mục'!$I$14:$I$132,0)),""),5,IFERROR(INDEX('Lớp 5 - Phân công'!$AJ$14:$AJ$262,MATCH($X659,'Lớp 5 - Phân công'!$I$14:$I$262,0)),""),6,IFERROR(INDEX('Lớp 6 - Chi tiết'!$AM$14:$AM$267,MATCH($X659,'Lớp 6 - Chi tiết'!$I$14:$I$267,0)),""),""))</f>
        <v/>
      </c>
      <c r="BJ659" s="389" t="str">
        <f t="array" ref="BJ659">IF($X659="","",SWITCH($W659,3,IFERROR(INDEX('Lớp 3 - Công việc chính'!$AR$14:$AR$73,MATCH($X659,'Lớp 3 - Công việc chính'!$I$14:$I$73,0)),""),4,IFERROR(INDEX('Lớp 4 - Danh mục'!$AU$14:$AU$132,MATCH($X659,'Lớp 4 - Danh mục'!$I$14:$I$132,0)),""),5,IFERROR(INDEX('Lớp 5 - Phân công'!$AV$14:$AV$262,MATCH($X659,'Lớp 5 - Phân công'!$I$14:$I$262,0)),""),6,IFERROR(INDEX('Lớp 6 - Chi tiết'!$AY$14:$AY$267,MATCH($X659,'Lớp 6 - Chi tiết'!$I$14:$I$267,0)),""),""))</f>
        <v/>
      </c>
    </row>
    <row r="660" ht="15.75" customHeight="1">
      <c r="A660" s="294" t="str">
        <f t="shared" si="12"/>
        <v/>
      </c>
      <c r="B660" s="301" t="str">
        <f t="shared" si="13"/>
        <v/>
      </c>
      <c r="C660" s="301" t="str">
        <f t="shared" si="14"/>
        <v/>
      </c>
      <c r="D660" s="301" t="str">
        <f t="shared" si="15"/>
        <v/>
      </c>
      <c r="E660" s="301" t="str">
        <f t="shared" si="16"/>
        <v/>
      </c>
      <c r="F660" s="317" t="str">
        <f t="shared" si="17"/>
        <v/>
      </c>
      <c r="G660" s="323" t="str">
        <f t="shared" si="18"/>
        <v/>
      </c>
      <c r="H660" s="327" t="str">
        <f t="shared" si="19"/>
        <v/>
      </c>
      <c r="I660" s="327" t="str">
        <f t="shared" si="20"/>
        <v/>
      </c>
      <c r="J660" s="301" t="str">
        <f t="shared" si="21"/>
        <v/>
      </c>
      <c r="K660" s="301" t="str">
        <f t="shared" si="22"/>
        <v/>
      </c>
      <c r="L660" s="344" t="str">
        <f t="array" ref="L660">IF($T660="","",LET(m,MATCH($T660,$AS$24:$AS$700,0),lvl,INDEX($W$24:$W$700,m),id,INDEX($X$24:$X$700,m),SWITCH(lvl,3,"Lớp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0" s="351" t="str">
        <f t="shared" si="23"/>
        <v/>
      </c>
      <c r="N660" s="356" t="str">
        <f t="shared" si="24"/>
        <v/>
      </c>
      <c r="O660" s="358"/>
      <c r="P660" s="360"/>
      <c r="Q660" s="360"/>
      <c r="R660" s="67"/>
      <c r="S660" s="67"/>
      <c r="T660" s="67"/>
      <c r="U660" s="389" t="str">
        <f>IF('Lớp 6 - Chi tiết'!I222="","",'Lớp 6 - Chi tiết'!L222&amp;"|"&amp;'Lớp 6 - Chi tiết'!K222&amp;"|"&amp;'Lớp 6 - Chi tiết'!J222&amp;"|"&amp;'Lớp 6 - Chi tiết'!I222)</f>
        <v/>
      </c>
      <c r="V660" s="389" t="str">
        <f>IF('Lớp 6 - Chi tiết'!I222="","","           └─ "&amp;'Lớp 6 - Chi tiết'!S222)</f>
        <v/>
      </c>
      <c r="W660" s="389" t="str">
        <f>IF('Lớp 6 - Chi tiết'!I222="","",6)</f>
        <v/>
      </c>
      <c r="X660" s="67" t="str">
        <f>'Lớp 6 - Chi tiết'!I222</f>
        <v/>
      </c>
      <c r="Y660" s="389" t="str">
        <f>'Lớp 6 - Chi tiết'!J222</f>
        <v/>
      </c>
      <c r="Z660" s="67" t="str">
        <f>'Lớp 6 - Chi tiết'!AC222</f>
        <v/>
      </c>
      <c r="AA660" s="67" t="str">
        <f>'Lớp 6 - Chi tiết'!AB222</f>
        <v/>
      </c>
      <c r="AB660" s="67" t="str">
        <f>'Lớp 6 - Chi tiết'!AF222</f>
        <v/>
      </c>
      <c r="AC660" s="67" t="str">
        <f>'Lớp 6 - Chi tiết'!AE222</f>
        <v/>
      </c>
      <c r="AD660" s="398" t="str">
        <f>'Lớp 6 - Chi tiết'!AJ222</f>
        <v/>
      </c>
      <c r="AE660" s="358" t="str">
        <f>'Lớp 6 - Chi tiết'!AH222</f>
        <v/>
      </c>
      <c r="AF660" s="187" t="str">
        <f>'Lớp 6 - Chi tiết'!AK222</f>
        <v/>
      </c>
      <c r="AG660" s="104" t="str">
        <f>'Lớp 6 - Chi tiết'!AL222</f>
        <v/>
      </c>
      <c r="AH660" s="389" t="str">
        <f t="shared" si="27"/>
        <v/>
      </c>
      <c r="AI660" s="389" t="str">
        <f t="shared" si="37"/>
        <v>🔵 Chưa có hạn</v>
      </c>
      <c r="AJ660" s="67" t="str">
        <f>'Lớp 6 - Chi tiết'!AO222</f>
        <v/>
      </c>
      <c r="AS660" s="389" t="str">
        <f t="shared" si="467"/>
        <v/>
      </c>
      <c r="AT660" s="389" t="str">
        <f t="shared" si="32"/>
        <v/>
      </c>
      <c r="AU660" s="389" t="str">
        <f t="shared" si="33"/>
        <v/>
      </c>
      <c r="AV660" s="389" t="str">
        <f t="shared" si="34"/>
        <v/>
      </c>
      <c r="AW660" s="389" t="str">
        <f t="shared" si="35"/>
        <v/>
      </c>
      <c r="AX660" s="67" t="str">
        <f t="shared" ref="AX660:BH660" si="675">Z660</f>
        <v/>
      </c>
      <c r="AY660" s="67" t="str">
        <f t="shared" si="675"/>
        <v/>
      </c>
      <c r="AZ660" s="67" t="str">
        <f t="shared" si="675"/>
        <v/>
      </c>
      <c r="BA660" s="67" t="str">
        <f t="shared" si="675"/>
        <v/>
      </c>
      <c r="BB660" s="398" t="str">
        <f t="shared" si="675"/>
        <v/>
      </c>
      <c r="BC660" s="358" t="str">
        <f t="shared" si="675"/>
        <v/>
      </c>
      <c r="BD660" s="187" t="str">
        <f t="shared" si="675"/>
        <v/>
      </c>
      <c r="BE660" s="104" t="str">
        <f t="shared" si="675"/>
        <v/>
      </c>
      <c r="BF660" s="389" t="str">
        <f t="shared" si="675"/>
        <v/>
      </c>
      <c r="BG660" s="389" t="str">
        <f t="shared" si="675"/>
        <v>🔵 Chưa có hạn</v>
      </c>
      <c r="BH660" s="67" t="str">
        <f t="shared" si="675"/>
        <v/>
      </c>
      <c r="BI660" s="389" t="str">
        <f t="array" ref="BI660">IF($X660="","",SWITCH($W660,3,IFERROR(INDEX('Lớp 3 - Công việc chính'!$AF$14:$AF$73,MATCH($X660,'Lớp 3 - Công việc chính'!$I$14:$I$73,0)),""),4,IFERROR(INDEX('Lớp 4 - Danh mục'!$AI$14:$AI$132,MATCH($X660,'Lớp 4 - Danh mục'!$I$14:$I$132,0)),""),5,IFERROR(INDEX('Lớp 5 - Phân công'!$AJ$14:$AJ$262,MATCH($X660,'Lớp 5 - Phân công'!$I$14:$I$262,0)),""),6,IFERROR(INDEX('Lớp 6 - Chi tiết'!$AM$14:$AM$267,MATCH($X660,'Lớp 6 - Chi tiết'!$I$14:$I$267,0)),""),""))</f>
        <v/>
      </c>
      <c r="BJ660" s="389" t="str">
        <f t="array" ref="BJ660">IF($X660="","",SWITCH($W660,3,IFERROR(INDEX('Lớp 3 - Công việc chính'!$AR$14:$AR$73,MATCH($X660,'Lớp 3 - Công việc chính'!$I$14:$I$73,0)),""),4,IFERROR(INDEX('Lớp 4 - Danh mục'!$AU$14:$AU$132,MATCH($X660,'Lớp 4 - Danh mục'!$I$14:$I$132,0)),""),5,IFERROR(INDEX('Lớp 5 - Phân công'!$AV$14:$AV$262,MATCH($X660,'Lớp 5 - Phân công'!$I$14:$I$262,0)),""),6,IFERROR(INDEX('Lớp 6 - Chi tiết'!$AY$14:$AY$267,MATCH($X660,'Lớp 6 - Chi tiết'!$I$14:$I$267,0)),""),""))</f>
        <v/>
      </c>
    </row>
    <row r="661" ht="15.75" customHeight="1">
      <c r="A661" s="294" t="str">
        <f t="shared" si="12"/>
        <v/>
      </c>
      <c r="B661" s="301" t="str">
        <f t="shared" si="13"/>
        <v/>
      </c>
      <c r="C661" s="301" t="str">
        <f t="shared" si="14"/>
        <v/>
      </c>
      <c r="D661" s="301" t="str">
        <f t="shared" si="15"/>
        <v/>
      </c>
      <c r="E661" s="301" t="str">
        <f t="shared" si="16"/>
        <v/>
      </c>
      <c r="F661" s="317" t="str">
        <f t="shared" si="17"/>
        <v/>
      </c>
      <c r="G661" s="323" t="str">
        <f t="shared" si="18"/>
        <v/>
      </c>
      <c r="H661" s="327" t="str">
        <f t="shared" si="19"/>
        <v/>
      </c>
      <c r="I661" s="327" t="str">
        <f t="shared" si="20"/>
        <v/>
      </c>
      <c r="J661" s="301" t="str">
        <f t="shared" si="21"/>
        <v/>
      </c>
      <c r="K661" s="301" t="str">
        <f t="shared" si="22"/>
        <v/>
      </c>
      <c r="L661" s="344" t="str">
        <f t="array" ref="L661">IF($T661="","",LET(m,MATCH($T661,$AS$24:$AS$700,0),lvl,INDEX($W$24:$W$700,m),id,INDEX($X$24:$X$700,m),SWITCH(lvl,3,"Lớp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1" s="351" t="str">
        <f t="shared" si="23"/>
        <v/>
      </c>
      <c r="N661" s="356" t="str">
        <f t="shared" si="24"/>
        <v/>
      </c>
      <c r="O661" s="358"/>
      <c r="P661" s="360"/>
      <c r="Q661" s="360"/>
      <c r="R661" s="67"/>
      <c r="S661" s="67"/>
      <c r="T661" s="67"/>
      <c r="U661" s="389" t="str">
        <f>IF('Lớp 6 - Chi tiết'!I223="","",'Lớp 6 - Chi tiết'!L223&amp;"|"&amp;'Lớp 6 - Chi tiết'!K223&amp;"|"&amp;'Lớp 6 - Chi tiết'!J223&amp;"|"&amp;'Lớp 6 - Chi tiết'!I223)</f>
        <v/>
      </c>
      <c r="V661" s="389" t="str">
        <f>IF('Lớp 6 - Chi tiết'!I223="","","           └─ "&amp;'Lớp 6 - Chi tiết'!S223)</f>
        <v/>
      </c>
      <c r="W661" s="389" t="str">
        <f>IF('Lớp 6 - Chi tiết'!I223="","",6)</f>
        <v/>
      </c>
      <c r="X661" s="67" t="str">
        <f>'Lớp 6 - Chi tiết'!I223</f>
        <v/>
      </c>
      <c r="Y661" s="389" t="str">
        <f>'Lớp 6 - Chi tiết'!J223</f>
        <v/>
      </c>
      <c r="Z661" s="67" t="str">
        <f>'Lớp 6 - Chi tiết'!AC223</f>
        <v/>
      </c>
      <c r="AA661" s="67" t="str">
        <f>'Lớp 6 - Chi tiết'!AB223</f>
        <v/>
      </c>
      <c r="AB661" s="67" t="str">
        <f>'Lớp 6 - Chi tiết'!AF223</f>
        <v/>
      </c>
      <c r="AC661" s="67" t="str">
        <f>'Lớp 6 - Chi tiết'!AE223</f>
        <v/>
      </c>
      <c r="AD661" s="398" t="str">
        <f>'Lớp 6 - Chi tiết'!AJ223</f>
        <v/>
      </c>
      <c r="AE661" s="358" t="str">
        <f>'Lớp 6 - Chi tiết'!AH223</f>
        <v/>
      </c>
      <c r="AF661" s="187" t="str">
        <f>'Lớp 6 - Chi tiết'!AK223</f>
        <v/>
      </c>
      <c r="AG661" s="104" t="str">
        <f>'Lớp 6 - Chi tiết'!AL223</f>
        <v/>
      </c>
      <c r="AH661" s="389" t="str">
        <f t="shared" si="27"/>
        <v/>
      </c>
      <c r="AI661" s="389" t="str">
        <f t="shared" si="37"/>
        <v>🔵 Chưa có hạn</v>
      </c>
      <c r="AJ661" s="67" t="str">
        <f>'Lớp 6 - Chi tiết'!AO223</f>
        <v/>
      </c>
      <c r="AS661" s="389" t="str">
        <f t="shared" si="467"/>
        <v/>
      </c>
      <c r="AT661" s="389" t="str">
        <f t="shared" si="32"/>
        <v/>
      </c>
      <c r="AU661" s="389" t="str">
        <f t="shared" si="33"/>
        <v/>
      </c>
      <c r="AV661" s="389" t="str">
        <f t="shared" si="34"/>
        <v/>
      </c>
      <c r="AW661" s="389" t="str">
        <f t="shared" si="35"/>
        <v/>
      </c>
      <c r="AX661" s="67" t="str">
        <f t="shared" ref="AX661:BH661" si="676">Z661</f>
        <v/>
      </c>
      <c r="AY661" s="67" t="str">
        <f t="shared" si="676"/>
        <v/>
      </c>
      <c r="AZ661" s="67" t="str">
        <f t="shared" si="676"/>
        <v/>
      </c>
      <c r="BA661" s="67" t="str">
        <f t="shared" si="676"/>
        <v/>
      </c>
      <c r="BB661" s="398" t="str">
        <f t="shared" si="676"/>
        <v/>
      </c>
      <c r="BC661" s="358" t="str">
        <f t="shared" si="676"/>
        <v/>
      </c>
      <c r="BD661" s="187" t="str">
        <f t="shared" si="676"/>
        <v/>
      </c>
      <c r="BE661" s="104" t="str">
        <f t="shared" si="676"/>
        <v/>
      </c>
      <c r="BF661" s="389" t="str">
        <f t="shared" si="676"/>
        <v/>
      </c>
      <c r="BG661" s="389" t="str">
        <f t="shared" si="676"/>
        <v>🔵 Chưa có hạn</v>
      </c>
      <c r="BH661" s="67" t="str">
        <f t="shared" si="676"/>
        <v/>
      </c>
      <c r="BI661" s="389" t="str">
        <f t="array" ref="BI661">IF($X661="","",SWITCH($W661,3,IFERROR(INDEX('Lớp 3 - Công việc chính'!$AF$14:$AF$73,MATCH($X661,'Lớp 3 - Công việc chính'!$I$14:$I$73,0)),""),4,IFERROR(INDEX('Lớp 4 - Danh mục'!$AI$14:$AI$132,MATCH($X661,'Lớp 4 - Danh mục'!$I$14:$I$132,0)),""),5,IFERROR(INDEX('Lớp 5 - Phân công'!$AJ$14:$AJ$262,MATCH($X661,'Lớp 5 - Phân công'!$I$14:$I$262,0)),""),6,IFERROR(INDEX('Lớp 6 - Chi tiết'!$AM$14:$AM$267,MATCH($X661,'Lớp 6 - Chi tiết'!$I$14:$I$267,0)),""),""))</f>
        <v/>
      </c>
      <c r="BJ661" s="389" t="str">
        <f t="array" ref="BJ661">IF($X661="","",SWITCH($W661,3,IFERROR(INDEX('Lớp 3 - Công việc chính'!$AR$14:$AR$73,MATCH($X661,'Lớp 3 - Công việc chính'!$I$14:$I$73,0)),""),4,IFERROR(INDEX('Lớp 4 - Danh mục'!$AU$14:$AU$132,MATCH($X661,'Lớp 4 - Danh mục'!$I$14:$I$132,0)),""),5,IFERROR(INDEX('Lớp 5 - Phân công'!$AV$14:$AV$262,MATCH($X661,'Lớp 5 - Phân công'!$I$14:$I$262,0)),""),6,IFERROR(INDEX('Lớp 6 - Chi tiết'!$AY$14:$AY$267,MATCH($X661,'Lớp 6 - Chi tiết'!$I$14:$I$267,0)),""),""))</f>
        <v/>
      </c>
    </row>
    <row r="662" ht="15.75" customHeight="1">
      <c r="A662" s="294" t="str">
        <f t="shared" si="12"/>
        <v/>
      </c>
      <c r="B662" s="301" t="str">
        <f t="shared" si="13"/>
        <v/>
      </c>
      <c r="C662" s="301" t="str">
        <f t="shared" si="14"/>
        <v/>
      </c>
      <c r="D662" s="301" t="str">
        <f t="shared" si="15"/>
        <v/>
      </c>
      <c r="E662" s="301" t="str">
        <f t="shared" si="16"/>
        <v/>
      </c>
      <c r="F662" s="317" t="str">
        <f t="shared" si="17"/>
        <v/>
      </c>
      <c r="G662" s="323" t="str">
        <f t="shared" si="18"/>
        <v/>
      </c>
      <c r="H662" s="327" t="str">
        <f t="shared" si="19"/>
        <v/>
      </c>
      <c r="I662" s="327" t="str">
        <f t="shared" si="20"/>
        <v/>
      </c>
      <c r="J662" s="301" t="str">
        <f t="shared" si="21"/>
        <v/>
      </c>
      <c r="K662" s="301" t="str">
        <f t="shared" si="22"/>
        <v/>
      </c>
      <c r="L662" s="344" t="str">
        <f t="array" ref="L662">IF($T662="","",LET(m,MATCH($T662,$AS$24:$AS$700,0),lvl,INDEX($W$24:$W$700,m),id,INDEX($X$24:$X$700,m),SWITCH(lvl,3,"Lớp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2" s="351" t="str">
        <f t="shared" si="23"/>
        <v/>
      </c>
      <c r="N662" s="356" t="str">
        <f t="shared" si="24"/>
        <v/>
      </c>
      <c r="O662" s="358"/>
      <c r="P662" s="360"/>
      <c r="Q662" s="360"/>
      <c r="R662" s="67"/>
      <c r="S662" s="67"/>
      <c r="T662" s="67"/>
      <c r="U662" s="389" t="str">
        <f>IF('Lớp 6 - Chi tiết'!I224="","",'Lớp 6 - Chi tiết'!L224&amp;"|"&amp;'Lớp 6 - Chi tiết'!K224&amp;"|"&amp;'Lớp 6 - Chi tiết'!J224&amp;"|"&amp;'Lớp 6 - Chi tiết'!I224)</f>
        <v/>
      </c>
      <c r="V662" s="389" t="str">
        <f>IF('Lớp 6 - Chi tiết'!I224="","","           └─ "&amp;'Lớp 6 - Chi tiết'!S224)</f>
        <v/>
      </c>
      <c r="W662" s="389" t="str">
        <f>IF('Lớp 6 - Chi tiết'!I224="","",6)</f>
        <v/>
      </c>
      <c r="X662" s="67" t="str">
        <f>'Lớp 6 - Chi tiết'!I224</f>
        <v/>
      </c>
      <c r="Y662" s="389" t="str">
        <f>'Lớp 6 - Chi tiết'!J224</f>
        <v/>
      </c>
      <c r="Z662" s="67" t="str">
        <f>'Lớp 6 - Chi tiết'!AC224</f>
        <v/>
      </c>
      <c r="AA662" s="67" t="str">
        <f>'Lớp 6 - Chi tiết'!AB224</f>
        <v/>
      </c>
      <c r="AB662" s="67" t="str">
        <f>'Lớp 6 - Chi tiết'!AF224</f>
        <v/>
      </c>
      <c r="AC662" s="67" t="str">
        <f>'Lớp 6 - Chi tiết'!AE224</f>
        <v/>
      </c>
      <c r="AD662" s="398" t="str">
        <f>'Lớp 6 - Chi tiết'!AJ224</f>
        <v/>
      </c>
      <c r="AE662" s="358" t="str">
        <f>'Lớp 6 - Chi tiết'!AH224</f>
        <v/>
      </c>
      <c r="AF662" s="187" t="str">
        <f>'Lớp 6 - Chi tiết'!AK224</f>
        <v/>
      </c>
      <c r="AG662" s="104" t="str">
        <f>'Lớp 6 - Chi tiết'!AL224</f>
        <v/>
      </c>
      <c r="AH662" s="389" t="str">
        <f t="shared" si="27"/>
        <v/>
      </c>
      <c r="AI662" s="389" t="str">
        <f t="shared" si="37"/>
        <v>🔵 Chưa có hạn</v>
      </c>
      <c r="AJ662" s="67" t="str">
        <f>'Lớp 6 - Chi tiết'!AO224</f>
        <v/>
      </c>
      <c r="AS662" s="389" t="str">
        <f t="shared" si="467"/>
        <v/>
      </c>
      <c r="AT662" s="389" t="str">
        <f t="shared" si="32"/>
        <v/>
      </c>
      <c r="AU662" s="389" t="str">
        <f t="shared" si="33"/>
        <v/>
      </c>
      <c r="AV662" s="389" t="str">
        <f t="shared" si="34"/>
        <v/>
      </c>
      <c r="AW662" s="389" t="str">
        <f t="shared" si="35"/>
        <v/>
      </c>
      <c r="AX662" s="67" t="str">
        <f t="shared" ref="AX662:BH662" si="677">Z662</f>
        <v/>
      </c>
      <c r="AY662" s="67" t="str">
        <f t="shared" si="677"/>
        <v/>
      </c>
      <c r="AZ662" s="67" t="str">
        <f t="shared" si="677"/>
        <v/>
      </c>
      <c r="BA662" s="67" t="str">
        <f t="shared" si="677"/>
        <v/>
      </c>
      <c r="BB662" s="398" t="str">
        <f t="shared" si="677"/>
        <v/>
      </c>
      <c r="BC662" s="358" t="str">
        <f t="shared" si="677"/>
        <v/>
      </c>
      <c r="BD662" s="187" t="str">
        <f t="shared" si="677"/>
        <v/>
      </c>
      <c r="BE662" s="104" t="str">
        <f t="shared" si="677"/>
        <v/>
      </c>
      <c r="BF662" s="389" t="str">
        <f t="shared" si="677"/>
        <v/>
      </c>
      <c r="BG662" s="389" t="str">
        <f t="shared" si="677"/>
        <v>🔵 Chưa có hạn</v>
      </c>
      <c r="BH662" s="67" t="str">
        <f t="shared" si="677"/>
        <v/>
      </c>
      <c r="BI662" s="389" t="str">
        <f t="array" ref="BI662">IF($X662="","",SWITCH($W662,3,IFERROR(INDEX('Lớp 3 - Công việc chính'!$AF$14:$AF$73,MATCH($X662,'Lớp 3 - Công việc chính'!$I$14:$I$73,0)),""),4,IFERROR(INDEX('Lớp 4 - Danh mục'!$AI$14:$AI$132,MATCH($X662,'Lớp 4 - Danh mục'!$I$14:$I$132,0)),""),5,IFERROR(INDEX('Lớp 5 - Phân công'!$AJ$14:$AJ$262,MATCH($X662,'Lớp 5 - Phân công'!$I$14:$I$262,0)),""),6,IFERROR(INDEX('Lớp 6 - Chi tiết'!$AM$14:$AM$267,MATCH($X662,'Lớp 6 - Chi tiết'!$I$14:$I$267,0)),""),""))</f>
        <v/>
      </c>
      <c r="BJ662" s="389" t="str">
        <f t="array" ref="BJ662">IF($X662="","",SWITCH($W662,3,IFERROR(INDEX('Lớp 3 - Công việc chính'!$AR$14:$AR$73,MATCH($X662,'Lớp 3 - Công việc chính'!$I$14:$I$73,0)),""),4,IFERROR(INDEX('Lớp 4 - Danh mục'!$AU$14:$AU$132,MATCH($X662,'Lớp 4 - Danh mục'!$I$14:$I$132,0)),""),5,IFERROR(INDEX('Lớp 5 - Phân công'!$AV$14:$AV$262,MATCH($X662,'Lớp 5 - Phân công'!$I$14:$I$262,0)),""),6,IFERROR(INDEX('Lớp 6 - Chi tiết'!$AY$14:$AY$267,MATCH($X662,'Lớp 6 - Chi tiết'!$I$14:$I$267,0)),""),""))</f>
        <v/>
      </c>
    </row>
    <row r="663" ht="15.75" customHeight="1">
      <c r="A663" s="294" t="str">
        <f t="shared" si="12"/>
        <v/>
      </c>
      <c r="B663" s="301" t="str">
        <f t="shared" si="13"/>
        <v/>
      </c>
      <c r="C663" s="301" t="str">
        <f t="shared" si="14"/>
        <v/>
      </c>
      <c r="D663" s="301" t="str">
        <f t="shared" si="15"/>
        <v/>
      </c>
      <c r="E663" s="301" t="str">
        <f t="shared" si="16"/>
        <v/>
      </c>
      <c r="F663" s="317" t="str">
        <f t="shared" si="17"/>
        <v/>
      </c>
      <c r="G663" s="323" t="str">
        <f t="shared" si="18"/>
        <v/>
      </c>
      <c r="H663" s="327" t="str">
        <f t="shared" si="19"/>
        <v/>
      </c>
      <c r="I663" s="327" t="str">
        <f t="shared" si="20"/>
        <v/>
      </c>
      <c r="J663" s="301" t="str">
        <f t="shared" si="21"/>
        <v/>
      </c>
      <c r="K663" s="301" t="str">
        <f t="shared" si="22"/>
        <v/>
      </c>
      <c r="L663" s="344" t="str">
        <f t="array" ref="L663">IF($T663="","",LET(m,MATCH($T663,$AS$24:$AS$700,0),lvl,INDEX($W$24:$W$700,m),id,INDEX($X$24:$X$700,m),SWITCH(lvl,3,"Lớp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3" s="351" t="str">
        <f t="shared" si="23"/>
        <v/>
      </c>
      <c r="N663" s="356" t="str">
        <f t="shared" si="24"/>
        <v/>
      </c>
      <c r="O663" s="358"/>
      <c r="P663" s="360"/>
      <c r="Q663" s="360"/>
      <c r="R663" s="67"/>
      <c r="S663" s="67"/>
      <c r="T663" s="67"/>
      <c r="U663" s="389" t="str">
        <f>IF('Lớp 6 - Chi tiết'!I225="","",'Lớp 6 - Chi tiết'!L225&amp;"|"&amp;'Lớp 6 - Chi tiết'!K225&amp;"|"&amp;'Lớp 6 - Chi tiết'!J225&amp;"|"&amp;'Lớp 6 - Chi tiết'!I225)</f>
        <v/>
      </c>
      <c r="V663" s="389" t="str">
        <f>IF('Lớp 6 - Chi tiết'!I225="","","           └─ "&amp;'Lớp 6 - Chi tiết'!S225)</f>
        <v/>
      </c>
      <c r="W663" s="389" t="str">
        <f>IF('Lớp 6 - Chi tiết'!I225="","",6)</f>
        <v/>
      </c>
      <c r="X663" s="67" t="str">
        <f>'Lớp 6 - Chi tiết'!I225</f>
        <v/>
      </c>
      <c r="Y663" s="389" t="str">
        <f>'Lớp 6 - Chi tiết'!J225</f>
        <v/>
      </c>
      <c r="Z663" s="67" t="str">
        <f>'Lớp 6 - Chi tiết'!AC225</f>
        <v/>
      </c>
      <c r="AA663" s="67" t="str">
        <f>'Lớp 6 - Chi tiết'!AB225</f>
        <v/>
      </c>
      <c r="AB663" s="67" t="str">
        <f>'Lớp 6 - Chi tiết'!AF225</f>
        <v/>
      </c>
      <c r="AC663" s="67" t="str">
        <f>'Lớp 6 - Chi tiết'!AE225</f>
        <v/>
      </c>
      <c r="AD663" s="398" t="str">
        <f>'Lớp 6 - Chi tiết'!AJ225</f>
        <v/>
      </c>
      <c r="AE663" s="358" t="str">
        <f>'Lớp 6 - Chi tiết'!AH225</f>
        <v/>
      </c>
      <c r="AF663" s="187" t="str">
        <f>'Lớp 6 - Chi tiết'!AK225</f>
        <v/>
      </c>
      <c r="AG663" s="104" t="str">
        <f>'Lớp 6 - Chi tiết'!AL225</f>
        <v/>
      </c>
      <c r="AH663" s="389" t="str">
        <f t="shared" si="27"/>
        <v/>
      </c>
      <c r="AI663" s="389" t="str">
        <f t="shared" si="37"/>
        <v>🔵 Chưa có hạn</v>
      </c>
      <c r="AJ663" s="67" t="str">
        <f>'Lớp 6 - Chi tiết'!AO225</f>
        <v/>
      </c>
      <c r="AS663" s="389" t="str">
        <f t="shared" si="467"/>
        <v/>
      </c>
      <c r="AT663" s="389" t="str">
        <f t="shared" si="32"/>
        <v/>
      </c>
      <c r="AU663" s="389" t="str">
        <f t="shared" si="33"/>
        <v/>
      </c>
      <c r="AV663" s="389" t="str">
        <f t="shared" si="34"/>
        <v/>
      </c>
      <c r="AW663" s="389" t="str">
        <f t="shared" si="35"/>
        <v/>
      </c>
      <c r="AX663" s="67" t="str">
        <f t="shared" ref="AX663:BH663" si="678">Z663</f>
        <v/>
      </c>
      <c r="AY663" s="67" t="str">
        <f t="shared" si="678"/>
        <v/>
      </c>
      <c r="AZ663" s="67" t="str">
        <f t="shared" si="678"/>
        <v/>
      </c>
      <c r="BA663" s="67" t="str">
        <f t="shared" si="678"/>
        <v/>
      </c>
      <c r="BB663" s="398" t="str">
        <f t="shared" si="678"/>
        <v/>
      </c>
      <c r="BC663" s="358" t="str">
        <f t="shared" si="678"/>
        <v/>
      </c>
      <c r="BD663" s="187" t="str">
        <f t="shared" si="678"/>
        <v/>
      </c>
      <c r="BE663" s="104" t="str">
        <f t="shared" si="678"/>
        <v/>
      </c>
      <c r="BF663" s="389" t="str">
        <f t="shared" si="678"/>
        <v/>
      </c>
      <c r="BG663" s="389" t="str">
        <f t="shared" si="678"/>
        <v>🔵 Chưa có hạn</v>
      </c>
      <c r="BH663" s="67" t="str">
        <f t="shared" si="678"/>
        <v/>
      </c>
      <c r="BI663" s="389" t="str">
        <f t="array" ref="BI663">IF($X663="","",SWITCH($W663,3,IFERROR(INDEX('Lớp 3 - Công việc chính'!$AF$14:$AF$73,MATCH($X663,'Lớp 3 - Công việc chính'!$I$14:$I$73,0)),""),4,IFERROR(INDEX('Lớp 4 - Danh mục'!$AI$14:$AI$132,MATCH($X663,'Lớp 4 - Danh mục'!$I$14:$I$132,0)),""),5,IFERROR(INDEX('Lớp 5 - Phân công'!$AJ$14:$AJ$262,MATCH($X663,'Lớp 5 - Phân công'!$I$14:$I$262,0)),""),6,IFERROR(INDEX('Lớp 6 - Chi tiết'!$AM$14:$AM$267,MATCH($X663,'Lớp 6 - Chi tiết'!$I$14:$I$267,0)),""),""))</f>
        <v/>
      </c>
      <c r="BJ663" s="389" t="str">
        <f t="array" ref="BJ663">IF($X663="","",SWITCH($W663,3,IFERROR(INDEX('Lớp 3 - Công việc chính'!$AR$14:$AR$73,MATCH($X663,'Lớp 3 - Công việc chính'!$I$14:$I$73,0)),""),4,IFERROR(INDEX('Lớp 4 - Danh mục'!$AU$14:$AU$132,MATCH($X663,'Lớp 4 - Danh mục'!$I$14:$I$132,0)),""),5,IFERROR(INDEX('Lớp 5 - Phân công'!$AV$14:$AV$262,MATCH($X663,'Lớp 5 - Phân công'!$I$14:$I$262,0)),""),6,IFERROR(INDEX('Lớp 6 - Chi tiết'!$AY$14:$AY$267,MATCH($X663,'Lớp 6 - Chi tiết'!$I$14:$I$267,0)),""),""))</f>
        <v/>
      </c>
    </row>
    <row r="664" ht="15.75" customHeight="1">
      <c r="A664" s="294" t="str">
        <f t="shared" si="12"/>
        <v/>
      </c>
      <c r="B664" s="301" t="str">
        <f t="shared" si="13"/>
        <v/>
      </c>
      <c r="C664" s="301" t="str">
        <f t="shared" si="14"/>
        <v/>
      </c>
      <c r="D664" s="301" t="str">
        <f t="shared" si="15"/>
        <v/>
      </c>
      <c r="E664" s="301" t="str">
        <f t="shared" si="16"/>
        <v/>
      </c>
      <c r="F664" s="317" t="str">
        <f t="shared" si="17"/>
        <v/>
      </c>
      <c r="G664" s="323" t="str">
        <f t="shared" si="18"/>
        <v/>
      </c>
      <c r="H664" s="327" t="str">
        <f t="shared" si="19"/>
        <v/>
      </c>
      <c r="I664" s="327" t="str">
        <f t="shared" si="20"/>
        <v/>
      </c>
      <c r="J664" s="301" t="str">
        <f t="shared" si="21"/>
        <v/>
      </c>
      <c r="K664" s="301" t="str">
        <f t="shared" si="22"/>
        <v/>
      </c>
      <c r="L664" s="344" t="str">
        <f t="array" ref="L664">IF($T664="","",LET(m,MATCH($T664,$AS$24:$AS$700,0),lvl,INDEX($W$24:$W$700,m),id,INDEX($X$24:$X$700,m),SWITCH(lvl,3,"Lớp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4" s="351" t="str">
        <f t="shared" si="23"/>
        <v/>
      </c>
      <c r="N664" s="356" t="str">
        <f t="shared" si="24"/>
        <v/>
      </c>
      <c r="O664" s="358"/>
      <c r="P664" s="360"/>
      <c r="Q664" s="360"/>
      <c r="R664" s="67"/>
      <c r="S664" s="67"/>
      <c r="T664" s="67"/>
      <c r="U664" s="389" t="str">
        <f>IF('Lớp 6 - Chi tiết'!I226="","",'Lớp 6 - Chi tiết'!L226&amp;"|"&amp;'Lớp 6 - Chi tiết'!K226&amp;"|"&amp;'Lớp 6 - Chi tiết'!J226&amp;"|"&amp;'Lớp 6 - Chi tiết'!I226)</f>
        <v/>
      </c>
      <c r="V664" s="389" t="str">
        <f>IF('Lớp 6 - Chi tiết'!I226="","","           └─ "&amp;'Lớp 6 - Chi tiết'!S226)</f>
        <v/>
      </c>
      <c r="W664" s="389" t="str">
        <f>IF('Lớp 6 - Chi tiết'!I226="","",6)</f>
        <v/>
      </c>
      <c r="X664" s="67" t="str">
        <f>'Lớp 6 - Chi tiết'!I226</f>
        <v/>
      </c>
      <c r="Y664" s="389" t="str">
        <f>'Lớp 6 - Chi tiết'!J226</f>
        <v/>
      </c>
      <c r="Z664" s="67" t="str">
        <f>'Lớp 6 - Chi tiết'!AC226</f>
        <v/>
      </c>
      <c r="AA664" s="67" t="str">
        <f>'Lớp 6 - Chi tiết'!AB226</f>
        <v/>
      </c>
      <c r="AB664" s="67" t="str">
        <f>'Lớp 6 - Chi tiết'!AF226</f>
        <v/>
      </c>
      <c r="AC664" s="67" t="str">
        <f>'Lớp 6 - Chi tiết'!AE226</f>
        <v/>
      </c>
      <c r="AD664" s="398" t="str">
        <f>'Lớp 6 - Chi tiết'!AJ226</f>
        <v/>
      </c>
      <c r="AE664" s="358" t="str">
        <f>'Lớp 6 - Chi tiết'!AH226</f>
        <v/>
      </c>
      <c r="AF664" s="187" t="str">
        <f>'Lớp 6 - Chi tiết'!AK226</f>
        <v/>
      </c>
      <c r="AG664" s="104" t="str">
        <f>'Lớp 6 - Chi tiết'!AL226</f>
        <v/>
      </c>
      <c r="AH664" s="389" t="str">
        <f t="shared" si="27"/>
        <v/>
      </c>
      <c r="AI664" s="389" t="str">
        <f t="shared" si="37"/>
        <v>🔵 Chưa có hạn</v>
      </c>
      <c r="AJ664" s="67" t="str">
        <f>'Lớp 6 - Chi tiết'!AO226</f>
        <v/>
      </c>
      <c r="AS664" s="389" t="str">
        <f t="shared" si="467"/>
        <v/>
      </c>
      <c r="AT664" s="389" t="str">
        <f t="shared" si="32"/>
        <v/>
      </c>
      <c r="AU664" s="389" t="str">
        <f t="shared" si="33"/>
        <v/>
      </c>
      <c r="AV664" s="389" t="str">
        <f t="shared" si="34"/>
        <v/>
      </c>
      <c r="AW664" s="389" t="str">
        <f t="shared" si="35"/>
        <v/>
      </c>
      <c r="AX664" s="67" t="str">
        <f t="shared" ref="AX664:BH664" si="679">Z664</f>
        <v/>
      </c>
      <c r="AY664" s="67" t="str">
        <f t="shared" si="679"/>
        <v/>
      </c>
      <c r="AZ664" s="67" t="str">
        <f t="shared" si="679"/>
        <v/>
      </c>
      <c r="BA664" s="67" t="str">
        <f t="shared" si="679"/>
        <v/>
      </c>
      <c r="BB664" s="398" t="str">
        <f t="shared" si="679"/>
        <v/>
      </c>
      <c r="BC664" s="358" t="str">
        <f t="shared" si="679"/>
        <v/>
      </c>
      <c r="BD664" s="187" t="str">
        <f t="shared" si="679"/>
        <v/>
      </c>
      <c r="BE664" s="104" t="str">
        <f t="shared" si="679"/>
        <v/>
      </c>
      <c r="BF664" s="389" t="str">
        <f t="shared" si="679"/>
        <v/>
      </c>
      <c r="BG664" s="389" t="str">
        <f t="shared" si="679"/>
        <v>🔵 Chưa có hạn</v>
      </c>
      <c r="BH664" s="67" t="str">
        <f t="shared" si="679"/>
        <v/>
      </c>
      <c r="BI664" s="389" t="str">
        <f t="array" ref="BI664">IF($X664="","",SWITCH($W664,3,IFERROR(INDEX('Lớp 3 - Công việc chính'!$AF$14:$AF$73,MATCH($X664,'Lớp 3 - Công việc chính'!$I$14:$I$73,0)),""),4,IFERROR(INDEX('Lớp 4 - Danh mục'!$AI$14:$AI$132,MATCH($X664,'Lớp 4 - Danh mục'!$I$14:$I$132,0)),""),5,IFERROR(INDEX('Lớp 5 - Phân công'!$AJ$14:$AJ$262,MATCH($X664,'Lớp 5 - Phân công'!$I$14:$I$262,0)),""),6,IFERROR(INDEX('Lớp 6 - Chi tiết'!$AM$14:$AM$267,MATCH($X664,'Lớp 6 - Chi tiết'!$I$14:$I$267,0)),""),""))</f>
        <v/>
      </c>
      <c r="BJ664" s="389" t="str">
        <f t="array" ref="BJ664">IF($X664="","",SWITCH($W664,3,IFERROR(INDEX('Lớp 3 - Công việc chính'!$AR$14:$AR$73,MATCH($X664,'Lớp 3 - Công việc chính'!$I$14:$I$73,0)),""),4,IFERROR(INDEX('Lớp 4 - Danh mục'!$AU$14:$AU$132,MATCH($X664,'Lớp 4 - Danh mục'!$I$14:$I$132,0)),""),5,IFERROR(INDEX('Lớp 5 - Phân công'!$AV$14:$AV$262,MATCH($X664,'Lớp 5 - Phân công'!$I$14:$I$262,0)),""),6,IFERROR(INDEX('Lớp 6 - Chi tiết'!$AY$14:$AY$267,MATCH($X664,'Lớp 6 - Chi tiết'!$I$14:$I$267,0)),""),""))</f>
        <v/>
      </c>
    </row>
    <row r="665" ht="15.75" customHeight="1">
      <c r="A665" s="294" t="str">
        <f t="shared" si="12"/>
        <v/>
      </c>
      <c r="B665" s="301" t="str">
        <f t="shared" si="13"/>
        <v/>
      </c>
      <c r="C665" s="301" t="str">
        <f t="shared" si="14"/>
        <v/>
      </c>
      <c r="D665" s="301" t="str">
        <f t="shared" si="15"/>
        <v/>
      </c>
      <c r="E665" s="301" t="str">
        <f t="shared" si="16"/>
        <v/>
      </c>
      <c r="F665" s="317" t="str">
        <f t="shared" si="17"/>
        <v/>
      </c>
      <c r="G665" s="323" t="str">
        <f t="shared" si="18"/>
        <v/>
      </c>
      <c r="H665" s="327" t="str">
        <f t="shared" si="19"/>
        <v/>
      </c>
      <c r="I665" s="327" t="str">
        <f t="shared" si="20"/>
        <v/>
      </c>
      <c r="J665" s="301" t="str">
        <f t="shared" si="21"/>
        <v/>
      </c>
      <c r="K665" s="301" t="str">
        <f t="shared" si="22"/>
        <v/>
      </c>
      <c r="L665" s="344" t="str">
        <f t="array" ref="L665">IF($T665="","",LET(m,MATCH($T665,$AS$24:$AS$700,0),lvl,INDEX($W$24:$W$700,m),id,INDEX($X$24:$X$700,m),SWITCH(lvl,3,"Lớp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5" s="351" t="str">
        <f t="shared" si="23"/>
        <v/>
      </c>
      <c r="N665" s="356" t="str">
        <f t="shared" si="24"/>
        <v/>
      </c>
      <c r="O665" s="358"/>
      <c r="P665" s="360"/>
      <c r="Q665" s="360"/>
      <c r="R665" s="67"/>
      <c r="S665" s="67"/>
      <c r="T665" s="67"/>
      <c r="U665" s="389" t="str">
        <f>IF('Lớp 6 - Chi tiết'!I227="","",'Lớp 6 - Chi tiết'!L227&amp;"|"&amp;'Lớp 6 - Chi tiết'!K227&amp;"|"&amp;'Lớp 6 - Chi tiết'!J227&amp;"|"&amp;'Lớp 6 - Chi tiết'!I227)</f>
        <v/>
      </c>
      <c r="V665" s="389" t="str">
        <f>IF('Lớp 6 - Chi tiết'!I227="","","           └─ "&amp;'Lớp 6 - Chi tiết'!S227)</f>
        <v/>
      </c>
      <c r="W665" s="389" t="str">
        <f>IF('Lớp 6 - Chi tiết'!I227="","",6)</f>
        <v/>
      </c>
      <c r="X665" s="67" t="str">
        <f>'Lớp 6 - Chi tiết'!I227</f>
        <v/>
      </c>
      <c r="Y665" s="389" t="str">
        <f>'Lớp 6 - Chi tiết'!J227</f>
        <v/>
      </c>
      <c r="Z665" s="67" t="str">
        <f>'Lớp 6 - Chi tiết'!AC227</f>
        <v/>
      </c>
      <c r="AA665" s="67" t="str">
        <f>'Lớp 6 - Chi tiết'!AB227</f>
        <v/>
      </c>
      <c r="AB665" s="67" t="str">
        <f>'Lớp 6 - Chi tiết'!AF227</f>
        <v/>
      </c>
      <c r="AC665" s="67" t="str">
        <f>'Lớp 6 - Chi tiết'!AE227</f>
        <v/>
      </c>
      <c r="AD665" s="398" t="str">
        <f>'Lớp 6 - Chi tiết'!AJ227</f>
        <v/>
      </c>
      <c r="AE665" s="358" t="str">
        <f>'Lớp 6 - Chi tiết'!AH227</f>
        <v/>
      </c>
      <c r="AF665" s="187" t="str">
        <f>'Lớp 6 - Chi tiết'!AK227</f>
        <v/>
      </c>
      <c r="AG665" s="104" t="str">
        <f>'Lớp 6 - Chi tiết'!AL227</f>
        <v/>
      </c>
      <c r="AH665" s="389" t="str">
        <f t="shared" si="27"/>
        <v/>
      </c>
      <c r="AI665" s="389" t="str">
        <f t="shared" si="37"/>
        <v>🔵 Chưa có hạn</v>
      </c>
      <c r="AJ665" s="67" t="str">
        <f>'Lớp 6 - Chi tiết'!AO227</f>
        <v/>
      </c>
      <c r="AS665" s="389" t="str">
        <f t="shared" si="467"/>
        <v/>
      </c>
      <c r="AT665" s="389" t="str">
        <f t="shared" si="32"/>
        <v/>
      </c>
      <c r="AU665" s="389" t="str">
        <f t="shared" si="33"/>
        <v/>
      </c>
      <c r="AV665" s="389" t="str">
        <f t="shared" si="34"/>
        <v/>
      </c>
      <c r="AW665" s="389" t="str">
        <f t="shared" si="35"/>
        <v/>
      </c>
      <c r="AX665" s="67" t="str">
        <f t="shared" ref="AX665:BH665" si="680">Z665</f>
        <v/>
      </c>
      <c r="AY665" s="67" t="str">
        <f t="shared" si="680"/>
        <v/>
      </c>
      <c r="AZ665" s="67" t="str">
        <f t="shared" si="680"/>
        <v/>
      </c>
      <c r="BA665" s="67" t="str">
        <f t="shared" si="680"/>
        <v/>
      </c>
      <c r="BB665" s="398" t="str">
        <f t="shared" si="680"/>
        <v/>
      </c>
      <c r="BC665" s="358" t="str">
        <f t="shared" si="680"/>
        <v/>
      </c>
      <c r="BD665" s="187" t="str">
        <f t="shared" si="680"/>
        <v/>
      </c>
      <c r="BE665" s="104" t="str">
        <f t="shared" si="680"/>
        <v/>
      </c>
      <c r="BF665" s="389" t="str">
        <f t="shared" si="680"/>
        <v/>
      </c>
      <c r="BG665" s="389" t="str">
        <f t="shared" si="680"/>
        <v>🔵 Chưa có hạn</v>
      </c>
      <c r="BH665" s="67" t="str">
        <f t="shared" si="680"/>
        <v/>
      </c>
      <c r="BI665" s="389" t="str">
        <f t="array" ref="BI665">IF($X665="","",SWITCH($W665,3,IFERROR(INDEX('Lớp 3 - Công việc chính'!$AF$14:$AF$73,MATCH($X665,'Lớp 3 - Công việc chính'!$I$14:$I$73,0)),""),4,IFERROR(INDEX('Lớp 4 - Danh mục'!$AI$14:$AI$132,MATCH($X665,'Lớp 4 - Danh mục'!$I$14:$I$132,0)),""),5,IFERROR(INDEX('Lớp 5 - Phân công'!$AJ$14:$AJ$262,MATCH($X665,'Lớp 5 - Phân công'!$I$14:$I$262,0)),""),6,IFERROR(INDEX('Lớp 6 - Chi tiết'!$AM$14:$AM$267,MATCH($X665,'Lớp 6 - Chi tiết'!$I$14:$I$267,0)),""),""))</f>
        <v/>
      </c>
      <c r="BJ665" s="389" t="str">
        <f t="array" ref="BJ665">IF($X665="","",SWITCH($W665,3,IFERROR(INDEX('Lớp 3 - Công việc chính'!$AR$14:$AR$73,MATCH($X665,'Lớp 3 - Công việc chính'!$I$14:$I$73,0)),""),4,IFERROR(INDEX('Lớp 4 - Danh mục'!$AU$14:$AU$132,MATCH($X665,'Lớp 4 - Danh mục'!$I$14:$I$132,0)),""),5,IFERROR(INDEX('Lớp 5 - Phân công'!$AV$14:$AV$262,MATCH($X665,'Lớp 5 - Phân công'!$I$14:$I$262,0)),""),6,IFERROR(INDEX('Lớp 6 - Chi tiết'!$AY$14:$AY$267,MATCH($X665,'Lớp 6 - Chi tiết'!$I$14:$I$267,0)),""),""))</f>
        <v/>
      </c>
    </row>
    <row r="666" ht="15.75" customHeight="1">
      <c r="A666" s="294" t="str">
        <f t="shared" si="12"/>
        <v/>
      </c>
      <c r="B666" s="301" t="str">
        <f t="shared" si="13"/>
        <v/>
      </c>
      <c r="C666" s="301" t="str">
        <f t="shared" si="14"/>
        <v/>
      </c>
      <c r="D666" s="301" t="str">
        <f t="shared" si="15"/>
        <v/>
      </c>
      <c r="E666" s="301" t="str">
        <f t="shared" si="16"/>
        <v/>
      </c>
      <c r="F666" s="317" t="str">
        <f t="shared" si="17"/>
        <v/>
      </c>
      <c r="G666" s="323" t="str">
        <f t="shared" si="18"/>
        <v/>
      </c>
      <c r="H666" s="327" t="str">
        <f t="shared" si="19"/>
        <v/>
      </c>
      <c r="I666" s="327" t="str">
        <f t="shared" si="20"/>
        <v/>
      </c>
      <c r="J666" s="301" t="str">
        <f t="shared" si="21"/>
        <v/>
      </c>
      <c r="K666" s="301" t="str">
        <f t="shared" si="22"/>
        <v/>
      </c>
      <c r="L666" s="344" t="str">
        <f t="array" ref="L666">IF($T666="","",LET(m,MATCH($T666,$AS$24:$AS$700,0),lvl,INDEX($W$24:$W$700,m),id,INDEX($X$24:$X$700,m),SWITCH(lvl,3,"Lớp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6" s="351" t="str">
        <f t="shared" si="23"/>
        <v/>
      </c>
      <c r="N666" s="356" t="str">
        <f t="shared" si="24"/>
        <v/>
      </c>
      <c r="O666" s="358"/>
      <c r="P666" s="360"/>
      <c r="Q666" s="360"/>
      <c r="R666" s="67"/>
      <c r="S666" s="67"/>
      <c r="T666" s="67"/>
      <c r="U666" s="389" t="str">
        <f>IF('Lớp 6 - Chi tiết'!I228="","",'Lớp 6 - Chi tiết'!L228&amp;"|"&amp;'Lớp 6 - Chi tiết'!K228&amp;"|"&amp;'Lớp 6 - Chi tiết'!J228&amp;"|"&amp;'Lớp 6 - Chi tiết'!I228)</f>
        <v/>
      </c>
      <c r="V666" s="389" t="str">
        <f>IF('Lớp 6 - Chi tiết'!I228="","","           └─ "&amp;'Lớp 6 - Chi tiết'!S228)</f>
        <v/>
      </c>
      <c r="W666" s="389" t="str">
        <f>IF('Lớp 6 - Chi tiết'!I228="","",6)</f>
        <v/>
      </c>
      <c r="X666" s="67" t="str">
        <f>'Lớp 6 - Chi tiết'!I228</f>
        <v/>
      </c>
      <c r="Y666" s="389" t="str">
        <f>'Lớp 6 - Chi tiết'!J228</f>
        <v/>
      </c>
      <c r="Z666" s="67" t="str">
        <f>'Lớp 6 - Chi tiết'!AC228</f>
        <v/>
      </c>
      <c r="AA666" s="67" t="str">
        <f>'Lớp 6 - Chi tiết'!AB228</f>
        <v/>
      </c>
      <c r="AB666" s="67" t="str">
        <f>'Lớp 6 - Chi tiết'!AF228</f>
        <v/>
      </c>
      <c r="AC666" s="67" t="str">
        <f>'Lớp 6 - Chi tiết'!AE228</f>
        <v/>
      </c>
      <c r="AD666" s="398" t="str">
        <f>'Lớp 6 - Chi tiết'!AJ228</f>
        <v/>
      </c>
      <c r="AE666" s="358" t="str">
        <f>'Lớp 6 - Chi tiết'!AH228</f>
        <v/>
      </c>
      <c r="AF666" s="187" t="str">
        <f>'Lớp 6 - Chi tiết'!AK228</f>
        <v/>
      </c>
      <c r="AG666" s="104" t="str">
        <f>'Lớp 6 - Chi tiết'!AL228</f>
        <v/>
      </c>
      <c r="AH666" s="389" t="str">
        <f t="shared" si="27"/>
        <v/>
      </c>
      <c r="AI666" s="389" t="str">
        <f t="shared" si="37"/>
        <v>🔵 Chưa có hạn</v>
      </c>
      <c r="AJ666" s="67" t="str">
        <f>'Lớp 6 - Chi tiết'!AO228</f>
        <v/>
      </c>
      <c r="AS666" s="389" t="str">
        <f t="shared" si="467"/>
        <v/>
      </c>
      <c r="AT666" s="389" t="str">
        <f t="shared" si="32"/>
        <v/>
      </c>
      <c r="AU666" s="389" t="str">
        <f t="shared" si="33"/>
        <v/>
      </c>
      <c r="AV666" s="389" t="str">
        <f t="shared" si="34"/>
        <v/>
      </c>
      <c r="AW666" s="389" t="str">
        <f t="shared" si="35"/>
        <v/>
      </c>
      <c r="AX666" s="67" t="str">
        <f t="shared" ref="AX666:BH666" si="681">Z666</f>
        <v/>
      </c>
      <c r="AY666" s="67" t="str">
        <f t="shared" si="681"/>
        <v/>
      </c>
      <c r="AZ666" s="67" t="str">
        <f t="shared" si="681"/>
        <v/>
      </c>
      <c r="BA666" s="67" t="str">
        <f t="shared" si="681"/>
        <v/>
      </c>
      <c r="BB666" s="398" t="str">
        <f t="shared" si="681"/>
        <v/>
      </c>
      <c r="BC666" s="358" t="str">
        <f t="shared" si="681"/>
        <v/>
      </c>
      <c r="BD666" s="187" t="str">
        <f t="shared" si="681"/>
        <v/>
      </c>
      <c r="BE666" s="104" t="str">
        <f t="shared" si="681"/>
        <v/>
      </c>
      <c r="BF666" s="389" t="str">
        <f t="shared" si="681"/>
        <v/>
      </c>
      <c r="BG666" s="389" t="str">
        <f t="shared" si="681"/>
        <v>🔵 Chưa có hạn</v>
      </c>
      <c r="BH666" s="67" t="str">
        <f t="shared" si="681"/>
        <v/>
      </c>
      <c r="BI666" s="389" t="str">
        <f t="array" ref="BI666">IF($X666="","",SWITCH($W666,3,IFERROR(INDEX('Lớp 3 - Công việc chính'!$AF$14:$AF$73,MATCH($X666,'Lớp 3 - Công việc chính'!$I$14:$I$73,0)),""),4,IFERROR(INDEX('Lớp 4 - Danh mục'!$AI$14:$AI$132,MATCH($X666,'Lớp 4 - Danh mục'!$I$14:$I$132,0)),""),5,IFERROR(INDEX('Lớp 5 - Phân công'!$AJ$14:$AJ$262,MATCH($X666,'Lớp 5 - Phân công'!$I$14:$I$262,0)),""),6,IFERROR(INDEX('Lớp 6 - Chi tiết'!$AM$14:$AM$267,MATCH($X666,'Lớp 6 - Chi tiết'!$I$14:$I$267,0)),""),""))</f>
        <v/>
      </c>
      <c r="BJ666" s="389" t="str">
        <f t="array" ref="BJ666">IF($X666="","",SWITCH($W666,3,IFERROR(INDEX('Lớp 3 - Công việc chính'!$AR$14:$AR$73,MATCH($X666,'Lớp 3 - Công việc chính'!$I$14:$I$73,0)),""),4,IFERROR(INDEX('Lớp 4 - Danh mục'!$AU$14:$AU$132,MATCH($X666,'Lớp 4 - Danh mục'!$I$14:$I$132,0)),""),5,IFERROR(INDEX('Lớp 5 - Phân công'!$AV$14:$AV$262,MATCH($X666,'Lớp 5 - Phân công'!$I$14:$I$262,0)),""),6,IFERROR(INDEX('Lớp 6 - Chi tiết'!$AY$14:$AY$267,MATCH($X666,'Lớp 6 - Chi tiết'!$I$14:$I$267,0)),""),""))</f>
        <v/>
      </c>
    </row>
    <row r="667" ht="15.75" customHeight="1">
      <c r="A667" s="294" t="str">
        <f t="shared" si="12"/>
        <v/>
      </c>
      <c r="B667" s="301" t="str">
        <f t="shared" si="13"/>
        <v/>
      </c>
      <c r="C667" s="301" t="str">
        <f t="shared" si="14"/>
        <v/>
      </c>
      <c r="D667" s="301" t="str">
        <f t="shared" si="15"/>
        <v/>
      </c>
      <c r="E667" s="301" t="str">
        <f t="shared" si="16"/>
        <v/>
      </c>
      <c r="F667" s="317" t="str">
        <f t="shared" si="17"/>
        <v/>
      </c>
      <c r="G667" s="323" t="str">
        <f t="shared" si="18"/>
        <v/>
      </c>
      <c r="H667" s="327" t="str">
        <f t="shared" si="19"/>
        <v/>
      </c>
      <c r="I667" s="327" t="str">
        <f t="shared" si="20"/>
        <v/>
      </c>
      <c r="J667" s="301" t="str">
        <f t="shared" si="21"/>
        <v/>
      </c>
      <c r="K667" s="301" t="str">
        <f t="shared" si="22"/>
        <v/>
      </c>
      <c r="L667" s="344" t="str">
        <f t="array" ref="L667">IF($T667="","",LET(m,MATCH($T667,$AS$24:$AS$700,0),lvl,INDEX($W$24:$W$700,m),id,INDEX($X$24:$X$700,m),SWITCH(lvl,3,"Lớp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7" s="351" t="str">
        <f t="shared" si="23"/>
        <v/>
      </c>
      <c r="N667" s="356" t="str">
        <f t="shared" si="24"/>
        <v/>
      </c>
      <c r="O667" s="358"/>
      <c r="P667" s="360"/>
      <c r="Q667" s="360"/>
      <c r="R667" s="67"/>
      <c r="S667" s="67"/>
      <c r="T667" s="67"/>
      <c r="U667" s="389" t="str">
        <f>IF('Lớp 6 - Chi tiết'!I229="","",'Lớp 6 - Chi tiết'!L229&amp;"|"&amp;'Lớp 6 - Chi tiết'!K229&amp;"|"&amp;'Lớp 6 - Chi tiết'!J229&amp;"|"&amp;'Lớp 6 - Chi tiết'!I229)</f>
        <v/>
      </c>
      <c r="V667" s="389" t="str">
        <f>IF('Lớp 6 - Chi tiết'!I229="","","           └─ "&amp;'Lớp 6 - Chi tiết'!S229)</f>
        <v/>
      </c>
      <c r="W667" s="389" t="str">
        <f>IF('Lớp 6 - Chi tiết'!I229="","",6)</f>
        <v/>
      </c>
      <c r="X667" s="67" t="str">
        <f>'Lớp 6 - Chi tiết'!I229</f>
        <v/>
      </c>
      <c r="Y667" s="389" t="str">
        <f>'Lớp 6 - Chi tiết'!J229</f>
        <v/>
      </c>
      <c r="Z667" s="67" t="str">
        <f>'Lớp 6 - Chi tiết'!AC229</f>
        <v/>
      </c>
      <c r="AA667" s="67" t="str">
        <f>'Lớp 6 - Chi tiết'!AB229</f>
        <v/>
      </c>
      <c r="AB667" s="67" t="str">
        <f>'Lớp 6 - Chi tiết'!AF229</f>
        <v/>
      </c>
      <c r="AC667" s="67" t="str">
        <f>'Lớp 6 - Chi tiết'!AE229</f>
        <v/>
      </c>
      <c r="AD667" s="398" t="str">
        <f>'Lớp 6 - Chi tiết'!AJ229</f>
        <v/>
      </c>
      <c r="AE667" s="358" t="str">
        <f>'Lớp 6 - Chi tiết'!AH229</f>
        <v/>
      </c>
      <c r="AF667" s="187" t="str">
        <f>'Lớp 6 - Chi tiết'!AK229</f>
        <v/>
      </c>
      <c r="AG667" s="104" t="str">
        <f>'Lớp 6 - Chi tiết'!AL229</f>
        <v/>
      </c>
      <c r="AH667" s="389" t="str">
        <f t="shared" si="27"/>
        <v/>
      </c>
      <c r="AI667" s="389" t="str">
        <f t="shared" si="37"/>
        <v>🔵 Chưa có hạn</v>
      </c>
      <c r="AJ667" s="67" t="str">
        <f>'Lớp 6 - Chi tiết'!AO229</f>
        <v/>
      </c>
      <c r="AS667" s="389" t="str">
        <f t="shared" si="467"/>
        <v/>
      </c>
      <c r="AT667" s="389" t="str">
        <f t="shared" si="32"/>
        <v/>
      </c>
      <c r="AU667" s="389" t="str">
        <f t="shared" si="33"/>
        <v/>
      </c>
      <c r="AV667" s="389" t="str">
        <f t="shared" si="34"/>
        <v/>
      </c>
      <c r="AW667" s="389" t="str">
        <f t="shared" si="35"/>
        <v/>
      </c>
      <c r="AX667" s="67" t="str">
        <f t="shared" ref="AX667:BH667" si="682">Z667</f>
        <v/>
      </c>
      <c r="AY667" s="67" t="str">
        <f t="shared" si="682"/>
        <v/>
      </c>
      <c r="AZ667" s="67" t="str">
        <f t="shared" si="682"/>
        <v/>
      </c>
      <c r="BA667" s="67" t="str">
        <f t="shared" si="682"/>
        <v/>
      </c>
      <c r="BB667" s="398" t="str">
        <f t="shared" si="682"/>
        <v/>
      </c>
      <c r="BC667" s="358" t="str">
        <f t="shared" si="682"/>
        <v/>
      </c>
      <c r="BD667" s="187" t="str">
        <f t="shared" si="682"/>
        <v/>
      </c>
      <c r="BE667" s="104" t="str">
        <f t="shared" si="682"/>
        <v/>
      </c>
      <c r="BF667" s="389" t="str">
        <f t="shared" si="682"/>
        <v/>
      </c>
      <c r="BG667" s="389" t="str">
        <f t="shared" si="682"/>
        <v>🔵 Chưa có hạn</v>
      </c>
      <c r="BH667" s="67" t="str">
        <f t="shared" si="682"/>
        <v/>
      </c>
      <c r="BI667" s="389" t="str">
        <f t="array" ref="BI667">IF($X667="","",SWITCH($W667,3,IFERROR(INDEX('Lớp 3 - Công việc chính'!$AF$14:$AF$73,MATCH($X667,'Lớp 3 - Công việc chính'!$I$14:$I$73,0)),""),4,IFERROR(INDEX('Lớp 4 - Danh mục'!$AI$14:$AI$132,MATCH($X667,'Lớp 4 - Danh mục'!$I$14:$I$132,0)),""),5,IFERROR(INDEX('Lớp 5 - Phân công'!$AJ$14:$AJ$262,MATCH($X667,'Lớp 5 - Phân công'!$I$14:$I$262,0)),""),6,IFERROR(INDEX('Lớp 6 - Chi tiết'!$AM$14:$AM$267,MATCH($X667,'Lớp 6 - Chi tiết'!$I$14:$I$267,0)),""),""))</f>
        <v/>
      </c>
      <c r="BJ667" s="389" t="str">
        <f t="array" ref="BJ667">IF($X667="","",SWITCH($W667,3,IFERROR(INDEX('Lớp 3 - Công việc chính'!$AR$14:$AR$73,MATCH($X667,'Lớp 3 - Công việc chính'!$I$14:$I$73,0)),""),4,IFERROR(INDEX('Lớp 4 - Danh mục'!$AU$14:$AU$132,MATCH($X667,'Lớp 4 - Danh mục'!$I$14:$I$132,0)),""),5,IFERROR(INDEX('Lớp 5 - Phân công'!$AV$14:$AV$262,MATCH($X667,'Lớp 5 - Phân công'!$I$14:$I$262,0)),""),6,IFERROR(INDEX('Lớp 6 - Chi tiết'!$AY$14:$AY$267,MATCH($X667,'Lớp 6 - Chi tiết'!$I$14:$I$267,0)),""),""))</f>
        <v/>
      </c>
    </row>
    <row r="668" ht="15.75" customHeight="1">
      <c r="A668" s="294" t="str">
        <f t="shared" si="12"/>
        <v/>
      </c>
      <c r="B668" s="301" t="str">
        <f t="shared" si="13"/>
        <v/>
      </c>
      <c r="C668" s="301" t="str">
        <f t="shared" si="14"/>
        <v/>
      </c>
      <c r="D668" s="301" t="str">
        <f t="shared" si="15"/>
        <v/>
      </c>
      <c r="E668" s="301" t="str">
        <f t="shared" si="16"/>
        <v/>
      </c>
      <c r="F668" s="317" t="str">
        <f t="shared" si="17"/>
        <v/>
      </c>
      <c r="G668" s="323" t="str">
        <f t="shared" si="18"/>
        <v/>
      </c>
      <c r="H668" s="327" t="str">
        <f t="shared" si="19"/>
        <v/>
      </c>
      <c r="I668" s="327" t="str">
        <f t="shared" si="20"/>
        <v/>
      </c>
      <c r="J668" s="301" t="str">
        <f t="shared" si="21"/>
        <v/>
      </c>
      <c r="K668" s="301" t="str">
        <f t="shared" si="22"/>
        <v/>
      </c>
      <c r="L668" s="344" t="str">
        <f t="array" ref="L668">IF($T668="","",LET(m,MATCH($T668,$AS$24:$AS$700,0),lvl,INDEX($W$24:$W$700,m),id,INDEX($X$24:$X$700,m),SWITCH(lvl,3,"Lớp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8" s="351" t="str">
        <f t="shared" si="23"/>
        <v/>
      </c>
      <c r="N668" s="356" t="str">
        <f t="shared" si="24"/>
        <v/>
      </c>
      <c r="O668" s="358"/>
      <c r="P668" s="360"/>
      <c r="Q668" s="360"/>
      <c r="R668" s="67"/>
      <c r="S668" s="67"/>
      <c r="T668" s="67"/>
      <c r="U668" s="389" t="str">
        <f>IF('Lớp 6 - Chi tiết'!I230="","",'Lớp 6 - Chi tiết'!L230&amp;"|"&amp;'Lớp 6 - Chi tiết'!K230&amp;"|"&amp;'Lớp 6 - Chi tiết'!J230&amp;"|"&amp;'Lớp 6 - Chi tiết'!I230)</f>
        <v/>
      </c>
      <c r="V668" s="389" t="str">
        <f>IF('Lớp 6 - Chi tiết'!I230="","","           └─ "&amp;'Lớp 6 - Chi tiết'!S230)</f>
        <v/>
      </c>
      <c r="W668" s="389" t="str">
        <f>IF('Lớp 6 - Chi tiết'!I230="","",6)</f>
        <v/>
      </c>
      <c r="X668" s="67" t="str">
        <f>'Lớp 6 - Chi tiết'!I230</f>
        <v/>
      </c>
      <c r="Y668" s="389" t="str">
        <f>'Lớp 6 - Chi tiết'!J230</f>
        <v/>
      </c>
      <c r="Z668" s="67" t="str">
        <f>'Lớp 6 - Chi tiết'!AC230</f>
        <v/>
      </c>
      <c r="AA668" s="67" t="str">
        <f>'Lớp 6 - Chi tiết'!AB230</f>
        <v/>
      </c>
      <c r="AB668" s="67" t="str">
        <f>'Lớp 6 - Chi tiết'!AF230</f>
        <v/>
      </c>
      <c r="AC668" s="67" t="str">
        <f>'Lớp 6 - Chi tiết'!AE230</f>
        <v/>
      </c>
      <c r="AD668" s="398" t="str">
        <f>'Lớp 6 - Chi tiết'!AJ230</f>
        <v/>
      </c>
      <c r="AE668" s="358" t="str">
        <f>'Lớp 6 - Chi tiết'!AH230</f>
        <v/>
      </c>
      <c r="AF668" s="187" t="str">
        <f>'Lớp 6 - Chi tiết'!AK230</f>
        <v/>
      </c>
      <c r="AG668" s="104" t="str">
        <f>'Lớp 6 - Chi tiết'!AL230</f>
        <v/>
      </c>
      <c r="AH668" s="389" t="str">
        <f t="shared" si="27"/>
        <v/>
      </c>
      <c r="AI668" s="389" t="str">
        <f t="shared" si="37"/>
        <v>🔵 Chưa có hạn</v>
      </c>
      <c r="AJ668" s="67" t="str">
        <f>'Lớp 6 - Chi tiết'!AO230</f>
        <v/>
      </c>
      <c r="AS668" s="389" t="str">
        <f t="shared" si="467"/>
        <v/>
      </c>
      <c r="AT668" s="389" t="str">
        <f t="shared" si="32"/>
        <v/>
      </c>
      <c r="AU668" s="389" t="str">
        <f t="shared" si="33"/>
        <v/>
      </c>
      <c r="AV668" s="389" t="str">
        <f t="shared" si="34"/>
        <v/>
      </c>
      <c r="AW668" s="389" t="str">
        <f t="shared" si="35"/>
        <v/>
      </c>
      <c r="AX668" s="67" t="str">
        <f t="shared" ref="AX668:BH668" si="683">Z668</f>
        <v/>
      </c>
      <c r="AY668" s="67" t="str">
        <f t="shared" si="683"/>
        <v/>
      </c>
      <c r="AZ668" s="67" t="str">
        <f t="shared" si="683"/>
        <v/>
      </c>
      <c r="BA668" s="67" t="str">
        <f t="shared" si="683"/>
        <v/>
      </c>
      <c r="BB668" s="398" t="str">
        <f t="shared" si="683"/>
        <v/>
      </c>
      <c r="BC668" s="358" t="str">
        <f t="shared" si="683"/>
        <v/>
      </c>
      <c r="BD668" s="187" t="str">
        <f t="shared" si="683"/>
        <v/>
      </c>
      <c r="BE668" s="104" t="str">
        <f t="shared" si="683"/>
        <v/>
      </c>
      <c r="BF668" s="389" t="str">
        <f t="shared" si="683"/>
        <v/>
      </c>
      <c r="BG668" s="389" t="str">
        <f t="shared" si="683"/>
        <v>🔵 Chưa có hạn</v>
      </c>
      <c r="BH668" s="67" t="str">
        <f t="shared" si="683"/>
        <v/>
      </c>
      <c r="BI668" s="389" t="str">
        <f t="array" ref="BI668">IF($X668="","",SWITCH($W668,3,IFERROR(INDEX('Lớp 3 - Công việc chính'!$AF$14:$AF$73,MATCH($X668,'Lớp 3 - Công việc chính'!$I$14:$I$73,0)),""),4,IFERROR(INDEX('Lớp 4 - Danh mục'!$AI$14:$AI$132,MATCH($X668,'Lớp 4 - Danh mục'!$I$14:$I$132,0)),""),5,IFERROR(INDEX('Lớp 5 - Phân công'!$AJ$14:$AJ$262,MATCH($X668,'Lớp 5 - Phân công'!$I$14:$I$262,0)),""),6,IFERROR(INDEX('Lớp 6 - Chi tiết'!$AM$14:$AM$267,MATCH($X668,'Lớp 6 - Chi tiết'!$I$14:$I$267,0)),""),""))</f>
        <v/>
      </c>
      <c r="BJ668" s="389" t="str">
        <f t="array" ref="BJ668">IF($X668="","",SWITCH($W668,3,IFERROR(INDEX('Lớp 3 - Công việc chính'!$AR$14:$AR$73,MATCH($X668,'Lớp 3 - Công việc chính'!$I$14:$I$73,0)),""),4,IFERROR(INDEX('Lớp 4 - Danh mục'!$AU$14:$AU$132,MATCH($X668,'Lớp 4 - Danh mục'!$I$14:$I$132,0)),""),5,IFERROR(INDEX('Lớp 5 - Phân công'!$AV$14:$AV$262,MATCH($X668,'Lớp 5 - Phân công'!$I$14:$I$262,0)),""),6,IFERROR(INDEX('Lớp 6 - Chi tiết'!$AY$14:$AY$267,MATCH($X668,'Lớp 6 - Chi tiết'!$I$14:$I$267,0)),""),""))</f>
        <v/>
      </c>
    </row>
    <row r="669" ht="15.75" customHeight="1">
      <c r="A669" s="294" t="str">
        <f t="shared" si="12"/>
        <v/>
      </c>
      <c r="B669" s="301" t="str">
        <f t="shared" si="13"/>
        <v/>
      </c>
      <c r="C669" s="301" t="str">
        <f t="shared" si="14"/>
        <v/>
      </c>
      <c r="D669" s="301" t="str">
        <f t="shared" si="15"/>
        <v/>
      </c>
      <c r="E669" s="301" t="str">
        <f t="shared" si="16"/>
        <v/>
      </c>
      <c r="F669" s="317" t="str">
        <f t="shared" si="17"/>
        <v/>
      </c>
      <c r="G669" s="323" t="str">
        <f t="shared" si="18"/>
        <v/>
      </c>
      <c r="H669" s="327" t="str">
        <f t="shared" si="19"/>
        <v/>
      </c>
      <c r="I669" s="327" t="str">
        <f t="shared" si="20"/>
        <v/>
      </c>
      <c r="J669" s="301" t="str">
        <f t="shared" si="21"/>
        <v/>
      </c>
      <c r="K669" s="301" t="str">
        <f t="shared" si="22"/>
        <v/>
      </c>
      <c r="L669" s="344" t="str">
        <f t="array" ref="L669">IF($T669="","",LET(m,MATCH($T669,$AS$24:$AS$700,0),lvl,INDEX($W$24:$W$700,m),id,INDEX($X$24:$X$700,m),SWITCH(lvl,3,"Lớp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69" s="351" t="str">
        <f t="shared" si="23"/>
        <v/>
      </c>
      <c r="N669" s="356" t="str">
        <f t="shared" si="24"/>
        <v/>
      </c>
      <c r="O669" s="358"/>
      <c r="P669" s="360"/>
      <c r="Q669" s="360"/>
      <c r="R669" s="67"/>
      <c r="S669" s="67"/>
      <c r="T669" s="67"/>
      <c r="U669" s="389" t="str">
        <f>IF('Lớp 6 - Chi tiết'!I231="","",'Lớp 6 - Chi tiết'!L231&amp;"|"&amp;'Lớp 6 - Chi tiết'!K231&amp;"|"&amp;'Lớp 6 - Chi tiết'!J231&amp;"|"&amp;'Lớp 6 - Chi tiết'!I231)</f>
        <v/>
      </c>
      <c r="V669" s="389" t="str">
        <f>IF('Lớp 6 - Chi tiết'!I231="","","           └─ "&amp;'Lớp 6 - Chi tiết'!S231)</f>
        <v/>
      </c>
      <c r="W669" s="389" t="str">
        <f>IF('Lớp 6 - Chi tiết'!I231="","",6)</f>
        <v/>
      </c>
      <c r="X669" s="67" t="str">
        <f>'Lớp 6 - Chi tiết'!I231</f>
        <v/>
      </c>
      <c r="Y669" s="389" t="str">
        <f>'Lớp 6 - Chi tiết'!J231</f>
        <v/>
      </c>
      <c r="Z669" s="67" t="str">
        <f>'Lớp 6 - Chi tiết'!AC231</f>
        <v/>
      </c>
      <c r="AA669" s="67" t="str">
        <f>'Lớp 6 - Chi tiết'!AB231</f>
        <v/>
      </c>
      <c r="AB669" s="67" t="str">
        <f>'Lớp 6 - Chi tiết'!AF231</f>
        <v/>
      </c>
      <c r="AC669" s="67" t="str">
        <f>'Lớp 6 - Chi tiết'!AE231</f>
        <v/>
      </c>
      <c r="AD669" s="398" t="str">
        <f>'Lớp 6 - Chi tiết'!AJ231</f>
        <v/>
      </c>
      <c r="AE669" s="358" t="str">
        <f>'Lớp 6 - Chi tiết'!AH231</f>
        <v/>
      </c>
      <c r="AF669" s="187" t="str">
        <f>'Lớp 6 - Chi tiết'!AK231</f>
        <v/>
      </c>
      <c r="AG669" s="104" t="str">
        <f>'Lớp 6 - Chi tiết'!AL231</f>
        <v/>
      </c>
      <c r="AH669" s="389" t="str">
        <f t="shared" si="27"/>
        <v/>
      </c>
      <c r="AI669" s="389" t="str">
        <f t="shared" si="37"/>
        <v>🔵 Chưa có hạn</v>
      </c>
      <c r="AJ669" s="67" t="str">
        <f>'Lớp 6 - Chi tiết'!AO231</f>
        <v/>
      </c>
      <c r="AS669" s="389" t="str">
        <f t="shared" si="467"/>
        <v/>
      </c>
      <c r="AT669" s="389" t="str">
        <f t="shared" si="32"/>
        <v/>
      </c>
      <c r="AU669" s="389" t="str">
        <f t="shared" si="33"/>
        <v/>
      </c>
      <c r="AV669" s="389" t="str">
        <f t="shared" si="34"/>
        <v/>
      </c>
      <c r="AW669" s="389" t="str">
        <f t="shared" si="35"/>
        <v/>
      </c>
      <c r="AX669" s="67" t="str">
        <f t="shared" ref="AX669:BH669" si="684">Z669</f>
        <v/>
      </c>
      <c r="AY669" s="67" t="str">
        <f t="shared" si="684"/>
        <v/>
      </c>
      <c r="AZ669" s="67" t="str">
        <f t="shared" si="684"/>
        <v/>
      </c>
      <c r="BA669" s="67" t="str">
        <f t="shared" si="684"/>
        <v/>
      </c>
      <c r="BB669" s="398" t="str">
        <f t="shared" si="684"/>
        <v/>
      </c>
      <c r="BC669" s="358" t="str">
        <f t="shared" si="684"/>
        <v/>
      </c>
      <c r="BD669" s="187" t="str">
        <f t="shared" si="684"/>
        <v/>
      </c>
      <c r="BE669" s="104" t="str">
        <f t="shared" si="684"/>
        <v/>
      </c>
      <c r="BF669" s="389" t="str">
        <f t="shared" si="684"/>
        <v/>
      </c>
      <c r="BG669" s="389" t="str">
        <f t="shared" si="684"/>
        <v>🔵 Chưa có hạn</v>
      </c>
      <c r="BH669" s="67" t="str">
        <f t="shared" si="684"/>
        <v/>
      </c>
      <c r="BI669" s="389" t="str">
        <f t="array" ref="BI669">IF($X669="","",SWITCH($W669,3,IFERROR(INDEX('Lớp 3 - Công việc chính'!$AF$14:$AF$73,MATCH($X669,'Lớp 3 - Công việc chính'!$I$14:$I$73,0)),""),4,IFERROR(INDEX('Lớp 4 - Danh mục'!$AI$14:$AI$132,MATCH($X669,'Lớp 4 - Danh mục'!$I$14:$I$132,0)),""),5,IFERROR(INDEX('Lớp 5 - Phân công'!$AJ$14:$AJ$262,MATCH($X669,'Lớp 5 - Phân công'!$I$14:$I$262,0)),""),6,IFERROR(INDEX('Lớp 6 - Chi tiết'!$AM$14:$AM$267,MATCH($X669,'Lớp 6 - Chi tiết'!$I$14:$I$267,0)),""),""))</f>
        <v/>
      </c>
      <c r="BJ669" s="389" t="str">
        <f t="array" ref="BJ669">IF($X669="","",SWITCH($W669,3,IFERROR(INDEX('Lớp 3 - Công việc chính'!$AR$14:$AR$73,MATCH($X669,'Lớp 3 - Công việc chính'!$I$14:$I$73,0)),""),4,IFERROR(INDEX('Lớp 4 - Danh mục'!$AU$14:$AU$132,MATCH($X669,'Lớp 4 - Danh mục'!$I$14:$I$132,0)),""),5,IFERROR(INDEX('Lớp 5 - Phân công'!$AV$14:$AV$262,MATCH($X669,'Lớp 5 - Phân công'!$I$14:$I$262,0)),""),6,IFERROR(INDEX('Lớp 6 - Chi tiết'!$AY$14:$AY$267,MATCH($X669,'Lớp 6 - Chi tiết'!$I$14:$I$267,0)),""),""))</f>
        <v/>
      </c>
    </row>
    <row r="670" ht="15.75" customHeight="1">
      <c r="A670" s="294" t="str">
        <f t="shared" si="12"/>
        <v/>
      </c>
      <c r="B670" s="301" t="str">
        <f t="shared" si="13"/>
        <v/>
      </c>
      <c r="C670" s="301" t="str">
        <f t="shared" si="14"/>
        <v/>
      </c>
      <c r="D670" s="301" t="str">
        <f t="shared" si="15"/>
        <v/>
      </c>
      <c r="E670" s="301" t="str">
        <f t="shared" si="16"/>
        <v/>
      </c>
      <c r="F670" s="317" t="str">
        <f t="shared" si="17"/>
        <v/>
      </c>
      <c r="G670" s="323" t="str">
        <f t="shared" si="18"/>
        <v/>
      </c>
      <c r="H670" s="327" t="str">
        <f t="shared" si="19"/>
        <v/>
      </c>
      <c r="I670" s="327" t="str">
        <f t="shared" si="20"/>
        <v/>
      </c>
      <c r="J670" s="301" t="str">
        <f t="shared" si="21"/>
        <v/>
      </c>
      <c r="K670" s="301" t="str">
        <f t="shared" si="22"/>
        <v/>
      </c>
      <c r="L670" s="344" t="str">
        <f t="array" ref="L670">IF($T670="","",LET(m,MATCH($T670,$AS$24:$AS$700,0),lvl,INDEX($W$24:$W$700,m),id,INDEX($X$24:$X$700,m),SWITCH(lvl,3,"Lớp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0" s="351" t="str">
        <f t="shared" si="23"/>
        <v/>
      </c>
      <c r="N670" s="356" t="str">
        <f t="shared" si="24"/>
        <v/>
      </c>
      <c r="O670" s="358"/>
      <c r="P670" s="360"/>
      <c r="Q670" s="360"/>
      <c r="R670" s="67"/>
      <c r="S670" s="67"/>
      <c r="T670" s="67"/>
      <c r="U670" s="389" t="str">
        <f>IF('Lớp 6 - Chi tiết'!I232="","",'Lớp 6 - Chi tiết'!L232&amp;"|"&amp;'Lớp 6 - Chi tiết'!K232&amp;"|"&amp;'Lớp 6 - Chi tiết'!J232&amp;"|"&amp;'Lớp 6 - Chi tiết'!I232)</f>
        <v/>
      </c>
      <c r="V670" s="389" t="str">
        <f>IF('Lớp 6 - Chi tiết'!I232="","","           └─ "&amp;'Lớp 6 - Chi tiết'!S232)</f>
        <v/>
      </c>
      <c r="W670" s="389" t="str">
        <f>IF('Lớp 6 - Chi tiết'!I232="","",6)</f>
        <v/>
      </c>
      <c r="X670" s="67" t="str">
        <f>'Lớp 6 - Chi tiết'!I232</f>
        <v/>
      </c>
      <c r="Y670" s="389" t="str">
        <f>'Lớp 6 - Chi tiết'!J232</f>
        <v/>
      </c>
      <c r="Z670" s="67" t="str">
        <f>'Lớp 6 - Chi tiết'!AC232</f>
        <v/>
      </c>
      <c r="AA670" s="67" t="str">
        <f>'Lớp 6 - Chi tiết'!AB232</f>
        <v/>
      </c>
      <c r="AB670" s="67" t="str">
        <f>'Lớp 6 - Chi tiết'!AF232</f>
        <v/>
      </c>
      <c r="AC670" s="67" t="str">
        <f>'Lớp 6 - Chi tiết'!AE232</f>
        <v/>
      </c>
      <c r="AD670" s="398" t="str">
        <f>'Lớp 6 - Chi tiết'!AJ232</f>
        <v/>
      </c>
      <c r="AE670" s="358" t="str">
        <f>'Lớp 6 - Chi tiết'!AH232</f>
        <v/>
      </c>
      <c r="AF670" s="187" t="str">
        <f>'Lớp 6 - Chi tiết'!AK232</f>
        <v/>
      </c>
      <c r="AG670" s="104" t="str">
        <f>'Lớp 6 - Chi tiết'!AL232</f>
        <v/>
      </c>
      <c r="AH670" s="389" t="str">
        <f t="shared" si="27"/>
        <v/>
      </c>
      <c r="AI670" s="389" t="str">
        <f t="shared" si="37"/>
        <v>🔵 Chưa có hạn</v>
      </c>
      <c r="AJ670" s="67" t="str">
        <f>'Lớp 6 - Chi tiết'!AO232</f>
        <v/>
      </c>
      <c r="AS670" s="389" t="str">
        <f t="shared" si="467"/>
        <v/>
      </c>
      <c r="AT670" s="389" t="str">
        <f t="shared" si="32"/>
        <v/>
      </c>
      <c r="AU670" s="389" t="str">
        <f t="shared" si="33"/>
        <v/>
      </c>
      <c r="AV670" s="389" t="str">
        <f t="shared" si="34"/>
        <v/>
      </c>
      <c r="AW670" s="389" t="str">
        <f t="shared" si="35"/>
        <v/>
      </c>
      <c r="AX670" s="67" t="str">
        <f t="shared" ref="AX670:BH670" si="685">Z670</f>
        <v/>
      </c>
      <c r="AY670" s="67" t="str">
        <f t="shared" si="685"/>
        <v/>
      </c>
      <c r="AZ670" s="67" t="str">
        <f t="shared" si="685"/>
        <v/>
      </c>
      <c r="BA670" s="67" t="str">
        <f t="shared" si="685"/>
        <v/>
      </c>
      <c r="BB670" s="398" t="str">
        <f t="shared" si="685"/>
        <v/>
      </c>
      <c r="BC670" s="358" t="str">
        <f t="shared" si="685"/>
        <v/>
      </c>
      <c r="BD670" s="187" t="str">
        <f t="shared" si="685"/>
        <v/>
      </c>
      <c r="BE670" s="104" t="str">
        <f t="shared" si="685"/>
        <v/>
      </c>
      <c r="BF670" s="389" t="str">
        <f t="shared" si="685"/>
        <v/>
      </c>
      <c r="BG670" s="389" t="str">
        <f t="shared" si="685"/>
        <v>🔵 Chưa có hạn</v>
      </c>
      <c r="BH670" s="67" t="str">
        <f t="shared" si="685"/>
        <v/>
      </c>
      <c r="BI670" s="389" t="str">
        <f t="array" ref="BI670">IF($X670="","",SWITCH($W670,3,IFERROR(INDEX('Lớp 3 - Công việc chính'!$AF$14:$AF$73,MATCH($X670,'Lớp 3 - Công việc chính'!$I$14:$I$73,0)),""),4,IFERROR(INDEX('Lớp 4 - Danh mục'!$AI$14:$AI$132,MATCH($X670,'Lớp 4 - Danh mục'!$I$14:$I$132,0)),""),5,IFERROR(INDEX('Lớp 5 - Phân công'!$AJ$14:$AJ$262,MATCH($X670,'Lớp 5 - Phân công'!$I$14:$I$262,0)),""),6,IFERROR(INDEX('Lớp 6 - Chi tiết'!$AM$14:$AM$267,MATCH($X670,'Lớp 6 - Chi tiết'!$I$14:$I$267,0)),""),""))</f>
        <v/>
      </c>
      <c r="BJ670" s="389" t="str">
        <f t="array" ref="BJ670">IF($X670="","",SWITCH($W670,3,IFERROR(INDEX('Lớp 3 - Công việc chính'!$AR$14:$AR$73,MATCH($X670,'Lớp 3 - Công việc chính'!$I$14:$I$73,0)),""),4,IFERROR(INDEX('Lớp 4 - Danh mục'!$AU$14:$AU$132,MATCH($X670,'Lớp 4 - Danh mục'!$I$14:$I$132,0)),""),5,IFERROR(INDEX('Lớp 5 - Phân công'!$AV$14:$AV$262,MATCH($X670,'Lớp 5 - Phân công'!$I$14:$I$262,0)),""),6,IFERROR(INDEX('Lớp 6 - Chi tiết'!$AY$14:$AY$267,MATCH($X670,'Lớp 6 - Chi tiết'!$I$14:$I$267,0)),""),""))</f>
        <v/>
      </c>
    </row>
    <row r="671" ht="15.75" customHeight="1">
      <c r="A671" s="294" t="str">
        <f t="shared" si="12"/>
        <v/>
      </c>
      <c r="B671" s="301" t="str">
        <f t="shared" si="13"/>
        <v/>
      </c>
      <c r="C671" s="301" t="str">
        <f t="shared" si="14"/>
        <v/>
      </c>
      <c r="D671" s="301" t="str">
        <f t="shared" si="15"/>
        <v/>
      </c>
      <c r="E671" s="301" t="str">
        <f t="shared" si="16"/>
        <v/>
      </c>
      <c r="F671" s="317" t="str">
        <f t="shared" si="17"/>
        <v/>
      </c>
      <c r="G671" s="323" t="str">
        <f t="shared" si="18"/>
        <v/>
      </c>
      <c r="H671" s="327" t="str">
        <f t="shared" si="19"/>
        <v/>
      </c>
      <c r="I671" s="327" t="str">
        <f t="shared" si="20"/>
        <v/>
      </c>
      <c r="J671" s="301" t="str">
        <f t="shared" si="21"/>
        <v/>
      </c>
      <c r="K671" s="301" t="str">
        <f t="shared" si="22"/>
        <v/>
      </c>
      <c r="L671" s="344" t="str">
        <f t="array" ref="L671">IF($T671="","",LET(m,MATCH($T671,$AS$24:$AS$700,0),lvl,INDEX($W$24:$W$700,m),id,INDEX($X$24:$X$700,m),SWITCH(lvl,3,"Lớp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1" s="351" t="str">
        <f t="shared" si="23"/>
        <v/>
      </c>
      <c r="N671" s="356" t="str">
        <f t="shared" si="24"/>
        <v/>
      </c>
      <c r="O671" s="358"/>
      <c r="P671" s="360"/>
      <c r="Q671" s="360"/>
      <c r="R671" s="67"/>
      <c r="S671" s="67"/>
      <c r="T671" s="67"/>
      <c r="U671" s="389" t="str">
        <f>IF('Lớp 6 - Chi tiết'!I233="","",'Lớp 6 - Chi tiết'!L233&amp;"|"&amp;'Lớp 6 - Chi tiết'!K233&amp;"|"&amp;'Lớp 6 - Chi tiết'!J233&amp;"|"&amp;'Lớp 6 - Chi tiết'!I233)</f>
        <v/>
      </c>
      <c r="V671" s="389" t="str">
        <f>IF('Lớp 6 - Chi tiết'!I233="","","           └─ "&amp;'Lớp 6 - Chi tiết'!S233)</f>
        <v/>
      </c>
      <c r="W671" s="389" t="str">
        <f>IF('Lớp 6 - Chi tiết'!I233="","",6)</f>
        <v/>
      </c>
      <c r="X671" s="67" t="str">
        <f>'Lớp 6 - Chi tiết'!I233</f>
        <v/>
      </c>
      <c r="Y671" s="389" t="str">
        <f>'Lớp 6 - Chi tiết'!J233</f>
        <v/>
      </c>
      <c r="Z671" s="67" t="str">
        <f>'Lớp 6 - Chi tiết'!AC233</f>
        <v/>
      </c>
      <c r="AA671" s="67" t="str">
        <f>'Lớp 6 - Chi tiết'!AB233</f>
        <v/>
      </c>
      <c r="AB671" s="67" t="str">
        <f>'Lớp 6 - Chi tiết'!AF233</f>
        <v/>
      </c>
      <c r="AC671" s="67" t="str">
        <f>'Lớp 6 - Chi tiết'!AE233</f>
        <v/>
      </c>
      <c r="AD671" s="398" t="str">
        <f>'Lớp 6 - Chi tiết'!AJ233</f>
        <v/>
      </c>
      <c r="AE671" s="358" t="str">
        <f>'Lớp 6 - Chi tiết'!AH233</f>
        <v/>
      </c>
      <c r="AF671" s="187" t="str">
        <f>'Lớp 6 - Chi tiết'!AK233</f>
        <v/>
      </c>
      <c r="AG671" s="104" t="str">
        <f>'Lớp 6 - Chi tiết'!AL233</f>
        <v/>
      </c>
      <c r="AH671" s="389" t="str">
        <f t="shared" si="27"/>
        <v/>
      </c>
      <c r="AI671" s="389" t="str">
        <f t="shared" si="37"/>
        <v>🔵 Chưa có hạn</v>
      </c>
      <c r="AJ671" s="67" t="str">
        <f>'Lớp 6 - Chi tiết'!AO233</f>
        <v/>
      </c>
      <c r="AS671" s="389" t="str">
        <f t="shared" si="467"/>
        <v/>
      </c>
      <c r="AT671" s="389" t="str">
        <f t="shared" si="32"/>
        <v/>
      </c>
      <c r="AU671" s="389" t="str">
        <f t="shared" si="33"/>
        <v/>
      </c>
      <c r="AV671" s="389" t="str">
        <f t="shared" si="34"/>
        <v/>
      </c>
      <c r="AW671" s="389" t="str">
        <f t="shared" si="35"/>
        <v/>
      </c>
      <c r="AX671" s="67" t="str">
        <f t="shared" ref="AX671:BH671" si="686">Z671</f>
        <v/>
      </c>
      <c r="AY671" s="67" t="str">
        <f t="shared" si="686"/>
        <v/>
      </c>
      <c r="AZ671" s="67" t="str">
        <f t="shared" si="686"/>
        <v/>
      </c>
      <c r="BA671" s="67" t="str">
        <f t="shared" si="686"/>
        <v/>
      </c>
      <c r="BB671" s="398" t="str">
        <f t="shared" si="686"/>
        <v/>
      </c>
      <c r="BC671" s="358" t="str">
        <f t="shared" si="686"/>
        <v/>
      </c>
      <c r="BD671" s="187" t="str">
        <f t="shared" si="686"/>
        <v/>
      </c>
      <c r="BE671" s="104" t="str">
        <f t="shared" si="686"/>
        <v/>
      </c>
      <c r="BF671" s="389" t="str">
        <f t="shared" si="686"/>
        <v/>
      </c>
      <c r="BG671" s="389" t="str">
        <f t="shared" si="686"/>
        <v>🔵 Chưa có hạn</v>
      </c>
      <c r="BH671" s="67" t="str">
        <f t="shared" si="686"/>
        <v/>
      </c>
      <c r="BI671" s="389" t="str">
        <f t="array" ref="BI671">IF($X671="","",SWITCH($W671,3,IFERROR(INDEX('Lớp 3 - Công việc chính'!$AF$14:$AF$73,MATCH($X671,'Lớp 3 - Công việc chính'!$I$14:$I$73,0)),""),4,IFERROR(INDEX('Lớp 4 - Danh mục'!$AI$14:$AI$132,MATCH($X671,'Lớp 4 - Danh mục'!$I$14:$I$132,0)),""),5,IFERROR(INDEX('Lớp 5 - Phân công'!$AJ$14:$AJ$262,MATCH($X671,'Lớp 5 - Phân công'!$I$14:$I$262,0)),""),6,IFERROR(INDEX('Lớp 6 - Chi tiết'!$AM$14:$AM$267,MATCH($X671,'Lớp 6 - Chi tiết'!$I$14:$I$267,0)),""),""))</f>
        <v/>
      </c>
      <c r="BJ671" s="389" t="str">
        <f t="array" ref="BJ671">IF($X671="","",SWITCH($W671,3,IFERROR(INDEX('Lớp 3 - Công việc chính'!$AR$14:$AR$73,MATCH($X671,'Lớp 3 - Công việc chính'!$I$14:$I$73,0)),""),4,IFERROR(INDEX('Lớp 4 - Danh mục'!$AU$14:$AU$132,MATCH($X671,'Lớp 4 - Danh mục'!$I$14:$I$132,0)),""),5,IFERROR(INDEX('Lớp 5 - Phân công'!$AV$14:$AV$262,MATCH($X671,'Lớp 5 - Phân công'!$I$14:$I$262,0)),""),6,IFERROR(INDEX('Lớp 6 - Chi tiết'!$AY$14:$AY$267,MATCH($X671,'Lớp 6 - Chi tiết'!$I$14:$I$267,0)),""),""))</f>
        <v/>
      </c>
    </row>
    <row r="672" ht="15.75" customHeight="1">
      <c r="A672" s="294" t="str">
        <f t="shared" si="12"/>
        <v/>
      </c>
      <c r="B672" s="301" t="str">
        <f t="shared" si="13"/>
        <v/>
      </c>
      <c r="C672" s="301" t="str">
        <f t="shared" si="14"/>
        <v/>
      </c>
      <c r="D672" s="301" t="str">
        <f t="shared" si="15"/>
        <v/>
      </c>
      <c r="E672" s="301" t="str">
        <f t="shared" si="16"/>
        <v/>
      </c>
      <c r="F672" s="317" t="str">
        <f t="shared" si="17"/>
        <v/>
      </c>
      <c r="G672" s="323" t="str">
        <f t="shared" si="18"/>
        <v/>
      </c>
      <c r="H672" s="327" t="str">
        <f t="shared" si="19"/>
        <v/>
      </c>
      <c r="I672" s="327" t="str">
        <f t="shared" si="20"/>
        <v/>
      </c>
      <c r="J672" s="301" t="str">
        <f t="shared" si="21"/>
        <v/>
      </c>
      <c r="K672" s="301" t="str">
        <f t="shared" si="22"/>
        <v/>
      </c>
      <c r="L672" s="344" t="str">
        <f t="array" ref="L672">IF($T672="","",LET(m,MATCH($T672,$AS$24:$AS$700,0),lvl,INDEX($W$24:$W$700,m),id,INDEX($X$24:$X$700,m),SWITCH(lvl,3,"Lớp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2" s="351" t="str">
        <f t="shared" si="23"/>
        <v/>
      </c>
      <c r="N672" s="356" t="str">
        <f t="shared" si="24"/>
        <v/>
      </c>
      <c r="O672" s="358"/>
      <c r="P672" s="360"/>
      <c r="Q672" s="360"/>
      <c r="R672" s="67"/>
      <c r="S672" s="67"/>
      <c r="T672" s="67"/>
      <c r="U672" s="389" t="str">
        <f>IF('Lớp 6 - Chi tiết'!I234="","",'Lớp 6 - Chi tiết'!L234&amp;"|"&amp;'Lớp 6 - Chi tiết'!K234&amp;"|"&amp;'Lớp 6 - Chi tiết'!J234&amp;"|"&amp;'Lớp 6 - Chi tiết'!I234)</f>
        <v/>
      </c>
      <c r="V672" s="389" t="str">
        <f>IF('Lớp 6 - Chi tiết'!I234="","","           └─ "&amp;'Lớp 6 - Chi tiết'!S234)</f>
        <v/>
      </c>
      <c r="W672" s="389" t="str">
        <f>IF('Lớp 6 - Chi tiết'!I234="","",6)</f>
        <v/>
      </c>
      <c r="X672" s="67" t="str">
        <f>'Lớp 6 - Chi tiết'!I234</f>
        <v/>
      </c>
      <c r="Y672" s="389" t="str">
        <f>'Lớp 6 - Chi tiết'!J234</f>
        <v/>
      </c>
      <c r="Z672" s="67" t="str">
        <f>'Lớp 6 - Chi tiết'!AC234</f>
        <v/>
      </c>
      <c r="AA672" s="67" t="str">
        <f>'Lớp 6 - Chi tiết'!AB234</f>
        <v/>
      </c>
      <c r="AB672" s="67" t="str">
        <f>'Lớp 6 - Chi tiết'!AF234</f>
        <v/>
      </c>
      <c r="AC672" s="67" t="str">
        <f>'Lớp 6 - Chi tiết'!AE234</f>
        <v/>
      </c>
      <c r="AD672" s="398" t="str">
        <f>'Lớp 6 - Chi tiết'!AJ234</f>
        <v/>
      </c>
      <c r="AE672" s="358" t="str">
        <f>'Lớp 6 - Chi tiết'!AH234</f>
        <v/>
      </c>
      <c r="AF672" s="187" t="str">
        <f>'Lớp 6 - Chi tiết'!AK234</f>
        <v/>
      </c>
      <c r="AG672" s="104" t="str">
        <f>'Lớp 6 - Chi tiết'!AL234</f>
        <v/>
      </c>
      <c r="AH672" s="389" t="str">
        <f t="shared" si="27"/>
        <v/>
      </c>
      <c r="AI672" s="389" t="str">
        <f t="shared" si="37"/>
        <v>🔵 Chưa có hạn</v>
      </c>
      <c r="AJ672" s="67" t="str">
        <f>'Lớp 6 - Chi tiết'!AO234</f>
        <v/>
      </c>
      <c r="AS672" s="389" t="str">
        <f t="shared" si="467"/>
        <v/>
      </c>
      <c r="AT672" s="389" t="str">
        <f t="shared" si="32"/>
        <v/>
      </c>
      <c r="AU672" s="389" t="str">
        <f t="shared" si="33"/>
        <v/>
      </c>
      <c r="AV672" s="389" t="str">
        <f t="shared" si="34"/>
        <v/>
      </c>
      <c r="AW672" s="389" t="str">
        <f t="shared" si="35"/>
        <v/>
      </c>
      <c r="AX672" s="67" t="str">
        <f t="shared" ref="AX672:BH672" si="687">Z672</f>
        <v/>
      </c>
      <c r="AY672" s="67" t="str">
        <f t="shared" si="687"/>
        <v/>
      </c>
      <c r="AZ672" s="67" t="str">
        <f t="shared" si="687"/>
        <v/>
      </c>
      <c r="BA672" s="67" t="str">
        <f t="shared" si="687"/>
        <v/>
      </c>
      <c r="BB672" s="398" t="str">
        <f t="shared" si="687"/>
        <v/>
      </c>
      <c r="BC672" s="358" t="str">
        <f t="shared" si="687"/>
        <v/>
      </c>
      <c r="BD672" s="187" t="str">
        <f t="shared" si="687"/>
        <v/>
      </c>
      <c r="BE672" s="104" t="str">
        <f t="shared" si="687"/>
        <v/>
      </c>
      <c r="BF672" s="389" t="str">
        <f t="shared" si="687"/>
        <v/>
      </c>
      <c r="BG672" s="389" t="str">
        <f t="shared" si="687"/>
        <v>🔵 Chưa có hạn</v>
      </c>
      <c r="BH672" s="67" t="str">
        <f t="shared" si="687"/>
        <v/>
      </c>
      <c r="BI672" s="389" t="str">
        <f t="array" ref="BI672">IF($X672="","",SWITCH($W672,3,IFERROR(INDEX('Lớp 3 - Công việc chính'!$AF$14:$AF$73,MATCH($X672,'Lớp 3 - Công việc chính'!$I$14:$I$73,0)),""),4,IFERROR(INDEX('Lớp 4 - Danh mục'!$AI$14:$AI$132,MATCH($X672,'Lớp 4 - Danh mục'!$I$14:$I$132,0)),""),5,IFERROR(INDEX('Lớp 5 - Phân công'!$AJ$14:$AJ$262,MATCH($X672,'Lớp 5 - Phân công'!$I$14:$I$262,0)),""),6,IFERROR(INDEX('Lớp 6 - Chi tiết'!$AM$14:$AM$267,MATCH($X672,'Lớp 6 - Chi tiết'!$I$14:$I$267,0)),""),""))</f>
        <v/>
      </c>
      <c r="BJ672" s="389" t="str">
        <f t="array" ref="BJ672">IF($X672="","",SWITCH($W672,3,IFERROR(INDEX('Lớp 3 - Công việc chính'!$AR$14:$AR$73,MATCH($X672,'Lớp 3 - Công việc chính'!$I$14:$I$73,0)),""),4,IFERROR(INDEX('Lớp 4 - Danh mục'!$AU$14:$AU$132,MATCH($X672,'Lớp 4 - Danh mục'!$I$14:$I$132,0)),""),5,IFERROR(INDEX('Lớp 5 - Phân công'!$AV$14:$AV$262,MATCH($X672,'Lớp 5 - Phân công'!$I$14:$I$262,0)),""),6,IFERROR(INDEX('Lớp 6 - Chi tiết'!$AY$14:$AY$267,MATCH($X672,'Lớp 6 - Chi tiết'!$I$14:$I$267,0)),""),""))</f>
        <v/>
      </c>
    </row>
    <row r="673" ht="15.75" customHeight="1">
      <c r="A673" s="294" t="str">
        <f t="shared" si="12"/>
        <v/>
      </c>
      <c r="B673" s="301" t="str">
        <f t="shared" si="13"/>
        <v/>
      </c>
      <c r="C673" s="301" t="str">
        <f t="shared" si="14"/>
        <v/>
      </c>
      <c r="D673" s="301" t="str">
        <f t="shared" si="15"/>
        <v/>
      </c>
      <c r="E673" s="301" t="str">
        <f t="shared" si="16"/>
        <v/>
      </c>
      <c r="F673" s="317" t="str">
        <f t="shared" si="17"/>
        <v/>
      </c>
      <c r="G673" s="323" t="str">
        <f t="shared" si="18"/>
        <v/>
      </c>
      <c r="H673" s="327" t="str">
        <f t="shared" si="19"/>
        <v/>
      </c>
      <c r="I673" s="327" t="str">
        <f t="shared" si="20"/>
        <v/>
      </c>
      <c r="J673" s="301" t="str">
        <f t="shared" si="21"/>
        <v/>
      </c>
      <c r="K673" s="301" t="str">
        <f t="shared" si="22"/>
        <v/>
      </c>
      <c r="L673" s="344" t="str">
        <f t="array" ref="L673">IF($T673="","",LET(m,MATCH($T673,$AS$24:$AS$700,0),lvl,INDEX($W$24:$W$700,m),id,INDEX($X$24:$X$700,m),SWITCH(lvl,3,"Lớp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3" s="351" t="str">
        <f t="shared" si="23"/>
        <v/>
      </c>
      <c r="N673" s="356" t="str">
        <f t="shared" si="24"/>
        <v/>
      </c>
      <c r="O673" s="358"/>
      <c r="P673" s="360"/>
      <c r="Q673" s="360"/>
      <c r="R673" s="67"/>
      <c r="S673" s="67"/>
      <c r="T673" s="67"/>
      <c r="U673" s="389" t="str">
        <f>IF('Lớp 6 - Chi tiết'!I235="","",'Lớp 6 - Chi tiết'!L235&amp;"|"&amp;'Lớp 6 - Chi tiết'!K235&amp;"|"&amp;'Lớp 6 - Chi tiết'!J235&amp;"|"&amp;'Lớp 6 - Chi tiết'!I235)</f>
        <v/>
      </c>
      <c r="V673" s="389" t="str">
        <f>IF('Lớp 6 - Chi tiết'!I235="","","           └─ "&amp;'Lớp 6 - Chi tiết'!S235)</f>
        <v/>
      </c>
      <c r="W673" s="389" t="str">
        <f>IF('Lớp 6 - Chi tiết'!I235="","",6)</f>
        <v/>
      </c>
      <c r="X673" s="67" t="str">
        <f>'Lớp 6 - Chi tiết'!I235</f>
        <v/>
      </c>
      <c r="Y673" s="389" t="str">
        <f>'Lớp 6 - Chi tiết'!J235</f>
        <v/>
      </c>
      <c r="Z673" s="67" t="str">
        <f>'Lớp 6 - Chi tiết'!AC235</f>
        <v/>
      </c>
      <c r="AA673" s="67" t="str">
        <f>'Lớp 6 - Chi tiết'!AB235</f>
        <v/>
      </c>
      <c r="AB673" s="67" t="str">
        <f>'Lớp 6 - Chi tiết'!AF235</f>
        <v/>
      </c>
      <c r="AC673" s="67" t="str">
        <f>'Lớp 6 - Chi tiết'!AE235</f>
        <v/>
      </c>
      <c r="AD673" s="398" t="str">
        <f>'Lớp 6 - Chi tiết'!AJ235</f>
        <v/>
      </c>
      <c r="AE673" s="358" t="str">
        <f>'Lớp 6 - Chi tiết'!AH235</f>
        <v/>
      </c>
      <c r="AF673" s="187" t="str">
        <f>'Lớp 6 - Chi tiết'!AK235</f>
        <v/>
      </c>
      <c r="AG673" s="104" t="str">
        <f>'Lớp 6 - Chi tiết'!AL235</f>
        <v/>
      </c>
      <c r="AH673" s="389" t="str">
        <f t="shared" si="27"/>
        <v/>
      </c>
      <c r="AI673" s="389" t="str">
        <f t="shared" si="37"/>
        <v>🔵 Chưa có hạn</v>
      </c>
      <c r="AJ673" s="67" t="str">
        <f>'Lớp 6 - Chi tiết'!AO235</f>
        <v/>
      </c>
      <c r="AS673" s="389" t="str">
        <f t="shared" si="467"/>
        <v/>
      </c>
      <c r="AT673" s="389" t="str">
        <f t="shared" si="32"/>
        <v/>
      </c>
      <c r="AU673" s="389" t="str">
        <f t="shared" si="33"/>
        <v/>
      </c>
      <c r="AV673" s="389" t="str">
        <f t="shared" si="34"/>
        <v/>
      </c>
      <c r="AW673" s="389" t="str">
        <f t="shared" si="35"/>
        <v/>
      </c>
      <c r="AX673" s="67" t="str">
        <f t="shared" ref="AX673:BH673" si="688">Z673</f>
        <v/>
      </c>
      <c r="AY673" s="67" t="str">
        <f t="shared" si="688"/>
        <v/>
      </c>
      <c r="AZ673" s="67" t="str">
        <f t="shared" si="688"/>
        <v/>
      </c>
      <c r="BA673" s="67" t="str">
        <f t="shared" si="688"/>
        <v/>
      </c>
      <c r="BB673" s="398" t="str">
        <f t="shared" si="688"/>
        <v/>
      </c>
      <c r="BC673" s="358" t="str">
        <f t="shared" si="688"/>
        <v/>
      </c>
      <c r="BD673" s="187" t="str">
        <f t="shared" si="688"/>
        <v/>
      </c>
      <c r="BE673" s="104" t="str">
        <f t="shared" si="688"/>
        <v/>
      </c>
      <c r="BF673" s="389" t="str">
        <f t="shared" si="688"/>
        <v/>
      </c>
      <c r="BG673" s="389" t="str">
        <f t="shared" si="688"/>
        <v>🔵 Chưa có hạn</v>
      </c>
      <c r="BH673" s="67" t="str">
        <f t="shared" si="688"/>
        <v/>
      </c>
      <c r="BI673" s="389" t="str">
        <f t="array" ref="BI673">IF($X673="","",SWITCH($W673,3,IFERROR(INDEX('Lớp 3 - Công việc chính'!$AF$14:$AF$73,MATCH($X673,'Lớp 3 - Công việc chính'!$I$14:$I$73,0)),""),4,IFERROR(INDEX('Lớp 4 - Danh mục'!$AI$14:$AI$132,MATCH($X673,'Lớp 4 - Danh mục'!$I$14:$I$132,0)),""),5,IFERROR(INDEX('Lớp 5 - Phân công'!$AJ$14:$AJ$262,MATCH($X673,'Lớp 5 - Phân công'!$I$14:$I$262,0)),""),6,IFERROR(INDEX('Lớp 6 - Chi tiết'!$AM$14:$AM$267,MATCH($X673,'Lớp 6 - Chi tiết'!$I$14:$I$267,0)),""),""))</f>
        <v/>
      </c>
      <c r="BJ673" s="389" t="str">
        <f t="array" ref="BJ673">IF($X673="","",SWITCH($W673,3,IFERROR(INDEX('Lớp 3 - Công việc chính'!$AR$14:$AR$73,MATCH($X673,'Lớp 3 - Công việc chính'!$I$14:$I$73,0)),""),4,IFERROR(INDEX('Lớp 4 - Danh mục'!$AU$14:$AU$132,MATCH($X673,'Lớp 4 - Danh mục'!$I$14:$I$132,0)),""),5,IFERROR(INDEX('Lớp 5 - Phân công'!$AV$14:$AV$262,MATCH($X673,'Lớp 5 - Phân công'!$I$14:$I$262,0)),""),6,IFERROR(INDEX('Lớp 6 - Chi tiết'!$AY$14:$AY$267,MATCH($X673,'Lớp 6 - Chi tiết'!$I$14:$I$267,0)),""),""))</f>
        <v/>
      </c>
    </row>
    <row r="674" ht="15.75" customHeight="1">
      <c r="A674" s="294" t="str">
        <f t="shared" si="12"/>
        <v/>
      </c>
      <c r="B674" s="301" t="str">
        <f t="shared" si="13"/>
        <v/>
      </c>
      <c r="C674" s="301" t="str">
        <f t="shared" si="14"/>
        <v/>
      </c>
      <c r="D674" s="301" t="str">
        <f t="shared" si="15"/>
        <v/>
      </c>
      <c r="E674" s="301" t="str">
        <f t="shared" si="16"/>
        <v/>
      </c>
      <c r="F674" s="317" t="str">
        <f t="shared" si="17"/>
        <v/>
      </c>
      <c r="G674" s="323" t="str">
        <f t="shared" si="18"/>
        <v/>
      </c>
      <c r="H674" s="327" t="str">
        <f t="shared" si="19"/>
        <v/>
      </c>
      <c r="I674" s="327" t="str">
        <f t="shared" si="20"/>
        <v/>
      </c>
      <c r="J674" s="301" t="str">
        <f t="shared" si="21"/>
        <v/>
      </c>
      <c r="K674" s="301" t="str">
        <f t="shared" si="22"/>
        <v/>
      </c>
      <c r="L674" s="344" t="str">
        <f t="array" ref="L674">IF($T674="","",LET(m,MATCH($T674,$AS$24:$AS$700,0),lvl,INDEX($W$24:$W$700,m),id,INDEX($X$24:$X$700,m),SWITCH(lvl,3,"Lớp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4" s="351" t="str">
        <f t="shared" si="23"/>
        <v/>
      </c>
      <c r="N674" s="356" t="str">
        <f t="shared" si="24"/>
        <v/>
      </c>
      <c r="O674" s="358"/>
      <c r="P674" s="360"/>
      <c r="Q674" s="360"/>
      <c r="R674" s="67"/>
      <c r="S674" s="67"/>
      <c r="T674" s="67"/>
      <c r="U674" s="389" t="str">
        <f>IF('Lớp 6 - Chi tiết'!I236="","",'Lớp 6 - Chi tiết'!L236&amp;"|"&amp;'Lớp 6 - Chi tiết'!K236&amp;"|"&amp;'Lớp 6 - Chi tiết'!J236&amp;"|"&amp;'Lớp 6 - Chi tiết'!I236)</f>
        <v/>
      </c>
      <c r="V674" s="389" t="str">
        <f>IF('Lớp 6 - Chi tiết'!I236="","","           └─ "&amp;'Lớp 6 - Chi tiết'!S236)</f>
        <v/>
      </c>
      <c r="W674" s="389" t="str">
        <f>IF('Lớp 6 - Chi tiết'!I236="","",6)</f>
        <v/>
      </c>
      <c r="X674" s="67" t="str">
        <f>'Lớp 6 - Chi tiết'!I236</f>
        <v/>
      </c>
      <c r="Y674" s="389" t="str">
        <f>'Lớp 6 - Chi tiết'!J236</f>
        <v/>
      </c>
      <c r="Z674" s="67" t="str">
        <f>'Lớp 6 - Chi tiết'!AC236</f>
        <v/>
      </c>
      <c r="AA674" s="67" t="str">
        <f>'Lớp 6 - Chi tiết'!AB236</f>
        <v/>
      </c>
      <c r="AB674" s="67" t="str">
        <f>'Lớp 6 - Chi tiết'!AF236</f>
        <v/>
      </c>
      <c r="AC674" s="67" t="str">
        <f>'Lớp 6 - Chi tiết'!AE236</f>
        <v/>
      </c>
      <c r="AD674" s="398" t="str">
        <f>'Lớp 6 - Chi tiết'!AJ236</f>
        <v/>
      </c>
      <c r="AE674" s="358" t="str">
        <f>'Lớp 6 - Chi tiết'!AH236</f>
        <v/>
      </c>
      <c r="AF674" s="187" t="str">
        <f>'Lớp 6 - Chi tiết'!AK236</f>
        <v/>
      </c>
      <c r="AG674" s="104" t="str">
        <f>'Lớp 6 - Chi tiết'!AL236</f>
        <v/>
      </c>
      <c r="AH674" s="389" t="str">
        <f t="shared" si="27"/>
        <v/>
      </c>
      <c r="AI674" s="389" t="str">
        <f t="shared" si="37"/>
        <v>🔵 Chưa có hạn</v>
      </c>
      <c r="AJ674" s="67" t="str">
        <f>'Lớp 6 - Chi tiết'!AO236</f>
        <v/>
      </c>
      <c r="AS674" s="389" t="str">
        <f t="shared" si="467"/>
        <v/>
      </c>
      <c r="AT674" s="389" t="str">
        <f t="shared" si="32"/>
        <v/>
      </c>
      <c r="AU674" s="389" t="str">
        <f t="shared" si="33"/>
        <v/>
      </c>
      <c r="AV674" s="389" t="str">
        <f t="shared" si="34"/>
        <v/>
      </c>
      <c r="AW674" s="389" t="str">
        <f t="shared" si="35"/>
        <v/>
      </c>
      <c r="AX674" s="67" t="str">
        <f t="shared" ref="AX674:BH674" si="689">Z674</f>
        <v/>
      </c>
      <c r="AY674" s="67" t="str">
        <f t="shared" si="689"/>
        <v/>
      </c>
      <c r="AZ674" s="67" t="str">
        <f t="shared" si="689"/>
        <v/>
      </c>
      <c r="BA674" s="67" t="str">
        <f t="shared" si="689"/>
        <v/>
      </c>
      <c r="BB674" s="398" t="str">
        <f t="shared" si="689"/>
        <v/>
      </c>
      <c r="BC674" s="358" t="str">
        <f t="shared" si="689"/>
        <v/>
      </c>
      <c r="BD674" s="187" t="str">
        <f t="shared" si="689"/>
        <v/>
      </c>
      <c r="BE674" s="104" t="str">
        <f t="shared" si="689"/>
        <v/>
      </c>
      <c r="BF674" s="389" t="str">
        <f t="shared" si="689"/>
        <v/>
      </c>
      <c r="BG674" s="389" t="str">
        <f t="shared" si="689"/>
        <v>🔵 Chưa có hạn</v>
      </c>
      <c r="BH674" s="67" t="str">
        <f t="shared" si="689"/>
        <v/>
      </c>
      <c r="BI674" s="389" t="str">
        <f t="array" ref="BI674">IF($X674="","",SWITCH($W674,3,IFERROR(INDEX('Lớp 3 - Công việc chính'!$AF$14:$AF$73,MATCH($X674,'Lớp 3 - Công việc chính'!$I$14:$I$73,0)),""),4,IFERROR(INDEX('Lớp 4 - Danh mục'!$AI$14:$AI$132,MATCH($X674,'Lớp 4 - Danh mục'!$I$14:$I$132,0)),""),5,IFERROR(INDEX('Lớp 5 - Phân công'!$AJ$14:$AJ$262,MATCH($X674,'Lớp 5 - Phân công'!$I$14:$I$262,0)),""),6,IFERROR(INDEX('Lớp 6 - Chi tiết'!$AM$14:$AM$267,MATCH($X674,'Lớp 6 - Chi tiết'!$I$14:$I$267,0)),""),""))</f>
        <v/>
      </c>
      <c r="BJ674" s="389" t="str">
        <f t="array" ref="BJ674">IF($X674="","",SWITCH($W674,3,IFERROR(INDEX('Lớp 3 - Công việc chính'!$AR$14:$AR$73,MATCH($X674,'Lớp 3 - Công việc chính'!$I$14:$I$73,0)),""),4,IFERROR(INDEX('Lớp 4 - Danh mục'!$AU$14:$AU$132,MATCH($X674,'Lớp 4 - Danh mục'!$I$14:$I$132,0)),""),5,IFERROR(INDEX('Lớp 5 - Phân công'!$AV$14:$AV$262,MATCH($X674,'Lớp 5 - Phân công'!$I$14:$I$262,0)),""),6,IFERROR(INDEX('Lớp 6 - Chi tiết'!$AY$14:$AY$267,MATCH($X674,'Lớp 6 - Chi tiết'!$I$14:$I$267,0)),""),""))</f>
        <v/>
      </c>
    </row>
    <row r="675" ht="15.75" customHeight="1">
      <c r="A675" s="294" t="str">
        <f t="shared" si="12"/>
        <v/>
      </c>
      <c r="B675" s="301" t="str">
        <f t="shared" si="13"/>
        <v/>
      </c>
      <c r="C675" s="301" t="str">
        <f t="shared" si="14"/>
        <v/>
      </c>
      <c r="D675" s="301" t="str">
        <f t="shared" si="15"/>
        <v/>
      </c>
      <c r="E675" s="301" t="str">
        <f t="shared" si="16"/>
        <v/>
      </c>
      <c r="F675" s="317" t="str">
        <f t="shared" si="17"/>
        <v/>
      </c>
      <c r="G675" s="323" t="str">
        <f t="shared" si="18"/>
        <v/>
      </c>
      <c r="H675" s="327" t="str">
        <f t="shared" si="19"/>
        <v/>
      </c>
      <c r="I675" s="327" t="str">
        <f t="shared" si="20"/>
        <v/>
      </c>
      <c r="J675" s="301" t="str">
        <f t="shared" si="21"/>
        <v/>
      </c>
      <c r="K675" s="301" t="str">
        <f t="shared" si="22"/>
        <v/>
      </c>
      <c r="L675" s="344" t="str">
        <f t="array" ref="L675">IF($T675="","",LET(m,MATCH($T675,$AS$24:$AS$700,0),lvl,INDEX($W$24:$W$700,m),id,INDEX($X$24:$X$700,m),SWITCH(lvl,3,"Lớp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5" s="351" t="str">
        <f t="shared" si="23"/>
        <v/>
      </c>
      <c r="N675" s="356" t="str">
        <f t="shared" si="24"/>
        <v/>
      </c>
      <c r="O675" s="358"/>
      <c r="P675" s="360"/>
      <c r="Q675" s="360"/>
      <c r="R675" s="67"/>
      <c r="S675" s="67"/>
      <c r="T675" s="67"/>
      <c r="U675" s="389" t="str">
        <f>IF('Lớp 6 - Chi tiết'!I237="","",'Lớp 6 - Chi tiết'!L237&amp;"|"&amp;'Lớp 6 - Chi tiết'!K237&amp;"|"&amp;'Lớp 6 - Chi tiết'!J237&amp;"|"&amp;'Lớp 6 - Chi tiết'!I237)</f>
        <v/>
      </c>
      <c r="V675" s="389" t="str">
        <f>IF('Lớp 6 - Chi tiết'!I237="","","           └─ "&amp;'Lớp 6 - Chi tiết'!S237)</f>
        <v/>
      </c>
      <c r="W675" s="389" t="str">
        <f>IF('Lớp 6 - Chi tiết'!I237="","",6)</f>
        <v/>
      </c>
      <c r="X675" s="67" t="str">
        <f>'Lớp 6 - Chi tiết'!I237</f>
        <v/>
      </c>
      <c r="Y675" s="389" t="str">
        <f>'Lớp 6 - Chi tiết'!J237</f>
        <v/>
      </c>
      <c r="Z675" s="67" t="str">
        <f>'Lớp 6 - Chi tiết'!AC237</f>
        <v/>
      </c>
      <c r="AA675" s="67" t="str">
        <f>'Lớp 6 - Chi tiết'!AB237</f>
        <v/>
      </c>
      <c r="AB675" s="67" t="str">
        <f>'Lớp 6 - Chi tiết'!AF237</f>
        <v/>
      </c>
      <c r="AC675" s="67" t="str">
        <f>'Lớp 6 - Chi tiết'!AE237</f>
        <v/>
      </c>
      <c r="AD675" s="398" t="str">
        <f>'Lớp 6 - Chi tiết'!AJ237</f>
        <v/>
      </c>
      <c r="AE675" s="358" t="str">
        <f>'Lớp 6 - Chi tiết'!AH237</f>
        <v/>
      </c>
      <c r="AF675" s="187" t="str">
        <f>'Lớp 6 - Chi tiết'!AK237</f>
        <v/>
      </c>
      <c r="AG675" s="104" t="str">
        <f>'Lớp 6 - Chi tiết'!AL237</f>
        <v/>
      </c>
      <c r="AH675" s="389" t="str">
        <f t="shared" si="27"/>
        <v/>
      </c>
      <c r="AI675" s="389" t="str">
        <f t="shared" si="37"/>
        <v>🔵 Chưa có hạn</v>
      </c>
      <c r="AJ675" s="67" t="str">
        <f>'Lớp 6 - Chi tiết'!AO237</f>
        <v/>
      </c>
      <c r="AS675" s="389" t="str">
        <f t="shared" si="467"/>
        <v/>
      </c>
      <c r="AT675" s="389" t="str">
        <f t="shared" si="32"/>
        <v/>
      </c>
      <c r="AU675" s="389" t="str">
        <f t="shared" si="33"/>
        <v/>
      </c>
      <c r="AV675" s="389" t="str">
        <f t="shared" si="34"/>
        <v/>
      </c>
      <c r="AW675" s="389" t="str">
        <f t="shared" si="35"/>
        <v/>
      </c>
      <c r="AX675" s="67" t="str">
        <f t="shared" ref="AX675:BH675" si="690">Z675</f>
        <v/>
      </c>
      <c r="AY675" s="67" t="str">
        <f t="shared" si="690"/>
        <v/>
      </c>
      <c r="AZ675" s="67" t="str">
        <f t="shared" si="690"/>
        <v/>
      </c>
      <c r="BA675" s="67" t="str">
        <f t="shared" si="690"/>
        <v/>
      </c>
      <c r="BB675" s="398" t="str">
        <f t="shared" si="690"/>
        <v/>
      </c>
      <c r="BC675" s="358" t="str">
        <f t="shared" si="690"/>
        <v/>
      </c>
      <c r="BD675" s="187" t="str">
        <f t="shared" si="690"/>
        <v/>
      </c>
      <c r="BE675" s="104" t="str">
        <f t="shared" si="690"/>
        <v/>
      </c>
      <c r="BF675" s="389" t="str">
        <f t="shared" si="690"/>
        <v/>
      </c>
      <c r="BG675" s="389" t="str">
        <f t="shared" si="690"/>
        <v>🔵 Chưa có hạn</v>
      </c>
      <c r="BH675" s="67" t="str">
        <f t="shared" si="690"/>
        <v/>
      </c>
      <c r="BI675" s="389" t="str">
        <f t="array" ref="BI675">IF($X675="","",SWITCH($W675,3,IFERROR(INDEX('Lớp 3 - Công việc chính'!$AF$14:$AF$73,MATCH($X675,'Lớp 3 - Công việc chính'!$I$14:$I$73,0)),""),4,IFERROR(INDEX('Lớp 4 - Danh mục'!$AI$14:$AI$132,MATCH($X675,'Lớp 4 - Danh mục'!$I$14:$I$132,0)),""),5,IFERROR(INDEX('Lớp 5 - Phân công'!$AJ$14:$AJ$262,MATCH($X675,'Lớp 5 - Phân công'!$I$14:$I$262,0)),""),6,IFERROR(INDEX('Lớp 6 - Chi tiết'!$AM$14:$AM$267,MATCH($X675,'Lớp 6 - Chi tiết'!$I$14:$I$267,0)),""),""))</f>
        <v/>
      </c>
      <c r="BJ675" s="389" t="str">
        <f t="array" ref="BJ675">IF($X675="","",SWITCH($W675,3,IFERROR(INDEX('Lớp 3 - Công việc chính'!$AR$14:$AR$73,MATCH($X675,'Lớp 3 - Công việc chính'!$I$14:$I$73,0)),""),4,IFERROR(INDEX('Lớp 4 - Danh mục'!$AU$14:$AU$132,MATCH($X675,'Lớp 4 - Danh mục'!$I$14:$I$132,0)),""),5,IFERROR(INDEX('Lớp 5 - Phân công'!$AV$14:$AV$262,MATCH($X675,'Lớp 5 - Phân công'!$I$14:$I$262,0)),""),6,IFERROR(INDEX('Lớp 6 - Chi tiết'!$AY$14:$AY$267,MATCH($X675,'Lớp 6 - Chi tiết'!$I$14:$I$267,0)),""),""))</f>
        <v/>
      </c>
    </row>
    <row r="676" ht="15.75" customHeight="1">
      <c r="A676" s="294" t="str">
        <f t="shared" si="12"/>
        <v/>
      </c>
      <c r="B676" s="301" t="str">
        <f t="shared" si="13"/>
        <v/>
      </c>
      <c r="C676" s="301" t="str">
        <f t="shared" si="14"/>
        <v/>
      </c>
      <c r="D676" s="301" t="str">
        <f t="shared" si="15"/>
        <v/>
      </c>
      <c r="E676" s="301" t="str">
        <f t="shared" si="16"/>
        <v/>
      </c>
      <c r="F676" s="317" t="str">
        <f t="shared" si="17"/>
        <v/>
      </c>
      <c r="G676" s="323" t="str">
        <f t="shared" si="18"/>
        <v/>
      </c>
      <c r="H676" s="327" t="str">
        <f t="shared" si="19"/>
        <v/>
      </c>
      <c r="I676" s="327" t="str">
        <f t="shared" si="20"/>
        <v/>
      </c>
      <c r="J676" s="301" t="str">
        <f t="shared" si="21"/>
        <v/>
      </c>
      <c r="K676" s="301" t="str">
        <f t="shared" si="22"/>
        <v/>
      </c>
      <c r="L676" s="344" t="str">
        <f t="array" ref="L676">IF($T676="","",LET(m,MATCH($T676,$AS$24:$AS$700,0),lvl,INDEX($W$24:$W$700,m),id,INDEX($X$24:$X$700,m),SWITCH(lvl,3,"Lớp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6" s="351" t="str">
        <f t="shared" si="23"/>
        <v/>
      </c>
      <c r="N676" s="356" t="str">
        <f t="shared" si="24"/>
        <v/>
      </c>
      <c r="O676" s="358"/>
      <c r="P676" s="360"/>
      <c r="Q676" s="360"/>
      <c r="R676" s="67"/>
      <c r="S676" s="67"/>
      <c r="T676" s="67"/>
      <c r="U676" s="389" t="str">
        <f>IF('Lớp 6 - Chi tiết'!I238="","",'Lớp 6 - Chi tiết'!L238&amp;"|"&amp;'Lớp 6 - Chi tiết'!K238&amp;"|"&amp;'Lớp 6 - Chi tiết'!J238&amp;"|"&amp;'Lớp 6 - Chi tiết'!I238)</f>
        <v/>
      </c>
      <c r="V676" s="389" t="str">
        <f>IF('Lớp 6 - Chi tiết'!I238="","","           └─ "&amp;'Lớp 6 - Chi tiết'!S238)</f>
        <v/>
      </c>
      <c r="W676" s="389" t="str">
        <f>IF('Lớp 6 - Chi tiết'!I238="","",6)</f>
        <v/>
      </c>
      <c r="X676" s="67" t="str">
        <f>'Lớp 6 - Chi tiết'!I238</f>
        <v/>
      </c>
      <c r="Y676" s="389" t="str">
        <f>'Lớp 6 - Chi tiết'!J238</f>
        <v/>
      </c>
      <c r="Z676" s="67" t="str">
        <f>'Lớp 6 - Chi tiết'!AC238</f>
        <v/>
      </c>
      <c r="AA676" s="67" t="str">
        <f>'Lớp 6 - Chi tiết'!AB238</f>
        <v/>
      </c>
      <c r="AB676" s="67" t="str">
        <f>'Lớp 6 - Chi tiết'!AF238</f>
        <v/>
      </c>
      <c r="AC676" s="67" t="str">
        <f>'Lớp 6 - Chi tiết'!AE238</f>
        <v/>
      </c>
      <c r="AD676" s="398" t="str">
        <f>'Lớp 6 - Chi tiết'!AJ238</f>
        <v/>
      </c>
      <c r="AE676" s="358" t="str">
        <f>'Lớp 6 - Chi tiết'!AH238</f>
        <v/>
      </c>
      <c r="AF676" s="187" t="str">
        <f>'Lớp 6 - Chi tiết'!AK238</f>
        <v/>
      </c>
      <c r="AG676" s="104" t="str">
        <f>'Lớp 6 - Chi tiết'!AL238</f>
        <v/>
      </c>
      <c r="AH676" s="389" t="str">
        <f t="shared" si="27"/>
        <v/>
      </c>
      <c r="AI676" s="389" t="str">
        <f t="shared" si="37"/>
        <v>🔵 Chưa có hạn</v>
      </c>
      <c r="AJ676" s="67" t="str">
        <f>'Lớp 6 - Chi tiết'!AO238</f>
        <v/>
      </c>
      <c r="AS676" s="389" t="str">
        <f t="shared" si="467"/>
        <v/>
      </c>
      <c r="AT676" s="389" t="str">
        <f t="shared" si="32"/>
        <v/>
      </c>
      <c r="AU676" s="389" t="str">
        <f t="shared" si="33"/>
        <v/>
      </c>
      <c r="AV676" s="389" t="str">
        <f t="shared" si="34"/>
        <v/>
      </c>
      <c r="AW676" s="389" t="str">
        <f t="shared" si="35"/>
        <v/>
      </c>
      <c r="AX676" s="67" t="str">
        <f t="shared" ref="AX676:BH676" si="691">Z676</f>
        <v/>
      </c>
      <c r="AY676" s="67" t="str">
        <f t="shared" si="691"/>
        <v/>
      </c>
      <c r="AZ676" s="67" t="str">
        <f t="shared" si="691"/>
        <v/>
      </c>
      <c r="BA676" s="67" t="str">
        <f t="shared" si="691"/>
        <v/>
      </c>
      <c r="BB676" s="398" t="str">
        <f t="shared" si="691"/>
        <v/>
      </c>
      <c r="BC676" s="358" t="str">
        <f t="shared" si="691"/>
        <v/>
      </c>
      <c r="BD676" s="187" t="str">
        <f t="shared" si="691"/>
        <v/>
      </c>
      <c r="BE676" s="104" t="str">
        <f t="shared" si="691"/>
        <v/>
      </c>
      <c r="BF676" s="389" t="str">
        <f t="shared" si="691"/>
        <v/>
      </c>
      <c r="BG676" s="389" t="str">
        <f t="shared" si="691"/>
        <v>🔵 Chưa có hạn</v>
      </c>
      <c r="BH676" s="67" t="str">
        <f t="shared" si="691"/>
        <v/>
      </c>
      <c r="BI676" s="389" t="str">
        <f t="array" ref="BI676">IF($X676="","",SWITCH($W676,3,IFERROR(INDEX('Lớp 3 - Công việc chính'!$AF$14:$AF$73,MATCH($X676,'Lớp 3 - Công việc chính'!$I$14:$I$73,0)),""),4,IFERROR(INDEX('Lớp 4 - Danh mục'!$AI$14:$AI$132,MATCH($X676,'Lớp 4 - Danh mục'!$I$14:$I$132,0)),""),5,IFERROR(INDEX('Lớp 5 - Phân công'!$AJ$14:$AJ$262,MATCH($X676,'Lớp 5 - Phân công'!$I$14:$I$262,0)),""),6,IFERROR(INDEX('Lớp 6 - Chi tiết'!$AM$14:$AM$267,MATCH($X676,'Lớp 6 - Chi tiết'!$I$14:$I$267,0)),""),""))</f>
        <v/>
      </c>
      <c r="BJ676" s="389" t="str">
        <f t="array" ref="BJ676">IF($X676="","",SWITCH($W676,3,IFERROR(INDEX('Lớp 3 - Công việc chính'!$AR$14:$AR$73,MATCH($X676,'Lớp 3 - Công việc chính'!$I$14:$I$73,0)),""),4,IFERROR(INDEX('Lớp 4 - Danh mục'!$AU$14:$AU$132,MATCH($X676,'Lớp 4 - Danh mục'!$I$14:$I$132,0)),""),5,IFERROR(INDEX('Lớp 5 - Phân công'!$AV$14:$AV$262,MATCH($X676,'Lớp 5 - Phân công'!$I$14:$I$262,0)),""),6,IFERROR(INDEX('Lớp 6 - Chi tiết'!$AY$14:$AY$267,MATCH($X676,'Lớp 6 - Chi tiết'!$I$14:$I$267,0)),""),""))</f>
        <v/>
      </c>
    </row>
    <row r="677" ht="15.75" customHeight="1">
      <c r="A677" s="294" t="str">
        <f t="shared" si="12"/>
        <v/>
      </c>
      <c r="B677" s="301" t="str">
        <f t="shared" si="13"/>
        <v/>
      </c>
      <c r="C677" s="301" t="str">
        <f t="shared" si="14"/>
        <v/>
      </c>
      <c r="D677" s="301" t="str">
        <f t="shared" si="15"/>
        <v/>
      </c>
      <c r="E677" s="301" t="str">
        <f t="shared" si="16"/>
        <v/>
      </c>
      <c r="F677" s="317" t="str">
        <f t="shared" si="17"/>
        <v/>
      </c>
      <c r="G677" s="323" t="str">
        <f t="shared" si="18"/>
        <v/>
      </c>
      <c r="H677" s="327" t="str">
        <f t="shared" si="19"/>
        <v/>
      </c>
      <c r="I677" s="327" t="str">
        <f t="shared" si="20"/>
        <v/>
      </c>
      <c r="J677" s="301" t="str">
        <f t="shared" si="21"/>
        <v/>
      </c>
      <c r="K677" s="301" t="str">
        <f t="shared" si="22"/>
        <v/>
      </c>
      <c r="L677" s="344" t="str">
        <f t="array" ref="L677">IF($T677="","",LET(m,MATCH($T677,$AS$24:$AS$700,0),lvl,INDEX($W$24:$W$700,m),id,INDEX($X$24:$X$700,m),SWITCH(lvl,3,"Lớp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7" s="351" t="str">
        <f t="shared" si="23"/>
        <v/>
      </c>
      <c r="N677" s="356" t="str">
        <f t="shared" si="24"/>
        <v/>
      </c>
      <c r="O677" s="358"/>
      <c r="P677" s="360"/>
      <c r="Q677" s="360"/>
      <c r="R677" s="67"/>
      <c r="S677" s="67"/>
      <c r="T677" s="67"/>
      <c r="U677" s="389" t="str">
        <f>IF('Lớp 6 - Chi tiết'!I239="","",'Lớp 6 - Chi tiết'!L239&amp;"|"&amp;'Lớp 6 - Chi tiết'!K239&amp;"|"&amp;'Lớp 6 - Chi tiết'!J239&amp;"|"&amp;'Lớp 6 - Chi tiết'!I239)</f>
        <v/>
      </c>
      <c r="V677" s="389" t="str">
        <f>IF('Lớp 6 - Chi tiết'!I239="","","           └─ "&amp;'Lớp 6 - Chi tiết'!S239)</f>
        <v/>
      </c>
      <c r="W677" s="389" t="str">
        <f>IF('Lớp 6 - Chi tiết'!I239="","",6)</f>
        <v/>
      </c>
      <c r="X677" s="67" t="str">
        <f>'Lớp 6 - Chi tiết'!I239</f>
        <v/>
      </c>
      <c r="Y677" s="389" t="str">
        <f>'Lớp 6 - Chi tiết'!J239</f>
        <v/>
      </c>
      <c r="Z677" s="67" t="str">
        <f>'Lớp 6 - Chi tiết'!AC239</f>
        <v/>
      </c>
      <c r="AA677" s="67" t="str">
        <f>'Lớp 6 - Chi tiết'!AB239</f>
        <v/>
      </c>
      <c r="AB677" s="67" t="str">
        <f>'Lớp 6 - Chi tiết'!AF239</f>
        <v/>
      </c>
      <c r="AC677" s="67" t="str">
        <f>'Lớp 6 - Chi tiết'!AE239</f>
        <v/>
      </c>
      <c r="AD677" s="398" t="str">
        <f>'Lớp 6 - Chi tiết'!AJ239</f>
        <v/>
      </c>
      <c r="AE677" s="358" t="str">
        <f>'Lớp 6 - Chi tiết'!AH239</f>
        <v/>
      </c>
      <c r="AF677" s="187" t="str">
        <f>'Lớp 6 - Chi tiết'!AK239</f>
        <v/>
      </c>
      <c r="AG677" s="104" t="str">
        <f>'Lớp 6 - Chi tiết'!AL239</f>
        <v/>
      </c>
      <c r="AH677" s="389" t="str">
        <f t="shared" si="27"/>
        <v/>
      </c>
      <c r="AI677" s="389" t="str">
        <f t="shared" si="37"/>
        <v>🔵 Chưa có hạn</v>
      </c>
      <c r="AJ677" s="67" t="str">
        <f>'Lớp 6 - Chi tiết'!AO239</f>
        <v/>
      </c>
      <c r="AS677" s="389" t="str">
        <f t="shared" si="467"/>
        <v/>
      </c>
      <c r="AT677" s="389" t="str">
        <f t="shared" si="32"/>
        <v/>
      </c>
      <c r="AU677" s="389" t="str">
        <f t="shared" si="33"/>
        <v/>
      </c>
      <c r="AV677" s="389" t="str">
        <f t="shared" si="34"/>
        <v/>
      </c>
      <c r="AW677" s="389" t="str">
        <f t="shared" si="35"/>
        <v/>
      </c>
      <c r="AX677" s="67" t="str">
        <f t="shared" ref="AX677:BH677" si="692">Z677</f>
        <v/>
      </c>
      <c r="AY677" s="67" t="str">
        <f t="shared" si="692"/>
        <v/>
      </c>
      <c r="AZ677" s="67" t="str">
        <f t="shared" si="692"/>
        <v/>
      </c>
      <c r="BA677" s="67" t="str">
        <f t="shared" si="692"/>
        <v/>
      </c>
      <c r="BB677" s="398" t="str">
        <f t="shared" si="692"/>
        <v/>
      </c>
      <c r="BC677" s="358" t="str">
        <f t="shared" si="692"/>
        <v/>
      </c>
      <c r="BD677" s="187" t="str">
        <f t="shared" si="692"/>
        <v/>
      </c>
      <c r="BE677" s="104" t="str">
        <f t="shared" si="692"/>
        <v/>
      </c>
      <c r="BF677" s="389" t="str">
        <f t="shared" si="692"/>
        <v/>
      </c>
      <c r="BG677" s="389" t="str">
        <f t="shared" si="692"/>
        <v>🔵 Chưa có hạn</v>
      </c>
      <c r="BH677" s="67" t="str">
        <f t="shared" si="692"/>
        <v/>
      </c>
      <c r="BI677" s="389" t="str">
        <f t="array" ref="BI677">IF($X677="","",SWITCH($W677,3,IFERROR(INDEX('Lớp 3 - Công việc chính'!$AF$14:$AF$73,MATCH($X677,'Lớp 3 - Công việc chính'!$I$14:$I$73,0)),""),4,IFERROR(INDEX('Lớp 4 - Danh mục'!$AI$14:$AI$132,MATCH($X677,'Lớp 4 - Danh mục'!$I$14:$I$132,0)),""),5,IFERROR(INDEX('Lớp 5 - Phân công'!$AJ$14:$AJ$262,MATCH($X677,'Lớp 5 - Phân công'!$I$14:$I$262,0)),""),6,IFERROR(INDEX('Lớp 6 - Chi tiết'!$AM$14:$AM$267,MATCH($X677,'Lớp 6 - Chi tiết'!$I$14:$I$267,0)),""),""))</f>
        <v/>
      </c>
      <c r="BJ677" s="389" t="str">
        <f t="array" ref="BJ677">IF($X677="","",SWITCH($W677,3,IFERROR(INDEX('Lớp 3 - Công việc chính'!$AR$14:$AR$73,MATCH($X677,'Lớp 3 - Công việc chính'!$I$14:$I$73,0)),""),4,IFERROR(INDEX('Lớp 4 - Danh mục'!$AU$14:$AU$132,MATCH($X677,'Lớp 4 - Danh mục'!$I$14:$I$132,0)),""),5,IFERROR(INDEX('Lớp 5 - Phân công'!$AV$14:$AV$262,MATCH($X677,'Lớp 5 - Phân công'!$I$14:$I$262,0)),""),6,IFERROR(INDEX('Lớp 6 - Chi tiết'!$AY$14:$AY$267,MATCH($X677,'Lớp 6 - Chi tiết'!$I$14:$I$267,0)),""),""))</f>
        <v/>
      </c>
    </row>
    <row r="678" ht="15.75" customHeight="1">
      <c r="A678" s="294" t="str">
        <f t="shared" si="12"/>
        <v/>
      </c>
      <c r="B678" s="301" t="str">
        <f t="shared" si="13"/>
        <v/>
      </c>
      <c r="C678" s="301" t="str">
        <f t="shared" si="14"/>
        <v/>
      </c>
      <c r="D678" s="301" t="str">
        <f t="shared" si="15"/>
        <v/>
      </c>
      <c r="E678" s="301" t="str">
        <f t="shared" si="16"/>
        <v/>
      </c>
      <c r="F678" s="317" t="str">
        <f t="shared" si="17"/>
        <v/>
      </c>
      <c r="G678" s="323" t="str">
        <f t="shared" si="18"/>
        <v/>
      </c>
      <c r="H678" s="327" t="str">
        <f t="shared" si="19"/>
        <v/>
      </c>
      <c r="I678" s="327" t="str">
        <f t="shared" si="20"/>
        <v/>
      </c>
      <c r="J678" s="301" t="str">
        <f t="shared" si="21"/>
        <v/>
      </c>
      <c r="K678" s="301" t="str">
        <f t="shared" si="22"/>
        <v/>
      </c>
      <c r="L678" s="344" t="str">
        <f t="array" ref="L678">IF($T678="","",LET(m,MATCH($T678,$AS$24:$AS$700,0),lvl,INDEX($W$24:$W$700,m),id,INDEX($X$24:$X$700,m),SWITCH(lvl,3,"Lớp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8" s="351" t="str">
        <f t="shared" si="23"/>
        <v/>
      </c>
      <c r="N678" s="356" t="str">
        <f t="shared" si="24"/>
        <v/>
      </c>
      <c r="O678" s="358"/>
      <c r="P678" s="360"/>
      <c r="Q678" s="360"/>
      <c r="R678" s="67"/>
      <c r="S678" s="67"/>
      <c r="T678" s="67"/>
      <c r="U678" s="389" t="str">
        <f>IF('Lớp 6 - Chi tiết'!I240="","",'Lớp 6 - Chi tiết'!L240&amp;"|"&amp;'Lớp 6 - Chi tiết'!K240&amp;"|"&amp;'Lớp 6 - Chi tiết'!J240&amp;"|"&amp;'Lớp 6 - Chi tiết'!I240)</f>
        <v/>
      </c>
      <c r="V678" s="389" t="str">
        <f>IF('Lớp 6 - Chi tiết'!I240="","","           └─ "&amp;'Lớp 6 - Chi tiết'!S240)</f>
        <v/>
      </c>
      <c r="W678" s="389" t="str">
        <f>IF('Lớp 6 - Chi tiết'!I240="","",6)</f>
        <v/>
      </c>
      <c r="X678" s="67" t="str">
        <f>'Lớp 6 - Chi tiết'!I240</f>
        <v/>
      </c>
      <c r="Y678" s="389" t="str">
        <f>'Lớp 6 - Chi tiết'!J240</f>
        <v/>
      </c>
      <c r="Z678" s="67" t="str">
        <f>'Lớp 6 - Chi tiết'!AC240</f>
        <v/>
      </c>
      <c r="AA678" s="67" t="str">
        <f>'Lớp 6 - Chi tiết'!AB240</f>
        <v/>
      </c>
      <c r="AB678" s="67" t="str">
        <f>'Lớp 6 - Chi tiết'!AF240</f>
        <v/>
      </c>
      <c r="AC678" s="67" t="str">
        <f>'Lớp 6 - Chi tiết'!AE240</f>
        <v/>
      </c>
      <c r="AD678" s="398" t="str">
        <f>'Lớp 6 - Chi tiết'!AJ240</f>
        <v/>
      </c>
      <c r="AE678" s="358" t="str">
        <f>'Lớp 6 - Chi tiết'!AH240</f>
        <v/>
      </c>
      <c r="AF678" s="187" t="str">
        <f>'Lớp 6 - Chi tiết'!AK240</f>
        <v/>
      </c>
      <c r="AG678" s="104" t="str">
        <f>'Lớp 6 - Chi tiết'!AL240</f>
        <v/>
      </c>
      <c r="AH678" s="389" t="str">
        <f t="shared" si="27"/>
        <v/>
      </c>
      <c r="AI678" s="389" t="str">
        <f t="shared" si="37"/>
        <v>🔵 Chưa có hạn</v>
      </c>
      <c r="AJ678" s="67" t="str">
        <f>'Lớp 6 - Chi tiết'!AO240</f>
        <v/>
      </c>
      <c r="AS678" s="389" t="str">
        <f t="shared" si="467"/>
        <v/>
      </c>
      <c r="AT678" s="389" t="str">
        <f t="shared" si="32"/>
        <v/>
      </c>
      <c r="AU678" s="389" t="str">
        <f t="shared" si="33"/>
        <v/>
      </c>
      <c r="AV678" s="389" t="str">
        <f t="shared" si="34"/>
        <v/>
      </c>
      <c r="AW678" s="389" t="str">
        <f t="shared" si="35"/>
        <v/>
      </c>
      <c r="AX678" s="67" t="str">
        <f t="shared" ref="AX678:BH678" si="693">Z678</f>
        <v/>
      </c>
      <c r="AY678" s="67" t="str">
        <f t="shared" si="693"/>
        <v/>
      </c>
      <c r="AZ678" s="67" t="str">
        <f t="shared" si="693"/>
        <v/>
      </c>
      <c r="BA678" s="67" t="str">
        <f t="shared" si="693"/>
        <v/>
      </c>
      <c r="BB678" s="398" t="str">
        <f t="shared" si="693"/>
        <v/>
      </c>
      <c r="BC678" s="358" t="str">
        <f t="shared" si="693"/>
        <v/>
      </c>
      <c r="BD678" s="187" t="str">
        <f t="shared" si="693"/>
        <v/>
      </c>
      <c r="BE678" s="104" t="str">
        <f t="shared" si="693"/>
        <v/>
      </c>
      <c r="BF678" s="389" t="str">
        <f t="shared" si="693"/>
        <v/>
      </c>
      <c r="BG678" s="389" t="str">
        <f t="shared" si="693"/>
        <v>🔵 Chưa có hạn</v>
      </c>
      <c r="BH678" s="67" t="str">
        <f t="shared" si="693"/>
        <v/>
      </c>
      <c r="BI678" s="389" t="str">
        <f t="array" ref="BI678">IF($X678="","",SWITCH($W678,3,IFERROR(INDEX('Lớp 3 - Công việc chính'!$AF$14:$AF$73,MATCH($X678,'Lớp 3 - Công việc chính'!$I$14:$I$73,0)),""),4,IFERROR(INDEX('Lớp 4 - Danh mục'!$AI$14:$AI$132,MATCH($X678,'Lớp 4 - Danh mục'!$I$14:$I$132,0)),""),5,IFERROR(INDEX('Lớp 5 - Phân công'!$AJ$14:$AJ$262,MATCH($X678,'Lớp 5 - Phân công'!$I$14:$I$262,0)),""),6,IFERROR(INDEX('Lớp 6 - Chi tiết'!$AM$14:$AM$267,MATCH($X678,'Lớp 6 - Chi tiết'!$I$14:$I$267,0)),""),""))</f>
        <v/>
      </c>
      <c r="BJ678" s="389" t="str">
        <f t="array" ref="BJ678">IF($X678="","",SWITCH($W678,3,IFERROR(INDEX('Lớp 3 - Công việc chính'!$AR$14:$AR$73,MATCH($X678,'Lớp 3 - Công việc chính'!$I$14:$I$73,0)),""),4,IFERROR(INDEX('Lớp 4 - Danh mục'!$AU$14:$AU$132,MATCH($X678,'Lớp 4 - Danh mục'!$I$14:$I$132,0)),""),5,IFERROR(INDEX('Lớp 5 - Phân công'!$AV$14:$AV$262,MATCH($X678,'Lớp 5 - Phân công'!$I$14:$I$262,0)),""),6,IFERROR(INDEX('Lớp 6 - Chi tiết'!$AY$14:$AY$267,MATCH($X678,'Lớp 6 - Chi tiết'!$I$14:$I$267,0)),""),""))</f>
        <v/>
      </c>
    </row>
    <row r="679" ht="15.75" customHeight="1">
      <c r="A679" s="294" t="str">
        <f t="shared" si="12"/>
        <v/>
      </c>
      <c r="B679" s="301" t="str">
        <f t="shared" si="13"/>
        <v/>
      </c>
      <c r="C679" s="301" t="str">
        <f t="shared" si="14"/>
        <v/>
      </c>
      <c r="D679" s="301" t="str">
        <f t="shared" si="15"/>
        <v/>
      </c>
      <c r="E679" s="301" t="str">
        <f t="shared" si="16"/>
        <v/>
      </c>
      <c r="F679" s="317" t="str">
        <f t="shared" si="17"/>
        <v/>
      </c>
      <c r="G679" s="323" t="str">
        <f t="shared" si="18"/>
        <v/>
      </c>
      <c r="H679" s="327" t="str">
        <f t="shared" si="19"/>
        <v/>
      </c>
      <c r="I679" s="327" t="str">
        <f t="shared" si="20"/>
        <v/>
      </c>
      <c r="J679" s="301" t="str">
        <f t="shared" si="21"/>
        <v/>
      </c>
      <c r="K679" s="301" t="str">
        <f t="shared" si="22"/>
        <v/>
      </c>
      <c r="L679" s="344" t="str">
        <f t="array" ref="L679">IF($T679="","",LET(m,MATCH($T679,$AS$24:$AS$700,0),lvl,INDEX($W$24:$W$700,m),id,INDEX($X$24:$X$700,m),SWITCH(lvl,3,"Lớp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79" s="351" t="str">
        <f t="shared" si="23"/>
        <v/>
      </c>
      <c r="N679" s="356" t="str">
        <f t="shared" si="24"/>
        <v/>
      </c>
      <c r="O679" s="358"/>
      <c r="P679" s="360"/>
      <c r="Q679" s="360"/>
      <c r="R679" s="67"/>
      <c r="S679" s="67"/>
      <c r="T679" s="67"/>
      <c r="U679" s="389" t="str">
        <f>IF('Lớp 6 - Chi tiết'!I241="","",'Lớp 6 - Chi tiết'!L241&amp;"|"&amp;'Lớp 6 - Chi tiết'!K241&amp;"|"&amp;'Lớp 6 - Chi tiết'!J241&amp;"|"&amp;'Lớp 6 - Chi tiết'!I241)</f>
        <v/>
      </c>
      <c r="V679" s="389" t="str">
        <f>IF('Lớp 6 - Chi tiết'!I241="","","           └─ "&amp;'Lớp 6 - Chi tiết'!S241)</f>
        <v/>
      </c>
      <c r="W679" s="389" t="str">
        <f>IF('Lớp 6 - Chi tiết'!I241="","",6)</f>
        <v/>
      </c>
      <c r="X679" s="67" t="str">
        <f>'Lớp 6 - Chi tiết'!I241</f>
        <v/>
      </c>
      <c r="Y679" s="389" t="str">
        <f>'Lớp 6 - Chi tiết'!J241</f>
        <v/>
      </c>
      <c r="Z679" s="67" t="str">
        <f>'Lớp 6 - Chi tiết'!AC241</f>
        <v/>
      </c>
      <c r="AA679" s="67" t="str">
        <f>'Lớp 6 - Chi tiết'!AB241</f>
        <v/>
      </c>
      <c r="AB679" s="67" t="str">
        <f>'Lớp 6 - Chi tiết'!AF241</f>
        <v/>
      </c>
      <c r="AC679" s="67" t="str">
        <f>'Lớp 6 - Chi tiết'!AE241</f>
        <v/>
      </c>
      <c r="AD679" s="398" t="str">
        <f>'Lớp 6 - Chi tiết'!AJ241</f>
        <v/>
      </c>
      <c r="AE679" s="358" t="str">
        <f>'Lớp 6 - Chi tiết'!AH241</f>
        <v/>
      </c>
      <c r="AF679" s="187" t="str">
        <f>'Lớp 6 - Chi tiết'!AK241</f>
        <v/>
      </c>
      <c r="AG679" s="104" t="str">
        <f>'Lớp 6 - Chi tiết'!AL241</f>
        <v/>
      </c>
      <c r="AH679" s="389" t="str">
        <f t="shared" si="27"/>
        <v/>
      </c>
      <c r="AI679" s="389" t="str">
        <f t="shared" si="37"/>
        <v>🔵 Chưa có hạn</v>
      </c>
      <c r="AJ679" s="67" t="str">
        <f>'Lớp 6 - Chi tiết'!AO241</f>
        <v/>
      </c>
      <c r="AS679" s="389" t="str">
        <f t="shared" si="467"/>
        <v/>
      </c>
      <c r="AT679" s="389" t="str">
        <f t="shared" si="32"/>
        <v/>
      </c>
      <c r="AU679" s="389" t="str">
        <f t="shared" si="33"/>
        <v/>
      </c>
      <c r="AV679" s="389" t="str">
        <f t="shared" si="34"/>
        <v/>
      </c>
      <c r="AW679" s="389" t="str">
        <f t="shared" si="35"/>
        <v/>
      </c>
      <c r="AX679" s="67" t="str">
        <f t="shared" ref="AX679:BH679" si="694">Z679</f>
        <v/>
      </c>
      <c r="AY679" s="67" t="str">
        <f t="shared" si="694"/>
        <v/>
      </c>
      <c r="AZ679" s="67" t="str">
        <f t="shared" si="694"/>
        <v/>
      </c>
      <c r="BA679" s="67" t="str">
        <f t="shared" si="694"/>
        <v/>
      </c>
      <c r="BB679" s="398" t="str">
        <f t="shared" si="694"/>
        <v/>
      </c>
      <c r="BC679" s="358" t="str">
        <f t="shared" si="694"/>
        <v/>
      </c>
      <c r="BD679" s="187" t="str">
        <f t="shared" si="694"/>
        <v/>
      </c>
      <c r="BE679" s="104" t="str">
        <f t="shared" si="694"/>
        <v/>
      </c>
      <c r="BF679" s="389" t="str">
        <f t="shared" si="694"/>
        <v/>
      </c>
      <c r="BG679" s="389" t="str">
        <f t="shared" si="694"/>
        <v>🔵 Chưa có hạn</v>
      </c>
      <c r="BH679" s="67" t="str">
        <f t="shared" si="694"/>
        <v/>
      </c>
      <c r="BI679" s="389" t="str">
        <f t="array" ref="BI679">IF($X679="","",SWITCH($W679,3,IFERROR(INDEX('Lớp 3 - Công việc chính'!$AF$14:$AF$73,MATCH($X679,'Lớp 3 - Công việc chính'!$I$14:$I$73,0)),""),4,IFERROR(INDEX('Lớp 4 - Danh mục'!$AI$14:$AI$132,MATCH($X679,'Lớp 4 - Danh mục'!$I$14:$I$132,0)),""),5,IFERROR(INDEX('Lớp 5 - Phân công'!$AJ$14:$AJ$262,MATCH($X679,'Lớp 5 - Phân công'!$I$14:$I$262,0)),""),6,IFERROR(INDEX('Lớp 6 - Chi tiết'!$AM$14:$AM$267,MATCH($X679,'Lớp 6 - Chi tiết'!$I$14:$I$267,0)),""),""))</f>
        <v/>
      </c>
      <c r="BJ679" s="389" t="str">
        <f t="array" ref="BJ679">IF($X679="","",SWITCH($W679,3,IFERROR(INDEX('Lớp 3 - Công việc chính'!$AR$14:$AR$73,MATCH($X679,'Lớp 3 - Công việc chính'!$I$14:$I$73,0)),""),4,IFERROR(INDEX('Lớp 4 - Danh mục'!$AU$14:$AU$132,MATCH($X679,'Lớp 4 - Danh mục'!$I$14:$I$132,0)),""),5,IFERROR(INDEX('Lớp 5 - Phân công'!$AV$14:$AV$262,MATCH($X679,'Lớp 5 - Phân công'!$I$14:$I$262,0)),""),6,IFERROR(INDEX('Lớp 6 - Chi tiết'!$AY$14:$AY$267,MATCH($X679,'Lớp 6 - Chi tiết'!$I$14:$I$267,0)),""),""))</f>
        <v/>
      </c>
    </row>
    <row r="680" ht="15.75" customHeight="1">
      <c r="A680" s="294" t="str">
        <f t="shared" si="12"/>
        <v/>
      </c>
      <c r="B680" s="301" t="str">
        <f t="shared" si="13"/>
        <v/>
      </c>
      <c r="C680" s="301" t="str">
        <f t="shared" si="14"/>
        <v/>
      </c>
      <c r="D680" s="301" t="str">
        <f t="shared" si="15"/>
        <v/>
      </c>
      <c r="E680" s="301" t="str">
        <f t="shared" si="16"/>
        <v/>
      </c>
      <c r="F680" s="317" t="str">
        <f t="shared" si="17"/>
        <v/>
      </c>
      <c r="G680" s="323" t="str">
        <f t="shared" si="18"/>
        <v/>
      </c>
      <c r="H680" s="327" t="str">
        <f t="shared" si="19"/>
        <v/>
      </c>
      <c r="I680" s="327" t="str">
        <f t="shared" si="20"/>
        <v/>
      </c>
      <c r="J680" s="301" t="str">
        <f t="shared" si="21"/>
        <v/>
      </c>
      <c r="K680" s="301" t="str">
        <f t="shared" si="22"/>
        <v/>
      </c>
      <c r="L680" s="344" t="str">
        <f t="array" ref="L680">IF($T680="","",LET(m,MATCH($T680,$AS$24:$AS$700,0),lvl,INDEX($W$24:$W$700,m),id,INDEX($X$24:$X$700,m),SWITCH(lvl,3,"Lớp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0" s="351" t="str">
        <f t="shared" si="23"/>
        <v/>
      </c>
      <c r="N680" s="356" t="str">
        <f t="shared" si="24"/>
        <v/>
      </c>
      <c r="O680" s="358"/>
      <c r="P680" s="360"/>
      <c r="Q680" s="360"/>
      <c r="R680" s="67"/>
      <c r="S680" s="67"/>
      <c r="T680" s="67"/>
      <c r="U680" s="389" t="str">
        <f>IF('Lớp 6 - Chi tiết'!I242="","",'Lớp 6 - Chi tiết'!L242&amp;"|"&amp;'Lớp 6 - Chi tiết'!K242&amp;"|"&amp;'Lớp 6 - Chi tiết'!J242&amp;"|"&amp;'Lớp 6 - Chi tiết'!I242)</f>
        <v/>
      </c>
      <c r="V680" s="389" t="str">
        <f>IF('Lớp 6 - Chi tiết'!I242="","","           └─ "&amp;'Lớp 6 - Chi tiết'!S242)</f>
        <v/>
      </c>
      <c r="W680" s="389" t="str">
        <f>IF('Lớp 6 - Chi tiết'!I242="","",6)</f>
        <v/>
      </c>
      <c r="X680" s="67" t="str">
        <f>'Lớp 6 - Chi tiết'!I242</f>
        <v/>
      </c>
      <c r="Y680" s="389" t="str">
        <f>'Lớp 6 - Chi tiết'!J242</f>
        <v/>
      </c>
      <c r="Z680" s="67" t="str">
        <f>'Lớp 6 - Chi tiết'!AC242</f>
        <v/>
      </c>
      <c r="AA680" s="67" t="str">
        <f>'Lớp 6 - Chi tiết'!AB242</f>
        <v/>
      </c>
      <c r="AB680" s="67" t="str">
        <f>'Lớp 6 - Chi tiết'!AF242</f>
        <v/>
      </c>
      <c r="AC680" s="67" t="str">
        <f>'Lớp 6 - Chi tiết'!AE242</f>
        <v/>
      </c>
      <c r="AD680" s="398" t="str">
        <f>'Lớp 6 - Chi tiết'!AJ242</f>
        <v/>
      </c>
      <c r="AE680" s="358" t="str">
        <f>'Lớp 6 - Chi tiết'!AH242</f>
        <v/>
      </c>
      <c r="AF680" s="187" t="str">
        <f>'Lớp 6 - Chi tiết'!AK242</f>
        <v/>
      </c>
      <c r="AG680" s="104" t="str">
        <f>'Lớp 6 - Chi tiết'!AL242</f>
        <v/>
      </c>
      <c r="AH680" s="389" t="str">
        <f t="shared" si="27"/>
        <v/>
      </c>
      <c r="AI680" s="389" t="str">
        <f t="shared" si="37"/>
        <v>🔵 Chưa có hạn</v>
      </c>
      <c r="AJ680" s="67" t="str">
        <f>'Lớp 6 - Chi tiết'!AO242</f>
        <v/>
      </c>
      <c r="AS680" s="389" t="str">
        <f t="shared" si="467"/>
        <v/>
      </c>
      <c r="AT680" s="389" t="str">
        <f t="shared" si="32"/>
        <v/>
      </c>
      <c r="AU680" s="389" t="str">
        <f t="shared" si="33"/>
        <v/>
      </c>
      <c r="AV680" s="389" t="str">
        <f t="shared" si="34"/>
        <v/>
      </c>
      <c r="AW680" s="389" t="str">
        <f t="shared" si="35"/>
        <v/>
      </c>
      <c r="AX680" s="67" t="str">
        <f t="shared" ref="AX680:BH680" si="695">Z680</f>
        <v/>
      </c>
      <c r="AY680" s="67" t="str">
        <f t="shared" si="695"/>
        <v/>
      </c>
      <c r="AZ680" s="67" t="str">
        <f t="shared" si="695"/>
        <v/>
      </c>
      <c r="BA680" s="67" t="str">
        <f t="shared" si="695"/>
        <v/>
      </c>
      <c r="BB680" s="398" t="str">
        <f t="shared" si="695"/>
        <v/>
      </c>
      <c r="BC680" s="358" t="str">
        <f t="shared" si="695"/>
        <v/>
      </c>
      <c r="BD680" s="187" t="str">
        <f t="shared" si="695"/>
        <v/>
      </c>
      <c r="BE680" s="104" t="str">
        <f t="shared" si="695"/>
        <v/>
      </c>
      <c r="BF680" s="389" t="str">
        <f t="shared" si="695"/>
        <v/>
      </c>
      <c r="BG680" s="389" t="str">
        <f t="shared" si="695"/>
        <v>🔵 Chưa có hạn</v>
      </c>
      <c r="BH680" s="67" t="str">
        <f t="shared" si="695"/>
        <v/>
      </c>
      <c r="BI680" s="389" t="str">
        <f t="array" ref="BI680">IF($X680="","",SWITCH($W680,3,IFERROR(INDEX('Lớp 3 - Công việc chính'!$AF$14:$AF$73,MATCH($X680,'Lớp 3 - Công việc chính'!$I$14:$I$73,0)),""),4,IFERROR(INDEX('Lớp 4 - Danh mục'!$AI$14:$AI$132,MATCH($X680,'Lớp 4 - Danh mục'!$I$14:$I$132,0)),""),5,IFERROR(INDEX('Lớp 5 - Phân công'!$AJ$14:$AJ$262,MATCH($X680,'Lớp 5 - Phân công'!$I$14:$I$262,0)),""),6,IFERROR(INDEX('Lớp 6 - Chi tiết'!$AM$14:$AM$267,MATCH($X680,'Lớp 6 - Chi tiết'!$I$14:$I$267,0)),""),""))</f>
        <v/>
      </c>
      <c r="BJ680" s="389" t="str">
        <f t="array" ref="BJ680">IF($X680="","",SWITCH($W680,3,IFERROR(INDEX('Lớp 3 - Công việc chính'!$AR$14:$AR$73,MATCH($X680,'Lớp 3 - Công việc chính'!$I$14:$I$73,0)),""),4,IFERROR(INDEX('Lớp 4 - Danh mục'!$AU$14:$AU$132,MATCH($X680,'Lớp 4 - Danh mục'!$I$14:$I$132,0)),""),5,IFERROR(INDEX('Lớp 5 - Phân công'!$AV$14:$AV$262,MATCH($X680,'Lớp 5 - Phân công'!$I$14:$I$262,0)),""),6,IFERROR(INDEX('Lớp 6 - Chi tiết'!$AY$14:$AY$267,MATCH($X680,'Lớp 6 - Chi tiết'!$I$14:$I$267,0)),""),""))</f>
        <v/>
      </c>
    </row>
    <row r="681" ht="15.75" customHeight="1">
      <c r="A681" s="294" t="str">
        <f t="shared" si="12"/>
        <v/>
      </c>
      <c r="B681" s="301" t="str">
        <f t="shared" si="13"/>
        <v/>
      </c>
      <c r="C681" s="301" t="str">
        <f t="shared" si="14"/>
        <v/>
      </c>
      <c r="D681" s="301" t="str">
        <f t="shared" si="15"/>
        <v/>
      </c>
      <c r="E681" s="301" t="str">
        <f t="shared" si="16"/>
        <v/>
      </c>
      <c r="F681" s="317" t="str">
        <f t="shared" si="17"/>
        <v/>
      </c>
      <c r="G681" s="323" t="str">
        <f t="shared" si="18"/>
        <v/>
      </c>
      <c r="H681" s="327" t="str">
        <f t="shared" si="19"/>
        <v/>
      </c>
      <c r="I681" s="327" t="str">
        <f t="shared" si="20"/>
        <v/>
      </c>
      <c r="J681" s="301" t="str">
        <f t="shared" si="21"/>
        <v/>
      </c>
      <c r="K681" s="301" t="str">
        <f t="shared" si="22"/>
        <v/>
      </c>
      <c r="L681" s="344" t="str">
        <f t="array" ref="L681">IF($T681="","",LET(m,MATCH($T681,$AS$24:$AS$700,0),lvl,INDEX($W$24:$W$700,m),id,INDEX($X$24:$X$700,m),SWITCH(lvl,3,"Lớp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1" s="351" t="str">
        <f t="shared" si="23"/>
        <v/>
      </c>
      <c r="N681" s="356" t="str">
        <f t="shared" si="24"/>
        <v/>
      </c>
      <c r="O681" s="358"/>
      <c r="P681" s="360"/>
      <c r="Q681" s="360"/>
      <c r="R681" s="67"/>
      <c r="S681" s="67"/>
      <c r="T681" s="67"/>
      <c r="U681" s="389" t="str">
        <f>IF('Lớp 6 - Chi tiết'!I243="","",'Lớp 6 - Chi tiết'!L243&amp;"|"&amp;'Lớp 6 - Chi tiết'!K243&amp;"|"&amp;'Lớp 6 - Chi tiết'!J243&amp;"|"&amp;'Lớp 6 - Chi tiết'!I243)</f>
        <v/>
      </c>
      <c r="V681" s="389" t="str">
        <f>IF('Lớp 6 - Chi tiết'!I243="","","           └─ "&amp;'Lớp 6 - Chi tiết'!S243)</f>
        <v/>
      </c>
      <c r="W681" s="389" t="str">
        <f>IF('Lớp 6 - Chi tiết'!I243="","",6)</f>
        <v/>
      </c>
      <c r="X681" s="67" t="str">
        <f>'Lớp 6 - Chi tiết'!I243</f>
        <v/>
      </c>
      <c r="Y681" s="389" t="str">
        <f>'Lớp 6 - Chi tiết'!J243</f>
        <v/>
      </c>
      <c r="Z681" s="67" t="str">
        <f>'Lớp 6 - Chi tiết'!AC243</f>
        <v/>
      </c>
      <c r="AA681" s="67" t="str">
        <f>'Lớp 6 - Chi tiết'!AB243</f>
        <v/>
      </c>
      <c r="AB681" s="67" t="str">
        <f>'Lớp 6 - Chi tiết'!AF243</f>
        <v/>
      </c>
      <c r="AC681" s="67" t="str">
        <f>'Lớp 6 - Chi tiết'!AE243</f>
        <v/>
      </c>
      <c r="AD681" s="398" t="str">
        <f>'Lớp 6 - Chi tiết'!AJ243</f>
        <v/>
      </c>
      <c r="AE681" s="358" t="str">
        <f>'Lớp 6 - Chi tiết'!AH243</f>
        <v/>
      </c>
      <c r="AF681" s="187" t="str">
        <f>'Lớp 6 - Chi tiết'!AK243</f>
        <v/>
      </c>
      <c r="AG681" s="104" t="str">
        <f>'Lớp 6 - Chi tiết'!AL243</f>
        <v/>
      </c>
      <c r="AH681" s="389" t="str">
        <f t="shared" si="27"/>
        <v/>
      </c>
      <c r="AI681" s="389" t="str">
        <f t="shared" si="37"/>
        <v>🔵 Chưa có hạn</v>
      </c>
      <c r="AJ681" s="67" t="str">
        <f>'Lớp 6 - Chi tiết'!AO243</f>
        <v/>
      </c>
      <c r="AS681" s="389" t="str">
        <f t="shared" si="467"/>
        <v/>
      </c>
      <c r="AT681" s="389" t="str">
        <f t="shared" si="32"/>
        <v/>
      </c>
      <c r="AU681" s="389" t="str">
        <f t="shared" si="33"/>
        <v/>
      </c>
      <c r="AV681" s="389" t="str">
        <f t="shared" si="34"/>
        <v/>
      </c>
      <c r="AW681" s="389" t="str">
        <f t="shared" si="35"/>
        <v/>
      </c>
      <c r="AX681" s="67" t="str">
        <f t="shared" ref="AX681:BH681" si="696">Z681</f>
        <v/>
      </c>
      <c r="AY681" s="67" t="str">
        <f t="shared" si="696"/>
        <v/>
      </c>
      <c r="AZ681" s="67" t="str">
        <f t="shared" si="696"/>
        <v/>
      </c>
      <c r="BA681" s="67" t="str">
        <f t="shared" si="696"/>
        <v/>
      </c>
      <c r="BB681" s="398" t="str">
        <f t="shared" si="696"/>
        <v/>
      </c>
      <c r="BC681" s="358" t="str">
        <f t="shared" si="696"/>
        <v/>
      </c>
      <c r="BD681" s="187" t="str">
        <f t="shared" si="696"/>
        <v/>
      </c>
      <c r="BE681" s="104" t="str">
        <f t="shared" si="696"/>
        <v/>
      </c>
      <c r="BF681" s="389" t="str">
        <f t="shared" si="696"/>
        <v/>
      </c>
      <c r="BG681" s="389" t="str">
        <f t="shared" si="696"/>
        <v>🔵 Chưa có hạn</v>
      </c>
      <c r="BH681" s="67" t="str">
        <f t="shared" si="696"/>
        <v/>
      </c>
      <c r="BI681" s="389" t="str">
        <f t="array" ref="BI681">IF($X681="","",SWITCH($W681,3,IFERROR(INDEX('Lớp 3 - Công việc chính'!$AF$14:$AF$73,MATCH($X681,'Lớp 3 - Công việc chính'!$I$14:$I$73,0)),""),4,IFERROR(INDEX('Lớp 4 - Danh mục'!$AI$14:$AI$132,MATCH($X681,'Lớp 4 - Danh mục'!$I$14:$I$132,0)),""),5,IFERROR(INDEX('Lớp 5 - Phân công'!$AJ$14:$AJ$262,MATCH($X681,'Lớp 5 - Phân công'!$I$14:$I$262,0)),""),6,IFERROR(INDEX('Lớp 6 - Chi tiết'!$AM$14:$AM$267,MATCH($X681,'Lớp 6 - Chi tiết'!$I$14:$I$267,0)),""),""))</f>
        <v/>
      </c>
      <c r="BJ681" s="389" t="str">
        <f t="array" ref="BJ681">IF($X681="","",SWITCH($W681,3,IFERROR(INDEX('Lớp 3 - Công việc chính'!$AR$14:$AR$73,MATCH($X681,'Lớp 3 - Công việc chính'!$I$14:$I$73,0)),""),4,IFERROR(INDEX('Lớp 4 - Danh mục'!$AU$14:$AU$132,MATCH($X681,'Lớp 4 - Danh mục'!$I$14:$I$132,0)),""),5,IFERROR(INDEX('Lớp 5 - Phân công'!$AV$14:$AV$262,MATCH($X681,'Lớp 5 - Phân công'!$I$14:$I$262,0)),""),6,IFERROR(INDEX('Lớp 6 - Chi tiết'!$AY$14:$AY$267,MATCH($X681,'Lớp 6 - Chi tiết'!$I$14:$I$267,0)),""),""))</f>
        <v/>
      </c>
    </row>
    <row r="682" ht="15.75" customHeight="1">
      <c r="A682" s="294" t="str">
        <f t="shared" si="12"/>
        <v/>
      </c>
      <c r="B682" s="301" t="str">
        <f t="shared" si="13"/>
        <v/>
      </c>
      <c r="C682" s="301" t="str">
        <f t="shared" si="14"/>
        <v/>
      </c>
      <c r="D682" s="301" t="str">
        <f t="shared" si="15"/>
        <v/>
      </c>
      <c r="E682" s="301" t="str">
        <f t="shared" si="16"/>
        <v/>
      </c>
      <c r="F682" s="317" t="str">
        <f t="shared" si="17"/>
        <v/>
      </c>
      <c r="G682" s="323" t="str">
        <f t="shared" si="18"/>
        <v/>
      </c>
      <c r="H682" s="327" t="str">
        <f t="shared" si="19"/>
        <v/>
      </c>
      <c r="I682" s="327" t="str">
        <f t="shared" si="20"/>
        <v/>
      </c>
      <c r="J682" s="301" t="str">
        <f t="shared" si="21"/>
        <v/>
      </c>
      <c r="K682" s="301" t="str">
        <f t="shared" si="22"/>
        <v/>
      </c>
      <c r="L682" s="344" t="str">
        <f t="array" ref="L682">IF($T682="","",LET(m,MATCH($T682,$AS$24:$AS$700,0),lvl,INDEX($W$24:$W$700,m),id,INDEX($X$24:$X$700,m),SWITCH(lvl,3,"Lớp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2" s="351" t="str">
        <f t="shared" si="23"/>
        <v/>
      </c>
      <c r="N682" s="356" t="str">
        <f t="shared" si="24"/>
        <v/>
      </c>
      <c r="O682" s="358"/>
      <c r="P682" s="360"/>
      <c r="Q682" s="360"/>
      <c r="R682" s="67"/>
      <c r="S682" s="67"/>
      <c r="T682" s="67"/>
      <c r="U682" s="389" t="str">
        <f>IF('Lớp 6 - Chi tiết'!I244="","",'Lớp 6 - Chi tiết'!L244&amp;"|"&amp;'Lớp 6 - Chi tiết'!K244&amp;"|"&amp;'Lớp 6 - Chi tiết'!J244&amp;"|"&amp;'Lớp 6 - Chi tiết'!I244)</f>
        <v/>
      </c>
      <c r="V682" s="389" t="str">
        <f>IF('Lớp 6 - Chi tiết'!I244="","","           └─ "&amp;'Lớp 6 - Chi tiết'!S244)</f>
        <v/>
      </c>
      <c r="W682" s="389" t="str">
        <f>IF('Lớp 6 - Chi tiết'!I244="","",6)</f>
        <v/>
      </c>
      <c r="X682" s="67" t="str">
        <f>'Lớp 6 - Chi tiết'!I244</f>
        <v/>
      </c>
      <c r="Y682" s="389" t="str">
        <f>'Lớp 6 - Chi tiết'!J244</f>
        <v/>
      </c>
      <c r="Z682" s="67" t="str">
        <f>'Lớp 6 - Chi tiết'!AC244</f>
        <v/>
      </c>
      <c r="AA682" s="67" t="str">
        <f>'Lớp 6 - Chi tiết'!AB244</f>
        <v/>
      </c>
      <c r="AB682" s="67" t="str">
        <f>'Lớp 6 - Chi tiết'!AF244</f>
        <v/>
      </c>
      <c r="AC682" s="67" t="str">
        <f>'Lớp 6 - Chi tiết'!AE244</f>
        <v/>
      </c>
      <c r="AD682" s="398" t="str">
        <f>'Lớp 6 - Chi tiết'!AJ244</f>
        <v/>
      </c>
      <c r="AE682" s="358" t="str">
        <f>'Lớp 6 - Chi tiết'!AH244</f>
        <v/>
      </c>
      <c r="AF682" s="187" t="str">
        <f>'Lớp 6 - Chi tiết'!AK244</f>
        <v/>
      </c>
      <c r="AG682" s="104" t="str">
        <f>'Lớp 6 - Chi tiết'!AL244</f>
        <v/>
      </c>
      <c r="AH682" s="389" t="str">
        <f t="shared" si="27"/>
        <v/>
      </c>
      <c r="AI682" s="389" t="str">
        <f t="shared" si="37"/>
        <v>🔵 Chưa có hạn</v>
      </c>
      <c r="AJ682" s="67" t="str">
        <f>'Lớp 6 - Chi tiết'!AO244</f>
        <v/>
      </c>
      <c r="AS682" s="389" t="str">
        <f t="shared" si="467"/>
        <v/>
      </c>
      <c r="AT682" s="389" t="str">
        <f t="shared" si="32"/>
        <v/>
      </c>
      <c r="AU682" s="389" t="str">
        <f t="shared" si="33"/>
        <v/>
      </c>
      <c r="AV682" s="389" t="str">
        <f t="shared" si="34"/>
        <v/>
      </c>
      <c r="AW682" s="389" t="str">
        <f t="shared" si="35"/>
        <v/>
      </c>
      <c r="AX682" s="67" t="str">
        <f t="shared" ref="AX682:BH682" si="697">Z682</f>
        <v/>
      </c>
      <c r="AY682" s="67" t="str">
        <f t="shared" si="697"/>
        <v/>
      </c>
      <c r="AZ682" s="67" t="str">
        <f t="shared" si="697"/>
        <v/>
      </c>
      <c r="BA682" s="67" t="str">
        <f t="shared" si="697"/>
        <v/>
      </c>
      <c r="BB682" s="398" t="str">
        <f t="shared" si="697"/>
        <v/>
      </c>
      <c r="BC682" s="358" t="str">
        <f t="shared" si="697"/>
        <v/>
      </c>
      <c r="BD682" s="187" t="str">
        <f t="shared" si="697"/>
        <v/>
      </c>
      <c r="BE682" s="104" t="str">
        <f t="shared" si="697"/>
        <v/>
      </c>
      <c r="BF682" s="389" t="str">
        <f t="shared" si="697"/>
        <v/>
      </c>
      <c r="BG682" s="389" t="str">
        <f t="shared" si="697"/>
        <v>🔵 Chưa có hạn</v>
      </c>
      <c r="BH682" s="67" t="str">
        <f t="shared" si="697"/>
        <v/>
      </c>
      <c r="BI682" s="389" t="str">
        <f t="array" ref="BI682">IF($X682="","",SWITCH($W682,3,IFERROR(INDEX('Lớp 3 - Công việc chính'!$AF$14:$AF$73,MATCH($X682,'Lớp 3 - Công việc chính'!$I$14:$I$73,0)),""),4,IFERROR(INDEX('Lớp 4 - Danh mục'!$AI$14:$AI$132,MATCH($X682,'Lớp 4 - Danh mục'!$I$14:$I$132,0)),""),5,IFERROR(INDEX('Lớp 5 - Phân công'!$AJ$14:$AJ$262,MATCH($X682,'Lớp 5 - Phân công'!$I$14:$I$262,0)),""),6,IFERROR(INDEX('Lớp 6 - Chi tiết'!$AM$14:$AM$267,MATCH($X682,'Lớp 6 - Chi tiết'!$I$14:$I$267,0)),""),""))</f>
        <v/>
      </c>
      <c r="BJ682" s="389" t="str">
        <f t="array" ref="BJ682">IF($X682="","",SWITCH($W682,3,IFERROR(INDEX('Lớp 3 - Công việc chính'!$AR$14:$AR$73,MATCH($X682,'Lớp 3 - Công việc chính'!$I$14:$I$73,0)),""),4,IFERROR(INDEX('Lớp 4 - Danh mục'!$AU$14:$AU$132,MATCH($X682,'Lớp 4 - Danh mục'!$I$14:$I$132,0)),""),5,IFERROR(INDEX('Lớp 5 - Phân công'!$AV$14:$AV$262,MATCH($X682,'Lớp 5 - Phân công'!$I$14:$I$262,0)),""),6,IFERROR(INDEX('Lớp 6 - Chi tiết'!$AY$14:$AY$267,MATCH($X682,'Lớp 6 - Chi tiết'!$I$14:$I$267,0)),""),""))</f>
        <v/>
      </c>
    </row>
    <row r="683" ht="15.75" customHeight="1">
      <c r="A683" s="294" t="str">
        <f t="shared" si="12"/>
        <v/>
      </c>
      <c r="B683" s="301" t="str">
        <f t="shared" si="13"/>
        <v/>
      </c>
      <c r="C683" s="301" t="str">
        <f t="shared" si="14"/>
        <v/>
      </c>
      <c r="D683" s="301" t="str">
        <f t="shared" si="15"/>
        <v/>
      </c>
      <c r="E683" s="301" t="str">
        <f t="shared" si="16"/>
        <v/>
      </c>
      <c r="F683" s="317" t="str">
        <f t="shared" si="17"/>
        <v/>
      </c>
      <c r="G683" s="323" t="str">
        <f t="shared" si="18"/>
        <v/>
      </c>
      <c r="H683" s="327" t="str">
        <f t="shared" si="19"/>
        <v/>
      </c>
      <c r="I683" s="327" t="str">
        <f t="shared" si="20"/>
        <v/>
      </c>
      <c r="J683" s="301" t="str">
        <f t="shared" si="21"/>
        <v/>
      </c>
      <c r="K683" s="301" t="str">
        <f t="shared" si="22"/>
        <v/>
      </c>
      <c r="L683" s="344" t="str">
        <f t="array" ref="L683">IF($T683="","",LET(m,MATCH($T683,$AS$24:$AS$700,0),lvl,INDEX($W$24:$W$700,m),id,INDEX($X$24:$X$700,m),SWITCH(lvl,3,"Lớp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3" s="351" t="str">
        <f t="shared" si="23"/>
        <v/>
      </c>
      <c r="N683" s="356" t="str">
        <f t="shared" si="24"/>
        <v/>
      </c>
      <c r="O683" s="358"/>
      <c r="P683" s="360"/>
      <c r="Q683" s="360"/>
      <c r="R683" s="67"/>
      <c r="S683" s="67"/>
      <c r="T683" s="67"/>
      <c r="U683" s="389" t="str">
        <f>IF('Lớp 6 - Chi tiết'!I245="","",'Lớp 6 - Chi tiết'!L245&amp;"|"&amp;'Lớp 6 - Chi tiết'!K245&amp;"|"&amp;'Lớp 6 - Chi tiết'!J245&amp;"|"&amp;'Lớp 6 - Chi tiết'!I245)</f>
        <v/>
      </c>
      <c r="V683" s="389" t="str">
        <f>IF('Lớp 6 - Chi tiết'!I245="","","           └─ "&amp;'Lớp 6 - Chi tiết'!S245)</f>
        <v/>
      </c>
      <c r="W683" s="389" t="str">
        <f>IF('Lớp 6 - Chi tiết'!I245="","",6)</f>
        <v/>
      </c>
      <c r="X683" s="67" t="str">
        <f>'Lớp 6 - Chi tiết'!I245</f>
        <v/>
      </c>
      <c r="Y683" s="389" t="str">
        <f>'Lớp 6 - Chi tiết'!J245</f>
        <v/>
      </c>
      <c r="Z683" s="67" t="str">
        <f>'Lớp 6 - Chi tiết'!AC245</f>
        <v/>
      </c>
      <c r="AA683" s="67" t="str">
        <f>'Lớp 6 - Chi tiết'!AB245</f>
        <v/>
      </c>
      <c r="AB683" s="67" t="str">
        <f>'Lớp 6 - Chi tiết'!AF245</f>
        <v/>
      </c>
      <c r="AC683" s="67" t="str">
        <f>'Lớp 6 - Chi tiết'!AE245</f>
        <v/>
      </c>
      <c r="AD683" s="398" t="str">
        <f>'Lớp 6 - Chi tiết'!AJ245</f>
        <v/>
      </c>
      <c r="AE683" s="358" t="str">
        <f>'Lớp 6 - Chi tiết'!AH245</f>
        <v/>
      </c>
      <c r="AF683" s="187" t="str">
        <f>'Lớp 6 - Chi tiết'!AK245</f>
        <v/>
      </c>
      <c r="AG683" s="104" t="str">
        <f>'Lớp 6 - Chi tiết'!AL245</f>
        <v/>
      </c>
      <c r="AH683" s="389" t="str">
        <f t="shared" si="27"/>
        <v/>
      </c>
      <c r="AI683" s="389" t="str">
        <f t="shared" si="37"/>
        <v>🔵 Chưa có hạn</v>
      </c>
      <c r="AJ683" s="67" t="str">
        <f>'Lớp 6 - Chi tiết'!AO245</f>
        <v/>
      </c>
      <c r="AS683" s="389" t="str">
        <f t="shared" si="467"/>
        <v/>
      </c>
      <c r="AT683" s="389" t="str">
        <f t="shared" si="32"/>
        <v/>
      </c>
      <c r="AU683" s="389" t="str">
        <f t="shared" si="33"/>
        <v/>
      </c>
      <c r="AV683" s="389" t="str">
        <f t="shared" si="34"/>
        <v/>
      </c>
      <c r="AW683" s="389" t="str">
        <f t="shared" si="35"/>
        <v/>
      </c>
      <c r="AX683" s="67" t="str">
        <f t="shared" ref="AX683:BH683" si="698">Z683</f>
        <v/>
      </c>
      <c r="AY683" s="67" t="str">
        <f t="shared" si="698"/>
        <v/>
      </c>
      <c r="AZ683" s="67" t="str">
        <f t="shared" si="698"/>
        <v/>
      </c>
      <c r="BA683" s="67" t="str">
        <f t="shared" si="698"/>
        <v/>
      </c>
      <c r="BB683" s="398" t="str">
        <f t="shared" si="698"/>
        <v/>
      </c>
      <c r="BC683" s="358" t="str">
        <f t="shared" si="698"/>
        <v/>
      </c>
      <c r="BD683" s="187" t="str">
        <f t="shared" si="698"/>
        <v/>
      </c>
      <c r="BE683" s="104" t="str">
        <f t="shared" si="698"/>
        <v/>
      </c>
      <c r="BF683" s="389" t="str">
        <f t="shared" si="698"/>
        <v/>
      </c>
      <c r="BG683" s="389" t="str">
        <f t="shared" si="698"/>
        <v>🔵 Chưa có hạn</v>
      </c>
      <c r="BH683" s="67" t="str">
        <f t="shared" si="698"/>
        <v/>
      </c>
      <c r="BI683" s="389" t="str">
        <f t="array" ref="BI683">IF($X683="","",SWITCH($W683,3,IFERROR(INDEX('Lớp 3 - Công việc chính'!$AF$14:$AF$73,MATCH($X683,'Lớp 3 - Công việc chính'!$I$14:$I$73,0)),""),4,IFERROR(INDEX('Lớp 4 - Danh mục'!$AI$14:$AI$132,MATCH($X683,'Lớp 4 - Danh mục'!$I$14:$I$132,0)),""),5,IFERROR(INDEX('Lớp 5 - Phân công'!$AJ$14:$AJ$262,MATCH($X683,'Lớp 5 - Phân công'!$I$14:$I$262,0)),""),6,IFERROR(INDEX('Lớp 6 - Chi tiết'!$AM$14:$AM$267,MATCH($X683,'Lớp 6 - Chi tiết'!$I$14:$I$267,0)),""),""))</f>
        <v/>
      </c>
      <c r="BJ683" s="389" t="str">
        <f t="array" ref="BJ683">IF($X683="","",SWITCH($W683,3,IFERROR(INDEX('Lớp 3 - Công việc chính'!$AR$14:$AR$73,MATCH($X683,'Lớp 3 - Công việc chính'!$I$14:$I$73,0)),""),4,IFERROR(INDEX('Lớp 4 - Danh mục'!$AU$14:$AU$132,MATCH($X683,'Lớp 4 - Danh mục'!$I$14:$I$132,0)),""),5,IFERROR(INDEX('Lớp 5 - Phân công'!$AV$14:$AV$262,MATCH($X683,'Lớp 5 - Phân công'!$I$14:$I$262,0)),""),6,IFERROR(INDEX('Lớp 6 - Chi tiết'!$AY$14:$AY$267,MATCH($X683,'Lớp 6 - Chi tiết'!$I$14:$I$267,0)),""),""))</f>
        <v/>
      </c>
    </row>
    <row r="684" ht="15.75" customHeight="1">
      <c r="A684" s="294" t="str">
        <f t="shared" si="12"/>
        <v/>
      </c>
      <c r="B684" s="301" t="str">
        <f t="shared" si="13"/>
        <v/>
      </c>
      <c r="C684" s="301" t="str">
        <f t="shared" si="14"/>
        <v/>
      </c>
      <c r="D684" s="301" t="str">
        <f t="shared" si="15"/>
        <v/>
      </c>
      <c r="E684" s="301" t="str">
        <f t="shared" si="16"/>
        <v/>
      </c>
      <c r="F684" s="317" t="str">
        <f t="shared" si="17"/>
        <v/>
      </c>
      <c r="G684" s="323" t="str">
        <f t="shared" si="18"/>
        <v/>
      </c>
      <c r="H684" s="327" t="str">
        <f t="shared" si="19"/>
        <v/>
      </c>
      <c r="I684" s="327" t="str">
        <f t="shared" si="20"/>
        <v/>
      </c>
      <c r="J684" s="301" t="str">
        <f t="shared" si="21"/>
        <v/>
      </c>
      <c r="K684" s="301" t="str">
        <f t="shared" si="22"/>
        <v/>
      </c>
      <c r="L684" s="344" t="str">
        <f t="array" ref="L684">IF($T684="","",LET(m,MATCH($T684,$AS$24:$AS$700,0),lvl,INDEX($W$24:$W$700,m),id,INDEX($X$24:$X$700,m),SWITCH(lvl,3,"Lớp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4" s="351" t="str">
        <f t="shared" si="23"/>
        <v/>
      </c>
      <c r="N684" s="356" t="str">
        <f t="shared" si="24"/>
        <v/>
      </c>
      <c r="O684" s="358"/>
      <c r="P684" s="360"/>
      <c r="Q684" s="360"/>
      <c r="R684" s="67"/>
      <c r="S684" s="67"/>
      <c r="T684" s="67"/>
      <c r="U684" s="389" t="str">
        <f>IF('Lớp 6 - Chi tiết'!I246="","",'Lớp 6 - Chi tiết'!L246&amp;"|"&amp;'Lớp 6 - Chi tiết'!K246&amp;"|"&amp;'Lớp 6 - Chi tiết'!J246&amp;"|"&amp;'Lớp 6 - Chi tiết'!I246)</f>
        <v/>
      </c>
      <c r="V684" s="389" t="str">
        <f>IF('Lớp 6 - Chi tiết'!I246="","","           └─ "&amp;'Lớp 6 - Chi tiết'!S246)</f>
        <v/>
      </c>
      <c r="W684" s="389" t="str">
        <f>IF('Lớp 6 - Chi tiết'!I246="","",6)</f>
        <v/>
      </c>
      <c r="X684" s="67" t="str">
        <f>'Lớp 6 - Chi tiết'!I246</f>
        <v/>
      </c>
      <c r="Y684" s="389" t="str">
        <f>'Lớp 6 - Chi tiết'!J246</f>
        <v/>
      </c>
      <c r="Z684" s="67" t="str">
        <f>'Lớp 6 - Chi tiết'!AC246</f>
        <v/>
      </c>
      <c r="AA684" s="67" t="str">
        <f>'Lớp 6 - Chi tiết'!AB246</f>
        <v/>
      </c>
      <c r="AB684" s="67" t="str">
        <f>'Lớp 6 - Chi tiết'!AF246</f>
        <v/>
      </c>
      <c r="AC684" s="67" t="str">
        <f>'Lớp 6 - Chi tiết'!AE246</f>
        <v/>
      </c>
      <c r="AD684" s="398" t="str">
        <f>'Lớp 6 - Chi tiết'!AJ246</f>
        <v/>
      </c>
      <c r="AE684" s="358" t="str">
        <f>'Lớp 6 - Chi tiết'!AH246</f>
        <v/>
      </c>
      <c r="AF684" s="187" t="str">
        <f>'Lớp 6 - Chi tiết'!AK246</f>
        <v/>
      </c>
      <c r="AG684" s="104" t="str">
        <f>'Lớp 6 - Chi tiết'!AL246</f>
        <v/>
      </c>
      <c r="AH684" s="389" t="str">
        <f t="shared" si="27"/>
        <v/>
      </c>
      <c r="AI684" s="389" t="str">
        <f t="shared" si="37"/>
        <v>🔵 Chưa có hạn</v>
      </c>
      <c r="AJ684" s="67" t="str">
        <f>'Lớp 6 - Chi tiết'!AO246</f>
        <v/>
      </c>
      <c r="AS684" s="389" t="str">
        <f t="shared" si="467"/>
        <v/>
      </c>
      <c r="AT684" s="389" t="str">
        <f t="shared" si="32"/>
        <v/>
      </c>
      <c r="AU684" s="389" t="str">
        <f t="shared" si="33"/>
        <v/>
      </c>
      <c r="AV684" s="389" t="str">
        <f t="shared" si="34"/>
        <v/>
      </c>
      <c r="AW684" s="389" t="str">
        <f t="shared" si="35"/>
        <v/>
      </c>
      <c r="AX684" s="67" t="str">
        <f t="shared" ref="AX684:BH684" si="699">Z684</f>
        <v/>
      </c>
      <c r="AY684" s="67" t="str">
        <f t="shared" si="699"/>
        <v/>
      </c>
      <c r="AZ684" s="67" t="str">
        <f t="shared" si="699"/>
        <v/>
      </c>
      <c r="BA684" s="67" t="str">
        <f t="shared" si="699"/>
        <v/>
      </c>
      <c r="BB684" s="398" t="str">
        <f t="shared" si="699"/>
        <v/>
      </c>
      <c r="BC684" s="358" t="str">
        <f t="shared" si="699"/>
        <v/>
      </c>
      <c r="BD684" s="187" t="str">
        <f t="shared" si="699"/>
        <v/>
      </c>
      <c r="BE684" s="104" t="str">
        <f t="shared" si="699"/>
        <v/>
      </c>
      <c r="BF684" s="389" t="str">
        <f t="shared" si="699"/>
        <v/>
      </c>
      <c r="BG684" s="389" t="str">
        <f t="shared" si="699"/>
        <v>🔵 Chưa có hạn</v>
      </c>
      <c r="BH684" s="67" t="str">
        <f t="shared" si="699"/>
        <v/>
      </c>
      <c r="BI684" s="389" t="str">
        <f t="array" ref="BI684">IF($X684="","",SWITCH($W684,3,IFERROR(INDEX('Lớp 3 - Công việc chính'!$AF$14:$AF$73,MATCH($X684,'Lớp 3 - Công việc chính'!$I$14:$I$73,0)),""),4,IFERROR(INDEX('Lớp 4 - Danh mục'!$AI$14:$AI$132,MATCH($X684,'Lớp 4 - Danh mục'!$I$14:$I$132,0)),""),5,IFERROR(INDEX('Lớp 5 - Phân công'!$AJ$14:$AJ$262,MATCH($X684,'Lớp 5 - Phân công'!$I$14:$I$262,0)),""),6,IFERROR(INDEX('Lớp 6 - Chi tiết'!$AM$14:$AM$267,MATCH($X684,'Lớp 6 - Chi tiết'!$I$14:$I$267,0)),""),""))</f>
        <v/>
      </c>
      <c r="BJ684" s="389" t="str">
        <f t="array" ref="BJ684">IF($X684="","",SWITCH($W684,3,IFERROR(INDEX('Lớp 3 - Công việc chính'!$AR$14:$AR$73,MATCH($X684,'Lớp 3 - Công việc chính'!$I$14:$I$73,0)),""),4,IFERROR(INDEX('Lớp 4 - Danh mục'!$AU$14:$AU$132,MATCH($X684,'Lớp 4 - Danh mục'!$I$14:$I$132,0)),""),5,IFERROR(INDEX('Lớp 5 - Phân công'!$AV$14:$AV$262,MATCH($X684,'Lớp 5 - Phân công'!$I$14:$I$262,0)),""),6,IFERROR(INDEX('Lớp 6 - Chi tiết'!$AY$14:$AY$267,MATCH($X684,'Lớp 6 - Chi tiết'!$I$14:$I$267,0)),""),""))</f>
        <v/>
      </c>
    </row>
    <row r="685" ht="15.75" customHeight="1">
      <c r="A685" s="294" t="str">
        <f t="shared" si="12"/>
        <v/>
      </c>
      <c r="B685" s="301" t="str">
        <f t="shared" si="13"/>
        <v/>
      </c>
      <c r="C685" s="301" t="str">
        <f t="shared" si="14"/>
        <v/>
      </c>
      <c r="D685" s="301" t="str">
        <f t="shared" si="15"/>
        <v/>
      </c>
      <c r="E685" s="301" t="str">
        <f t="shared" si="16"/>
        <v/>
      </c>
      <c r="F685" s="317" t="str">
        <f t="shared" si="17"/>
        <v/>
      </c>
      <c r="G685" s="323" t="str">
        <f t="shared" si="18"/>
        <v/>
      </c>
      <c r="H685" s="327" t="str">
        <f t="shared" si="19"/>
        <v/>
      </c>
      <c r="I685" s="327" t="str">
        <f t="shared" si="20"/>
        <v/>
      </c>
      <c r="J685" s="301" t="str">
        <f t="shared" si="21"/>
        <v/>
      </c>
      <c r="K685" s="301" t="str">
        <f t="shared" si="22"/>
        <v/>
      </c>
      <c r="L685" s="344" t="str">
        <f t="array" ref="L685">IF($T685="","",LET(m,MATCH($T685,$AS$24:$AS$700,0),lvl,INDEX($W$24:$W$700,m),id,INDEX($X$24:$X$700,m),SWITCH(lvl,3,"Lớp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5" s="351" t="str">
        <f t="shared" si="23"/>
        <v/>
      </c>
      <c r="N685" s="356" t="str">
        <f t="shared" si="24"/>
        <v/>
      </c>
      <c r="O685" s="358"/>
      <c r="P685" s="360"/>
      <c r="Q685" s="360"/>
      <c r="R685" s="67"/>
      <c r="S685" s="67"/>
      <c r="T685" s="67"/>
      <c r="U685" s="389" t="str">
        <f>IF('Lớp 6 - Chi tiết'!I247="","",'Lớp 6 - Chi tiết'!L247&amp;"|"&amp;'Lớp 6 - Chi tiết'!K247&amp;"|"&amp;'Lớp 6 - Chi tiết'!J247&amp;"|"&amp;'Lớp 6 - Chi tiết'!I247)</f>
        <v/>
      </c>
      <c r="V685" s="389" t="str">
        <f>IF('Lớp 6 - Chi tiết'!I247="","","           └─ "&amp;'Lớp 6 - Chi tiết'!S247)</f>
        <v/>
      </c>
      <c r="W685" s="389" t="str">
        <f>IF('Lớp 6 - Chi tiết'!I247="","",6)</f>
        <v/>
      </c>
      <c r="X685" s="67" t="str">
        <f>'Lớp 6 - Chi tiết'!I247</f>
        <v/>
      </c>
      <c r="Y685" s="389" t="str">
        <f>'Lớp 6 - Chi tiết'!J247</f>
        <v/>
      </c>
      <c r="Z685" s="67" t="str">
        <f>'Lớp 6 - Chi tiết'!AC247</f>
        <v/>
      </c>
      <c r="AA685" s="67" t="str">
        <f>'Lớp 6 - Chi tiết'!AB247</f>
        <v/>
      </c>
      <c r="AB685" s="67" t="str">
        <f>'Lớp 6 - Chi tiết'!AF247</f>
        <v/>
      </c>
      <c r="AC685" s="67" t="str">
        <f>'Lớp 6 - Chi tiết'!AE247</f>
        <v/>
      </c>
      <c r="AD685" s="398" t="str">
        <f>'Lớp 6 - Chi tiết'!AJ247</f>
        <v/>
      </c>
      <c r="AE685" s="358" t="str">
        <f>'Lớp 6 - Chi tiết'!AH247</f>
        <v/>
      </c>
      <c r="AF685" s="187" t="str">
        <f>'Lớp 6 - Chi tiết'!AK247</f>
        <v/>
      </c>
      <c r="AG685" s="104" t="str">
        <f>'Lớp 6 - Chi tiết'!AL247</f>
        <v/>
      </c>
      <c r="AH685" s="389" t="str">
        <f t="shared" si="27"/>
        <v/>
      </c>
      <c r="AI685" s="389" t="str">
        <f t="shared" si="37"/>
        <v>🔵 Chưa có hạn</v>
      </c>
      <c r="AJ685" s="67" t="str">
        <f>'Lớp 6 - Chi tiết'!AO247</f>
        <v/>
      </c>
      <c r="AS685" s="389" t="str">
        <f t="shared" si="467"/>
        <v/>
      </c>
      <c r="AT685" s="389" t="str">
        <f t="shared" si="32"/>
        <v/>
      </c>
      <c r="AU685" s="389" t="str">
        <f t="shared" si="33"/>
        <v/>
      </c>
      <c r="AV685" s="389" t="str">
        <f t="shared" si="34"/>
        <v/>
      </c>
      <c r="AW685" s="389" t="str">
        <f t="shared" si="35"/>
        <v/>
      </c>
      <c r="AX685" s="67" t="str">
        <f t="shared" ref="AX685:BH685" si="700">Z685</f>
        <v/>
      </c>
      <c r="AY685" s="67" t="str">
        <f t="shared" si="700"/>
        <v/>
      </c>
      <c r="AZ685" s="67" t="str">
        <f t="shared" si="700"/>
        <v/>
      </c>
      <c r="BA685" s="67" t="str">
        <f t="shared" si="700"/>
        <v/>
      </c>
      <c r="BB685" s="398" t="str">
        <f t="shared" si="700"/>
        <v/>
      </c>
      <c r="BC685" s="358" t="str">
        <f t="shared" si="700"/>
        <v/>
      </c>
      <c r="BD685" s="187" t="str">
        <f t="shared" si="700"/>
        <v/>
      </c>
      <c r="BE685" s="104" t="str">
        <f t="shared" si="700"/>
        <v/>
      </c>
      <c r="BF685" s="389" t="str">
        <f t="shared" si="700"/>
        <v/>
      </c>
      <c r="BG685" s="389" t="str">
        <f t="shared" si="700"/>
        <v>🔵 Chưa có hạn</v>
      </c>
      <c r="BH685" s="67" t="str">
        <f t="shared" si="700"/>
        <v/>
      </c>
      <c r="BI685" s="389" t="str">
        <f t="array" ref="BI685">IF($X685="","",SWITCH($W685,3,IFERROR(INDEX('Lớp 3 - Công việc chính'!$AF$14:$AF$73,MATCH($X685,'Lớp 3 - Công việc chính'!$I$14:$I$73,0)),""),4,IFERROR(INDEX('Lớp 4 - Danh mục'!$AI$14:$AI$132,MATCH($X685,'Lớp 4 - Danh mục'!$I$14:$I$132,0)),""),5,IFERROR(INDEX('Lớp 5 - Phân công'!$AJ$14:$AJ$262,MATCH($X685,'Lớp 5 - Phân công'!$I$14:$I$262,0)),""),6,IFERROR(INDEX('Lớp 6 - Chi tiết'!$AM$14:$AM$267,MATCH($X685,'Lớp 6 - Chi tiết'!$I$14:$I$267,0)),""),""))</f>
        <v/>
      </c>
      <c r="BJ685" s="389" t="str">
        <f t="array" ref="BJ685">IF($X685="","",SWITCH($W685,3,IFERROR(INDEX('Lớp 3 - Công việc chính'!$AR$14:$AR$73,MATCH($X685,'Lớp 3 - Công việc chính'!$I$14:$I$73,0)),""),4,IFERROR(INDEX('Lớp 4 - Danh mục'!$AU$14:$AU$132,MATCH($X685,'Lớp 4 - Danh mục'!$I$14:$I$132,0)),""),5,IFERROR(INDEX('Lớp 5 - Phân công'!$AV$14:$AV$262,MATCH($X685,'Lớp 5 - Phân công'!$I$14:$I$262,0)),""),6,IFERROR(INDEX('Lớp 6 - Chi tiết'!$AY$14:$AY$267,MATCH($X685,'Lớp 6 - Chi tiết'!$I$14:$I$267,0)),""),""))</f>
        <v/>
      </c>
    </row>
    <row r="686" ht="15.75" customHeight="1">
      <c r="A686" s="294" t="str">
        <f t="shared" si="12"/>
        <v/>
      </c>
      <c r="B686" s="301" t="str">
        <f t="shared" si="13"/>
        <v/>
      </c>
      <c r="C686" s="301" t="str">
        <f t="shared" si="14"/>
        <v/>
      </c>
      <c r="D686" s="301" t="str">
        <f t="shared" si="15"/>
        <v/>
      </c>
      <c r="E686" s="301" t="str">
        <f t="shared" si="16"/>
        <v/>
      </c>
      <c r="F686" s="317" t="str">
        <f t="shared" si="17"/>
        <v/>
      </c>
      <c r="G686" s="323" t="str">
        <f t="shared" si="18"/>
        <v/>
      </c>
      <c r="H686" s="327" t="str">
        <f t="shared" si="19"/>
        <v/>
      </c>
      <c r="I686" s="327" t="str">
        <f t="shared" si="20"/>
        <v/>
      </c>
      <c r="J686" s="301" t="str">
        <f t="shared" si="21"/>
        <v/>
      </c>
      <c r="K686" s="301" t="str">
        <f t="shared" si="22"/>
        <v/>
      </c>
      <c r="L686" s="344" t="str">
        <f t="array" ref="L686">IF($T686="","",LET(m,MATCH($T686,$AS$24:$AS$700,0),lvl,INDEX($W$24:$W$700,m),id,INDEX($X$24:$X$700,m),SWITCH(lvl,3,"Lớp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6" s="351" t="str">
        <f t="shared" si="23"/>
        <v/>
      </c>
      <c r="N686" s="356" t="str">
        <f t="shared" si="24"/>
        <v/>
      </c>
      <c r="O686" s="358"/>
      <c r="P686" s="360"/>
      <c r="Q686" s="360"/>
      <c r="R686" s="67"/>
      <c r="S686" s="67"/>
      <c r="T686" s="67"/>
      <c r="U686" s="389" t="str">
        <f>IF('Lớp 6 - Chi tiết'!I248="","",'Lớp 6 - Chi tiết'!L248&amp;"|"&amp;'Lớp 6 - Chi tiết'!K248&amp;"|"&amp;'Lớp 6 - Chi tiết'!J248&amp;"|"&amp;'Lớp 6 - Chi tiết'!I248)</f>
        <v/>
      </c>
      <c r="V686" s="389" t="str">
        <f>IF('Lớp 6 - Chi tiết'!I248="","","           └─ "&amp;'Lớp 6 - Chi tiết'!S248)</f>
        <v/>
      </c>
      <c r="W686" s="389" t="str">
        <f>IF('Lớp 6 - Chi tiết'!I248="","",6)</f>
        <v/>
      </c>
      <c r="X686" s="67" t="str">
        <f>'Lớp 6 - Chi tiết'!I248</f>
        <v/>
      </c>
      <c r="Y686" s="389" t="str">
        <f>'Lớp 6 - Chi tiết'!J248</f>
        <v/>
      </c>
      <c r="Z686" s="67" t="str">
        <f>'Lớp 6 - Chi tiết'!AC248</f>
        <v/>
      </c>
      <c r="AA686" s="67" t="str">
        <f>'Lớp 6 - Chi tiết'!AB248</f>
        <v/>
      </c>
      <c r="AB686" s="67" t="str">
        <f>'Lớp 6 - Chi tiết'!AF248</f>
        <v/>
      </c>
      <c r="AC686" s="67" t="str">
        <f>'Lớp 6 - Chi tiết'!AE248</f>
        <v/>
      </c>
      <c r="AD686" s="398" t="str">
        <f>'Lớp 6 - Chi tiết'!AJ248</f>
        <v/>
      </c>
      <c r="AE686" s="358" t="str">
        <f>'Lớp 6 - Chi tiết'!AH248</f>
        <v/>
      </c>
      <c r="AF686" s="187" t="str">
        <f>'Lớp 6 - Chi tiết'!AK248</f>
        <v/>
      </c>
      <c r="AG686" s="104" t="str">
        <f>'Lớp 6 - Chi tiết'!AL248</f>
        <v/>
      </c>
      <c r="AH686" s="389" t="str">
        <f t="shared" si="27"/>
        <v/>
      </c>
      <c r="AI686" s="389" t="str">
        <f t="shared" si="37"/>
        <v>🔵 Chưa có hạn</v>
      </c>
      <c r="AJ686" s="67" t="str">
        <f>'Lớp 6 - Chi tiết'!AO248</f>
        <v/>
      </c>
      <c r="AS686" s="389" t="str">
        <f t="shared" si="467"/>
        <v/>
      </c>
      <c r="AT686" s="389" t="str">
        <f t="shared" si="32"/>
        <v/>
      </c>
      <c r="AU686" s="389" t="str">
        <f t="shared" si="33"/>
        <v/>
      </c>
      <c r="AV686" s="389" t="str">
        <f t="shared" si="34"/>
        <v/>
      </c>
      <c r="AW686" s="389" t="str">
        <f t="shared" si="35"/>
        <v/>
      </c>
      <c r="AX686" s="67" t="str">
        <f t="shared" ref="AX686:BH686" si="701">Z686</f>
        <v/>
      </c>
      <c r="AY686" s="67" t="str">
        <f t="shared" si="701"/>
        <v/>
      </c>
      <c r="AZ686" s="67" t="str">
        <f t="shared" si="701"/>
        <v/>
      </c>
      <c r="BA686" s="67" t="str">
        <f t="shared" si="701"/>
        <v/>
      </c>
      <c r="BB686" s="398" t="str">
        <f t="shared" si="701"/>
        <v/>
      </c>
      <c r="BC686" s="358" t="str">
        <f t="shared" si="701"/>
        <v/>
      </c>
      <c r="BD686" s="187" t="str">
        <f t="shared" si="701"/>
        <v/>
      </c>
      <c r="BE686" s="104" t="str">
        <f t="shared" si="701"/>
        <v/>
      </c>
      <c r="BF686" s="389" t="str">
        <f t="shared" si="701"/>
        <v/>
      </c>
      <c r="BG686" s="389" t="str">
        <f t="shared" si="701"/>
        <v>🔵 Chưa có hạn</v>
      </c>
      <c r="BH686" s="67" t="str">
        <f t="shared" si="701"/>
        <v/>
      </c>
      <c r="BI686" s="389" t="str">
        <f t="array" ref="BI686">IF($X686="","",SWITCH($W686,3,IFERROR(INDEX('Lớp 3 - Công việc chính'!$AF$14:$AF$73,MATCH($X686,'Lớp 3 - Công việc chính'!$I$14:$I$73,0)),""),4,IFERROR(INDEX('Lớp 4 - Danh mục'!$AI$14:$AI$132,MATCH($X686,'Lớp 4 - Danh mục'!$I$14:$I$132,0)),""),5,IFERROR(INDEX('Lớp 5 - Phân công'!$AJ$14:$AJ$262,MATCH($X686,'Lớp 5 - Phân công'!$I$14:$I$262,0)),""),6,IFERROR(INDEX('Lớp 6 - Chi tiết'!$AM$14:$AM$267,MATCH($X686,'Lớp 6 - Chi tiết'!$I$14:$I$267,0)),""),""))</f>
        <v/>
      </c>
      <c r="BJ686" s="389" t="str">
        <f t="array" ref="BJ686">IF($X686="","",SWITCH($W686,3,IFERROR(INDEX('Lớp 3 - Công việc chính'!$AR$14:$AR$73,MATCH($X686,'Lớp 3 - Công việc chính'!$I$14:$I$73,0)),""),4,IFERROR(INDEX('Lớp 4 - Danh mục'!$AU$14:$AU$132,MATCH($X686,'Lớp 4 - Danh mục'!$I$14:$I$132,0)),""),5,IFERROR(INDEX('Lớp 5 - Phân công'!$AV$14:$AV$262,MATCH($X686,'Lớp 5 - Phân công'!$I$14:$I$262,0)),""),6,IFERROR(INDEX('Lớp 6 - Chi tiết'!$AY$14:$AY$267,MATCH($X686,'Lớp 6 - Chi tiết'!$I$14:$I$267,0)),""),""))</f>
        <v/>
      </c>
    </row>
    <row r="687" ht="15.75" customHeight="1">
      <c r="A687" s="294" t="str">
        <f t="shared" si="12"/>
        <v/>
      </c>
      <c r="B687" s="301" t="str">
        <f t="shared" si="13"/>
        <v/>
      </c>
      <c r="C687" s="301" t="str">
        <f t="shared" si="14"/>
        <v/>
      </c>
      <c r="D687" s="301" t="str">
        <f t="shared" si="15"/>
        <v/>
      </c>
      <c r="E687" s="301" t="str">
        <f t="shared" si="16"/>
        <v/>
      </c>
      <c r="F687" s="317" t="str">
        <f t="shared" si="17"/>
        <v/>
      </c>
      <c r="G687" s="323" t="str">
        <f t="shared" si="18"/>
        <v/>
      </c>
      <c r="H687" s="327" t="str">
        <f t="shared" si="19"/>
        <v/>
      </c>
      <c r="I687" s="327" t="str">
        <f t="shared" si="20"/>
        <v/>
      </c>
      <c r="J687" s="301" t="str">
        <f t="shared" si="21"/>
        <v/>
      </c>
      <c r="K687" s="301" t="str">
        <f t="shared" si="22"/>
        <v/>
      </c>
      <c r="L687" s="344" t="str">
        <f t="array" ref="L687">IF($T687="","",LET(m,MATCH($T687,$AS$24:$AS$700,0),lvl,INDEX($W$24:$W$700,m),id,INDEX($X$24:$X$700,m),SWITCH(lvl,3,"Lớp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7" s="351" t="str">
        <f t="shared" si="23"/>
        <v/>
      </c>
      <c r="N687" s="356" t="str">
        <f t="shared" si="24"/>
        <v/>
      </c>
      <c r="O687" s="358"/>
      <c r="P687" s="360"/>
      <c r="Q687" s="360"/>
      <c r="R687" s="67"/>
      <c r="S687" s="67"/>
      <c r="T687" s="67"/>
      <c r="U687" s="389" t="str">
        <f>IF('Lớp 6 - Chi tiết'!I249="","",'Lớp 6 - Chi tiết'!L249&amp;"|"&amp;'Lớp 6 - Chi tiết'!K249&amp;"|"&amp;'Lớp 6 - Chi tiết'!J249&amp;"|"&amp;'Lớp 6 - Chi tiết'!I249)</f>
        <v/>
      </c>
      <c r="V687" s="389" t="str">
        <f>IF('Lớp 6 - Chi tiết'!I249="","","           └─ "&amp;'Lớp 6 - Chi tiết'!S249)</f>
        <v/>
      </c>
      <c r="W687" s="389" t="str">
        <f>IF('Lớp 6 - Chi tiết'!I249="","",6)</f>
        <v/>
      </c>
      <c r="X687" s="67" t="str">
        <f>'Lớp 6 - Chi tiết'!I249</f>
        <v/>
      </c>
      <c r="Y687" s="389" t="str">
        <f>'Lớp 6 - Chi tiết'!J249</f>
        <v/>
      </c>
      <c r="Z687" s="67" t="str">
        <f>'Lớp 6 - Chi tiết'!AC249</f>
        <v/>
      </c>
      <c r="AA687" s="67" t="str">
        <f>'Lớp 6 - Chi tiết'!AB249</f>
        <v/>
      </c>
      <c r="AB687" s="67" t="str">
        <f>'Lớp 6 - Chi tiết'!AF249</f>
        <v/>
      </c>
      <c r="AC687" s="67" t="str">
        <f>'Lớp 6 - Chi tiết'!AE249</f>
        <v/>
      </c>
      <c r="AD687" s="398" t="str">
        <f>'Lớp 6 - Chi tiết'!AJ249</f>
        <v/>
      </c>
      <c r="AE687" s="358" t="str">
        <f>'Lớp 6 - Chi tiết'!AH249</f>
        <v/>
      </c>
      <c r="AF687" s="187" t="str">
        <f>'Lớp 6 - Chi tiết'!AK249</f>
        <v/>
      </c>
      <c r="AG687" s="104" t="str">
        <f>'Lớp 6 - Chi tiết'!AL249</f>
        <v/>
      </c>
      <c r="AH687" s="389" t="str">
        <f t="shared" si="27"/>
        <v/>
      </c>
      <c r="AI687" s="389" t="str">
        <f t="shared" si="37"/>
        <v>🔵 Chưa có hạn</v>
      </c>
      <c r="AJ687" s="67" t="str">
        <f>'Lớp 6 - Chi tiết'!AO249</f>
        <v/>
      </c>
      <c r="AS687" s="389" t="str">
        <f t="shared" si="467"/>
        <v/>
      </c>
      <c r="AT687" s="389" t="str">
        <f t="shared" si="32"/>
        <v/>
      </c>
      <c r="AU687" s="389" t="str">
        <f t="shared" si="33"/>
        <v/>
      </c>
      <c r="AV687" s="389" t="str">
        <f t="shared" si="34"/>
        <v/>
      </c>
      <c r="AW687" s="389" t="str">
        <f t="shared" si="35"/>
        <v/>
      </c>
      <c r="AX687" s="67" t="str">
        <f t="shared" ref="AX687:BH687" si="702">Z687</f>
        <v/>
      </c>
      <c r="AY687" s="67" t="str">
        <f t="shared" si="702"/>
        <v/>
      </c>
      <c r="AZ687" s="67" t="str">
        <f t="shared" si="702"/>
        <v/>
      </c>
      <c r="BA687" s="67" t="str">
        <f t="shared" si="702"/>
        <v/>
      </c>
      <c r="BB687" s="398" t="str">
        <f t="shared" si="702"/>
        <v/>
      </c>
      <c r="BC687" s="358" t="str">
        <f t="shared" si="702"/>
        <v/>
      </c>
      <c r="BD687" s="187" t="str">
        <f t="shared" si="702"/>
        <v/>
      </c>
      <c r="BE687" s="104" t="str">
        <f t="shared" si="702"/>
        <v/>
      </c>
      <c r="BF687" s="389" t="str">
        <f t="shared" si="702"/>
        <v/>
      </c>
      <c r="BG687" s="389" t="str">
        <f t="shared" si="702"/>
        <v>🔵 Chưa có hạn</v>
      </c>
      <c r="BH687" s="67" t="str">
        <f t="shared" si="702"/>
        <v/>
      </c>
      <c r="BI687" s="389" t="str">
        <f t="array" ref="BI687">IF($X687="","",SWITCH($W687,3,IFERROR(INDEX('Lớp 3 - Công việc chính'!$AF$14:$AF$73,MATCH($X687,'Lớp 3 - Công việc chính'!$I$14:$I$73,0)),""),4,IFERROR(INDEX('Lớp 4 - Danh mục'!$AI$14:$AI$132,MATCH($X687,'Lớp 4 - Danh mục'!$I$14:$I$132,0)),""),5,IFERROR(INDEX('Lớp 5 - Phân công'!$AJ$14:$AJ$262,MATCH($X687,'Lớp 5 - Phân công'!$I$14:$I$262,0)),""),6,IFERROR(INDEX('Lớp 6 - Chi tiết'!$AM$14:$AM$267,MATCH($X687,'Lớp 6 - Chi tiết'!$I$14:$I$267,0)),""),""))</f>
        <v/>
      </c>
      <c r="BJ687" s="389" t="str">
        <f t="array" ref="BJ687">IF($X687="","",SWITCH($W687,3,IFERROR(INDEX('Lớp 3 - Công việc chính'!$AR$14:$AR$73,MATCH($X687,'Lớp 3 - Công việc chính'!$I$14:$I$73,0)),""),4,IFERROR(INDEX('Lớp 4 - Danh mục'!$AU$14:$AU$132,MATCH($X687,'Lớp 4 - Danh mục'!$I$14:$I$132,0)),""),5,IFERROR(INDEX('Lớp 5 - Phân công'!$AV$14:$AV$262,MATCH($X687,'Lớp 5 - Phân công'!$I$14:$I$262,0)),""),6,IFERROR(INDEX('Lớp 6 - Chi tiết'!$AY$14:$AY$267,MATCH($X687,'Lớp 6 - Chi tiết'!$I$14:$I$267,0)),""),""))</f>
        <v/>
      </c>
    </row>
    <row r="688" ht="15.75" customHeight="1">
      <c r="A688" s="294" t="str">
        <f t="shared" si="12"/>
        <v/>
      </c>
      <c r="B688" s="301" t="str">
        <f t="shared" si="13"/>
        <v/>
      </c>
      <c r="C688" s="301" t="str">
        <f t="shared" si="14"/>
        <v/>
      </c>
      <c r="D688" s="301" t="str">
        <f t="shared" si="15"/>
        <v/>
      </c>
      <c r="E688" s="301" t="str">
        <f t="shared" si="16"/>
        <v/>
      </c>
      <c r="F688" s="317" t="str">
        <f t="shared" si="17"/>
        <v/>
      </c>
      <c r="G688" s="323" t="str">
        <f t="shared" si="18"/>
        <v/>
      </c>
      <c r="H688" s="327" t="str">
        <f t="shared" si="19"/>
        <v/>
      </c>
      <c r="I688" s="327" t="str">
        <f t="shared" si="20"/>
        <v/>
      </c>
      <c r="J688" s="301" t="str">
        <f t="shared" si="21"/>
        <v/>
      </c>
      <c r="K688" s="301" t="str">
        <f t="shared" si="22"/>
        <v/>
      </c>
      <c r="L688" s="344" t="str">
        <f t="array" ref="L688">IF($T688="","",LET(m,MATCH($T688,$AS$24:$AS$700,0),lvl,INDEX($W$24:$W$700,m),id,INDEX($X$24:$X$700,m),SWITCH(lvl,3,"Lớp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8" s="351" t="str">
        <f t="shared" si="23"/>
        <v/>
      </c>
      <c r="N688" s="356" t="str">
        <f t="shared" si="24"/>
        <v/>
      </c>
      <c r="O688" s="358"/>
      <c r="P688" s="360"/>
      <c r="Q688" s="360"/>
      <c r="R688" s="67"/>
      <c r="S688" s="67"/>
      <c r="T688" s="67"/>
      <c r="U688" s="389" t="str">
        <f>IF('Lớp 6 - Chi tiết'!I250="","",'Lớp 6 - Chi tiết'!L250&amp;"|"&amp;'Lớp 6 - Chi tiết'!K250&amp;"|"&amp;'Lớp 6 - Chi tiết'!J250&amp;"|"&amp;'Lớp 6 - Chi tiết'!I250)</f>
        <v/>
      </c>
      <c r="V688" s="389" t="str">
        <f>IF('Lớp 6 - Chi tiết'!I250="","","           └─ "&amp;'Lớp 6 - Chi tiết'!S250)</f>
        <v/>
      </c>
      <c r="W688" s="389" t="str">
        <f>IF('Lớp 6 - Chi tiết'!I250="","",6)</f>
        <v/>
      </c>
      <c r="X688" s="67" t="str">
        <f>'Lớp 6 - Chi tiết'!I250</f>
        <v/>
      </c>
      <c r="Y688" s="389" t="str">
        <f>'Lớp 6 - Chi tiết'!J250</f>
        <v/>
      </c>
      <c r="Z688" s="67" t="str">
        <f>'Lớp 6 - Chi tiết'!AC250</f>
        <v/>
      </c>
      <c r="AA688" s="67" t="str">
        <f>'Lớp 6 - Chi tiết'!AB250</f>
        <v/>
      </c>
      <c r="AB688" s="67" t="str">
        <f>'Lớp 6 - Chi tiết'!AF250</f>
        <v/>
      </c>
      <c r="AC688" s="67" t="str">
        <f>'Lớp 6 - Chi tiết'!AE250</f>
        <v/>
      </c>
      <c r="AD688" s="398" t="str">
        <f>'Lớp 6 - Chi tiết'!AJ250</f>
        <v/>
      </c>
      <c r="AE688" s="358" t="str">
        <f>'Lớp 6 - Chi tiết'!AH250</f>
        <v/>
      </c>
      <c r="AF688" s="187" t="str">
        <f>'Lớp 6 - Chi tiết'!AK250</f>
        <v/>
      </c>
      <c r="AG688" s="104" t="str">
        <f>'Lớp 6 - Chi tiết'!AL250</f>
        <v/>
      </c>
      <c r="AH688" s="389" t="str">
        <f t="shared" si="27"/>
        <v/>
      </c>
      <c r="AI688" s="389" t="str">
        <f t="shared" si="37"/>
        <v>🔵 Chưa có hạn</v>
      </c>
      <c r="AJ688" s="67" t="str">
        <f>'Lớp 6 - Chi tiết'!AO250</f>
        <v/>
      </c>
      <c r="AS688" s="389" t="str">
        <f t="shared" si="467"/>
        <v/>
      </c>
      <c r="AT688" s="389" t="str">
        <f t="shared" si="32"/>
        <v/>
      </c>
      <c r="AU688" s="389" t="str">
        <f t="shared" si="33"/>
        <v/>
      </c>
      <c r="AV688" s="389" t="str">
        <f t="shared" si="34"/>
        <v/>
      </c>
      <c r="AW688" s="389" t="str">
        <f t="shared" si="35"/>
        <v/>
      </c>
      <c r="AX688" s="67" t="str">
        <f t="shared" ref="AX688:BH688" si="703">Z688</f>
        <v/>
      </c>
      <c r="AY688" s="67" t="str">
        <f t="shared" si="703"/>
        <v/>
      </c>
      <c r="AZ688" s="67" t="str">
        <f t="shared" si="703"/>
        <v/>
      </c>
      <c r="BA688" s="67" t="str">
        <f t="shared" si="703"/>
        <v/>
      </c>
      <c r="BB688" s="398" t="str">
        <f t="shared" si="703"/>
        <v/>
      </c>
      <c r="BC688" s="358" t="str">
        <f t="shared" si="703"/>
        <v/>
      </c>
      <c r="BD688" s="187" t="str">
        <f t="shared" si="703"/>
        <v/>
      </c>
      <c r="BE688" s="104" t="str">
        <f t="shared" si="703"/>
        <v/>
      </c>
      <c r="BF688" s="389" t="str">
        <f t="shared" si="703"/>
        <v/>
      </c>
      <c r="BG688" s="389" t="str">
        <f t="shared" si="703"/>
        <v>🔵 Chưa có hạn</v>
      </c>
      <c r="BH688" s="67" t="str">
        <f t="shared" si="703"/>
        <v/>
      </c>
      <c r="BI688" s="389" t="str">
        <f t="array" ref="BI688">IF($X688="","",SWITCH($W688,3,IFERROR(INDEX('Lớp 3 - Công việc chính'!$AF$14:$AF$73,MATCH($X688,'Lớp 3 - Công việc chính'!$I$14:$I$73,0)),""),4,IFERROR(INDEX('Lớp 4 - Danh mục'!$AI$14:$AI$132,MATCH($X688,'Lớp 4 - Danh mục'!$I$14:$I$132,0)),""),5,IFERROR(INDEX('Lớp 5 - Phân công'!$AJ$14:$AJ$262,MATCH($X688,'Lớp 5 - Phân công'!$I$14:$I$262,0)),""),6,IFERROR(INDEX('Lớp 6 - Chi tiết'!$AM$14:$AM$267,MATCH($X688,'Lớp 6 - Chi tiết'!$I$14:$I$267,0)),""),""))</f>
        <v/>
      </c>
      <c r="BJ688" s="389" t="str">
        <f t="array" ref="BJ688">IF($X688="","",SWITCH($W688,3,IFERROR(INDEX('Lớp 3 - Công việc chính'!$AR$14:$AR$73,MATCH($X688,'Lớp 3 - Công việc chính'!$I$14:$I$73,0)),""),4,IFERROR(INDEX('Lớp 4 - Danh mục'!$AU$14:$AU$132,MATCH($X688,'Lớp 4 - Danh mục'!$I$14:$I$132,0)),""),5,IFERROR(INDEX('Lớp 5 - Phân công'!$AV$14:$AV$262,MATCH($X688,'Lớp 5 - Phân công'!$I$14:$I$262,0)),""),6,IFERROR(INDEX('Lớp 6 - Chi tiết'!$AY$14:$AY$267,MATCH($X688,'Lớp 6 - Chi tiết'!$I$14:$I$267,0)),""),""))</f>
        <v/>
      </c>
    </row>
    <row r="689" ht="15.75" customHeight="1">
      <c r="A689" s="294" t="str">
        <f t="shared" si="12"/>
        <v/>
      </c>
      <c r="B689" s="301" t="str">
        <f t="shared" si="13"/>
        <v/>
      </c>
      <c r="C689" s="301" t="str">
        <f t="shared" si="14"/>
        <v/>
      </c>
      <c r="D689" s="301" t="str">
        <f t="shared" si="15"/>
        <v/>
      </c>
      <c r="E689" s="301" t="str">
        <f t="shared" si="16"/>
        <v/>
      </c>
      <c r="F689" s="317" t="str">
        <f t="shared" si="17"/>
        <v/>
      </c>
      <c r="G689" s="323" t="str">
        <f t="shared" si="18"/>
        <v/>
      </c>
      <c r="H689" s="327" t="str">
        <f t="shared" si="19"/>
        <v/>
      </c>
      <c r="I689" s="327" t="str">
        <f t="shared" si="20"/>
        <v/>
      </c>
      <c r="J689" s="301" t="str">
        <f t="shared" si="21"/>
        <v/>
      </c>
      <c r="K689" s="301" t="str">
        <f t="shared" si="22"/>
        <v/>
      </c>
      <c r="L689" s="344" t="str">
        <f t="array" ref="L689">IF($T689="","",LET(m,MATCH($T689,$AS$24:$AS$700,0),lvl,INDEX($W$24:$W$700,m),id,INDEX($X$24:$X$700,m),SWITCH(lvl,3,"Lớp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89" s="351" t="str">
        <f t="shared" si="23"/>
        <v/>
      </c>
      <c r="N689" s="356" t="str">
        <f t="shared" si="24"/>
        <v/>
      </c>
      <c r="O689" s="358"/>
      <c r="P689" s="360"/>
      <c r="Q689" s="360"/>
      <c r="R689" s="67"/>
      <c r="S689" s="67"/>
      <c r="T689" s="67"/>
      <c r="U689" s="389" t="str">
        <f>IF('Lớp 6 - Chi tiết'!I251="","",'Lớp 6 - Chi tiết'!L251&amp;"|"&amp;'Lớp 6 - Chi tiết'!K251&amp;"|"&amp;'Lớp 6 - Chi tiết'!J251&amp;"|"&amp;'Lớp 6 - Chi tiết'!I251)</f>
        <v/>
      </c>
      <c r="V689" s="389" t="str">
        <f>IF('Lớp 6 - Chi tiết'!I251="","","           └─ "&amp;'Lớp 6 - Chi tiết'!S251)</f>
        <v/>
      </c>
      <c r="W689" s="389" t="str">
        <f>IF('Lớp 6 - Chi tiết'!I251="","",6)</f>
        <v/>
      </c>
      <c r="X689" s="67" t="str">
        <f>'Lớp 6 - Chi tiết'!I251</f>
        <v/>
      </c>
      <c r="Y689" s="389" t="str">
        <f>'Lớp 6 - Chi tiết'!J251</f>
        <v/>
      </c>
      <c r="Z689" s="67" t="str">
        <f>'Lớp 6 - Chi tiết'!AC251</f>
        <v/>
      </c>
      <c r="AA689" s="67" t="str">
        <f>'Lớp 6 - Chi tiết'!AB251</f>
        <v/>
      </c>
      <c r="AB689" s="67" t="str">
        <f>'Lớp 6 - Chi tiết'!AF251</f>
        <v/>
      </c>
      <c r="AC689" s="67" t="str">
        <f>'Lớp 6 - Chi tiết'!AE251</f>
        <v/>
      </c>
      <c r="AD689" s="398" t="str">
        <f>'Lớp 6 - Chi tiết'!AJ251</f>
        <v/>
      </c>
      <c r="AE689" s="358" t="str">
        <f>'Lớp 6 - Chi tiết'!AH251</f>
        <v/>
      </c>
      <c r="AF689" s="187" t="str">
        <f>'Lớp 6 - Chi tiết'!AK251</f>
        <v/>
      </c>
      <c r="AG689" s="104" t="str">
        <f>'Lớp 6 - Chi tiết'!AL251</f>
        <v/>
      </c>
      <c r="AH689" s="389" t="str">
        <f t="shared" si="27"/>
        <v/>
      </c>
      <c r="AI689" s="389" t="str">
        <f t="shared" si="37"/>
        <v>🔵 Chưa có hạn</v>
      </c>
      <c r="AJ689" s="67" t="str">
        <f>'Lớp 6 - Chi tiết'!AO251</f>
        <v/>
      </c>
      <c r="AS689" s="389" t="str">
        <f t="shared" si="467"/>
        <v/>
      </c>
      <c r="AT689" s="389" t="str">
        <f t="shared" si="32"/>
        <v/>
      </c>
      <c r="AU689" s="389" t="str">
        <f t="shared" si="33"/>
        <v/>
      </c>
      <c r="AV689" s="389" t="str">
        <f t="shared" si="34"/>
        <v/>
      </c>
      <c r="AW689" s="389" t="str">
        <f t="shared" si="35"/>
        <v/>
      </c>
      <c r="AX689" s="67" t="str">
        <f t="shared" ref="AX689:BH689" si="704">Z689</f>
        <v/>
      </c>
      <c r="AY689" s="67" t="str">
        <f t="shared" si="704"/>
        <v/>
      </c>
      <c r="AZ689" s="67" t="str">
        <f t="shared" si="704"/>
        <v/>
      </c>
      <c r="BA689" s="67" t="str">
        <f t="shared" si="704"/>
        <v/>
      </c>
      <c r="BB689" s="398" t="str">
        <f t="shared" si="704"/>
        <v/>
      </c>
      <c r="BC689" s="358" t="str">
        <f t="shared" si="704"/>
        <v/>
      </c>
      <c r="BD689" s="187" t="str">
        <f t="shared" si="704"/>
        <v/>
      </c>
      <c r="BE689" s="104" t="str">
        <f t="shared" si="704"/>
        <v/>
      </c>
      <c r="BF689" s="389" t="str">
        <f t="shared" si="704"/>
        <v/>
      </c>
      <c r="BG689" s="389" t="str">
        <f t="shared" si="704"/>
        <v>🔵 Chưa có hạn</v>
      </c>
      <c r="BH689" s="67" t="str">
        <f t="shared" si="704"/>
        <v/>
      </c>
      <c r="BI689" s="389" t="str">
        <f t="array" ref="BI689">IF($X689="","",SWITCH($W689,3,IFERROR(INDEX('Lớp 3 - Công việc chính'!$AF$14:$AF$73,MATCH($X689,'Lớp 3 - Công việc chính'!$I$14:$I$73,0)),""),4,IFERROR(INDEX('Lớp 4 - Danh mục'!$AI$14:$AI$132,MATCH($X689,'Lớp 4 - Danh mục'!$I$14:$I$132,0)),""),5,IFERROR(INDEX('Lớp 5 - Phân công'!$AJ$14:$AJ$262,MATCH($X689,'Lớp 5 - Phân công'!$I$14:$I$262,0)),""),6,IFERROR(INDEX('Lớp 6 - Chi tiết'!$AM$14:$AM$267,MATCH($X689,'Lớp 6 - Chi tiết'!$I$14:$I$267,0)),""),""))</f>
        <v/>
      </c>
      <c r="BJ689" s="389" t="str">
        <f t="array" ref="BJ689">IF($X689="","",SWITCH($W689,3,IFERROR(INDEX('Lớp 3 - Công việc chính'!$AR$14:$AR$73,MATCH($X689,'Lớp 3 - Công việc chính'!$I$14:$I$73,0)),""),4,IFERROR(INDEX('Lớp 4 - Danh mục'!$AU$14:$AU$132,MATCH($X689,'Lớp 4 - Danh mục'!$I$14:$I$132,0)),""),5,IFERROR(INDEX('Lớp 5 - Phân công'!$AV$14:$AV$262,MATCH($X689,'Lớp 5 - Phân công'!$I$14:$I$262,0)),""),6,IFERROR(INDEX('Lớp 6 - Chi tiết'!$AY$14:$AY$267,MATCH($X689,'Lớp 6 - Chi tiết'!$I$14:$I$267,0)),""),""))</f>
        <v/>
      </c>
    </row>
    <row r="690" ht="15.75" customHeight="1">
      <c r="A690" s="294" t="str">
        <f t="shared" si="12"/>
        <v/>
      </c>
      <c r="B690" s="301" t="str">
        <f t="shared" si="13"/>
        <v/>
      </c>
      <c r="C690" s="301" t="str">
        <f t="shared" si="14"/>
        <v/>
      </c>
      <c r="D690" s="301" t="str">
        <f t="shared" si="15"/>
        <v/>
      </c>
      <c r="E690" s="301" t="str">
        <f t="shared" si="16"/>
        <v/>
      </c>
      <c r="F690" s="317" t="str">
        <f t="shared" si="17"/>
        <v/>
      </c>
      <c r="G690" s="323" t="str">
        <f t="shared" si="18"/>
        <v/>
      </c>
      <c r="H690" s="327" t="str">
        <f t="shared" si="19"/>
        <v/>
      </c>
      <c r="I690" s="327" t="str">
        <f t="shared" si="20"/>
        <v/>
      </c>
      <c r="J690" s="301" t="str">
        <f t="shared" si="21"/>
        <v/>
      </c>
      <c r="K690" s="301" t="str">
        <f t="shared" si="22"/>
        <v/>
      </c>
      <c r="L690" s="344" t="str">
        <f t="array" ref="L690">IF($T690="","",LET(m,MATCH($T690,$AS$24:$AS$700,0),lvl,INDEX($W$24:$W$700,m),id,INDEX($X$24:$X$700,m),SWITCH(lvl,3,"Lớp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0" s="351" t="str">
        <f t="shared" si="23"/>
        <v/>
      </c>
      <c r="N690" s="356" t="str">
        <f t="shared" si="24"/>
        <v/>
      </c>
      <c r="O690" s="358"/>
      <c r="P690" s="360"/>
      <c r="Q690" s="360"/>
      <c r="R690" s="67"/>
      <c r="S690" s="67"/>
      <c r="T690" s="67"/>
      <c r="U690" s="389" t="str">
        <f>IF('Lớp 6 - Chi tiết'!I252="","",'Lớp 6 - Chi tiết'!L252&amp;"|"&amp;'Lớp 6 - Chi tiết'!K252&amp;"|"&amp;'Lớp 6 - Chi tiết'!J252&amp;"|"&amp;'Lớp 6 - Chi tiết'!I252)</f>
        <v/>
      </c>
      <c r="V690" s="389" t="str">
        <f>IF('Lớp 6 - Chi tiết'!I252="","","           └─ "&amp;'Lớp 6 - Chi tiết'!S252)</f>
        <v/>
      </c>
      <c r="W690" s="389" t="str">
        <f>IF('Lớp 6 - Chi tiết'!I252="","",6)</f>
        <v/>
      </c>
      <c r="X690" s="67" t="str">
        <f>'Lớp 6 - Chi tiết'!I252</f>
        <v/>
      </c>
      <c r="Y690" s="389" t="str">
        <f>'Lớp 6 - Chi tiết'!J252</f>
        <v/>
      </c>
      <c r="Z690" s="67" t="str">
        <f>'Lớp 6 - Chi tiết'!AC252</f>
        <v/>
      </c>
      <c r="AA690" s="67" t="str">
        <f>'Lớp 6 - Chi tiết'!AB252</f>
        <v/>
      </c>
      <c r="AB690" s="67" t="str">
        <f>'Lớp 6 - Chi tiết'!AF252</f>
        <v/>
      </c>
      <c r="AC690" s="67" t="str">
        <f>'Lớp 6 - Chi tiết'!AE252</f>
        <v/>
      </c>
      <c r="AD690" s="398" t="str">
        <f>'Lớp 6 - Chi tiết'!AJ252</f>
        <v/>
      </c>
      <c r="AE690" s="358" t="str">
        <f>'Lớp 6 - Chi tiết'!AH252</f>
        <v/>
      </c>
      <c r="AF690" s="187" t="str">
        <f>'Lớp 6 - Chi tiết'!AK252</f>
        <v/>
      </c>
      <c r="AG690" s="104" t="str">
        <f>'Lớp 6 - Chi tiết'!AL252</f>
        <v/>
      </c>
      <c r="AH690" s="389" t="str">
        <f t="shared" si="27"/>
        <v/>
      </c>
      <c r="AI690" s="389" t="str">
        <f t="shared" si="37"/>
        <v>🔵 Chưa có hạn</v>
      </c>
      <c r="AJ690" s="67" t="str">
        <f>'Lớp 6 - Chi tiết'!AO252</f>
        <v/>
      </c>
      <c r="AS690" s="389" t="str">
        <f t="shared" si="467"/>
        <v/>
      </c>
      <c r="AT690" s="389" t="str">
        <f t="shared" si="32"/>
        <v/>
      </c>
      <c r="AU690" s="389" t="str">
        <f t="shared" si="33"/>
        <v/>
      </c>
      <c r="AV690" s="389" t="str">
        <f t="shared" si="34"/>
        <v/>
      </c>
      <c r="AW690" s="389" t="str">
        <f t="shared" si="35"/>
        <v/>
      </c>
      <c r="AX690" s="67" t="str">
        <f t="shared" ref="AX690:BH690" si="705">Z690</f>
        <v/>
      </c>
      <c r="AY690" s="67" t="str">
        <f t="shared" si="705"/>
        <v/>
      </c>
      <c r="AZ690" s="67" t="str">
        <f t="shared" si="705"/>
        <v/>
      </c>
      <c r="BA690" s="67" t="str">
        <f t="shared" si="705"/>
        <v/>
      </c>
      <c r="BB690" s="398" t="str">
        <f t="shared" si="705"/>
        <v/>
      </c>
      <c r="BC690" s="358" t="str">
        <f t="shared" si="705"/>
        <v/>
      </c>
      <c r="BD690" s="187" t="str">
        <f t="shared" si="705"/>
        <v/>
      </c>
      <c r="BE690" s="104" t="str">
        <f t="shared" si="705"/>
        <v/>
      </c>
      <c r="BF690" s="389" t="str">
        <f t="shared" si="705"/>
        <v/>
      </c>
      <c r="BG690" s="389" t="str">
        <f t="shared" si="705"/>
        <v>🔵 Chưa có hạn</v>
      </c>
      <c r="BH690" s="67" t="str">
        <f t="shared" si="705"/>
        <v/>
      </c>
      <c r="BI690" s="389" t="str">
        <f t="array" ref="BI690">IF($X690="","",SWITCH($W690,3,IFERROR(INDEX('Lớp 3 - Công việc chính'!$AF$14:$AF$73,MATCH($X690,'Lớp 3 - Công việc chính'!$I$14:$I$73,0)),""),4,IFERROR(INDEX('Lớp 4 - Danh mục'!$AI$14:$AI$132,MATCH($X690,'Lớp 4 - Danh mục'!$I$14:$I$132,0)),""),5,IFERROR(INDEX('Lớp 5 - Phân công'!$AJ$14:$AJ$262,MATCH($X690,'Lớp 5 - Phân công'!$I$14:$I$262,0)),""),6,IFERROR(INDEX('Lớp 6 - Chi tiết'!$AM$14:$AM$267,MATCH($X690,'Lớp 6 - Chi tiết'!$I$14:$I$267,0)),""),""))</f>
        <v/>
      </c>
      <c r="BJ690" s="389" t="str">
        <f t="array" ref="BJ690">IF($X690="","",SWITCH($W690,3,IFERROR(INDEX('Lớp 3 - Công việc chính'!$AR$14:$AR$73,MATCH($X690,'Lớp 3 - Công việc chính'!$I$14:$I$73,0)),""),4,IFERROR(INDEX('Lớp 4 - Danh mục'!$AU$14:$AU$132,MATCH($X690,'Lớp 4 - Danh mục'!$I$14:$I$132,0)),""),5,IFERROR(INDEX('Lớp 5 - Phân công'!$AV$14:$AV$262,MATCH($X690,'Lớp 5 - Phân công'!$I$14:$I$262,0)),""),6,IFERROR(INDEX('Lớp 6 - Chi tiết'!$AY$14:$AY$267,MATCH($X690,'Lớp 6 - Chi tiết'!$I$14:$I$267,0)),""),""))</f>
        <v/>
      </c>
    </row>
    <row r="691" ht="15.75" customHeight="1">
      <c r="A691" s="294" t="str">
        <f t="shared" si="12"/>
        <v/>
      </c>
      <c r="B691" s="301" t="str">
        <f t="shared" si="13"/>
        <v/>
      </c>
      <c r="C691" s="301" t="str">
        <f t="shared" si="14"/>
        <v/>
      </c>
      <c r="D691" s="301" t="str">
        <f t="shared" si="15"/>
        <v/>
      </c>
      <c r="E691" s="301" t="str">
        <f t="shared" si="16"/>
        <v/>
      </c>
      <c r="F691" s="317" t="str">
        <f t="shared" si="17"/>
        <v/>
      </c>
      <c r="G691" s="323" t="str">
        <f t="shared" si="18"/>
        <v/>
      </c>
      <c r="H691" s="327" t="str">
        <f t="shared" si="19"/>
        <v/>
      </c>
      <c r="I691" s="327" t="str">
        <f t="shared" si="20"/>
        <v/>
      </c>
      <c r="J691" s="301" t="str">
        <f t="shared" si="21"/>
        <v/>
      </c>
      <c r="K691" s="301" t="str">
        <f t="shared" si="22"/>
        <v/>
      </c>
      <c r="L691" s="344" t="str">
        <f t="array" ref="L691">IF($T691="","",LET(m,MATCH($T691,$AS$24:$AS$700,0),lvl,INDEX($W$24:$W$700,m),id,INDEX($X$24:$X$700,m),SWITCH(lvl,3,"Lớp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1" s="351" t="str">
        <f t="shared" si="23"/>
        <v/>
      </c>
      <c r="N691" s="356" t="str">
        <f t="shared" si="24"/>
        <v/>
      </c>
      <c r="O691" s="358"/>
      <c r="P691" s="360"/>
      <c r="Q691" s="360"/>
      <c r="R691" s="67"/>
      <c r="S691" s="67"/>
      <c r="T691" s="67"/>
      <c r="U691" s="389" t="str">
        <f>IF('Lớp 6 - Chi tiết'!I253="","",'Lớp 6 - Chi tiết'!L253&amp;"|"&amp;'Lớp 6 - Chi tiết'!K253&amp;"|"&amp;'Lớp 6 - Chi tiết'!J253&amp;"|"&amp;'Lớp 6 - Chi tiết'!I253)</f>
        <v/>
      </c>
      <c r="V691" s="389" t="str">
        <f>IF('Lớp 6 - Chi tiết'!I253="","","           └─ "&amp;'Lớp 6 - Chi tiết'!S253)</f>
        <v/>
      </c>
      <c r="W691" s="389" t="str">
        <f>IF('Lớp 6 - Chi tiết'!I253="","",6)</f>
        <v/>
      </c>
      <c r="X691" s="67" t="str">
        <f>'Lớp 6 - Chi tiết'!I253</f>
        <v/>
      </c>
      <c r="Y691" s="389" t="str">
        <f>'Lớp 6 - Chi tiết'!J253</f>
        <v/>
      </c>
      <c r="Z691" s="67" t="str">
        <f>'Lớp 6 - Chi tiết'!AC253</f>
        <v/>
      </c>
      <c r="AA691" s="67" t="str">
        <f>'Lớp 6 - Chi tiết'!AB253</f>
        <v/>
      </c>
      <c r="AB691" s="67" t="str">
        <f>'Lớp 6 - Chi tiết'!AF253</f>
        <v/>
      </c>
      <c r="AC691" s="67" t="str">
        <f>'Lớp 6 - Chi tiết'!AE253</f>
        <v/>
      </c>
      <c r="AD691" s="398" t="str">
        <f>'Lớp 6 - Chi tiết'!AJ253</f>
        <v/>
      </c>
      <c r="AE691" s="358" t="str">
        <f>'Lớp 6 - Chi tiết'!AH253</f>
        <v/>
      </c>
      <c r="AF691" s="187" t="str">
        <f>'Lớp 6 - Chi tiết'!AK253</f>
        <v/>
      </c>
      <c r="AG691" s="104" t="str">
        <f>'Lớp 6 - Chi tiết'!AL253</f>
        <v/>
      </c>
      <c r="AH691" s="389" t="str">
        <f t="shared" si="27"/>
        <v/>
      </c>
      <c r="AI691" s="389" t="str">
        <f t="shared" si="37"/>
        <v>🔵 Chưa có hạn</v>
      </c>
      <c r="AJ691" s="67" t="str">
        <f>'Lớp 6 - Chi tiết'!AO253</f>
        <v/>
      </c>
      <c r="AS691" s="389" t="str">
        <f t="shared" si="467"/>
        <v/>
      </c>
      <c r="AT691" s="389" t="str">
        <f t="shared" si="32"/>
        <v/>
      </c>
      <c r="AU691" s="389" t="str">
        <f t="shared" si="33"/>
        <v/>
      </c>
      <c r="AV691" s="389" t="str">
        <f t="shared" si="34"/>
        <v/>
      </c>
      <c r="AW691" s="389" t="str">
        <f t="shared" si="35"/>
        <v/>
      </c>
      <c r="AX691" s="67" t="str">
        <f t="shared" ref="AX691:BH691" si="706">Z691</f>
        <v/>
      </c>
      <c r="AY691" s="67" t="str">
        <f t="shared" si="706"/>
        <v/>
      </c>
      <c r="AZ691" s="67" t="str">
        <f t="shared" si="706"/>
        <v/>
      </c>
      <c r="BA691" s="67" t="str">
        <f t="shared" si="706"/>
        <v/>
      </c>
      <c r="BB691" s="398" t="str">
        <f t="shared" si="706"/>
        <v/>
      </c>
      <c r="BC691" s="358" t="str">
        <f t="shared" si="706"/>
        <v/>
      </c>
      <c r="BD691" s="187" t="str">
        <f t="shared" si="706"/>
        <v/>
      </c>
      <c r="BE691" s="104" t="str">
        <f t="shared" si="706"/>
        <v/>
      </c>
      <c r="BF691" s="389" t="str">
        <f t="shared" si="706"/>
        <v/>
      </c>
      <c r="BG691" s="389" t="str">
        <f t="shared" si="706"/>
        <v>🔵 Chưa có hạn</v>
      </c>
      <c r="BH691" s="67" t="str">
        <f t="shared" si="706"/>
        <v/>
      </c>
      <c r="BI691" s="389" t="str">
        <f t="array" ref="BI691">IF($X691="","",SWITCH($W691,3,IFERROR(INDEX('Lớp 3 - Công việc chính'!$AF$14:$AF$73,MATCH($X691,'Lớp 3 - Công việc chính'!$I$14:$I$73,0)),""),4,IFERROR(INDEX('Lớp 4 - Danh mục'!$AI$14:$AI$132,MATCH($X691,'Lớp 4 - Danh mục'!$I$14:$I$132,0)),""),5,IFERROR(INDEX('Lớp 5 - Phân công'!$AJ$14:$AJ$262,MATCH($X691,'Lớp 5 - Phân công'!$I$14:$I$262,0)),""),6,IFERROR(INDEX('Lớp 6 - Chi tiết'!$AM$14:$AM$267,MATCH($X691,'Lớp 6 - Chi tiết'!$I$14:$I$267,0)),""),""))</f>
        <v/>
      </c>
      <c r="BJ691" s="389" t="str">
        <f t="array" ref="BJ691">IF($X691="","",SWITCH($W691,3,IFERROR(INDEX('Lớp 3 - Công việc chính'!$AR$14:$AR$73,MATCH($X691,'Lớp 3 - Công việc chính'!$I$14:$I$73,0)),""),4,IFERROR(INDEX('Lớp 4 - Danh mục'!$AU$14:$AU$132,MATCH($X691,'Lớp 4 - Danh mục'!$I$14:$I$132,0)),""),5,IFERROR(INDEX('Lớp 5 - Phân công'!$AV$14:$AV$262,MATCH($X691,'Lớp 5 - Phân công'!$I$14:$I$262,0)),""),6,IFERROR(INDEX('Lớp 6 - Chi tiết'!$AY$14:$AY$267,MATCH($X691,'Lớp 6 - Chi tiết'!$I$14:$I$267,0)),""),""))</f>
        <v/>
      </c>
    </row>
    <row r="692" ht="15.75" customHeight="1">
      <c r="A692" s="294" t="str">
        <f t="shared" si="12"/>
        <v/>
      </c>
      <c r="B692" s="301" t="str">
        <f t="shared" si="13"/>
        <v/>
      </c>
      <c r="C692" s="301" t="str">
        <f t="shared" si="14"/>
        <v/>
      </c>
      <c r="D692" s="301" t="str">
        <f t="shared" si="15"/>
        <v/>
      </c>
      <c r="E692" s="301" t="str">
        <f t="shared" si="16"/>
        <v/>
      </c>
      <c r="F692" s="317" t="str">
        <f t="shared" si="17"/>
        <v/>
      </c>
      <c r="G692" s="323" t="str">
        <f t="shared" si="18"/>
        <v/>
      </c>
      <c r="H692" s="327" t="str">
        <f t="shared" si="19"/>
        <v/>
      </c>
      <c r="I692" s="327" t="str">
        <f t="shared" si="20"/>
        <v/>
      </c>
      <c r="J692" s="301" t="str">
        <f t="shared" si="21"/>
        <v/>
      </c>
      <c r="K692" s="301" t="str">
        <f t="shared" si="22"/>
        <v/>
      </c>
      <c r="L692" s="344" t="str">
        <f t="array" ref="L692">IF($T692="","",LET(m,MATCH($T692,$AS$24:$AS$700,0),lvl,INDEX($W$24:$W$700,m),id,INDEX($X$24:$X$700,m),SWITCH(lvl,3,"Lớp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2" s="351" t="str">
        <f t="shared" si="23"/>
        <v/>
      </c>
      <c r="N692" s="356" t="str">
        <f t="shared" si="24"/>
        <v/>
      </c>
      <c r="O692" s="358"/>
      <c r="P692" s="360"/>
      <c r="Q692" s="360"/>
      <c r="R692" s="67"/>
      <c r="S692" s="67"/>
      <c r="T692" s="67"/>
      <c r="U692" s="389" t="str">
        <f>IF('Lớp 6 - Chi tiết'!I254="","",'Lớp 6 - Chi tiết'!L254&amp;"|"&amp;'Lớp 6 - Chi tiết'!K254&amp;"|"&amp;'Lớp 6 - Chi tiết'!J254&amp;"|"&amp;'Lớp 6 - Chi tiết'!I254)</f>
        <v/>
      </c>
      <c r="V692" s="389" t="str">
        <f>IF('Lớp 6 - Chi tiết'!I254="","","           └─ "&amp;'Lớp 6 - Chi tiết'!S254)</f>
        <v/>
      </c>
      <c r="W692" s="389" t="str">
        <f>IF('Lớp 6 - Chi tiết'!I254="","",6)</f>
        <v/>
      </c>
      <c r="X692" s="67" t="str">
        <f>'Lớp 6 - Chi tiết'!I254</f>
        <v/>
      </c>
      <c r="Y692" s="389" t="str">
        <f>'Lớp 6 - Chi tiết'!J254</f>
        <v/>
      </c>
      <c r="Z692" s="67" t="str">
        <f>'Lớp 6 - Chi tiết'!AC254</f>
        <v/>
      </c>
      <c r="AA692" s="67" t="str">
        <f>'Lớp 6 - Chi tiết'!AB254</f>
        <v/>
      </c>
      <c r="AB692" s="67" t="str">
        <f>'Lớp 6 - Chi tiết'!AF254</f>
        <v/>
      </c>
      <c r="AC692" s="67" t="str">
        <f>'Lớp 6 - Chi tiết'!AE254</f>
        <v/>
      </c>
      <c r="AD692" s="398" t="str">
        <f>'Lớp 6 - Chi tiết'!AJ254</f>
        <v/>
      </c>
      <c r="AE692" s="358" t="str">
        <f>'Lớp 6 - Chi tiết'!AH254</f>
        <v/>
      </c>
      <c r="AF692" s="187" t="str">
        <f>'Lớp 6 - Chi tiết'!AK254</f>
        <v/>
      </c>
      <c r="AG692" s="104" t="str">
        <f>'Lớp 6 - Chi tiết'!AL254</f>
        <v/>
      </c>
      <c r="AH692" s="389" t="str">
        <f t="shared" si="27"/>
        <v/>
      </c>
      <c r="AI692" s="389" t="str">
        <f t="shared" si="37"/>
        <v>🔵 Chưa có hạn</v>
      </c>
      <c r="AJ692" s="67" t="str">
        <f>'Lớp 6 - Chi tiết'!AO254</f>
        <v/>
      </c>
      <c r="AS692" s="389" t="str">
        <f t="shared" si="467"/>
        <v/>
      </c>
      <c r="AT692" s="389" t="str">
        <f t="shared" si="32"/>
        <v/>
      </c>
      <c r="AU692" s="389" t="str">
        <f t="shared" si="33"/>
        <v/>
      </c>
      <c r="AV692" s="389" t="str">
        <f t="shared" si="34"/>
        <v/>
      </c>
      <c r="AW692" s="389" t="str">
        <f t="shared" si="35"/>
        <v/>
      </c>
      <c r="AX692" s="67" t="str">
        <f t="shared" ref="AX692:BH692" si="707">Z692</f>
        <v/>
      </c>
      <c r="AY692" s="67" t="str">
        <f t="shared" si="707"/>
        <v/>
      </c>
      <c r="AZ692" s="67" t="str">
        <f t="shared" si="707"/>
        <v/>
      </c>
      <c r="BA692" s="67" t="str">
        <f t="shared" si="707"/>
        <v/>
      </c>
      <c r="BB692" s="398" t="str">
        <f t="shared" si="707"/>
        <v/>
      </c>
      <c r="BC692" s="358" t="str">
        <f t="shared" si="707"/>
        <v/>
      </c>
      <c r="BD692" s="187" t="str">
        <f t="shared" si="707"/>
        <v/>
      </c>
      <c r="BE692" s="104" t="str">
        <f t="shared" si="707"/>
        <v/>
      </c>
      <c r="BF692" s="389" t="str">
        <f t="shared" si="707"/>
        <v/>
      </c>
      <c r="BG692" s="389" t="str">
        <f t="shared" si="707"/>
        <v>🔵 Chưa có hạn</v>
      </c>
      <c r="BH692" s="67" t="str">
        <f t="shared" si="707"/>
        <v/>
      </c>
      <c r="BI692" s="389" t="str">
        <f t="array" ref="BI692">IF($X692="","",SWITCH($W692,3,IFERROR(INDEX('Lớp 3 - Công việc chính'!$AF$14:$AF$73,MATCH($X692,'Lớp 3 - Công việc chính'!$I$14:$I$73,0)),""),4,IFERROR(INDEX('Lớp 4 - Danh mục'!$AI$14:$AI$132,MATCH($X692,'Lớp 4 - Danh mục'!$I$14:$I$132,0)),""),5,IFERROR(INDEX('Lớp 5 - Phân công'!$AJ$14:$AJ$262,MATCH($X692,'Lớp 5 - Phân công'!$I$14:$I$262,0)),""),6,IFERROR(INDEX('Lớp 6 - Chi tiết'!$AM$14:$AM$267,MATCH($X692,'Lớp 6 - Chi tiết'!$I$14:$I$267,0)),""),""))</f>
        <v/>
      </c>
      <c r="BJ692" s="389" t="str">
        <f t="array" ref="BJ692">IF($X692="","",SWITCH($W692,3,IFERROR(INDEX('Lớp 3 - Công việc chính'!$AR$14:$AR$73,MATCH($X692,'Lớp 3 - Công việc chính'!$I$14:$I$73,0)),""),4,IFERROR(INDEX('Lớp 4 - Danh mục'!$AU$14:$AU$132,MATCH($X692,'Lớp 4 - Danh mục'!$I$14:$I$132,0)),""),5,IFERROR(INDEX('Lớp 5 - Phân công'!$AV$14:$AV$262,MATCH($X692,'Lớp 5 - Phân công'!$I$14:$I$262,0)),""),6,IFERROR(INDEX('Lớp 6 - Chi tiết'!$AY$14:$AY$267,MATCH($X692,'Lớp 6 - Chi tiết'!$I$14:$I$267,0)),""),""))</f>
        <v/>
      </c>
    </row>
    <row r="693" ht="15.75" customHeight="1">
      <c r="A693" s="294" t="str">
        <f t="shared" si="12"/>
        <v/>
      </c>
      <c r="B693" s="301" t="str">
        <f t="shared" si="13"/>
        <v/>
      </c>
      <c r="C693" s="301" t="str">
        <f t="shared" si="14"/>
        <v/>
      </c>
      <c r="D693" s="301" t="str">
        <f t="shared" si="15"/>
        <v/>
      </c>
      <c r="E693" s="301" t="str">
        <f t="shared" si="16"/>
        <v/>
      </c>
      <c r="F693" s="317" t="str">
        <f t="shared" si="17"/>
        <v/>
      </c>
      <c r="G693" s="323" t="str">
        <f t="shared" si="18"/>
        <v/>
      </c>
      <c r="H693" s="327" t="str">
        <f t="shared" si="19"/>
        <v/>
      </c>
      <c r="I693" s="327" t="str">
        <f t="shared" si="20"/>
        <v/>
      </c>
      <c r="J693" s="301" t="str">
        <f t="shared" si="21"/>
        <v/>
      </c>
      <c r="K693" s="301" t="str">
        <f t="shared" si="22"/>
        <v/>
      </c>
      <c r="L693" s="344" t="str">
        <f t="array" ref="L693">IF($T693="","",LET(m,MATCH($T693,$AS$24:$AS$700,0),lvl,INDEX($W$24:$W$700,m),id,INDEX($X$24:$X$700,m),SWITCH(lvl,3,"Lớp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3" s="351" t="str">
        <f t="shared" si="23"/>
        <v/>
      </c>
      <c r="N693" s="356" t="str">
        <f t="shared" si="24"/>
        <v/>
      </c>
      <c r="O693" s="358"/>
      <c r="P693" s="360"/>
      <c r="Q693" s="360"/>
      <c r="R693" s="67"/>
      <c r="S693" s="67"/>
      <c r="T693" s="67"/>
      <c r="U693" s="389" t="str">
        <f>IF('Lớp 6 - Chi tiết'!I255="","",'Lớp 6 - Chi tiết'!L255&amp;"|"&amp;'Lớp 6 - Chi tiết'!K255&amp;"|"&amp;'Lớp 6 - Chi tiết'!J255&amp;"|"&amp;'Lớp 6 - Chi tiết'!I255)</f>
        <v/>
      </c>
      <c r="V693" s="389" t="str">
        <f>IF('Lớp 6 - Chi tiết'!I255="","","           └─ "&amp;'Lớp 6 - Chi tiết'!S255)</f>
        <v/>
      </c>
      <c r="W693" s="389" t="str">
        <f>IF('Lớp 6 - Chi tiết'!I255="","",6)</f>
        <v/>
      </c>
      <c r="X693" s="67" t="str">
        <f>'Lớp 6 - Chi tiết'!I255</f>
        <v/>
      </c>
      <c r="Y693" s="389" t="str">
        <f>'Lớp 6 - Chi tiết'!J255</f>
        <v/>
      </c>
      <c r="Z693" s="67" t="str">
        <f>'Lớp 6 - Chi tiết'!AC255</f>
        <v/>
      </c>
      <c r="AA693" s="67" t="str">
        <f>'Lớp 6 - Chi tiết'!AB255</f>
        <v/>
      </c>
      <c r="AB693" s="67" t="str">
        <f>'Lớp 6 - Chi tiết'!AF255</f>
        <v/>
      </c>
      <c r="AC693" s="67" t="str">
        <f>'Lớp 6 - Chi tiết'!AE255</f>
        <v/>
      </c>
      <c r="AD693" s="398" t="str">
        <f>'Lớp 6 - Chi tiết'!AJ255</f>
        <v/>
      </c>
      <c r="AE693" s="358" t="str">
        <f>'Lớp 6 - Chi tiết'!AH255</f>
        <v/>
      </c>
      <c r="AF693" s="187" t="str">
        <f>'Lớp 6 - Chi tiết'!AK255</f>
        <v/>
      </c>
      <c r="AG693" s="104" t="str">
        <f>'Lớp 6 - Chi tiết'!AL255</f>
        <v/>
      </c>
      <c r="AH693" s="389" t="str">
        <f t="shared" si="27"/>
        <v/>
      </c>
      <c r="AI693" s="389" t="str">
        <f t="shared" si="37"/>
        <v>🔵 Chưa có hạn</v>
      </c>
      <c r="AJ693" s="67" t="str">
        <f>'Lớp 6 - Chi tiết'!AO255</f>
        <v/>
      </c>
      <c r="AS693" s="389" t="str">
        <f t="shared" si="467"/>
        <v/>
      </c>
      <c r="AT693" s="389" t="str">
        <f t="shared" si="32"/>
        <v/>
      </c>
      <c r="AU693" s="389" t="str">
        <f t="shared" si="33"/>
        <v/>
      </c>
      <c r="AV693" s="389" t="str">
        <f t="shared" si="34"/>
        <v/>
      </c>
      <c r="AW693" s="389" t="str">
        <f t="shared" si="35"/>
        <v/>
      </c>
      <c r="AX693" s="67" t="str">
        <f t="shared" ref="AX693:BH693" si="708">Z693</f>
        <v/>
      </c>
      <c r="AY693" s="67" t="str">
        <f t="shared" si="708"/>
        <v/>
      </c>
      <c r="AZ693" s="67" t="str">
        <f t="shared" si="708"/>
        <v/>
      </c>
      <c r="BA693" s="67" t="str">
        <f t="shared" si="708"/>
        <v/>
      </c>
      <c r="BB693" s="398" t="str">
        <f t="shared" si="708"/>
        <v/>
      </c>
      <c r="BC693" s="358" t="str">
        <f t="shared" si="708"/>
        <v/>
      </c>
      <c r="BD693" s="187" t="str">
        <f t="shared" si="708"/>
        <v/>
      </c>
      <c r="BE693" s="104" t="str">
        <f t="shared" si="708"/>
        <v/>
      </c>
      <c r="BF693" s="389" t="str">
        <f t="shared" si="708"/>
        <v/>
      </c>
      <c r="BG693" s="389" t="str">
        <f t="shared" si="708"/>
        <v>🔵 Chưa có hạn</v>
      </c>
      <c r="BH693" s="67" t="str">
        <f t="shared" si="708"/>
        <v/>
      </c>
      <c r="BI693" s="389" t="str">
        <f t="array" ref="BI693">IF($X693="","",SWITCH($W693,3,IFERROR(INDEX('Lớp 3 - Công việc chính'!$AF$14:$AF$73,MATCH($X693,'Lớp 3 - Công việc chính'!$I$14:$I$73,0)),""),4,IFERROR(INDEX('Lớp 4 - Danh mục'!$AI$14:$AI$132,MATCH($X693,'Lớp 4 - Danh mục'!$I$14:$I$132,0)),""),5,IFERROR(INDEX('Lớp 5 - Phân công'!$AJ$14:$AJ$262,MATCH($X693,'Lớp 5 - Phân công'!$I$14:$I$262,0)),""),6,IFERROR(INDEX('Lớp 6 - Chi tiết'!$AM$14:$AM$267,MATCH($X693,'Lớp 6 - Chi tiết'!$I$14:$I$267,0)),""),""))</f>
        <v/>
      </c>
      <c r="BJ693" s="389" t="str">
        <f t="array" ref="BJ693">IF($X693="","",SWITCH($W693,3,IFERROR(INDEX('Lớp 3 - Công việc chính'!$AR$14:$AR$73,MATCH($X693,'Lớp 3 - Công việc chính'!$I$14:$I$73,0)),""),4,IFERROR(INDEX('Lớp 4 - Danh mục'!$AU$14:$AU$132,MATCH($X693,'Lớp 4 - Danh mục'!$I$14:$I$132,0)),""),5,IFERROR(INDEX('Lớp 5 - Phân công'!$AV$14:$AV$262,MATCH($X693,'Lớp 5 - Phân công'!$I$14:$I$262,0)),""),6,IFERROR(INDEX('Lớp 6 - Chi tiết'!$AY$14:$AY$267,MATCH($X693,'Lớp 6 - Chi tiết'!$I$14:$I$267,0)),""),""))</f>
        <v/>
      </c>
    </row>
    <row r="694" ht="15.75" customHeight="1">
      <c r="A694" s="294" t="str">
        <f t="shared" si="12"/>
        <v/>
      </c>
      <c r="B694" s="301" t="str">
        <f t="shared" si="13"/>
        <v/>
      </c>
      <c r="C694" s="301" t="str">
        <f t="shared" si="14"/>
        <v/>
      </c>
      <c r="D694" s="301" t="str">
        <f t="shared" si="15"/>
        <v/>
      </c>
      <c r="E694" s="301" t="str">
        <f t="shared" si="16"/>
        <v/>
      </c>
      <c r="F694" s="317" t="str">
        <f t="shared" si="17"/>
        <v/>
      </c>
      <c r="G694" s="323" t="str">
        <f t="shared" si="18"/>
        <v/>
      </c>
      <c r="H694" s="327" t="str">
        <f t="shared" si="19"/>
        <v/>
      </c>
      <c r="I694" s="327" t="str">
        <f t="shared" si="20"/>
        <v/>
      </c>
      <c r="J694" s="301" t="str">
        <f t="shared" si="21"/>
        <v/>
      </c>
      <c r="K694" s="301" t="str">
        <f t="shared" si="22"/>
        <v/>
      </c>
      <c r="L694" s="344" t="str">
        <f t="array" ref="L694">IF($T694="","",LET(m,MATCH($T694,$AS$24:$AS$700,0),lvl,INDEX($W$24:$W$700,m),id,INDEX($X$24:$X$700,m),SWITCH(lvl,3,"Lớp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4" s="351" t="str">
        <f t="shared" si="23"/>
        <v/>
      </c>
      <c r="N694" s="356" t="str">
        <f t="shared" si="24"/>
        <v/>
      </c>
      <c r="O694" s="358"/>
      <c r="P694" s="360"/>
      <c r="Q694" s="360"/>
      <c r="R694" s="67"/>
      <c r="S694" s="67"/>
      <c r="T694" s="67"/>
      <c r="U694" s="389" t="str">
        <f>IF('Lớp 6 - Chi tiết'!I256="","",'Lớp 6 - Chi tiết'!L256&amp;"|"&amp;'Lớp 6 - Chi tiết'!K256&amp;"|"&amp;'Lớp 6 - Chi tiết'!J256&amp;"|"&amp;'Lớp 6 - Chi tiết'!I256)</f>
        <v/>
      </c>
      <c r="V694" s="389" t="str">
        <f>IF('Lớp 6 - Chi tiết'!I256="","","           └─ "&amp;'Lớp 6 - Chi tiết'!S256)</f>
        <v/>
      </c>
      <c r="W694" s="389" t="str">
        <f>IF('Lớp 6 - Chi tiết'!I256="","",6)</f>
        <v/>
      </c>
      <c r="X694" s="67" t="str">
        <f>'Lớp 6 - Chi tiết'!I256</f>
        <v/>
      </c>
      <c r="Y694" s="389" t="str">
        <f>'Lớp 6 - Chi tiết'!J256</f>
        <v/>
      </c>
      <c r="Z694" s="67" t="str">
        <f>'Lớp 6 - Chi tiết'!AC256</f>
        <v/>
      </c>
      <c r="AA694" s="67" t="str">
        <f>'Lớp 6 - Chi tiết'!AB256</f>
        <v/>
      </c>
      <c r="AB694" s="67" t="str">
        <f>'Lớp 6 - Chi tiết'!AF256</f>
        <v/>
      </c>
      <c r="AC694" s="67" t="str">
        <f>'Lớp 6 - Chi tiết'!AE256</f>
        <v/>
      </c>
      <c r="AD694" s="398" t="str">
        <f>'Lớp 6 - Chi tiết'!AJ256</f>
        <v/>
      </c>
      <c r="AE694" s="358" t="str">
        <f>'Lớp 6 - Chi tiết'!AH256</f>
        <v/>
      </c>
      <c r="AF694" s="187" t="str">
        <f>'Lớp 6 - Chi tiết'!AK256</f>
        <v/>
      </c>
      <c r="AG694" s="104" t="str">
        <f>'Lớp 6 - Chi tiết'!AL256</f>
        <v/>
      </c>
      <c r="AH694" s="389" t="str">
        <f t="shared" si="27"/>
        <v/>
      </c>
      <c r="AI694" s="389" t="str">
        <f t="shared" si="37"/>
        <v>🔵 Chưa có hạn</v>
      </c>
      <c r="AJ694" s="67" t="str">
        <f>'Lớp 6 - Chi tiết'!AO256</f>
        <v/>
      </c>
      <c r="AS694" s="389" t="str">
        <f t="shared" si="467"/>
        <v/>
      </c>
      <c r="AT694" s="389" t="str">
        <f t="shared" si="32"/>
        <v/>
      </c>
      <c r="AU694" s="389" t="str">
        <f t="shared" si="33"/>
        <v/>
      </c>
      <c r="AV694" s="389" t="str">
        <f t="shared" si="34"/>
        <v/>
      </c>
      <c r="AW694" s="389" t="str">
        <f t="shared" si="35"/>
        <v/>
      </c>
      <c r="AX694" s="67" t="str">
        <f t="shared" ref="AX694:BH694" si="709">Z694</f>
        <v/>
      </c>
      <c r="AY694" s="67" t="str">
        <f t="shared" si="709"/>
        <v/>
      </c>
      <c r="AZ694" s="67" t="str">
        <f t="shared" si="709"/>
        <v/>
      </c>
      <c r="BA694" s="67" t="str">
        <f t="shared" si="709"/>
        <v/>
      </c>
      <c r="BB694" s="398" t="str">
        <f t="shared" si="709"/>
        <v/>
      </c>
      <c r="BC694" s="358" t="str">
        <f t="shared" si="709"/>
        <v/>
      </c>
      <c r="BD694" s="187" t="str">
        <f t="shared" si="709"/>
        <v/>
      </c>
      <c r="BE694" s="104" t="str">
        <f t="shared" si="709"/>
        <v/>
      </c>
      <c r="BF694" s="389" t="str">
        <f t="shared" si="709"/>
        <v/>
      </c>
      <c r="BG694" s="389" t="str">
        <f t="shared" si="709"/>
        <v>🔵 Chưa có hạn</v>
      </c>
      <c r="BH694" s="67" t="str">
        <f t="shared" si="709"/>
        <v/>
      </c>
      <c r="BI694" s="389" t="str">
        <f t="array" ref="BI694">IF($X694="","",SWITCH($W694,3,IFERROR(INDEX('Lớp 3 - Công việc chính'!$AF$14:$AF$73,MATCH($X694,'Lớp 3 - Công việc chính'!$I$14:$I$73,0)),""),4,IFERROR(INDEX('Lớp 4 - Danh mục'!$AI$14:$AI$132,MATCH($X694,'Lớp 4 - Danh mục'!$I$14:$I$132,0)),""),5,IFERROR(INDEX('Lớp 5 - Phân công'!$AJ$14:$AJ$262,MATCH($X694,'Lớp 5 - Phân công'!$I$14:$I$262,0)),""),6,IFERROR(INDEX('Lớp 6 - Chi tiết'!$AM$14:$AM$267,MATCH($X694,'Lớp 6 - Chi tiết'!$I$14:$I$267,0)),""),""))</f>
        <v/>
      </c>
      <c r="BJ694" s="389" t="str">
        <f t="array" ref="BJ694">IF($X694="","",SWITCH($W694,3,IFERROR(INDEX('Lớp 3 - Công việc chính'!$AR$14:$AR$73,MATCH($X694,'Lớp 3 - Công việc chính'!$I$14:$I$73,0)),""),4,IFERROR(INDEX('Lớp 4 - Danh mục'!$AU$14:$AU$132,MATCH($X694,'Lớp 4 - Danh mục'!$I$14:$I$132,0)),""),5,IFERROR(INDEX('Lớp 5 - Phân công'!$AV$14:$AV$262,MATCH($X694,'Lớp 5 - Phân công'!$I$14:$I$262,0)),""),6,IFERROR(INDEX('Lớp 6 - Chi tiết'!$AY$14:$AY$267,MATCH($X694,'Lớp 6 - Chi tiết'!$I$14:$I$267,0)),""),""))</f>
        <v/>
      </c>
    </row>
    <row r="695" ht="15.75" customHeight="1">
      <c r="A695" s="294" t="str">
        <f t="shared" si="12"/>
        <v/>
      </c>
      <c r="B695" s="301" t="str">
        <f t="shared" si="13"/>
        <v/>
      </c>
      <c r="C695" s="301" t="str">
        <f t="shared" si="14"/>
        <v/>
      </c>
      <c r="D695" s="301" t="str">
        <f t="shared" si="15"/>
        <v/>
      </c>
      <c r="E695" s="301" t="str">
        <f t="shared" si="16"/>
        <v/>
      </c>
      <c r="F695" s="317" t="str">
        <f t="shared" si="17"/>
        <v/>
      </c>
      <c r="G695" s="323" t="str">
        <f t="shared" si="18"/>
        <v/>
      </c>
      <c r="H695" s="327" t="str">
        <f t="shared" si="19"/>
        <v/>
      </c>
      <c r="I695" s="327" t="str">
        <f t="shared" si="20"/>
        <v/>
      </c>
      <c r="J695" s="301" t="str">
        <f t="shared" si="21"/>
        <v/>
      </c>
      <c r="K695" s="301" t="str">
        <f t="shared" si="22"/>
        <v/>
      </c>
      <c r="L695" s="344" t="str">
        <f t="array" ref="L695">IF($T695="","",LET(m,MATCH($T695,$AS$24:$AS$700,0),lvl,INDEX($W$24:$W$700,m),id,INDEX($X$24:$X$700,m),SWITCH(lvl,3,"Lớp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5" s="351" t="str">
        <f t="shared" si="23"/>
        <v/>
      </c>
      <c r="N695" s="356" t="str">
        <f t="shared" si="24"/>
        <v/>
      </c>
      <c r="O695" s="358"/>
      <c r="P695" s="360"/>
      <c r="Q695" s="360"/>
      <c r="R695" s="67"/>
      <c r="S695" s="67"/>
      <c r="T695" s="67"/>
      <c r="U695" s="389" t="str">
        <f>IF('Lớp 6 - Chi tiết'!I257="","",'Lớp 6 - Chi tiết'!L257&amp;"|"&amp;'Lớp 6 - Chi tiết'!K257&amp;"|"&amp;'Lớp 6 - Chi tiết'!J257&amp;"|"&amp;'Lớp 6 - Chi tiết'!I257)</f>
        <v/>
      </c>
      <c r="V695" s="389" t="str">
        <f>IF('Lớp 6 - Chi tiết'!I257="","","           └─ "&amp;'Lớp 6 - Chi tiết'!S257)</f>
        <v/>
      </c>
      <c r="W695" s="389" t="str">
        <f>IF('Lớp 6 - Chi tiết'!I257="","",6)</f>
        <v/>
      </c>
      <c r="X695" s="67" t="str">
        <f>'Lớp 6 - Chi tiết'!I257</f>
        <v/>
      </c>
      <c r="Y695" s="389" t="str">
        <f>'Lớp 6 - Chi tiết'!J257</f>
        <v/>
      </c>
      <c r="Z695" s="67" t="str">
        <f>'Lớp 6 - Chi tiết'!AC257</f>
        <v/>
      </c>
      <c r="AA695" s="67" t="str">
        <f>'Lớp 6 - Chi tiết'!AB257</f>
        <v/>
      </c>
      <c r="AB695" s="67" t="str">
        <f>'Lớp 6 - Chi tiết'!AF257</f>
        <v/>
      </c>
      <c r="AC695" s="67" t="str">
        <f>'Lớp 6 - Chi tiết'!AE257</f>
        <v/>
      </c>
      <c r="AD695" s="398" t="str">
        <f>'Lớp 6 - Chi tiết'!AJ257</f>
        <v/>
      </c>
      <c r="AE695" s="358" t="str">
        <f>'Lớp 6 - Chi tiết'!AH257</f>
        <v/>
      </c>
      <c r="AF695" s="187" t="str">
        <f>'Lớp 6 - Chi tiết'!AK257</f>
        <v/>
      </c>
      <c r="AG695" s="104" t="str">
        <f>'Lớp 6 - Chi tiết'!AL257</f>
        <v/>
      </c>
      <c r="AH695" s="389" t="str">
        <f t="shared" si="27"/>
        <v/>
      </c>
      <c r="AI695" s="389" t="str">
        <f t="shared" si="37"/>
        <v>🔵 Chưa có hạn</v>
      </c>
      <c r="AJ695" s="67" t="str">
        <f>'Lớp 6 - Chi tiết'!AO257</f>
        <v/>
      </c>
      <c r="AS695" s="389" t="str">
        <f t="shared" si="467"/>
        <v/>
      </c>
      <c r="AT695" s="389" t="str">
        <f t="shared" si="32"/>
        <v/>
      </c>
      <c r="AU695" s="389" t="str">
        <f t="shared" si="33"/>
        <v/>
      </c>
      <c r="AV695" s="389" t="str">
        <f t="shared" si="34"/>
        <v/>
      </c>
      <c r="AW695" s="389" t="str">
        <f t="shared" si="35"/>
        <v/>
      </c>
      <c r="AX695" s="67" t="str">
        <f t="shared" ref="AX695:BH695" si="710">Z695</f>
        <v/>
      </c>
      <c r="AY695" s="67" t="str">
        <f t="shared" si="710"/>
        <v/>
      </c>
      <c r="AZ695" s="67" t="str">
        <f t="shared" si="710"/>
        <v/>
      </c>
      <c r="BA695" s="67" t="str">
        <f t="shared" si="710"/>
        <v/>
      </c>
      <c r="BB695" s="398" t="str">
        <f t="shared" si="710"/>
        <v/>
      </c>
      <c r="BC695" s="358" t="str">
        <f t="shared" si="710"/>
        <v/>
      </c>
      <c r="BD695" s="187" t="str">
        <f t="shared" si="710"/>
        <v/>
      </c>
      <c r="BE695" s="104" t="str">
        <f t="shared" si="710"/>
        <v/>
      </c>
      <c r="BF695" s="389" t="str">
        <f t="shared" si="710"/>
        <v/>
      </c>
      <c r="BG695" s="389" t="str">
        <f t="shared" si="710"/>
        <v>🔵 Chưa có hạn</v>
      </c>
      <c r="BH695" s="67" t="str">
        <f t="shared" si="710"/>
        <v/>
      </c>
      <c r="BI695" s="389" t="str">
        <f t="array" ref="BI695">IF($X695="","",SWITCH($W695,3,IFERROR(INDEX('Lớp 3 - Công việc chính'!$AF$14:$AF$73,MATCH($X695,'Lớp 3 - Công việc chính'!$I$14:$I$73,0)),""),4,IFERROR(INDEX('Lớp 4 - Danh mục'!$AI$14:$AI$132,MATCH($X695,'Lớp 4 - Danh mục'!$I$14:$I$132,0)),""),5,IFERROR(INDEX('Lớp 5 - Phân công'!$AJ$14:$AJ$262,MATCH($X695,'Lớp 5 - Phân công'!$I$14:$I$262,0)),""),6,IFERROR(INDEX('Lớp 6 - Chi tiết'!$AM$14:$AM$267,MATCH($X695,'Lớp 6 - Chi tiết'!$I$14:$I$267,0)),""),""))</f>
        <v/>
      </c>
      <c r="BJ695" s="389" t="str">
        <f t="array" ref="BJ695">IF($X695="","",SWITCH($W695,3,IFERROR(INDEX('Lớp 3 - Công việc chính'!$AR$14:$AR$73,MATCH($X695,'Lớp 3 - Công việc chính'!$I$14:$I$73,0)),""),4,IFERROR(INDEX('Lớp 4 - Danh mục'!$AU$14:$AU$132,MATCH($X695,'Lớp 4 - Danh mục'!$I$14:$I$132,0)),""),5,IFERROR(INDEX('Lớp 5 - Phân công'!$AV$14:$AV$262,MATCH($X695,'Lớp 5 - Phân công'!$I$14:$I$262,0)),""),6,IFERROR(INDEX('Lớp 6 - Chi tiết'!$AY$14:$AY$267,MATCH($X695,'Lớp 6 - Chi tiết'!$I$14:$I$267,0)),""),""))</f>
        <v/>
      </c>
    </row>
    <row r="696" ht="15.75" customHeight="1">
      <c r="A696" s="294" t="str">
        <f t="shared" si="12"/>
        <v/>
      </c>
      <c r="B696" s="301" t="str">
        <f t="shared" si="13"/>
        <v/>
      </c>
      <c r="C696" s="301" t="str">
        <f t="shared" si="14"/>
        <v/>
      </c>
      <c r="D696" s="301" t="str">
        <f t="shared" si="15"/>
        <v/>
      </c>
      <c r="E696" s="301" t="str">
        <f t="shared" si="16"/>
        <v/>
      </c>
      <c r="F696" s="317" t="str">
        <f t="shared" si="17"/>
        <v/>
      </c>
      <c r="G696" s="323" t="str">
        <f t="shared" si="18"/>
        <v/>
      </c>
      <c r="H696" s="327" t="str">
        <f t="shared" si="19"/>
        <v/>
      </c>
      <c r="I696" s="327" t="str">
        <f t="shared" si="20"/>
        <v/>
      </c>
      <c r="J696" s="301" t="str">
        <f t="shared" si="21"/>
        <v/>
      </c>
      <c r="K696" s="301" t="str">
        <f t="shared" si="22"/>
        <v/>
      </c>
      <c r="L696" s="344" t="str">
        <f t="array" ref="L696">IF($T696="","",LET(m,MATCH($T696,$AS$24:$AS$700,0),lvl,INDEX($W$24:$W$700,m),id,INDEX($X$24:$X$700,m),SWITCH(lvl,3,"Lớp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6" s="351" t="str">
        <f t="shared" si="23"/>
        <v/>
      </c>
      <c r="N696" s="356" t="str">
        <f t="shared" si="24"/>
        <v/>
      </c>
      <c r="O696" s="358"/>
      <c r="P696" s="360"/>
      <c r="Q696" s="360"/>
      <c r="R696" s="67"/>
      <c r="S696" s="67"/>
      <c r="T696" s="67"/>
      <c r="U696" s="389" t="str">
        <f>IF('Lớp 6 - Chi tiết'!I258="","",'Lớp 6 - Chi tiết'!L258&amp;"|"&amp;'Lớp 6 - Chi tiết'!K258&amp;"|"&amp;'Lớp 6 - Chi tiết'!J258&amp;"|"&amp;'Lớp 6 - Chi tiết'!I258)</f>
        <v/>
      </c>
      <c r="V696" s="389" t="str">
        <f>IF('Lớp 6 - Chi tiết'!I258="","","           └─ "&amp;'Lớp 6 - Chi tiết'!S258)</f>
        <v/>
      </c>
      <c r="W696" s="389" t="str">
        <f>IF('Lớp 6 - Chi tiết'!I258="","",6)</f>
        <v/>
      </c>
      <c r="X696" s="67" t="str">
        <f>'Lớp 6 - Chi tiết'!I258</f>
        <v/>
      </c>
      <c r="Y696" s="389" t="str">
        <f>'Lớp 6 - Chi tiết'!J258</f>
        <v/>
      </c>
      <c r="Z696" s="67" t="str">
        <f>'Lớp 6 - Chi tiết'!AC258</f>
        <v/>
      </c>
      <c r="AA696" s="67" t="str">
        <f>'Lớp 6 - Chi tiết'!AB258</f>
        <v/>
      </c>
      <c r="AB696" s="67" t="str">
        <f>'Lớp 6 - Chi tiết'!AF258</f>
        <v/>
      </c>
      <c r="AC696" s="67" t="str">
        <f>'Lớp 6 - Chi tiết'!AE258</f>
        <v/>
      </c>
      <c r="AD696" s="398" t="str">
        <f>'Lớp 6 - Chi tiết'!AJ258</f>
        <v/>
      </c>
      <c r="AE696" s="358" t="str">
        <f>'Lớp 6 - Chi tiết'!AH258</f>
        <v/>
      </c>
      <c r="AF696" s="187" t="str">
        <f>'Lớp 6 - Chi tiết'!AK258</f>
        <v/>
      </c>
      <c r="AG696" s="104" t="str">
        <f>'Lớp 6 - Chi tiết'!AL258</f>
        <v/>
      </c>
      <c r="AH696" s="389" t="str">
        <f t="shared" si="27"/>
        <v/>
      </c>
      <c r="AI696" s="389" t="str">
        <f t="shared" si="37"/>
        <v>🔵 Chưa có hạn</v>
      </c>
      <c r="AJ696" s="67" t="str">
        <f>'Lớp 6 - Chi tiết'!AO258</f>
        <v/>
      </c>
      <c r="AS696" s="389" t="str">
        <f t="shared" si="467"/>
        <v/>
      </c>
      <c r="AT696" s="389" t="str">
        <f t="shared" si="32"/>
        <v/>
      </c>
      <c r="AU696" s="389" t="str">
        <f t="shared" si="33"/>
        <v/>
      </c>
      <c r="AV696" s="389" t="str">
        <f t="shared" si="34"/>
        <v/>
      </c>
      <c r="AW696" s="389" t="str">
        <f t="shared" si="35"/>
        <v/>
      </c>
      <c r="AX696" s="67" t="str">
        <f t="shared" ref="AX696:BH696" si="711">Z696</f>
        <v/>
      </c>
      <c r="AY696" s="67" t="str">
        <f t="shared" si="711"/>
        <v/>
      </c>
      <c r="AZ696" s="67" t="str">
        <f t="shared" si="711"/>
        <v/>
      </c>
      <c r="BA696" s="67" t="str">
        <f t="shared" si="711"/>
        <v/>
      </c>
      <c r="BB696" s="398" t="str">
        <f t="shared" si="711"/>
        <v/>
      </c>
      <c r="BC696" s="358" t="str">
        <f t="shared" si="711"/>
        <v/>
      </c>
      <c r="BD696" s="187" t="str">
        <f t="shared" si="711"/>
        <v/>
      </c>
      <c r="BE696" s="104" t="str">
        <f t="shared" si="711"/>
        <v/>
      </c>
      <c r="BF696" s="389" t="str">
        <f t="shared" si="711"/>
        <v/>
      </c>
      <c r="BG696" s="389" t="str">
        <f t="shared" si="711"/>
        <v>🔵 Chưa có hạn</v>
      </c>
      <c r="BH696" s="67" t="str">
        <f t="shared" si="711"/>
        <v/>
      </c>
      <c r="BI696" s="389" t="str">
        <f t="array" ref="BI696">IF($X696="","",SWITCH($W696,3,IFERROR(INDEX('Lớp 3 - Công việc chính'!$AF$14:$AF$73,MATCH($X696,'Lớp 3 - Công việc chính'!$I$14:$I$73,0)),""),4,IFERROR(INDEX('Lớp 4 - Danh mục'!$AI$14:$AI$132,MATCH($X696,'Lớp 4 - Danh mục'!$I$14:$I$132,0)),""),5,IFERROR(INDEX('Lớp 5 - Phân công'!$AJ$14:$AJ$262,MATCH($X696,'Lớp 5 - Phân công'!$I$14:$I$262,0)),""),6,IFERROR(INDEX('Lớp 6 - Chi tiết'!$AM$14:$AM$267,MATCH($X696,'Lớp 6 - Chi tiết'!$I$14:$I$267,0)),""),""))</f>
        <v/>
      </c>
      <c r="BJ696" s="389" t="str">
        <f t="array" ref="BJ696">IF($X696="","",SWITCH($W696,3,IFERROR(INDEX('Lớp 3 - Công việc chính'!$AR$14:$AR$73,MATCH($X696,'Lớp 3 - Công việc chính'!$I$14:$I$73,0)),""),4,IFERROR(INDEX('Lớp 4 - Danh mục'!$AU$14:$AU$132,MATCH($X696,'Lớp 4 - Danh mục'!$I$14:$I$132,0)),""),5,IFERROR(INDEX('Lớp 5 - Phân công'!$AV$14:$AV$262,MATCH($X696,'Lớp 5 - Phân công'!$I$14:$I$262,0)),""),6,IFERROR(INDEX('Lớp 6 - Chi tiết'!$AY$14:$AY$267,MATCH($X696,'Lớp 6 - Chi tiết'!$I$14:$I$267,0)),""),""))</f>
        <v/>
      </c>
    </row>
    <row r="697" ht="15.75" customHeight="1">
      <c r="A697" s="294" t="str">
        <f t="shared" si="12"/>
        <v/>
      </c>
      <c r="B697" s="301" t="str">
        <f t="shared" si="13"/>
        <v/>
      </c>
      <c r="C697" s="301" t="str">
        <f t="shared" si="14"/>
        <v/>
      </c>
      <c r="D697" s="301" t="str">
        <f t="shared" si="15"/>
        <v/>
      </c>
      <c r="E697" s="301" t="str">
        <f t="shared" si="16"/>
        <v/>
      </c>
      <c r="F697" s="317" t="str">
        <f t="shared" si="17"/>
        <v/>
      </c>
      <c r="G697" s="323" t="str">
        <f t="shared" si="18"/>
        <v/>
      </c>
      <c r="H697" s="327" t="str">
        <f t="shared" si="19"/>
        <v/>
      </c>
      <c r="I697" s="327" t="str">
        <f t="shared" si="20"/>
        <v/>
      </c>
      <c r="J697" s="301" t="str">
        <f t="shared" si="21"/>
        <v/>
      </c>
      <c r="K697" s="301" t="str">
        <f t="shared" si="22"/>
        <v/>
      </c>
      <c r="L697" s="344" t="str">
        <f t="array" ref="L697">IF($T697="","",LET(m,MATCH($T697,$AS$24:$AS$700,0),lvl,INDEX($W$24:$W$700,m),id,INDEX($X$24:$X$700,m),SWITCH(lvl,3,"Lớp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7" s="351" t="str">
        <f t="shared" si="23"/>
        <v/>
      </c>
      <c r="N697" s="356" t="str">
        <f t="shared" si="24"/>
        <v/>
      </c>
      <c r="O697" s="358"/>
      <c r="P697" s="360"/>
      <c r="Q697" s="360"/>
      <c r="R697" s="67"/>
      <c r="S697" s="67"/>
      <c r="T697" s="67"/>
      <c r="U697" s="389" t="str">
        <f>IF('Lớp 6 - Chi tiết'!I259="","",'Lớp 6 - Chi tiết'!L259&amp;"|"&amp;'Lớp 6 - Chi tiết'!K259&amp;"|"&amp;'Lớp 6 - Chi tiết'!J259&amp;"|"&amp;'Lớp 6 - Chi tiết'!I259)</f>
        <v/>
      </c>
      <c r="V697" s="389" t="str">
        <f>IF('Lớp 6 - Chi tiết'!I259="","","           └─ "&amp;'Lớp 6 - Chi tiết'!S259)</f>
        <v/>
      </c>
      <c r="W697" s="389" t="str">
        <f>IF('Lớp 6 - Chi tiết'!I259="","",6)</f>
        <v/>
      </c>
      <c r="X697" s="67" t="str">
        <f>'Lớp 6 - Chi tiết'!I259</f>
        <v/>
      </c>
      <c r="Y697" s="389" t="str">
        <f>'Lớp 6 - Chi tiết'!J259</f>
        <v/>
      </c>
      <c r="Z697" s="67" t="str">
        <f>'Lớp 6 - Chi tiết'!AC259</f>
        <v/>
      </c>
      <c r="AA697" s="67" t="str">
        <f>'Lớp 6 - Chi tiết'!AB259</f>
        <v/>
      </c>
      <c r="AB697" s="67" t="str">
        <f>'Lớp 6 - Chi tiết'!AF259</f>
        <v/>
      </c>
      <c r="AC697" s="67" t="str">
        <f>'Lớp 6 - Chi tiết'!AE259</f>
        <v/>
      </c>
      <c r="AD697" s="398" t="str">
        <f>'Lớp 6 - Chi tiết'!AJ259</f>
        <v/>
      </c>
      <c r="AE697" s="358" t="str">
        <f>'Lớp 6 - Chi tiết'!AH259</f>
        <v/>
      </c>
      <c r="AF697" s="187" t="str">
        <f>'Lớp 6 - Chi tiết'!AK259</f>
        <v/>
      </c>
      <c r="AG697" s="104" t="str">
        <f>'Lớp 6 - Chi tiết'!AL259</f>
        <v/>
      </c>
      <c r="AH697" s="389" t="str">
        <f t="shared" si="27"/>
        <v/>
      </c>
      <c r="AI697" s="389" t="str">
        <f t="shared" si="37"/>
        <v>🔵 Chưa có hạn</v>
      </c>
      <c r="AJ697" s="67" t="str">
        <f>'Lớp 6 - Chi tiết'!AO259</f>
        <v/>
      </c>
      <c r="AS697" s="389" t="str">
        <f t="shared" si="467"/>
        <v/>
      </c>
      <c r="AT697" s="389" t="str">
        <f t="shared" si="32"/>
        <v/>
      </c>
      <c r="AU697" s="389" t="str">
        <f t="shared" si="33"/>
        <v/>
      </c>
      <c r="AV697" s="389" t="str">
        <f t="shared" si="34"/>
        <v/>
      </c>
      <c r="AW697" s="389" t="str">
        <f t="shared" si="35"/>
        <v/>
      </c>
      <c r="AX697" s="67" t="str">
        <f t="shared" ref="AX697:BH697" si="712">Z697</f>
        <v/>
      </c>
      <c r="AY697" s="67" t="str">
        <f t="shared" si="712"/>
        <v/>
      </c>
      <c r="AZ697" s="67" t="str">
        <f t="shared" si="712"/>
        <v/>
      </c>
      <c r="BA697" s="67" t="str">
        <f t="shared" si="712"/>
        <v/>
      </c>
      <c r="BB697" s="398" t="str">
        <f t="shared" si="712"/>
        <v/>
      </c>
      <c r="BC697" s="358" t="str">
        <f t="shared" si="712"/>
        <v/>
      </c>
      <c r="BD697" s="187" t="str">
        <f t="shared" si="712"/>
        <v/>
      </c>
      <c r="BE697" s="104" t="str">
        <f t="shared" si="712"/>
        <v/>
      </c>
      <c r="BF697" s="389" t="str">
        <f t="shared" si="712"/>
        <v/>
      </c>
      <c r="BG697" s="389" t="str">
        <f t="shared" si="712"/>
        <v>🔵 Chưa có hạn</v>
      </c>
      <c r="BH697" s="67" t="str">
        <f t="shared" si="712"/>
        <v/>
      </c>
      <c r="BI697" s="389" t="str">
        <f t="array" ref="BI697">IF($X697="","",SWITCH($W697,3,IFERROR(INDEX('Lớp 3 - Công việc chính'!$AF$14:$AF$73,MATCH($X697,'Lớp 3 - Công việc chính'!$I$14:$I$73,0)),""),4,IFERROR(INDEX('Lớp 4 - Danh mục'!$AI$14:$AI$132,MATCH($X697,'Lớp 4 - Danh mục'!$I$14:$I$132,0)),""),5,IFERROR(INDEX('Lớp 5 - Phân công'!$AJ$14:$AJ$262,MATCH($X697,'Lớp 5 - Phân công'!$I$14:$I$262,0)),""),6,IFERROR(INDEX('Lớp 6 - Chi tiết'!$AM$14:$AM$267,MATCH($X697,'Lớp 6 - Chi tiết'!$I$14:$I$267,0)),""),""))</f>
        <v/>
      </c>
      <c r="BJ697" s="389" t="str">
        <f t="array" ref="BJ697">IF($X697="","",SWITCH($W697,3,IFERROR(INDEX('Lớp 3 - Công việc chính'!$AR$14:$AR$73,MATCH($X697,'Lớp 3 - Công việc chính'!$I$14:$I$73,0)),""),4,IFERROR(INDEX('Lớp 4 - Danh mục'!$AU$14:$AU$132,MATCH($X697,'Lớp 4 - Danh mục'!$I$14:$I$132,0)),""),5,IFERROR(INDEX('Lớp 5 - Phân công'!$AV$14:$AV$262,MATCH($X697,'Lớp 5 - Phân công'!$I$14:$I$262,0)),""),6,IFERROR(INDEX('Lớp 6 - Chi tiết'!$AY$14:$AY$267,MATCH($X697,'Lớp 6 - Chi tiết'!$I$14:$I$267,0)),""),""))</f>
        <v/>
      </c>
    </row>
    <row r="698" ht="15.75" customHeight="1">
      <c r="A698" s="294" t="str">
        <f t="shared" si="12"/>
        <v/>
      </c>
      <c r="B698" s="301" t="str">
        <f t="shared" si="13"/>
        <v/>
      </c>
      <c r="C698" s="301" t="str">
        <f t="shared" si="14"/>
        <v/>
      </c>
      <c r="D698" s="301" t="str">
        <f t="shared" si="15"/>
        <v/>
      </c>
      <c r="E698" s="301" t="str">
        <f t="shared" si="16"/>
        <v/>
      </c>
      <c r="F698" s="317" t="str">
        <f t="shared" si="17"/>
        <v/>
      </c>
      <c r="G698" s="323" t="str">
        <f t="shared" si="18"/>
        <v/>
      </c>
      <c r="H698" s="327" t="str">
        <f t="shared" si="19"/>
        <v/>
      </c>
      <c r="I698" s="327" t="str">
        <f t="shared" si="20"/>
        <v/>
      </c>
      <c r="J698" s="301" t="str">
        <f t="shared" si="21"/>
        <v/>
      </c>
      <c r="K698" s="301" t="str">
        <f t="shared" si="22"/>
        <v/>
      </c>
      <c r="L698" s="344" t="str">
        <f t="array" ref="L698">IF($T698="","",LET(m,MATCH($T698,$AS$24:$AS$700,0),lvl,INDEX($W$24:$W$700,m),id,INDEX($X$24:$X$700,m),SWITCH(lvl,3,"Lớp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8" s="351" t="str">
        <f t="shared" si="23"/>
        <v/>
      </c>
      <c r="N698" s="356" t="str">
        <f t="shared" si="24"/>
        <v/>
      </c>
      <c r="O698" s="358"/>
      <c r="P698" s="360"/>
      <c r="Q698" s="360"/>
      <c r="R698" s="67"/>
      <c r="S698" s="67"/>
      <c r="T698" s="67"/>
      <c r="U698" s="389" t="str">
        <f>IF('Lớp 6 - Chi tiết'!I260="","",'Lớp 6 - Chi tiết'!L260&amp;"|"&amp;'Lớp 6 - Chi tiết'!K260&amp;"|"&amp;'Lớp 6 - Chi tiết'!J260&amp;"|"&amp;'Lớp 6 - Chi tiết'!I260)</f>
        <v/>
      </c>
      <c r="V698" s="389" t="str">
        <f>IF('Lớp 6 - Chi tiết'!I260="","","           └─ "&amp;'Lớp 6 - Chi tiết'!S260)</f>
        <v/>
      </c>
      <c r="W698" s="389" t="str">
        <f>IF('Lớp 6 - Chi tiết'!I260="","",6)</f>
        <v/>
      </c>
      <c r="X698" s="67" t="str">
        <f>'Lớp 6 - Chi tiết'!I260</f>
        <v/>
      </c>
      <c r="Y698" s="389" t="str">
        <f>'Lớp 6 - Chi tiết'!J260</f>
        <v/>
      </c>
      <c r="Z698" s="67" t="str">
        <f>'Lớp 6 - Chi tiết'!AC260</f>
        <v/>
      </c>
      <c r="AA698" s="67" t="str">
        <f>'Lớp 6 - Chi tiết'!AB260</f>
        <v/>
      </c>
      <c r="AB698" s="67" t="str">
        <f>'Lớp 6 - Chi tiết'!AF260</f>
        <v/>
      </c>
      <c r="AC698" s="67" t="str">
        <f>'Lớp 6 - Chi tiết'!AE260</f>
        <v/>
      </c>
      <c r="AD698" s="398" t="str">
        <f>'Lớp 6 - Chi tiết'!AJ260</f>
        <v/>
      </c>
      <c r="AE698" s="358" t="str">
        <f>'Lớp 6 - Chi tiết'!AH260</f>
        <v/>
      </c>
      <c r="AF698" s="187" t="str">
        <f>'Lớp 6 - Chi tiết'!AK260</f>
        <v/>
      </c>
      <c r="AG698" s="104" t="str">
        <f>'Lớp 6 - Chi tiết'!AL260</f>
        <v/>
      </c>
      <c r="AH698" s="389" t="str">
        <f t="shared" si="27"/>
        <v/>
      </c>
      <c r="AI698" s="389" t="str">
        <f t="shared" si="37"/>
        <v>🔵 Chưa có hạn</v>
      </c>
      <c r="AJ698" s="67" t="str">
        <f>'Lớp 6 - Chi tiết'!AO260</f>
        <v/>
      </c>
      <c r="AS698" s="389" t="str">
        <f t="shared" si="467"/>
        <v/>
      </c>
      <c r="AT698" s="389" t="str">
        <f t="shared" si="32"/>
        <v/>
      </c>
      <c r="AU698" s="389" t="str">
        <f t="shared" si="33"/>
        <v/>
      </c>
      <c r="AV698" s="389" t="str">
        <f t="shared" si="34"/>
        <v/>
      </c>
      <c r="AW698" s="389" t="str">
        <f t="shared" si="35"/>
        <v/>
      </c>
      <c r="AX698" s="67" t="str">
        <f t="shared" ref="AX698:BH698" si="713">Z698</f>
        <v/>
      </c>
      <c r="AY698" s="67" t="str">
        <f t="shared" si="713"/>
        <v/>
      </c>
      <c r="AZ698" s="67" t="str">
        <f t="shared" si="713"/>
        <v/>
      </c>
      <c r="BA698" s="67" t="str">
        <f t="shared" si="713"/>
        <v/>
      </c>
      <c r="BB698" s="398" t="str">
        <f t="shared" si="713"/>
        <v/>
      </c>
      <c r="BC698" s="358" t="str">
        <f t="shared" si="713"/>
        <v/>
      </c>
      <c r="BD698" s="187" t="str">
        <f t="shared" si="713"/>
        <v/>
      </c>
      <c r="BE698" s="104" t="str">
        <f t="shared" si="713"/>
        <v/>
      </c>
      <c r="BF698" s="389" t="str">
        <f t="shared" si="713"/>
        <v/>
      </c>
      <c r="BG698" s="389" t="str">
        <f t="shared" si="713"/>
        <v>🔵 Chưa có hạn</v>
      </c>
      <c r="BH698" s="67" t="str">
        <f t="shared" si="713"/>
        <v/>
      </c>
      <c r="BI698" s="389" t="str">
        <f t="array" ref="BI698">IF($X698="","",SWITCH($W698,3,IFERROR(INDEX('Lớp 3 - Công việc chính'!$AF$14:$AF$73,MATCH($X698,'Lớp 3 - Công việc chính'!$I$14:$I$73,0)),""),4,IFERROR(INDEX('Lớp 4 - Danh mục'!$AI$14:$AI$132,MATCH($X698,'Lớp 4 - Danh mục'!$I$14:$I$132,0)),""),5,IFERROR(INDEX('Lớp 5 - Phân công'!$AJ$14:$AJ$262,MATCH($X698,'Lớp 5 - Phân công'!$I$14:$I$262,0)),""),6,IFERROR(INDEX('Lớp 6 - Chi tiết'!$AM$14:$AM$267,MATCH($X698,'Lớp 6 - Chi tiết'!$I$14:$I$267,0)),""),""))</f>
        <v/>
      </c>
      <c r="BJ698" s="389" t="str">
        <f t="array" ref="BJ698">IF($X698="","",SWITCH($W698,3,IFERROR(INDEX('Lớp 3 - Công việc chính'!$AR$14:$AR$73,MATCH($X698,'Lớp 3 - Công việc chính'!$I$14:$I$73,0)),""),4,IFERROR(INDEX('Lớp 4 - Danh mục'!$AU$14:$AU$132,MATCH($X698,'Lớp 4 - Danh mục'!$I$14:$I$132,0)),""),5,IFERROR(INDEX('Lớp 5 - Phân công'!$AV$14:$AV$262,MATCH($X698,'Lớp 5 - Phân công'!$I$14:$I$262,0)),""),6,IFERROR(INDEX('Lớp 6 - Chi tiết'!$AY$14:$AY$267,MATCH($X698,'Lớp 6 - Chi tiết'!$I$14:$I$267,0)),""),""))</f>
        <v/>
      </c>
    </row>
    <row r="699" ht="15.75" customHeight="1">
      <c r="A699" s="294" t="str">
        <f t="shared" si="12"/>
        <v/>
      </c>
      <c r="B699" s="301" t="str">
        <f t="shared" si="13"/>
        <v/>
      </c>
      <c r="C699" s="301" t="str">
        <f t="shared" si="14"/>
        <v/>
      </c>
      <c r="D699" s="301" t="str">
        <f t="shared" si="15"/>
        <v/>
      </c>
      <c r="E699" s="301" t="str">
        <f t="shared" si="16"/>
        <v/>
      </c>
      <c r="F699" s="317" t="str">
        <f t="shared" si="17"/>
        <v/>
      </c>
      <c r="G699" s="323" t="str">
        <f t="shared" si="18"/>
        <v/>
      </c>
      <c r="H699" s="327" t="str">
        <f t="shared" si="19"/>
        <v/>
      </c>
      <c r="I699" s="327" t="str">
        <f t="shared" si="20"/>
        <v/>
      </c>
      <c r="J699" s="301" t="str">
        <f t="shared" si="21"/>
        <v/>
      </c>
      <c r="K699" s="301" t="str">
        <f t="shared" si="22"/>
        <v/>
      </c>
      <c r="L699" s="344" t="str">
        <f t="array" ref="L699">IF($T699="","",LET(m,MATCH($T699,$AS$24:$AS$700,0),lvl,INDEX($W$24:$W$700,m),id,INDEX($X$24:$X$700,m),SWITCH(lvl,3,"Lớp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699" s="351" t="str">
        <f t="shared" si="23"/>
        <v/>
      </c>
      <c r="N699" s="356" t="str">
        <f t="shared" si="24"/>
        <v/>
      </c>
      <c r="O699" s="358"/>
      <c r="P699" s="360"/>
      <c r="Q699" s="360"/>
      <c r="R699" s="67"/>
      <c r="S699" s="67"/>
      <c r="T699" s="67"/>
      <c r="U699" s="389" t="str">
        <f>IF('Lớp 6 - Chi tiết'!I261="","",'Lớp 6 - Chi tiết'!L261&amp;"|"&amp;'Lớp 6 - Chi tiết'!K261&amp;"|"&amp;'Lớp 6 - Chi tiết'!J261&amp;"|"&amp;'Lớp 6 - Chi tiết'!I261)</f>
        <v/>
      </c>
      <c r="V699" s="389" t="str">
        <f>IF('Lớp 6 - Chi tiết'!I261="","","           └─ "&amp;'Lớp 6 - Chi tiết'!S261)</f>
        <v/>
      </c>
      <c r="W699" s="389" t="str">
        <f>IF('Lớp 6 - Chi tiết'!I261="","",6)</f>
        <v/>
      </c>
      <c r="X699" s="67" t="str">
        <f>'Lớp 6 - Chi tiết'!I261</f>
        <v/>
      </c>
      <c r="Y699" s="389" t="str">
        <f>'Lớp 6 - Chi tiết'!J261</f>
        <v/>
      </c>
      <c r="Z699" s="67" t="str">
        <f>'Lớp 6 - Chi tiết'!AC261</f>
        <v/>
      </c>
      <c r="AA699" s="67" t="str">
        <f>'Lớp 6 - Chi tiết'!AB261</f>
        <v/>
      </c>
      <c r="AB699" s="67" t="str">
        <f>'Lớp 6 - Chi tiết'!AF261</f>
        <v/>
      </c>
      <c r="AC699" s="67" t="str">
        <f>'Lớp 6 - Chi tiết'!AE261</f>
        <v/>
      </c>
      <c r="AD699" s="398" t="str">
        <f>'Lớp 6 - Chi tiết'!AJ261</f>
        <v/>
      </c>
      <c r="AE699" s="358" t="str">
        <f>'Lớp 6 - Chi tiết'!AH261</f>
        <v/>
      </c>
      <c r="AF699" s="187" t="str">
        <f>'Lớp 6 - Chi tiết'!AK261</f>
        <v/>
      </c>
      <c r="AG699" s="104" t="str">
        <f>'Lớp 6 - Chi tiết'!AL261</f>
        <v/>
      </c>
      <c r="AH699" s="389" t="str">
        <f t="shared" si="27"/>
        <v/>
      </c>
      <c r="AI699" s="389" t="str">
        <f t="shared" si="37"/>
        <v>🔵 Chưa có hạn</v>
      </c>
      <c r="AJ699" s="67" t="str">
        <f>'Lớp 6 - Chi tiết'!AO261</f>
        <v/>
      </c>
      <c r="AS699" s="389" t="str">
        <f t="shared" si="467"/>
        <v/>
      </c>
      <c r="AT699" s="389" t="str">
        <f t="shared" si="32"/>
        <v/>
      </c>
      <c r="AU699" s="389" t="str">
        <f t="shared" si="33"/>
        <v/>
      </c>
      <c r="AV699" s="389" t="str">
        <f t="shared" si="34"/>
        <v/>
      </c>
      <c r="AW699" s="389" t="str">
        <f t="shared" si="35"/>
        <v/>
      </c>
      <c r="AX699" s="67" t="str">
        <f t="shared" ref="AX699:BH699" si="714">Z699</f>
        <v/>
      </c>
      <c r="AY699" s="67" t="str">
        <f t="shared" si="714"/>
        <v/>
      </c>
      <c r="AZ699" s="67" t="str">
        <f t="shared" si="714"/>
        <v/>
      </c>
      <c r="BA699" s="67" t="str">
        <f t="shared" si="714"/>
        <v/>
      </c>
      <c r="BB699" s="398" t="str">
        <f t="shared" si="714"/>
        <v/>
      </c>
      <c r="BC699" s="358" t="str">
        <f t="shared" si="714"/>
        <v/>
      </c>
      <c r="BD699" s="187" t="str">
        <f t="shared" si="714"/>
        <v/>
      </c>
      <c r="BE699" s="104" t="str">
        <f t="shared" si="714"/>
        <v/>
      </c>
      <c r="BF699" s="389" t="str">
        <f t="shared" si="714"/>
        <v/>
      </c>
      <c r="BG699" s="389" t="str">
        <f t="shared" si="714"/>
        <v>🔵 Chưa có hạn</v>
      </c>
      <c r="BH699" s="67" t="str">
        <f t="shared" si="714"/>
        <v/>
      </c>
      <c r="BI699" s="389" t="str">
        <f t="array" ref="BI699">IF($X699="","",SWITCH($W699,3,IFERROR(INDEX('Lớp 3 - Công việc chính'!$AF$14:$AF$73,MATCH($X699,'Lớp 3 - Công việc chính'!$I$14:$I$73,0)),""),4,IFERROR(INDEX('Lớp 4 - Danh mục'!$AI$14:$AI$132,MATCH($X699,'Lớp 4 - Danh mục'!$I$14:$I$132,0)),""),5,IFERROR(INDEX('Lớp 5 - Phân công'!$AJ$14:$AJ$262,MATCH($X699,'Lớp 5 - Phân công'!$I$14:$I$262,0)),""),6,IFERROR(INDEX('Lớp 6 - Chi tiết'!$AM$14:$AM$267,MATCH($X699,'Lớp 6 - Chi tiết'!$I$14:$I$267,0)),""),""))</f>
        <v/>
      </c>
      <c r="BJ699" s="389" t="str">
        <f t="array" ref="BJ699">IF($X699="","",SWITCH($W699,3,IFERROR(INDEX('Lớp 3 - Công việc chính'!$AR$14:$AR$73,MATCH($X699,'Lớp 3 - Công việc chính'!$I$14:$I$73,0)),""),4,IFERROR(INDEX('Lớp 4 - Danh mục'!$AU$14:$AU$132,MATCH($X699,'Lớp 4 - Danh mục'!$I$14:$I$132,0)),""),5,IFERROR(INDEX('Lớp 5 - Phân công'!$AV$14:$AV$262,MATCH($X699,'Lớp 5 - Phân công'!$I$14:$I$262,0)),""),6,IFERROR(INDEX('Lớp 6 - Chi tiết'!$AY$14:$AY$267,MATCH($X699,'Lớp 6 - Chi tiết'!$I$14:$I$267,0)),""),""))</f>
        <v/>
      </c>
    </row>
    <row r="700" ht="15.75" customHeight="1">
      <c r="A700" s="294" t="str">
        <f t="shared" si="12"/>
        <v/>
      </c>
      <c r="B700" s="824" t="str">
        <f t="shared" si="13"/>
        <v/>
      </c>
      <c r="C700" s="824" t="str">
        <f t="shared" si="14"/>
        <v/>
      </c>
      <c r="D700" s="824" t="str">
        <f t="shared" si="15"/>
        <v/>
      </c>
      <c r="E700" s="824" t="str">
        <f t="shared" si="16"/>
        <v/>
      </c>
      <c r="F700" s="825" t="str">
        <f t="shared" si="17"/>
        <v/>
      </c>
      <c r="G700" s="826" t="str">
        <f t="shared" si="18"/>
        <v/>
      </c>
      <c r="H700" s="827" t="str">
        <f t="shared" si="19"/>
        <v/>
      </c>
      <c r="I700" s="827" t="str">
        <f t="shared" si="20"/>
        <v/>
      </c>
      <c r="J700" s="824" t="str">
        <f t="shared" si="21"/>
        <v/>
      </c>
      <c r="K700" s="824" t="str">
        <f t="shared" si="22"/>
        <v/>
      </c>
      <c r="L700" s="828" t="str">
        <f t="array" ref="L700">IF($T700="","",LET(m,MATCH($T700,$AS$24:$AS$700,0),lvl,INDEX($W$24:$W$700,m),id,INDEX($X$24:$X$700,m),SWITCH(lvl,3,"Lớp 3 - Công việc chính!A"&amp;MATCH(id,'Lớp 3 - Công việc chính'!$I$1:$I$73,0),4,"Lớp 4 - Danh mục!A"&amp;MATCH(id,'Lớp 4 - Danh mục'!$I$1:$I$132,0),5,"Lớp 5 - Phân công!A"&amp;MATCH(id,'Lớp 5 - Phân công'!$I$1:$I$262,0),6,"Lớp 6 - Chi tiết!A"&amp;MATCH(id,'Lớp 6 - Chi tiết'!$I$1:$I$267,0))))</f>
        <v/>
      </c>
      <c r="M700" s="351" t="str">
        <f t="shared" si="23"/>
        <v/>
      </c>
      <c r="N700" s="356" t="str">
        <f t="shared" si="24"/>
        <v/>
      </c>
      <c r="O700" s="358"/>
      <c r="P700" s="360"/>
      <c r="Q700" s="360"/>
      <c r="R700" s="67"/>
      <c r="S700" s="67"/>
      <c r="T700" s="67"/>
      <c r="U700" s="389" t="str">
        <f>IF('Lớp 6 - Chi tiết'!I267="","",'Lớp 6 - Chi tiết'!L267&amp;"|"&amp;'Lớp 6 - Chi tiết'!K267&amp;"|"&amp;'Lớp 6 - Chi tiết'!J267&amp;"|"&amp;'Lớp 6 - Chi tiết'!I267)</f>
        <v/>
      </c>
      <c r="V700" s="389" t="str">
        <f>IF('Lớp 6 - Chi tiết'!I267="","","           └─ "&amp;'Lớp 6 - Chi tiết'!S267)</f>
        <v/>
      </c>
      <c r="W700" s="389" t="str">
        <f>IF('Lớp 6 - Chi tiết'!I267="","",6)</f>
        <v/>
      </c>
      <c r="X700" s="67" t="str">
        <f>'Lớp 6 - Chi tiết'!I267</f>
        <v/>
      </c>
      <c r="Y700" s="389" t="str">
        <f>'Lớp 6 - Chi tiết'!J267</f>
        <v/>
      </c>
      <c r="Z700" s="67" t="str">
        <f>'Lớp 6 - Chi tiết'!AC267</f>
        <v/>
      </c>
      <c r="AA700" s="67" t="str">
        <f>'Lớp 6 - Chi tiết'!AB267</f>
        <v/>
      </c>
      <c r="AB700" s="67" t="str">
        <f>'Lớp 6 - Chi tiết'!AF267</f>
        <v/>
      </c>
      <c r="AC700" s="67" t="str">
        <f>'Lớp 6 - Chi tiết'!AE267</f>
        <v/>
      </c>
      <c r="AD700" s="398" t="str">
        <f>'Lớp 6 - Chi tiết'!AJ267</f>
        <v/>
      </c>
      <c r="AE700" s="358" t="str">
        <f>'Lớp 6 - Chi tiết'!AH267</f>
        <v/>
      </c>
      <c r="AF700" s="187" t="str">
        <f>'Lớp 6 - Chi tiết'!AK267</f>
        <v/>
      </c>
      <c r="AG700" s="104" t="str">
        <f>'Lớp 6 - Chi tiết'!AL267</f>
        <v/>
      </c>
      <c r="AH700" s="389" t="str">
        <f t="shared" si="27"/>
        <v/>
      </c>
      <c r="AI700" s="389" t="str">
        <f t="shared" si="37"/>
        <v>🔵 Chưa có hạn</v>
      </c>
      <c r="AJ700" s="67" t="str">
        <f>'Lớp 6 - Chi tiết'!AO267</f>
        <v/>
      </c>
      <c r="AS700" s="389" t="str">
        <f t="shared" si="467"/>
        <v/>
      </c>
      <c r="AT700" s="389" t="str">
        <f t="shared" si="32"/>
        <v/>
      </c>
      <c r="AU700" s="389" t="str">
        <f t="shared" si="33"/>
        <v/>
      </c>
      <c r="AV700" s="389" t="str">
        <f t="shared" si="34"/>
        <v/>
      </c>
      <c r="AW700" s="389" t="str">
        <f t="shared" si="35"/>
        <v/>
      </c>
      <c r="AX700" s="67" t="str">
        <f t="shared" ref="AX700:BH700" si="715">Z700</f>
        <v/>
      </c>
      <c r="AY700" s="67" t="str">
        <f t="shared" si="715"/>
        <v/>
      </c>
      <c r="AZ700" s="67" t="str">
        <f t="shared" si="715"/>
        <v/>
      </c>
      <c r="BA700" s="67" t="str">
        <f t="shared" si="715"/>
        <v/>
      </c>
      <c r="BB700" s="398" t="str">
        <f t="shared" si="715"/>
        <v/>
      </c>
      <c r="BC700" s="358" t="str">
        <f t="shared" si="715"/>
        <v/>
      </c>
      <c r="BD700" s="187" t="str">
        <f t="shared" si="715"/>
        <v/>
      </c>
      <c r="BE700" s="104" t="str">
        <f t="shared" si="715"/>
        <v/>
      </c>
      <c r="BF700" s="389" t="str">
        <f t="shared" si="715"/>
        <v/>
      </c>
      <c r="BG700" s="389" t="str">
        <f t="shared" si="715"/>
        <v>🔵 Chưa có hạn</v>
      </c>
      <c r="BH700" s="67" t="str">
        <f t="shared" si="715"/>
        <v/>
      </c>
      <c r="BI700" s="389" t="str">
        <f t="array" ref="BI700">IF($X700="","",SWITCH($W700,3,IFERROR(INDEX('Lớp 3 - Công việc chính'!$AF$14:$AF$73,MATCH($X700,'Lớp 3 - Công việc chính'!$I$14:$I$73,0)),""),4,IFERROR(INDEX('Lớp 4 - Danh mục'!$AI$14:$AI$132,MATCH($X700,'Lớp 4 - Danh mục'!$I$14:$I$132,0)),""),5,IFERROR(INDEX('Lớp 5 - Phân công'!$AJ$14:$AJ$262,MATCH($X700,'Lớp 5 - Phân công'!$I$14:$I$262,0)),""),6,IFERROR(INDEX('Lớp 6 - Chi tiết'!$AM$14:$AM$267,MATCH($X700,'Lớp 6 - Chi tiết'!$I$14:$I$267,0)),""),""))</f>
        <v/>
      </c>
      <c r="BJ700" s="389" t="str">
        <f t="array" ref="BJ700">IF($X700="","",SWITCH($W700,3,IFERROR(INDEX('Lớp 3 - Công việc chính'!$AR$14:$AR$73,MATCH($X700,'Lớp 3 - Công việc chính'!$I$14:$I$73,0)),""),4,IFERROR(INDEX('Lớp 4 - Danh mục'!$AU$14:$AU$132,MATCH($X700,'Lớp 4 - Danh mục'!$I$14:$I$132,0)),""),5,IFERROR(INDEX('Lớp 5 - Phân công'!$AV$14:$AV$262,MATCH($X700,'Lớp 5 - Phân công'!$I$14:$I$262,0)),""),6,IFERROR(INDEX('Lớp 6 - Chi tiết'!$AY$14:$AY$267,MATCH($X700,'Lớp 6 - Chi tiết'!$I$14:$I$267,0)),""),""))</f>
        <v/>
      </c>
    </row>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0.13"/>
    <col customWidth="1" min="2" max="3" width="8.25"/>
    <col customWidth="1" min="4" max="4" width="11.75"/>
    <col customWidth="1" min="5" max="5" width="2.38"/>
    <col customWidth="1" min="6" max="6" width="20.75"/>
    <col customWidth="1" min="7" max="7" width="7.63"/>
    <col customWidth="1" min="8" max="8" width="8.88"/>
    <col customWidth="1" hidden="1" min="9" max="10" width="26.38"/>
    <col customWidth="1" min="11" max="26" width="8.88"/>
  </cols>
  <sheetData>
    <row r="1" ht="28.5" customHeight="1">
      <c r="A1" s="5" t="s">
        <v>3</v>
      </c>
      <c r="B1" s="6"/>
      <c r="C1" s="6"/>
      <c r="D1" s="6"/>
      <c r="E1" s="6"/>
      <c r="F1" s="6"/>
      <c r="G1" s="6"/>
      <c r="H1" s="11"/>
      <c r="I1" s="3"/>
      <c r="J1" s="3"/>
    </row>
    <row r="2" ht="18.0" customHeight="1">
      <c r="A2" s="15" t="s">
        <v>7</v>
      </c>
      <c r="B2" s="16"/>
      <c r="C2" s="16"/>
      <c r="D2" s="16"/>
      <c r="E2" s="16"/>
      <c r="F2" s="16"/>
      <c r="G2" s="16"/>
      <c r="H2" s="18"/>
    </row>
    <row r="3" ht="7.5" customHeight="1">
      <c r="A3" s="19"/>
      <c r="B3" s="19"/>
      <c r="C3" s="19"/>
      <c r="D3" s="19"/>
      <c r="E3" s="19"/>
      <c r="F3" s="19"/>
      <c r="G3" s="19"/>
      <c r="H3" s="19"/>
    </row>
    <row r="4" ht="16.5" customHeight="1">
      <c r="A4" s="21" t="s">
        <v>9</v>
      </c>
      <c r="B4" s="22"/>
      <c r="C4" s="25" t="s">
        <v>10</v>
      </c>
      <c r="D4" s="26"/>
      <c r="E4" s="29" t="s">
        <v>13</v>
      </c>
      <c r="F4" s="30"/>
      <c r="G4" s="35" t="s">
        <v>14</v>
      </c>
      <c r="H4" s="37"/>
      <c r="I4" s="38"/>
      <c r="J4" s="38"/>
    </row>
    <row r="5" ht="25.5" customHeight="1">
      <c r="A5" s="43">
        <f>COUNTIF('Lớp 3 - Công việc chính'!$I$14:$I$73,"&lt;&gt;")</f>
        <v>28</v>
      </c>
      <c r="B5" s="44"/>
      <c r="C5" s="46">
        <f>COUNTIF('Lớp 4 - Danh mục'!$I$14:$I$132,"&lt;&gt;")</f>
        <v>36</v>
      </c>
      <c r="D5" s="44"/>
      <c r="E5" s="48">
        <f>COUNTIF('Lớp 5 - Phân công'!$I$14:$I$262,"&lt;&gt;")</f>
        <v>38</v>
      </c>
      <c r="F5" s="44"/>
      <c r="G5" s="51" t="str">
        <f>IFERROR(AVERAGEIF('Lớp 3 - Công việc chính'!$L$14:$L$73,"&lt;&gt;Công việc khác",'Lớp 3 - Công việc chính'!$AC$14:$AC$73),"")</f>
        <v/>
      </c>
      <c r="H5" s="44"/>
    </row>
    <row r="6" ht="6.0" customHeight="1">
      <c r="A6" s="53"/>
      <c r="B6" s="55"/>
      <c r="C6" s="53"/>
      <c r="D6" s="55"/>
      <c r="E6" s="53"/>
      <c r="F6" s="55"/>
      <c r="G6" s="53"/>
      <c r="H6" s="55"/>
    </row>
    <row r="7" ht="6.0" customHeight="1">
      <c r="A7" s="19"/>
      <c r="B7" s="19"/>
      <c r="C7" s="19"/>
      <c r="D7" s="19"/>
      <c r="E7" s="19"/>
      <c r="F7" s="19"/>
      <c r="G7" s="19"/>
      <c r="H7" s="19"/>
    </row>
    <row r="8" ht="18.0" customHeight="1">
      <c r="A8" s="60" t="s">
        <v>37</v>
      </c>
      <c r="B8" s="61" t="s">
        <v>40</v>
      </c>
      <c r="C8" s="61" t="s">
        <v>42</v>
      </c>
      <c r="D8" s="63" t="s">
        <v>43</v>
      </c>
      <c r="E8" s="70"/>
      <c r="F8" s="73" t="s">
        <v>45</v>
      </c>
      <c r="G8" s="61" t="s">
        <v>40</v>
      </c>
      <c r="H8" s="75" t="s">
        <v>60</v>
      </c>
      <c r="I8" s="76" t="s">
        <v>65</v>
      </c>
      <c r="J8" s="76" t="s">
        <v>66</v>
      </c>
    </row>
    <row r="9" ht="18.0" customHeight="1">
      <c r="A9" s="79" t="s">
        <v>67</v>
      </c>
      <c r="B9" s="83">
        <f>COUNTIF('Lớp 3 - Công việc chính'!$K$14:$K$73,A9)</f>
        <v>3</v>
      </c>
      <c r="C9" s="83">
        <f>COUNTIF('Lớp 4 - Danh mục'!$L$14:$L$132,A9)</f>
        <v>7</v>
      </c>
      <c r="D9" s="83">
        <f>COUNTIF('Lớp 5 - Phân công'!$M$14:$M$262,A9)</f>
        <v>35</v>
      </c>
      <c r="E9" s="87"/>
      <c r="F9" s="89" t="s">
        <v>78</v>
      </c>
      <c r="G9" s="83">
        <f>COUNTIF('Lớp 3 - Công việc chính'!$L$14:$L$73,F9)</f>
        <v>6</v>
      </c>
      <c r="H9" s="97" t="str">
        <f>IF(F9="Công việc khác","",IFERROR(AVERAGEIF('Lớp 3 - Công việc chính'!$L$14:$L$73,F9,'Lớp 3 - Công việc chính'!$AC$14:$AC$73),""))</f>
        <v/>
      </c>
      <c r="I9" s="99"/>
      <c r="J9" s="99"/>
    </row>
    <row r="10" ht="18.0" customHeight="1">
      <c r="A10" s="101" t="s">
        <v>87</v>
      </c>
      <c r="B10" s="102">
        <f>COUNTIF('Lớp 3 - Công việc chính'!$K$14:$K$73,A10)</f>
        <v>23</v>
      </c>
      <c r="C10" s="102">
        <f>COUNTIF('Lớp 4 - Danh mục'!$L$14:$L$132,A10)</f>
        <v>24</v>
      </c>
      <c r="D10" s="102">
        <f>COUNTIF('Lớp 5 - Phân công'!$M$14:$M$262,A10)</f>
        <v>0</v>
      </c>
      <c r="E10" s="87"/>
      <c r="F10" s="105" t="s">
        <v>88</v>
      </c>
      <c r="G10" s="109">
        <f>COUNTIF('Lớp 3 - Công việc chính'!$L$14:$L$73,F10)</f>
        <v>19</v>
      </c>
      <c r="H10" s="97" t="str">
        <f>IF(F10="Công việc khác","",IFERROR(AVERAGEIF('Lớp 3 - Công việc chính'!$L$14:$L$73,F10,'Lớp 3 - Công việc chính'!$AC$14:$AC$73),""))</f>
        <v/>
      </c>
      <c r="I10" s="112"/>
      <c r="J10" s="99"/>
    </row>
    <row r="11" ht="18.0" customHeight="1">
      <c r="A11" s="114"/>
      <c r="B11" s="115"/>
      <c r="C11" s="115"/>
      <c r="D11" s="115"/>
      <c r="E11" s="87"/>
      <c r="F11" s="119" t="s">
        <v>89</v>
      </c>
      <c r="G11" s="122">
        <f>COUNTIF('Lớp 3 - Công việc chính'!$L$14:$L$73,F11)</f>
        <v>0</v>
      </c>
      <c r="H11" s="97" t="str">
        <f>IF(F11="Công việc khác","",IFERROR(AVERAGEIF('Lớp 3 - Công việc chính'!$L$14:$L$73,F11,'Lớp 3 - Công việc chính'!$AC$14:$AC$73),""))</f>
        <v/>
      </c>
      <c r="I11" s="99"/>
      <c r="J11" s="99"/>
    </row>
    <row r="12" ht="18.0" customHeight="1">
      <c r="A12" s="123"/>
      <c r="B12" s="124"/>
      <c r="C12" s="124"/>
      <c r="D12" s="124"/>
      <c r="E12" s="87"/>
      <c r="F12" s="125" t="s">
        <v>92</v>
      </c>
      <c r="G12" s="127">
        <f>COUNTIF('Lớp 3 - Công việc chính'!$L$14:$L$73,F12)</f>
        <v>1</v>
      </c>
      <c r="H12" s="97" t="str">
        <f>IF(F12="Công việc khác","",IFERROR(AVERAGEIF('Lớp 3 - Công việc chính'!$L$14:$L$73,F12,'Lớp 3 - Công việc chính'!$AC$14:$AC$73),""))</f>
        <v/>
      </c>
      <c r="I12" s="99"/>
      <c r="J12" s="112"/>
    </row>
    <row r="13" ht="6.0" customHeight="1">
      <c r="A13" s="19"/>
      <c r="B13" s="19"/>
      <c r="C13" s="19"/>
      <c r="D13" s="19"/>
      <c r="E13" s="19"/>
      <c r="F13" s="19"/>
      <c r="G13" s="19"/>
      <c r="H13" s="19"/>
    </row>
    <row r="14" ht="18.0" customHeight="1">
      <c r="A14" s="131" t="s">
        <v>93</v>
      </c>
      <c r="B14" s="132"/>
      <c r="C14" s="132"/>
      <c r="D14" s="132"/>
      <c r="E14" s="132"/>
      <c r="F14" s="132"/>
      <c r="G14" s="132"/>
      <c r="H14" s="135"/>
    </row>
  </sheetData>
  <mergeCells count="11">
    <mergeCell ref="C5:D6"/>
    <mergeCell ref="E5:F6"/>
    <mergeCell ref="G5:H6"/>
    <mergeCell ref="A14:H14"/>
    <mergeCell ref="A1:H1"/>
    <mergeCell ref="A2:H2"/>
    <mergeCell ref="A4:B4"/>
    <mergeCell ref="C4:D4"/>
    <mergeCell ref="E4:F4"/>
    <mergeCell ref="G4:H4"/>
    <mergeCell ref="A5:B6"/>
  </mergeCell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75"/>
    <col customWidth="1" min="2" max="2" width="45.0"/>
    <col customWidth="1" min="3" max="3" width="12.0"/>
    <col customWidth="1" min="4" max="4" width="15.75"/>
    <col customWidth="1" min="5" max="5" width="15.13"/>
    <col customWidth="1" min="6" max="7" width="12.63"/>
    <col customWidth="1" min="8" max="8" width="18.25"/>
    <col customWidth="1" min="9" max="9" width="20.13"/>
    <col customWidth="1" min="10" max="10" width="9.38"/>
    <col customWidth="1" min="11" max="11" width="19.88"/>
    <col customWidth="1" min="12" max="12" width="22.25"/>
    <col customWidth="1" hidden="1" min="13" max="13" width="54.0"/>
    <col customWidth="1" hidden="1" min="14" max="14" width="15.25"/>
    <col customWidth="1" hidden="1" min="15" max="15" width="20.25"/>
    <col customWidth="1" hidden="1" min="16" max="16" width="21.88"/>
    <col customWidth="1" hidden="1" min="17" max="17" width="14.25"/>
    <col customWidth="1" hidden="1" min="18" max="18" width="13.75"/>
    <col customWidth="1" hidden="1" min="19" max="19" width="31.25"/>
    <col customWidth="1" min="20" max="20" width="64.5"/>
    <col customWidth="1" min="21" max="22" width="14.0"/>
    <col customWidth="1" min="23" max="23" width="18.63"/>
    <col customWidth="1" min="24" max="24" width="20.5"/>
    <col customWidth="1" hidden="1" min="25" max="25" width="18.88"/>
    <col customWidth="1" hidden="1" min="26" max="26" width="41.38"/>
    <col customWidth="1" hidden="1" min="27" max="30" width="14.0"/>
    <col customWidth="1" min="31" max="31" width="17.63"/>
    <col customWidth="1" min="32" max="32" width="13.63"/>
    <col customWidth="1" min="33" max="33" width="22.0"/>
    <col customWidth="1" min="34" max="34" width="29.63"/>
    <col customWidth="1" min="35" max="35" width="12.63"/>
    <col customWidth="1" hidden="1" min="36" max="36" width="9.5"/>
    <col customWidth="1" min="37" max="37" width="13.25"/>
    <col customWidth="1" min="38" max="38" width="17.0"/>
    <col customWidth="1" hidden="1" min="39" max="39" width="12.0"/>
    <col customWidth="1" hidden="1" min="40" max="40" width="26.38"/>
    <col customWidth="1" min="41" max="41" width="22.0"/>
    <col customWidth="1" min="42" max="42" width="19.63"/>
    <col customWidth="1" min="43" max="43" width="24.25"/>
    <col customWidth="1" min="44" max="44" width="20.13"/>
    <col customWidth="1" min="45" max="45" width="27.5"/>
    <col customWidth="1" min="46" max="46" width="20.13"/>
  </cols>
  <sheetData>
    <row r="1" ht="15.75" customHeight="1">
      <c r="A1" s="152"/>
      <c r="B1" s="5" t="s">
        <v>112</v>
      </c>
      <c r="C1" s="153"/>
      <c r="D1" s="153"/>
      <c r="E1" s="153"/>
      <c r="F1" s="153"/>
      <c r="G1" s="153"/>
      <c r="H1" s="153"/>
      <c r="I1" s="153"/>
      <c r="J1" s="153"/>
      <c r="K1" s="153"/>
      <c r="L1" s="153"/>
      <c r="M1" s="153"/>
      <c r="N1" s="153"/>
      <c r="O1" s="153"/>
      <c r="P1" s="154"/>
      <c r="Q1" s="153"/>
      <c r="R1" s="153"/>
      <c r="S1" s="153"/>
      <c r="T1" s="153"/>
      <c r="U1" s="153"/>
      <c r="V1" s="156" t="s">
        <v>114</v>
      </c>
      <c r="W1" s="153"/>
      <c r="X1" s="153"/>
      <c r="Y1" s="67"/>
      <c r="Z1" s="67"/>
      <c r="AA1" s="67"/>
      <c r="AB1" s="67"/>
      <c r="AC1" s="67"/>
      <c r="AD1" s="67"/>
      <c r="AE1" s="67"/>
      <c r="AF1" s="153"/>
      <c r="AG1" s="158"/>
      <c r="AH1" s="3"/>
      <c r="AI1" s="3"/>
      <c r="AJ1" s="3"/>
      <c r="AK1" s="3"/>
      <c r="AL1" s="3"/>
      <c r="AM1" s="3"/>
      <c r="AN1" s="3"/>
      <c r="AO1" s="3"/>
      <c r="AP1" s="3"/>
      <c r="AQ1" s="3"/>
      <c r="AR1" s="3"/>
      <c r="AS1" s="160"/>
      <c r="AT1" s="160"/>
    </row>
    <row r="2" ht="15.75" customHeight="1">
      <c r="A2" s="162"/>
      <c r="B2" s="163" t="s">
        <v>116</v>
      </c>
      <c r="C2" s="164"/>
      <c r="D2" s="165"/>
      <c r="E2" s="164"/>
      <c r="F2" s="166" t="s">
        <v>117</v>
      </c>
      <c r="G2" s="167"/>
      <c r="H2" s="168" t="s">
        <v>118</v>
      </c>
      <c r="I2" s="168" t="s">
        <v>119</v>
      </c>
      <c r="J2" s="168" t="s">
        <v>120</v>
      </c>
      <c r="K2" s="168" t="s">
        <v>121</v>
      </c>
      <c r="L2" s="168" t="s">
        <v>122</v>
      </c>
      <c r="M2" s="168" t="s">
        <v>123</v>
      </c>
      <c r="N2" s="67"/>
      <c r="O2" s="67"/>
      <c r="P2" s="67"/>
      <c r="Q2" s="67"/>
      <c r="R2" s="67"/>
      <c r="S2" s="67"/>
      <c r="T2" s="67"/>
      <c r="U2" s="67"/>
      <c r="V2" s="67"/>
      <c r="W2" s="67"/>
      <c r="X2" s="67"/>
      <c r="Y2" s="67"/>
      <c r="Z2" s="67"/>
      <c r="AA2" s="67"/>
      <c r="AB2" s="67"/>
      <c r="AC2" s="67"/>
      <c r="AD2" s="67"/>
      <c r="AE2" s="67"/>
      <c r="AF2" s="166"/>
      <c r="AG2" s="167"/>
      <c r="AH2" s="170"/>
      <c r="AI2" s="170"/>
      <c r="AJ2" s="170"/>
      <c r="AK2" s="170"/>
      <c r="AL2" s="170"/>
      <c r="AM2" s="170"/>
      <c r="AN2" s="170"/>
      <c r="AO2" s="170"/>
      <c r="AP2" s="170"/>
      <c r="AQ2" s="170"/>
      <c r="AR2" s="170"/>
      <c r="AS2" s="170"/>
      <c r="AT2" s="170"/>
    </row>
    <row r="3" ht="15.75" customHeight="1">
      <c r="A3" s="172"/>
      <c r="B3" s="174" t="s">
        <v>127</v>
      </c>
      <c r="C3" s="175"/>
      <c r="D3" s="172"/>
      <c r="E3" s="176"/>
      <c r="F3" s="179">
        <f>COUNTA($B$14:$B$1014)</f>
        <v>28</v>
      </c>
      <c r="G3" s="180"/>
      <c r="H3" s="183">
        <f>COUNTIF($W$14:$W$1014,"Công ty")</f>
        <v>2</v>
      </c>
      <c r="I3" s="183">
        <f>COUNTIF($W$14:$W$1014,"R&amp;D")</f>
        <v>11</v>
      </c>
      <c r="J3" s="183">
        <f>COUNTIF($W$14:$W$1014,"MKT*")</f>
        <v>0</v>
      </c>
      <c r="K3" s="183">
        <f>COUNTIF($W$14:$W$1014,"KH &amp; Cung ứng*")</f>
        <v>0</v>
      </c>
      <c r="L3" s="183">
        <f>COUNTIF($W$14:$W$1014,"Dữ liệu điều hành*")+COUNTIFS($W$14:$W$1014,"",$B$14:$B$1014,"HHL3DL*")</f>
        <v>12</v>
      </c>
      <c r="M3" s="183">
        <f>COUNTIF($W$14:$W$1014,"Kinh doanh quốc tế*")</f>
        <v>0</v>
      </c>
      <c r="N3" s="187"/>
      <c r="O3" s="187"/>
      <c r="P3" s="187"/>
      <c r="Q3" s="187"/>
      <c r="R3" s="187"/>
      <c r="S3" s="187"/>
      <c r="T3" s="187"/>
      <c r="U3" s="187"/>
      <c r="V3" s="187"/>
      <c r="W3" s="187"/>
      <c r="X3" s="187"/>
      <c r="Y3" s="187"/>
      <c r="Z3" s="187"/>
      <c r="AA3" s="187"/>
      <c r="AB3" s="187"/>
      <c r="AC3" s="187"/>
      <c r="AD3" s="187"/>
      <c r="AE3" s="187"/>
      <c r="AF3" s="189"/>
      <c r="AG3" s="180"/>
      <c r="AH3" s="170"/>
      <c r="AI3" s="170"/>
      <c r="AJ3" s="170"/>
      <c r="AK3" s="170"/>
      <c r="AL3" s="170"/>
      <c r="AM3" s="170"/>
      <c r="AN3" s="170"/>
      <c r="AO3" s="170"/>
      <c r="AP3" s="170"/>
      <c r="AQ3" s="170"/>
      <c r="AR3" s="170"/>
      <c r="AS3" s="170"/>
      <c r="AT3" s="170"/>
    </row>
    <row r="4" ht="15.75" customHeight="1">
      <c r="A4" s="172"/>
      <c r="B4" s="194" t="s">
        <v>88</v>
      </c>
      <c r="C4" s="175"/>
      <c r="D4" s="172"/>
      <c r="E4" s="176"/>
      <c r="F4" s="197">
        <f t="shared" ref="F4:F6" si="1">COUNTIF($L$14:$L$1014,$B4)</f>
        <v>19</v>
      </c>
      <c r="G4" s="199"/>
      <c r="H4" s="199">
        <f t="shared" ref="H4:H6" si="2">COUNTIFS($L$14:$L$1014,$B4,$W$14:$W$1014,"Công ty")</f>
        <v>0</v>
      </c>
      <c r="I4" s="199">
        <f t="shared" ref="I4:I6" si="3">COUNTIFS($L$14:$L$1014,$B4,$W$14:$W$1014,"R&amp;D")</f>
        <v>8</v>
      </c>
      <c r="J4" s="199">
        <f t="shared" ref="J4:J6" si="4">COUNTIFS($L$14:$L$1014,$B4,$W$14:$W$1014,"MKT*")</f>
        <v>0</v>
      </c>
      <c r="K4" s="199">
        <f t="shared" ref="K4:K6" si="5">COUNTIFS($L$14:$L$1014,$B4,$W$14:$W$1014,"KH &amp; Cung ứng*")</f>
        <v>0</v>
      </c>
      <c r="L4" s="199">
        <f t="shared" ref="L4:L6" si="6">COUNTIFS($L$14:$L$1014,$B4,$W$14:$W$1014,"Dữ liệu điều hành*")+COUNTIFS($L$14:$L$1014,$B4,$W$14:$W$1014,"",$B$14:$B$1014,"HHL3DL*")</f>
        <v>9</v>
      </c>
      <c r="M4" s="199">
        <f t="shared" ref="M4:M6" si="7">COUNTIFS($L$14:$L$1014,$B4,$W$14:$W$1014,"Kinh doanh quốc tế*")</f>
        <v>0</v>
      </c>
      <c r="N4" s="187"/>
      <c r="O4" s="187"/>
      <c r="P4" s="187"/>
      <c r="Q4" s="187"/>
      <c r="R4" s="187"/>
      <c r="S4" s="187"/>
      <c r="T4" s="187"/>
      <c r="U4" s="187"/>
      <c r="V4" s="187"/>
      <c r="W4" s="187"/>
      <c r="X4" s="187"/>
      <c r="Y4" s="187"/>
      <c r="Z4" s="187"/>
      <c r="AA4" s="187"/>
      <c r="AB4" s="187"/>
      <c r="AC4" s="187"/>
      <c r="AD4" s="187"/>
      <c r="AE4" s="187"/>
      <c r="AF4" s="199"/>
      <c r="AG4" s="208"/>
      <c r="AH4" s="170"/>
      <c r="AI4" s="170"/>
      <c r="AJ4" s="170"/>
      <c r="AK4" s="170"/>
      <c r="AL4" s="170"/>
      <c r="AM4" s="170"/>
      <c r="AN4" s="170"/>
      <c r="AO4" s="170"/>
      <c r="AP4" s="170"/>
      <c r="AQ4" s="170"/>
      <c r="AR4" s="170"/>
      <c r="AS4" s="170"/>
      <c r="AT4" s="170"/>
    </row>
    <row r="5" ht="15.75" customHeight="1">
      <c r="A5" s="172"/>
      <c r="B5" s="174" t="s">
        <v>78</v>
      </c>
      <c r="C5" s="175"/>
      <c r="D5" s="172"/>
      <c r="E5" s="176"/>
      <c r="F5" s="217">
        <f t="shared" si="1"/>
        <v>6</v>
      </c>
      <c r="G5" s="218"/>
      <c r="H5" s="218">
        <f t="shared" si="2"/>
        <v>2</v>
      </c>
      <c r="I5" s="218">
        <f t="shared" si="3"/>
        <v>2</v>
      </c>
      <c r="J5" s="218">
        <f t="shared" si="4"/>
        <v>0</v>
      </c>
      <c r="K5" s="218">
        <f t="shared" si="5"/>
        <v>0</v>
      </c>
      <c r="L5" s="218">
        <f t="shared" si="6"/>
        <v>1</v>
      </c>
      <c r="M5" s="218">
        <f t="shared" si="7"/>
        <v>0</v>
      </c>
      <c r="N5" s="187"/>
      <c r="O5" s="187"/>
      <c r="P5" s="187"/>
      <c r="Q5" s="187"/>
      <c r="R5" s="187"/>
      <c r="S5" s="187"/>
      <c r="T5" s="187"/>
      <c r="U5" s="187"/>
      <c r="V5" s="187"/>
      <c r="W5" s="187"/>
      <c r="X5" s="187"/>
      <c r="Y5" s="187"/>
      <c r="Z5" s="187"/>
      <c r="AA5" s="187"/>
      <c r="AB5" s="187"/>
      <c r="AC5" s="187"/>
      <c r="AD5" s="187"/>
      <c r="AE5" s="187"/>
      <c r="AF5" s="220"/>
      <c r="AG5" s="218"/>
      <c r="AH5" s="170"/>
      <c r="AI5" s="170"/>
      <c r="AJ5" s="170"/>
      <c r="AK5" s="170"/>
      <c r="AL5" s="170"/>
      <c r="AM5" s="170"/>
      <c r="AN5" s="170"/>
      <c r="AO5" s="170"/>
      <c r="AP5" s="170"/>
      <c r="AQ5" s="170"/>
      <c r="AR5" s="170"/>
      <c r="AS5" s="170"/>
      <c r="AT5" s="170"/>
    </row>
    <row r="6" ht="15.75" customHeight="1">
      <c r="A6" s="172"/>
      <c r="B6" s="174" t="s">
        <v>89</v>
      </c>
      <c r="C6" s="175"/>
      <c r="D6" s="172"/>
      <c r="E6" s="176"/>
      <c r="F6" s="225">
        <f t="shared" si="1"/>
        <v>0</v>
      </c>
      <c r="G6" s="226"/>
      <c r="H6" s="226">
        <f t="shared" si="2"/>
        <v>0</v>
      </c>
      <c r="I6" s="226">
        <f t="shared" si="3"/>
        <v>0</v>
      </c>
      <c r="J6" s="226">
        <f t="shared" si="4"/>
        <v>0</v>
      </c>
      <c r="K6" s="226">
        <f t="shared" si="5"/>
        <v>0</v>
      </c>
      <c r="L6" s="226">
        <f t="shared" si="6"/>
        <v>0</v>
      </c>
      <c r="M6" s="226">
        <f t="shared" si="7"/>
        <v>0</v>
      </c>
      <c r="N6" s="187"/>
      <c r="O6" s="187"/>
      <c r="P6" s="187"/>
      <c r="Q6" s="187"/>
      <c r="R6" s="187"/>
      <c r="S6" s="187"/>
      <c r="T6" s="187"/>
      <c r="U6" s="187"/>
      <c r="V6" s="187"/>
      <c r="W6" s="187"/>
      <c r="X6" s="187"/>
      <c r="Y6" s="187"/>
      <c r="Z6" s="187"/>
      <c r="AA6" s="187"/>
      <c r="AB6" s="187"/>
      <c r="AC6" s="187"/>
      <c r="AD6" s="187"/>
      <c r="AE6" s="187"/>
      <c r="AF6" s="231"/>
      <c r="AG6" s="226"/>
      <c r="AH6" s="170"/>
      <c r="AI6" s="170"/>
      <c r="AJ6" s="170"/>
      <c r="AK6" s="170"/>
      <c r="AL6" s="170"/>
      <c r="AM6" s="170"/>
      <c r="AN6" s="170"/>
      <c r="AO6" s="170"/>
      <c r="AP6" s="170"/>
      <c r="AQ6" s="170"/>
      <c r="AR6" s="170"/>
      <c r="AS6" s="170"/>
      <c r="AT6" s="170"/>
    </row>
    <row r="7" ht="15.75" customHeight="1">
      <c r="A7" s="233"/>
      <c r="B7" s="235" t="s">
        <v>141</v>
      </c>
      <c r="C7" s="236"/>
      <c r="D7" s="237"/>
      <c r="E7" s="238"/>
      <c r="F7" s="240">
        <f>COUNTIF($C$14:$C$1014,"P1")</f>
        <v>7</v>
      </c>
      <c r="G7" s="236"/>
      <c r="H7" s="236"/>
      <c r="I7" s="236"/>
      <c r="J7" s="236"/>
      <c r="K7" s="236"/>
      <c r="L7" s="236"/>
      <c r="M7" s="236"/>
      <c r="N7" s="237"/>
      <c r="O7" s="236"/>
      <c r="P7" s="237"/>
      <c r="Q7" s="237"/>
      <c r="R7" s="236"/>
      <c r="S7" s="237"/>
      <c r="T7" s="236"/>
      <c r="U7" s="236"/>
      <c r="V7" s="237"/>
      <c r="W7" s="236"/>
      <c r="X7" s="236"/>
      <c r="Y7" s="67"/>
      <c r="Z7" s="67"/>
      <c r="AA7" s="67"/>
      <c r="AB7" s="67"/>
      <c r="AC7" s="67"/>
      <c r="AD7" s="67"/>
      <c r="AE7" s="67"/>
      <c r="AF7" s="237"/>
      <c r="AG7" s="236"/>
      <c r="AH7" s="170"/>
      <c r="AI7" s="170"/>
      <c r="AJ7" s="170"/>
      <c r="AK7" s="170"/>
      <c r="AL7" s="170"/>
      <c r="AM7" s="170"/>
      <c r="AN7" s="170"/>
      <c r="AO7" s="170"/>
      <c r="AP7" s="170"/>
      <c r="AQ7" s="170"/>
      <c r="AR7" s="170"/>
      <c r="AS7" s="170"/>
      <c r="AT7" s="170"/>
    </row>
    <row r="8" ht="15.75" customHeight="1">
      <c r="A8" s="172"/>
      <c r="B8" s="174" t="s">
        <v>142</v>
      </c>
      <c r="C8" s="175"/>
      <c r="D8" s="172"/>
      <c r="E8" s="176"/>
      <c r="F8" s="243">
        <f>COUNTIF($C$14:$C$1014,"P2")</f>
        <v>10</v>
      </c>
      <c r="G8" s="244"/>
      <c r="H8" s="244"/>
      <c r="I8" s="244"/>
      <c r="J8" s="244"/>
      <c r="K8" s="244"/>
      <c r="L8" s="244"/>
      <c r="M8" s="244"/>
      <c r="N8" s="245"/>
      <c r="O8" s="244"/>
      <c r="P8" s="245"/>
      <c r="Q8" s="245"/>
      <c r="R8" s="244"/>
      <c r="S8" s="245"/>
      <c r="T8" s="244"/>
      <c r="U8" s="244"/>
      <c r="V8" s="245"/>
      <c r="W8" s="244"/>
      <c r="X8" s="244"/>
      <c r="Y8" s="187"/>
      <c r="Z8" s="187"/>
      <c r="AA8" s="187"/>
      <c r="AB8" s="187"/>
      <c r="AC8" s="187"/>
      <c r="AD8" s="187"/>
      <c r="AE8" s="187"/>
      <c r="AF8" s="245"/>
      <c r="AG8" s="244"/>
      <c r="AH8" s="170"/>
      <c r="AI8" s="170"/>
      <c r="AJ8" s="170"/>
      <c r="AK8" s="170"/>
      <c r="AL8" s="170"/>
      <c r="AM8" s="170"/>
      <c r="AN8" s="170"/>
      <c r="AO8" s="170"/>
      <c r="AP8" s="170"/>
      <c r="AQ8" s="170"/>
      <c r="AR8" s="170"/>
      <c r="AS8" s="170"/>
      <c r="AT8" s="170"/>
    </row>
    <row r="9" ht="15.75" customHeight="1">
      <c r="A9" s="172"/>
      <c r="B9" s="194" t="s">
        <v>143</v>
      </c>
      <c r="C9" s="175"/>
      <c r="D9" s="172"/>
      <c r="E9" s="176"/>
      <c r="F9" s="249" t="str">
        <f>IFERROR(AVERAGEIF($B$14:$B$1014,"&lt;&gt;",$D$14:$D$1014),"")</f>
        <v/>
      </c>
      <c r="G9" s="226"/>
      <c r="H9" s="226"/>
      <c r="I9" s="226"/>
      <c r="J9" s="226"/>
      <c r="K9" s="226"/>
      <c r="L9" s="226"/>
      <c r="M9" s="226"/>
      <c r="N9" s="231"/>
      <c r="O9" s="226"/>
      <c r="P9" s="231"/>
      <c r="Q9" s="231"/>
      <c r="R9" s="226"/>
      <c r="S9" s="231"/>
      <c r="T9" s="226"/>
      <c r="U9" s="226"/>
      <c r="V9" s="231"/>
      <c r="W9" s="226"/>
      <c r="X9" s="226"/>
      <c r="Y9" s="187"/>
      <c r="Z9" s="187"/>
      <c r="AA9" s="187"/>
      <c r="AB9" s="187"/>
      <c r="AC9" s="187"/>
      <c r="AD9" s="187"/>
      <c r="AE9" s="187"/>
      <c r="AF9" s="231"/>
      <c r="AG9" s="226"/>
      <c r="AH9" s="170"/>
      <c r="AI9" s="170"/>
      <c r="AJ9" s="170"/>
      <c r="AK9" s="170"/>
      <c r="AL9" s="170"/>
      <c r="AM9" s="170"/>
      <c r="AN9" s="170"/>
      <c r="AO9" s="170"/>
      <c r="AP9" s="170"/>
      <c r="AQ9" s="170"/>
      <c r="AR9" s="170"/>
      <c r="AS9" s="170"/>
      <c r="AT9" s="170"/>
    </row>
    <row r="10" ht="15.75" customHeight="1">
      <c r="A10" s="172"/>
      <c r="B10" s="252" t="s">
        <v>144</v>
      </c>
      <c r="C10" s="253"/>
      <c r="D10" s="254"/>
      <c r="E10" s="257"/>
      <c r="F10" s="258">
        <f>COUNTIFS($B$14:$B$1014,"&lt;&gt;",$E$14:$E$1014,"&lt;0")</f>
        <v>1</v>
      </c>
      <c r="G10" s="253"/>
      <c r="H10" s="253"/>
      <c r="I10" s="253"/>
      <c r="J10" s="253"/>
      <c r="K10" s="253"/>
      <c r="L10" s="253"/>
      <c r="M10" s="253"/>
      <c r="N10" s="254"/>
      <c r="O10" s="253"/>
      <c r="P10" s="254"/>
      <c r="Q10" s="254"/>
      <c r="R10" s="253"/>
      <c r="S10" s="254"/>
      <c r="T10" s="253"/>
      <c r="U10" s="253"/>
      <c r="V10" s="254"/>
      <c r="W10" s="253"/>
      <c r="X10" s="253"/>
      <c r="Y10" s="67"/>
      <c r="Z10" s="67"/>
      <c r="AA10" s="67"/>
      <c r="AB10" s="67"/>
      <c r="AC10" s="67"/>
      <c r="AD10" s="67"/>
      <c r="AE10" s="67"/>
      <c r="AF10" s="254"/>
      <c r="AG10" s="253"/>
      <c r="AH10" s="170"/>
      <c r="AI10" s="170"/>
      <c r="AJ10" s="170"/>
      <c r="AK10" s="170"/>
      <c r="AL10" s="170"/>
      <c r="AM10" s="170"/>
      <c r="AN10" s="170"/>
      <c r="AO10" s="170"/>
      <c r="AP10" s="170"/>
      <c r="AQ10" s="170"/>
      <c r="AR10" s="170"/>
      <c r="AS10" s="170"/>
      <c r="AT10" s="170"/>
    </row>
    <row r="11" ht="3.0" customHeight="1">
      <c r="A11" s="261"/>
      <c r="B11" s="261"/>
      <c r="C11" s="261"/>
      <c r="D11" s="261"/>
      <c r="E11" s="261"/>
      <c r="F11" s="261"/>
      <c r="G11" s="261"/>
      <c r="H11" s="261"/>
      <c r="I11" s="263"/>
      <c r="J11" s="265"/>
      <c r="K11" s="266"/>
      <c r="L11" s="265"/>
      <c r="M11" s="266"/>
      <c r="N11" s="265"/>
      <c r="O11" s="265"/>
      <c r="P11" s="265"/>
      <c r="Q11" s="265"/>
      <c r="R11" s="265"/>
      <c r="S11" s="265"/>
      <c r="T11" s="265"/>
      <c r="U11" s="266"/>
      <c r="V11" s="265"/>
      <c r="W11" s="266"/>
      <c r="X11" s="266"/>
      <c r="Y11" s="265"/>
      <c r="Z11" s="266"/>
      <c r="AA11" s="265"/>
      <c r="AB11" s="265"/>
      <c r="AC11" s="266"/>
      <c r="AD11" s="265"/>
      <c r="AE11" s="265"/>
      <c r="AF11" s="266"/>
      <c r="AG11" s="265"/>
      <c r="AH11" s="265"/>
      <c r="AI11" s="261"/>
      <c r="AJ11" s="265"/>
      <c r="AK11" s="265"/>
      <c r="AL11" s="265"/>
      <c r="AM11" s="265"/>
      <c r="AN11" s="269"/>
      <c r="AO11" s="265"/>
      <c r="AP11" s="265"/>
      <c r="AQ11" s="265"/>
      <c r="AR11" s="265"/>
      <c r="AS11" s="265"/>
      <c r="AT11" s="265"/>
    </row>
    <row r="12" ht="15.75" customHeight="1">
      <c r="A12" s="272" t="s">
        <v>157</v>
      </c>
      <c r="B12" s="272"/>
      <c r="C12" s="272"/>
      <c r="D12" s="272"/>
      <c r="E12" s="272"/>
      <c r="F12" s="272"/>
      <c r="G12" s="272"/>
      <c r="H12" s="272"/>
      <c r="I12" s="275" t="s">
        <v>161</v>
      </c>
      <c r="J12" s="280"/>
      <c r="K12" s="282"/>
      <c r="L12" s="275"/>
      <c r="M12" s="280"/>
      <c r="N12" s="280"/>
      <c r="O12" s="280"/>
      <c r="P12" s="280"/>
      <c r="Q12" s="280"/>
      <c r="R12" s="280"/>
      <c r="S12" s="280"/>
      <c r="T12" s="282"/>
      <c r="U12" s="275"/>
      <c r="V12" s="280"/>
      <c r="W12" s="282"/>
      <c r="X12" s="282"/>
      <c r="Y12" s="275"/>
      <c r="Z12" s="280"/>
      <c r="AA12" s="282"/>
      <c r="AB12" s="275"/>
      <c r="AC12" s="280"/>
      <c r="AD12" s="275"/>
      <c r="AE12" s="280"/>
      <c r="AF12" s="280"/>
      <c r="AG12" s="282"/>
      <c r="AH12" s="280"/>
      <c r="AI12" s="280"/>
      <c r="AJ12" s="280"/>
      <c r="AK12" s="280"/>
      <c r="AL12" s="280"/>
      <c r="AM12" s="280"/>
      <c r="AN12" s="280"/>
      <c r="AO12" s="280"/>
      <c r="AP12" s="280"/>
      <c r="AQ12" s="280"/>
      <c r="AR12" s="280"/>
      <c r="AS12" s="280"/>
      <c r="AT12" s="280"/>
    </row>
    <row r="13" ht="15.75" customHeight="1">
      <c r="A13" s="293" t="s">
        <v>163</v>
      </c>
      <c r="B13" s="297" t="s">
        <v>174</v>
      </c>
      <c r="C13" s="300" t="s">
        <v>175</v>
      </c>
      <c r="D13" s="303" t="s">
        <v>177</v>
      </c>
      <c r="E13" s="305" t="s">
        <v>178</v>
      </c>
      <c r="F13" s="308" t="s">
        <v>179</v>
      </c>
      <c r="G13" s="303" t="s">
        <v>180</v>
      </c>
      <c r="H13" s="308" t="s">
        <v>187</v>
      </c>
      <c r="I13" s="312" t="s">
        <v>190</v>
      </c>
      <c r="J13" s="313" t="s">
        <v>167</v>
      </c>
      <c r="K13" s="312" t="s">
        <v>37</v>
      </c>
      <c r="L13" s="318" t="s">
        <v>45</v>
      </c>
      <c r="M13" s="321" t="s">
        <v>194</v>
      </c>
      <c r="N13" s="318" t="s">
        <v>195</v>
      </c>
      <c r="O13" s="325" t="s">
        <v>196</v>
      </c>
      <c r="P13" s="326" t="s">
        <v>197</v>
      </c>
      <c r="Q13" s="328" t="s">
        <v>198</v>
      </c>
      <c r="R13" s="330" t="s">
        <v>199</v>
      </c>
      <c r="S13" s="328" t="s">
        <v>200</v>
      </c>
      <c r="T13" s="312" t="s">
        <v>169</v>
      </c>
      <c r="U13" s="312" t="s">
        <v>172</v>
      </c>
      <c r="V13" s="333" t="s">
        <v>82</v>
      </c>
      <c r="W13" s="334" t="s">
        <v>171</v>
      </c>
      <c r="X13" s="336" t="s">
        <v>173</v>
      </c>
      <c r="Y13" s="318" t="s">
        <v>202</v>
      </c>
      <c r="Z13" s="325" t="s">
        <v>203</v>
      </c>
      <c r="AA13" s="326" t="s">
        <v>204</v>
      </c>
      <c r="AB13" s="328" t="s">
        <v>205</v>
      </c>
      <c r="AC13" s="330" t="s">
        <v>206</v>
      </c>
      <c r="AD13" s="328" t="s">
        <v>207</v>
      </c>
      <c r="AE13" s="349" t="s">
        <v>210</v>
      </c>
      <c r="AF13" s="352" t="s">
        <v>211</v>
      </c>
      <c r="AG13" s="355" t="s">
        <v>212</v>
      </c>
      <c r="AH13" s="357" t="s">
        <v>213</v>
      </c>
      <c r="AI13" s="361" t="s">
        <v>58</v>
      </c>
      <c r="AJ13" s="361" t="s">
        <v>61</v>
      </c>
      <c r="AK13" s="361" t="s">
        <v>181</v>
      </c>
      <c r="AL13" s="361" t="s">
        <v>214</v>
      </c>
      <c r="AM13" s="361" t="s">
        <v>215</v>
      </c>
      <c r="AN13" s="367" t="s">
        <v>219</v>
      </c>
      <c r="AO13" s="352" t="s">
        <v>184</v>
      </c>
      <c r="AP13" s="352" t="s">
        <v>185</v>
      </c>
      <c r="AQ13" s="352" t="s">
        <v>236</v>
      </c>
      <c r="AR13" s="376" t="s">
        <v>241</v>
      </c>
      <c r="AS13" s="380" t="s">
        <v>245</v>
      </c>
      <c r="AT13" s="381" t="s">
        <v>246</v>
      </c>
    </row>
    <row r="14" ht="34.5" customHeight="1">
      <c r="A14" s="383">
        <f t="shared" ref="A14:A47" si="11">IF(B14="","",COUNTIF($B$14:B14,"&lt;&gt;"))</f>
        <v>1</v>
      </c>
      <c r="B14" s="387" t="str">
        <f>'Trung tâm nhập liệu'!F67</f>
        <v>Xây dựng bộ chiến lược công ty tầm nhìn 2030</v>
      </c>
      <c r="C14" s="394" t="s">
        <v>244</v>
      </c>
      <c r="D14" s="399" t="str">
        <f t="shared" ref="D14:E14" si="8">AC14</f>
        <v/>
      </c>
      <c r="E14" s="400">
        <f t="shared" si="8"/>
        <v>68</v>
      </c>
      <c r="F14" s="407">
        <f t="shared" ref="F14:G14" si="9">Q14</f>
        <v>46420</v>
      </c>
      <c r="G14" s="407">
        <f t="shared" si="9"/>
        <v>46341</v>
      </c>
      <c r="H14" s="411" t="str">
        <f>IF(B14="","",IF(COUNTIF('Lớp 4 - Danh mục'!$J$14:$J$132,I14)&gt;0,"Có","Không"))</f>
        <v>Không</v>
      </c>
      <c r="I14" s="414" t="str">
        <f>'Trung tâm nhập liệu'!B67</f>
        <v>HHL3CT01</v>
      </c>
      <c r="J14" s="415">
        <f>'Trung tâm nhập liệu'!E67</f>
        <v>2026</v>
      </c>
      <c r="K14" s="416" t="s">
        <v>67</v>
      </c>
      <c r="L14" s="418" t="s">
        <v>78</v>
      </c>
      <c r="M14" s="419" t="str">
        <f t="shared" ref="M14:P14" si="10">B14</f>
        <v>Xây dựng bộ chiến lược công ty tầm nhìn 2030</v>
      </c>
      <c r="N14" s="420" t="str">
        <f t="shared" si="10"/>
        <v>P1</v>
      </c>
      <c r="O14" s="421" t="str">
        <f t="shared" si="10"/>
        <v/>
      </c>
      <c r="P14" s="422">
        <f t="shared" si="10"/>
        <v>68</v>
      </c>
      <c r="Q14" s="426">
        <f>IF($I14="","",LET(n,COUNTIFS('Lớp 4 - Danh mục'!$J$14:$J$132,$I14,'Lớp 4 - Danh mục'!$AA$14:$AA$132,"&lt;&gt;Hủy"),child,IFERROR(MAXIFS('Lớp 4 - Danh mục'!$AD$14:$AD$132,'Lớp 4 - Danh mục'!$J$14:$J$132,$I14,'Lớp 4 - Danh mục'!$AA$14:$AA$132,"&lt;&gt;Hủy",'Lớp 4 - Danh mục'!$AD$14:$AD$132,"&gt;0"),0),plan,'Trung tâm nhập liệu'!Q67,emergent,LOWER(TRIM('Trung tâm nhập liệu'!O67))="khi phát sinh",IF(n=0,IF(emergent,"",plan),IF(child=0,IF(emergent,"",plan),IF(OR(emergent,plan=""),child,MAX(plan,child))))))</f>
        <v>46420</v>
      </c>
      <c r="R14" s="430">
        <f>IF($I14="","",LET(n,COUNTIFS('Lớp 4 - Danh mục'!$J$14:$J$132,$I14,'Lớp 4 - Danh mục'!$AA$14:$AA$132,"&lt;&gt;Hủy"),child,IFERROR(MINIFS('Lớp 4 - Danh mục'!$AC$14:$AC$132,'Lớp 4 - Danh mục'!$J$14:$J$132,$I14,'Lớp 4 - Danh mục'!$AA$14:$AA$132,"&lt;&gt;Hủy",'Lớp 4 - Danh mục'!$AC$14:$AC$132,"&gt;0"),0),plan,'Trung tâm nhập liệu'!R67,emergent,LOWER(TRIM('Trung tâm nhập liệu'!O67))="khi phát sinh",IF(n=0,IF(emergent,"",plan),IF(child=0,IF(emergent,"",plan),IF(OR(emergent,plan=""),child,MIN(plan,child))))))</f>
        <v>46341</v>
      </c>
      <c r="S14" s="411" t="str">
        <f t="shared" ref="S14:S47" si="15">H14</f>
        <v>Không</v>
      </c>
      <c r="T14" s="414" t="str">
        <f>'Trung tâm nhập liệu'!G67</f>
        <v>Được TGĐ phê duyệt</v>
      </c>
      <c r="U14" s="433" t="str">
        <f>'Trung tâm nhập liệu'!J67</f>
        <v>GĐ BOC</v>
      </c>
      <c r="V14" s="435" t="str">
        <f>'Trung tâm nhập liệu'!K67</f>
        <v>GĐ BOC</v>
      </c>
      <c r="W14" s="435" t="str">
        <f>'Trung tâm nhập liệu'!I67</f>
        <v>Công ty</v>
      </c>
      <c r="X14" s="437" t="str">
        <f>'Trung tâm nhập liệu'!L67</f>
        <v>Đã lên lịch</v>
      </c>
      <c r="Y14" s="420" t="str">
        <f>'Trung tâm nhập liệu'!M67</f>
        <v>P1</v>
      </c>
      <c r="Z14" s="430">
        <f t="shared" ref="Z14:Z47" si="16">R14</f>
        <v>46341</v>
      </c>
      <c r="AA14" s="426">
        <f t="shared" ref="AA14:AA47" si="17">Q14</f>
        <v>46420</v>
      </c>
      <c r="AB14" s="444">
        <f>IF(AI14&lt;&gt;"Có thời hạn","",IF(OR(Z14="",AA14=""),"",IF(AA14&lt;Z14,"",_xlfn.NETWORKDAYS.INTL(Z14,AA14,11,'Ngày nghỉ lễ'!$A$5:$A$80))))</f>
        <v>68</v>
      </c>
      <c r="AC14" s="446" t="str">
        <f>IF(I14="","",IF(L14="Công việc khác","",IF(OR(X14="Chưa lên lịch",X14="Đã lên lịch",X14="Hủy"),"",IF(COUNTIFS('Lớp 4 - Danh mục'!$J$14:$J$132,I14,'Lớp 4 - Danh mục'!$AA$14:$AA$132,"&lt;&gt;",'Lớp 4 - Danh mục'!$AA$14:$AA$132,"&lt;&gt;Hủy",'Lớp 4 - Danh mục'!$AA$14:$AA$132,"&lt;&gt;Chưa lên lịch",'Lớp 4 - Danh mục'!$AA$14:$AA$132,"&lt;&gt;Đã lên lịch")&gt;0,SUMIFS('Lớp 4 - Danh mục'!$AF$14:$AF$132,'Lớp 4 - Danh mục'!$J$14:$J$132,I14,'Lớp 4 - Danh mục'!$AA$14:$AA$132,"&lt;&gt;",'Lớp 4 - Danh mục'!$AA$14:$AA$132,"&lt;&gt;Hủy",'Lớp 4 - Danh mục'!$AA$14:$AA$132,"&lt;&gt;Chưa lên lịch",'Lớp 4 - Danh mục'!$AA$14:$AA$132,"&lt;&gt;Đã lên lịch")/COUNTIFS('Lớp 4 - Danh mục'!$J$14:$J$132,I14,'Lớp 4 - Danh mục'!$AA$14:$AA$132,"&lt;&gt;",'Lớp 4 - Danh mục'!$AA$14:$AA$132,"&lt;&gt;Hủy",'Lớp 4 - Danh mục'!$AA$14:$AA$132,"&lt;&gt;Chưa lên lịch",'Lớp 4 - Danh mục'!$AA$14:$AA$132,"&lt;&gt;Đã lên lịch"),IF(X14="Hoàn thành",1,0)))))</f>
        <v/>
      </c>
      <c r="AD14" s="444">
        <f>IF(AI14&lt;&gt;"Có thời hạn","",IF(OR(I14="",Z14="",AA14=""),"",IF(OR(X14="Hoàn thành",X14="Hủy"),0,IF(AA14&lt;TODAY(),-_xlfn.NETWORKDAYS.INTL(AA14,TODAY()-1,11,'Ngày nghỉ lễ'!$A$5:$A$80),MAX(0,_xlfn.NETWORKDAYS.INTL(MAX(TODAY()+1,Z14),AA14,11,'Ngày nghỉ lễ'!$A$5:$A$80))))))</f>
        <v>68</v>
      </c>
      <c r="AE14" s="448">
        <f>IF($I14="","",LET(n,COUNTIFS('Lớp 4 - Danh mục'!$J$14:$J$132,$I14,'Lớp 4 - Danh mục'!$AA$14:$AA$132,"&lt;&gt;Hủy"),du,COUNTIFS('Lớp 4 - Danh mục'!$J$14:$J$132,$I14,'Lớp 4 - Danh mục'!$AA$14:$AA$132,"&lt;&gt;Hủy",'Lớp 4 - Danh mục'!$AH$14:$AH$132,"&lt;&gt;"),IF(n=0,'Trung tâm nhập liệu'!T67,IF(du&lt;n,"",SUMIFS('Lớp 4 - Danh mục'!$AH$14:$AH$132,'Lớp 4 - Danh mục'!$J$14:$J$132,$I14,'Lớp 4 - Danh mục'!$AA$14:$AA$132,"&lt;&gt;Hủy")))))</f>
        <v>200</v>
      </c>
      <c r="AF14" s="452">
        <f>IF(I14="","",IF(OR(X14="Hoàn thành",X14="Hủy"),"",IF(COUNTIFS('Lớp 4 - Danh mục'!$J$14:$J$132,I14,'Lớp 4 - Danh mục'!$AA$14:$AA$132,"&lt;&gt;Hủy")&gt;0,"",IF(AO14="Ngày",AP14,IF(AO14="Tuần",AP14/5,"")))))</f>
        <v>0.6</v>
      </c>
      <c r="AG14" s="456" t="str">
        <f>IF(AI14="Chưa xếp lịch","Chưa xếp lịch",IF(AI14="Định kỳ",IF(AJ14="","Thiếu chu kỳ","Theo chu kỳ"),IF(AI14="Khi phát sinh",IF(COUNTIFS('Lớp 4 - Danh mục'!$J$14:$J$132,$I14,'Lớp 4 - Danh mục'!$AA$14:$AA$132,"&lt;&gt;Hủy")=0,"Khi phát sinh – chờ việc con","Khi phát sinh – theo ngày con"),IF(I14="","",LET(n,COUNTIFS('Lớp 4 - Danh mục'!$J$14:$J$132,$I14,'Lớp 4 - Danh mục'!$AA$14:$AA$132,"&lt;&gt;Hủy"),cs,IFERROR(MINIFS('Lớp 4 - Danh mục'!$AC$14:$AC$132,'Lớp 4 - Danh mục'!$J$14:$J$132,$I14,'Lớp 4 - Danh mục'!$AA$14:$AA$132,"&lt;&gt;Hủy",'Lớp 4 - Danh mục'!$AC$14:$AC$132,"&gt;0"),0),ce,IFERROR(MAXIFS('Lớp 4 - Danh mục'!$AD$14:$AD$132,'Lớp 4 - Danh mục'!$J$14:$J$132,$I14,'Lớp 4 - Danh mục'!$AA$14:$AA$132,"&lt;&gt;Hủy",'Lớp 4 - Danh mục'!$AD$14:$AD$132,"&gt;0"),0),ps,'Trung tâm nhập liệu'!R67,pe,'Trung tâm nhập liệu'!Q67,IF(OR(Z14="",AA14=""),"Thiếu ngày L3",IF(n=0,"Chưa có L4",IF(OR(cs=0,ce=0),"Thiếu ngày L4",IF(OR(ps="",pe=""),"Thiếu ngày kế hoạch gốc L3",IF(OR(cs&lt;ps,ce&gt;pe),"Cảnh báo: Con vượt khung kế hoạch gốc","L4 đúng khung kế hoạch gốc"))))))))))</f>
        <v>Chưa có L4</v>
      </c>
      <c r="AH14" s="465" t="str">
        <f>IF(OR(AR14="Thiếu tham số phân bổ",AR14="Phân bổ phải &gt; 0"),AR14,SWITCH(AI14,"Chưa xếp lịch","Chưa tính tải","Định kỳ","Theo chu kỳ","Khi phát sinh","Khi phát sinh",IF(I14="","",IF(OR(X14="Hoàn thành",X14="Hủy"),X14,IF(COUNTIFS('Lớp 4 - Danh mục'!$J$14:$J$132,I14,'Lớp 4 - Danh mục'!$AA$14:$AA$132,"&lt;&gt;Hủy")&gt;0,"Theo dõi tải tại Lớp 4",IF(AE14="","Chưa nhập khối lượng",IF(V14="","Thiếu người thực hiện",IF(OR(Z14="",AA14=""),"Chưa nhập đủ thời gian",IF(AD14&lt;0,"Quá hạn – còn "&amp;TEXT(MAX(0,AE14*(1-AC14)),"0.0")&amp;" giờ",LET(bd,MAX(TODAY(),Z14),kt,AA14,nguoi,V14,tai,SUMIFS('Lớp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2.6/8.0 giờ/ngày</v>
      </c>
      <c r="AI14" s="467" t="str">
        <f>'Trung tâm nhập liệu'!O67</f>
        <v>Có thời hạn</v>
      </c>
      <c r="AJ14" s="469" t="str">
        <f>'Trung tâm nhập liệu'!P67</f>
        <v>Năm</v>
      </c>
      <c r="AK14" s="470" t="str">
        <f>'Trung tâm nhập liệu'!S67</f>
        <v/>
      </c>
      <c r="AL14" s="470" t="str">
        <f>'Trung tâm nhập liệu'!X67</f>
        <v/>
      </c>
      <c r="AM14" s="471" t="str">
        <f t="shared" ref="AM14:AM47" si="18">IF(AL14="","",TEXT(AL14,"yyyy-mm"))</f>
        <v/>
      </c>
      <c r="AN14" s="469" t="str">
        <f t="shared" ref="AN14:AN47" si="19">AT14</f>
        <v/>
      </c>
      <c r="AO14" s="475" t="str">
        <f>'Trung tâm nhập liệu'!V67</f>
        <v>Tuần</v>
      </c>
      <c r="AP14" s="476">
        <f>'Trung tâm nhập liệu'!W67</f>
        <v>3</v>
      </c>
      <c r="AQ14" s="478">
        <f>IF(AI14&lt;&gt;"Có thời hạn","",IF(OR(I14="",AE14="",X14="Hoàn thành",X14="Hủy",COUNTIFS('Lớp 4 - Danh mục'!$J$14:$J$132,I14,'Lớp 4 - Danh mục'!$AA$14:$AA$132,"&lt;&gt;Hủy")&gt;0),"",LET(canNgay,MAX(0,AE14*(1-AC14))/MAX(1,AD14),IF(AO14="Ngày",canNgay,IF(AO14="Tuần",canNgay*5,"")))))</f>
        <v>14.70588235</v>
      </c>
      <c r="AR14" s="465" t="str">
        <f>IF(I14="","",IF(COUNTIFS('Lớp 4 - Danh mục'!$J$14:$J$132,I14,'Lớp 4 - Danh mục'!$AA$14:$AA$132,"&lt;&gt;Hủy")&gt;0,"Theo dõi phân bổ tại Lớp 4",IF(OR(X14="Hoàn thành",X14="Hủy"),X14,IF(AE14="","Thiếu tổng giờ",IF(OR(AO14="",AP14=""),"Thiếu tham số phân bổ",IF(AP14&lt;=0,"Phân bổ phải &gt; 0",IF(AI14&lt;&gt;"Có thời hạn","Đã có phân bổ",IF(AQ14="","Chưa đủ dữ liệu hạn",IF(AP14&gt;=AQ14,"Đủ phân bổ theo "&amp;LOWER(AO14),"Thiếu "&amp;TEXT(AQ14-AP14,"0.0")&amp;" giờ/"&amp;LOWER(AO14))))))))))</f>
        <v>Thiếu 11.7 giờ/tuần</v>
      </c>
      <c r="AS14" s="465" t="str">
        <f t="shared" ref="AS14:AS47" si="20">IF(I14="","",LET(tt,X14,bd,Z14,kt,AA14,td,AC14,ht,AL14,lk,AN14,loai,AI14,IF(tt="","Thiếu trạng thái",IFS(tt="Hủy","OK",AND(tt="Hoàn thành",ht=""),"Thiếu ngày hoàn thành thực tế",AND(tt="Hoàn thành",td&lt;1),"Hoàn thành nhưng tiến độ chưa 100%",AND(tt="Hoàn thành",lk=""),"Thiếu đường link kết quả",AND(tt&lt;&gt;"Hoàn thành",ht&lt;&gt;""),"Có ngày hoàn thành nhưng chưa Hoàn thành",AND(tt="Chưa lên lịch",OR(bd&lt;&gt;"",kt&lt;&gt;"")),"Chưa lên lịch nhưng đã có ngày",tt="Chưa lên lịch","OK",loai&lt;&gt;"Có thời hạn","OK",OR(bd="",kt=""),"Thiếu ngày bắt đầu/kết thúc",kt&lt;bd,"Ngày kết thúc trước ngày bắt đầu",AND(tt="Đã lên lịch",bd&lt;=TODAY()),"Đã đến ngày bắt đầu – cập nhật trạng thái",tt="Đã lên lịch","OK",AND(tt="Chưa bắt đầu",bd&gt;TODAY()),"Chưa đến ngày bắt đầu – nên Đã lên lịch",AND(tt="Chưa bắt đầu",kt&lt;TODAY()),"Quá hạn nhưng chưa bắt đầu",tt="Chưa bắt đầu","OK",AND(tt="Đang thực hiện",bd&gt;TODAY()),"Chưa đến ngày bắt đầu – nên Đã lên lịch",AND(tt="Đang thực hiện",td&gt;=1),"Tiến độ 100% – chuyển Hoàn thành",tt="Đang thực hiện","OK",TRUE,"Kiểm tra trạng thái"))))</f>
        <v>OK</v>
      </c>
      <c r="AT14" s="479" t="str">
        <f>'Trung tâm nhập liệu'!Y67</f>
        <v/>
      </c>
    </row>
    <row r="15" ht="27.75" customHeight="1">
      <c r="A15" s="383">
        <f t="shared" si="11"/>
        <v>2</v>
      </c>
      <c r="B15" s="387" t="str">
        <f>'Trung tâm nhập liệu'!F68</f>
        <v>Xây dựng bộ VHDN</v>
      </c>
      <c r="C15" s="394" t="str">
        <f>'Trung tâm nhập liệu'!M68</f>
        <v>P2</v>
      </c>
      <c r="D15" s="481" t="str">
        <f t="shared" ref="D15:E15" si="12">AC15</f>
        <v/>
      </c>
      <c r="E15" s="484">
        <f t="shared" si="12"/>
        <v>68</v>
      </c>
      <c r="F15" s="407">
        <f t="shared" ref="F15:G15" si="13">Q15</f>
        <v>46420</v>
      </c>
      <c r="G15" s="407">
        <f t="shared" si="13"/>
        <v>46341</v>
      </c>
      <c r="H15" s="411" t="str">
        <f>IF(B15="","",IF(COUNTIF('Lớp 4 - Danh mục'!$J$14:$J$132,I15)&gt;0,"Có","Không"))</f>
        <v>Không</v>
      </c>
      <c r="I15" s="414" t="str">
        <f>'Trung tâm nhập liệu'!B68</f>
        <v>HHL3CT02</v>
      </c>
      <c r="J15" s="415">
        <f>'Trung tâm nhập liệu'!E68</f>
        <v>2026</v>
      </c>
      <c r="K15" s="469" t="s">
        <v>67</v>
      </c>
      <c r="L15" s="495" t="s">
        <v>78</v>
      </c>
      <c r="M15" s="419" t="str">
        <f t="shared" ref="M15:P15" si="14">B15</f>
        <v>Xây dựng bộ VHDN</v>
      </c>
      <c r="N15" s="420" t="str">
        <f t="shared" si="14"/>
        <v>P2</v>
      </c>
      <c r="O15" s="421" t="str">
        <f t="shared" si="14"/>
        <v/>
      </c>
      <c r="P15" s="422">
        <f t="shared" si="14"/>
        <v>68</v>
      </c>
      <c r="Q15" s="426">
        <f>IF($I15="","",LET(n,COUNTIFS('Lớp 4 - Danh mục'!$J$14:$J$132,$I15,'Lớp 4 - Danh mục'!$AA$14:$AA$132,"&lt;&gt;Hủy"),child,IFERROR(MAXIFS('Lớp 4 - Danh mục'!$AD$14:$AD$132,'Lớp 4 - Danh mục'!$J$14:$J$132,$I15,'Lớp 4 - Danh mục'!$AA$14:$AA$132,"&lt;&gt;Hủy",'Lớp 4 - Danh mục'!$AD$14:$AD$132,"&gt;0"),0),plan,'Trung tâm nhập liệu'!Q68,emergent,LOWER(TRIM('Trung tâm nhập liệu'!O68))="khi phát sinh",IF(n=0,IF(emergent,"",plan),IF(child=0,IF(emergent,"",plan),IF(OR(emergent,plan=""),child,MAX(plan,child))))))</f>
        <v>46420</v>
      </c>
      <c r="R15" s="430">
        <f>IF($I15="","",LET(n,COUNTIFS('Lớp 4 - Danh mục'!$J$14:$J$132,$I15,'Lớp 4 - Danh mục'!$AA$14:$AA$132,"&lt;&gt;Hủy"),child,IFERROR(MINIFS('Lớp 4 - Danh mục'!$AC$14:$AC$132,'Lớp 4 - Danh mục'!$J$14:$J$132,$I15,'Lớp 4 - Danh mục'!$AA$14:$AA$132,"&lt;&gt;Hủy",'Lớp 4 - Danh mục'!$AC$14:$AC$132,"&gt;0"),0),plan,'Trung tâm nhập liệu'!R68,emergent,LOWER(TRIM('Trung tâm nhập liệu'!O68))="khi phát sinh",IF(n=0,IF(emergent,"",plan),IF(child=0,IF(emergent,"",plan),IF(OR(emergent,plan=""),child,MIN(plan,child))))))</f>
        <v>46341</v>
      </c>
      <c r="S15" s="411" t="str">
        <f t="shared" si="15"/>
        <v>Không</v>
      </c>
      <c r="T15" s="414" t="str">
        <f>'Trung tâm nhập liệu'!G68</f>
        <v>Được TGĐ phê duyệt</v>
      </c>
      <c r="U15" s="433" t="str">
        <f>'Trung tâm nhập liệu'!J68</f>
        <v>GĐ BOC</v>
      </c>
      <c r="V15" s="435" t="str">
        <f>'Trung tâm nhập liệu'!K68</f>
        <v>GĐ BOC</v>
      </c>
      <c r="W15" s="435" t="str">
        <f>'Trung tâm nhập liệu'!I68</f>
        <v>Công ty</v>
      </c>
      <c r="X15" s="437" t="str">
        <f>'Trung tâm nhập liệu'!L68</f>
        <v>Đã lên lịch</v>
      </c>
      <c r="Y15" s="420" t="str">
        <f>'Trung tâm nhập liệu'!M68</f>
        <v>P2</v>
      </c>
      <c r="Z15" s="430">
        <f t="shared" si="16"/>
        <v>46341</v>
      </c>
      <c r="AA15" s="426">
        <f t="shared" si="17"/>
        <v>46420</v>
      </c>
      <c r="AB15" s="444">
        <f>IF(AI15&lt;&gt;"Có thời hạn","",IF(OR(Z15="",AA15=""),"",IF(AA15&lt;Z15,"",_xlfn.NETWORKDAYS.INTL(Z15,AA15,11,'Ngày nghỉ lễ'!$A$5:$A$80))))</f>
        <v>68</v>
      </c>
      <c r="AC15" s="446" t="str">
        <f>IF(I15="","",IF(L15="Công việc khác","",IF(OR(X15="Chưa lên lịch",X15="Đã lên lịch",X15="Hủy"),"",IF(COUNTIFS('Lớp 4 - Danh mục'!$J$14:$J$132,I15,'Lớp 4 - Danh mục'!$AA$14:$AA$132,"&lt;&gt;",'Lớp 4 - Danh mục'!$AA$14:$AA$132,"&lt;&gt;Hủy",'Lớp 4 - Danh mục'!$AA$14:$AA$132,"&lt;&gt;Chưa lên lịch",'Lớp 4 - Danh mục'!$AA$14:$AA$132,"&lt;&gt;Đã lên lịch")&gt;0,SUMIFS('Lớp 4 - Danh mục'!$AF$14:$AF$132,'Lớp 4 - Danh mục'!$J$14:$J$132,I15,'Lớp 4 - Danh mục'!$AA$14:$AA$132,"&lt;&gt;",'Lớp 4 - Danh mục'!$AA$14:$AA$132,"&lt;&gt;Hủy",'Lớp 4 - Danh mục'!$AA$14:$AA$132,"&lt;&gt;Chưa lên lịch",'Lớp 4 - Danh mục'!$AA$14:$AA$132,"&lt;&gt;Đã lên lịch")/COUNTIFS('Lớp 4 - Danh mục'!$J$14:$J$132,I15,'Lớp 4 - Danh mục'!$AA$14:$AA$132,"&lt;&gt;",'Lớp 4 - Danh mục'!$AA$14:$AA$132,"&lt;&gt;Hủy",'Lớp 4 - Danh mục'!$AA$14:$AA$132,"&lt;&gt;Chưa lên lịch",'Lớp 4 - Danh mục'!$AA$14:$AA$132,"&lt;&gt;Đã lên lịch"),IF(X15="Hoàn thành",1,0)))))</f>
        <v/>
      </c>
      <c r="AD15" s="444">
        <f>IF(AI15&lt;&gt;"Có thời hạn","",IF(OR(I15="",Z15="",AA15=""),"",IF(OR(X15="Hoàn thành",X15="Hủy"),0,IF(AA15&lt;TODAY(),-_xlfn.NETWORKDAYS.INTL(AA15,TODAY()-1,11,'Ngày nghỉ lễ'!$A$5:$A$80),MAX(0,_xlfn.NETWORKDAYS.INTL(MAX(TODAY()+1,Z15),AA15,11,'Ngày nghỉ lễ'!$A$5:$A$80))))))</f>
        <v>68</v>
      </c>
      <c r="AE15" s="448">
        <f>IF($I15="","",LET(n,COUNTIFS('Lớp 4 - Danh mục'!$J$14:$J$132,$I15,'Lớp 4 - Danh mục'!$AA$14:$AA$132,"&lt;&gt;Hủy"),du,COUNTIFS('Lớp 4 - Danh mục'!$J$14:$J$132,$I15,'Lớp 4 - Danh mục'!$AA$14:$AA$132,"&lt;&gt;Hủy",'Lớp 4 - Danh mục'!$AH$14:$AH$132,"&lt;&gt;"),IF(n=0,'Trung tâm nhập liệu'!T68,IF(du&lt;n,"",SUMIFS('Lớp 4 - Danh mục'!$AH$14:$AH$132,'Lớp 4 - Danh mục'!$J$14:$J$132,$I15,'Lớp 4 - Danh mục'!$AA$14:$AA$132,"&lt;&gt;Hủy")))))</f>
        <v>100</v>
      </c>
      <c r="AF15" s="502">
        <v>2.0</v>
      </c>
      <c r="AG15" s="456" t="str">
        <f>IF(AI15="Chưa xếp lịch","Chưa xếp lịch",IF(AI15="Định kỳ",IF(AJ15="","Thiếu chu kỳ","Theo chu kỳ"),IF(AI15="Khi phát sinh",IF(COUNTIFS('Lớp 4 - Danh mục'!$J$14:$J$132,$I15,'Lớp 4 - Danh mục'!$AA$14:$AA$132,"&lt;&gt;Hủy")=0,"Khi phát sinh – chờ việc con","Khi phát sinh – theo ngày con"),IF(I15="","",LET(n,COUNTIFS('Lớp 4 - Danh mục'!$J$14:$J$132,$I15,'Lớp 4 - Danh mục'!$AA$14:$AA$132,"&lt;&gt;Hủy"),cs,IFERROR(MINIFS('Lớp 4 - Danh mục'!$AC$14:$AC$132,'Lớp 4 - Danh mục'!$J$14:$J$132,$I15,'Lớp 4 - Danh mục'!$AA$14:$AA$132,"&lt;&gt;Hủy",'Lớp 4 - Danh mục'!$AC$14:$AC$132,"&gt;0"),0),ce,IFERROR(MAXIFS('Lớp 4 - Danh mục'!$AD$14:$AD$132,'Lớp 4 - Danh mục'!$J$14:$J$132,$I15,'Lớp 4 - Danh mục'!$AA$14:$AA$132,"&lt;&gt;Hủy",'Lớp 4 - Danh mục'!$AD$14:$AD$132,"&gt;0"),0),ps,'Trung tâm nhập liệu'!R68,pe,'Trung tâm nhập liệu'!Q68,IF(OR(Z15="",AA15=""),"Thiếu ngày L3",IF(n=0,"Chưa có L4",IF(OR(cs=0,ce=0),"Thiếu ngày L4",IF(OR(ps="",pe=""),"Thiếu ngày kế hoạch gốc L3",IF(OR(cs&lt;ps,ce&gt;pe),"Cảnh báo: Con vượt khung kế hoạch gốc","L4 đúng khung kế hoạch gốc"))))))))))</f>
        <v>Chưa có L4</v>
      </c>
      <c r="AH15" s="465" t="str">
        <f>IF(OR(AR15="Thiếu tham số phân bổ",AR15="Phân bổ phải &gt; 0"),AR15,SWITCH(AI15,"Chưa xếp lịch","Chưa tính tải","Định kỳ","Theo chu kỳ","Khi phát sinh","Khi phát sinh",IF(I15="","",IF(OR(X15="Hoàn thành",X15="Hủy"),X15,IF(COUNTIFS('Lớp 4 - Danh mục'!$J$14:$J$132,I15,'Lớp 4 - Danh mục'!$AA$14:$AA$132,"&lt;&gt;Hủy")&gt;0,"Theo dõi tải tại Lớp 4",IF(AE15="","Chưa nhập khối lượng",IF(V15="","Thiếu người thực hiện",IF(OR(Z15="",AA15=""),"Chưa nhập đủ thời gian",IF(AD15&lt;0,"Quá hạn – còn "&amp;TEXT(MAX(0,AE15*(1-AC15)),"0.0")&amp;" giờ",LET(bd,MAX(TODAY(),Z15),kt,AA15,nguoi,V15,tai,SUMIFS('Lớp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2.6/8.0 giờ/ngày</v>
      </c>
      <c r="AI15" s="467" t="str">
        <f>'Trung tâm nhập liệu'!O68</f>
        <v>Có thời hạn</v>
      </c>
      <c r="AJ15" s="469" t="str">
        <f>'Trung tâm nhập liệu'!P68</f>
        <v>Năm</v>
      </c>
      <c r="AK15" s="470" t="str">
        <f>'Trung tâm nhập liệu'!S68</f>
        <v/>
      </c>
      <c r="AL15" s="470" t="str">
        <f>'Trung tâm nhập liệu'!X68</f>
        <v/>
      </c>
      <c r="AM15" s="471" t="str">
        <f t="shared" si="18"/>
        <v/>
      </c>
      <c r="AN15" s="469" t="str">
        <f t="shared" si="19"/>
        <v/>
      </c>
      <c r="AO15" s="475" t="str">
        <f>'Trung tâm nhập liệu'!V68</f>
        <v>Tuần</v>
      </c>
      <c r="AP15" s="476">
        <f>'Trung tâm nhập liệu'!W68</f>
        <v>3</v>
      </c>
      <c r="AQ15" s="478">
        <f>IF(AI15&lt;&gt;"Có thời hạn","",IF(OR(I15="",AE15="",X15="Hoàn thành",X15="Hủy",COUNTIFS('Lớp 4 - Danh mục'!$J$14:$J$132,I15,'Lớp 4 - Danh mục'!$AA$14:$AA$132,"&lt;&gt;Hủy")&gt;0),"",LET(canNgay,MAX(0,AE15*(1-AC15))/MAX(1,AD15),IF(AO15="Ngày",canNgay,IF(AO15="Tuần",canNgay*5,"")))))</f>
        <v>7.352941176</v>
      </c>
      <c r="AR15" s="465" t="str">
        <f>IF(I15="","",IF(COUNTIFS('Lớp 4 - Danh mục'!$J$14:$J$132,I15,'Lớp 4 - Danh mục'!$AA$14:$AA$132,"&lt;&gt;Hủy")&gt;0,"Theo dõi phân bổ tại Lớp 4",IF(OR(X15="Hoàn thành",X15="Hủy"),X15,IF(AE15="","Thiếu tổng giờ",IF(OR(AO15="",AP15=""),"Thiếu tham số phân bổ",IF(AP15&lt;=0,"Phân bổ phải &gt; 0",IF(AI15&lt;&gt;"Có thời hạn","Đã có phân bổ",IF(AQ15="","Chưa đủ dữ liệu hạn",IF(AP15&gt;=AQ15,"Đủ phân bổ theo "&amp;LOWER(AO15),"Thiếu "&amp;TEXT(AQ15-AP15,"0.0")&amp;" giờ/"&amp;LOWER(AO15))))))))))</f>
        <v>Thiếu 4.4 giờ/tuần</v>
      </c>
      <c r="AS15" s="465" t="str">
        <f t="shared" si="20"/>
        <v>OK</v>
      </c>
      <c r="AT15" s="479" t="str">
        <f>'Trung tâm nhập liệu'!Y68</f>
        <v/>
      </c>
    </row>
    <row r="16" ht="72.75" customHeight="1">
      <c r="A16" s="383">
        <f t="shared" si="11"/>
        <v>3</v>
      </c>
      <c r="B16" s="387" t="str">
        <f>'Trung tâm nhập liệu'!F69</f>
        <v>KHKD 2027&amp; HT lập KH theo tham số KD (bán tự động)</v>
      </c>
      <c r="C16" s="394" t="str">
        <f>'Trung tâm nhập liệu'!M69</f>
        <v>P1</v>
      </c>
      <c r="D16" s="504">
        <f t="shared" ref="D16:E16" si="21">AC16</f>
        <v>0</v>
      </c>
      <c r="E16" s="484">
        <f t="shared" si="21"/>
        <v>77</v>
      </c>
      <c r="F16" s="407">
        <f t="shared" ref="F16:G16" si="22">Q16</f>
        <v>46337</v>
      </c>
      <c r="G16" s="407">
        <f t="shared" si="22"/>
        <v>46237</v>
      </c>
      <c r="H16" s="411" t="str">
        <f>IF(B16="","",IF(COUNTIF('Lớp 4 - Danh mục'!$J$14:$J$132,I16)&gt;0,"Có","Không"))</f>
        <v>Có</v>
      </c>
      <c r="I16" s="414" t="str">
        <f>'Trung tâm nhập liệu'!B69</f>
        <v>HHL3CT03</v>
      </c>
      <c r="J16" s="415">
        <f>'Trung tâm nhập liệu'!E69</f>
        <v>2026</v>
      </c>
      <c r="K16" s="469" t="s">
        <v>67</v>
      </c>
      <c r="L16" s="505" t="s">
        <v>78</v>
      </c>
      <c r="M16" s="419" t="str">
        <f t="shared" ref="M16:P16" si="23">B16</f>
        <v>KHKD 2027&amp; HT lập KH theo tham số KD (bán tự động)</v>
      </c>
      <c r="N16" s="420" t="str">
        <f t="shared" si="23"/>
        <v>P1</v>
      </c>
      <c r="O16" s="421">
        <f t="shared" si="23"/>
        <v>0</v>
      </c>
      <c r="P16" s="422">
        <f t="shared" si="23"/>
        <v>77</v>
      </c>
      <c r="Q16" s="426">
        <f>IF($I16="","",LET(n,COUNTIFS('Lớp 4 - Danh mục'!$J$14:$J$132,$I16,'Lớp 4 - Danh mục'!$AA$14:$AA$132,"&lt;&gt;Hủy"),child,IFERROR(MAXIFS('Lớp 4 - Danh mục'!$AD$14:$AD$132,'Lớp 4 - Danh mục'!$J$14:$J$132,$I16,'Lớp 4 - Danh mục'!$AA$14:$AA$132,"&lt;&gt;Hủy",'Lớp 4 - Danh mục'!$AD$14:$AD$132,"&gt;0"),0),plan,'Trung tâm nhập liệu'!Q69,emergent,LOWER(TRIM('Trung tâm nhập liệu'!O69))="khi phát sinh",IF(n=0,IF(emergent,"",plan),IF(child=0,IF(emergent,"",plan),IF(OR(emergent,plan=""),child,MAX(plan,child))))))</f>
        <v>46337</v>
      </c>
      <c r="R16" s="430">
        <f>IF($I16="","",LET(n,COUNTIFS('Lớp 4 - Danh mục'!$J$14:$J$132,$I16,'Lớp 4 - Danh mục'!$AA$14:$AA$132,"&lt;&gt;Hủy"),child,IFERROR(MINIFS('Lớp 4 - Danh mục'!$AC$14:$AC$132,'Lớp 4 - Danh mục'!$J$14:$J$132,$I16,'Lớp 4 - Danh mục'!$AA$14:$AA$132,"&lt;&gt;Hủy",'Lớp 4 - Danh mục'!$AC$14:$AC$132,"&gt;0"),0),plan,'Trung tâm nhập liệu'!R69,emergent,LOWER(TRIM('Trung tâm nhập liệu'!O69))="khi phát sinh",IF(n=0,IF(emergent,"",plan),IF(child=0,IF(emergent,"",plan),IF(OR(emergent,plan=""),child,MIN(plan,child))))))</f>
        <v>46237</v>
      </c>
      <c r="S16" s="411" t="str">
        <f t="shared" si="15"/>
        <v>Có</v>
      </c>
      <c r="T16" s="414" t="str">
        <f>'Trung tâm nhập liệu'!G69</f>
        <v>Được TĐ phê duyệt</v>
      </c>
      <c r="U16" s="433" t="str">
        <f>'Trung tâm nhập liệu'!J69</f>
        <v>GĐ BOC</v>
      </c>
      <c r="V16" s="435" t="str">
        <f>'Trung tâm nhập liệu'!K69</f>
        <v>Em Đại</v>
      </c>
      <c r="W16" s="435" t="str">
        <f>'Trung tâm nhập liệu'!I69</f>
        <v>Dữ liệu điều hành</v>
      </c>
      <c r="X16" s="437" t="str">
        <f>'Trung tâm nhập liệu'!L69</f>
        <v>Đang thực hiện</v>
      </c>
      <c r="Y16" s="420" t="str">
        <f>'Trung tâm nhập liệu'!M69</f>
        <v>P1</v>
      </c>
      <c r="Z16" s="430">
        <f t="shared" si="16"/>
        <v>46237</v>
      </c>
      <c r="AA16" s="426">
        <f t="shared" si="17"/>
        <v>46337</v>
      </c>
      <c r="AB16" s="444">
        <f>IF(AI16&lt;&gt;"Có thời hạn","",IF(OR(Z16="",AA16=""),"",IF(AA16&lt;Z16,"",_xlfn.NETWORKDAYS.INTL(Z16,AA16,11,'Ngày nghỉ lễ'!$A$5:$A$80))))</f>
        <v>85</v>
      </c>
      <c r="AC16" s="446">
        <f>IF(I16="","",IF(L16="Công việc khác","",IF(OR(X16="Chưa lên lịch",X16="Đã lên lịch",X16="Hủy"),"",IF(COUNTIFS('Lớp 4 - Danh mục'!$J$14:$J$132,I16,'Lớp 4 - Danh mục'!$AA$14:$AA$132,"&lt;&gt;",'Lớp 4 - Danh mục'!$AA$14:$AA$132,"&lt;&gt;Hủy",'Lớp 4 - Danh mục'!$AA$14:$AA$132,"&lt;&gt;Chưa lên lịch",'Lớp 4 - Danh mục'!$AA$14:$AA$132,"&lt;&gt;Đã lên lịch")&gt;0,SUMIFS('Lớp 4 - Danh mục'!$AF$14:$AF$132,'Lớp 4 - Danh mục'!$J$14:$J$132,I16,'Lớp 4 - Danh mục'!$AA$14:$AA$132,"&lt;&gt;",'Lớp 4 - Danh mục'!$AA$14:$AA$132,"&lt;&gt;Hủy",'Lớp 4 - Danh mục'!$AA$14:$AA$132,"&lt;&gt;Chưa lên lịch",'Lớp 4 - Danh mục'!$AA$14:$AA$132,"&lt;&gt;Đã lên lịch")/COUNTIFS('Lớp 4 - Danh mục'!$J$14:$J$132,I16,'Lớp 4 - Danh mục'!$AA$14:$AA$132,"&lt;&gt;",'Lớp 4 - Danh mục'!$AA$14:$AA$132,"&lt;&gt;Hủy",'Lớp 4 - Danh mục'!$AA$14:$AA$132,"&lt;&gt;Chưa lên lịch",'Lớp 4 - Danh mục'!$AA$14:$AA$132,"&lt;&gt;Đã lên lịch"),IF(X16="Hoàn thành",1,0)))))</f>
        <v>0</v>
      </c>
      <c r="AD16" s="444">
        <f>IF(AI16&lt;&gt;"Có thời hạn","",IF(OR(I16="",Z16="",AA16=""),"",IF(OR(X16="Hoàn thành",X16="Hủy"),0,IF(AA16&lt;TODAY(),-_xlfn.NETWORKDAYS.INTL(AA16,TODAY()-1,11,'Ngày nghỉ lễ'!$A$5:$A$80),MAX(0,_xlfn.NETWORKDAYS.INTL(MAX(TODAY()+1,Z16),AA16,11,'Ngày nghỉ lễ'!$A$5:$A$80))))))</f>
        <v>77</v>
      </c>
      <c r="AE16" s="448">
        <f>IF($I16="","",LET(n,COUNTIFS('Lớp 4 - Danh mục'!$J$14:$J$132,$I16,'Lớp 4 - Danh mục'!$AA$14:$AA$132,"&lt;&gt;Hủy"),du,COUNTIFS('Lớp 4 - Danh mục'!$J$14:$J$132,$I16,'Lớp 4 - Danh mục'!$AA$14:$AA$132,"&lt;&gt;Hủy",'Lớp 4 - Danh mục'!$AH$14:$AH$132,"&lt;&gt;"),IF(n=0,'Trung tâm nhập liệu'!T69,IF(du&lt;n,"",SUMIFS('Lớp 4 - Danh mục'!$AH$14:$AH$132,'Lớp 4 - Danh mục'!$J$14:$J$132,$I16,'Lớp 4 - Danh mục'!$AA$14:$AA$132,"&lt;&gt;Hủy")))))</f>
        <v>620</v>
      </c>
      <c r="AF16" s="510" t="str">
        <f>IF(I16="","",IF(OR(X16="Hoàn thành",X16="Hủy"),"",IF(COUNTIFS('Lớp 4 - Danh mục'!$J$14:$J$132,I16,'Lớp 4 - Danh mục'!$AA$14:$AA$132,"&lt;&gt;Hủy")&gt;0,"",IF(AO16="Ngày",AP16,IF(AO16="Tuần",AP16/5,"")))))</f>
        <v/>
      </c>
      <c r="AG16" s="456" t="str">
        <f>IF(AI16="Chưa xếp lịch","Chưa xếp lịch",IF(AI16="Định kỳ",IF(AJ16="","Thiếu chu kỳ","Theo chu kỳ"),IF(AI16="Khi phát sinh",IF(COUNTIFS('Lớp 4 - Danh mục'!$J$14:$J$132,$I16,'Lớp 4 - Danh mục'!$AA$14:$AA$132,"&lt;&gt;Hủy")=0,"Khi phát sinh – chờ việc con","Khi phát sinh – theo ngày con"),IF(I16="","",LET(n,COUNTIFS('Lớp 4 - Danh mục'!$J$14:$J$132,$I16,'Lớp 4 - Danh mục'!$AA$14:$AA$132,"&lt;&gt;Hủy"),cs,IFERROR(MINIFS('Lớp 4 - Danh mục'!$AC$14:$AC$132,'Lớp 4 - Danh mục'!$J$14:$J$132,$I16,'Lớp 4 - Danh mục'!$AA$14:$AA$132,"&lt;&gt;Hủy",'Lớp 4 - Danh mục'!$AC$14:$AC$132,"&gt;0"),0),ce,IFERROR(MAXIFS('Lớp 4 - Danh mục'!$AD$14:$AD$132,'Lớp 4 - Danh mục'!$J$14:$J$132,$I16,'Lớp 4 - Danh mục'!$AA$14:$AA$132,"&lt;&gt;Hủy",'Lớp 4 - Danh mục'!$AD$14:$AD$132,"&gt;0"),0),ps,'Trung tâm nhập liệu'!R69,pe,'Trung tâm nhập liệu'!Q69,IF(OR(Z16="",AA16=""),"Thiếu ngày L3",IF(n=0,"Chưa có L4",IF(OR(cs=0,ce=0),"Thiếu ngày L4",IF(OR(ps="",pe=""),"Thiếu ngày kế hoạch gốc L3",IF(OR(cs&lt;ps,ce&gt;pe),"Cảnh báo: Con vượt khung kế hoạch gốc","L4 đúng khung kế hoạch gốc"))))))))))</f>
        <v>L4 đúng khung kế hoạch gốc</v>
      </c>
      <c r="AH16" s="465" t="str">
        <f>IF(OR(AR16="Thiếu tham số phân bổ",AR16="Phân bổ phải &gt; 0"),AR16,SWITCH(AI16,"Chưa xếp lịch","Chưa tính tải","Định kỳ","Theo chu kỳ","Khi phát sinh","Khi phát sinh",IF(I16="","",IF(OR(X16="Hoàn thành",X16="Hủy"),X16,IF(COUNTIFS('Lớp 4 - Danh mục'!$J$14:$J$132,I16,'Lớp 4 - Danh mục'!$AA$14:$AA$132,"&lt;&gt;Hủy")&gt;0,"Theo dõi tải tại Lớp 4",IF(AE16="","Chưa nhập khối lượng",IF(V16="","Thiếu người thực hiện",IF(OR(Z16="",AA16=""),"Chưa nhập đủ thời gian",IF(AD16&lt;0,"Quá hạn – còn "&amp;TEXT(MAX(0,AE16*(1-AC16)),"0.0")&amp;" giờ",LET(bd,MAX(TODAY(),Z16),kt,AA16,nguoi,V16,tai,SUMIFS('Lớp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4</v>
      </c>
      <c r="AI16" s="467" t="str">
        <f>'Trung tâm nhập liệu'!O69</f>
        <v>Có thời hạn</v>
      </c>
      <c r="AJ16" s="469" t="str">
        <f>'Trung tâm nhập liệu'!P69</f>
        <v/>
      </c>
      <c r="AK16" s="470" t="str">
        <f>'Trung tâm nhập liệu'!S69</f>
        <v/>
      </c>
      <c r="AL16" s="470" t="str">
        <f>'Trung tâm nhập liệu'!X69</f>
        <v/>
      </c>
      <c r="AM16" s="471" t="str">
        <f t="shared" si="18"/>
        <v/>
      </c>
      <c r="AN16" s="469" t="str">
        <f t="shared" si="19"/>
        <v/>
      </c>
      <c r="AO16" s="475" t="str">
        <f>'Trung tâm nhập liệu'!V69</f>
        <v>Tuần</v>
      </c>
      <c r="AP16" s="476">
        <f>'Trung tâm nhập liệu'!W69</f>
        <v>3</v>
      </c>
      <c r="AQ16" s="478" t="str">
        <f>IF(AI16&lt;&gt;"Có thời hạn","",IF(OR(I16="",AE16="",X16="Hoàn thành",X16="Hủy",COUNTIFS('Lớp 4 - Danh mục'!$J$14:$J$132,I16,'Lớp 4 - Danh mục'!$AA$14:$AA$132,"&lt;&gt;Hủy")&gt;0),"",LET(canNgay,MAX(0,AE16*(1-AC16))/MAX(1,AD16),IF(AO16="Ngày",canNgay,IF(AO16="Tuần",canNgay*5,"")))))</f>
        <v/>
      </c>
      <c r="AR16" s="465" t="str">
        <f>IF(I16="","",IF(COUNTIFS('Lớp 4 - Danh mục'!$J$14:$J$132,I16,'Lớp 4 - Danh mục'!$AA$14:$AA$132,"&lt;&gt;Hủy")&gt;0,"Theo dõi phân bổ tại Lớp 4",IF(OR(X16="Hoàn thành",X16="Hủy"),X16,IF(AE16="","Thiếu tổng giờ",IF(OR(AO16="",AP16=""),"Thiếu tham số phân bổ",IF(AP16&lt;=0,"Phân bổ phải &gt; 0",IF(AI16&lt;&gt;"Có thời hạn","Đã có phân bổ",IF(AQ16="","Chưa đủ dữ liệu hạn",IF(AP16&gt;=AQ16,"Đủ phân bổ theo "&amp;LOWER(AO16),"Thiếu "&amp;TEXT(AQ16-AP16,"0.0")&amp;" giờ/"&amp;LOWER(AO16))))))))))</f>
        <v>Theo dõi phân bổ tại Lớp 4</v>
      </c>
      <c r="AS16" s="465" t="str">
        <f t="shared" si="20"/>
        <v>OK</v>
      </c>
      <c r="AT16" s="479" t="str">
        <f>'Trung tâm nhập liệu'!Y69</f>
        <v/>
      </c>
    </row>
    <row r="17" ht="15.75" customHeight="1">
      <c r="A17" s="383">
        <f t="shared" si="11"/>
        <v>4</v>
      </c>
      <c r="B17" s="387" t="str">
        <f>'Trung tâm nhập liệu'!F70</f>
        <v>KH sản phẩm 2027-2030</v>
      </c>
      <c r="C17" s="394" t="str">
        <f>'Trung tâm nhập liệu'!M70</f>
        <v>P1</v>
      </c>
      <c r="D17" s="504">
        <f t="shared" ref="D17:E17" si="24">AC17</f>
        <v>0</v>
      </c>
      <c r="E17" s="484">
        <f t="shared" si="24"/>
        <v>50</v>
      </c>
      <c r="F17" s="407">
        <f t="shared" ref="F17:G17" si="25">Q17</f>
        <v>46305</v>
      </c>
      <c r="G17" s="407">
        <f t="shared" si="25"/>
        <v>46223</v>
      </c>
      <c r="H17" s="411" t="str">
        <f>IF(B17="","",IF(COUNTIF('Lớp 4 - Danh mục'!$J$14:$J$132,I17)&gt;0,"Có","Không"))</f>
        <v>Có</v>
      </c>
      <c r="I17" s="414" t="str">
        <f>'Trung tâm nhập liệu'!B70</f>
        <v>HHL3RD01</v>
      </c>
      <c r="J17" s="415">
        <f>'Trung tâm nhập liệu'!E70</f>
        <v>2026</v>
      </c>
      <c r="K17" s="416" t="s">
        <v>87</v>
      </c>
      <c r="L17" s="515" t="s">
        <v>78</v>
      </c>
      <c r="M17" s="419" t="str">
        <f t="shared" ref="M17:P17" si="26">B17</f>
        <v>KH sản phẩm 2027-2030</v>
      </c>
      <c r="N17" s="420" t="str">
        <f t="shared" si="26"/>
        <v>P1</v>
      </c>
      <c r="O17" s="421">
        <f t="shared" si="26"/>
        <v>0</v>
      </c>
      <c r="P17" s="422">
        <f t="shared" si="26"/>
        <v>50</v>
      </c>
      <c r="Q17" s="426">
        <f>IF($I17="","",LET(n,COUNTIFS('Lớp 4 - Danh mục'!$J$14:$J$132,$I17,'Lớp 4 - Danh mục'!$AA$14:$AA$132,"&lt;&gt;Hủy"),child,IFERROR(MAXIFS('Lớp 4 - Danh mục'!$AD$14:$AD$132,'Lớp 4 - Danh mục'!$J$14:$J$132,$I17,'Lớp 4 - Danh mục'!$AA$14:$AA$132,"&lt;&gt;Hủy",'Lớp 4 - Danh mục'!$AD$14:$AD$132,"&gt;0"),0),plan,'Trung tâm nhập liệu'!Q70,emergent,LOWER(TRIM('Trung tâm nhập liệu'!O70))="khi phát sinh",IF(n=0,IF(emergent,"",plan),IF(child=0,IF(emergent,"",plan),IF(OR(emergent,plan=""),child,MAX(plan,child))))))</f>
        <v>46305</v>
      </c>
      <c r="R17" s="430">
        <f>IF($I17="","",LET(n,COUNTIFS('Lớp 4 - Danh mục'!$J$14:$J$132,$I17,'Lớp 4 - Danh mục'!$AA$14:$AA$132,"&lt;&gt;Hủy"),child,IFERROR(MINIFS('Lớp 4 - Danh mục'!$AC$14:$AC$132,'Lớp 4 - Danh mục'!$J$14:$J$132,$I17,'Lớp 4 - Danh mục'!$AA$14:$AA$132,"&lt;&gt;Hủy",'Lớp 4 - Danh mục'!$AC$14:$AC$132,"&gt;0"),0),plan,'Trung tâm nhập liệu'!R70,emergent,LOWER(TRIM('Trung tâm nhập liệu'!O70))="khi phát sinh",IF(n=0,IF(emergent,"",plan),IF(child=0,IF(emergent,"",plan),IF(OR(emergent,plan=""),child,MIN(plan,child))))))</f>
        <v>46223</v>
      </c>
      <c r="S17" s="411" t="str">
        <f t="shared" si="15"/>
        <v>Có</v>
      </c>
      <c r="T17" s="414" t="str">
        <f>'Trung tâm nhập liệu'!G70</f>
        <v>Được TGĐ phê duyệt</v>
      </c>
      <c r="U17" s="433" t="s">
        <v>242</v>
      </c>
      <c r="V17" s="435" t="str">
        <f>'Trung tâm nhập liệu'!K70</f>
        <v>Ms Trang</v>
      </c>
      <c r="W17" s="435" t="str">
        <f>'Trung tâm nhập liệu'!I70</f>
        <v>R&amp;D</v>
      </c>
      <c r="X17" s="437" t="str">
        <f>'Trung tâm nhập liệu'!L70</f>
        <v>Đang thực hiện</v>
      </c>
      <c r="Y17" s="420" t="str">
        <f>'Trung tâm nhập liệu'!M70</f>
        <v>P1</v>
      </c>
      <c r="Z17" s="430">
        <f t="shared" si="16"/>
        <v>46223</v>
      </c>
      <c r="AA17" s="426">
        <f t="shared" si="17"/>
        <v>46305</v>
      </c>
      <c r="AB17" s="516">
        <f>IF(AI17&lt;&gt;"Có thời hạn","",IF(OR(Z17="",AA17=""),"",IF(AA17&lt;Z17,"",_xlfn.NETWORKDAYS.INTL(Z17,AA17,11,'Ngày nghỉ lễ'!$A$5:$A$80))))</f>
        <v>70</v>
      </c>
      <c r="AC17" s="446">
        <f>IF(I17="","",IF(L17="Công việc khác","",IF(OR(X17="Chưa lên lịch",X17="Đã lên lịch",X17="Hủy"),"",IF(COUNTIFS('Lớp 4 - Danh mục'!$J$14:$J$132,I17,'Lớp 4 - Danh mục'!$AA$14:$AA$132,"&lt;&gt;",'Lớp 4 - Danh mục'!$AA$14:$AA$132,"&lt;&gt;Hủy",'Lớp 4 - Danh mục'!$AA$14:$AA$132,"&lt;&gt;Chưa lên lịch",'Lớp 4 - Danh mục'!$AA$14:$AA$132,"&lt;&gt;Đã lên lịch")&gt;0,SUMIFS('Lớp 4 - Danh mục'!$AF$14:$AF$132,'Lớp 4 - Danh mục'!$J$14:$J$132,I17,'Lớp 4 - Danh mục'!$AA$14:$AA$132,"&lt;&gt;",'Lớp 4 - Danh mục'!$AA$14:$AA$132,"&lt;&gt;Hủy",'Lớp 4 - Danh mục'!$AA$14:$AA$132,"&lt;&gt;Chưa lên lịch",'Lớp 4 - Danh mục'!$AA$14:$AA$132,"&lt;&gt;Đã lên lịch")/COUNTIFS('Lớp 4 - Danh mục'!$J$14:$J$132,I17,'Lớp 4 - Danh mục'!$AA$14:$AA$132,"&lt;&gt;",'Lớp 4 - Danh mục'!$AA$14:$AA$132,"&lt;&gt;Hủy",'Lớp 4 - Danh mục'!$AA$14:$AA$132,"&lt;&gt;Chưa lên lịch",'Lớp 4 - Danh mục'!$AA$14:$AA$132,"&lt;&gt;Đã lên lịch"),IF(X17="Hoàn thành",1,0)))))</f>
        <v>0</v>
      </c>
      <c r="AD17" s="516">
        <f>IF(AI17&lt;&gt;"Có thời hạn","",IF(OR(I17="",Z17="",AA17=""),"",IF(OR(X17="Hoàn thành",X17="Hủy"),0,IF(AA17&lt;TODAY(),-_xlfn.NETWORKDAYS.INTL(AA17,TODAY()-1,11,'Ngày nghỉ lễ'!$A$5:$A$80),MAX(0,_xlfn.NETWORKDAYS.INTL(MAX(TODAY()+1,Z17),AA17,11,'Ngày nghỉ lễ'!$A$5:$A$80))))))</f>
        <v>50</v>
      </c>
      <c r="AE17" s="448" t="str">
        <f>IF($I17="","",LET(n,COUNTIFS('Lớp 4 - Danh mục'!$J$14:$J$132,$I17,'Lớp 4 - Danh mục'!$AA$14:$AA$132,"&lt;&gt;Hủy"),du,COUNTIFS('Lớp 4 - Danh mục'!$J$14:$J$132,$I17,'Lớp 4 - Danh mục'!$AA$14:$AA$132,"&lt;&gt;Hủy",'Lớp 4 - Danh mục'!$AH$14:$AH$132,"&lt;&gt;"),IF(n=0,'Trung tâm nhập liệu'!T70,IF(du&lt;n,"",SUMIFS('Lớp 4 - Danh mục'!$AH$14:$AH$132,'Lớp 4 - Danh mục'!$J$14:$J$132,$I17,'Lớp 4 - Danh mục'!$AA$14:$AA$132,"&lt;&gt;Hủy")))))</f>
        <v/>
      </c>
      <c r="AF17" s="510" t="str">
        <f>IF(I17="","",IF(OR(X17="Hoàn thành",X17="Hủy"),"",IF(COUNTIFS('Lớp 4 - Danh mục'!$J$14:$J$132,I17,'Lớp 4 - Danh mục'!$AA$14:$AA$132,"&lt;&gt;Hủy")&gt;0,"",IF(AO17="Ngày",AP17,IF(AO17="Tuần",AP17/5,"")))))</f>
        <v/>
      </c>
      <c r="AG17" s="456" t="str">
        <f>IF(AI17="Chưa xếp lịch","Chưa xếp lịch",IF(AI17="Định kỳ",IF(AJ17="","Thiếu chu kỳ","Theo chu kỳ"),IF(AI17="Khi phát sinh",IF(COUNTIFS('Lớp 4 - Danh mục'!$J$14:$J$132,$I17,'Lớp 4 - Danh mục'!$AA$14:$AA$132,"&lt;&gt;Hủy")=0,"Khi phát sinh – chờ việc con","Khi phát sinh – theo ngày con"),IF(I17="","",LET(n,COUNTIFS('Lớp 4 - Danh mục'!$J$14:$J$132,$I17,'Lớp 4 - Danh mục'!$AA$14:$AA$132,"&lt;&gt;Hủy"),cs,IFERROR(MINIFS('Lớp 4 - Danh mục'!$AC$14:$AC$132,'Lớp 4 - Danh mục'!$J$14:$J$132,$I17,'Lớp 4 - Danh mục'!$AA$14:$AA$132,"&lt;&gt;Hủy",'Lớp 4 - Danh mục'!$AC$14:$AC$132,"&gt;0"),0),ce,IFERROR(MAXIFS('Lớp 4 - Danh mục'!$AD$14:$AD$132,'Lớp 4 - Danh mục'!$J$14:$J$132,$I17,'Lớp 4 - Danh mục'!$AA$14:$AA$132,"&lt;&gt;Hủy",'Lớp 4 - Danh mục'!$AD$14:$AD$132,"&gt;0"),0),ps,'Trung tâm nhập liệu'!R70,pe,'Trung tâm nhập liệu'!Q70,IF(OR(Z17="",AA17=""),"Thiếu ngày L3",IF(n=0,"Chưa có L4",IF(OR(cs=0,ce=0),"Thiếu ngày L4",IF(OR(ps="",pe=""),"Thiếu ngày kế hoạch gốc L3",IF(OR(cs&lt;ps,ce&gt;pe),"Cảnh báo: Con vượt khung kế hoạch gốc","L4 đúng khung kế hoạch gốc"))))))))))</f>
        <v>L4 đúng khung kế hoạch gốc</v>
      </c>
      <c r="AH17" s="465" t="str">
        <f>IF(OR(AR17="Thiếu tham số phân bổ",AR17="Phân bổ phải &gt; 0"),AR17,SWITCH(AI17,"Chưa xếp lịch","Chưa tính tải","Định kỳ","Theo chu kỳ","Khi phát sinh","Khi phát sinh",IF(I17="","",IF(OR(X17="Hoàn thành",X17="Hủy"),X17,IF(COUNTIFS('Lớp 4 - Danh mục'!$J$14:$J$132,I17,'Lớp 4 - Danh mục'!$AA$14:$AA$132,"&lt;&gt;Hủy")&gt;0,"Theo dõi tải tại Lớp 4",IF(AE17="","Chưa nhập khối lượng",IF(V17="","Thiếu người thực hiện",IF(OR(Z17="",AA17=""),"Chưa nhập đủ thời gian",IF(AD17&lt;0,"Quá hạn – còn "&amp;TEXT(MAX(0,AE17*(1-AC17)),"0.0")&amp;" giờ",LET(bd,MAX(TODAY(),Z17),kt,AA17,nguoi,V17,tai,SUMIFS('Lớp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4</v>
      </c>
      <c r="AI17" s="467" t="str">
        <f>'Trung tâm nhập liệu'!O70</f>
        <v>Có thời hạn</v>
      </c>
      <c r="AJ17" s="469" t="str">
        <f>'Trung tâm nhập liệu'!P70</f>
        <v/>
      </c>
      <c r="AK17" s="470" t="str">
        <f>'Trung tâm nhập liệu'!S70</f>
        <v/>
      </c>
      <c r="AL17" s="470" t="str">
        <f>'Trung tâm nhập liệu'!X70</f>
        <v/>
      </c>
      <c r="AM17" s="471" t="str">
        <f t="shared" si="18"/>
        <v/>
      </c>
      <c r="AN17" s="469" t="str">
        <f t="shared" si="19"/>
        <v/>
      </c>
      <c r="AO17" s="475" t="str">
        <f>'Trung tâm nhập liệu'!V70</f>
        <v/>
      </c>
      <c r="AP17" s="476" t="str">
        <f>'Trung tâm nhập liệu'!W70</f>
        <v/>
      </c>
      <c r="AQ17" s="478" t="str">
        <f>IF(AI17&lt;&gt;"Có thời hạn","",IF(OR(I17="",AE17="",X17="Hoàn thành",X17="Hủy",COUNTIFS('Lớp 4 - Danh mục'!$J$14:$J$132,I17,'Lớp 4 - Danh mục'!$AA$14:$AA$132,"&lt;&gt;Hủy")&gt;0),"",LET(canNgay,MAX(0,AE17*(1-AC17))/MAX(1,AD17),IF(AO17="Ngày",canNgay,IF(AO17="Tuần",canNgay*5,"")))))</f>
        <v/>
      </c>
      <c r="AR17" s="465" t="str">
        <f>IF(I17="","",IF(COUNTIFS('Lớp 4 - Danh mục'!$J$14:$J$132,I17,'Lớp 4 - Danh mục'!$AA$14:$AA$132,"&lt;&gt;Hủy")&gt;0,"Theo dõi phân bổ tại Lớp 4",IF(OR(X17="Hoàn thành",X17="Hủy"),X17,IF(AE17="","Thiếu tổng giờ",IF(OR(AO17="",AP17=""),"Thiếu tham số phân bổ",IF(AP17&lt;=0,"Phân bổ phải &gt; 0",IF(AI17&lt;&gt;"Có thời hạn","Đã có phân bổ",IF(AQ17="","Chưa đủ dữ liệu hạn",IF(AP17&gt;=AQ17,"Đủ phân bổ theo "&amp;LOWER(AO17),"Thiếu "&amp;TEXT(AQ17-AP17,"0.0")&amp;" giờ/"&amp;LOWER(AO17))))))))))</f>
        <v>Theo dõi phân bổ tại Lớp 4</v>
      </c>
      <c r="AS17" s="465" t="str">
        <f t="shared" si="20"/>
        <v>OK</v>
      </c>
      <c r="AT17" s="479" t="str">
        <f>'Trung tâm nhập liệu'!Y70</f>
        <v/>
      </c>
    </row>
    <row r="18" ht="15.75" customHeight="1">
      <c r="A18" s="383">
        <f t="shared" si="11"/>
        <v>5</v>
      </c>
      <c r="B18" s="387" t="str">
        <f>'Trung tâm nhập liệu'!F71</f>
        <v>Danh mục SP OEM đề xuất</v>
      </c>
      <c r="C18" s="394" t="str">
        <f>'Trung tâm nhập liệu'!M71</f>
        <v>P2</v>
      </c>
      <c r="D18" s="504">
        <f t="shared" ref="D18:E18" si="27">AC18</f>
        <v>0</v>
      </c>
      <c r="E18" s="484">
        <f t="shared" si="27"/>
        <v>23</v>
      </c>
      <c r="F18" s="407">
        <f t="shared" ref="F18:G18" si="28">Q18</f>
        <v>46274</v>
      </c>
      <c r="G18" s="407">
        <f t="shared" si="28"/>
        <v>46223</v>
      </c>
      <c r="H18" s="411" t="str">
        <f>IF(B18="","",IF(COUNTIF('Lớp 4 - Danh mục'!$J$14:$J$132,I18)&gt;0,"Có","Không"))</f>
        <v>Có</v>
      </c>
      <c r="I18" s="414" t="str">
        <f>'Trung tâm nhập liệu'!B71</f>
        <v>HHL3RD02</v>
      </c>
      <c r="J18" s="415">
        <f>'Trung tâm nhập liệu'!E71</f>
        <v>2026</v>
      </c>
      <c r="K18" s="469" t="s">
        <v>87</v>
      </c>
      <c r="L18" s="521" t="s">
        <v>78</v>
      </c>
      <c r="M18" s="419" t="str">
        <f t="shared" ref="M18:P18" si="29">B18</f>
        <v>Danh mục SP OEM đề xuất</v>
      </c>
      <c r="N18" s="420" t="str">
        <f t="shared" si="29"/>
        <v>P2</v>
      </c>
      <c r="O18" s="421">
        <f t="shared" si="29"/>
        <v>0</v>
      </c>
      <c r="P18" s="422">
        <f t="shared" si="29"/>
        <v>23</v>
      </c>
      <c r="Q18" s="426">
        <f>IF($I18="","",LET(n,COUNTIFS('Lớp 4 - Danh mục'!$J$14:$J$132,$I18,'Lớp 4 - Danh mục'!$AA$14:$AA$132,"&lt;&gt;Hủy"),child,IFERROR(MAXIFS('Lớp 4 - Danh mục'!$AD$14:$AD$132,'Lớp 4 - Danh mục'!$J$14:$J$132,$I18,'Lớp 4 - Danh mục'!$AA$14:$AA$132,"&lt;&gt;Hủy",'Lớp 4 - Danh mục'!$AD$14:$AD$132,"&gt;0"),0),plan,'Trung tâm nhập liệu'!Q71,emergent,LOWER(TRIM('Trung tâm nhập liệu'!O71))="khi phát sinh",IF(n=0,IF(emergent,"",plan),IF(child=0,IF(emergent,"",plan),IF(OR(emergent,plan=""),child,MAX(plan,child))))))</f>
        <v>46274</v>
      </c>
      <c r="R18" s="430">
        <f>IF($I18="","",LET(n,COUNTIFS('Lớp 4 - Danh mục'!$J$14:$J$132,$I18,'Lớp 4 - Danh mục'!$AA$14:$AA$132,"&lt;&gt;Hủy"),child,IFERROR(MINIFS('Lớp 4 - Danh mục'!$AC$14:$AC$132,'Lớp 4 - Danh mục'!$J$14:$J$132,$I18,'Lớp 4 - Danh mục'!$AA$14:$AA$132,"&lt;&gt;Hủy",'Lớp 4 - Danh mục'!$AC$14:$AC$132,"&gt;0"),0),plan,'Trung tâm nhập liệu'!R71,emergent,LOWER(TRIM('Trung tâm nhập liệu'!O71))="khi phát sinh",IF(n=0,IF(emergent,"",plan),IF(child=0,IF(emergent,"",plan),IF(OR(emergent,plan=""),child,MIN(plan,child))))))</f>
        <v>46223</v>
      </c>
      <c r="S18" s="411" t="str">
        <f t="shared" si="15"/>
        <v>Có</v>
      </c>
      <c r="T18" s="414" t="str">
        <f>'Trung tâm nhập liệu'!G71</f>
        <v>Được TGĐ phê duyệt</v>
      </c>
      <c r="U18" s="433" t="str">
        <f>'Trung tâm nhập liệu'!J71</f>
        <v>GĐ BOC</v>
      </c>
      <c r="V18" s="435" t="str">
        <f>'Trung tâm nhập liệu'!K71</f>
        <v>Ms Trang</v>
      </c>
      <c r="W18" s="435" t="str">
        <f>'Trung tâm nhập liệu'!I71</f>
        <v>R&amp;D</v>
      </c>
      <c r="X18" s="437" t="str">
        <f>'Trung tâm nhập liệu'!L71</f>
        <v>Đang thực hiện</v>
      </c>
      <c r="Y18" s="420" t="str">
        <f>'Trung tâm nhập liệu'!M71</f>
        <v>P2</v>
      </c>
      <c r="Z18" s="430">
        <f t="shared" si="16"/>
        <v>46223</v>
      </c>
      <c r="AA18" s="426">
        <f t="shared" si="17"/>
        <v>46274</v>
      </c>
      <c r="AB18" s="516">
        <f>IF(AI18&lt;&gt;"Có thời hạn","",IF(OR(Z18="",AA18=""),"",IF(AA18&lt;Z18,"",_xlfn.NETWORKDAYS.INTL(Z18,AA18,11,'Ngày nghỉ lễ'!$A$5:$A$80))))</f>
        <v>43</v>
      </c>
      <c r="AC18" s="446">
        <f>IF(I18="","",IF(L18="Công việc khác","",IF(OR(X18="Chưa lên lịch",X18="Đã lên lịch",X18="Hủy"),"",IF(COUNTIFS('Lớp 4 - Danh mục'!$J$14:$J$132,I18,'Lớp 4 - Danh mục'!$AA$14:$AA$132,"&lt;&gt;",'Lớp 4 - Danh mục'!$AA$14:$AA$132,"&lt;&gt;Hủy",'Lớp 4 - Danh mục'!$AA$14:$AA$132,"&lt;&gt;Chưa lên lịch",'Lớp 4 - Danh mục'!$AA$14:$AA$132,"&lt;&gt;Đã lên lịch")&gt;0,SUMIFS('Lớp 4 - Danh mục'!$AF$14:$AF$132,'Lớp 4 - Danh mục'!$J$14:$J$132,I18,'Lớp 4 - Danh mục'!$AA$14:$AA$132,"&lt;&gt;",'Lớp 4 - Danh mục'!$AA$14:$AA$132,"&lt;&gt;Hủy",'Lớp 4 - Danh mục'!$AA$14:$AA$132,"&lt;&gt;Chưa lên lịch",'Lớp 4 - Danh mục'!$AA$14:$AA$132,"&lt;&gt;Đã lên lịch")/COUNTIFS('Lớp 4 - Danh mục'!$J$14:$J$132,I18,'Lớp 4 - Danh mục'!$AA$14:$AA$132,"&lt;&gt;",'Lớp 4 - Danh mục'!$AA$14:$AA$132,"&lt;&gt;Hủy",'Lớp 4 - Danh mục'!$AA$14:$AA$132,"&lt;&gt;Chưa lên lịch",'Lớp 4 - Danh mục'!$AA$14:$AA$132,"&lt;&gt;Đã lên lịch"),IF(X18="Hoàn thành",1,0)))))</f>
        <v>0</v>
      </c>
      <c r="AD18" s="516">
        <f>IF(AI18&lt;&gt;"Có thời hạn","",IF(OR(I18="",Z18="",AA18=""),"",IF(OR(X18="Hoàn thành",X18="Hủy"),0,IF(AA18&lt;TODAY(),-_xlfn.NETWORKDAYS.INTL(AA18,TODAY()-1,11,'Ngày nghỉ lễ'!$A$5:$A$80),MAX(0,_xlfn.NETWORKDAYS.INTL(MAX(TODAY()+1,Z18),AA18,11,'Ngày nghỉ lễ'!$A$5:$A$80))))))</f>
        <v>23</v>
      </c>
      <c r="AE18" s="448">
        <f>IF($I18="","",LET(n,COUNTIFS('Lớp 4 - Danh mục'!$J$14:$J$132,$I18,'Lớp 4 - Danh mục'!$AA$14:$AA$132,"&lt;&gt;Hủy"),du,COUNTIFS('Lớp 4 - Danh mục'!$J$14:$J$132,$I18,'Lớp 4 - Danh mục'!$AA$14:$AA$132,"&lt;&gt;Hủy",'Lớp 4 - Danh mục'!$AH$14:$AH$132,"&lt;&gt;"),IF(n=0,'Trung tâm nhập liệu'!T71,IF(du&lt;n,"",SUMIFS('Lớp 4 - Danh mục'!$AH$14:$AH$132,'Lớp 4 - Danh mục'!$J$14:$J$132,$I18,'Lớp 4 - Danh mục'!$AA$14:$AA$132,"&lt;&gt;Hủy")))))</f>
        <v>120</v>
      </c>
      <c r="AF18" s="510" t="str">
        <f>IF(I18="","",IF(OR(X18="Hoàn thành",X18="Hủy"),"",IF(COUNTIFS('Lớp 4 - Danh mục'!$J$14:$J$132,I18,'Lớp 4 - Danh mục'!$AA$14:$AA$132,"&lt;&gt;Hủy")&gt;0,"",IF(AO18="Ngày",AP18,IF(AO18="Tuần",AP18/5,"")))))</f>
        <v/>
      </c>
      <c r="AG18" s="456" t="str">
        <f>IF(AI18="Chưa xếp lịch","Chưa xếp lịch",IF(AI18="Định kỳ",IF(AJ18="","Thiếu chu kỳ","Theo chu kỳ"),IF(AI18="Khi phát sinh",IF(COUNTIFS('Lớp 4 - Danh mục'!$J$14:$J$132,$I18,'Lớp 4 - Danh mục'!$AA$14:$AA$132,"&lt;&gt;Hủy")=0,"Khi phát sinh – chờ việc con","Khi phát sinh – theo ngày con"),IF(I18="","",LET(n,COUNTIFS('Lớp 4 - Danh mục'!$J$14:$J$132,$I18,'Lớp 4 - Danh mục'!$AA$14:$AA$132,"&lt;&gt;Hủy"),cs,IFERROR(MINIFS('Lớp 4 - Danh mục'!$AC$14:$AC$132,'Lớp 4 - Danh mục'!$J$14:$J$132,$I18,'Lớp 4 - Danh mục'!$AA$14:$AA$132,"&lt;&gt;Hủy",'Lớp 4 - Danh mục'!$AC$14:$AC$132,"&gt;0"),0),ce,IFERROR(MAXIFS('Lớp 4 - Danh mục'!$AD$14:$AD$132,'Lớp 4 - Danh mục'!$J$14:$J$132,$I18,'Lớp 4 - Danh mục'!$AA$14:$AA$132,"&lt;&gt;Hủy",'Lớp 4 - Danh mục'!$AD$14:$AD$132,"&gt;0"),0),ps,'Trung tâm nhập liệu'!R71,pe,'Trung tâm nhập liệu'!Q71,IF(OR(Z18="",AA18=""),"Thiếu ngày L3",IF(n=0,"Chưa có L4",IF(OR(cs=0,ce=0),"Thiếu ngày L4",IF(OR(ps="",pe=""),"Thiếu ngày kế hoạch gốc L3",IF(OR(cs&lt;ps,ce&gt;pe),"Cảnh báo: Con vượt khung kế hoạch gốc","L4 đúng khung kế hoạch gốc"))))))))))</f>
        <v>L4 đúng khung kế hoạch gốc</v>
      </c>
      <c r="AH18" s="465" t="str">
        <f>IF(OR(AR18="Thiếu tham số phân bổ",AR18="Phân bổ phải &gt; 0"),AR18,SWITCH(AI18,"Chưa xếp lịch","Chưa tính tải","Định kỳ","Theo chu kỳ","Khi phát sinh","Khi phát sinh",IF(I18="","",IF(OR(X18="Hoàn thành",X18="Hủy"),X18,IF(COUNTIFS('Lớp 4 - Danh mục'!$J$14:$J$132,I18,'Lớp 4 - Danh mục'!$AA$14:$AA$132,"&lt;&gt;Hủy")&gt;0,"Theo dõi tải tại Lớp 4",IF(AE18="","Chưa nhập khối lượng",IF(V18="","Thiếu người thực hiện",IF(OR(Z18="",AA18=""),"Chưa nhập đủ thời gian",IF(AD18&lt;0,"Quá hạn – còn "&amp;TEXT(MAX(0,AE18*(1-AC18)),"0.0")&amp;" giờ",LET(bd,MAX(TODAY(),Z18),kt,AA18,nguoi,V18,tai,SUMIFS('Lớp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4</v>
      </c>
      <c r="AI18" s="467" t="str">
        <f>'Trung tâm nhập liệu'!O71</f>
        <v>Có thời hạn</v>
      </c>
      <c r="AJ18" s="469" t="str">
        <f>'Trung tâm nhập liệu'!P71</f>
        <v/>
      </c>
      <c r="AK18" s="470" t="str">
        <f>'Trung tâm nhập liệu'!S71</f>
        <v/>
      </c>
      <c r="AL18" s="470" t="str">
        <f>'Trung tâm nhập liệu'!X71</f>
        <v/>
      </c>
      <c r="AM18" s="471" t="str">
        <f t="shared" si="18"/>
        <v/>
      </c>
      <c r="AN18" s="469" t="str">
        <f t="shared" si="19"/>
        <v/>
      </c>
      <c r="AO18" s="475" t="str">
        <f>'Trung tâm nhập liệu'!V71</f>
        <v/>
      </c>
      <c r="AP18" s="476" t="str">
        <f>'Trung tâm nhập liệu'!W71</f>
        <v/>
      </c>
      <c r="AQ18" s="478" t="str">
        <f>IF(AI18&lt;&gt;"Có thời hạn","",IF(OR(I18="",AE18="",X18="Hoàn thành",X18="Hủy",COUNTIFS('Lớp 4 - Danh mục'!$J$14:$J$132,I18,'Lớp 4 - Danh mục'!$AA$14:$AA$132,"&lt;&gt;Hủy")&gt;0),"",LET(canNgay,MAX(0,AE18*(1-AC18))/MAX(1,AD18),IF(AO18="Ngày",canNgay,IF(AO18="Tuần",canNgay*5,"")))))</f>
        <v/>
      </c>
      <c r="AR18" s="465" t="str">
        <f>IF(I18="","",IF(COUNTIFS('Lớp 4 - Danh mục'!$J$14:$J$132,I18,'Lớp 4 - Danh mục'!$AA$14:$AA$132,"&lt;&gt;Hủy")&gt;0,"Theo dõi phân bổ tại Lớp 4",IF(OR(X18="Hoàn thành",X18="Hủy"),X18,IF(AE18="","Thiếu tổng giờ",IF(OR(AO18="",AP18=""),"Thiếu tham số phân bổ",IF(AP18&lt;=0,"Phân bổ phải &gt; 0",IF(AI18&lt;&gt;"Có thời hạn","Đã có phân bổ",IF(AQ18="","Chưa đủ dữ liệu hạn",IF(AP18&gt;=AQ18,"Đủ phân bổ theo "&amp;LOWER(AO18),"Thiếu "&amp;TEXT(AQ18-AP18,"0.0")&amp;" giờ/"&amp;LOWER(AO18))))))))))</f>
        <v>Theo dõi phân bổ tại Lớp 4</v>
      </c>
      <c r="AS18" s="465" t="str">
        <f t="shared" si="20"/>
        <v>OK</v>
      </c>
      <c r="AT18" s="479" t="str">
        <f>'Trung tâm nhập liệu'!Y71</f>
        <v/>
      </c>
    </row>
    <row r="19" ht="15.75" customHeight="1">
      <c r="A19" s="383" t="str">
        <f t="shared" si="11"/>
        <v>#REF!</v>
      </c>
      <c r="B19" s="387" t="str">
        <f t="shared" ref="B19:C19" si="30">#REF!</f>
        <v>#REF!</v>
      </c>
      <c r="C19" s="394" t="str">
        <f t="shared" si="30"/>
        <v>#REF!</v>
      </c>
      <c r="D19" s="504" t="str">
        <f t="shared" ref="D19:E19" si="31">AC19</f>
        <v>#REF!</v>
      </c>
      <c r="E19" s="484" t="str">
        <f t="shared" si="31"/>
        <v>#REF!</v>
      </c>
      <c r="F19" s="407" t="str">
        <f t="shared" ref="F19:G19" si="32">Q19</f>
        <v>#REF!</v>
      </c>
      <c r="G19" s="407" t="str">
        <f t="shared" si="32"/>
        <v>#REF!</v>
      </c>
      <c r="H19" s="411" t="str">
        <f>IF(B19="","",IF(COUNTIF('Lớp 4 - Danh mục'!$J$14:$J$132,I19)&gt;0,"Có","Không"))</f>
        <v>#REF!</v>
      </c>
      <c r="I19" s="414" t="str">
        <f t="shared" ref="I19:J19" si="33">#REF!</f>
        <v>#REF!</v>
      </c>
      <c r="J19" s="415" t="str">
        <f t="shared" si="33"/>
        <v>#REF!</v>
      </c>
      <c r="K19" s="469" t="s">
        <v>87</v>
      </c>
      <c r="L19" s="521" t="s">
        <v>78</v>
      </c>
      <c r="M19" s="419" t="str">
        <f t="shared" ref="M19:P19" si="34">B19</f>
        <v>#REF!</v>
      </c>
      <c r="N19" s="420" t="str">
        <f t="shared" si="34"/>
        <v>#REF!</v>
      </c>
      <c r="O19" s="421" t="str">
        <f t="shared" si="34"/>
        <v>#REF!</v>
      </c>
      <c r="P19" s="422" t="str">
        <f t="shared" si="34"/>
        <v>#REF!</v>
      </c>
      <c r="Q19" s="426" t="str">
        <f>IF($I19="","",LET(n,COUNTIFS('Lớp 4 - Danh mục'!$J$14:$J$132,$I19,'Lớp 4 - Danh mục'!$AA$14:$AA$132,"&lt;&gt;Hủy"),child,IFERROR(MAXIFS('Lớp 4 - Danh mục'!$AD$14:$AD$132,'Lớp 4 - Danh mục'!$J$14:$J$132,$I19,'Lớp 4 - Danh mục'!$AA$14:$AA$132,"&lt;&gt;Hủy",'Lớp 4 - Danh mục'!$AD$14:$AD$132,"&gt;0"),0),plan,#REF!,emergent,LOWER(TRIM(#REF!))="khi phát sinh",IF(n=0,IF(emergent,"",plan),IF(child=0,IF(emergent,"",plan),IF(OR(emergent,plan=""),child,MAX(plan,child))))))</f>
        <v>#REF!</v>
      </c>
      <c r="R19" s="430" t="str">
        <f>IF($I19="","",LET(n,COUNTIFS('Lớp 4 - Danh mục'!$J$14:$J$132,$I19,'Lớp 4 - Danh mục'!$AA$14:$AA$132,"&lt;&gt;Hủy"),child,IFERROR(MINIFS('Lớp 4 - Danh mục'!$AC$14:$AC$132,'Lớp 4 - Danh mục'!$J$14:$J$132,$I19,'Lớp 4 - Danh mục'!$AA$14:$AA$132,"&lt;&gt;Hủy",'Lớp 4 - Danh mục'!$AC$14:$AC$132,"&gt;0"),0),plan,#REF!,emergent,LOWER(TRIM(#REF!))="khi phát sinh",IF(n=0,IF(emergent,"",plan),IF(child=0,IF(emergent,"",plan),IF(OR(emergent,plan=""),child,MIN(plan,child))))))</f>
        <v>#REF!</v>
      </c>
      <c r="S19" s="411" t="str">
        <f t="shared" si="15"/>
        <v>#REF!</v>
      </c>
      <c r="T19" s="414" t="str">
        <f t="shared" ref="T19:Y19" si="35">#REF!</f>
        <v>#REF!</v>
      </c>
      <c r="U19" s="433" t="str">
        <f t="shared" si="35"/>
        <v>#REF!</v>
      </c>
      <c r="V19" s="435" t="str">
        <f t="shared" si="35"/>
        <v>#REF!</v>
      </c>
      <c r="W19" s="435" t="str">
        <f t="shared" si="35"/>
        <v>#REF!</v>
      </c>
      <c r="X19" s="437" t="str">
        <f t="shared" si="35"/>
        <v>#REF!</v>
      </c>
      <c r="Y19" s="420" t="str">
        <f t="shared" si="35"/>
        <v>#REF!</v>
      </c>
      <c r="Z19" s="430" t="str">
        <f t="shared" si="16"/>
        <v>#REF!</v>
      </c>
      <c r="AA19" s="426" t="str">
        <f t="shared" si="17"/>
        <v>#REF!</v>
      </c>
      <c r="AB19" s="516" t="str">
        <f>IF(AI19&lt;&gt;"Có thời hạn","",IF(OR(Z19="",AA19=""),"",IF(AA19&lt;Z19,"",_xlfn.NETWORKDAYS.INTL(Z19,AA19,11,'Ngày nghỉ lễ'!$A$5:$A$80))))</f>
        <v>#REF!</v>
      </c>
      <c r="AC19" s="446" t="str">
        <f>IF(I19="","",IF(L19="Công việc khác","",IF(OR(X19="Chưa lên lịch",X19="Đã lên lịch",X19="Hủy"),"",IF(COUNTIFS('Lớp 4 - Danh mục'!$J$14:$J$132,I19,'Lớp 4 - Danh mục'!$AA$14:$AA$132,"&lt;&gt;",'Lớp 4 - Danh mục'!$AA$14:$AA$132,"&lt;&gt;Hủy",'Lớp 4 - Danh mục'!$AA$14:$AA$132,"&lt;&gt;Chưa lên lịch",'Lớp 4 - Danh mục'!$AA$14:$AA$132,"&lt;&gt;Đã lên lịch")&gt;0,SUMIFS('Lớp 4 - Danh mục'!$AF$14:$AF$132,'Lớp 4 - Danh mục'!$J$14:$J$132,I19,'Lớp 4 - Danh mục'!$AA$14:$AA$132,"&lt;&gt;",'Lớp 4 - Danh mục'!$AA$14:$AA$132,"&lt;&gt;Hủy",'Lớp 4 - Danh mục'!$AA$14:$AA$132,"&lt;&gt;Chưa lên lịch",'Lớp 4 - Danh mục'!$AA$14:$AA$132,"&lt;&gt;Đã lên lịch")/COUNTIFS('Lớp 4 - Danh mục'!$J$14:$J$132,I19,'Lớp 4 - Danh mục'!$AA$14:$AA$132,"&lt;&gt;",'Lớp 4 - Danh mục'!$AA$14:$AA$132,"&lt;&gt;Hủy",'Lớp 4 - Danh mục'!$AA$14:$AA$132,"&lt;&gt;Chưa lên lịch",'Lớp 4 - Danh mục'!$AA$14:$AA$132,"&lt;&gt;Đã lên lịch"),IF(X19="Hoàn thành",1,0)))))</f>
        <v>#REF!</v>
      </c>
      <c r="AD19" s="516" t="str">
        <f>IF(AI19&lt;&gt;"Có thời hạn","",IF(OR(I19="",Z19="",AA19=""),"",IF(OR(X19="Hoàn thành",X19="Hủy"),0,IF(AA19&lt;TODAY(),-_xlfn.NETWORKDAYS.INTL(AA19,TODAY()-1,11,'Ngày nghỉ lễ'!$A$5:$A$80),MAX(0,_xlfn.NETWORKDAYS.INTL(MAX(TODAY()+1,Z19),AA19,11,'Ngày nghỉ lễ'!$A$5:$A$80))))))</f>
        <v>#REF!</v>
      </c>
      <c r="AE19" s="448" t="str">
        <f>IF($I19="","",LET(n,COUNTIFS('Lớp 4 - Danh mục'!$J$14:$J$132,$I19,'Lớp 4 - Danh mục'!$AA$14:$AA$132,"&lt;&gt;Hủy"),du,COUNTIFS('Lớp 4 - Danh mục'!$J$14:$J$132,$I19,'Lớp 4 - Danh mục'!$AA$14:$AA$132,"&lt;&gt;Hủy",'Lớp 4 - Danh mục'!$AH$14:$AH$132,"&lt;&gt;"),IF(n=0,#REF!,IF(du&lt;n,"",SUMIFS('Lớp 4 - Danh mục'!$AH$14:$AH$132,'Lớp 4 - Danh mục'!$J$14:$J$132,$I19,'Lớp 4 - Danh mục'!$AA$14:$AA$132,"&lt;&gt;Hủy")))))</f>
        <v>#REF!</v>
      </c>
      <c r="AF19" s="510" t="str">
        <f>IF(I19="","",IF(OR(X19="Hoàn thành",X19="Hủy"),"",IF(COUNTIFS('Lớp 4 - Danh mục'!$J$14:$J$132,I19,'Lớp 4 - Danh mục'!$AA$14:$AA$132,"&lt;&gt;Hủy")&gt;0,"",IF(AO19="Ngày",AP19,IF(AO19="Tuần",AP19/5,"")))))</f>
        <v>#REF!</v>
      </c>
      <c r="AG19" s="456" t="str">
        <f>IF(AI19="Chưa xếp lịch","Chưa xếp lịch",IF(AI19="Định kỳ",IF(AJ19="","Thiếu chu kỳ","Theo chu kỳ"),IF(AI19="Khi phát sinh",IF(COUNTIFS('Lớp 4 - Danh mục'!$J$14:$J$132,$I19,'Lớp 4 - Danh mục'!$AA$14:$AA$132,"&lt;&gt;Hủy")=0,"Khi phát sinh – chờ việc con","Khi phát sinh – theo ngày con"),IF(I19="","",LET(n,COUNTIFS('Lớp 4 - Danh mục'!$J$14:$J$132,$I19,'Lớp 4 - Danh mục'!$AA$14:$AA$132,"&lt;&gt;Hủy"),cs,IFERROR(MINIFS('Lớp 4 - Danh mục'!$AC$14:$AC$132,'Lớp 4 - Danh mục'!$J$14:$J$132,$I19,'Lớp 4 - Danh mục'!$AA$14:$AA$132,"&lt;&gt;Hủy",'Lớp 4 - Danh mục'!$AC$14:$AC$132,"&gt;0"),0),ce,IFERROR(MAXIFS('Lớp 4 - Danh mục'!$AD$14:$AD$132,'Lớp 4 - Danh mục'!$J$14:$J$132,$I19,'Lớp 4 - Danh mục'!$AA$14:$AA$132,"&lt;&gt;Hủy",'Lớp 4 - Danh mục'!$AD$14:$AD$132,"&gt;0"),0),ps,#REF!,pe,#REF!,IF(OR(Z19="",AA19=""),"Thiếu ngày L3",IF(n=0,"Chưa có L4",IF(OR(cs=0,ce=0),"Thiếu ngày L4",IF(OR(ps="",pe=""),"Thiếu ngày kế hoạch gốc L3",IF(OR(cs&lt;ps,ce&gt;pe),"Cảnh báo: Con vượt khung kế hoạch gốc","L4 đúng khung kế hoạch gốc"))))))))))</f>
        <v>#REF!</v>
      </c>
      <c r="AH19" s="465" t="str">
        <f>IF(OR(AR19="Thiếu tham số phân bổ",AR19="Phân bổ phải &gt; 0"),AR19,SWITCH(AI19,"Chưa xếp lịch","Chưa tính tải","Định kỳ","Theo chu kỳ","Khi phát sinh","Khi phát sinh",IF(I19="","",IF(OR(X19="Hoàn thành",X19="Hủy"),X19,IF(COUNTIFS('Lớp 4 - Danh mục'!$J$14:$J$132,I19,'Lớp 4 - Danh mục'!$AA$14:$AA$132,"&lt;&gt;Hủy")&gt;0,"Theo dõi tải tại Lớp 4",IF(AE19="","Chưa nhập khối lượng",IF(V19="","Thiếu người thực hiện",IF(OR(Z19="",AA19=""),"Chưa nhập đủ thời gian",IF(AD19&lt;0,"Quá hạn – còn "&amp;TEXT(MAX(0,AE19*(1-AC19)),"0.0")&amp;" giờ",LET(bd,MAX(TODAY(),Z19),kt,AA19,nguoi,V19,tai,SUMIFS('Lớp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#REF!</v>
      </c>
      <c r="AI19" s="467" t="str">
        <f t="shared" ref="AI19:AL19" si="36">#REF!</f>
        <v>#REF!</v>
      </c>
      <c r="AJ19" s="469" t="str">
        <f t="shared" si="36"/>
        <v>#REF!</v>
      </c>
      <c r="AK19" s="470" t="str">
        <f t="shared" si="36"/>
        <v>#REF!</v>
      </c>
      <c r="AL19" s="470" t="str">
        <f t="shared" si="36"/>
        <v>#REF!</v>
      </c>
      <c r="AM19" s="471" t="str">
        <f t="shared" si="18"/>
        <v>#REF!</v>
      </c>
      <c r="AN19" s="469" t="str">
        <f t="shared" si="19"/>
        <v>#REF!</v>
      </c>
      <c r="AO19" s="475" t="str">
        <f t="shared" ref="AO19:AP19" si="37">#REF!</f>
        <v>#REF!</v>
      </c>
      <c r="AP19" s="476" t="str">
        <f t="shared" si="37"/>
        <v>#REF!</v>
      </c>
      <c r="AQ19" s="478" t="str">
        <f>IF(AI19&lt;&gt;"Có thời hạn","",IF(OR(I19="",AE19="",X19="Hoàn thành",X19="Hủy",COUNTIFS('Lớp 4 - Danh mục'!$J$14:$J$132,I19,'Lớp 4 - Danh mục'!$AA$14:$AA$132,"&lt;&gt;Hủy")&gt;0),"",LET(canNgay,MAX(0,AE19*(1-AC19))/MAX(1,AD19),IF(AO19="Ngày",canNgay,IF(AO19="Tuần",canNgay*5,"")))))</f>
        <v>#REF!</v>
      </c>
      <c r="AR19" s="465" t="str">
        <f>IF(I19="","",IF(COUNTIFS('Lớp 4 - Danh mục'!$J$14:$J$132,I19,'Lớp 4 - Danh mục'!$AA$14:$AA$132,"&lt;&gt;Hủy")&gt;0,"Theo dõi phân bổ tại Lớp 4",IF(OR(X19="Hoàn thành",X19="Hủy"),X19,IF(AE19="","Thiếu tổng giờ",IF(OR(AO19="",AP19=""),"Thiếu tham số phân bổ",IF(AP19&lt;=0,"Phân bổ phải &gt; 0",IF(AI19&lt;&gt;"Có thời hạn","Đã có phân bổ",IF(AQ19="","Chưa đủ dữ liệu hạn",IF(AP19&gt;=AQ19,"Đủ phân bổ theo "&amp;LOWER(AO19),"Thiếu "&amp;TEXT(AQ19-AP19,"0.0")&amp;" giờ/"&amp;LOWER(AO19))))))))))</f>
        <v>#REF!</v>
      </c>
      <c r="AS19" s="465" t="str">
        <f t="shared" si="20"/>
        <v>#REF!</v>
      </c>
      <c r="AT19" s="479" t="str">
        <f>#REF!</f>
        <v>#REF!</v>
      </c>
    </row>
    <row r="20" ht="15.75" customHeight="1">
      <c r="A20" s="383">
        <f t="shared" si="11"/>
        <v>7</v>
      </c>
      <c r="B20" s="387" t="str">
        <f>'Trung tâm nhập liệu'!F72</f>
        <v>Xây dựng master file &amp; xác định điểm A</v>
      </c>
      <c r="C20" s="394" t="str">
        <f>'Trung tâm nhập liệu'!M72</f>
        <v>P2</v>
      </c>
      <c r="D20" s="568">
        <f t="shared" ref="D20:E20" si="38">AC20</f>
        <v>0</v>
      </c>
      <c r="E20" s="484">
        <f t="shared" si="38"/>
        <v>104</v>
      </c>
      <c r="F20" s="407">
        <f t="shared" ref="F20:G20" si="39">Q20</f>
        <v>46368</v>
      </c>
      <c r="G20" s="407">
        <f t="shared" si="39"/>
        <v>46223</v>
      </c>
      <c r="H20" s="411" t="str">
        <f>IF(B20="","",IF(COUNTIF('Lớp 4 - Danh mục'!$J$14:$J$132,I20)&gt;0,"Có","Không"))</f>
        <v>Không</v>
      </c>
      <c r="I20" s="414" t="str">
        <f>'Trung tâm nhập liệu'!B72</f>
        <v>HHL3RD04</v>
      </c>
      <c r="J20" s="415">
        <f>'Trung tâm nhập liệu'!E72</f>
        <v>2026</v>
      </c>
      <c r="K20" s="469" t="s">
        <v>87</v>
      </c>
      <c r="L20" s="521" t="s">
        <v>88</v>
      </c>
      <c r="M20" s="419" t="str">
        <f t="shared" ref="M20:P20" si="40">B20</f>
        <v>Xây dựng master file &amp; xác định điểm A</v>
      </c>
      <c r="N20" s="420" t="str">
        <f t="shared" si="40"/>
        <v>P2</v>
      </c>
      <c r="O20" s="421">
        <f t="shared" si="40"/>
        <v>0</v>
      </c>
      <c r="P20" s="422">
        <f t="shared" si="40"/>
        <v>104</v>
      </c>
      <c r="Q20" s="426">
        <f>IF($I20="","",LET(n,COUNTIFS('Lớp 4 - Danh mục'!$J$14:$J$132,$I20,'Lớp 4 - Danh mục'!$AA$14:$AA$132,"&lt;&gt;Hủy"),child,IFERROR(MAXIFS('Lớp 4 - Danh mục'!$AD$14:$AD$132,'Lớp 4 - Danh mục'!$J$14:$J$132,$I20,'Lớp 4 - Danh mục'!$AA$14:$AA$132,"&lt;&gt;Hủy",'Lớp 4 - Danh mục'!$AD$14:$AD$132,"&gt;0"),0),plan,'Trung tâm nhập liệu'!Q72,emergent,LOWER(TRIM('Trung tâm nhập liệu'!O72))="khi phát sinh",IF(n=0,IF(emergent,"",plan),IF(child=0,IF(emergent,"",plan),IF(OR(emergent,plan=""),child,MAX(plan,child))))))</f>
        <v>46368</v>
      </c>
      <c r="R20" s="430">
        <f>IF($I20="","",LET(n,COUNTIFS('Lớp 4 - Danh mục'!$J$14:$J$132,$I20,'Lớp 4 - Danh mục'!$AA$14:$AA$132,"&lt;&gt;Hủy"),child,IFERROR(MINIFS('Lớp 4 - Danh mục'!$AC$14:$AC$132,'Lớp 4 - Danh mục'!$J$14:$J$132,$I20,'Lớp 4 - Danh mục'!$AA$14:$AA$132,"&lt;&gt;Hủy",'Lớp 4 - Danh mục'!$AC$14:$AC$132,"&gt;0"),0),plan,'Trung tâm nhập liệu'!R72,emergent,LOWER(TRIM('Trung tâm nhập liệu'!O72))="khi phát sinh",IF(n=0,IF(emergent,"",plan),IF(child=0,IF(emergent,"",plan),IF(OR(emergent,plan=""),child,MIN(plan,child))))))</f>
        <v>46223</v>
      </c>
      <c r="S20" s="411" t="str">
        <f t="shared" si="15"/>
        <v>Không</v>
      </c>
      <c r="T20" s="414" t="str">
        <f>'Trung tâm nhập liệu'!G72</f>
        <v>Nhìn được hiện trạng trên BI</v>
      </c>
      <c r="U20" s="433" t="str">
        <f>'Trung tâm nhập liệu'!J72</f>
        <v>GĐ BOC</v>
      </c>
      <c r="V20" s="435" t="str">
        <f>'Trung tâm nhập liệu'!K72</f>
        <v>Ms Trang</v>
      </c>
      <c r="W20" s="435" t="str">
        <f>'Trung tâm nhập liệu'!I72</f>
        <v>R&amp;D</v>
      </c>
      <c r="X20" s="437" t="str">
        <f>'Trung tâm nhập liệu'!L72</f>
        <v>Đang thực hiện</v>
      </c>
      <c r="Y20" s="420" t="str">
        <f>'Trung tâm nhập liệu'!M72</f>
        <v>P2</v>
      </c>
      <c r="Z20" s="430">
        <f t="shared" si="16"/>
        <v>46223</v>
      </c>
      <c r="AA20" s="426">
        <f t="shared" si="17"/>
        <v>46368</v>
      </c>
      <c r="AB20" s="516">
        <f>IF(AI20&lt;&gt;"Có thời hạn","",IF(OR(Z20="",AA20=""),"",IF(AA20&lt;Z20,"",_xlfn.NETWORKDAYS.INTL(Z20,AA20,11,'Ngày nghỉ lễ'!$A$5:$A$80))))</f>
        <v>124</v>
      </c>
      <c r="AC20" s="446">
        <f>IF(I20="","",IF(L20="Công việc khác","",IF(OR(X20="Chưa lên lịch",X20="Đã lên lịch",X20="Hủy"),"",IF(COUNTIFS('Lớp 4 - Danh mục'!$J$14:$J$132,I20,'Lớp 4 - Danh mục'!$AA$14:$AA$132,"&lt;&gt;",'Lớp 4 - Danh mục'!$AA$14:$AA$132,"&lt;&gt;Hủy",'Lớp 4 - Danh mục'!$AA$14:$AA$132,"&lt;&gt;Chưa lên lịch",'Lớp 4 - Danh mục'!$AA$14:$AA$132,"&lt;&gt;Đã lên lịch")&gt;0,SUMIFS('Lớp 4 - Danh mục'!$AF$14:$AF$132,'Lớp 4 - Danh mục'!$J$14:$J$132,I20,'Lớp 4 - Danh mục'!$AA$14:$AA$132,"&lt;&gt;",'Lớp 4 - Danh mục'!$AA$14:$AA$132,"&lt;&gt;Hủy",'Lớp 4 - Danh mục'!$AA$14:$AA$132,"&lt;&gt;Chưa lên lịch",'Lớp 4 - Danh mục'!$AA$14:$AA$132,"&lt;&gt;Đã lên lịch")/COUNTIFS('Lớp 4 - Danh mục'!$J$14:$J$132,I20,'Lớp 4 - Danh mục'!$AA$14:$AA$132,"&lt;&gt;",'Lớp 4 - Danh mục'!$AA$14:$AA$132,"&lt;&gt;Hủy",'Lớp 4 - Danh mục'!$AA$14:$AA$132,"&lt;&gt;Chưa lên lịch",'Lớp 4 - Danh mục'!$AA$14:$AA$132,"&lt;&gt;Đã lên lịch"),IF(X20="Hoàn thành",1,0)))))</f>
        <v>0</v>
      </c>
      <c r="AD20" s="516">
        <f>IF(AI20&lt;&gt;"Có thời hạn","",IF(OR(I20="",Z20="",AA20=""),"",IF(OR(X20="Hoàn thành",X20="Hủy"),0,IF(AA20&lt;TODAY(),-_xlfn.NETWORKDAYS.INTL(AA20,TODAY()-1,11,'Ngày nghỉ lễ'!$A$5:$A$80),MAX(0,_xlfn.NETWORKDAYS.INTL(MAX(TODAY()+1,Z20),AA20,11,'Ngày nghỉ lễ'!$A$5:$A$80))))))</f>
        <v>104</v>
      </c>
      <c r="AE20" s="448">
        <f>IF($I20="","",LET(n,COUNTIFS('Lớp 4 - Danh mục'!$J$14:$J$132,$I20,'Lớp 4 - Danh mục'!$AA$14:$AA$132,"&lt;&gt;Hủy"),du,COUNTIFS('Lớp 4 - Danh mục'!$J$14:$J$132,$I20,'Lớp 4 - Danh mục'!$AA$14:$AA$132,"&lt;&gt;Hủy",'Lớp 4 - Danh mục'!$AH$14:$AH$132,"&lt;&gt;"),IF(n=0,'Trung tâm nhập liệu'!T72,IF(du&lt;n,"",SUMIFS('Lớp 4 - Danh mục'!$AH$14:$AH$132,'Lớp 4 - Danh mục'!$J$14:$J$132,$I20,'Lớp 4 - Danh mục'!$AA$14:$AA$132,"&lt;&gt;Hủy")))))</f>
        <v>160</v>
      </c>
      <c r="AF20" s="510" t="str">
        <f>IF(I20="","",IF(OR(X20="Hoàn thành",X20="Hủy"),"",IF(COUNTIFS('Lớp 4 - Danh mục'!$J$14:$J$132,I20,'Lớp 4 - Danh mục'!$AA$14:$AA$132,"&lt;&gt;Hủy")&gt;0,"",IF(AO20="Ngày",AP20,IF(AO20="Tuần",AP20/5,"")))))</f>
        <v/>
      </c>
      <c r="AG20" s="456" t="str">
        <f>IF(AI20="Chưa xếp lịch","Chưa xếp lịch",IF(AI20="Định kỳ",IF(AJ20="","Thiếu chu kỳ","Theo chu kỳ"),IF(AI20="Khi phát sinh",IF(COUNTIFS('Lớp 4 - Danh mục'!$J$14:$J$132,$I20,'Lớp 4 - Danh mục'!$AA$14:$AA$132,"&lt;&gt;Hủy")=0,"Khi phát sinh – chờ việc con","Khi phát sinh – theo ngày con"),IF(I20="","",LET(n,COUNTIFS('Lớp 4 - Danh mục'!$J$14:$J$132,$I20,'Lớp 4 - Danh mục'!$AA$14:$AA$132,"&lt;&gt;Hủy"),cs,IFERROR(MINIFS('Lớp 4 - Danh mục'!$AC$14:$AC$132,'Lớp 4 - Danh mục'!$J$14:$J$132,$I20,'Lớp 4 - Danh mục'!$AA$14:$AA$132,"&lt;&gt;Hủy",'Lớp 4 - Danh mục'!$AC$14:$AC$132,"&gt;0"),0),ce,IFERROR(MAXIFS('Lớp 4 - Danh mục'!$AD$14:$AD$132,'Lớp 4 - Danh mục'!$J$14:$J$132,$I20,'Lớp 4 - Danh mục'!$AA$14:$AA$132,"&lt;&gt;Hủy",'Lớp 4 - Danh mục'!$AD$14:$AD$132,"&gt;0"),0),ps,'Trung tâm nhập liệu'!R72,pe,'Trung tâm nhập liệu'!Q72,IF(OR(Z20="",AA20=""),"Thiếu ngày L3",IF(n=0,"Chưa có L4",IF(OR(cs=0,ce=0),"Thiếu ngày L4",IF(OR(ps="",pe=""),"Thiếu ngày kế hoạch gốc L3",IF(OR(cs&lt;ps,ce&gt;pe),"Cảnh báo: Con vượt khung kế hoạch gốc","L4 đúng khung kế hoạch gốc"))))))))))</f>
        <v>Chưa có L4</v>
      </c>
      <c r="AH20" s="465" t="str">
        <f>IF(OR(AR20="Thiếu tham số phân bổ",AR20="Phân bổ phải &gt; 0"),AR20,SWITCH(AI20,"Chưa xếp lịch","Chưa tính tải","Định kỳ","Theo chu kỳ","Khi phát sinh","Khi phát sinh",IF(I20="","",IF(OR(X20="Hoàn thành",X20="Hủy"),X20,IF(COUNTIFS('Lớp 4 - Danh mục'!$J$14:$J$132,I20,'Lớp 4 - Danh mục'!$AA$14:$AA$132,"&lt;&gt;Hủy")&gt;0,"Theo dõi tải tại Lớp 4",IF(AE20="","Chưa nhập khối lượng",IF(V20="","Thiếu người thực hiện",IF(OR(Z20="",AA20=""),"Chưa nhập đủ thời gian",IF(AD20&lt;0,"Quá hạn – còn "&amp;TEXT(MAX(0,AE20*(1-AC20)),"0.0")&amp;" giờ",LET(bd,MAX(TODAY(),Z20),kt,AA20,nguoi,V20,tai,SUMIFS('Lớp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20" s="467" t="str">
        <f>'Trung tâm nhập liệu'!O72</f>
        <v>Có thời hạn</v>
      </c>
      <c r="AJ20" s="469" t="str">
        <f>'Trung tâm nhập liệu'!P72</f>
        <v/>
      </c>
      <c r="AK20" s="470" t="str">
        <f>'Trung tâm nhập liệu'!S72</f>
        <v/>
      </c>
      <c r="AL20" s="470" t="str">
        <f>'Trung tâm nhập liệu'!X72</f>
        <v/>
      </c>
      <c r="AM20" s="471" t="str">
        <f t="shared" si="18"/>
        <v/>
      </c>
      <c r="AN20" s="469" t="str">
        <f t="shared" si="19"/>
        <v/>
      </c>
      <c r="AO20" s="475" t="str">
        <f>'Trung tâm nhập liệu'!V72</f>
        <v/>
      </c>
      <c r="AP20" s="476" t="str">
        <f>'Trung tâm nhập liệu'!W72</f>
        <v/>
      </c>
      <c r="AQ20" s="478" t="str">
        <f>IF(AI20&lt;&gt;"Có thời hạn","",IF(OR(I20="",AE20="",X20="Hoàn thành",X20="Hủy",COUNTIFS('Lớp 4 - Danh mục'!$J$14:$J$132,I20,'Lớp 4 - Danh mục'!$AA$14:$AA$132,"&lt;&gt;Hủy")&gt;0),"",LET(canNgay,MAX(0,AE20*(1-AC20))/MAX(1,AD20),IF(AO20="Ngày",canNgay,IF(AO20="Tuần",canNgay*5,"")))))</f>
        <v/>
      </c>
      <c r="AR20" s="465" t="str">
        <f>IF(I20="","",IF(COUNTIFS('Lớp 4 - Danh mục'!$J$14:$J$132,I20,'Lớp 4 - Danh mục'!$AA$14:$AA$132,"&lt;&gt;Hủy")&gt;0,"Theo dõi phân bổ tại Lớp 4",IF(OR(X20="Hoàn thành",X20="Hủy"),X20,IF(AE20="","Thiếu tổng giờ",IF(OR(AO20="",AP20=""),"Thiếu tham số phân bổ",IF(AP20&lt;=0,"Phân bổ phải &gt; 0",IF(AI20&lt;&gt;"Có thời hạn","Đã có phân bổ",IF(AQ20="","Chưa đủ dữ liệu hạn",IF(AP20&gt;=AQ20,"Đủ phân bổ theo "&amp;LOWER(AO20),"Thiếu "&amp;TEXT(AQ20-AP20,"0.0")&amp;" giờ/"&amp;LOWER(AO20))))))))))</f>
        <v>Thiếu tham số phân bổ</v>
      </c>
      <c r="AS20" s="465" t="str">
        <f t="shared" si="20"/>
        <v>OK</v>
      </c>
      <c r="AT20" s="479" t="str">
        <f>'Trung tâm nhập liệu'!Y72</f>
        <v/>
      </c>
    </row>
    <row r="21" ht="15.75" customHeight="1">
      <c r="A21" s="383">
        <f t="shared" si="11"/>
        <v>8</v>
      </c>
      <c r="B21" s="387" t="str">
        <f>'Trung tâm nhập liệu'!F73</f>
        <v>Sự vụ quan trọng phát sinh (Vùng xám)</v>
      </c>
      <c r="C21" s="394" t="str">
        <f>'Trung tâm nhập liệu'!M73</f>
        <v>P1</v>
      </c>
      <c r="D21" s="399">
        <f t="shared" ref="D21:E21" si="41">AC21</f>
        <v>0</v>
      </c>
      <c r="E21" s="484">
        <f t="shared" si="41"/>
        <v>120</v>
      </c>
      <c r="F21" s="407">
        <f t="shared" ref="F21:G21" si="42">Q21</f>
        <v>46387</v>
      </c>
      <c r="G21" s="407">
        <f t="shared" si="42"/>
        <v>46223</v>
      </c>
      <c r="H21" s="411" t="str">
        <f>IF(B21="","",IF(COUNTIF('Lớp 4 - Danh mục'!$J$14:$J$132,I21)&gt;0,"Có","Không"))</f>
        <v>Không</v>
      </c>
      <c r="I21" s="414" t="str">
        <f>'Trung tâm nhập liệu'!B73</f>
        <v>HHL3RD05</v>
      </c>
      <c r="J21" s="415">
        <f>'Trung tâm nhập liệu'!E73</f>
        <v>2026</v>
      </c>
      <c r="K21" s="469" t="s">
        <v>87</v>
      </c>
      <c r="L21" s="521" t="s">
        <v>88</v>
      </c>
      <c r="M21" s="419" t="str">
        <f t="shared" ref="M21:P21" si="43">B21</f>
        <v>Sự vụ quan trọng phát sinh (Vùng xám)</v>
      </c>
      <c r="N21" s="420" t="str">
        <f t="shared" si="43"/>
        <v>P1</v>
      </c>
      <c r="O21" s="421">
        <f t="shared" si="43"/>
        <v>0</v>
      </c>
      <c r="P21" s="422">
        <f t="shared" si="43"/>
        <v>120</v>
      </c>
      <c r="Q21" s="426">
        <f>IF($I21="","",LET(n,COUNTIFS('Lớp 4 - Danh mục'!$J$14:$J$132,$I21,'Lớp 4 - Danh mục'!$AA$14:$AA$132,"&lt;&gt;Hủy"),child,IFERROR(MAXIFS('Lớp 4 - Danh mục'!$AD$14:$AD$132,'Lớp 4 - Danh mục'!$J$14:$J$132,$I21,'Lớp 4 - Danh mục'!$AA$14:$AA$132,"&lt;&gt;Hủy",'Lớp 4 - Danh mục'!$AD$14:$AD$132,"&gt;0"),0),plan,'Trung tâm nhập liệu'!Q73,emergent,LOWER(TRIM('Trung tâm nhập liệu'!O73))="khi phát sinh",IF(n=0,IF(emergent,"",plan),IF(child=0,IF(emergent,"",plan),IF(OR(emergent,plan=""),child,MAX(plan,child))))))</f>
        <v>46387</v>
      </c>
      <c r="R21" s="430">
        <f>IF($I21="","",LET(n,COUNTIFS('Lớp 4 - Danh mục'!$J$14:$J$132,$I21,'Lớp 4 - Danh mục'!$AA$14:$AA$132,"&lt;&gt;Hủy"),child,IFERROR(MINIFS('Lớp 4 - Danh mục'!$AC$14:$AC$132,'Lớp 4 - Danh mục'!$J$14:$J$132,$I21,'Lớp 4 - Danh mục'!$AA$14:$AA$132,"&lt;&gt;Hủy",'Lớp 4 - Danh mục'!$AC$14:$AC$132,"&gt;0"),0),plan,'Trung tâm nhập liệu'!R73,emergent,LOWER(TRIM('Trung tâm nhập liệu'!O73))="khi phát sinh",IF(n=0,IF(emergent,"",plan),IF(child=0,IF(emergent,"",plan),IF(OR(emergent,plan=""),child,MIN(plan,child))))))</f>
        <v>46223</v>
      </c>
      <c r="S21" s="411" t="str">
        <f t="shared" si="15"/>
        <v>Không</v>
      </c>
      <c r="T21" s="414" t="str">
        <f>'Trung tâm nhập liệu'!G73</f>
        <v>BC theo CV phát sinh</v>
      </c>
      <c r="U21" s="433" t="str">
        <f>'Trung tâm nhập liệu'!J73</f>
        <v>GĐ BOC</v>
      </c>
      <c r="V21" s="435" t="str">
        <f>'Trung tâm nhập liệu'!K73</f>
        <v>Ms Trang</v>
      </c>
      <c r="W21" s="435" t="str">
        <f>'Trung tâm nhập liệu'!I73</f>
        <v>R&amp;D</v>
      </c>
      <c r="X21" s="437" t="str">
        <f>'Trung tâm nhập liệu'!L73</f>
        <v>Đang thực hiện</v>
      </c>
      <c r="Y21" s="420" t="str">
        <f>'Trung tâm nhập liệu'!M73</f>
        <v>P1</v>
      </c>
      <c r="Z21" s="430">
        <f t="shared" si="16"/>
        <v>46223</v>
      </c>
      <c r="AA21" s="426">
        <f t="shared" si="17"/>
        <v>46387</v>
      </c>
      <c r="AB21" s="516">
        <f>IF(AI21&lt;&gt;"Có thời hạn","",IF(OR(Z21="",AA21=""),"",IF(AA21&lt;Z21,"",_xlfn.NETWORKDAYS.INTL(Z21,AA21,11,'Ngày nghỉ lễ'!$A$5:$A$80))))</f>
        <v>140</v>
      </c>
      <c r="AC21" s="446">
        <f>IF(I21="","",IF(L21="Công việc khác","",IF(OR(X21="Chưa lên lịch",X21="Đã lên lịch",X21="Hủy"),"",IF(COUNTIFS('Lớp 4 - Danh mục'!$J$14:$J$132,I21,'Lớp 4 - Danh mục'!$AA$14:$AA$132,"&lt;&gt;",'Lớp 4 - Danh mục'!$AA$14:$AA$132,"&lt;&gt;Hủy",'Lớp 4 - Danh mục'!$AA$14:$AA$132,"&lt;&gt;Chưa lên lịch",'Lớp 4 - Danh mục'!$AA$14:$AA$132,"&lt;&gt;Đã lên lịch")&gt;0,SUMIFS('Lớp 4 - Danh mục'!$AF$14:$AF$132,'Lớp 4 - Danh mục'!$J$14:$J$132,I21,'Lớp 4 - Danh mục'!$AA$14:$AA$132,"&lt;&gt;",'Lớp 4 - Danh mục'!$AA$14:$AA$132,"&lt;&gt;Hủy",'Lớp 4 - Danh mục'!$AA$14:$AA$132,"&lt;&gt;Chưa lên lịch",'Lớp 4 - Danh mục'!$AA$14:$AA$132,"&lt;&gt;Đã lên lịch")/COUNTIFS('Lớp 4 - Danh mục'!$J$14:$J$132,I21,'Lớp 4 - Danh mục'!$AA$14:$AA$132,"&lt;&gt;",'Lớp 4 - Danh mục'!$AA$14:$AA$132,"&lt;&gt;Hủy",'Lớp 4 - Danh mục'!$AA$14:$AA$132,"&lt;&gt;Chưa lên lịch",'Lớp 4 - Danh mục'!$AA$14:$AA$132,"&lt;&gt;Đã lên lịch"),IF(X21="Hoàn thành",1,0)))))</f>
        <v>0</v>
      </c>
      <c r="AD21" s="516">
        <f>IF(AI21&lt;&gt;"Có thời hạn","",IF(OR(I21="",Z21="",AA21=""),"",IF(OR(X21="Hoàn thành",X21="Hủy"),0,IF(AA21&lt;TODAY(),-_xlfn.NETWORKDAYS.INTL(AA21,TODAY()-1,11,'Ngày nghỉ lễ'!$A$5:$A$80),MAX(0,_xlfn.NETWORKDAYS.INTL(MAX(TODAY()+1,Z21),AA21,11,'Ngày nghỉ lễ'!$A$5:$A$80))))))</f>
        <v>120</v>
      </c>
      <c r="AE21" s="448">
        <f>IF($I21="","",LET(n,COUNTIFS('Lớp 4 - Danh mục'!$J$14:$J$132,$I21,'Lớp 4 - Danh mục'!$AA$14:$AA$132,"&lt;&gt;Hủy"),du,COUNTIFS('Lớp 4 - Danh mục'!$J$14:$J$132,$I21,'Lớp 4 - Danh mục'!$AA$14:$AA$132,"&lt;&gt;Hủy",'Lớp 4 - Danh mục'!$AH$14:$AH$132,"&lt;&gt;"),IF(n=0,'Trung tâm nhập liệu'!T73,IF(du&lt;n,"",SUMIFS('Lớp 4 - Danh mục'!$AH$14:$AH$132,'Lớp 4 - Danh mục'!$J$14:$J$132,$I21,'Lớp 4 - Danh mục'!$AA$14:$AA$132,"&lt;&gt;Hủy")))))</f>
        <v>160</v>
      </c>
      <c r="AF21" s="510" t="str">
        <f>IF(I21="","",IF(OR(X21="Hoàn thành",X21="Hủy"),"",IF(COUNTIFS('Lớp 4 - Danh mục'!$J$14:$J$132,I21,'Lớp 4 - Danh mục'!$AA$14:$AA$132,"&lt;&gt;Hủy")&gt;0,"",IF(AO21="Ngày",AP21,IF(AO21="Tuần",AP21/5,"")))))</f>
        <v/>
      </c>
      <c r="AG21" s="456" t="str">
        <f>IF(AI21="Chưa xếp lịch","Chưa xếp lịch",IF(AI21="Định kỳ",IF(AJ21="","Thiếu chu kỳ","Theo chu kỳ"),IF(AI21="Khi phát sinh",IF(COUNTIFS('Lớp 4 - Danh mục'!$J$14:$J$132,$I21,'Lớp 4 - Danh mục'!$AA$14:$AA$132,"&lt;&gt;Hủy")=0,"Khi phát sinh – chờ việc con","Khi phát sinh – theo ngày con"),IF(I21="","",LET(n,COUNTIFS('Lớp 4 - Danh mục'!$J$14:$J$132,$I21,'Lớp 4 - Danh mục'!$AA$14:$AA$132,"&lt;&gt;Hủy"),cs,IFERROR(MINIFS('Lớp 4 - Danh mục'!$AC$14:$AC$132,'Lớp 4 - Danh mục'!$J$14:$J$132,$I21,'Lớp 4 - Danh mục'!$AA$14:$AA$132,"&lt;&gt;Hủy",'Lớp 4 - Danh mục'!$AC$14:$AC$132,"&gt;0"),0),ce,IFERROR(MAXIFS('Lớp 4 - Danh mục'!$AD$14:$AD$132,'Lớp 4 - Danh mục'!$J$14:$J$132,$I21,'Lớp 4 - Danh mục'!$AA$14:$AA$132,"&lt;&gt;Hủy",'Lớp 4 - Danh mục'!$AD$14:$AD$132,"&gt;0"),0),ps,'Trung tâm nhập liệu'!R73,pe,'Trung tâm nhập liệu'!Q73,IF(OR(Z21="",AA21=""),"Thiếu ngày L3",IF(n=0,"Chưa có L4",IF(OR(cs=0,ce=0),"Thiếu ngày L4",IF(OR(ps="",pe=""),"Thiếu ngày kế hoạch gốc L3",IF(OR(cs&lt;ps,ce&gt;pe),"Cảnh báo: Con vượt khung kế hoạch gốc","L4 đúng khung kế hoạch gốc"))))))))))</f>
        <v>Chưa có L4</v>
      </c>
      <c r="AH21" s="465" t="str">
        <f>IF(OR(AR21="Thiếu tham số phân bổ",AR21="Phân bổ phải &gt; 0"),AR21,SWITCH(AI21,"Chưa xếp lịch","Chưa tính tải","Định kỳ","Theo chu kỳ","Khi phát sinh","Khi phát sinh",IF(I21="","",IF(OR(X21="Hoàn thành",X21="Hủy"),X21,IF(COUNTIFS('Lớp 4 - Danh mục'!$J$14:$J$132,I21,'Lớp 4 - Danh mục'!$AA$14:$AA$132,"&lt;&gt;Hủy")&gt;0,"Theo dõi tải tại Lớp 4",IF(AE21="","Chưa nhập khối lượng",IF(V21="","Thiếu người thực hiện",IF(OR(Z21="",AA21=""),"Chưa nhập đủ thời gian",IF(AD21&lt;0,"Quá hạn – còn "&amp;TEXT(MAX(0,AE21*(1-AC21)),"0.0")&amp;" giờ",LET(bd,MAX(TODAY(),Z21),kt,AA21,nguoi,V21,tai,SUMIFS('Lớp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21" s="467" t="str">
        <f>'Trung tâm nhập liệu'!O73</f>
        <v>Có thời hạn</v>
      </c>
      <c r="AJ21" s="469" t="str">
        <f>'Trung tâm nhập liệu'!P73</f>
        <v/>
      </c>
      <c r="AK21" s="470" t="str">
        <f>'Trung tâm nhập liệu'!S73</f>
        <v/>
      </c>
      <c r="AL21" s="470" t="str">
        <f>'Trung tâm nhập liệu'!X73</f>
        <v/>
      </c>
      <c r="AM21" s="471" t="str">
        <f t="shared" si="18"/>
        <v/>
      </c>
      <c r="AN21" s="469" t="str">
        <f t="shared" si="19"/>
        <v/>
      </c>
      <c r="AO21" s="475" t="str">
        <f>'Trung tâm nhập liệu'!V73</f>
        <v/>
      </c>
      <c r="AP21" s="476" t="str">
        <f>'Trung tâm nhập liệu'!W73</f>
        <v/>
      </c>
      <c r="AQ21" s="478" t="str">
        <f>IF(AI21&lt;&gt;"Có thời hạn","",IF(OR(I21="",AE21="",X21="Hoàn thành",X21="Hủy",COUNTIFS('Lớp 4 - Danh mục'!$J$14:$J$132,I21,'Lớp 4 - Danh mục'!$AA$14:$AA$132,"&lt;&gt;Hủy")&gt;0),"",LET(canNgay,MAX(0,AE21*(1-AC21))/MAX(1,AD21),IF(AO21="Ngày",canNgay,IF(AO21="Tuần",canNgay*5,"")))))</f>
        <v/>
      </c>
      <c r="AR21" s="465" t="str">
        <f>IF(I21="","",IF(COUNTIFS('Lớp 4 - Danh mục'!$J$14:$J$132,I21,'Lớp 4 - Danh mục'!$AA$14:$AA$132,"&lt;&gt;Hủy")&gt;0,"Theo dõi phân bổ tại Lớp 4",IF(OR(X21="Hoàn thành",X21="Hủy"),X21,IF(AE21="","Thiếu tổng giờ",IF(OR(AO21="",AP21=""),"Thiếu tham số phân bổ",IF(AP21&lt;=0,"Phân bổ phải &gt; 0",IF(AI21&lt;&gt;"Có thời hạn","Đã có phân bổ",IF(AQ21="","Chưa đủ dữ liệu hạn",IF(AP21&gt;=AQ21,"Đủ phân bổ theo "&amp;LOWER(AO21),"Thiếu "&amp;TEXT(AQ21-AP21,"0.0")&amp;" giờ/"&amp;LOWER(AO21))))))))))</f>
        <v>Thiếu tham số phân bổ</v>
      </c>
      <c r="AS21" s="465" t="str">
        <f t="shared" si="20"/>
        <v>OK</v>
      </c>
      <c r="AT21" s="479" t="str">
        <f>'Trung tâm nhập liệu'!Y73</f>
        <v/>
      </c>
    </row>
    <row r="22" ht="15.75" customHeight="1">
      <c r="A22" s="383">
        <f t="shared" si="11"/>
        <v>9</v>
      </c>
      <c r="B22" s="387" t="str">
        <f>'Trung tâm nhập liệu'!F74</f>
        <v>XD quy chế đào tạo &amp; Chiến lược đào tạo SP</v>
      </c>
      <c r="C22" s="394" t="str">
        <f>'Trung tâm nhập liệu'!M74</f>
        <v>P2</v>
      </c>
      <c r="D22" s="481">
        <f t="shared" ref="D22:E22" si="44">AC22</f>
        <v>0</v>
      </c>
      <c r="E22" s="484">
        <f t="shared" si="44"/>
        <v>173</v>
      </c>
      <c r="F22" s="407">
        <f t="shared" ref="F22:G22" si="45">Q22</f>
        <v>46449</v>
      </c>
      <c r="G22" s="407">
        <f t="shared" si="45"/>
        <v>46223</v>
      </c>
      <c r="H22" s="411" t="str">
        <f>IF(B22="","",IF(COUNTIF('Lớp 4 - Danh mục'!$J$14:$J$132,I22)&gt;0,"Có","Không"))</f>
        <v>Không</v>
      </c>
      <c r="I22" s="414" t="str">
        <f>'Trung tâm nhập liệu'!B74</f>
        <v>HHL3RD06</v>
      </c>
      <c r="J22" s="415">
        <f>'Trung tâm nhập liệu'!E74</f>
        <v>2026</v>
      </c>
      <c r="K22" s="469" t="s">
        <v>87</v>
      </c>
      <c r="L22" s="521" t="s">
        <v>88</v>
      </c>
      <c r="M22" s="419" t="str">
        <f t="shared" ref="M22:P22" si="46">B22</f>
        <v>XD quy chế đào tạo &amp; Chiến lược đào tạo SP</v>
      </c>
      <c r="N22" s="420" t="str">
        <f t="shared" si="46"/>
        <v>P2</v>
      </c>
      <c r="O22" s="421">
        <f t="shared" si="46"/>
        <v>0</v>
      </c>
      <c r="P22" s="422">
        <f t="shared" si="46"/>
        <v>173</v>
      </c>
      <c r="Q22" s="426">
        <f>IF($I22="","",LET(n,COUNTIFS('Lớp 4 - Danh mục'!$J$14:$J$132,$I22,'Lớp 4 - Danh mục'!$AA$14:$AA$132,"&lt;&gt;Hủy"),child,IFERROR(MAXIFS('Lớp 4 - Danh mục'!$AD$14:$AD$132,'Lớp 4 - Danh mục'!$J$14:$J$132,$I22,'Lớp 4 - Danh mục'!$AA$14:$AA$132,"&lt;&gt;Hủy",'Lớp 4 - Danh mục'!$AD$14:$AD$132,"&gt;0"),0),plan,'Trung tâm nhập liệu'!Q74,emergent,LOWER(TRIM('Trung tâm nhập liệu'!O74))="khi phát sinh",IF(n=0,IF(emergent,"",plan),IF(child=0,IF(emergent,"",plan),IF(OR(emergent,plan=""),child,MAX(plan,child))))))</f>
        <v>46449</v>
      </c>
      <c r="R22" s="430">
        <f>IF($I22="","",LET(n,COUNTIFS('Lớp 4 - Danh mục'!$J$14:$J$132,$I22,'Lớp 4 - Danh mục'!$AA$14:$AA$132,"&lt;&gt;Hủy"),child,IFERROR(MINIFS('Lớp 4 - Danh mục'!$AC$14:$AC$132,'Lớp 4 - Danh mục'!$J$14:$J$132,$I22,'Lớp 4 - Danh mục'!$AA$14:$AA$132,"&lt;&gt;Hủy",'Lớp 4 - Danh mục'!$AC$14:$AC$132,"&gt;0"),0),plan,'Trung tâm nhập liệu'!R74,emergent,LOWER(TRIM('Trung tâm nhập liệu'!O74))="khi phát sinh",IF(n=0,IF(emergent,"",plan),IF(child=0,IF(emergent,"",plan),IF(OR(emergent,plan=""),child,MIN(plan,child))))))</f>
        <v>46223</v>
      </c>
      <c r="S22" s="411" t="str">
        <f t="shared" si="15"/>
        <v>Không</v>
      </c>
      <c r="T22" s="414" t="str">
        <f>'Trung tâm nhập liệu'!G74</f>
        <v>Hoàn thiện quy chế và khung đào tạo sản phẩm áp dụng thống nhất trong R&amp;D</v>
      </c>
      <c r="U22" s="433" t="str">
        <f>'Trung tâm nhập liệu'!J74</f>
        <v>GĐ BOC</v>
      </c>
      <c r="V22" s="435" t="str">
        <f>'Trung tâm nhập liệu'!K74</f>
        <v>Ms Trang</v>
      </c>
      <c r="W22" s="435" t="str">
        <f>'Trung tâm nhập liệu'!I74</f>
        <v>R&amp;D</v>
      </c>
      <c r="X22" s="437" t="str">
        <f>'Trung tâm nhập liệu'!L74</f>
        <v>Đang thực hiện</v>
      </c>
      <c r="Y22" s="420" t="str">
        <f>'Trung tâm nhập liệu'!M74</f>
        <v>P2</v>
      </c>
      <c r="Z22" s="430">
        <f t="shared" si="16"/>
        <v>46223</v>
      </c>
      <c r="AA22" s="426">
        <f t="shared" si="17"/>
        <v>46449</v>
      </c>
      <c r="AB22" s="516">
        <f>IF(AI22&lt;&gt;"Có thời hạn","",IF(OR(Z22="",AA22=""),"",IF(AA22&lt;Z22,"",_xlfn.NETWORKDAYS.INTL(Z22,AA22,11,'Ngày nghỉ lễ'!$A$5:$A$80))))</f>
        <v>193</v>
      </c>
      <c r="AC22" s="446">
        <f>IF(I22="","",IF(L22="Công việc khác","",IF(OR(X22="Chưa lên lịch",X22="Đã lên lịch",X22="Hủy"),"",IF(COUNTIFS('Lớp 4 - Danh mục'!$J$14:$J$132,I22,'Lớp 4 - Danh mục'!$AA$14:$AA$132,"&lt;&gt;",'Lớp 4 - Danh mục'!$AA$14:$AA$132,"&lt;&gt;Hủy",'Lớp 4 - Danh mục'!$AA$14:$AA$132,"&lt;&gt;Chưa lên lịch",'Lớp 4 - Danh mục'!$AA$14:$AA$132,"&lt;&gt;Đã lên lịch")&gt;0,SUMIFS('Lớp 4 - Danh mục'!$AF$14:$AF$132,'Lớp 4 - Danh mục'!$J$14:$J$132,I22,'Lớp 4 - Danh mục'!$AA$14:$AA$132,"&lt;&gt;",'Lớp 4 - Danh mục'!$AA$14:$AA$132,"&lt;&gt;Hủy",'Lớp 4 - Danh mục'!$AA$14:$AA$132,"&lt;&gt;Chưa lên lịch",'Lớp 4 - Danh mục'!$AA$14:$AA$132,"&lt;&gt;Đã lên lịch")/COUNTIFS('Lớp 4 - Danh mục'!$J$14:$J$132,I22,'Lớp 4 - Danh mục'!$AA$14:$AA$132,"&lt;&gt;",'Lớp 4 - Danh mục'!$AA$14:$AA$132,"&lt;&gt;Hủy",'Lớp 4 - Danh mục'!$AA$14:$AA$132,"&lt;&gt;Chưa lên lịch",'Lớp 4 - Danh mục'!$AA$14:$AA$132,"&lt;&gt;Đã lên lịch"),IF(X22="Hoàn thành",1,0)))))</f>
        <v>0</v>
      </c>
      <c r="AD22" s="516">
        <f>IF(AI22&lt;&gt;"Có thời hạn","",IF(OR(I22="",Z22="",AA22=""),"",IF(OR(X22="Hoàn thành",X22="Hủy"),0,IF(AA22&lt;TODAY(),-_xlfn.NETWORKDAYS.INTL(AA22,TODAY()-1,11,'Ngày nghỉ lễ'!$A$5:$A$80),MAX(0,_xlfn.NETWORKDAYS.INTL(MAX(TODAY()+1,Z22),AA22,11,'Ngày nghỉ lễ'!$A$5:$A$80))))))</f>
        <v>173</v>
      </c>
      <c r="AE22" s="448">
        <f>IF($I22="","",LET(n,COUNTIFS('Lớp 4 - Danh mục'!$J$14:$J$132,$I22,'Lớp 4 - Danh mục'!$AA$14:$AA$132,"&lt;&gt;Hủy"),du,COUNTIFS('Lớp 4 - Danh mục'!$J$14:$J$132,$I22,'Lớp 4 - Danh mục'!$AA$14:$AA$132,"&lt;&gt;Hủy",'Lớp 4 - Danh mục'!$AH$14:$AH$132,"&lt;&gt;"),IF(n=0,'Trung tâm nhập liệu'!T74,IF(du&lt;n,"",SUMIFS('Lớp 4 - Danh mục'!$AH$14:$AH$132,'Lớp 4 - Danh mục'!$J$14:$J$132,$I22,'Lớp 4 - Danh mục'!$AA$14:$AA$132,"&lt;&gt;Hủy")))))</f>
        <v>120</v>
      </c>
      <c r="AF22" s="510" t="str">
        <f>IF(I22="","",IF(OR(X22="Hoàn thành",X22="Hủy"),"",IF(COUNTIFS('Lớp 4 - Danh mục'!$J$14:$J$132,I22,'Lớp 4 - Danh mục'!$AA$14:$AA$132,"&lt;&gt;Hủy")&gt;0,"",IF(AO22="Ngày",AP22,IF(AO22="Tuần",AP22/5,"")))))</f>
        <v/>
      </c>
      <c r="AG22" s="456" t="str">
        <f>IF(AI22="Chưa xếp lịch","Chưa xếp lịch",IF(AI22="Định kỳ",IF(AJ22="","Thiếu chu kỳ","Theo chu kỳ"),IF(AI22="Khi phát sinh",IF(COUNTIFS('Lớp 4 - Danh mục'!$J$14:$J$132,$I22,'Lớp 4 - Danh mục'!$AA$14:$AA$132,"&lt;&gt;Hủy")=0,"Khi phát sinh – chờ việc con","Khi phát sinh – theo ngày con"),IF(I22="","",LET(n,COUNTIFS('Lớp 4 - Danh mục'!$J$14:$J$132,$I22,'Lớp 4 - Danh mục'!$AA$14:$AA$132,"&lt;&gt;Hủy"),cs,IFERROR(MINIFS('Lớp 4 - Danh mục'!$AC$14:$AC$132,'Lớp 4 - Danh mục'!$J$14:$J$132,$I22,'Lớp 4 - Danh mục'!$AA$14:$AA$132,"&lt;&gt;Hủy",'Lớp 4 - Danh mục'!$AC$14:$AC$132,"&gt;0"),0),ce,IFERROR(MAXIFS('Lớp 4 - Danh mục'!$AD$14:$AD$132,'Lớp 4 - Danh mục'!$J$14:$J$132,$I22,'Lớp 4 - Danh mục'!$AA$14:$AA$132,"&lt;&gt;Hủy",'Lớp 4 - Danh mục'!$AD$14:$AD$132,"&gt;0"),0),ps,'Trung tâm nhập liệu'!R74,pe,'Trung tâm nhập liệu'!Q74,IF(OR(Z22="",AA22=""),"Thiếu ngày L3",IF(n=0,"Chưa có L4",IF(OR(cs=0,ce=0),"Thiếu ngày L4",IF(OR(ps="",pe=""),"Thiếu ngày kế hoạch gốc L3",IF(OR(cs&lt;ps,ce&gt;pe),"Cảnh báo: Con vượt khung kế hoạch gốc","L4 đúng khung kế hoạch gốc"))))))))))</f>
        <v>Chưa có L4</v>
      </c>
      <c r="AH22" s="465" t="str">
        <f>IF(OR(AR22="Thiếu tham số phân bổ",AR22="Phân bổ phải &gt; 0"),AR22,SWITCH(AI22,"Chưa xếp lịch","Chưa tính tải","Định kỳ","Theo chu kỳ","Khi phát sinh","Khi phát sinh",IF(I22="","",IF(OR(X22="Hoàn thành",X22="Hủy"),X22,IF(COUNTIFS('Lớp 4 - Danh mục'!$J$14:$J$132,I22,'Lớp 4 - Danh mục'!$AA$14:$AA$132,"&lt;&gt;Hủy")&gt;0,"Theo dõi tải tại Lớp 4",IF(AE22="","Chưa nhập khối lượng",IF(V22="","Thiếu người thực hiện",IF(OR(Z22="",AA22=""),"Chưa nhập đủ thời gian",IF(AD22&lt;0,"Quá hạn – còn "&amp;TEXT(MAX(0,AE22*(1-AC22)),"0.0")&amp;" giờ",LET(bd,MAX(TODAY(),Z22),kt,AA22,nguoi,V22,tai,SUMIFS('Lớp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22" s="467" t="str">
        <f>'Trung tâm nhập liệu'!O74</f>
        <v>Có thời hạn</v>
      </c>
      <c r="AJ22" s="469" t="str">
        <f>'Trung tâm nhập liệu'!P74</f>
        <v/>
      </c>
      <c r="AK22" s="470" t="str">
        <f>'Trung tâm nhập liệu'!S74</f>
        <v/>
      </c>
      <c r="AL22" s="470" t="str">
        <f>'Trung tâm nhập liệu'!X74</f>
        <v/>
      </c>
      <c r="AM22" s="471" t="str">
        <f t="shared" si="18"/>
        <v/>
      </c>
      <c r="AN22" s="469" t="str">
        <f t="shared" si="19"/>
        <v/>
      </c>
      <c r="AO22" s="475" t="str">
        <f>'Trung tâm nhập liệu'!V74</f>
        <v/>
      </c>
      <c r="AP22" s="476" t="str">
        <f>'Trung tâm nhập liệu'!W74</f>
        <v/>
      </c>
      <c r="AQ22" s="478" t="str">
        <f>IF(AI22&lt;&gt;"Có thời hạn","",IF(OR(I22="",AE22="",X22="Hoàn thành",X22="Hủy",COUNTIFS('Lớp 4 - Danh mục'!$J$14:$J$132,I22,'Lớp 4 - Danh mục'!$AA$14:$AA$132,"&lt;&gt;Hủy")&gt;0),"",LET(canNgay,MAX(0,AE22*(1-AC22))/MAX(1,AD22),IF(AO22="Ngày",canNgay,IF(AO22="Tuần",canNgay*5,"")))))</f>
        <v/>
      </c>
      <c r="AR22" s="465" t="str">
        <f>IF(I22="","",IF(COUNTIFS('Lớp 4 - Danh mục'!$J$14:$J$132,I22,'Lớp 4 - Danh mục'!$AA$14:$AA$132,"&lt;&gt;Hủy")&gt;0,"Theo dõi phân bổ tại Lớp 4",IF(OR(X22="Hoàn thành",X22="Hủy"),X22,IF(AE22="","Thiếu tổng giờ",IF(OR(AO22="",AP22=""),"Thiếu tham số phân bổ",IF(AP22&lt;=0,"Phân bổ phải &gt; 0",IF(AI22&lt;&gt;"Có thời hạn","Đã có phân bổ",IF(AQ22="","Chưa đủ dữ liệu hạn",IF(AP22&gt;=AQ22,"Đủ phân bổ theo "&amp;LOWER(AO22),"Thiếu "&amp;TEXT(AQ22-AP22,"0.0")&amp;" giờ/"&amp;LOWER(AO22))))))))))</f>
        <v>Thiếu tham số phân bổ</v>
      </c>
      <c r="AS22" s="465" t="str">
        <f t="shared" si="20"/>
        <v>OK</v>
      </c>
      <c r="AT22" s="479" t="str">
        <f>'Trung tâm nhập liệu'!Y74</f>
        <v/>
      </c>
    </row>
    <row r="23" ht="15.75" customHeight="1">
      <c r="A23" s="383">
        <f t="shared" si="11"/>
        <v>10</v>
      </c>
      <c r="B23" s="387" t="str">
        <f>'Trung tâm nhập liệu'!F75</f>
        <v>XD cấu trúc, khoảng trống NL và kiện toàn bộ máy NS R&amp;D</v>
      </c>
      <c r="C23" s="394" t="str">
        <f>'Trung tâm nhập liệu'!M75</f>
        <v>P2</v>
      </c>
      <c r="D23" s="504">
        <f t="shared" ref="D23:E23" si="47">AC23</f>
        <v>0</v>
      </c>
      <c r="E23" s="484">
        <f t="shared" si="47"/>
        <v>173</v>
      </c>
      <c r="F23" s="407">
        <f t="shared" ref="F23:G23" si="48">Q23</f>
        <v>46449</v>
      </c>
      <c r="G23" s="407">
        <f t="shared" si="48"/>
        <v>46223</v>
      </c>
      <c r="H23" s="411" t="str">
        <f>IF(B23="","",IF(COUNTIF('Lớp 4 - Danh mục'!$J$14:$J$132,I23)&gt;0,"Có","Không"))</f>
        <v>Không</v>
      </c>
      <c r="I23" s="414" t="str">
        <f>'Trung tâm nhập liệu'!B75</f>
        <v>HHL3RD07</v>
      </c>
      <c r="J23" s="415">
        <f>'Trung tâm nhập liệu'!E75</f>
        <v>2026</v>
      </c>
      <c r="K23" s="469" t="s">
        <v>87</v>
      </c>
      <c r="L23" s="521" t="s">
        <v>88</v>
      </c>
      <c r="M23" s="419" t="str">
        <f t="shared" ref="M23:P23" si="49">B23</f>
        <v>XD cấu trúc, khoảng trống NL và kiện toàn bộ máy NS R&amp;D</v>
      </c>
      <c r="N23" s="420" t="str">
        <f t="shared" si="49"/>
        <v>P2</v>
      </c>
      <c r="O23" s="421">
        <f t="shared" si="49"/>
        <v>0</v>
      </c>
      <c r="P23" s="422">
        <f t="shared" si="49"/>
        <v>173</v>
      </c>
      <c r="Q23" s="426">
        <f>IF($I23="","",LET(n,COUNTIFS('Lớp 4 - Danh mục'!$J$14:$J$132,$I23,'Lớp 4 - Danh mục'!$AA$14:$AA$132,"&lt;&gt;Hủy"),child,IFERROR(MAXIFS('Lớp 4 - Danh mục'!$AD$14:$AD$132,'Lớp 4 - Danh mục'!$J$14:$J$132,$I23,'Lớp 4 - Danh mục'!$AA$14:$AA$132,"&lt;&gt;Hủy",'Lớp 4 - Danh mục'!$AD$14:$AD$132,"&gt;0"),0),plan,'Trung tâm nhập liệu'!Q75,emergent,LOWER(TRIM('Trung tâm nhập liệu'!O75))="khi phát sinh",IF(n=0,IF(emergent,"",plan),IF(child=0,IF(emergent,"",plan),IF(OR(emergent,plan=""),child,MAX(plan,child))))))</f>
        <v>46449</v>
      </c>
      <c r="R23" s="430">
        <f>IF($I23="","",LET(n,COUNTIFS('Lớp 4 - Danh mục'!$J$14:$J$132,$I23,'Lớp 4 - Danh mục'!$AA$14:$AA$132,"&lt;&gt;Hủy"),child,IFERROR(MINIFS('Lớp 4 - Danh mục'!$AC$14:$AC$132,'Lớp 4 - Danh mục'!$J$14:$J$132,$I23,'Lớp 4 - Danh mục'!$AA$14:$AA$132,"&lt;&gt;Hủy",'Lớp 4 - Danh mục'!$AC$14:$AC$132,"&gt;0"),0),plan,'Trung tâm nhập liệu'!R75,emergent,LOWER(TRIM('Trung tâm nhập liệu'!O75))="khi phát sinh",IF(n=0,IF(emergent,"",plan),IF(child=0,IF(emergent,"",plan),IF(OR(emergent,plan=""),child,MIN(plan,child))))))</f>
        <v>46223</v>
      </c>
      <c r="S23" s="411" t="str">
        <f t="shared" si="15"/>
        <v>Không</v>
      </c>
      <c r="T23" s="414" t="str">
        <f>'Trung tâm nhập liệu'!G75</f>
        <v>Xác định mô hình tổ chức, khoảng trống năng lực và phương án kiện toàn nhân sự R&amp;D</v>
      </c>
      <c r="U23" s="433" t="str">
        <f>'Trung tâm nhập liệu'!J75</f>
        <v>GĐ BOC</v>
      </c>
      <c r="V23" s="435" t="str">
        <f>'Trung tâm nhập liệu'!K75</f>
        <v>Ms Trang</v>
      </c>
      <c r="W23" s="435" t="str">
        <f>'Trung tâm nhập liệu'!I75</f>
        <v>R&amp;D</v>
      </c>
      <c r="X23" s="437" t="str">
        <f>'Trung tâm nhập liệu'!L75</f>
        <v>Đang thực hiện</v>
      </c>
      <c r="Y23" s="420" t="str">
        <f>'Trung tâm nhập liệu'!M75</f>
        <v>P2</v>
      </c>
      <c r="Z23" s="430">
        <f t="shared" si="16"/>
        <v>46223</v>
      </c>
      <c r="AA23" s="426">
        <f t="shared" si="17"/>
        <v>46449</v>
      </c>
      <c r="AB23" s="516">
        <f>IF(AI23&lt;&gt;"Có thời hạn","",IF(OR(Z23="",AA23=""),"",IF(AA23&lt;Z23,"",_xlfn.NETWORKDAYS.INTL(Z23,AA23,11,'Ngày nghỉ lễ'!$A$5:$A$80))))</f>
        <v>193</v>
      </c>
      <c r="AC23" s="446">
        <f>IF(I23="","",IF(L23="Công việc khác","",IF(OR(X23="Chưa lên lịch",X23="Đã lên lịch",X23="Hủy"),"",IF(COUNTIFS('Lớp 4 - Danh mục'!$J$14:$J$132,I23,'Lớp 4 - Danh mục'!$AA$14:$AA$132,"&lt;&gt;",'Lớp 4 - Danh mục'!$AA$14:$AA$132,"&lt;&gt;Hủy",'Lớp 4 - Danh mục'!$AA$14:$AA$132,"&lt;&gt;Chưa lên lịch",'Lớp 4 - Danh mục'!$AA$14:$AA$132,"&lt;&gt;Đã lên lịch")&gt;0,SUMIFS('Lớp 4 - Danh mục'!$AF$14:$AF$132,'Lớp 4 - Danh mục'!$J$14:$J$132,I23,'Lớp 4 - Danh mục'!$AA$14:$AA$132,"&lt;&gt;",'Lớp 4 - Danh mục'!$AA$14:$AA$132,"&lt;&gt;Hủy",'Lớp 4 - Danh mục'!$AA$14:$AA$132,"&lt;&gt;Chưa lên lịch",'Lớp 4 - Danh mục'!$AA$14:$AA$132,"&lt;&gt;Đã lên lịch")/COUNTIFS('Lớp 4 - Danh mục'!$J$14:$J$132,I23,'Lớp 4 - Danh mục'!$AA$14:$AA$132,"&lt;&gt;",'Lớp 4 - Danh mục'!$AA$14:$AA$132,"&lt;&gt;Hủy",'Lớp 4 - Danh mục'!$AA$14:$AA$132,"&lt;&gt;Chưa lên lịch",'Lớp 4 - Danh mục'!$AA$14:$AA$132,"&lt;&gt;Đã lên lịch"),IF(X23="Hoàn thành",1,0)))))</f>
        <v>0</v>
      </c>
      <c r="AD23" s="516">
        <f>IF(AI23&lt;&gt;"Có thời hạn","",IF(OR(I23="",Z23="",AA23=""),"",IF(OR(X23="Hoàn thành",X23="Hủy"),0,IF(AA23&lt;TODAY(),-_xlfn.NETWORKDAYS.INTL(AA23,TODAY()-1,11,'Ngày nghỉ lễ'!$A$5:$A$80),MAX(0,_xlfn.NETWORKDAYS.INTL(MAX(TODAY()+1,Z23),AA23,11,'Ngày nghỉ lễ'!$A$5:$A$80))))))</f>
        <v>173</v>
      </c>
      <c r="AE23" s="448">
        <f>IF($I23="","",LET(n,COUNTIFS('Lớp 4 - Danh mục'!$J$14:$J$132,$I23,'Lớp 4 - Danh mục'!$AA$14:$AA$132,"&lt;&gt;Hủy"),du,COUNTIFS('Lớp 4 - Danh mục'!$J$14:$J$132,$I23,'Lớp 4 - Danh mục'!$AA$14:$AA$132,"&lt;&gt;Hủy",'Lớp 4 - Danh mục'!$AH$14:$AH$132,"&lt;&gt;"),IF(n=0,'Trung tâm nhập liệu'!T75,IF(du&lt;n,"",SUMIFS('Lớp 4 - Danh mục'!$AH$14:$AH$132,'Lớp 4 - Danh mục'!$J$14:$J$132,$I23,'Lớp 4 - Danh mục'!$AA$14:$AA$132,"&lt;&gt;Hủy")))))</f>
        <v>160</v>
      </c>
      <c r="AF23" s="510" t="str">
        <f>IF(I23="","",IF(OR(X23="Hoàn thành",X23="Hủy"),"",IF(COUNTIFS('Lớp 4 - Danh mục'!$J$14:$J$132,I23,'Lớp 4 - Danh mục'!$AA$14:$AA$132,"&lt;&gt;Hủy")&gt;0,"",IF(AO23="Ngày",AP23,IF(AO23="Tuần",AP23/5,"")))))</f>
        <v/>
      </c>
      <c r="AG23" s="456" t="str">
        <f>IF(AI23="Chưa xếp lịch","Chưa xếp lịch",IF(AI23="Định kỳ",IF(AJ23="","Thiếu chu kỳ","Theo chu kỳ"),IF(AI23="Khi phát sinh",IF(COUNTIFS('Lớp 4 - Danh mục'!$J$14:$J$132,$I23,'Lớp 4 - Danh mục'!$AA$14:$AA$132,"&lt;&gt;Hủy")=0,"Khi phát sinh – chờ việc con","Khi phát sinh – theo ngày con"),IF(I23="","",LET(n,COUNTIFS('Lớp 4 - Danh mục'!$J$14:$J$132,$I23,'Lớp 4 - Danh mục'!$AA$14:$AA$132,"&lt;&gt;Hủy"),cs,IFERROR(MINIFS('Lớp 4 - Danh mục'!$AC$14:$AC$132,'Lớp 4 - Danh mục'!$J$14:$J$132,$I23,'Lớp 4 - Danh mục'!$AA$14:$AA$132,"&lt;&gt;Hủy",'Lớp 4 - Danh mục'!$AC$14:$AC$132,"&gt;0"),0),ce,IFERROR(MAXIFS('Lớp 4 - Danh mục'!$AD$14:$AD$132,'Lớp 4 - Danh mục'!$J$14:$J$132,$I23,'Lớp 4 - Danh mục'!$AA$14:$AA$132,"&lt;&gt;Hủy",'Lớp 4 - Danh mục'!$AD$14:$AD$132,"&gt;0"),0),ps,'Trung tâm nhập liệu'!R75,pe,'Trung tâm nhập liệu'!Q75,IF(OR(Z23="",AA23=""),"Thiếu ngày L3",IF(n=0,"Chưa có L4",IF(OR(cs=0,ce=0),"Thiếu ngày L4",IF(OR(ps="",pe=""),"Thiếu ngày kế hoạch gốc L3",IF(OR(cs&lt;ps,ce&gt;pe),"Cảnh báo: Con vượt khung kế hoạch gốc","L4 đúng khung kế hoạch gốc"))))))))))</f>
        <v>Chưa có L4</v>
      </c>
      <c r="AH23" s="465" t="str">
        <f>IF(OR(AR23="Thiếu tham số phân bổ",AR23="Phân bổ phải &gt; 0"),AR23,SWITCH(AI23,"Chưa xếp lịch","Chưa tính tải","Định kỳ","Theo chu kỳ","Khi phát sinh","Khi phát sinh",IF(I23="","",IF(OR(X23="Hoàn thành",X23="Hủy"),X23,IF(COUNTIFS('Lớp 4 - Danh mục'!$J$14:$J$132,I23,'Lớp 4 - Danh mục'!$AA$14:$AA$132,"&lt;&gt;Hủy")&gt;0,"Theo dõi tải tại Lớp 4",IF(AE23="","Chưa nhập khối lượng",IF(V23="","Thiếu người thực hiện",IF(OR(Z23="",AA23=""),"Chưa nhập đủ thời gian",IF(AD23&lt;0,"Quá hạn – còn "&amp;TEXT(MAX(0,AE23*(1-AC23)),"0.0")&amp;" giờ",LET(bd,MAX(TODAY(),Z23),kt,AA23,nguoi,V23,tai,SUMIFS('Lớp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23" s="467" t="str">
        <f>'Trung tâm nhập liệu'!O75</f>
        <v>Có thời hạn</v>
      </c>
      <c r="AJ23" s="469" t="str">
        <f>'Trung tâm nhập liệu'!P75</f>
        <v/>
      </c>
      <c r="AK23" s="470" t="str">
        <f>'Trung tâm nhập liệu'!S75</f>
        <v/>
      </c>
      <c r="AL23" s="470" t="str">
        <f>'Trung tâm nhập liệu'!X75</f>
        <v/>
      </c>
      <c r="AM23" s="471" t="str">
        <f t="shared" si="18"/>
        <v/>
      </c>
      <c r="AN23" s="469" t="str">
        <f t="shared" si="19"/>
        <v/>
      </c>
      <c r="AO23" s="475" t="str">
        <f>'Trung tâm nhập liệu'!V75</f>
        <v/>
      </c>
      <c r="AP23" s="476" t="str">
        <f>'Trung tâm nhập liệu'!W75</f>
        <v/>
      </c>
      <c r="AQ23" s="478" t="str">
        <f>IF(AI23&lt;&gt;"Có thời hạn","",IF(OR(I23="",AE23="",X23="Hoàn thành",X23="Hủy",COUNTIFS('Lớp 4 - Danh mục'!$J$14:$J$132,I23,'Lớp 4 - Danh mục'!$AA$14:$AA$132,"&lt;&gt;Hủy")&gt;0),"",LET(canNgay,MAX(0,AE23*(1-AC23))/MAX(1,AD23),IF(AO23="Ngày",canNgay,IF(AO23="Tuần",canNgay*5,"")))))</f>
        <v/>
      </c>
      <c r="AR23" s="465" t="str">
        <f>IF(I23="","",IF(COUNTIFS('Lớp 4 - Danh mục'!$J$14:$J$132,I23,'Lớp 4 - Danh mục'!$AA$14:$AA$132,"&lt;&gt;Hủy")&gt;0,"Theo dõi phân bổ tại Lớp 4",IF(OR(X23="Hoàn thành",X23="Hủy"),X23,IF(AE23="","Thiếu tổng giờ",IF(OR(AO23="",AP23=""),"Thiếu tham số phân bổ",IF(AP23&lt;=0,"Phân bổ phải &gt; 0",IF(AI23&lt;&gt;"Có thời hạn","Đã có phân bổ",IF(AQ23="","Chưa đủ dữ liệu hạn",IF(AP23&gt;=AQ23,"Đủ phân bổ theo "&amp;LOWER(AO23),"Thiếu "&amp;TEXT(AQ23-AP23,"0.0")&amp;" giờ/"&amp;LOWER(AO23))))))))))</f>
        <v>Thiếu tham số phân bổ</v>
      </c>
      <c r="AS23" s="465" t="str">
        <f t="shared" si="20"/>
        <v>OK</v>
      </c>
      <c r="AT23" s="479" t="str">
        <f>'Trung tâm nhập liệu'!Y75</f>
        <v/>
      </c>
    </row>
    <row r="24" ht="15.75" customHeight="1">
      <c r="A24" s="383">
        <f t="shared" si="11"/>
        <v>11</v>
      </c>
      <c r="B24" s="387" t="str">
        <f>'Trung tâm nhập liệu'!F76</f>
        <v>Hoạt động nghiên cứu cơ bản &amp; CĐS ngành VPP</v>
      </c>
      <c r="C24" s="394" t="str">
        <f>'Trung tâm nhập liệu'!M76</f>
        <v>P2</v>
      </c>
      <c r="D24" s="504">
        <f t="shared" ref="D24:E24" si="50">AC24</f>
        <v>0</v>
      </c>
      <c r="E24" s="484">
        <f t="shared" si="50"/>
        <v>120</v>
      </c>
      <c r="F24" s="407">
        <f t="shared" ref="F24:G24" si="51">Q24</f>
        <v>46387</v>
      </c>
      <c r="G24" s="407">
        <f t="shared" si="51"/>
        <v>46223</v>
      </c>
      <c r="H24" s="411" t="str">
        <f>IF(B24="","",IF(COUNTIF('Lớp 4 - Danh mục'!$J$14:$J$132,I24)&gt;0,"Có","Không"))</f>
        <v>Không</v>
      </c>
      <c r="I24" s="414" t="str">
        <f>'Trung tâm nhập liệu'!B76</f>
        <v>HHL3RD08</v>
      </c>
      <c r="J24" s="415">
        <f>'Trung tâm nhập liệu'!E76</f>
        <v>2026</v>
      </c>
      <c r="K24" s="469" t="s">
        <v>87</v>
      </c>
      <c r="L24" s="521" t="s">
        <v>88</v>
      </c>
      <c r="M24" s="419" t="str">
        <f t="shared" ref="M24:P24" si="52">B24</f>
        <v>Hoạt động nghiên cứu cơ bản &amp; CĐS ngành VPP</v>
      </c>
      <c r="N24" s="420" t="str">
        <f t="shared" si="52"/>
        <v>P2</v>
      </c>
      <c r="O24" s="421">
        <f t="shared" si="52"/>
        <v>0</v>
      </c>
      <c r="P24" s="422">
        <f t="shared" si="52"/>
        <v>120</v>
      </c>
      <c r="Q24" s="426">
        <f>IF($I24="","",LET(n,COUNTIFS('Lớp 4 - Danh mục'!$J$14:$J$132,$I24,'Lớp 4 - Danh mục'!$AA$14:$AA$132,"&lt;&gt;Hủy"),child,IFERROR(MAXIFS('Lớp 4 - Danh mục'!$AD$14:$AD$132,'Lớp 4 - Danh mục'!$J$14:$J$132,$I24,'Lớp 4 - Danh mục'!$AA$14:$AA$132,"&lt;&gt;Hủy",'Lớp 4 - Danh mục'!$AD$14:$AD$132,"&gt;0"),0),plan,'Trung tâm nhập liệu'!Q76,emergent,LOWER(TRIM('Trung tâm nhập liệu'!O76))="khi phát sinh",IF(n=0,IF(emergent,"",plan),IF(child=0,IF(emergent,"",plan),IF(OR(emergent,plan=""),child,MAX(plan,child))))))</f>
        <v>46387</v>
      </c>
      <c r="R24" s="430">
        <f>IF($I24="","",LET(n,COUNTIFS('Lớp 4 - Danh mục'!$J$14:$J$132,$I24,'Lớp 4 - Danh mục'!$AA$14:$AA$132,"&lt;&gt;Hủy"),child,IFERROR(MINIFS('Lớp 4 - Danh mục'!$AC$14:$AC$132,'Lớp 4 - Danh mục'!$J$14:$J$132,$I24,'Lớp 4 - Danh mục'!$AA$14:$AA$132,"&lt;&gt;Hủy",'Lớp 4 - Danh mục'!$AC$14:$AC$132,"&gt;0"),0),plan,'Trung tâm nhập liệu'!R76,emergent,LOWER(TRIM('Trung tâm nhập liệu'!O76))="khi phát sinh",IF(n=0,IF(emergent,"",plan),IF(child=0,IF(emergent,"",plan),IF(OR(emergent,plan=""),child,MIN(plan,child))))))</f>
        <v>46223</v>
      </c>
      <c r="S24" s="411" t="str">
        <f t="shared" si="15"/>
        <v>Không</v>
      </c>
      <c r="T24" s="414" t="str">
        <f>'Trung tâm nhập liệu'!G76</f>
        <v>Hình thành nền tảng nghiên cứu và lộ trình chuyển đổi số cho ngành VPP</v>
      </c>
      <c r="U24" s="433" t="str">
        <f>'Trung tâm nhập liệu'!J76</f>
        <v>GĐ BOC</v>
      </c>
      <c r="V24" s="435" t="str">
        <f>'Trung tâm nhập liệu'!K76</f>
        <v>Ms Trang</v>
      </c>
      <c r="W24" s="435" t="str">
        <f>'Trung tâm nhập liệu'!I76</f>
        <v>R&amp;D</v>
      </c>
      <c r="X24" s="437" t="str">
        <f>'Trung tâm nhập liệu'!L76</f>
        <v>Đang thực hiện</v>
      </c>
      <c r="Y24" s="420" t="str">
        <f>'Trung tâm nhập liệu'!M76</f>
        <v>P2</v>
      </c>
      <c r="Z24" s="430">
        <f t="shared" si="16"/>
        <v>46223</v>
      </c>
      <c r="AA24" s="426">
        <f t="shared" si="17"/>
        <v>46387</v>
      </c>
      <c r="AB24" s="516">
        <f>IF(AI24&lt;&gt;"Có thời hạn","",IF(OR(Z24="",AA24=""),"",IF(AA24&lt;Z24,"",_xlfn.NETWORKDAYS.INTL(Z24,AA24,11,'Ngày nghỉ lễ'!$A$5:$A$80))))</f>
        <v>140</v>
      </c>
      <c r="AC24" s="446">
        <f>IF(I24="","",IF(L24="Công việc khác","",IF(OR(X24="Chưa lên lịch",X24="Đã lên lịch",X24="Hủy"),"",IF(COUNTIFS('Lớp 4 - Danh mục'!$J$14:$J$132,I24,'Lớp 4 - Danh mục'!$AA$14:$AA$132,"&lt;&gt;",'Lớp 4 - Danh mục'!$AA$14:$AA$132,"&lt;&gt;Hủy",'Lớp 4 - Danh mục'!$AA$14:$AA$132,"&lt;&gt;Chưa lên lịch",'Lớp 4 - Danh mục'!$AA$14:$AA$132,"&lt;&gt;Đã lên lịch")&gt;0,SUMIFS('Lớp 4 - Danh mục'!$AF$14:$AF$132,'Lớp 4 - Danh mục'!$J$14:$J$132,I24,'Lớp 4 - Danh mục'!$AA$14:$AA$132,"&lt;&gt;",'Lớp 4 - Danh mục'!$AA$14:$AA$132,"&lt;&gt;Hủy",'Lớp 4 - Danh mục'!$AA$14:$AA$132,"&lt;&gt;Chưa lên lịch",'Lớp 4 - Danh mục'!$AA$14:$AA$132,"&lt;&gt;Đã lên lịch")/COUNTIFS('Lớp 4 - Danh mục'!$J$14:$J$132,I24,'Lớp 4 - Danh mục'!$AA$14:$AA$132,"&lt;&gt;",'Lớp 4 - Danh mục'!$AA$14:$AA$132,"&lt;&gt;Hủy",'Lớp 4 - Danh mục'!$AA$14:$AA$132,"&lt;&gt;Chưa lên lịch",'Lớp 4 - Danh mục'!$AA$14:$AA$132,"&lt;&gt;Đã lên lịch"),IF(X24="Hoàn thành",1,0)))))</f>
        <v>0</v>
      </c>
      <c r="AD24" s="516">
        <f>IF(AI24&lt;&gt;"Có thời hạn","",IF(OR(I24="",Z24="",AA24=""),"",IF(OR(X24="Hoàn thành",X24="Hủy"),0,IF(AA24&lt;TODAY(),-_xlfn.NETWORKDAYS.INTL(AA24,TODAY()-1,11,'Ngày nghỉ lễ'!$A$5:$A$80),MAX(0,_xlfn.NETWORKDAYS.INTL(MAX(TODAY()+1,Z24),AA24,11,'Ngày nghỉ lễ'!$A$5:$A$80))))))</f>
        <v>120</v>
      </c>
      <c r="AE24" s="448">
        <f>IF($I24="","",LET(n,COUNTIFS('Lớp 4 - Danh mục'!$J$14:$J$132,$I24,'Lớp 4 - Danh mục'!$AA$14:$AA$132,"&lt;&gt;Hủy"),du,COUNTIFS('Lớp 4 - Danh mục'!$J$14:$J$132,$I24,'Lớp 4 - Danh mục'!$AA$14:$AA$132,"&lt;&gt;Hủy",'Lớp 4 - Danh mục'!$AH$14:$AH$132,"&lt;&gt;"),IF(n=0,'Trung tâm nhập liệu'!T76,IF(du&lt;n,"",SUMIFS('Lớp 4 - Danh mục'!$AH$14:$AH$132,'Lớp 4 - Danh mục'!$J$14:$J$132,$I24,'Lớp 4 - Danh mục'!$AA$14:$AA$132,"&lt;&gt;Hủy")))))</f>
        <v>240</v>
      </c>
      <c r="AF24" s="510" t="str">
        <f>IF(I24="","",IF(OR(X24="Hoàn thành",X24="Hủy"),"",IF(COUNTIFS('Lớp 4 - Danh mục'!$J$14:$J$132,I24,'Lớp 4 - Danh mục'!$AA$14:$AA$132,"&lt;&gt;Hủy")&gt;0,"",IF(AO24="Ngày",AP24,IF(AO24="Tuần",AP24/5,"")))))</f>
        <v/>
      </c>
      <c r="AG24" s="456" t="str">
        <f>IF(AI24="Chưa xếp lịch","Chưa xếp lịch",IF(AI24="Định kỳ",IF(AJ24="","Thiếu chu kỳ","Theo chu kỳ"),IF(AI24="Khi phát sinh",IF(COUNTIFS('Lớp 4 - Danh mục'!$J$14:$J$132,$I24,'Lớp 4 - Danh mục'!$AA$14:$AA$132,"&lt;&gt;Hủy")=0,"Khi phát sinh – chờ việc con","Khi phát sinh – theo ngày con"),IF(I24="","",LET(n,COUNTIFS('Lớp 4 - Danh mục'!$J$14:$J$132,$I24,'Lớp 4 - Danh mục'!$AA$14:$AA$132,"&lt;&gt;Hủy"),cs,IFERROR(MINIFS('Lớp 4 - Danh mục'!$AC$14:$AC$132,'Lớp 4 - Danh mục'!$J$14:$J$132,$I24,'Lớp 4 - Danh mục'!$AA$14:$AA$132,"&lt;&gt;Hủy",'Lớp 4 - Danh mục'!$AC$14:$AC$132,"&gt;0"),0),ce,IFERROR(MAXIFS('Lớp 4 - Danh mục'!$AD$14:$AD$132,'Lớp 4 - Danh mục'!$J$14:$J$132,$I24,'Lớp 4 - Danh mục'!$AA$14:$AA$132,"&lt;&gt;Hủy",'Lớp 4 - Danh mục'!$AD$14:$AD$132,"&gt;0"),0),ps,'Trung tâm nhập liệu'!R76,pe,'Trung tâm nhập liệu'!Q76,IF(OR(Z24="",AA24=""),"Thiếu ngày L3",IF(n=0,"Chưa có L4",IF(OR(cs=0,ce=0),"Thiếu ngày L4",IF(OR(ps="",pe=""),"Thiếu ngày kế hoạch gốc L3",IF(OR(cs&lt;ps,ce&gt;pe),"Cảnh báo: Con vượt khung kế hoạch gốc","L4 đúng khung kế hoạch gốc"))))))))))</f>
        <v>Chưa có L4</v>
      </c>
      <c r="AH24" s="465" t="str">
        <f>IF(OR(AR24="Thiếu tham số phân bổ",AR24="Phân bổ phải &gt; 0"),AR24,SWITCH(AI24,"Chưa xếp lịch","Chưa tính tải","Định kỳ","Theo chu kỳ","Khi phát sinh","Khi phát sinh",IF(I24="","",IF(OR(X24="Hoàn thành",X24="Hủy"),X24,IF(COUNTIFS('Lớp 4 - Danh mục'!$J$14:$J$132,I24,'Lớp 4 - Danh mục'!$AA$14:$AA$132,"&lt;&gt;Hủy")&gt;0,"Theo dõi tải tại Lớp 4",IF(AE24="","Chưa nhập khối lượng",IF(V24="","Thiếu người thực hiện",IF(OR(Z24="",AA24=""),"Chưa nhập đủ thời gian",IF(AD24&lt;0,"Quá hạn – còn "&amp;TEXT(MAX(0,AE24*(1-AC24)),"0.0")&amp;" giờ",LET(bd,MAX(TODAY(),Z24),kt,AA24,nguoi,V24,tai,SUMIFS('Lớp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24" s="467" t="str">
        <f>'Trung tâm nhập liệu'!O76</f>
        <v>Có thời hạn</v>
      </c>
      <c r="AJ24" s="469" t="str">
        <f>'Trung tâm nhập liệu'!P76</f>
        <v/>
      </c>
      <c r="AK24" s="470" t="str">
        <f>'Trung tâm nhập liệu'!S76</f>
        <v/>
      </c>
      <c r="AL24" s="470" t="str">
        <f>'Trung tâm nhập liệu'!X76</f>
        <v/>
      </c>
      <c r="AM24" s="471" t="str">
        <f t="shared" si="18"/>
        <v/>
      </c>
      <c r="AN24" s="469" t="str">
        <f t="shared" si="19"/>
        <v/>
      </c>
      <c r="AO24" s="475" t="str">
        <f>'Trung tâm nhập liệu'!V76</f>
        <v/>
      </c>
      <c r="AP24" s="476" t="str">
        <f>'Trung tâm nhập liệu'!W76</f>
        <v/>
      </c>
      <c r="AQ24" s="478" t="str">
        <f>IF(AI24&lt;&gt;"Có thời hạn","",IF(OR(I24="",AE24="",X24="Hoàn thành",X24="Hủy",COUNTIFS('Lớp 4 - Danh mục'!$J$14:$J$132,I24,'Lớp 4 - Danh mục'!$AA$14:$AA$132,"&lt;&gt;Hủy")&gt;0),"",LET(canNgay,MAX(0,AE24*(1-AC24))/MAX(1,AD24),IF(AO24="Ngày",canNgay,IF(AO24="Tuần",canNgay*5,"")))))</f>
        <v/>
      </c>
      <c r="AR24" s="465" t="str">
        <f>IF(I24="","",IF(COUNTIFS('Lớp 4 - Danh mục'!$J$14:$J$132,I24,'Lớp 4 - Danh mục'!$AA$14:$AA$132,"&lt;&gt;Hủy")&gt;0,"Theo dõi phân bổ tại Lớp 4",IF(OR(X24="Hoàn thành",X24="Hủy"),X24,IF(AE24="","Thiếu tổng giờ",IF(OR(AO24="",AP24=""),"Thiếu tham số phân bổ",IF(AP24&lt;=0,"Phân bổ phải &gt; 0",IF(AI24&lt;&gt;"Có thời hạn","Đã có phân bổ",IF(AQ24="","Chưa đủ dữ liệu hạn",IF(AP24&gt;=AQ24,"Đủ phân bổ theo "&amp;LOWER(AO24),"Thiếu "&amp;TEXT(AQ24-AP24,"0.0")&amp;" giờ/"&amp;LOWER(AO24))))))))))</f>
        <v>Thiếu tham số phân bổ</v>
      </c>
      <c r="AS24" s="465" t="str">
        <f t="shared" si="20"/>
        <v>OK</v>
      </c>
      <c r="AT24" s="479" t="str">
        <f>'Trung tâm nhập liệu'!Y76</f>
        <v/>
      </c>
    </row>
    <row r="25" ht="15.75" customHeight="1">
      <c r="A25" s="383">
        <f t="shared" si="11"/>
        <v>12</v>
      </c>
      <c r="B25" s="387" t="str">
        <f>'Trung tâm nhập liệu'!F77</f>
        <v>XD phương án Market Research &amp; Cơ chế thu thập thông tin TT</v>
      </c>
      <c r="C25" s="394" t="str">
        <f>'Trung tâm nhập liệu'!M77</f>
        <v>P2</v>
      </c>
      <c r="D25" s="568">
        <f t="shared" ref="D25:E25" si="53">AC25</f>
        <v>0</v>
      </c>
      <c r="E25" s="484">
        <f t="shared" si="53"/>
        <v>28</v>
      </c>
      <c r="F25" s="407">
        <f t="shared" ref="F25:G25" si="54">Q25</f>
        <v>46280</v>
      </c>
      <c r="G25" s="407">
        <f t="shared" si="54"/>
        <v>46223</v>
      </c>
      <c r="H25" s="411" t="str">
        <f>IF(B25="","",IF(COUNTIF('Lớp 4 - Danh mục'!$J$14:$J$132,I25)&gt;0,"Có","Không"))</f>
        <v>Có</v>
      </c>
      <c r="I25" s="414" t="str">
        <f>'Trung tâm nhập liệu'!B77</f>
        <v>HHL3RD09</v>
      </c>
      <c r="J25" s="415">
        <f>'Trung tâm nhập liệu'!E77</f>
        <v>2026</v>
      </c>
      <c r="K25" s="469" t="s">
        <v>87</v>
      </c>
      <c r="L25" s="521" t="s">
        <v>88</v>
      </c>
      <c r="M25" s="419" t="str">
        <f t="shared" ref="M25:P25" si="55">B25</f>
        <v>XD phương án Market Research &amp; Cơ chế thu thập thông tin TT</v>
      </c>
      <c r="N25" s="420" t="str">
        <f t="shared" si="55"/>
        <v>P2</v>
      </c>
      <c r="O25" s="421">
        <f t="shared" si="55"/>
        <v>0</v>
      </c>
      <c r="P25" s="422">
        <f t="shared" si="55"/>
        <v>28</v>
      </c>
      <c r="Q25" s="426">
        <f>IF($I25="","",LET(n,COUNTIFS('Lớp 4 - Danh mục'!$J$14:$J$132,$I25,'Lớp 4 - Danh mục'!$AA$14:$AA$132,"&lt;&gt;Hủy"),child,IFERROR(MAXIFS('Lớp 4 - Danh mục'!$AD$14:$AD$132,'Lớp 4 - Danh mục'!$J$14:$J$132,$I25,'Lớp 4 - Danh mục'!$AA$14:$AA$132,"&lt;&gt;Hủy",'Lớp 4 - Danh mục'!$AD$14:$AD$132,"&gt;0"),0),plan,'Trung tâm nhập liệu'!Q77,emergent,LOWER(TRIM('Trung tâm nhập liệu'!O77))="khi phát sinh",IF(n=0,IF(emergent,"",plan),IF(child=0,IF(emergent,"",plan),IF(OR(emergent,plan=""),child,MAX(plan,child))))))</f>
        <v>46280</v>
      </c>
      <c r="R25" s="430">
        <f>IF($I25="","",LET(n,COUNTIFS('Lớp 4 - Danh mục'!$J$14:$J$132,$I25,'Lớp 4 - Danh mục'!$AA$14:$AA$132,"&lt;&gt;Hủy"),child,IFERROR(MINIFS('Lớp 4 - Danh mục'!$AC$14:$AC$132,'Lớp 4 - Danh mục'!$J$14:$J$132,$I25,'Lớp 4 - Danh mục'!$AA$14:$AA$132,"&lt;&gt;Hủy",'Lớp 4 - Danh mục'!$AC$14:$AC$132,"&gt;0"),0),plan,'Trung tâm nhập liệu'!R77,emergent,LOWER(TRIM('Trung tâm nhập liệu'!O77))="khi phát sinh",IF(n=0,IF(emergent,"",plan),IF(child=0,IF(emergent,"",plan),IF(OR(emergent,plan=""),child,MIN(plan,child))))))</f>
        <v>46223</v>
      </c>
      <c r="S25" s="411" t="str">
        <f t="shared" si="15"/>
        <v>Có</v>
      </c>
      <c r="T25" s="414" t="str">
        <f>'Trung tâm nhập liệu'!G77</f>
        <v>Thiết lập phương án nghiên cứu thị trường và cơ chế thu thập, cập nhật thông tin định kỳ</v>
      </c>
      <c r="U25" s="433" t="str">
        <f>'Trung tâm nhập liệu'!J77</f>
        <v>GĐ BOC</v>
      </c>
      <c r="V25" s="435" t="str">
        <f>'Trung tâm nhập liệu'!K77</f>
        <v>Ms Trang</v>
      </c>
      <c r="W25" s="435" t="str">
        <f>'Trung tâm nhập liệu'!I77</f>
        <v>R&amp;D</v>
      </c>
      <c r="X25" s="437" t="str">
        <f>'Trung tâm nhập liệu'!L77</f>
        <v>Đang thực hiện</v>
      </c>
      <c r="Y25" s="420" t="str">
        <f>'Trung tâm nhập liệu'!M77</f>
        <v>P2</v>
      </c>
      <c r="Z25" s="430">
        <f t="shared" si="16"/>
        <v>46223</v>
      </c>
      <c r="AA25" s="426">
        <f t="shared" si="17"/>
        <v>46280</v>
      </c>
      <c r="AB25" s="516">
        <f>IF(AI25&lt;&gt;"Có thời hạn","",IF(OR(Z25="",AA25=""),"",IF(AA25&lt;Z25,"",_xlfn.NETWORKDAYS.INTL(Z25,AA25,11,'Ngày nghỉ lễ'!$A$5:$A$80))))</f>
        <v>48</v>
      </c>
      <c r="AC25" s="446">
        <f>IF(I25="","",IF(L25="Công việc khác","",IF(OR(X25="Chưa lên lịch",X25="Đã lên lịch",X25="Hủy"),"",IF(COUNTIFS('Lớp 4 - Danh mục'!$J$14:$J$132,I25,'Lớp 4 - Danh mục'!$AA$14:$AA$132,"&lt;&gt;",'Lớp 4 - Danh mục'!$AA$14:$AA$132,"&lt;&gt;Hủy",'Lớp 4 - Danh mục'!$AA$14:$AA$132,"&lt;&gt;Chưa lên lịch",'Lớp 4 - Danh mục'!$AA$14:$AA$132,"&lt;&gt;Đã lên lịch")&gt;0,SUMIFS('Lớp 4 - Danh mục'!$AF$14:$AF$132,'Lớp 4 - Danh mục'!$J$14:$J$132,I25,'Lớp 4 - Danh mục'!$AA$14:$AA$132,"&lt;&gt;",'Lớp 4 - Danh mục'!$AA$14:$AA$132,"&lt;&gt;Hủy",'Lớp 4 - Danh mục'!$AA$14:$AA$132,"&lt;&gt;Chưa lên lịch",'Lớp 4 - Danh mục'!$AA$14:$AA$132,"&lt;&gt;Đã lên lịch")/COUNTIFS('Lớp 4 - Danh mục'!$J$14:$J$132,I25,'Lớp 4 - Danh mục'!$AA$14:$AA$132,"&lt;&gt;",'Lớp 4 - Danh mục'!$AA$14:$AA$132,"&lt;&gt;Hủy",'Lớp 4 - Danh mục'!$AA$14:$AA$132,"&lt;&gt;Chưa lên lịch",'Lớp 4 - Danh mục'!$AA$14:$AA$132,"&lt;&gt;Đã lên lịch"),IF(X25="Hoàn thành",1,0)))))</f>
        <v>0</v>
      </c>
      <c r="AD25" s="516">
        <f>IF(AI25&lt;&gt;"Có thời hạn","",IF(OR(I25="",Z25="",AA25=""),"",IF(OR(X25="Hoàn thành",X25="Hủy"),0,IF(AA25&lt;TODAY(),-_xlfn.NETWORKDAYS.INTL(AA25,TODAY()-1,11,'Ngày nghỉ lễ'!$A$5:$A$80),MAX(0,_xlfn.NETWORKDAYS.INTL(MAX(TODAY()+1,Z25),AA25,11,'Ngày nghỉ lễ'!$A$5:$A$80))))))</f>
        <v>28</v>
      </c>
      <c r="AE25" s="448">
        <f>IF($I25="","",LET(n,COUNTIFS('Lớp 4 - Danh mục'!$J$14:$J$132,$I25,'Lớp 4 - Danh mục'!$AA$14:$AA$132,"&lt;&gt;Hủy"),du,COUNTIFS('Lớp 4 - Danh mục'!$J$14:$J$132,$I25,'Lớp 4 - Danh mục'!$AA$14:$AA$132,"&lt;&gt;Hủy",'Lớp 4 - Danh mục'!$AH$14:$AH$132,"&lt;&gt;"),IF(n=0,'Trung tâm nhập liệu'!T77,IF(du&lt;n,"",SUMIFS('Lớp 4 - Danh mục'!$AH$14:$AH$132,'Lớp 4 - Danh mục'!$J$14:$J$132,$I25,'Lớp 4 - Danh mục'!$AA$14:$AA$132,"&lt;&gt;Hủy")))))</f>
        <v>160</v>
      </c>
      <c r="AF25" s="510" t="str">
        <f>IF(I25="","",IF(OR(X25="Hoàn thành",X25="Hủy"),"",IF(COUNTIFS('Lớp 4 - Danh mục'!$J$14:$J$132,I25,'Lớp 4 - Danh mục'!$AA$14:$AA$132,"&lt;&gt;Hủy")&gt;0,"",IF(AO25="Ngày",AP25,IF(AO25="Tuần",AP25/5,"")))))</f>
        <v/>
      </c>
      <c r="AG25" s="456" t="str">
        <f>IF(AI25="Chưa xếp lịch","Chưa xếp lịch",IF(AI25="Định kỳ",IF(AJ25="","Thiếu chu kỳ","Theo chu kỳ"),IF(AI25="Khi phát sinh",IF(COUNTIFS('Lớp 4 - Danh mục'!$J$14:$J$132,$I25,'Lớp 4 - Danh mục'!$AA$14:$AA$132,"&lt;&gt;Hủy")=0,"Khi phát sinh – chờ việc con","Khi phát sinh – theo ngày con"),IF(I25="","",LET(n,COUNTIFS('Lớp 4 - Danh mục'!$J$14:$J$132,$I25,'Lớp 4 - Danh mục'!$AA$14:$AA$132,"&lt;&gt;Hủy"),cs,IFERROR(MINIFS('Lớp 4 - Danh mục'!$AC$14:$AC$132,'Lớp 4 - Danh mục'!$J$14:$J$132,$I25,'Lớp 4 - Danh mục'!$AA$14:$AA$132,"&lt;&gt;Hủy",'Lớp 4 - Danh mục'!$AC$14:$AC$132,"&gt;0"),0),ce,IFERROR(MAXIFS('Lớp 4 - Danh mục'!$AD$14:$AD$132,'Lớp 4 - Danh mục'!$J$14:$J$132,$I25,'Lớp 4 - Danh mục'!$AA$14:$AA$132,"&lt;&gt;Hủy",'Lớp 4 - Danh mục'!$AD$14:$AD$132,"&gt;0"),0),ps,'Trung tâm nhập liệu'!R77,pe,'Trung tâm nhập liệu'!Q77,IF(OR(Z25="",AA25=""),"Thiếu ngày L3",IF(n=0,"Chưa có L4",IF(OR(cs=0,ce=0),"Thiếu ngày L4",IF(OR(ps="",pe=""),"Thiếu ngày kế hoạch gốc L3",IF(OR(cs&lt;ps,ce&gt;pe),"Cảnh báo: Con vượt khung kế hoạch gốc","L4 đúng khung kế hoạch gốc"))))))))))</f>
        <v>L4 đúng khung kế hoạch gốc</v>
      </c>
      <c r="AH25" s="465" t="str">
        <f>IF(OR(AR25="Thiếu tham số phân bổ",AR25="Phân bổ phải &gt; 0"),AR25,SWITCH(AI25,"Chưa xếp lịch","Chưa tính tải","Định kỳ","Theo chu kỳ","Khi phát sinh","Khi phát sinh",IF(I25="","",IF(OR(X25="Hoàn thành",X25="Hủy"),X25,IF(COUNTIFS('Lớp 4 - Danh mục'!$J$14:$J$132,I25,'Lớp 4 - Danh mục'!$AA$14:$AA$132,"&lt;&gt;Hủy")&gt;0,"Theo dõi tải tại Lớp 4",IF(AE25="","Chưa nhập khối lượng",IF(V25="","Thiếu người thực hiện",IF(OR(Z25="",AA25=""),"Chưa nhập đủ thời gian",IF(AD25&lt;0,"Quá hạn – còn "&amp;TEXT(MAX(0,AE25*(1-AC25)),"0.0")&amp;" giờ",LET(bd,MAX(TODAY(),Z25),kt,AA25,nguoi,V25,tai,SUMIFS('Lớp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4</v>
      </c>
      <c r="AI25" s="467" t="str">
        <f>'Trung tâm nhập liệu'!O77</f>
        <v>Có thời hạn</v>
      </c>
      <c r="AJ25" s="469" t="str">
        <f>'Trung tâm nhập liệu'!P77</f>
        <v/>
      </c>
      <c r="AK25" s="470" t="str">
        <f>'Trung tâm nhập liệu'!S77</f>
        <v/>
      </c>
      <c r="AL25" s="470" t="str">
        <f>'Trung tâm nhập liệu'!X77</f>
        <v/>
      </c>
      <c r="AM25" s="471" t="str">
        <f t="shared" si="18"/>
        <v/>
      </c>
      <c r="AN25" s="469" t="str">
        <f t="shared" si="19"/>
        <v/>
      </c>
      <c r="AO25" s="475" t="str">
        <f>'Trung tâm nhập liệu'!V77</f>
        <v/>
      </c>
      <c r="AP25" s="476" t="str">
        <f>'Trung tâm nhập liệu'!W77</f>
        <v/>
      </c>
      <c r="AQ25" s="478" t="str">
        <f>IF(AI25&lt;&gt;"Có thời hạn","",IF(OR(I25="",AE25="",X25="Hoàn thành",X25="Hủy",COUNTIFS('Lớp 4 - Danh mục'!$J$14:$J$132,I25,'Lớp 4 - Danh mục'!$AA$14:$AA$132,"&lt;&gt;Hủy")&gt;0),"",LET(canNgay,MAX(0,AE25*(1-AC25))/MAX(1,AD25),IF(AO25="Ngày",canNgay,IF(AO25="Tuần",canNgay*5,"")))))</f>
        <v/>
      </c>
      <c r="AR25" s="465" t="str">
        <f>IF(I25="","",IF(COUNTIFS('Lớp 4 - Danh mục'!$J$14:$J$132,I25,'Lớp 4 - Danh mục'!$AA$14:$AA$132,"&lt;&gt;Hủy")&gt;0,"Theo dõi phân bổ tại Lớp 4",IF(OR(X25="Hoàn thành",X25="Hủy"),X25,IF(AE25="","Thiếu tổng giờ",IF(OR(AO25="",AP25=""),"Thiếu tham số phân bổ",IF(AP25&lt;=0,"Phân bổ phải &gt; 0",IF(AI25&lt;&gt;"Có thời hạn","Đã có phân bổ",IF(AQ25="","Chưa đủ dữ liệu hạn",IF(AP25&gt;=AQ25,"Đủ phân bổ theo "&amp;LOWER(AO25),"Thiếu "&amp;TEXT(AQ25-AP25,"0.0")&amp;" giờ/"&amp;LOWER(AO25))))))))))</f>
        <v>Theo dõi phân bổ tại Lớp 4</v>
      </c>
      <c r="AS25" s="465" t="str">
        <f t="shared" si="20"/>
        <v>OK</v>
      </c>
      <c r="AT25" s="479" t="str">
        <f>'Trung tâm nhập liệu'!Y77</f>
        <v/>
      </c>
    </row>
    <row r="26" ht="15.75" customHeight="1">
      <c r="A26" s="383">
        <f t="shared" si="11"/>
        <v>13</v>
      </c>
      <c r="B26" s="387" t="str">
        <f>'Trung tâm nhập liệu'!F78</f>
        <v>Việc phát sinh khác chưa có phân loại</v>
      </c>
      <c r="C26" s="394" t="str">
        <f>'Trung tâm nhập liệu'!M78</f>
        <v>P3</v>
      </c>
      <c r="D26" s="599" t="str">
        <f t="shared" ref="D26:E26" si="56">AC26</f>
        <v/>
      </c>
      <c r="E26" s="484">
        <f t="shared" si="56"/>
        <v>120</v>
      </c>
      <c r="F26" s="407">
        <f t="shared" ref="F26:G26" si="57">Q26</f>
        <v>46387</v>
      </c>
      <c r="G26" s="407">
        <f t="shared" si="57"/>
        <v>46223</v>
      </c>
      <c r="H26" s="411" t="str">
        <f>IF(B26="","",IF(COUNTIF('Lớp 4 - Danh mục'!$J$14:$J$132,I26)&gt;0,"Có","Không"))</f>
        <v>Không</v>
      </c>
      <c r="I26" s="414" t="str">
        <f>'Trung tâm nhập liệu'!B78</f>
        <v>HHL3RD10</v>
      </c>
      <c r="J26" s="415">
        <f>'Trung tâm nhập liệu'!E78</f>
        <v>2026</v>
      </c>
      <c r="K26" s="469" t="s">
        <v>87</v>
      </c>
      <c r="L26" s="600" t="s">
        <v>92</v>
      </c>
      <c r="M26" s="419" t="str">
        <f t="shared" ref="M26:P26" si="58">B26</f>
        <v>Việc phát sinh khác chưa có phân loại</v>
      </c>
      <c r="N26" s="420" t="str">
        <f t="shared" si="58"/>
        <v>P3</v>
      </c>
      <c r="O26" s="421" t="str">
        <f t="shared" si="58"/>
        <v/>
      </c>
      <c r="P26" s="422">
        <f t="shared" si="58"/>
        <v>120</v>
      </c>
      <c r="Q26" s="426">
        <f>IF($I26="","",LET(n,COUNTIFS('Lớp 4 - Danh mục'!$J$14:$J$132,$I26,'Lớp 4 - Danh mục'!$AA$14:$AA$132,"&lt;&gt;Hủy"),child,IFERROR(MAXIFS('Lớp 4 - Danh mục'!$AD$14:$AD$132,'Lớp 4 - Danh mục'!$J$14:$J$132,$I26,'Lớp 4 - Danh mục'!$AA$14:$AA$132,"&lt;&gt;Hủy",'Lớp 4 - Danh mục'!$AD$14:$AD$132,"&gt;0"),0),plan,'Trung tâm nhập liệu'!Q78,emergent,LOWER(TRIM('Trung tâm nhập liệu'!O78))="khi phát sinh",IF(n=0,IF(emergent,"",plan),IF(child=0,IF(emergent,"",plan),IF(OR(emergent,plan=""),child,MAX(plan,child))))))</f>
        <v>46387</v>
      </c>
      <c r="R26" s="430">
        <f>IF($I26="","",LET(n,COUNTIFS('Lớp 4 - Danh mục'!$J$14:$J$132,$I26,'Lớp 4 - Danh mục'!$AA$14:$AA$132,"&lt;&gt;Hủy"),child,IFERROR(MINIFS('Lớp 4 - Danh mục'!$AC$14:$AC$132,'Lớp 4 - Danh mục'!$J$14:$J$132,$I26,'Lớp 4 - Danh mục'!$AA$14:$AA$132,"&lt;&gt;Hủy",'Lớp 4 - Danh mục'!$AC$14:$AC$132,"&gt;0"),0),plan,'Trung tâm nhập liệu'!R78,emergent,LOWER(TRIM('Trung tâm nhập liệu'!O78))="khi phát sinh",IF(n=0,IF(emergent,"",plan),IF(child=0,IF(emergent,"",plan),IF(OR(emergent,plan=""),child,MIN(plan,child))))))</f>
        <v>46223</v>
      </c>
      <c r="S26" s="411" t="str">
        <f t="shared" si="15"/>
        <v>Không</v>
      </c>
      <c r="T26" s="414" t="str">
        <f>'Trung tâm nhập liệu'!G78</f>
        <v>Dùng để kiểm soát các CV chi tiết hàng ngày</v>
      </c>
      <c r="U26" s="433" t="str">
        <f>'Trung tâm nhập liệu'!J78</f>
        <v>GĐ BOC</v>
      </c>
      <c r="V26" s="435" t="str">
        <f>'Trung tâm nhập liệu'!K78</f>
        <v>Ms Trang</v>
      </c>
      <c r="W26" s="435" t="str">
        <f>'Trung tâm nhập liệu'!I78</f>
        <v>R&amp;D</v>
      </c>
      <c r="X26" s="437" t="str">
        <f>'Trung tâm nhập liệu'!L78</f>
        <v>Đang thực hiện</v>
      </c>
      <c r="Y26" s="420" t="str">
        <f>'Trung tâm nhập liệu'!M78</f>
        <v>P3</v>
      </c>
      <c r="Z26" s="430">
        <f t="shared" si="16"/>
        <v>46223</v>
      </c>
      <c r="AA26" s="426">
        <f t="shared" si="17"/>
        <v>46387</v>
      </c>
      <c r="AB26" s="516">
        <f>IF(AI26&lt;&gt;"Có thời hạn","",IF(OR(Z26="",AA26=""),"",IF(AA26&lt;Z26,"",_xlfn.NETWORKDAYS.INTL(Z26,AA26,11,'Ngày nghỉ lễ'!$A$5:$A$80))))</f>
        <v>140</v>
      </c>
      <c r="AC26" s="446" t="str">
        <f>IF(I26="","",IF(L26="Công việc khác","",IF(OR(X26="Chưa lên lịch",X26="Đã lên lịch",X26="Hủy"),"",IF(COUNTIFS('Lớp 4 - Danh mục'!$J$14:$J$132,I26,'Lớp 4 - Danh mục'!$AA$14:$AA$132,"&lt;&gt;",'Lớp 4 - Danh mục'!$AA$14:$AA$132,"&lt;&gt;Hủy",'Lớp 4 - Danh mục'!$AA$14:$AA$132,"&lt;&gt;Chưa lên lịch",'Lớp 4 - Danh mục'!$AA$14:$AA$132,"&lt;&gt;Đã lên lịch")&gt;0,SUMIFS('Lớp 4 - Danh mục'!$AF$14:$AF$132,'Lớp 4 - Danh mục'!$J$14:$J$132,I26,'Lớp 4 - Danh mục'!$AA$14:$AA$132,"&lt;&gt;",'Lớp 4 - Danh mục'!$AA$14:$AA$132,"&lt;&gt;Hủy",'Lớp 4 - Danh mục'!$AA$14:$AA$132,"&lt;&gt;Chưa lên lịch",'Lớp 4 - Danh mục'!$AA$14:$AA$132,"&lt;&gt;Đã lên lịch")/COUNTIFS('Lớp 4 - Danh mục'!$J$14:$J$132,I26,'Lớp 4 - Danh mục'!$AA$14:$AA$132,"&lt;&gt;",'Lớp 4 - Danh mục'!$AA$14:$AA$132,"&lt;&gt;Hủy",'Lớp 4 - Danh mục'!$AA$14:$AA$132,"&lt;&gt;Chưa lên lịch",'Lớp 4 - Danh mục'!$AA$14:$AA$132,"&lt;&gt;Đã lên lịch"),IF(X26="Hoàn thành",1,0)))))</f>
        <v/>
      </c>
      <c r="AD26" s="516">
        <f>IF(AI26&lt;&gt;"Có thời hạn","",IF(OR(I26="",Z26="",AA26=""),"",IF(OR(X26="Hoàn thành",X26="Hủy"),0,IF(AA26&lt;TODAY(),-_xlfn.NETWORKDAYS.INTL(AA26,TODAY()-1,11,'Ngày nghỉ lễ'!$A$5:$A$80),MAX(0,_xlfn.NETWORKDAYS.INTL(MAX(TODAY()+1,Z26),AA26,11,'Ngày nghỉ lễ'!$A$5:$A$80))))))</f>
        <v>120</v>
      </c>
      <c r="AE26" s="448">
        <f>IF($I26="","",LET(n,COUNTIFS('Lớp 4 - Danh mục'!$J$14:$J$132,$I26,'Lớp 4 - Danh mục'!$AA$14:$AA$132,"&lt;&gt;Hủy"),du,COUNTIFS('Lớp 4 - Danh mục'!$J$14:$J$132,$I26,'Lớp 4 - Danh mục'!$AA$14:$AA$132,"&lt;&gt;Hủy",'Lớp 4 - Danh mục'!$AH$14:$AH$132,"&lt;&gt;"),IF(n=0,'Trung tâm nhập liệu'!T78,IF(du&lt;n,"",SUMIFS('Lớp 4 - Danh mục'!$AH$14:$AH$132,'Lớp 4 - Danh mục'!$J$14:$J$132,$I26,'Lớp 4 - Danh mục'!$AA$14:$AA$132,"&lt;&gt;Hủy")))))</f>
        <v>96</v>
      </c>
      <c r="AF26" s="510" t="str">
        <f>IF(I26="","",IF(OR(X26="Hoàn thành",X26="Hủy"),"",IF(COUNTIFS('Lớp 4 - Danh mục'!$J$14:$J$132,I26,'Lớp 4 - Danh mục'!$AA$14:$AA$132,"&lt;&gt;Hủy")&gt;0,"",IF(AO26="Ngày",AP26,IF(AO26="Tuần",AP26/5,"")))))</f>
        <v/>
      </c>
      <c r="AG26" s="456" t="str">
        <f>IF(AI26="Chưa xếp lịch","Chưa xếp lịch",IF(AI26="Định kỳ",IF(AJ26="","Thiếu chu kỳ","Theo chu kỳ"),IF(AI26="Khi phát sinh",IF(COUNTIFS('Lớp 4 - Danh mục'!$J$14:$J$132,$I26,'Lớp 4 - Danh mục'!$AA$14:$AA$132,"&lt;&gt;Hủy")=0,"Khi phát sinh – chờ việc con","Khi phát sinh – theo ngày con"),IF(I26="","",LET(n,COUNTIFS('Lớp 4 - Danh mục'!$J$14:$J$132,$I26,'Lớp 4 - Danh mục'!$AA$14:$AA$132,"&lt;&gt;Hủy"),cs,IFERROR(MINIFS('Lớp 4 - Danh mục'!$AC$14:$AC$132,'Lớp 4 - Danh mục'!$J$14:$J$132,$I26,'Lớp 4 - Danh mục'!$AA$14:$AA$132,"&lt;&gt;Hủy",'Lớp 4 - Danh mục'!$AC$14:$AC$132,"&gt;0"),0),ce,IFERROR(MAXIFS('Lớp 4 - Danh mục'!$AD$14:$AD$132,'Lớp 4 - Danh mục'!$J$14:$J$132,$I26,'Lớp 4 - Danh mục'!$AA$14:$AA$132,"&lt;&gt;Hủy",'Lớp 4 - Danh mục'!$AD$14:$AD$132,"&gt;0"),0),ps,'Trung tâm nhập liệu'!R78,pe,'Trung tâm nhập liệu'!Q78,IF(OR(Z26="",AA26=""),"Thiếu ngày L3",IF(n=0,"Chưa có L4",IF(OR(cs=0,ce=0),"Thiếu ngày L4",IF(OR(ps="",pe=""),"Thiếu ngày kế hoạch gốc L3",IF(OR(cs&lt;ps,ce&gt;pe),"Cảnh báo: Con vượt khung kế hoạch gốc","L4 đúng khung kế hoạch gốc"))))))))))</f>
        <v>Chưa có L4</v>
      </c>
      <c r="AH26" s="465" t="str">
        <f>IF(OR(AR26="Thiếu tham số phân bổ",AR26="Phân bổ phải &gt; 0"),AR26,SWITCH(AI26,"Chưa xếp lịch","Chưa tính tải","Định kỳ","Theo chu kỳ","Khi phát sinh","Khi phát sinh",IF(I26="","",IF(OR(X26="Hoàn thành",X26="Hủy"),X26,IF(COUNTIFS('Lớp 4 - Danh mục'!$J$14:$J$132,I26,'Lớp 4 - Danh mục'!$AA$14:$AA$132,"&lt;&gt;Hủy")&gt;0,"Theo dõi tải tại Lớp 4",IF(AE26="","Chưa nhập khối lượng",IF(V26="","Thiếu người thực hiện",IF(OR(Z26="",AA26=""),"Chưa nhập đủ thời gian",IF(AD26&lt;0,"Quá hạn – còn "&amp;TEXT(MAX(0,AE26*(1-AC26)),"0.0")&amp;" giờ",LET(bd,MAX(TODAY(),Z26),kt,AA26,nguoi,V26,tai,SUMIFS('Lớp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26" s="467" t="str">
        <f>'Trung tâm nhập liệu'!O78</f>
        <v>Có thời hạn</v>
      </c>
      <c r="AJ26" s="469" t="str">
        <f>'Trung tâm nhập liệu'!P78</f>
        <v/>
      </c>
      <c r="AK26" s="470" t="str">
        <f>'Trung tâm nhập liệu'!S78</f>
        <v/>
      </c>
      <c r="AL26" s="470" t="str">
        <f>'Trung tâm nhập liệu'!X78</f>
        <v/>
      </c>
      <c r="AM26" s="471" t="str">
        <f t="shared" si="18"/>
        <v/>
      </c>
      <c r="AN26" s="469" t="str">
        <f t="shared" si="19"/>
        <v/>
      </c>
      <c r="AO26" s="475" t="str">
        <f>'Trung tâm nhập liệu'!V78</f>
        <v/>
      </c>
      <c r="AP26" s="476" t="str">
        <f>'Trung tâm nhập liệu'!W78</f>
        <v/>
      </c>
      <c r="AQ26" s="478" t="str">
        <f>IF(AI26&lt;&gt;"Có thời hạn","",IF(OR(I26="",AE26="",X26="Hoàn thành",X26="Hủy",COUNTIFS('Lớp 4 - Danh mục'!$J$14:$J$132,I26,'Lớp 4 - Danh mục'!$AA$14:$AA$132,"&lt;&gt;Hủy")&gt;0),"",LET(canNgay,MAX(0,AE26*(1-AC26))/MAX(1,AD26),IF(AO26="Ngày",canNgay,IF(AO26="Tuần",canNgay*5,"")))))</f>
        <v/>
      </c>
      <c r="AR26" s="465" t="str">
        <f>IF(I26="","",IF(COUNTIFS('Lớp 4 - Danh mục'!$J$14:$J$132,I26,'Lớp 4 - Danh mục'!$AA$14:$AA$132,"&lt;&gt;Hủy")&gt;0,"Theo dõi phân bổ tại Lớp 4",IF(OR(X26="Hoàn thành",X26="Hủy"),X26,IF(AE26="","Thiếu tổng giờ",IF(OR(AO26="",AP26=""),"Thiếu tham số phân bổ",IF(AP26&lt;=0,"Phân bổ phải &gt; 0",IF(AI26&lt;&gt;"Có thời hạn","Đã có phân bổ",IF(AQ26="","Chưa đủ dữ liệu hạn",IF(AP26&gt;=AQ26,"Đủ phân bổ theo "&amp;LOWER(AO26),"Thiếu "&amp;TEXT(AQ26-AP26,"0.0")&amp;" giờ/"&amp;LOWER(AO26))))))))))</f>
        <v>Thiếu tham số phân bổ</v>
      </c>
      <c r="AS26" s="465" t="str">
        <f t="shared" si="20"/>
        <v>Tiến độ 100% – chuyển Hoàn thành</v>
      </c>
      <c r="AT26" s="479" t="str">
        <f>'Trung tâm nhập liệu'!Y78</f>
        <v/>
      </c>
    </row>
    <row r="27" ht="15.75" customHeight="1">
      <c r="A27" s="383">
        <f t="shared" si="11"/>
        <v>14</v>
      </c>
      <c r="B27" s="387" t="str">
        <f>'Trung tâm nhập liệu'!F79</f>
        <v>Xác định &amp; thông qua Xu hướng TK mới 2027</v>
      </c>
      <c r="C27" s="394" t="str">
        <f>'Trung tâm nhập liệu'!M79</f>
        <v>P2</v>
      </c>
      <c r="D27" s="481">
        <f t="shared" ref="D27:E27" si="59">AC27</f>
        <v>0</v>
      </c>
      <c r="E27" s="484">
        <f t="shared" si="59"/>
        <v>6</v>
      </c>
      <c r="F27" s="407">
        <f t="shared" ref="F27:G27" si="60">Q27</f>
        <v>46252</v>
      </c>
      <c r="G27" s="407">
        <f t="shared" si="60"/>
        <v>46235</v>
      </c>
      <c r="H27" s="411" t="str">
        <f>IF(B27="","",IF(COUNTIF('Lớp 4 - Danh mục'!$J$14:$J$132,I27)&gt;0,"Có","Không"))</f>
        <v>Không</v>
      </c>
      <c r="I27" s="414" t="str">
        <f>'Trung tâm nhập liệu'!B79</f>
        <v>HHL3RD11</v>
      </c>
      <c r="J27" s="415">
        <f>'Trung tâm nhập liệu'!E79</f>
        <v>2026</v>
      </c>
      <c r="K27" s="469" t="s">
        <v>87</v>
      </c>
      <c r="L27" s="601" t="s">
        <v>88</v>
      </c>
      <c r="M27" s="419" t="str">
        <f t="shared" ref="M27:P27" si="61">B27</f>
        <v>Xác định &amp; thông qua Xu hướng TK mới 2027</v>
      </c>
      <c r="N27" s="420" t="str">
        <f t="shared" si="61"/>
        <v>P2</v>
      </c>
      <c r="O27" s="421">
        <f t="shared" si="61"/>
        <v>0</v>
      </c>
      <c r="P27" s="422">
        <f t="shared" si="61"/>
        <v>6</v>
      </c>
      <c r="Q27" s="426">
        <f>IF($I27="","",LET(n,COUNTIFS('Lớp 4 - Danh mục'!$J$14:$J$132,$I27,'Lớp 4 - Danh mục'!$AA$14:$AA$132,"&lt;&gt;Hủy"),child,IFERROR(MAXIFS('Lớp 4 - Danh mục'!$AD$14:$AD$132,'Lớp 4 - Danh mục'!$J$14:$J$132,$I27,'Lớp 4 - Danh mục'!$AA$14:$AA$132,"&lt;&gt;Hủy",'Lớp 4 - Danh mục'!$AD$14:$AD$132,"&gt;0"),0),plan,'Trung tâm nhập liệu'!Q79,emergent,LOWER(TRIM('Trung tâm nhập liệu'!O79))="khi phát sinh",IF(n=0,IF(emergent,"",plan),IF(child=0,IF(emergent,"",plan),IF(OR(emergent,plan=""),child,MAX(plan,child))))))</f>
        <v>46252</v>
      </c>
      <c r="R27" s="430">
        <f>IF($I27="","",LET(n,COUNTIFS('Lớp 4 - Danh mục'!$J$14:$J$132,$I27,'Lớp 4 - Danh mục'!$AA$14:$AA$132,"&lt;&gt;Hủy"),child,IFERROR(MINIFS('Lớp 4 - Danh mục'!$AC$14:$AC$132,'Lớp 4 - Danh mục'!$J$14:$J$132,$I27,'Lớp 4 - Danh mục'!$AA$14:$AA$132,"&lt;&gt;Hủy",'Lớp 4 - Danh mục'!$AC$14:$AC$132,"&gt;0"),0),plan,'Trung tâm nhập liệu'!R79,emergent,LOWER(TRIM('Trung tâm nhập liệu'!O79))="khi phát sinh",IF(n=0,IF(emergent,"",plan),IF(child=0,IF(emergent,"",plan),IF(OR(emergent,plan=""),child,MIN(plan,child))))))</f>
        <v>46235</v>
      </c>
      <c r="S27" s="411" t="str">
        <f t="shared" si="15"/>
        <v>Không</v>
      </c>
      <c r="T27" s="414" t="str">
        <f>'Trung tâm nhập liệu'!G79</f>
        <v>Xác định và thống nhất định hướng xu hướng thiết kế mới cho năm 2027</v>
      </c>
      <c r="U27" s="433" t="str">
        <f>'Trung tâm nhập liệu'!J79</f>
        <v>GĐ BOC</v>
      </c>
      <c r="V27" s="435" t="str">
        <f>'Trung tâm nhập liệu'!K79</f>
        <v>Ms Trang</v>
      </c>
      <c r="W27" s="435" t="str">
        <f>'Trung tâm nhập liệu'!I79</f>
        <v>R&amp;D</v>
      </c>
      <c r="X27" s="437" t="str">
        <f>'Trung tâm nhập liệu'!L79</f>
        <v>Đang thực hiện</v>
      </c>
      <c r="Y27" s="420" t="str">
        <f>'Trung tâm nhập liệu'!M79</f>
        <v>P2</v>
      </c>
      <c r="Z27" s="430">
        <f t="shared" si="16"/>
        <v>46235</v>
      </c>
      <c r="AA27" s="426">
        <f t="shared" si="17"/>
        <v>46252</v>
      </c>
      <c r="AB27" s="516">
        <f>IF(AI27&lt;&gt;"Có thời hạn","",IF(OR(Z27="",AA27=""),"",IF(AA27&lt;Z27,"",_xlfn.NETWORKDAYS.INTL(Z27,AA27,11,'Ngày nghỉ lễ'!$A$5:$A$80))))</f>
        <v>15</v>
      </c>
      <c r="AC27" s="446">
        <f>IF(I27="","",IF(L27="Công việc khác","",IF(OR(X27="Chưa lên lịch",X27="Đã lên lịch",X27="Hủy"),"",IF(COUNTIFS('Lớp 4 - Danh mục'!$J$14:$J$132,I27,'Lớp 4 - Danh mục'!$AA$14:$AA$132,"&lt;&gt;",'Lớp 4 - Danh mục'!$AA$14:$AA$132,"&lt;&gt;Hủy",'Lớp 4 - Danh mục'!$AA$14:$AA$132,"&lt;&gt;Chưa lên lịch",'Lớp 4 - Danh mục'!$AA$14:$AA$132,"&lt;&gt;Đã lên lịch")&gt;0,SUMIFS('Lớp 4 - Danh mục'!$AF$14:$AF$132,'Lớp 4 - Danh mục'!$J$14:$J$132,I27,'Lớp 4 - Danh mục'!$AA$14:$AA$132,"&lt;&gt;",'Lớp 4 - Danh mục'!$AA$14:$AA$132,"&lt;&gt;Hủy",'Lớp 4 - Danh mục'!$AA$14:$AA$132,"&lt;&gt;Chưa lên lịch",'Lớp 4 - Danh mục'!$AA$14:$AA$132,"&lt;&gt;Đã lên lịch")/COUNTIFS('Lớp 4 - Danh mục'!$J$14:$J$132,I27,'Lớp 4 - Danh mục'!$AA$14:$AA$132,"&lt;&gt;",'Lớp 4 - Danh mục'!$AA$14:$AA$132,"&lt;&gt;Hủy",'Lớp 4 - Danh mục'!$AA$14:$AA$132,"&lt;&gt;Chưa lên lịch",'Lớp 4 - Danh mục'!$AA$14:$AA$132,"&lt;&gt;Đã lên lịch"),IF(X27="Hoàn thành",1,0)))))</f>
        <v>0</v>
      </c>
      <c r="AD27" s="516">
        <f>IF(AI27&lt;&gt;"Có thời hạn","",IF(OR(I27="",Z27="",AA27=""),"",IF(OR(X27="Hoàn thành",X27="Hủy"),0,IF(AA27&lt;TODAY(),-_xlfn.NETWORKDAYS.INTL(AA27,TODAY()-1,11,'Ngày nghỉ lễ'!$A$5:$A$80),MAX(0,_xlfn.NETWORKDAYS.INTL(MAX(TODAY()+1,Z27),AA27,11,'Ngày nghỉ lễ'!$A$5:$A$80))))))</f>
        <v>6</v>
      </c>
      <c r="AE27" s="448">
        <f>IF($I27="","",LET(n,COUNTIFS('Lớp 4 - Danh mục'!$J$14:$J$132,$I27,'Lớp 4 - Danh mục'!$AA$14:$AA$132,"&lt;&gt;Hủy"),du,COUNTIFS('Lớp 4 - Danh mục'!$J$14:$J$132,$I27,'Lớp 4 - Danh mục'!$AA$14:$AA$132,"&lt;&gt;Hủy",'Lớp 4 - Danh mục'!$AH$14:$AH$132,"&lt;&gt;"),IF(n=0,'Trung tâm nhập liệu'!T79,IF(du&lt;n,"",SUMIFS('Lớp 4 - Danh mục'!$AH$14:$AH$132,'Lớp 4 - Danh mục'!$J$14:$J$132,$I27,'Lớp 4 - Danh mục'!$AA$14:$AA$132,"&lt;&gt;Hủy")))))</f>
        <v>80</v>
      </c>
      <c r="AF27" s="510" t="str">
        <f>IF(I27="","",IF(OR(X27="Hoàn thành",X27="Hủy"),"",IF(COUNTIFS('Lớp 4 - Danh mục'!$J$14:$J$132,I27,'Lớp 4 - Danh mục'!$AA$14:$AA$132,"&lt;&gt;Hủy")&gt;0,"",IF(AO27="Ngày",AP27,IF(AO27="Tuần",AP27/5,"")))))</f>
        <v/>
      </c>
      <c r="AG27" s="456" t="str">
        <f>IF(AI27="Chưa xếp lịch","Chưa xếp lịch",IF(AI27="Định kỳ",IF(AJ27="","Thiếu chu kỳ","Theo chu kỳ"),IF(AI27="Khi phát sinh",IF(COUNTIFS('Lớp 4 - Danh mục'!$J$14:$J$132,$I27,'Lớp 4 - Danh mục'!$AA$14:$AA$132,"&lt;&gt;Hủy")=0,"Khi phát sinh – chờ việc con","Khi phát sinh – theo ngày con"),IF(I27="","",LET(n,COUNTIFS('Lớp 4 - Danh mục'!$J$14:$J$132,$I27,'Lớp 4 - Danh mục'!$AA$14:$AA$132,"&lt;&gt;Hủy"),cs,IFERROR(MINIFS('Lớp 4 - Danh mục'!$AC$14:$AC$132,'Lớp 4 - Danh mục'!$J$14:$J$132,$I27,'Lớp 4 - Danh mục'!$AA$14:$AA$132,"&lt;&gt;Hủy",'Lớp 4 - Danh mục'!$AC$14:$AC$132,"&gt;0"),0),ce,IFERROR(MAXIFS('Lớp 4 - Danh mục'!$AD$14:$AD$132,'Lớp 4 - Danh mục'!$J$14:$J$132,$I27,'Lớp 4 - Danh mục'!$AA$14:$AA$132,"&lt;&gt;Hủy",'Lớp 4 - Danh mục'!$AD$14:$AD$132,"&gt;0"),0),ps,'Trung tâm nhập liệu'!R79,pe,'Trung tâm nhập liệu'!Q79,IF(OR(Z27="",AA27=""),"Thiếu ngày L3",IF(n=0,"Chưa có L4",IF(OR(cs=0,ce=0),"Thiếu ngày L4",IF(OR(ps="",pe=""),"Thiếu ngày kế hoạch gốc L3",IF(OR(cs&lt;ps,ce&gt;pe),"Cảnh báo: Con vượt khung kế hoạch gốc","L4 đúng khung kế hoạch gốc"))))))))))</f>
        <v>Chưa có L4</v>
      </c>
      <c r="AH27" s="465" t="str">
        <f>IF(OR(AR27="Thiếu tham số phân bổ",AR27="Phân bổ phải &gt; 0"),AR27,SWITCH(AI27,"Chưa xếp lịch","Chưa tính tải","Định kỳ","Theo chu kỳ","Khi phát sinh","Khi phát sinh",IF(I27="","",IF(OR(X27="Hoàn thành",X27="Hủy"),X27,IF(COUNTIFS('Lớp 4 - Danh mục'!$J$14:$J$132,I27,'Lớp 4 - Danh mục'!$AA$14:$AA$132,"&lt;&gt;Hủy")&gt;0,"Theo dõi tải tại Lớp 4",IF(AE27="","Chưa nhập khối lượng",IF(V27="","Thiếu người thực hiện",IF(OR(Z27="",AA27=""),"Chưa nhập đủ thời gian",IF(AD27&lt;0,"Quá hạn – còn "&amp;TEXT(MAX(0,AE27*(1-AC27)),"0.0")&amp;" giờ",LET(bd,MAX(TODAY(),Z27),kt,AA27,nguoi,V27,tai,SUMIFS('Lớp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27" s="467" t="str">
        <f>'Trung tâm nhập liệu'!O79</f>
        <v>Có thời hạn</v>
      </c>
      <c r="AJ27" s="469" t="str">
        <f>'Trung tâm nhập liệu'!P79</f>
        <v/>
      </c>
      <c r="AK27" s="470" t="str">
        <f>'Trung tâm nhập liệu'!S79</f>
        <v/>
      </c>
      <c r="AL27" s="470" t="str">
        <f>'Trung tâm nhập liệu'!X79</f>
        <v/>
      </c>
      <c r="AM27" s="471" t="str">
        <f t="shared" si="18"/>
        <v/>
      </c>
      <c r="AN27" s="469" t="str">
        <f t="shared" si="19"/>
        <v/>
      </c>
      <c r="AO27" s="475" t="str">
        <f>'Trung tâm nhập liệu'!V79</f>
        <v/>
      </c>
      <c r="AP27" s="476" t="str">
        <f>'Trung tâm nhập liệu'!W79</f>
        <v/>
      </c>
      <c r="AQ27" s="478" t="str">
        <f>IF(AI27&lt;&gt;"Có thời hạn","",IF(OR(I27="",AE27="",X27="Hoàn thành",X27="Hủy",COUNTIFS('Lớp 4 - Danh mục'!$J$14:$J$132,I27,'Lớp 4 - Danh mục'!$AA$14:$AA$132,"&lt;&gt;Hủy")&gt;0),"",LET(canNgay,MAX(0,AE27*(1-AC27))/MAX(1,AD27),IF(AO27="Ngày",canNgay,IF(AO27="Tuần",canNgay*5,"")))))</f>
        <v/>
      </c>
      <c r="AR27" s="465" t="str">
        <f>IF(I27="","",IF(COUNTIFS('Lớp 4 - Danh mục'!$J$14:$J$132,I27,'Lớp 4 - Danh mục'!$AA$14:$AA$132,"&lt;&gt;Hủy")&gt;0,"Theo dõi phân bổ tại Lớp 4",IF(OR(X27="Hoàn thành",X27="Hủy"),X27,IF(AE27="","Thiếu tổng giờ",IF(OR(AO27="",AP27=""),"Thiếu tham số phân bổ",IF(AP27&lt;=0,"Phân bổ phải &gt; 0",IF(AI27&lt;&gt;"Có thời hạn","Đã có phân bổ",IF(AQ27="","Chưa đủ dữ liệu hạn",IF(AP27&gt;=AQ27,"Đủ phân bổ theo "&amp;LOWER(AO27),"Thiếu "&amp;TEXT(AQ27-AP27,"0.0")&amp;" giờ/"&amp;LOWER(AO27))))))))))</f>
        <v>Thiếu tham số phân bổ</v>
      </c>
      <c r="AS27" s="465" t="str">
        <f t="shared" si="20"/>
        <v>OK</v>
      </c>
      <c r="AT27" s="479" t="str">
        <f>'Trung tâm nhập liệu'!Y79</f>
        <v/>
      </c>
    </row>
    <row r="28" ht="15.75" customHeight="1">
      <c r="A28" s="383">
        <f t="shared" si="11"/>
        <v>15</v>
      </c>
      <c r="B28" s="387" t="str">
        <f>'Trung tâm nhập liệu'!F80</f>
        <v>Xây dựng quy trình và hệ thống quản trị sản phẩm theo phân loại</v>
      </c>
      <c r="C28" s="394" t="str">
        <f>'Trung tâm nhập liệu'!M80</f>
        <v>P2</v>
      </c>
      <c r="D28" s="568">
        <f t="shared" ref="D28:E28" si="62">AC28</f>
        <v>0</v>
      </c>
      <c r="E28" s="484">
        <f t="shared" si="62"/>
        <v>120</v>
      </c>
      <c r="F28" s="407">
        <f t="shared" ref="F28:G28" si="63">Q28</f>
        <v>46387</v>
      </c>
      <c r="G28" s="407">
        <f t="shared" si="63"/>
        <v>46223</v>
      </c>
      <c r="H28" s="411" t="str">
        <f>IF(B28="","",IF(COUNTIF('Lớp 4 - Danh mục'!$J$14:$J$132,I28)&gt;0,"Có","Không"))</f>
        <v>Có</v>
      </c>
      <c r="I28" s="414" t="str">
        <f>'Trung tâm nhập liệu'!B80</f>
        <v>HHL3RD12</v>
      </c>
      <c r="J28" s="415">
        <f>'Trung tâm nhập liệu'!E80</f>
        <v>2026</v>
      </c>
      <c r="K28" s="469" t="s">
        <v>87</v>
      </c>
      <c r="L28" s="602" t="s">
        <v>88</v>
      </c>
      <c r="M28" s="419" t="str">
        <f t="shared" ref="M28:P28" si="64">B28</f>
        <v>Xây dựng quy trình và hệ thống quản trị sản phẩm theo phân loại</v>
      </c>
      <c r="N28" s="420" t="str">
        <f t="shared" si="64"/>
        <v>P2</v>
      </c>
      <c r="O28" s="421">
        <f t="shared" si="64"/>
        <v>0</v>
      </c>
      <c r="P28" s="422">
        <f t="shared" si="64"/>
        <v>120</v>
      </c>
      <c r="Q28" s="426">
        <f>IF($I28="","",LET(n,COUNTIFS('Lớp 4 - Danh mục'!$J$14:$J$132,$I28,'Lớp 4 - Danh mục'!$AA$14:$AA$132,"&lt;&gt;Hủy"),child,IFERROR(MAXIFS('Lớp 4 - Danh mục'!$AD$14:$AD$132,'Lớp 4 - Danh mục'!$J$14:$J$132,$I28,'Lớp 4 - Danh mục'!$AA$14:$AA$132,"&lt;&gt;Hủy",'Lớp 4 - Danh mục'!$AD$14:$AD$132,"&gt;0"),0),plan,'Trung tâm nhập liệu'!Q80,emergent,LOWER(TRIM('Trung tâm nhập liệu'!O80))="khi phát sinh",IF(n=0,IF(emergent,"",plan),IF(child=0,IF(emergent,"",plan),IF(OR(emergent,plan=""),child,MAX(plan,child))))))</f>
        <v>46387</v>
      </c>
      <c r="R28" s="430">
        <f>IF($I28="","",LET(n,COUNTIFS('Lớp 4 - Danh mục'!$J$14:$J$132,$I28,'Lớp 4 - Danh mục'!$AA$14:$AA$132,"&lt;&gt;Hủy"),child,IFERROR(MINIFS('Lớp 4 - Danh mục'!$AC$14:$AC$132,'Lớp 4 - Danh mục'!$J$14:$J$132,$I28,'Lớp 4 - Danh mục'!$AA$14:$AA$132,"&lt;&gt;Hủy",'Lớp 4 - Danh mục'!$AC$14:$AC$132,"&gt;0"),0),plan,'Trung tâm nhập liệu'!R80,emergent,LOWER(TRIM('Trung tâm nhập liệu'!O80))="khi phát sinh",IF(n=0,IF(emergent,"",plan),IF(child=0,IF(emergent,"",plan),IF(OR(emergent,plan=""),child,MIN(plan,child))))))</f>
        <v>46223</v>
      </c>
      <c r="S28" s="411" t="str">
        <f t="shared" si="15"/>
        <v>Có</v>
      </c>
      <c r="T28" s="414" t="str">
        <f>'Trung tâm nhập liệu'!G80</f>
        <v>Chuẩn hóa cơ chế quản trị vòng đời, danh mục, chất lượng và thông tin sản phẩm</v>
      </c>
      <c r="U28" s="433" t="str">
        <f>'Trung tâm nhập liệu'!J80</f>
        <v>GĐ BOC</v>
      </c>
      <c r="V28" s="435" t="str">
        <f>'Trung tâm nhập liệu'!K80</f>
        <v>Ms Trang</v>
      </c>
      <c r="W28" s="435" t="str">
        <f>'Trung tâm nhập liệu'!I80</f>
        <v>R&amp;D</v>
      </c>
      <c r="X28" s="437" t="str">
        <f>'Trung tâm nhập liệu'!L80</f>
        <v>Đang thực hiện</v>
      </c>
      <c r="Y28" s="420" t="str">
        <f>'Trung tâm nhập liệu'!M80</f>
        <v>P2</v>
      </c>
      <c r="Z28" s="430">
        <f t="shared" si="16"/>
        <v>46223</v>
      </c>
      <c r="AA28" s="426">
        <f t="shared" si="17"/>
        <v>46387</v>
      </c>
      <c r="AB28" s="516">
        <f>IF(AI28&lt;&gt;"Có thời hạn","",IF(OR(Z28="",AA28=""),"",IF(AA28&lt;Z28,"",_xlfn.NETWORKDAYS.INTL(Z28,AA28,11,'Ngày nghỉ lễ'!$A$5:$A$80))))</f>
        <v>140</v>
      </c>
      <c r="AC28" s="446">
        <f>IF(I28="","",IF(L28="Công việc khác","",IF(OR(X28="Chưa lên lịch",X28="Đã lên lịch",X28="Hủy"),"",IF(COUNTIFS('Lớp 4 - Danh mục'!$J$14:$J$132,I28,'Lớp 4 - Danh mục'!$AA$14:$AA$132,"&lt;&gt;",'Lớp 4 - Danh mục'!$AA$14:$AA$132,"&lt;&gt;Hủy",'Lớp 4 - Danh mục'!$AA$14:$AA$132,"&lt;&gt;Chưa lên lịch",'Lớp 4 - Danh mục'!$AA$14:$AA$132,"&lt;&gt;Đã lên lịch")&gt;0,SUMIFS('Lớp 4 - Danh mục'!$AF$14:$AF$132,'Lớp 4 - Danh mục'!$J$14:$J$132,I28,'Lớp 4 - Danh mục'!$AA$14:$AA$132,"&lt;&gt;",'Lớp 4 - Danh mục'!$AA$14:$AA$132,"&lt;&gt;Hủy",'Lớp 4 - Danh mục'!$AA$14:$AA$132,"&lt;&gt;Chưa lên lịch",'Lớp 4 - Danh mục'!$AA$14:$AA$132,"&lt;&gt;Đã lên lịch")/COUNTIFS('Lớp 4 - Danh mục'!$J$14:$J$132,I28,'Lớp 4 - Danh mục'!$AA$14:$AA$132,"&lt;&gt;",'Lớp 4 - Danh mục'!$AA$14:$AA$132,"&lt;&gt;Hủy",'Lớp 4 - Danh mục'!$AA$14:$AA$132,"&lt;&gt;Chưa lên lịch",'Lớp 4 - Danh mục'!$AA$14:$AA$132,"&lt;&gt;Đã lên lịch"),IF(X28="Hoàn thành",1,0)))))</f>
        <v>0</v>
      </c>
      <c r="AD28" s="516">
        <f>IF(AI28&lt;&gt;"Có thời hạn","",IF(OR(I28="",Z28="",AA28=""),"",IF(OR(X28="Hoàn thành",X28="Hủy"),0,IF(AA28&lt;TODAY(),-_xlfn.NETWORKDAYS.INTL(AA28,TODAY()-1,11,'Ngày nghỉ lễ'!$A$5:$A$80),MAX(0,_xlfn.NETWORKDAYS.INTL(MAX(TODAY()+1,Z28),AA28,11,'Ngày nghỉ lễ'!$A$5:$A$80))))))</f>
        <v>120</v>
      </c>
      <c r="AE28" s="448">
        <f>IF($I28="","",LET(n,COUNTIFS('Lớp 4 - Danh mục'!$J$14:$J$132,$I28,'Lớp 4 - Danh mục'!$AA$14:$AA$132,"&lt;&gt;Hủy"),du,COUNTIFS('Lớp 4 - Danh mục'!$J$14:$J$132,$I28,'Lớp 4 - Danh mục'!$AA$14:$AA$132,"&lt;&gt;Hủy",'Lớp 4 - Danh mục'!$AH$14:$AH$132,"&lt;&gt;"),IF(n=0,'Trung tâm nhập liệu'!T80,IF(du&lt;n,"",SUMIFS('Lớp 4 - Danh mục'!$AH$14:$AH$132,'Lớp 4 - Danh mục'!$J$14:$J$132,$I28,'Lớp 4 - Danh mục'!$AA$14:$AA$132,"&lt;&gt;Hủy")))))</f>
        <v>280</v>
      </c>
      <c r="AF28" s="510" t="str">
        <f>IF(I28="","",IF(OR(X28="Hoàn thành",X28="Hủy"),"",IF(COUNTIFS('Lớp 4 - Danh mục'!$J$14:$J$132,I28,'Lớp 4 - Danh mục'!$AA$14:$AA$132,"&lt;&gt;Hủy")&gt;0,"",IF(AO28="Ngày",AP28,IF(AO28="Tuần",AP28/5,"")))))</f>
        <v/>
      </c>
      <c r="AG28" s="456" t="str">
        <f>IF(AI28="Chưa xếp lịch","Chưa xếp lịch",IF(AI28="Định kỳ",IF(AJ28="","Thiếu chu kỳ","Theo chu kỳ"),IF(AI28="Khi phát sinh",IF(COUNTIFS('Lớp 4 - Danh mục'!$J$14:$J$132,$I28,'Lớp 4 - Danh mục'!$AA$14:$AA$132,"&lt;&gt;Hủy")=0,"Khi phát sinh – chờ việc con","Khi phát sinh – theo ngày con"),IF(I28="","",LET(n,COUNTIFS('Lớp 4 - Danh mục'!$J$14:$J$132,$I28,'Lớp 4 - Danh mục'!$AA$14:$AA$132,"&lt;&gt;Hủy"),cs,IFERROR(MINIFS('Lớp 4 - Danh mục'!$AC$14:$AC$132,'Lớp 4 - Danh mục'!$J$14:$J$132,$I28,'Lớp 4 - Danh mục'!$AA$14:$AA$132,"&lt;&gt;Hủy",'Lớp 4 - Danh mục'!$AC$14:$AC$132,"&gt;0"),0),ce,IFERROR(MAXIFS('Lớp 4 - Danh mục'!$AD$14:$AD$132,'Lớp 4 - Danh mục'!$J$14:$J$132,$I28,'Lớp 4 - Danh mục'!$AA$14:$AA$132,"&lt;&gt;Hủy",'Lớp 4 - Danh mục'!$AD$14:$AD$132,"&gt;0"),0),ps,'Trung tâm nhập liệu'!R80,pe,'Trung tâm nhập liệu'!Q80,IF(OR(Z28="",AA28=""),"Thiếu ngày L3",IF(n=0,"Chưa có L4",IF(OR(cs=0,ce=0),"Thiếu ngày L4",IF(OR(ps="",pe=""),"Thiếu ngày kế hoạch gốc L3",IF(OR(cs&lt;ps,ce&gt;pe),"Cảnh báo: Con vượt khung kế hoạch gốc","L4 đúng khung kế hoạch gốc"))))))))))</f>
        <v>L4 đúng khung kế hoạch gốc</v>
      </c>
      <c r="AH28" s="465" t="str">
        <f>IF(OR(AR28="Thiếu tham số phân bổ",AR28="Phân bổ phải &gt; 0"),AR28,SWITCH(AI28,"Chưa xếp lịch","Chưa tính tải","Định kỳ","Theo chu kỳ","Khi phát sinh","Khi phát sinh",IF(I28="","",IF(OR(X28="Hoàn thành",X28="Hủy"),X28,IF(COUNTIFS('Lớp 4 - Danh mục'!$J$14:$J$132,I28,'Lớp 4 - Danh mục'!$AA$14:$AA$132,"&lt;&gt;Hủy")&gt;0,"Theo dõi tải tại Lớp 4",IF(AE28="","Chưa nhập khối lượng",IF(V28="","Thiếu người thực hiện",IF(OR(Z28="",AA28=""),"Chưa nhập đủ thời gian",IF(AD28&lt;0,"Quá hạn – còn "&amp;TEXT(MAX(0,AE28*(1-AC28)),"0.0")&amp;" giờ",LET(bd,MAX(TODAY(),Z28),kt,AA28,nguoi,V28,tai,SUMIFS('Lớp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4</v>
      </c>
      <c r="AI28" s="467" t="str">
        <f>'Trung tâm nhập liệu'!O80</f>
        <v>Có thời hạn</v>
      </c>
      <c r="AJ28" s="469" t="str">
        <f>'Trung tâm nhập liệu'!P80</f>
        <v/>
      </c>
      <c r="AK28" s="470" t="str">
        <f>'Trung tâm nhập liệu'!S80</f>
        <v/>
      </c>
      <c r="AL28" s="470" t="str">
        <f>'Trung tâm nhập liệu'!X80</f>
        <v/>
      </c>
      <c r="AM28" s="471" t="str">
        <f t="shared" si="18"/>
        <v/>
      </c>
      <c r="AN28" s="469" t="str">
        <f t="shared" si="19"/>
        <v/>
      </c>
      <c r="AO28" s="475" t="str">
        <f>'Trung tâm nhập liệu'!V80</f>
        <v/>
      </c>
      <c r="AP28" s="476" t="str">
        <f>'Trung tâm nhập liệu'!W80</f>
        <v/>
      </c>
      <c r="AQ28" s="478" t="str">
        <f>IF(AI28&lt;&gt;"Có thời hạn","",IF(OR(I28="",AE28="",X28="Hoàn thành",X28="Hủy",COUNTIFS('Lớp 4 - Danh mục'!$J$14:$J$132,I28,'Lớp 4 - Danh mục'!$AA$14:$AA$132,"&lt;&gt;Hủy")&gt;0),"",LET(canNgay,MAX(0,AE28*(1-AC28))/MAX(1,AD28),IF(AO28="Ngày",canNgay,IF(AO28="Tuần",canNgay*5,"")))))</f>
        <v/>
      </c>
      <c r="AR28" s="465" t="str">
        <f>IF(I28="","",IF(COUNTIFS('Lớp 4 - Danh mục'!$J$14:$J$132,I28,'Lớp 4 - Danh mục'!$AA$14:$AA$132,"&lt;&gt;Hủy")&gt;0,"Theo dõi phân bổ tại Lớp 4",IF(OR(X28="Hoàn thành",X28="Hủy"),X28,IF(AE28="","Thiếu tổng giờ",IF(OR(AO28="",AP28=""),"Thiếu tham số phân bổ",IF(AP28&lt;=0,"Phân bổ phải &gt; 0",IF(AI28&lt;&gt;"Có thời hạn","Đã có phân bổ",IF(AQ28="","Chưa đủ dữ liệu hạn",IF(AP28&gt;=AQ28,"Đủ phân bổ theo "&amp;LOWER(AO28),"Thiếu "&amp;TEXT(AQ28-AP28,"0.0")&amp;" giờ/"&amp;LOWER(AO28))))))))))</f>
        <v>Theo dõi phân bổ tại Lớp 4</v>
      </c>
      <c r="AS28" s="465" t="str">
        <f t="shared" si="20"/>
        <v>OK</v>
      </c>
      <c r="AT28" s="479" t="str">
        <f>'Trung tâm nhập liệu'!Y80</f>
        <v/>
      </c>
    </row>
    <row r="29" ht="15.75" customHeight="1">
      <c r="A29" s="383" t="str">
        <f t="shared" si="11"/>
        <v>#REF!</v>
      </c>
      <c r="B29" s="387" t="str">
        <f t="shared" ref="B29:C29" si="65">#REF!</f>
        <v>#REF!</v>
      </c>
      <c r="C29" s="394" t="str">
        <f t="shared" si="65"/>
        <v>#REF!</v>
      </c>
      <c r="D29" s="599" t="str">
        <f t="shared" ref="D29:E29" si="66">AC29</f>
        <v>#REF!</v>
      </c>
      <c r="E29" s="484" t="str">
        <f t="shared" si="66"/>
        <v>#REF!</v>
      </c>
      <c r="F29" s="407" t="str">
        <f t="shared" ref="F29:G29" si="67">Q29</f>
        <v>#REF!</v>
      </c>
      <c r="G29" s="407" t="str">
        <f t="shared" si="67"/>
        <v>#REF!</v>
      </c>
      <c r="H29" s="411" t="str">
        <f>IF(B29="","",IF(COUNTIF('Lớp 4 - Danh mục'!$J$14:$J$132,I29)&gt;0,"Có","Không"))</f>
        <v>#REF!</v>
      </c>
      <c r="I29" s="414" t="str">
        <f t="shared" ref="I29:J29" si="68">#REF!</f>
        <v>#REF!</v>
      </c>
      <c r="J29" s="415" t="str">
        <f t="shared" si="68"/>
        <v>#REF!</v>
      </c>
      <c r="K29" s="416" t="s">
        <v>87</v>
      </c>
      <c r="L29" s="603" t="s">
        <v>88</v>
      </c>
      <c r="M29" s="419" t="str">
        <f t="shared" ref="M29:P29" si="69">B29</f>
        <v>#REF!</v>
      </c>
      <c r="N29" s="420" t="str">
        <f t="shared" si="69"/>
        <v>#REF!</v>
      </c>
      <c r="O29" s="421" t="str">
        <f t="shared" si="69"/>
        <v>#REF!</v>
      </c>
      <c r="P29" s="422" t="str">
        <f t="shared" si="69"/>
        <v>#REF!</v>
      </c>
      <c r="Q29" s="426" t="str">
        <f>IF($I29="","",LET(n,COUNTIFS('Lớp 4 - Danh mục'!$J$14:$J$132,$I29,'Lớp 4 - Danh mục'!$AA$14:$AA$132,"&lt;&gt;Hủy"),child,IFERROR(MAXIFS('Lớp 4 - Danh mục'!$AD$14:$AD$132,'Lớp 4 - Danh mục'!$J$14:$J$132,$I29,'Lớp 4 - Danh mục'!$AA$14:$AA$132,"&lt;&gt;Hủy",'Lớp 4 - Danh mục'!$AD$14:$AD$132,"&gt;0"),0),plan,#REF!,emergent,LOWER(TRIM(#REF!))="khi phát sinh",IF(n=0,IF(emergent,"",plan),IF(child=0,IF(emergent,"",plan),IF(OR(emergent,plan=""),child,MAX(plan,child))))))</f>
        <v>#REF!</v>
      </c>
      <c r="R29" s="430" t="str">
        <f>IF($I29="","",LET(n,COUNTIFS('Lớp 4 - Danh mục'!$J$14:$J$132,$I29,'Lớp 4 - Danh mục'!$AA$14:$AA$132,"&lt;&gt;Hủy"),child,IFERROR(MINIFS('Lớp 4 - Danh mục'!$AC$14:$AC$132,'Lớp 4 - Danh mục'!$J$14:$J$132,$I29,'Lớp 4 - Danh mục'!$AA$14:$AA$132,"&lt;&gt;Hủy",'Lớp 4 - Danh mục'!$AC$14:$AC$132,"&gt;0"),0),plan,#REF!,emergent,LOWER(TRIM(#REF!))="khi phát sinh",IF(n=0,IF(emergent,"",plan),IF(child=0,IF(emergent,"",plan),IF(OR(emergent,plan=""),child,MIN(plan,child))))))</f>
        <v>#REF!</v>
      </c>
      <c r="S29" s="411" t="str">
        <f t="shared" si="15"/>
        <v>#REF!</v>
      </c>
      <c r="T29" s="414" t="str">
        <f t="shared" ref="T29:Y29" si="70">#REF!</f>
        <v>#REF!</v>
      </c>
      <c r="U29" s="433" t="str">
        <f t="shared" si="70"/>
        <v>#REF!</v>
      </c>
      <c r="V29" s="435" t="str">
        <f t="shared" si="70"/>
        <v>#REF!</v>
      </c>
      <c r="W29" s="435" t="str">
        <f t="shared" si="70"/>
        <v>#REF!</v>
      </c>
      <c r="X29" s="437" t="str">
        <f t="shared" si="70"/>
        <v>#REF!</v>
      </c>
      <c r="Y29" s="420" t="str">
        <f t="shared" si="70"/>
        <v>#REF!</v>
      </c>
      <c r="Z29" s="430" t="str">
        <f t="shared" si="16"/>
        <v>#REF!</v>
      </c>
      <c r="AA29" s="426" t="str">
        <f t="shared" si="17"/>
        <v>#REF!</v>
      </c>
      <c r="AB29" s="516" t="str">
        <f>IF(AI29&lt;&gt;"Có thời hạn","",IF(OR(Z29="",AA29=""),"",IF(AA29&lt;Z29,"",_xlfn.NETWORKDAYS.INTL(Z29,AA29,11,'Ngày nghỉ lễ'!$A$5:$A$80))))</f>
        <v>#REF!</v>
      </c>
      <c r="AC29" s="446" t="str">
        <f>IF(I29="","",IF(L29="Công việc khác","",IF(OR(X29="Chưa lên lịch",X29="Đã lên lịch",X29="Hủy"),"",IF(COUNTIFS('Lớp 4 - Danh mục'!$J$14:$J$132,I29,'Lớp 4 - Danh mục'!$AA$14:$AA$132,"&lt;&gt;",'Lớp 4 - Danh mục'!$AA$14:$AA$132,"&lt;&gt;Hủy",'Lớp 4 - Danh mục'!$AA$14:$AA$132,"&lt;&gt;Chưa lên lịch",'Lớp 4 - Danh mục'!$AA$14:$AA$132,"&lt;&gt;Đã lên lịch")&gt;0,SUMIFS('Lớp 4 - Danh mục'!$AF$14:$AF$132,'Lớp 4 - Danh mục'!$J$14:$J$132,I29,'Lớp 4 - Danh mục'!$AA$14:$AA$132,"&lt;&gt;",'Lớp 4 - Danh mục'!$AA$14:$AA$132,"&lt;&gt;Hủy",'Lớp 4 - Danh mục'!$AA$14:$AA$132,"&lt;&gt;Chưa lên lịch",'Lớp 4 - Danh mục'!$AA$14:$AA$132,"&lt;&gt;Đã lên lịch")/COUNTIFS('Lớp 4 - Danh mục'!$J$14:$J$132,I29,'Lớp 4 - Danh mục'!$AA$14:$AA$132,"&lt;&gt;",'Lớp 4 - Danh mục'!$AA$14:$AA$132,"&lt;&gt;Hủy",'Lớp 4 - Danh mục'!$AA$14:$AA$132,"&lt;&gt;Chưa lên lịch",'Lớp 4 - Danh mục'!$AA$14:$AA$132,"&lt;&gt;Đã lên lịch"),IF(X29="Hoàn thành",1,0)))))</f>
        <v>#REF!</v>
      </c>
      <c r="AD29" s="516" t="str">
        <f>IF(AI29&lt;&gt;"Có thời hạn","",IF(OR(I29="",Z29="",AA29=""),"",IF(OR(X29="Hoàn thành",X29="Hủy"),0,IF(AA29&lt;TODAY(),-_xlfn.NETWORKDAYS.INTL(AA29,TODAY()-1,11,'Ngày nghỉ lễ'!$A$5:$A$80),MAX(0,_xlfn.NETWORKDAYS.INTL(MAX(TODAY()+1,Z29),AA29,11,'Ngày nghỉ lễ'!$A$5:$A$80))))))</f>
        <v>#REF!</v>
      </c>
      <c r="AE29" s="448" t="str">
        <f>IF($I29="","",LET(n,COUNTIFS('Lớp 4 - Danh mục'!$J$14:$J$132,$I29,'Lớp 4 - Danh mục'!$AA$14:$AA$132,"&lt;&gt;Hủy"),du,COUNTIFS('Lớp 4 - Danh mục'!$J$14:$J$132,$I29,'Lớp 4 - Danh mục'!$AA$14:$AA$132,"&lt;&gt;Hủy",'Lớp 4 - Danh mục'!$AH$14:$AH$132,"&lt;&gt;"),IF(n=0,#REF!,IF(du&lt;n,"",SUMIFS('Lớp 4 - Danh mục'!$AH$14:$AH$132,'Lớp 4 - Danh mục'!$J$14:$J$132,$I29,'Lớp 4 - Danh mục'!$AA$14:$AA$132,"&lt;&gt;Hủy")))))</f>
        <v>#REF!</v>
      </c>
      <c r="AF29" s="510" t="str">
        <f>IF(I29="","",IF(OR(X29="Hoàn thành",X29="Hủy"),"",IF(COUNTIFS('Lớp 4 - Danh mục'!$J$14:$J$132,I29,'Lớp 4 - Danh mục'!$AA$14:$AA$132,"&lt;&gt;Hủy")&gt;0,"",IF(AO29="Ngày",AP29,IF(AO29="Tuần",AP29/5,"")))))</f>
        <v>#REF!</v>
      </c>
      <c r="AG29" s="456" t="str">
        <f>IF(AI29="Chưa xếp lịch","Chưa xếp lịch",IF(AI29="Định kỳ",IF(AJ29="","Thiếu chu kỳ","Theo chu kỳ"),IF(AI29="Khi phát sinh",IF(COUNTIFS('Lớp 4 - Danh mục'!$J$14:$J$132,$I29,'Lớp 4 - Danh mục'!$AA$14:$AA$132,"&lt;&gt;Hủy")=0,"Khi phát sinh – chờ việc con","Khi phát sinh – theo ngày con"),IF(I29="","",LET(n,COUNTIFS('Lớp 4 - Danh mục'!$J$14:$J$132,$I29,'Lớp 4 - Danh mục'!$AA$14:$AA$132,"&lt;&gt;Hủy"),cs,IFERROR(MINIFS('Lớp 4 - Danh mục'!$AC$14:$AC$132,'Lớp 4 - Danh mục'!$J$14:$J$132,$I29,'Lớp 4 - Danh mục'!$AA$14:$AA$132,"&lt;&gt;Hủy",'Lớp 4 - Danh mục'!$AC$14:$AC$132,"&gt;0"),0),ce,IFERROR(MAXIFS('Lớp 4 - Danh mục'!$AD$14:$AD$132,'Lớp 4 - Danh mục'!$J$14:$J$132,$I29,'Lớp 4 - Danh mục'!$AA$14:$AA$132,"&lt;&gt;Hủy",'Lớp 4 - Danh mục'!$AD$14:$AD$132,"&gt;0"),0),ps,#REF!,pe,#REF!,IF(OR(Z29="",AA29=""),"Thiếu ngày L3",IF(n=0,"Chưa có L4",IF(OR(cs=0,ce=0),"Thiếu ngày L4",IF(OR(ps="",pe=""),"Thiếu ngày kế hoạch gốc L3",IF(OR(cs&lt;ps,ce&gt;pe),"Cảnh báo: Con vượt khung kế hoạch gốc","L4 đúng khung kế hoạch gốc"))))))))))</f>
        <v>#REF!</v>
      </c>
      <c r="AH29" s="465" t="str">
        <f>IF(OR(AR29="Thiếu tham số phân bổ",AR29="Phân bổ phải &gt; 0"),AR29,SWITCH(AI29,"Chưa xếp lịch","Chưa tính tải","Định kỳ","Theo chu kỳ","Khi phát sinh","Khi phát sinh",IF(I29="","",IF(OR(X29="Hoàn thành",X29="Hủy"),X29,IF(COUNTIFS('Lớp 4 - Danh mục'!$J$14:$J$132,I29,'Lớp 4 - Danh mục'!$AA$14:$AA$132,"&lt;&gt;Hủy")&gt;0,"Theo dõi tải tại Lớp 4",IF(AE29="","Chưa nhập khối lượng",IF(V29="","Thiếu người thực hiện",IF(OR(Z29="",AA29=""),"Chưa nhập đủ thời gian",IF(AD29&lt;0,"Quá hạn – còn "&amp;TEXT(MAX(0,AE29*(1-AC29)),"0.0")&amp;" giờ",LET(bd,MAX(TODAY(),Z29),kt,AA29,nguoi,V29,tai,SUMIFS('Lớp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#REF!</v>
      </c>
      <c r="AI29" s="467" t="str">
        <f t="shared" ref="AI29:AL29" si="71">#REF!</f>
        <v>#REF!</v>
      </c>
      <c r="AJ29" s="469" t="str">
        <f t="shared" si="71"/>
        <v>#REF!</v>
      </c>
      <c r="AK29" s="470" t="str">
        <f t="shared" si="71"/>
        <v>#REF!</v>
      </c>
      <c r="AL29" s="470" t="str">
        <f t="shared" si="71"/>
        <v>#REF!</v>
      </c>
      <c r="AM29" s="471" t="str">
        <f t="shared" si="18"/>
        <v>#REF!</v>
      </c>
      <c r="AN29" s="469" t="str">
        <f t="shared" si="19"/>
        <v>#REF!</v>
      </c>
      <c r="AO29" s="475" t="str">
        <f t="shared" ref="AO29:AP29" si="72">#REF!</f>
        <v>#REF!</v>
      </c>
      <c r="AP29" s="476" t="str">
        <f t="shared" si="72"/>
        <v>#REF!</v>
      </c>
      <c r="AQ29" s="478" t="str">
        <f>IF(AI29&lt;&gt;"Có thời hạn","",IF(OR(I29="",AE29="",X29="Hoàn thành",X29="Hủy",COUNTIFS('Lớp 4 - Danh mục'!$J$14:$J$132,I29,'Lớp 4 - Danh mục'!$AA$14:$AA$132,"&lt;&gt;Hủy")&gt;0),"",LET(canNgay,MAX(0,AE29*(1-AC29))/MAX(1,AD29),IF(AO29="Ngày",canNgay,IF(AO29="Tuần",canNgay*5,"")))))</f>
        <v>#REF!</v>
      </c>
      <c r="AR29" s="465" t="str">
        <f>IF(I29="","",IF(COUNTIFS('Lớp 4 - Danh mục'!$J$14:$J$132,I29,'Lớp 4 - Danh mục'!$AA$14:$AA$132,"&lt;&gt;Hủy")&gt;0,"Theo dõi phân bổ tại Lớp 4",IF(OR(X29="Hoàn thành",X29="Hủy"),X29,IF(AE29="","Thiếu tổng giờ",IF(OR(AO29="",AP29=""),"Thiếu tham số phân bổ",IF(AP29&lt;=0,"Phân bổ phải &gt; 0",IF(AI29&lt;&gt;"Có thời hạn","Đã có phân bổ",IF(AQ29="","Chưa đủ dữ liệu hạn",IF(AP29&gt;=AQ29,"Đủ phân bổ theo "&amp;LOWER(AO29),"Thiếu "&amp;TEXT(AQ29-AP29,"0.0")&amp;" giờ/"&amp;LOWER(AO29))))))))))</f>
        <v>#REF!</v>
      </c>
      <c r="AS29" s="465" t="str">
        <f t="shared" si="20"/>
        <v>#REF!</v>
      </c>
      <c r="AT29" s="479" t="str">
        <f>#REF!</f>
        <v>#REF!</v>
      </c>
    </row>
    <row r="30" ht="15.75" customHeight="1">
      <c r="A30" s="383">
        <f t="shared" si="11"/>
        <v>17</v>
      </c>
      <c r="B30" s="387" t="str">
        <f>'Trung tâm nhập liệu'!F81</f>
        <v>Số hoá DL quản trị all BOC &amp; all PB</v>
      </c>
      <c r="C30" s="394" t="str">
        <f>'Trung tâm nhập liệu'!M81</f>
        <v>P3</v>
      </c>
      <c r="D30" s="481">
        <f t="shared" ref="D30:E30" si="73">AC30</f>
        <v>0</v>
      </c>
      <c r="E30" s="484" t="str">
        <f t="shared" si="73"/>
        <v/>
      </c>
      <c r="F30" s="407" t="str">
        <f t="shared" ref="F30:G30" si="74">Q30</f>
        <v/>
      </c>
      <c r="G30" s="407" t="str">
        <f t="shared" si="74"/>
        <v/>
      </c>
      <c r="H30" s="411" t="str">
        <f>IF(B30="","",IF(COUNTIF('Lớp 4 - Danh mục'!$J$14:$J$132,I30)&gt;0,"Có","Không"))</f>
        <v>Không</v>
      </c>
      <c r="I30" s="414" t="str">
        <f>'Trung tâm nhập liệu'!B81</f>
        <v>HHL3DL02</v>
      </c>
      <c r="J30" s="415">
        <f>'Trung tâm nhập liệu'!E81</f>
        <v>2026</v>
      </c>
      <c r="K30" s="469" t="s">
        <v>87</v>
      </c>
      <c r="L30" s="604" t="s">
        <v>88</v>
      </c>
      <c r="M30" s="419" t="str">
        <f t="shared" ref="M30:P30" si="75">B30</f>
        <v>Số hoá DL quản trị all BOC &amp; all PB</v>
      </c>
      <c r="N30" s="420" t="str">
        <f t="shared" si="75"/>
        <v>P3</v>
      </c>
      <c r="O30" s="421">
        <f t="shared" si="75"/>
        <v>0</v>
      </c>
      <c r="P30" s="422" t="str">
        <f t="shared" si="75"/>
        <v/>
      </c>
      <c r="Q30" s="426" t="str">
        <f>IF($I30="","",LET(n,COUNTIFS('Lớp 4 - Danh mục'!$J$14:$J$132,$I30,'Lớp 4 - Danh mục'!$AA$14:$AA$132,"&lt;&gt;Hủy"),child,IFERROR(MAXIFS('Lớp 4 - Danh mục'!$AD$14:$AD$132,'Lớp 4 - Danh mục'!$J$14:$J$132,$I30,'Lớp 4 - Danh mục'!$AA$14:$AA$132,"&lt;&gt;Hủy",'Lớp 4 - Danh mục'!$AD$14:$AD$132,"&gt;0"),0),plan,'Trung tâm nhập liệu'!Q81,emergent,LOWER(TRIM('Trung tâm nhập liệu'!O81))="khi phát sinh",IF(n=0,IF(emergent,"",plan),IF(child=0,IF(emergent,"",plan),IF(OR(emergent,plan=""),child,MAX(plan,child))))))</f>
        <v/>
      </c>
      <c r="R30" s="430" t="str">
        <f>IF($I30="","",LET(n,COUNTIFS('Lớp 4 - Danh mục'!$J$14:$J$132,$I30,'Lớp 4 - Danh mục'!$AA$14:$AA$132,"&lt;&gt;Hủy"),child,IFERROR(MINIFS('Lớp 4 - Danh mục'!$AC$14:$AC$132,'Lớp 4 - Danh mục'!$J$14:$J$132,$I30,'Lớp 4 - Danh mục'!$AA$14:$AA$132,"&lt;&gt;Hủy",'Lớp 4 - Danh mục'!$AC$14:$AC$132,"&gt;0"),0),plan,'Trung tâm nhập liệu'!R81,emergent,LOWER(TRIM('Trung tâm nhập liệu'!O81))="khi phát sinh",IF(n=0,IF(emergent,"",plan),IF(child=0,IF(emergent,"",plan),IF(OR(emergent,plan=""),child,MIN(plan,child))))))</f>
        <v/>
      </c>
      <c r="S30" s="411" t="str">
        <f t="shared" si="15"/>
        <v>Không</v>
      </c>
      <c r="T30" s="414" t="str">
        <f>'Trung tâm nhập liệu'!G81</f>
        <v>Số hóa dữ liệu quản trị, bảo đảm dữ liệu tập trung và khai thác thống nhất toàn BOC, phòng ban</v>
      </c>
      <c r="U30" s="433" t="str">
        <f>'Trung tâm nhập liệu'!J81</f>
        <v>GĐ BOC</v>
      </c>
      <c r="V30" s="435" t="str">
        <f>'Trung tâm nhập liệu'!K81</f>
        <v>Ms Trang</v>
      </c>
      <c r="W30" s="435" t="str">
        <f>'Trung tâm nhập liệu'!I81</f>
        <v>Dữ liệu điều hành</v>
      </c>
      <c r="X30" s="437" t="str">
        <f>'Trung tâm nhập liệu'!L81</f>
        <v>Chưa bắt đầu</v>
      </c>
      <c r="Y30" s="420" t="str">
        <f>'Trung tâm nhập liệu'!M81</f>
        <v>P3</v>
      </c>
      <c r="Z30" s="430" t="str">
        <f t="shared" si="16"/>
        <v/>
      </c>
      <c r="AA30" s="426" t="str">
        <f t="shared" si="17"/>
        <v/>
      </c>
      <c r="AB30" s="516" t="str">
        <f>IF(AI30&lt;&gt;"Có thời hạn","",IF(OR(Z30="",AA30=""),"",IF(AA30&lt;Z30,"",_xlfn.NETWORKDAYS.INTL(Z30,AA30,11,'Ngày nghỉ lễ'!$A$5:$A$80))))</f>
        <v/>
      </c>
      <c r="AC30" s="446">
        <f>IF(I30="","",IF(L30="Công việc khác","",IF(OR(X30="Chưa lên lịch",X30="Đã lên lịch",X30="Hủy"),"",IF(COUNTIFS('Lớp 4 - Danh mục'!$J$14:$J$132,I30,'Lớp 4 - Danh mục'!$AA$14:$AA$132,"&lt;&gt;",'Lớp 4 - Danh mục'!$AA$14:$AA$132,"&lt;&gt;Hủy",'Lớp 4 - Danh mục'!$AA$14:$AA$132,"&lt;&gt;Chưa lên lịch",'Lớp 4 - Danh mục'!$AA$14:$AA$132,"&lt;&gt;Đã lên lịch")&gt;0,SUMIFS('Lớp 4 - Danh mục'!$AF$14:$AF$132,'Lớp 4 - Danh mục'!$J$14:$J$132,I30,'Lớp 4 - Danh mục'!$AA$14:$AA$132,"&lt;&gt;",'Lớp 4 - Danh mục'!$AA$14:$AA$132,"&lt;&gt;Hủy",'Lớp 4 - Danh mục'!$AA$14:$AA$132,"&lt;&gt;Chưa lên lịch",'Lớp 4 - Danh mục'!$AA$14:$AA$132,"&lt;&gt;Đã lên lịch")/COUNTIFS('Lớp 4 - Danh mục'!$J$14:$J$132,I30,'Lớp 4 - Danh mục'!$AA$14:$AA$132,"&lt;&gt;",'Lớp 4 - Danh mục'!$AA$14:$AA$132,"&lt;&gt;Hủy",'Lớp 4 - Danh mục'!$AA$14:$AA$132,"&lt;&gt;Chưa lên lịch",'Lớp 4 - Danh mục'!$AA$14:$AA$132,"&lt;&gt;Đã lên lịch"),IF(X30="Hoàn thành",1,0)))))</f>
        <v>0</v>
      </c>
      <c r="AD30" s="516" t="str">
        <f>IF(AI30&lt;&gt;"Có thời hạn","",IF(OR(I30="",Z30="",AA30=""),"",IF(OR(X30="Hoàn thành",X30="Hủy"),0,IF(AA30&lt;TODAY(),-_xlfn.NETWORKDAYS.INTL(AA30,TODAY()-1,11,'Ngày nghỉ lễ'!$A$5:$A$80),MAX(0,_xlfn.NETWORKDAYS.INTL(MAX(TODAY()+1,Z30),AA30,11,'Ngày nghỉ lễ'!$A$5:$A$80))))))</f>
        <v/>
      </c>
      <c r="AE30" s="448">
        <f>IF($I30="","",LET(n,COUNTIFS('Lớp 4 - Danh mục'!$J$14:$J$132,$I30,'Lớp 4 - Danh mục'!$AA$14:$AA$132,"&lt;&gt;Hủy"),du,COUNTIFS('Lớp 4 - Danh mục'!$J$14:$J$132,$I30,'Lớp 4 - Danh mục'!$AA$14:$AA$132,"&lt;&gt;Hủy",'Lớp 4 - Danh mục'!$AH$14:$AH$132,"&lt;&gt;"),IF(n=0,'Trung tâm nhập liệu'!T81,IF(du&lt;n,"",SUMIFS('Lớp 4 - Danh mục'!$AH$14:$AH$132,'Lớp 4 - Danh mục'!$J$14:$J$132,$I30,'Lớp 4 - Danh mục'!$AA$14:$AA$132,"&lt;&gt;Hủy")))))</f>
        <v>240</v>
      </c>
      <c r="AF30" s="510" t="str">
        <f>IF(I30="","",IF(OR(X30="Hoàn thành",X30="Hủy"),"",IF(COUNTIFS('Lớp 4 - Danh mục'!$J$14:$J$132,I30,'Lớp 4 - Danh mục'!$AA$14:$AA$132,"&lt;&gt;Hủy")&gt;0,"",IF(AO30="Ngày",AP30,IF(AO30="Tuần",AP30/5,"")))))</f>
        <v/>
      </c>
      <c r="AG30" s="456" t="str">
        <f>IF(AI30="Chưa xếp lịch","Chưa xếp lịch",IF(AI30="Định kỳ",IF(AJ30="","Thiếu chu kỳ","Theo chu kỳ"),IF(AI30="Khi phát sinh",IF(COUNTIFS('Lớp 4 - Danh mục'!$J$14:$J$132,$I30,'Lớp 4 - Danh mục'!$AA$14:$AA$132,"&lt;&gt;Hủy")=0,"Khi phát sinh – chờ việc con","Khi phát sinh – theo ngày con"),IF(I30="","",LET(n,COUNTIFS('Lớp 4 - Danh mục'!$J$14:$J$132,$I30,'Lớp 4 - Danh mục'!$AA$14:$AA$132,"&lt;&gt;Hủy"),cs,IFERROR(MINIFS('Lớp 4 - Danh mục'!$AC$14:$AC$132,'Lớp 4 - Danh mục'!$J$14:$J$132,$I30,'Lớp 4 - Danh mục'!$AA$14:$AA$132,"&lt;&gt;Hủy",'Lớp 4 - Danh mục'!$AC$14:$AC$132,"&gt;0"),0),ce,IFERROR(MAXIFS('Lớp 4 - Danh mục'!$AD$14:$AD$132,'Lớp 4 - Danh mục'!$J$14:$J$132,$I30,'Lớp 4 - Danh mục'!$AA$14:$AA$132,"&lt;&gt;Hủy",'Lớp 4 - Danh mục'!$AD$14:$AD$132,"&gt;0"),0),ps,'Trung tâm nhập liệu'!R81,pe,'Trung tâm nhập liệu'!Q81,IF(OR(Z30="",AA30=""),"Thiếu ngày L3",IF(n=0,"Chưa có L4",IF(OR(cs=0,ce=0),"Thiếu ngày L4",IF(OR(ps="",pe=""),"Thiếu ngày kế hoạch gốc L3",IF(OR(cs&lt;ps,ce&gt;pe),"Cảnh báo: Con vượt khung kế hoạch gốc","L4 đúng khung kế hoạch gốc"))))))))))</f>
        <v>Chưa xếp lịch</v>
      </c>
      <c r="AH30" s="465" t="str">
        <f>IF(OR(AR30="Thiếu tham số phân bổ",AR30="Phân bổ phải &gt; 0"),AR30,SWITCH(AI30,"Chưa xếp lịch","Chưa tính tải","Định kỳ","Theo chu kỳ","Khi phát sinh","Khi phát sinh",IF(I30="","",IF(OR(X30="Hoàn thành",X30="Hủy"),X30,IF(COUNTIFS('Lớp 4 - Danh mục'!$J$14:$J$132,I30,'Lớp 4 - Danh mục'!$AA$14:$AA$132,"&lt;&gt;Hủy")&gt;0,"Theo dõi tải tại Lớp 4",IF(AE30="","Chưa nhập khối lượng",IF(V30="","Thiếu người thực hiện",IF(OR(Z30="",AA30=""),"Chưa nhập đủ thời gian",IF(AD30&lt;0,"Quá hạn – còn "&amp;TEXT(MAX(0,AE30*(1-AC30)),"0.0")&amp;" giờ",LET(bd,MAX(TODAY(),Z30),kt,AA30,nguoi,V30,tai,SUMIFS('Lớp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30" s="467" t="str">
        <f>'Trung tâm nhập liệu'!O81</f>
        <v>Chưa xếp lịch</v>
      </c>
      <c r="AJ30" s="469" t="str">
        <f>'Trung tâm nhập liệu'!P81</f>
        <v/>
      </c>
      <c r="AK30" s="470" t="str">
        <f>'Trung tâm nhập liệu'!S81</f>
        <v/>
      </c>
      <c r="AL30" s="470" t="str">
        <f>'Trung tâm nhập liệu'!X81</f>
        <v/>
      </c>
      <c r="AM30" s="471" t="str">
        <f t="shared" si="18"/>
        <v/>
      </c>
      <c r="AN30" s="469" t="str">
        <f t="shared" si="19"/>
        <v/>
      </c>
      <c r="AO30" s="475" t="str">
        <f>'Trung tâm nhập liệu'!V81</f>
        <v/>
      </c>
      <c r="AP30" s="476" t="str">
        <f>'Trung tâm nhập liệu'!W81</f>
        <v/>
      </c>
      <c r="AQ30" s="478" t="str">
        <f>IF(AI30&lt;&gt;"Có thời hạn","",IF(OR(I30="",AE30="",X30="Hoàn thành",X30="Hủy",COUNTIFS('Lớp 4 - Danh mục'!$J$14:$J$132,I30,'Lớp 4 - Danh mục'!$AA$14:$AA$132,"&lt;&gt;Hủy")&gt;0),"",LET(canNgay,MAX(0,AE30*(1-AC30))/MAX(1,AD30),IF(AO30="Ngày",canNgay,IF(AO30="Tuần",canNgay*5,"")))))</f>
        <v/>
      </c>
      <c r="AR30" s="465" t="str">
        <f>IF(I30="","",IF(COUNTIFS('Lớp 4 - Danh mục'!$J$14:$J$132,I30,'Lớp 4 - Danh mục'!$AA$14:$AA$132,"&lt;&gt;Hủy")&gt;0,"Theo dõi phân bổ tại Lớp 4",IF(OR(X30="Hoàn thành",X30="Hủy"),X30,IF(AE30="","Thiếu tổng giờ",IF(OR(AO30="",AP30=""),"Thiếu tham số phân bổ",IF(AP30&lt;=0,"Phân bổ phải &gt; 0",IF(AI30&lt;&gt;"Có thời hạn","Đã có phân bổ",IF(AQ30="","Chưa đủ dữ liệu hạn",IF(AP30&gt;=AQ30,"Đủ phân bổ theo "&amp;LOWER(AO30),"Thiếu "&amp;TEXT(AQ30-AP30,"0.0")&amp;" giờ/"&amp;LOWER(AO30))))))))))</f>
        <v>Thiếu tham số phân bổ</v>
      </c>
      <c r="AS30" s="465" t="str">
        <f t="shared" si="20"/>
        <v>OK</v>
      </c>
      <c r="AT30" s="479" t="str">
        <f>'Trung tâm nhập liệu'!Y81</f>
        <v/>
      </c>
    </row>
    <row r="31" ht="15.75" customHeight="1">
      <c r="A31" s="383">
        <f t="shared" si="11"/>
        <v>18</v>
      </c>
      <c r="B31" s="387" t="str">
        <f>'Trung tâm nhập liệu'!F82</f>
        <v>XDHT ngưỡng điều tiết &amp; cung ứng hàng hoá </v>
      </c>
      <c r="C31" s="394" t="str">
        <f>'Trung tâm nhập liệu'!M82</f>
        <v>P3</v>
      </c>
      <c r="D31" s="504">
        <f t="shared" ref="D31:E31" si="76">AC31</f>
        <v>0</v>
      </c>
      <c r="E31" s="484" t="str">
        <f t="shared" si="76"/>
        <v/>
      </c>
      <c r="F31" s="407">
        <f t="shared" ref="F31:G31" si="77">Q31</f>
        <v>46310</v>
      </c>
      <c r="G31" s="407">
        <f t="shared" si="77"/>
        <v>46237</v>
      </c>
      <c r="H31" s="411" t="str">
        <f>IF(B31="","",IF(COUNTIF('Lớp 4 - Danh mục'!$J$14:$J$132,I31)&gt;0,"Có","Không"))</f>
        <v>Có</v>
      </c>
      <c r="I31" s="414" t="str">
        <f>'Trung tâm nhập liệu'!B82</f>
        <v>HHL3DL03</v>
      </c>
      <c r="J31" s="415">
        <f>'Trung tâm nhập liệu'!E82</f>
        <v>2026</v>
      </c>
      <c r="K31" s="469" t="s">
        <v>87</v>
      </c>
      <c r="L31" s="604" t="s">
        <v>88</v>
      </c>
      <c r="M31" s="419" t="str">
        <f t="shared" ref="M31:P31" si="78">B31</f>
        <v>XDHT ngưỡng điều tiết &amp; cung ứng hàng hoá </v>
      </c>
      <c r="N31" s="420" t="str">
        <f t="shared" si="78"/>
        <v>P3</v>
      </c>
      <c r="O31" s="421">
        <f t="shared" si="78"/>
        <v>0</v>
      </c>
      <c r="P31" s="422" t="str">
        <f t="shared" si="78"/>
        <v/>
      </c>
      <c r="Q31" s="426">
        <f>IF($I31="","",LET(n,COUNTIFS('Lớp 4 - Danh mục'!$J$14:$J$132,$I31,'Lớp 4 - Danh mục'!$AA$14:$AA$132,"&lt;&gt;Hủy"),child,IFERROR(MAXIFS('Lớp 4 - Danh mục'!$AD$14:$AD$132,'Lớp 4 - Danh mục'!$J$14:$J$132,$I31,'Lớp 4 - Danh mục'!$AA$14:$AA$132,"&lt;&gt;Hủy",'Lớp 4 - Danh mục'!$AD$14:$AD$132,"&gt;0"),0),plan,'Trung tâm nhập liệu'!Q82,emergent,LOWER(TRIM('Trung tâm nhập liệu'!O82))="khi phát sinh",IF(n=0,IF(emergent,"",plan),IF(child=0,IF(emergent,"",plan),IF(OR(emergent,plan=""),child,MAX(plan,child))))))</f>
        <v>46310</v>
      </c>
      <c r="R31" s="430">
        <f>IF($I31="","",LET(n,COUNTIFS('Lớp 4 - Danh mục'!$J$14:$J$132,$I31,'Lớp 4 - Danh mục'!$AA$14:$AA$132,"&lt;&gt;Hủy"),child,IFERROR(MINIFS('Lớp 4 - Danh mục'!$AC$14:$AC$132,'Lớp 4 - Danh mục'!$J$14:$J$132,$I31,'Lớp 4 - Danh mục'!$AA$14:$AA$132,"&lt;&gt;Hủy",'Lớp 4 - Danh mục'!$AC$14:$AC$132,"&gt;0"),0),plan,'Trung tâm nhập liệu'!R82,emergent,LOWER(TRIM('Trung tâm nhập liệu'!O82))="khi phát sinh",IF(n=0,IF(emergent,"",plan),IF(child=0,IF(emergent,"",plan),IF(OR(emergent,plan=""),child,MIN(plan,child))))))</f>
        <v>46237</v>
      </c>
      <c r="S31" s="411" t="str">
        <f t="shared" si="15"/>
        <v>Có</v>
      </c>
      <c r="T31" s="414" t="str">
        <f>'Trung tâm nhập liệu'!G82</f>
        <v>Thiết lập hệ thống ngưỡng cảnh báo và điều tiết cung ứng hàng hóa</v>
      </c>
      <c r="U31" s="433" t="str">
        <f>'Trung tâm nhập liệu'!J82</f>
        <v>GĐ BOC</v>
      </c>
      <c r="V31" s="435" t="str">
        <f>'Trung tâm nhập liệu'!K82</f>
        <v>Ms Trang</v>
      </c>
      <c r="W31" s="435" t="str">
        <f>'Trung tâm nhập liệu'!I82</f>
        <v>Dữ liệu điều hành</v>
      </c>
      <c r="X31" s="437" t="str">
        <f>'Trung tâm nhập liệu'!L82</f>
        <v>Chưa bắt đầu</v>
      </c>
      <c r="Y31" s="420" t="str">
        <f>'Trung tâm nhập liệu'!M82</f>
        <v>P3</v>
      </c>
      <c r="Z31" s="430">
        <f t="shared" si="16"/>
        <v>46237</v>
      </c>
      <c r="AA31" s="426">
        <f t="shared" si="17"/>
        <v>46310</v>
      </c>
      <c r="AB31" s="516" t="str">
        <f>IF(AI31&lt;&gt;"Có thời hạn","",IF(OR(Z31="",AA31=""),"",IF(AA31&lt;Z31,"",_xlfn.NETWORKDAYS.INTL(Z31,AA31,11,'Ngày nghỉ lễ'!$A$5:$A$80))))</f>
        <v/>
      </c>
      <c r="AC31" s="446">
        <f>IF(I31="","",IF(L31="Công việc khác","",IF(OR(X31="Chưa lên lịch",X31="Đã lên lịch",X31="Hủy"),"",IF(COUNTIFS('Lớp 4 - Danh mục'!$J$14:$J$132,I31,'Lớp 4 - Danh mục'!$AA$14:$AA$132,"&lt;&gt;",'Lớp 4 - Danh mục'!$AA$14:$AA$132,"&lt;&gt;Hủy",'Lớp 4 - Danh mục'!$AA$14:$AA$132,"&lt;&gt;Chưa lên lịch",'Lớp 4 - Danh mục'!$AA$14:$AA$132,"&lt;&gt;Đã lên lịch")&gt;0,SUMIFS('Lớp 4 - Danh mục'!$AF$14:$AF$132,'Lớp 4 - Danh mục'!$J$14:$J$132,I31,'Lớp 4 - Danh mục'!$AA$14:$AA$132,"&lt;&gt;",'Lớp 4 - Danh mục'!$AA$14:$AA$132,"&lt;&gt;Hủy",'Lớp 4 - Danh mục'!$AA$14:$AA$132,"&lt;&gt;Chưa lên lịch",'Lớp 4 - Danh mục'!$AA$14:$AA$132,"&lt;&gt;Đã lên lịch")/COUNTIFS('Lớp 4 - Danh mục'!$J$14:$J$132,I31,'Lớp 4 - Danh mục'!$AA$14:$AA$132,"&lt;&gt;",'Lớp 4 - Danh mục'!$AA$14:$AA$132,"&lt;&gt;Hủy",'Lớp 4 - Danh mục'!$AA$14:$AA$132,"&lt;&gt;Chưa lên lịch",'Lớp 4 - Danh mục'!$AA$14:$AA$132,"&lt;&gt;Đã lên lịch"),IF(X31="Hoàn thành",1,0)))))</f>
        <v>0</v>
      </c>
      <c r="AD31" s="516" t="str">
        <f>IF(AI31&lt;&gt;"Có thời hạn","",IF(OR(I31="",Z31="",AA31=""),"",IF(OR(X31="Hoàn thành",X31="Hủy"),0,IF(AA31&lt;TODAY(),-_xlfn.NETWORKDAYS.INTL(AA31,TODAY()-1,11,'Ngày nghỉ lễ'!$A$5:$A$80),MAX(0,_xlfn.NETWORKDAYS.INTL(MAX(TODAY()+1,Z31),AA31,11,'Ngày nghỉ lễ'!$A$5:$A$80))))))</f>
        <v/>
      </c>
      <c r="AE31" s="448">
        <f>IF($I31="","",LET(n,COUNTIFS('Lớp 4 - Danh mục'!$J$14:$J$132,$I31,'Lớp 4 - Danh mục'!$AA$14:$AA$132,"&lt;&gt;Hủy"),du,COUNTIFS('Lớp 4 - Danh mục'!$J$14:$J$132,$I31,'Lớp 4 - Danh mục'!$AA$14:$AA$132,"&lt;&gt;Hủy",'Lớp 4 - Danh mục'!$AH$14:$AH$132,"&lt;&gt;"),IF(n=0,'Trung tâm nhập liệu'!T82,IF(du&lt;n,"",SUMIFS('Lớp 4 - Danh mục'!$AH$14:$AH$132,'Lớp 4 - Danh mục'!$J$14:$J$132,$I31,'Lớp 4 - Danh mục'!$AA$14:$AA$132,"&lt;&gt;Hủy")))))</f>
        <v>160</v>
      </c>
      <c r="AF31" s="510" t="str">
        <f>IF(I31="","",IF(OR(X31="Hoàn thành",X31="Hủy"),"",IF(COUNTIFS('Lớp 4 - Danh mục'!$J$14:$J$132,I31,'Lớp 4 - Danh mục'!$AA$14:$AA$132,"&lt;&gt;Hủy")&gt;0,"",IF(AO31="Ngày",AP31,IF(AO31="Tuần",AP31/5,"")))))</f>
        <v/>
      </c>
      <c r="AG31" s="456" t="str">
        <f>IF(AI31="Chưa xếp lịch","Chưa xếp lịch",IF(AI31="Định kỳ",IF(AJ31="","Thiếu chu kỳ","Theo chu kỳ"),IF(AI31="Khi phát sinh",IF(COUNTIFS('Lớp 4 - Danh mục'!$J$14:$J$132,$I31,'Lớp 4 - Danh mục'!$AA$14:$AA$132,"&lt;&gt;Hủy")=0,"Khi phát sinh – chờ việc con","Khi phát sinh – theo ngày con"),IF(I31="","",LET(n,COUNTIFS('Lớp 4 - Danh mục'!$J$14:$J$132,$I31,'Lớp 4 - Danh mục'!$AA$14:$AA$132,"&lt;&gt;Hủy"),cs,IFERROR(MINIFS('Lớp 4 - Danh mục'!$AC$14:$AC$132,'Lớp 4 - Danh mục'!$J$14:$J$132,$I31,'Lớp 4 - Danh mục'!$AA$14:$AA$132,"&lt;&gt;Hủy",'Lớp 4 - Danh mục'!$AC$14:$AC$132,"&gt;0"),0),ce,IFERROR(MAXIFS('Lớp 4 - Danh mục'!$AD$14:$AD$132,'Lớp 4 - Danh mục'!$J$14:$J$132,$I31,'Lớp 4 - Danh mục'!$AA$14:$AA$132,"&lt;&gt;Hủy",'Lớp 4 - Danh mục'!$AD$14:$AD$132,"&gt;0"),0),ps,'Trung tâm nhập liệu'!R82,pe,'Trung tâm nhập liệu'!Q82,IF(OR(Z31="",AA31=""),"Thiếu ngày L3",IF(n=0,"Chưa có L4",IF(OR(cs=0,ce=0),"Thiếu ngày L4",IF(OR(ps="",pe=""),"Thiếu ngày kế hoạch gốc L3",IF(OR(cs&lt;ps,ce&gt;pe),"Cảnh báo: Con vượt khung kế hoạch gốc","L4 đúng khung kế hoạch gốc"))))))))))</f>
        <v>Chưa xếp lịch</v>
      </c>
      <c r="AH31" s="465" t="str">
        <f>IF(OR(AR31="Thiếu tham số phân bổ",AR31="Phân bổ phải &gt; 0"),AR31,SWITCH(AI31,"Chưa xếp lịch","Chưa tính tải","Định kỳ","Theo chu kỳ","Khi phát sinh","Khi phát sinh",IF(I31="","",IF(OR(X31="Hoàn thành",X31="Hủy"),X31,IF(COUNTIFS('Lớp 4 - Danh mục'!$J$14:$J$132,I31,'Lớp 4 - Danh mục'!$AA$14:$AA$132,"&lt;&gt;Hủy")&gt;0,"Theo dõi tải tại Lớp 4",IF(AE31="","Chưa nhập khối lượng",IF(V31="","Thiếu người thực hiện",IF(OR(Z31="",AA31=""),"Chưa nhập đủ thời gian",IF(AD31&lt;0,"Quá hạn – còn "&amp;TEXT(MAX(0,AE31*(1-AC31)),"0.0")&amp;" giờ",LET(bd,MAX(TODAY(),Z31),kt,AA31,nguoi,V31,tai,SUMIFS('Lớp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tính tải</v>
      </c>
      <c r="AI31" s="467" t="str">
        <f>'Trung tâm nhập liệu'!O82</f>
        <v>Chưa xếp lịch</v>
      </c>
      <c r="AJ31" s="469" t="str">
        <f>'Trung tâm nhập liệu'!P82</f>
        <v/>
      </c>
      <c r="AK31" s="470" t="str">
        <f>'Trung tâm nhập liệu'!S82</f>
        <v/>
      </c>
      <c r="AL31" s="470" t="str">
        <f>'Trung tâm nhập liệu'!X82</f>
        <v/>
      </c>
      <c r="AM31" s="471" t="str">
        <f t="shared" si="18"/>
        <v/>
      </c>
      <c r="AN31" s="469" t="str">
        <f t="shared" si="19"/>
        <v/>
      </c>
      <c r="AO31" s="475" t="str">
        <f>'Trung tâm nhập liệu'!V82</f>
        <v/>
      </c>
      <c r="AP31" s="476" t="str">
        <f>'Trung tâm nhập liệu'!W82</f>
        <v/>
      </c>
      <c r="AQ31" s="478" t="str">
        <f>IF(AI31&lt;&gt;"Có thời hạn","",IF(OR(I31="",AE31="",X31="Hoàn thành",X31="Hủy",COUNTIFS('Lớp 4 - Danh mục'!$J$14:$J$132,I31,'Lớp 4 - Danh mục'!$AA$14:$AA$132,"&lt;&gt;Hủy")&gt;0),"",LET(canNgay,MAX(0,AE31*(1-AC31))/MAX(1,AD31),IF(AO31="Ngày",canNgay,IF(AO31="Tuần",canNgay*5,"")))))</f>
        <v/>
      </c>
      <c r="AR31" s="465" t="str">
        <f>IF(I31="","",IF(COUNTIFS('Lớp 4 - Danh mục'!$J$14:$J$132,I31,'Lớp 4 - Danh mục'!$AA$14:$AA$132,"&lt;&gt;Hủy")&gt;0,"Theo dõi phân bổ tại Lớp 4",IF(OR(X31="Hoàn thành",X31="Hủy"),X31,IF(AE31="","Thiếu tổng giờ",IF(OR(AO31="",AP31=""),"Thiếu tham số phân bổ",IF(AP31&lt;=0,"Phân bổ phải &gt; 0",IF(AI31&lt;&gt;"Có thời hạn","Đã có phân bổ",IF(AQ31="","Chưa đủ dữ liệu hạn",IF(AP31&gt;=AQ31,"Đủ phân bổ theo "&amp;LOWER(AO31),"Thiếu "&amp;TEXT(AQ31-AP31,"0.0")&amp;" giờ/"&amp;LOWER(AO31))))))))))</f>
        <v>Theo dõi phân bổ tại Lớp 4</v>
      </c>
      <c r="AS31" s="465" t="str">
        <f t="shared" si="20"/>
        <v>OK</v>
      </c>
      <c r="AT31" s="479" t="str">
        <f>'Trung tâm nhập liệu'!Y82</f>
        <v/>
      </c>
    </row>
    <row r="32" ht="15.75" customHeight="1">
      <c r="A32" s="383" t="str">
        <f t="shared" si="11"/>
        <v>#REF!</v>
      </c>
      <c r="B32" s="387" t="str">
        <f t="shared" ref="B32:C32" si="79">#REF!</f>
        <v>#REF!</v>
      </c>
      <c r="C32" s="394" t="str">
        <f t="shared" si="79"/>
        <v>#REF!</v>
      </c>
      <c r="D32" s="504" t="str">
        <f t="shared" ref="D32:E32" si="80">AC32</f>
        <v>#REF!</v>
      </c>
      <c r="E32" s="484" t="str">
        <f t="shared" si="80"/>
        <v>#REF!</v>
      </c>
      <c r="F32" s="407" t="str">
        <f t="shared" ref="F32:G32" si="81">Q32</f>
        <v>#REF!</v>
      </c>
      <c r="G32" s="407" t="str">
        <f t="shared" si="81"/>
        <v>#REF!</v>
      </c>
      <c r="H32" s="411" t="str">
        <f>IF(B32="","",IF(COUNTIF('Lớp 4 - Danh mục'!$J$14:$J$132,I32)&gt;0,"Có","Không"))</f>
        <v>#REF!</v>
      </c>
      <c r="I32" s="414" t="str">
        <f t="shared" ref="I32:J32" si="82">#REF!</f>
        <v>#REF!</v>
      </c>
      <c r="J32" s="415" t="str">
        <f t="shared" si="82"/>
        <v>#REF!</v>
      </c>
      <c r="K32" s="469" t="s">
        <v>87</v>
      </c>
      <c r="L32" s="604" t="s">
        <v>88</v>
      </c>
      <c r="M32" s="419" t="str">
        <f t="shared" ref="M32:P32" si="83">B32</f>
        <v>#REF!</v>
      </c>
      <c r="N32" s="420" t="str">
        <f t="shared" si="83"/>
        <v>#REF!</v>
      </c>
      <c r="O32" s="421" t="str">
        <f t="shared" si="83"/>
        <v>#REF!</v>
      </c>
      <c r="P32" s="422" t="str">
        <f t="shared" si="83"/>
        <v>#REF!</v>
      </c>
      <c r="Q32" s="426" t="str">
        <f>IF($I32="","",LET(n,COUNTIFS('Lớp 4 - Danh mục'!$J$14:$J$132,$I32,'Lớp 4 - Danh mục'!$AA$14:$AA$132,"&lt;&gt;Hủy"),child,IFERROR(MAXIFS('Lớp 4 - Danh mục'!$AD$14:$AD$132,'Lớp 4 - Danh mục'!$J$14:$J$132,$I32,'Lớp 4 - Danh mục'!$AA$14:$AA$132,"&lt;&gt;Hủy",'Lớp 4 - Danh mục'!$AD$14:$AD$132,"&gt;0"),0),plan,#REF!,emergent,LOWER(TRIM(#REF!))="khi phát sinh",IF(n=0,IF(emergent,"",plan),IF(child=0,IF(emergent,"",plan),IF(OR(emergent,plan=""),child,MAX(plan,child))))))</f>
        <v>#REF!</v>
      </c>
      <c r="R32" s="430" t="str">
        <f>IF($I32="","",LET(n,COUNTIFS('Lớp 4 - Danh mục'!$J$14:$J$132,$I32,'Lớp 4 - Danh mục'!$AA$14:$AA$132,"&lt;&gt;Hủy"),child,IFERROR(MINIFS('Lớp 4 - Danh mục'!$AC$14:$AC$132,'Lớp 4 - Danh mục'!$J$14:$J$132,$I32,'Lớp 4 - Danh mục'!$AA$14:$AA$132,"&lt;&gt;Hủy",'Lớp 4 - Danh mục'!$AC$14:$AC$132,"&gt;0"),0),plan,#REF!,emergent,LOWER(TRIM(#REF!))="khi phát sinh",IF(n=0,IF(emergent,"",plan),IF(child=0,IF(emergent,"",plan),IF(OR(emergent,plan=""),child,MIN(plan,child))))))</f>
        <v>#REF!</v>
      </c>
      <c r="S32" s="411" t="str">
        <f t="shared" si="15"/>
        <v>#REF!</v>
      </c>
      <c r="T32" s="414" t="str">
        <f t="shared" ref="T32:Y32" si="84">#REF!</f>
        <v>#REF!</v>
      </c>
      <c r="U32" s="433" t="str">
        <f t="shared" si="84"/>
        <v>#REF!</v>
      </c>
      <c r="V32" s="435" t="str">
        <f t="shared" si="84"/>
        <v>#REF!</v>
      </c>
      <c r="W32" s="435" t="str">
        <f t="shared" si="84"/>
        <v>#REF!</v>
      </c>
      <c r="X32" s="437" t="str">
        <f t="shared" si="84"/>
        <v>#REF!</v>
      </c>
      <c r="Y32" s="420" t="str">
        <f t="shared" si="84"/>
        <v>#REF!</v>
      </c>
      <c r="Z32" s="430" t="str">
        <f t="shared" si="16"/>
        <v>#REF!</v>
      </c>
      <c r="AA32" s="426" t="str">
        <f t="shared" si="17"/>
        <v>#REF!</v>
      </c>
      <c r="AB32" s="516" t="str">
        <f>IF(AI32&lt;&gt;"Có thời hạn","",IF(OR(Z32="",AA32=""),"",IF(AA32&lt;Z32,"",_xlfn.NETWORKDAYS.INTL(Z32,AA32,11,'Ngày nghỉ lễ'!$A$5:$A$80))))</f>
        <v>#REF!</v>
      </c>
      <c r="AC32" s="446" t="str">
        <f>IF(I32="","",IF(L32="Công việc khác","",IF(OR(X32="Chưa lên lịch",X32="Đã lên lịch",X32="Hủy"),"",IF(COUNTIFS('Lớp 4 - Danh mục'!$J$14:$J$132,I32,'Lớp 4 - Danh mục'!$AA$14:$AA$132,"&lt;&gt;",'Lớp 4 - Danh mục'!$AA$14:$AA$132,"&lt;&gt;Hủy",'Lớp 4 - Danh mục'!$AA$14:$AA$132,"&lt;&gt;Chưa lên lịch",'Lớp 4 - Danh mục'!$AA$14:$AA$132,"&lt;&gt;Đã lên lịch")&gt;0,SUMIFS('Lớp 4 - Danh mục'!$AF$14:$AF$132,'Lớp 4 - Danh mục'!$J$14:$J$132,I32,'Lớp 4 - Danh mục'!$AA$14:$AA$132,"&lt;&gt;",'Lớp 4 - Danh mục'!$AA$14:$AA$132,"&lt;&gt;Hủy",'Lớp 4 - Danh mục'!$AA$14:$AA$132,"&lt;&gt;Chưa lên lịch",'Lớp 4 - Danh mục'!$AA$14:$AA$132,"&lt;&gt;Đã lên lịch")/COUNTIFS('Lớp 4 - Danh mục'!$J$14:$J$132,I32,'Lớp 4 - Danh mục'!$AA$14:$AA$132,"&lt;&gt;",'Lớp 4 - Danh mục'!$AA$14:$AA$132,"&lt;&gt;Hủy",'Lớp 4 - Danh mục'!$AA$14:$AA$132,"&lt;&gt;Chưa lên lịch",'Lớp 4 - Danh mục'!$AA$14:$AA$132,"&lt;&gt;Đã lên lịch"),IF(X32="Hoàn thành",1,0)))))</f>
        <v>#REF!</v>
      </c>
      <c r="AD32" s="516" t="str">
        <f>IF(AI32&lt;&gt;"Có thời hạn","",IF(OR(I32="",Z32="",AA32=""),"",IF(OR(X32="Hoàn thành",X32="Hủy"),0,IF(AA32&lt;TODAY(),-_xlfn.NETWORKDAYS.INTL(AA32,TODAY()-1,11,'Ngày nghỉ lễ'!$A$5:$A$80),MAX(0,_xlfn.NETWORKDAYS.INTL(MAX(TODAY()+1,Z32),AA32,11,'Ngày nghỉ lễ'!$A$5:$A$80))))))</f>
        <v>#REF!</v>
      </c>
      <c r="AE32" s="448" t="str">
        <f>IF($I32="","",LET(n,COUNTIFS('Lớp 4 - Danh mục'!$J$14:$J$132,$I32,'Lớp 4 - Danh mục'!$AA$14:$AA$132,"&lt;&gt;Hủy"),du,COUNTIFS('Lớp 4 - Danh mục'!$J$14:$J$132,$I32,'Lớp 4 - Danh mục'!$AA$14:$AA$132,"&lt;&gt;Hủy",'Lớp 4 - Danh mục'!$AH$14:$AH$132,"&lt;&gt;"),IF(n=0,#REF!,IF(du&lt;n,"",SUMIFS('Lớp 4 - Danh mục'!$AH$14:$AH$132,'Lớp 4 - Danh mục'!$J$14:$J$132,$I32,'Lớp 4 - Danh mục'!$AA$14:$AA$132,"&lt;&gt;Hủy")))))</f>
        <v>#REF!</v>
      </c>
      <c r="AF32" s="510" t="str">
        <f>IF(I32="","",IF(OR(X32="Hoàn thành",X32="Hủy"),"",IF(COUNTIFS('Lớp 4 - Danh mục'!$J$14:$J$132,I32,'Lớp 4 - Danh mục'!$AA$14:$AA$132,"&lt;&gt;Hủy")&gt;0,"",IF(AO32="Ngày",AP32,IF(AO32="Tuần",AP32/5,"")))))</f>
        <v>#REF!</v>
      </c>
      <c r="AG32" s="456" t="str">
        <f>IF(AI32="Chưa xếp lịch","Chưa xếp lịch",IF(AI32="Định kỳ",IF(AJ32="","Thiếu chu kỳ","Theo chu kỳ"),IF(AI32="Khi phát sinh",IF(COUNTIFS('Lớp 4 - Danh mục'!$J$14:$J$132,$I32,'Lớp 4 - Danh mục'!$AA$14:$AA$132,"&lt;&gt;Hủy")=0,"Khi phát sinh – chờ việc con","Khi phát sinh – theo ngày con"),IF(I32="","",LET(n,COUNTIFS('Lớp 4 - Danh mục'!$J$14:$J$132,$I32,'Lớp 4 - Danh mục'!$AA$14:$AA$132,"&lt;&gt;Hủy"),cs,IFERROR(MINIFS('Lớp 4 - Danh mục'!$AC$14:$AC$132,'Lớp 4 - Danh mục'!$J$14:$J$132,$I32,'Lớp 4 - Danh mục'!$AA$14:$AA$132,"&lt;&gt;Hủy",'Lớp 4 - Danh mục'!$AC$14:$AC$132,"&gt;0"),0),ce,IFERROR(MAXIFS('Lớp 4 - Danh mục'!$AD$14:$AD$132,'Lớp 4 - Danh mục'!$J$14:$J$132,$I32,'Lớp 4 - Danh mục'!$AA$14:$AA$132,"&lt;&gt;Hủy",'Lớp 4 - Danh mục'!$AD$14:$AD$132,"&gt;0"),0),ps,#REF!,pe,#REF!,IF(OR(Z32="",AA32=""),"Thiếu ngày L3",IF(n=0,"Chưa có L4",IF(OR(cs=0,ce=0),"Thiếu ngày L4",IF(OR(ps="",pe=""),"Thiếu ngày kế hoạch gốc L3",IF(OR(cs&lt;ps,ce&gt;pe),"Cảnh báo: Con vượt khung kế hoạch gốc","L4 đúng khung kế hoạch gốc"))))))))))</f>
        <v>#REF!</v>
      </c>
      <c r="AH32" s="465" t="str">
        <f>IF(OR(AR32="Thiếu tham số phân bổ",AR32="Phân bổ phải &gt; 0"),AR32,SWITCH(AI32,"Chưa xếp lịch","Chưa tính tải","Định kỳ","Theo chu kỳ","Khi phát sinh","Khi phát sinh",IF(I32="","",IF(OR(X32="Hoàn thành",X32="Hủy"),X32,IF(COUNTIFS('Lớp 4 - Danh mục'!$J$14:$J$132,I32,'Lớp 4 - Danh mục'!$AA$14:$AA$132,"&lt;&gt;Hủy")&gt;0,"Theo dõi tải tại Lớp 4",IF(AE32="","Chưa nhập khối lượng",IF(V32="","Thiếu người thực hiện",IF(OR(Z32="",AA32=""),"Chưa nhập đủ thời gian",IF(AD32&lt;0,"Quá hạn – còn "&amp;TEXT(MAX(0,AE32*(1-AC32)),"0.0")&amp;" giờ",LET(bd,MAX(TODAY(),Z32),kt,AA32,nguoi,V32,tai,SUMIFS('Lớp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#REF!</v>
      </c>
      <c r="AI32" s="467" t="str">
        <f t="shared" ref="AI32:AL32" si="85">#REF!</f>
        <v>#REF!</v>
      </c>
      <c r="AJ32" s="469" t="str">
        <f t="shared" si="85"/>
        <v>#REF!</v>
      </c>
      <c r="AK32" s="470" t="str">
        <f t="shared" si="85"/>
        <v>#REF!</v>
      </c>
      <c r="AL32" s="470" t="str">
        <f t="shared" si="85"/>
        <v>#REF!</v>
      </c>
      <c r="AM32" s="471" t="str">
        <f t="shared" si="18"/>
        <v>#REF!</v>
      </c>
      <c r="AN32" s="469" t="str">
        <f t="shared" si="19"/>
        <v>#REF!</v>
      </c>
      <c r="AO32" s="475" t="str">
        <f t="shared" ref="AO32:AP32" si="86">#REF!</f>
        <v>#REF!</v>
      </c>
      <c r="AP32" s="476" t="str">
        <f t="shared" si="86"/>
        <v>#REF!</v>
      </c>
      <c r="AQ32" s="478" t="str">
        <f>IF(AI32&lt;&gt;"Có thời hạn","",IF(OR(I32="",AE32="",X32="Hoàn thành",X32="Hủy",COUNTIFS('Lớp 4 - Danh mục'!$J$14:$J$132,I32,'Lớp 4 - Danh mục'!$AA$14:$AA$132,"&lt;&gt;Hủy")&gt;0),"",LET(canNgay,MAX(0,AE32*(1-AC32))/MAX(1,AD32),IF(AO32="Ngày",canNgay,IF(AO32="Tuần",canNgay*5,"")))))</f>
        <v>#REF!</v>
      </c>
      <c r="AR32" s="465" t="str">
        <f>IF(I32="","",IF(COUNTIFS('Lớp 4 - Danh mục'!$J$14:$J$132,I32,'Lớp 4 - Danh mục'!$AA$14:$AA$132,"&lt;&gt;Hủy")&gt;0,"Theo dõi phân bổ tại Lớp 4",IF(OR(X32="Hoàn thành",X32="Hủy"),X32,IF(AE32="","Thiếu tổng giờ",IF(OR(AO32="",AP32=""),"Thiếu tham số phân bổ",IF(AP32&lt;=0,"Phân bổ phải &gt; 0",IF(AI32&lt;&gt;"Có thời hạn","Đã có phân bổ",IF(AQ32="","Chưa đủ dữ liệu hạn",IF(AP32&gt;=AQ32,"Đủ phân bổ theo "&amp;LOWER(AO32),"Thiếu "&amp;TEXT(AQ32-AP32,"0.0")&amp;" giờ/"&amp;LOWER(AO32))))))))))</f>
        <v>#REF!</v>
      </c>
      <c r="AS32" s="465" t="str">
        <f t="shared" si="20"/>
        <v>#REF!</v>
      </c>
      <c r="AT32" s="479" t="str">
        <f>#REF!</f>
        <v>#REF!</v>
      </c>
    </row>
    <row r="33" ht="15.75" customHeight="1">
      <c r="A33" s="383">
        <f t="shared" si="11"/>
        <v>20</v>
      </c>
      <c r="B33" s="387" t="str">
        <f>'Trung tâm nhập liệu'!F83</f>
        <v>Phát triển HT BC tự động định kỳ</v>
      </c>
      <c r="C33" s="394" t="str">
        <f>'Trung tâm nhập liệu'!M83</f>
        <v>P1</v>
      </c>
      <c r="D33" s="504">
        <f t="shared" ref="D33:E33" si="87">AC33</f>
        <v>0</v>
      </c>
      <c r="E33" s="484">
        <f t="shared" si="87"/>
        <v>17</v>
      </c>
      <c r="F33" s="407">
        <f t="shared" ref="F33:G33" si="88">Q33</f>
        <v>46265</v>
      </c>
      <c r="G33" s="407">
        <f t="shared" si="88"/>
        <v>46244</v>
      </c>
      <c r="H33" s="411" t="str">
        <f>IF(B33="","",IF(COUNTIF('Lớp 4 - Danh mục'!$J$14:$J$132,I33)&gt;0,"Có","Không"))</f>
        <v>Không</v>
      </c>
      <c r="I33" s="414" t="str">
        <f>'Trung tâm nhập liệu'!B83</f>
        <v>HHL3DL05</v>
      </c>
      <c r="J33" s="415">
        <f>'Trung tâm nhập liệu'!E83</f>
        <v>2026</v>
      </c>
      <c r="K33" s="469" t="s">
        <v>87</v>
      </c>
      <c r="L33" s="604" t="s">
        <v>88</v>
      </c>
      <c r="M33" s="419" t="str">
        <f t="shared" ref="M33:P33" si="89">B33</f>
        <v>Phát triển HT BC tự động định kỳ</v>
      </c>
      <c r="N33" s="420" t="str">
        <f t="shared" si="89"/>
        <v>P1</v>
      </c>
      <c r="O33" s="421">
        <f t="shared" si="89"/>
        <v>0</v>
      </c>
      <c r="P33" s="422">
        <f t="shared" si="89"/>
        <v>17</v>
      </c>
      <c r="Q33" s="426">
        <f>IF($I33="","",LET(n,COUNTIFS('Lớp 4 - Danh mục'!$J$14:$J$132,$I33,'Lớp 4 - Danh mục'!$AA$14:$AA$132,"&lt;&gt;Hủy"),child,IFERROR(MAXIFS('Lớp 4 - Danh mục'!$AD$14:$AD$132,'Lớp 4 - Danh mục'!$J$14:$J$132,$I33,'Lớp 4 - Danh mục'!$AA$14:$AA$132,"&lt;&gt;Hủy",'Lớp 4 - Danh mục'!$AD$14:$AD$132,"&gt;0"),0),plan,'Trung tâm nhập liệu'!Q83,emergent,LOWER(TRIM('Trung tâm nhập liệu'!O83))="khi phát sinh",IF(n=0,IF(emergent,"",plan),IF(child=0,IF(emergent,"",plan),IF(OR(emergent,plan=""),child,MAX(plan,child))))))</f>
        <v>46265</v>
      </c>
      <c r="R33" s="430">
        <f>IF($I33="","",LET(n,COUNTIFS('Lớp 4 - Danh mục'!$J$14:$J$132,$I33,'Lớp 4 - Danh mục'!$AA$14:$AA$132,"&lt;&gt;Hủy"),child,IFERROR(MINIFS('Lớp 4 - Danh mục'!$AC$14:$AC$132,'Lớp 4 - Danh mục'!$J$14:$J$132,$I33,'Lớp 4 - Danh mục'!$AA$14:$AA$132,"&lt;&gt;Hủy",'Lớp 4 - Danh mục'!$AC$14:$AC$132,"&gt;0"),0),plan,'Trung tâm nhập liệu'!R83,emergent,LOWER(TRIM('Trung tâm nhập liệu'!O83))="khi phát sinh",IF(n=0,IF(emergent,"",plan),IF(child=0,IF(emergent,"",plan),IF(OR(emergent,plan=""),child,MIN(plan,child))))))</f>
        <v>46244</v>
      </c>
      <c r="S33" s="411" t="str">
        <f t="shared" si="15"/>
        <v>Không</v>
      </c>
      <c r="T33" s="414" t="str">
        <f>'Trung tâm nhập liệu'!G83</f>
        <v>Xây dựng hệ thống báo cáo định kỳ tự động, giảm thao tác tổng hợp thủ công</v>
      </c>
      <c r="U33" s="433" t="str">
        <f>'Trung tâm nhập liệu'!J83</f>
        <v>GĐ BOC</v>
      </c>
      <c r="V33" s="435" t="str">
        <f>'Trung tâm nhập liệu'!K83</f>
        <v>Ms Trang</v>
      </c>
      <c r="W33" s="435" t="str">
        <f>'Trung tâm nhập liệu'!I83</f>
        <v>Dữ liệu điều hành</v>
      </c>
      <c r="X33" s="437" t="str">
        <f>'Trung tâm nhập liệu'!L83</f>
        <v>Chưa bắt đầu</v>
      </c>
      <c r="Y33" s="420" t="str">
        <f>'Trung tâm nhập liệu'!M83</f>
        <v>P1</v>
      </c>
      <c r="Z33" s="430">
        <f t="shared" si="16"/>
        <v>46244</v>
      </c>
      <c r="AA33" s="426">
        <f t="shared" si="17"/>
        <v>46265</v>
      </c>
      <c r="AB33" s="516">
        <f>IF(AI33&lt;&gt;"Có thời hạn","",IF(OR(Z33="",AA33=""),"",IF(AA33&lt;Z33,"",_xlfn.NETWORKDAYS.INTL(Z33,AA33,11,'Ngày nghỉ lễ'!$A$5:$A$80))))</f>
        <v>19</v>
      </c>
      <c r="AC33" s="446">
        <f>IF(I33="","",IF(L33="Công việc khác","",IF(OR(X33="Chưa lên lịch",X33="Đã lên lịch",X33="Hủy"),"",IF(COUNTIFS('Lớp 4 - Danh mục'!$J$14:$J$132,I33,'Lớp 4 - Danh mục'!$AA$14:$AA$132,"&lt;&gt;",'Lớp 4 - Danh mục'!$AA$14:$AA$132,"&lt;&gt;Hủy",'Lớp 4 - Danh mục'!$AA$14:$AA$132,"&lt;&gt;Chưa lên lịch",'Lớp 4 - Danh mục'!$AA$14:$AA$132,"&lt;&gt;Đã lên lịch")&gt;0,SUMIFS('Lớp 4 - Danh mục'!$AF$14:$AF$132,'Lớp 4 - Danh mục'!$J$14:$J$132,I33,'Lớp 4 - Danh mục'!$AA$14:$AA$132,"&lt;&gt;",'Lớp 4 - Danh mục'!$AA$14:$AA$132,"&lt;&gt;Hủy",'Lớp 4 - Danh mục'!$AA$14:$AA$132,"&lt;&gt;Chưa lên lịch",'Lớp 4 - Danh mục'!$AA$14:$AA$132,"&lt;&gt;Đã lên lịch")/COUNTIFS('Lớp 4 - Danh mục'!$J$14:$J$132,I33,'Lớp 4 - Danh mục'!$AA$14:$AA$132,"&lt;&gt;",'Lớp 4 - Danh mục'!$AA$14:$AA$132,"&lt;&gt;Hủy",'Lớp 4 - Danh mục'!$AA$14:$AA$132,"&lt;&gt;Chưa lên lịch",'Lớp 4 - Danh mục'!$AA$14:$AA$132,"&lt;&gt;Đã lên lịch"),IF(X33="Hoàn thành",1,0)))))</f>
        <v>0</v>
      </c>
      <c r="AD33" s="516">
        <f>IF(AI33&lt;&gt;"Có thời hạn","",IF(OR(I33="",Z33="",AA33=""),"",IF(OR(X33="Hoàn thành",X33="Hủy"),0,IF(AA33&lt;TODAY(),-_xlfn.NETWORKDAYS.INTL(AA33,TODAY()-1,11,'Ngày nghỉ lễ'!$A$5:$A$80),MAX(0,_xlfn.NETWORKDAYS.INTL(MAX(TODAY()+1,Z33),AA33,11,'Ngày nghỉ lễ'!$A$5:$A$80))))))</f>
        <v>17</v>
      </c>
      <c r="AE33" s="448">
        <f>IF($I33="","",LET(n,COUNTIFS('Lớp 4 - Danh mục'!$J$14:$J$132,$I33,'Lớp 4 - Danh mục'!$AA$14:$AA$132,"&lt;&gt;Hủy"),du,COUNTIFS('Lớp 4 - Danh mục'!$J$14:$J$132,$I33,'Lớp 4 - Danh mục'!$AA$14:$AA$132,"&lt;&gt;Hủy",'Lớp 4 - Danh mục'!$AH$14:$AH$132,"&lt;&gt;"),IF(n=0,'Trung tâm nhập liệu'!T83,IF(du&lt;n,"",SUMIFS('Lớp 4 - Danh mục'!$AH$14:$AH$132,'Lớp 4 - Danh mục'!$J$14:$J$132,$I33,'Lớp 4 - Danh mục'!$AA$14:$AA$132,"&lt;&gt;Hủy")))))</f>
        <v>200</v>
      </c>
      <c r="AF33" s="510" t="str">
        <f>IF(I33="","",IF(OR(X33="Hoàn thành",X33="Hủy"),"",IF(COUNTIFS('Lớp 4 - Danh mục'!$J$14:$J$132,I33,'Lớp 4 - Danh mục'!$AA$14:$AA$132,"&lt;&gt;Hủy")&gt;0,"",IF(AO33="Ngày",AP33,IF(AO33="Tuần",AP33/5,"")))))</f>
        <v/>
      </c>
      <c r="AG33" s="456" t="str">
        <f>IF(AI33="Chưa xếp lịch","Chưa xếp lịch",IF(AI33="Định kỳ",IF(AJ33="","Thiếu chu kỳ","Theo chu kỳ"),IF(AI33="Khi phát sinh",IF(COUNTIFS('Lớp 4 - Danh mục'!$J$14:$J$132,$I33,'Lớp 4 - Danh mục'!$AA$14:$AA$132,"&lt;&gt;Hủy")=0,"Khi phát sinh – chờ việc con","Khi phát sinh – theo ngày con"),IF(I33="","",LET(n,COUNTIFS('Lớp 4 - Danh mục'!$J$14:$J$132,$I33,'Lớp 4 - Danh mục'!$AA$14:$AA$132,"&lt;&gt;Hủy"),cs,IFERROR(MINIFS('Lớp 4 - Danh mục'!$AC$14:$AC$132,'Lớp 4 - Danh mục'!$J$14:$J$132,$I33,'Lớp 4 - Danh mục'!$AA$14:$AA$132,"&lt;&gt;Hủy",'Lớp 4 - Danh mục'!$AC$14:$AC$132,"&gt;0"),0),ce,IFERROR(MAXIFS('Lớp 4 - Danh mục'!$AD$14:$AD$132,'Lớp 4 - Danh mục'!$J$14:$J$132,$I33,'Lớp 4 - Danh mục'!$AA$14:$AA$132,"&lt;&gt;Hủy",'Lớp 4 - Danh mục'!$AD$14:$AD$132,"&gt;0"),0),ps,'Trung tâm nhập liệu'!R83,pe,'Trung tâm nhập liệu'!Q83,IF(OR(Z33="",AA33=""),"Thiếu ngày L3",IF(n=0,"Chưa có L4",IF(OR(cs=0,ce=0),"Thiếu ngày L4",IF(OR(ps="",pe=""),"Thiếu ngày kế hoạch gốc L3",IF(OR(cs&lt;ps,ce&gt;pe),"Cảnh báo: Con vượt khung kế hoạch gốc","L4 đúng khung kế hoạch gốc"))))))))))</f>
        <v>Chưa có L4</v>
      </c>
      <c r="AH33" s="465" t="str">
        <f>IF(OR(AR33="Thiếu tham số phân bổ",AR33="Phân bổ phải &gt; 0"),AR33,SWITCH(AI33,"Chưa xếp lịch","Chưa tính tải","Định kỳ","Theo chu kỳ","Khi phát sinh","Khi phát sinh",IF(I33="","",IF(OR(X33="Hoàn thành",X33="Hủy"),X33,IF(COUNTIFS('Lớp 4 - Danh mục'!$J$14:$J$132,I33,'Lớp 4 - Danh mục'!$AA$14:$AA$132,"&lt;&gt;Hủy")&gt;0,"Theo dõi tải tại Lớp 4",IF(AE33="","Chưa nhập khối lượng",IF(V33="","Thiếu người thực hiện",IF(OR(Z33="",AA33=""),"Chưa nhập đủ thời gian",IF(AD33&lt;0,"Quá hạn – còn "&amp;TEXT(MAX(0,AE33*(1-AC33)),"0.0")&amp;" giờ",LET(bd,MAX(TODAY(),Z33),kt,AA33,nguoi,V33,tai,SUMIFS('Lớp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33" s="467" t="str">
        <f>'Trung tâm nhập liệu'!O83</f>
        <v>Có thời hạn</v>
      </c>
      <c r="AJ33" s="469" t="str">
        <f>'Trung tâm nhập liệu'!P83</f>
        <v/>
      </c>
      <c r="AK33" s="470" t="str">
        <f>'Trung tâm nhập liệu'!S83</f>
        <v/>
      </c>
      <c r="AL33" s="470" t="str">
        <f>'Trung tâm nhập liệu'!X83</f>
        <v/>
      </c>
      <c r="AM33" s="471" t="str">
        <f t="shared" si="18"/>
        <v/>
      </c>
      <c r="AN33" s="469" t="str">
        <f t="shared" si="19"/>
        <v/>
      </c>
      <c r="AO33" s="475" t="str">
        <f>'Trung tâm nhập liệu'!V83</f>
        <v/>
      </c>
      <c r="AP33" s="476" t="str">
        <f>'Trung tâm nhập liệu'!W83</f>
        <v/>
      </c>
      <c r="AQ33" s="478" t="str">
        <f>IF(AI33&lt;&gt;"Có thời hạn","",IF(OR(I33="",AE33="",X33="Hoàn thành",X33="Hủy",COUNTIFS('Lớp 4 - Danh mục'!$J$14:$J$132,I33,'Lớp 4 - Danh mục'!$AA$14:$AA$132,"&lt;&gt;Hủy")&gt;0),"",LET(canNgay,MAX(0,AE33*(1-AC33))/MAX(1,AD33),IF(AO33="Ngày",canNgay,IF(AO33="Tuần",canNgay*5,"")))))</f>
        <v/>
      </c>
      <c r="AR33" s="465" t="str">
        <f>IF(I33="","",IF(COUNTIFS('Lớp 4 - Danh mục'!$J$14:$J$132,I33,'Lớp 4 - Danh mục'!$AA$14:$AA$132,"&lt;&gt;Hủy")&gt;0,"Theo dõi phân bổ tại Lớp 4",IF(OR(X33="Hoàn thành",X33="Hủy"),X33,IF(AE33="","Thiếu tổng giờ",IF(OR(AO33="",AP33=""),"Thiếu tham số phân bổ",IF(AP33&lt;=0,"Phân bổ phải &gt; 0",IF(AI33&lt;&gt;"Có thời hạn","Đã có phân bổ",IF(AQ33="","Chưa đủ dữ liệu hạn",IF(AP33&gt;=AQ33,"Đủ phân bổ theo "&amp;LOWER(AO33),"Thiếu "&amp;TEXT(AQ33-AP33,"0.0")&amp;" giờ/"&amp;LOWER(AO33))))))))))</f>
        <v>Thiếu tham số phân bổ</v>
      </c>
      <c r="AS33" s="465" t="str">
        <f t="shared" si="20"/>
        <v>OK</v>
      </c>
      <c r="AT33" s="479" t="str">
        <f>'Trung tâm nhập liệu'!Y83</f>
        <v/>
      </c>
    </row>
    <row r="34" ht="15.75" customHeight="1">
      <c r="A34" s="383">
        <f t="shared" si="11"/>
        <v>21</v>
      </c>
      <c r="B34" s="387" t="str">
        <f>'Trung tâm nhập liệu'!F84</f>
        <v>XDHT quản lý NCC</v>
      </c>
      <c r="C34" s="394" t="str">
        <f>'Trung tâm nhập liệu'!M84</f>
        <v>P2</v>
      </c>
      <c r="D34" s="568">
        <f t="shared" ref="D34:E34" si="90">AC34</f>
        <v>0</v>
      </c>
      <c r="E34" s="484">
        <f t="shared" si="90"/>
        <v>17</v>
      </c>
      <c r="F34" s="407">
        <f t="shared" ref="F34:G34" si="91">Q34</f>
        <v>46265</v>
      </c>
      <c r="G34" s="407">
        <f t="shared" si="91"/>
        <v>46235</v>
      </c>
      <c r="H34" s="411" t="str">
        <f>IF(B34="","",IF(COUNTIF('Lớp 4 - Danh mục'!$J$14:$J$132,I34)&gt;0,"Có","Không"))</f>
        <v>Có</v>
      </c>
      <c r="I34" s="414" t="str">
        <f>'Trung tâm nhập liệu'!B84</f>
        <v>HHL3DL06</v>
      </c>
      <c r="J34" s="415">
        <f>'Trung tâm nhập liệu'!E84</f>
        <v>2026</v>
      </c>
      <c r="K34" s="469" t="s">
        <v>87</v>
      </c>
      <c r="L34" s="604" t="s">
        <v>88</v>
      </c>
      <c r="M34" s="419" t="str">
        <f t="shared" ref="M34:P34" si="92">B34</f>
        <v>XDHT quản lý NCC</v>
      </c>
      <c r="N34" s="420" t="str">
        <f t="shared" si="92"/>
        <v>P2</v>
      </c>
      <c r="O34" s="421">
        <f t="shared" si="92"/>
        <v>0</v>
      </c>
      <c r="P34" s="422">
        <f t="shared" si="92"/>
        <v>17</v>
      </c>
      <c r="Q34" s="426">
        <f>IF($I34="","",LET(n,COUNTIFS('Lớp 4 - Danh mục'!$J$14:$J$132,$I34,'Lớp 4 - Danh mục'!$AA$14:$AA$132,"&lt;&gt;Hủy"),child,IFERROR(MAXIFS('Lớp 4 - Danh mục'!$AD$14:$AD$132,'Lớp 4 - Danh mục'!$J$14:$J$132,$I34,'Lớp 4 - Danh mục'!$AA$14:$AA$132,"&lt;&gt;Hủy",'Lớp 4 - Danh mục'!$AD$14:$AD$132,"&gt;0"),0),plan,'Trung tâm nhập liệu'!Q84,emergent,LOWER(TRIM('Trung tâm nhập liệu'!O84))="khi phát sinh",IF(n=0,IF(emergent,"",plan),IF(child=0,IF(emergent,"",plan),IF(OR(emergent,plan=""),child,MAX(plan,child))))))</f>
        <v>46265</v>
      </c>
      <c r="R34" s="430">
        <f>IF($I34="","",LET(n,COUNTIFS('Lớp 4 - Danh mục'!$J$14:$J$132,$I34,'Lớp 4 - Danh mục'!$AA$14:$AA$132,"&lt;&gt;Hủy"),child,IFERROR(MINIFS('Lớp 4 - Danh mục'!$AC$14:$AC$132,'Lớp 4 - Danh mục'!$J$14:$J$132,$I34,'Lớp 4 - Danh mục'!$AA$14:$AA$132,"&lt;&gt;Hủy",'Lớp 4 - Danh mục'!$AC$14:$AC$132,"&gt;0"),0),plan,'Trung tâm nhập liệu'!R84,emergent,LOWER(TRIM('Trung tâm nhập liệu'!O84))="khi phát sinh",IF(n=0,IF(emergent,"",plan),IF(child=0,IF(emergent,"",plan),IF(OR(emergent,plan=""),child,MIN(plan,child))))))</f>
        <v>46235</v>
      </c>
      <c r="S34" s="411" t="str">
        <f t="shared" si="15"/>
        <v>Có</v>
      </c>
      <c r="T34" s="414" t="str">
        <f>'Trung tâm nhập liệu'!G84</f>
        <v>Thiết lập hệ thống quản lý thông tin, đánh giá và theo dõi nhà cung cấp</v>
      </c>
      <c r="U34" s="433" t="str">
        <f>'Trung tâm nhập liệu'!J84</f>
        <v>GĐ BOC</v>
      </c>
      <c r="V34" s="435" t="str">
        <f>'Trung tâm nhập liệu'!K84</f>
        <v>Ms Trang</v>
      </c>
      <c r="W34" s="435" t="str">
        <f>'Trung tâm nhập liệu'!I84</f>
        <v>Dữ liệu điều hành</v>
      </c>
      <c r="X34" s="437" t="str">
        <f>'Trung tâm nhập liệu'!L84</f>
        <v>Chưa bắt đầu</v>
      </c>
      <c r="Y34" s="420" t="str">
        <f>'Trung tâm nhập liệu'!M84</f>
        <v>P2</v>
      </c>
      <c r="Z34" s="430">
        <f t="shared" si="16"/>
        <v>46235</v>
      </c>
      <c r="AA34" s="426">
        <f t="shared" si="17"/>
        <v>46265</v>
      </c>
      <c r="AB34" s="516">
        <f>IF(AI34&lt;&gt;"Có thời hạn","",IF(OR(Z34="",AA34=""),"",IF(AA34&lt;Z34,"",_xlfn.NETWORKDAYS.INTL(Z34,AA34,11,'Ngày nghỉ lễ'!$A$5:$A$80))))</f>
        <v>26</v>
      </c>
      <c r="AC34" s="446">
        <f>IF(I34="","",IF(L34="Công việc khác","",IF(OR(X34="Chưa lên lịch",X34="Đã lên lịch",X34="Hủy"),"",IF(COUNTIFS('Lớp 4 - Danh mục'!$J$14:$J$132,I34,'Lớp 4 - Danh mục'!$AA$14:$AA$132,"&lt;&gt;",'Lớp 4 - Danh mục'!$AA$14:$AA$132,"&lt;&gt;Hủy",'Lớp 4 - Danh mục'!$AA$14:$AA$132,"&lt;&gt;Chưa lên lịch",'Lớp 4 - Danh mục'!$AA$14:$AA$132,"&lt;&gt;Đã lên lịch")&gt;0,SUMIFS('Lớp 4 - Danh mục'!$AF$14:$AF$132,'Lớp 4 - Danh mục'!$J$14:$J$132,I34,'Lớp 4 - Danh mục'!$AA$14:$AA$132,"&lt;&gt;",'Lớp 4 - Danh mục'!$AA$14:$AA$132,"&lt;&gt;Hủy",'Lớp 4 - Danh mục'!$AA$14:$AA$132,"&lt;&gt;Chưa lên lịch",'Lớp 4 - Danh mục'!$AA$14:$AA$132,"&lt;&gt;Đã lên lịch")/COUNTIFS('Lớp 4 - Danh mục'!$J$14:$J$132,I34,'Lớp 4 - Danh mục'!$AA$14:$AA$132,"&lt;&gt;",'Lớp 4 - Danh mục'!$AA$14:$AA$132,"&lt;&gt;Hủy",'Lớp 4 - Danh mục'!$AA$14:$AA$132,"&lt;&gt;Chưa lên lịch",'Lớp 4 - Danh mục'!$AA$14:$AA$132,"&lt;&gt;Đã lên lịch"),IF(X34="Hoàn thành",1,0)))))</f>
        <v>0</v>
      </c>
      <c r="AD34" s="516">
        <f>IF(AI34&lt;&gt;"Có thời hạn","",IF(OR(I34="",Z34="",AA34=""),"",IF(OR(X34="Hoàn thành",X34="Hủy"),0,IF(AA34&lt;TODAY(),-_xlfn.NETWORKDAYS.INTL(AA34,TODAY()-1,11,'Ngày nghỉ lễ'!$A$5:$A$80),MAX(0,_xlfn.NETWORKDAYS.INTL(MAX(TODAY()+1,Z34),AA34,11,'Ngày nghỉ lễ'!$A$5:$A$80))))))</f>
        <v>17</v>
      </c>
      <c r="AE34" s="448">
        <f>IF($I34="","",LET(n,COUNTIFS('Lớp 4 - Danh mục'!$J$14:$J$132,$I34,'Lớp 4 - Danh mục'!$AA$14:$AA$132,"&lt;&gt;Hủy"),du,COUNTIFS('Lớp 4 - Danh mục'!$J$14:$J$132,$I34,'Lớp 4 - Danh mục'!$AA$14:$AA$132,"&lt;&gt;Hủy",'Lớp 4 - Danh mục'!$AH$14:$AH$132,"&lt;&gt;"),IF(n=0,'Trung tâm nhập liệu'!T84,IF(du&lt;n,"",SUMIFS('Lớp 4 - Danh mục'!$AH$14:$AH$132,'Lớp 4 - Danh mục'!$J$14:$J$132,$I34,'Lớp 4 - Danh mục'!$AA$14:$AA$132,"&lt;&gt;Hủy")))))</f>
        <v>240</v>
      </c>
      <c r="AF34" s="510" t="str">
        <f>IF(I34="","",IF(OR(X34="Hoàn thành",X34="Hủy"),"",IF(COUNTIFS('Lớp 4 - Danh mục'!$J$14:$J$132,I34,'Lớp 4 - Danh mục'!$AA$14:$AA$132,"&lt;&gt;Hủy")&gt;0,"",IF(AO34="Ngày",AP34,IF(AO34="Tuần",AP34/5,"")))))</f>
        <v/>
      </c>
      <c r="AG34" s="456" t="str">
        <f>IF(AI34="Chưa xếp lịch","Chưa xếp lịch",IF(AI34="Định kỳ",IF(AJ34="","Thiếu chu kỳ","Theo chu kỳ"),IF(AI34="Khi phát sinh",IF(COUNTIFS('Lớp 4 - Danh mục'!$J$14:$J$132,$I34,'Lớp 4 - Danh mục'!$AA$14:$AA$132,"&lt;&gt;Hủy")=0,"Khi phát sinh – chờ việc con","Khi phát sinh – theo ngày con"),IF(I34="","",LET(n,COUNTIFS('Lớp 4 - Danh mục'!$J$14:$J$132,$I34,'Lớp 4 - Danh mục'!$AA$14:$AA$132,"&lt;&gt;Hủy"),cs,IFERROR(MINIFS('Lớp 4 - Danh mục'!$AC$14:$AC$132,'Lớp 4 - Danh mục'!$J$14:$J$132,$I34,'Lớp 4 - Danh mục'!$AA$14:$AA$132,"&lt;&gt;Hủy",'Lớp 4 - Danh mục'!$AC$14:$AC$132,"&gt;0"),0),ce,IFERROR(MAXIFS('Lớp 4 - Danh mục'!$AD$14:$AD$132,'Lớp 4 - Danh mục'!$J$14:$J$132,$I34,'Lớp 4 - Danh mục'!$AA$14:$AA$132,"&lt;&gt;Hủy",'Lớp 4 - Danh mục'!$AD$14:$AD$132,"&gt;0"),0),ps,'Trung tâm nhập liệu'!R84,pe,'Trung tâm nhập liệu'!Q84,IF(OR(Z34="",AA34=""),"Thiếu ngày L3",IF(n=0,"Chưa có L4",IF(OR(cs=0,ce=0),"Thiếu ngày L4",IF(OR(ps="",pe=""),"Thiếu ngày kế hoạch gốc L3",IF(OR(cs&lt;ps,ce&gt;pe),"Cảnh báo: Con vượt khung kế hoạch gốc","L4 đúng khung kế hoạch gốc"))))))))))</f>
        <v>L4 đúng khung kế hoạch gốc</v>
      </c>
      <c r="AH34" s="465" t="str">
        <f>IF(OR(AR34="Thiếu tham số phân bổ",AR34="Phân bổ phải &gt; 0"),AR34,SWITCH(AI34,"Chưa xếp lịch","Chưa tính tải","Định kỳ","Theo chu kỳ","Khi phát sinh","Khi phát sinh",IF(I34="","",IF(OR(X34="Hoàn thành",X34="Hủy"),X34,IF(COUNTIFS('Lớp 4 - Danh mục'!$J$14:$J$132,I34,'Lớp 4 - Danh mục'!$AA$14:$AA$132,"&lt;&gt;Hủy")&gt;0,"Theo dõi tải tại Lớp 4",IF(AE34="","Chưa nhập khối lượng",IF(V34="","Thiếu người thực hiện",IF(OR(Z34="",AA34=""),"Chưa nhập đủ thời gian",IF(AD34&lt;0,"Quá hạn – còn "&amp;TEXT(MAX(0,AE34*(1-AC34)),"0.0")&amp;" giờ",LET(bd,MAX(TODAY(),Z34),kt,AA34,nguoi,V34,tai,SUMIFS('Lớp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4</v>
      </c>
      <c r="AI34" s="467" t="str">
        <f>'Trung tâm nhập liệu'!O84</f>
        <v>Có thời hạn</v>
      </c>
      <c r="AJ34" s="469" t="str">
        <f>'Trung tâm nhập liệu'!P84</f>
        <v/>
      </c>
      <c r="AK34" s="470" t="str">
        <f>'Trung tâm nhập liệu'!S84</f>
        <v/>
      </c>
      <c r="AL34" s="470" t="str">
        <f>'Trung tâm nhập liệu'!X84</f>
        <v/>
      </c>
      <c r="AM34" s="471" t="str">
        <f t="shared" si="18"/>
        <v/>
      </c>
      <c r="AN34" s="469" t="str">
        <f t="shared" si="19"/>
        <v/>
      </c>
      <c r="AO34" s="475" t="str">
        <f>'Trung tâm nhập liệu'!V84</f>
        <v/>
      </c>
      <c r="AP34" s="476" t="str">
        <f>'Trung tâm nhập liệu'!W84</f>
        <v/>
      </c>
      <c r="AQ34" s="478" t="str">
        <f>IF(AI34&lt;&gt;"Có thời hạn","",IF(OR(I34="",AE34="",X34="Hoàn thành",X34="Hủy",COUNTIFS('Lớp 4 - Danh mục'!$J$14:$J$132,I34,'Lớp 4 - Danh mục'!$AA$14:$AA$132,"&lt;&gt;Hủy")&gt;0),"",LET(canNgay,MAX(0,AE34*(1-AC34))/MAX(1,AD34),IF(AO34="Ngày",canNgay,IF(AO34="Tuần",canNgay*5,"")))))</f>
        <v/>
      </c>
      <c r="AR34" s="465" t="str">
        <f>IF(I34="","",IF(COUNTIFS('Lớp 4 - Danh mục'!$J$14:$J$132,I34,'Lớp 4 - Danh mục'!$AA$14:$AA$132,"&lt;&gt;Hủy")&gt;0,"Theo dõi phân bổ tại Lớp 4",IF(OR(X34="Hoàn thành",X34="Hủy"),X34,IF(AE34="","Thiếu tổng giờ",IF(OR(AO34="",AP34=""),"Thiếu tham số phân bổ",IF(AP34&lt;=0,"Phân bổ phải &gt; 0",IF(AI34&lt;&gt;"Có thời hạn","Đã có phân bổ",IF(AQ34="","Chưa đủ dữ liệu hạn",IF(AP34&gt;=AQ34,"Đủ phân bổ theo "&amp;LOWER(AO34),"Thiếu "&amp;TEXT(AQ34-AP34,"0.0")&amp;" giờ/"&amp;LOWER(AO34))))))))))</f>
        <v>Theo dõi phân bổ tại Lớp 4</v>
      </c>
      <c r="AS34" s="465" t="str">
        <f t="shared" si="20"/>
        <v>OK</v>
      </c>
      <c r="AT34" s="479" t="str">
        <f>'Trung tâm nhập liệu'!Y84</f>
        <v/>
      </c>
    </row>
    <row r="35" ht="15.75" customHeight="1">
      <c r="A35" s="383">
        <f t="shared" si="11"/>
        <v>22</v>
      </c>
      <c r="B35" s="387" t="str">
        <f>'Trung tâm nhập liệu'!F85</f>
        <v>Truy xuất &amp; xử lý DL phát sinh theo yêu cầu </v>
      </c>
      <c r="C35" s="394" t="str">
        <f>'Trung tâm nhập liệu'!M85</f>
        <v>P3</v>
      </c>
      <c r="D35" s="605">
        <f t="shared" ref="D35:E35" si="93">AC35</f>
        <v>0</v>
      </c>
      <c r="E35" s="484" t="str">
        <f t="shared" si="93"/>
        <v/>
      </c>
      <c r="F35" s="407" t="str">
        <f t="shared" ref="F35:G35" si="94">Q35</f>
        <v/>
      </c>
      <c r="G35" s="407" t="str">
        <f t="shared" si="94"/>
        <v/>
      </c>
      <c r="H35" s="411" t="str">
        <f>IF(B35="","",IF(COUNTIF('Lớp 4 - Danh mục'!$J$14:$J$132,I35)&gt;0,"Có","Không"))</f>
        <v>Không</v>
      </c>
      <c r="I35" s="414" t="str">
        <f>'Trung tâm nhập liệu'!B85</f>
        <v>HHL3DL07</v>
      </c>
      <c r="J35" s="415">
        <f>'Trung tâm nhập liệu'!E85</f>
        <v>2026</v>
      </c>
      <c r="K35" s="469" t="s">
        <v>87</v>
      </c>
      <c r="L35" s="604" t="s">
        <v>88</v>
      </c>
      <c r="M35" s="419" t="str">
        <f t="shared" ref="M35:P35" si="95">B35</f>
        <v>Truy xuất &amp; xử lý DL phát sinh theo yêu cầu </v>
      </c>
      <c r="N35" s="420" t="str">
        <f t="shared" si="95"/>
        <v>P3</v>
      </c>
      <c r="O35" s="421">
        <f t="shared" si="95"/>
        <v>0</v>
      </c>
      <c r="P35" s="422" t="str">
        <f t="shared" si="95"/>
        <v/>
      </c>
      <c r="Q35" s="426" t="str">
        <f>IF($I35="","",LET(n,COUNTIFS('Lớp 4 - Danh mục'!$J$14:$J$132,$I35,'Lớp 4 - Danh mục'!$AA$14:$AA$132,"&lt;&gt;Hủy"),child,IFERROR(MAXIFS('Lớp 4 - Danh mục'!$AD$14:$AD$132,'Lớp 4 - Danh mục'!$J$14:$J$132,$I35,'Lớp 4 - Danh mục'!$AA$14:$AA$132,"&lt;&gt;Hủy",'Lớp 4 - Danh mục'!$AD$14:$AD$132,"&gt;0"),0),plan,'Trung tâm nhập liệu'!Q85,emergent,LOWER(TRIM('Trung tâm nhập liệu'!O85))="khi phát sinh",IF(n=0,IF(emergent,"",plan),IF(child=0,IF(emergent,"",plan),IF(OR(emergent,plan=""),child,MAX(plan,child))))))</f>
        <v/>
      </c>
      <c r="R35" s="430" t="str">
        <f>IF($I35="","",LET(n,COUNTIFS('Lớp 4 - Danh mục'!$J$14:$J$132,$I35,'Lớp 4 - Danh mục'!$AA$14:$AA$132,"&lt;&gt;Hủy"),child,IFERROR(MINIFS('Lớp 4 - Danh mục'!$AC$14:$AC$132,'Lớp 4 - Danh mục'!$J$14:$J$132,$I35,'Lớp 4 - Danh mục'!$AA$14:$AA$132,"&lt;&gt;Hủy",'Lớp 4 - Danh mục'!$AC$14:$AC$132,"&gt;0"),0),plan,'Trung tâm nhập liệu'!R85,emergent,LOWER(TRIM('Trung tâm nhập liệu'!O85))="khi phát sinh",IF(n=0,IF(emergent,"",plan),IF(child=0,IF(emergent,"",plan),IF(OR(emergent,plan=""),child,MIN(plan,child))))))</f>
        <v/>
      </c>
      <c r="S35" s="411" t="str">
        <f t="shared" si="15"/>
        <v>Không</v>
      </c>
      <c r="T35" s="414" t="str">
        <f>'Trung tâm nhập liệu'!G85</f>
        <v>Đáp ứng kịp thời các yêu cầu truy xuất, xử lý và đối soát dữ liệu phát sinh</v>
      </c>
      <c r="U35" s="433" t="str">
        <f>'Trung tâm nhập liệu'!J85</f>
        <v>GĐ BOC</v>
      </c>
      <c r="V35" s="435" t="str">
        <f>'Trung tâm nhập liệu'!K85</f>
        <v>Em Đại</v>
      </c>
      <c r="W35" s="435" t="str">
        <f>'Trung tâm nhập liệu'!I85</f>
        <v>Dữ liệu điều hành</v>
      </c>
      <c r="X35" s="437" t="str">
        <f>'Trung tâm nhập liệu'!L85</f>
        <v>Chưa bắt đầu</v>
      </c>
      <c r="Y35" s="420" t="str">
        <f>'Trung tâm nhập liệu'!M85</f>
        <v>P3</v>
      </c>
      <c r="Z35" s="430" t="str">
        <f t="shared" si="16"/>
        <v/>
      </c>
      <c r="AA35" s="426" t="str">
        <f t="shared" si="17"/>
        <v/>
      </c>
      <c r="AB35" s="516" t="str">
        <f>IF(AI35&lt;&gt;"Có thời hạn","",IF(OR(Z35="",AA35=""),"",IF(AA35&lt;Z35,"",_xlfn.NETWORKDAYS.INTL(Z35,AA35,11,'Ngày nghỉ lễ'!$A$5:$A$80))))</f>
        <v/>
      </c>
      <c r="AC35" s="446">
        <f>IF(I35="","",IF(L35="Công việc khác","",IF(OR(X35="Chưa lên lịch",X35="Đã lên lịch",X35="Hủy"),"",IF(COUNTIFS('Lớp 4 - Danh mục'!$J$14:$J$132,I35,'Lớp 4 - Danh mục'!$AA$14:$AA$132,"&lt;&gt;",'Lớp 4 - Danh mục'!$AA$14:$AA$132,"&lt;&gt;Hủy",'Lớp 4 - Danh mục'!$AA$14:$AA$132,"&lt;&gt;Chưa lên lịch",'Lớp 4 - Danh mục'!$AA$14:$AA$132,"&lt;&gt;Đã lên lịch")&gt;0,SUMIFS('Lớp 4 - Danh mục'!$AF$14:$AF$132,'Lớp 4 - Danh mục'!$J$14:$J$132,I35,'Lớp 4 - Danh mục'!$AA$14:$AA$132,"&lt;&gt;",'Lớp 4 - Danh mục'!$AA$14:$AA$132,"&lt;&gt;Hủy",'Lớp 4 - Danh mục'!$AA$14:$AA$132,"&lt;&gt;Chưa lên lịch",'Lớp 4 - Danh mục'!$AA$14:$AA$132,"&lt;&gt;Đã lên lịch")/COUNTIFS('Lớp 4 - Danh mục'!$J$14:$J$132,I35,'Lớp 4 - Danh mục'!$AA$14:$AA$132,"&lt;&gt;",'Lớp 4 - Danh mục'!$AA$14:$AA$132,"&lt;&gt;Hủy",'Lớp 4 - Danh mục'!$AA$14:$AA$132,"&lt;&gt;Chưa lên lịch",'Lớp 4 - Danh mục'!$AA$14:$AA$132,"&lt;&gt;Đã lên lịch"),IF(X35="Hoàn thành",1,0)))))</f>
        <v>0</v>
      </c>
      <c r="AD35" s="516" t="str">
        <f>IF(AI35&lt;&gt;"Có thời hạn","",IF(OR(I35="",Z35="",AA35=""),"",IF(OR(X35="Hoàn thành",X35="Hủy"),0,IF(AA35&lt;TODAY(),-_xlfn.NETWORKDAYS.INTL(AA35,TODAY()-1,11,'Ngày nghỉ lễ'!$A$5:$A$80),MAX(0,_xlfn.NETWORKDAYS.INTL(MAX(TODAY()+1,Z35),AA35,11,'Ngày nghỉ lễ'!$A$5:$A$80))))))</f>
        <v/>
      </c>
      <c r="AE35" s="448">
        <f>IF($I35="","",LET(n,COUNTIFS('Lớp 4 - Danh mục'!$J$14:$J$132,$I35,'Lớp 4 - Danh mục'!$AA$14:$AA$132,"&lt;&gt;Hủy"),du,COUNTIFS('Lớp 4 - Danh mục'!$J$14:$J$132,$I35,'Lớp 4 - Danh mục'!$AA$14:$AA$132,"&lt;&gt;Hủy",'Lớp 4 - Danh mục'!$AH$14:$AH$132,"&lt;&gt;"),IF(n=0,'Trung tâm nhập liệu'!T85,IF(du&lt;n,"",SUMIFS('Lớp 4 - Danh mục'!$AH$14:$AH$132,'Lớp 4 - Danh mục'!$J$14:$J$132,$I35,'Lớp 4 - Danh mục'!$AA$14:$AA$132,"&lt;&gt;Hủy")))))</f>
        <v>120</v>
      </c>
      <c r="AF35" s="510" t="str">
        <f>IF(I35="","",IF(OR(X35="Hoàn thành",X35="Hủy"),"",IF(COUNTIFS('Lớp 4 - Danh mục'!$J$14:$J$132,I35,'Lớp 4 - Danh mục'!$AA$14:$AA$132,"&lt;&gt;Hủy")&gt;0,"",IF(AO35="Ngày",AP35,IF(AO35="Tuần",AP35/5,"")))))</f>
        <v/>
      </c>
      <c r="AG35" s="456" t="str">
        <f>IF(AI35="Chưa xếp lịch","Chưa xếp lịch",IF(AI35="Định kỳ",IF(AJ35="","Thiếu chu kỳ","Theo chu kỳ"),IF(AI35="Khi phát sinh",IF(COUNTIFS('Lớp 4 - Danh mục'!$J$14:$J$132,$I35,'Lớp 4 - Danh mục'!$AA$14:$AA$132,"&lt;&gt;Hủy")=0,"Khi phát sinh – chờ việc con","Khi phát sinh – theo ngày con"),IF(I35="","",LET(n,COUNTIFS('Lớp 4 - Danh mục'!$J$14:$J$132,$I35,'Lớp 4 - Danh mục'!$AA$14:$AA$132,"&lt;&gt;Hủy"),cs,IFERROR(MINIFS('Lớp 4 - Danh mục'!$AC$14:$AC$132,'Lớp 4 - Danh mục'!$J$14:$J$132,$I35,'Lớp 4 - Danh mục'!$AA$14:$AA$132,"&lt;&gt;Hủy",'Lớp 4 - Danh mục'!$AC$14:$AC$132,"&gt;0"),0),ce,IFERROR(MAXIFS('Lớp 4 - Danh mục'!$AD$14:$AD$132,'Lớp 4 - Danh mục'!$J$14:$J$132,$I35,'Lớp 4 - Danh mục'!$AA$14:$AA$132,"&lt;&gt;Hủy",'Lớp 4 - Danh mục'!$AD$14:$AD$132,"&gt;0"),0),ps,'Trung tâm nhập liệu'!R85,pe,'Trung tâm nhập liệu'!Q85,IF(OR(Z35="",AA35=""),"Thiếu ngày L3",IF(n=0,"Chưa có L4",IF(OR(cs=0,ce=0),"Thiếu ngày L4",IF(OR(ps="",pe=""),"Thiếu ngày kế hoạch gốc L3",IF(OR(cs&lt;ps,ce&gt;pe),"Cảnh báo: Con vượt khung kế hoạch gốc","L4 đúng khung kế hoạch gốc"))))))))))</f>
        <v>Chưa xếp lịch</v>
      </c>
      <c r="AH35" s="465" t="str">
        <f>IF(OR(AR35="Thiếu tham số phân bổ",AR35="Phân bổ phải &gt; 0"),AR35,SWITCH(AI35,"Chưa xếp lịch","Chưa tính tải","Định kỳ","Theo chu kỳ","Khi phát sinh","Khi phát sinh",IF(I35="","",IF(OR(X35="Hoàn thành",X35="Hủy"),X35,IF(COUNTIFS('Lớp 4 - Danh mục'!$J$14:$J$132,I35,'Lớp 4 - Danh mục'!$AA$14:$AA$132,"&lt;&gt;Hủy")&gt;0,"Theo dõi tải tại Lớp 4",IF(AE35="","Chưa nhập khối lượng",IF(V35="","Thiếu người thực hiện",IF(OR(Z35="",AA35=""),"Chưa nhập đủ thời gian",IF(AD35&lt;0,"Quá hạn – còn "&amp;TEXT(MAX(0,AE35*(1-AC35)),"0.0")&amp;" giờ",LET(bd,MAX(TODAY(),Z35),kt,AA35,nguoi,V35,tai,SUMIFS('Lớp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I35" s="467" t="str">
        <f>'Trung tâm nhập liệu'!O85</f>
        <v>Chưa xếp lịch</v>
      </c>
      <c r="AJ35" s="469" t="str">
        <f>'Trung tâm nhập liệu'!P85</f>
        <v/>
      </c>
      <c r="AK35" s="470" t="str">
        <f>'Trung tâm nhập liệu'!S85</f>
        <v/>
      </c>
      <c r="AL35" s="470" t="str">
        <f>'Trung tâm nhập liệu'!X85</f>
        <v/>
      </c>
      <c r="AM35" s="471" t="str">
        <f t="shared" si="18"/>
        <v/>
      </c>
      <c r="AN35" s="469" t="str">
        <f t="shared" si="19"/>
        <v/>
      </c>
      <c r="AO35" s="475" t="str">
        <f>'Trung tâm nhập liệu'!V85</f>
        <v/>
      </c>
      <c r="AP35" s="476" t="str">
        <f>'Trung tâm nhập liệu'!W85</f>
        <v/>
      </c>
      <c r="AQ35" s="478" t="str">
        <f>IF(AI35&lt;&gt;"Có thời hạn","",IF(OR(I35="",AE35="",X35="Hoàn thành",X35="Hủy",COUNTIFS('Lớp 4 - Danh mục'!$J$14:$J$132,I35,'Lớp 4 - Danh mục'!$AA$14:$AA$132,"&lt;&gt;Hủy")&gt;0),"",LET(canNgay,MAX(0,AE35*(1-AC35))/MAX(1,AD35),IF(AO35="Ngày",canNgay,IF(AO35="Tuần",canNgay*5,"")))))</f>
        <v/>
      </c>
      <c r="AR35" s="465" t="str">
        <f>IF(I35="","",IF(COUNTIFS('Lớp 4 - Danh mục'!$J$14:$J$132,I35,'Lớp 4 - Danh mục'!$AA$14:$AA$132,"&lt;&gt;Hủy")&gt;0,"Theo dõi phân bổ tại Lớp 4",IF(OR(X35="Hoàn thành",X35="Hủy"),X35,IF(AE35="","Thiếu tổng giờ",IF(OR(AO35="",AP35=""),"Thiếu tham số phân bổ",IF(AP35&lt;=0,"Phân bổ phải &gt; 0",IF(AI35&lt;&gt;"Có thời hạn","Đã có phân bổ",IF(AQ35="","Chưa đủ dữ liệu hạn",IF(AP35&gt;=AQ35,"Đủ phân bổ theo "&amp;LOWER(AO35),"Thiếu "&amp;TEXT(AQ35-AP35,"0.0")&amp;" giờ/"&amp;LOWER(AO35))))))))))</f>
        <v>Thiếu tham số phân bổ</v>
      </c>
      <c r="AS35" s="465" t="str">
        <f t="shared" si="20"/>
        <v>OK</v>
      </c>
      <c r="AT35" s="479" t="str">
        <f>'Trung tâm nhập liệu'!Y85</f>
        <v/>
      </c>
    </row>
    <row r="36" ht="15.75" customHeight="1">
      <c r="A36" s="383">
        <f t="shared" si="11"/>
        <v>23</v>
      </c>
      <c r="B36" s="387" t="str">
        <f>'Trung tâm nhập liệu'!F86</f>
        <v>XDHT xếp hàng lên container phục vụ XK</v>
      </c>
      <c r="C36" s="394" t="str">
        <f>'Trung tâm nhập liệu'!M86</f>
        <v>P3</v>
      </c>
      <c r="D36" s="606">
        <f t="shared" ref="D36:E36" si="96">AC36</f>
        <v>0</v>
      </c>
      <c r="E36" s="484">
        <f t="shared" si="96"/>
        <v>16</v>
      </c>
      <c r="F36" s="407">
        <f t="shared" ref="F36:G36" si="97">Q36</f>
        <v>46264</v>
      </c>
      <c r="G36" s="407">
        <f t="shared" si="97"/>
        <v>46223</v>
      </c>
      <c r="H36" s="411" t="str">
        <f>IF(B36="","",IF(COUNTIF('Lớp 4 - Danh mục'!$J$14:$J$132,I36)&gt;0,"Có","Không"))</f>
        <v>Có</v>
      </c>
      <c r="I36" s="414" t="str">
        <f>'Trung tâm nhập liệu'!B86</f>
        <v>HHL3DL08</v>
      </c>
      <c r="J36" s="415">
        <f>'Trung tâm nhập liệu'!E86</f>
        <v>2026</v>
      </c>
      <c r="K36" s="469" t="s">
        <v>87</v>
      </c>
      <c r="L36" s="604" t="s">
        <v>88</v>
      </c>
      <c r="M36" s="419" t="str">
        <f t="shared" ref="M36:P36" si="98">B36</f>
        <v>XDHT xếp hàng lên container phục vụ XK</v>
      </c>
      <c r="N36" s="420" t="str">
        <f t="shared" si="98"/>
        <v>P3</v>
      </c>
      <c r="O36" s="421">
        <f t="shared" si="98"/>
        <v>0</v>
      </c>
      <c r="P36" s="422">
        <f t="shared" si="98"/>
        <v>16</v>
      </c>
      <c r="Q36" s="426">
        <f>IF($I36="","",LET(n,COUNTIFS('Lớp 4 - Danh mục'!$J$14:$J$132,$I36,'Lớp 4 - Danh mục'!$AA$14:$AA$132,"&lt;&gt;Hủy"),child,IFERROR(MAXIFS('Lớp 4 - Danh mục'!$AD$14:$AD$132,'Lớp 4 - Danh mục'!$J$14:$J$132,$I36,'Lớp 4 - Danh mục'!$AA$14:$AA$132,"&lt;&gt;Hủy",'Lớp 4 - Danh mục'!$AD$14:$AD$132,"&gt;0"),0),plan,'Trung tâm nhập liệu'!Q86,emergent,LOWER(TRIM('Trung tâm nhập liệu'!O86))="khi phát sinh",IF(n=0,IF(emergent,"",plan),IF(child=0,IF(emergent,"",plan),IF(OR(emergent,plan=""),child,MAX(plan,child))))))</f>
        <v>46264</v>
      </c>
      <c r="R36" s="430">
        <f>IF($I36="","",LET(n,COUNTIFS('Lớp 4 - Danh mục'!$J$14:$J$132,$I36,'Lớp 4 - Danh mục'!$AA$14:$AA$132,"&lt;&gt;Hủy"),child,IFERROR(MINIFS('Lớp 4 - Danh mục'!$AC$14:$AC$132,'Lớp 4 - Danh mục'!$J$14:$J$132,$I36,'Lớp 4 - Danh mục'!$AA$14:$AA$132,"&lt;&gt;Hủy",'Lớp 4 - Danh mục'!$AC$14:$AC$132,"&gt;0"),0),plan,'Trung tâm nhập liệu'!R86,emergent,LOWER(TRIM('Trung tâm nhập liệu'!O86))="khi phát sinh",IF(n=0,IF(emergent,"",plan),IF(child=0,IF(emergent,"",plan),IF(OR(emergent,plan=""),child,MIN(plan,child))))))</f>
        <v>46223</v>
      </c>
      <c r="S36" s="411" t="str">
        <f t="shared" si="15"/>
        <v>Có</v>
      </c>
      <c r="T36" s="414" t="str">
        <f>'Trung tâm nhập liệu'!G86</f>
        <v>Triển khai các công việc chuyển đổi số và vận hành hệ thống ngoài danh mục chính</v>
      </c>
      <c r="U36" s="433" t="str">
        <f>'Trung tâm nhập liệu'!J86</f>
        <v>GĐ BOC</v>
      </c>
      <c r="V36" s="435" t="str">
        <f>'Trung tâm nhập liệu'!K86</f>
        <v>Em Đại</v>
      </c>
      <c r="W36" s="435" t="str">
        <f>'Trung tâm nhập liệu'!I86</f>
        <v>Dữ liệu điều hành</v>
      </c>
      <c r="X36" s="437" t="str">
        <f>'Trung tâm nhập liệu'!L86</f>
        <v>Chưa bắt đầu</v>
      </c>
      <c r="Y36" s="420" t="str">
        <f>'Trung tâm nhập liệu'!M86</f>
        <v>P3</v>
      </c>
      <c r="Z36" s="430">
        <f t="shared" si="16"/>
        <v>46223</v>
      </c>
      <c r="AA36" s="426">
        <f t="shared" si="17"/>
        <v>46264</v>
      </c>
      <c r="AB36" s="516">
        <f>IF(AI36&lt;&gt;"Có thời hạn","",IF(OR(Z36="",AA36=""),"",IF(AA36&lt;Z36,"",_xlfn.NETWORKDAYS.INTL(Z36,AA36,11,'Ngày nghỉ lễ'!$A$5:$A$80))))</f>
        <v>36</v>
      </c>
      <c r="AC36" s="446">
        <f>IF(I36="","",IF(L36="Công việc khác","",IF(OR(X36="Chưa lên lịch",X36="Đã lên lịch",X36="Hủy"),"",IF(COUNTIFS('Lớp 4 - Danh mục'!$J$14:$J$132,I36,'Lớp 4 - Danh mục'!$AA$14:$AA$132,"&lt;&gt;",'Lớp 4 - Danh mục'!$AA$14:$AA$132,"&lt;&gt;Hủy",'Lớp 4 - Danh mục'!$AA$14:$AA$132,"&lt;&gt;Chưa lên lịch",'Lớp 4 - Danh mục'!$AA$14:$AA$132,"&lt;&gt;Đã lên lịch")&gt;0,SUMIFS('Lớp 4 - Danh mục'!$AF$14:$AF$132,'Lớp 4 - Danh mục'!$J$14:$J$132,I36,'Lớp 4 - Danh mục'!$AA$14:$AA$132,"&lt;&gt;",'Lớp 4 - Danh mục'!$AA$14:$AA$132,"&lt;&gt;Hủy",'Lớp 4 - Danh mục'!$AA$14:$AA$132,"&lt;&gt;Chưa lên lịch",'Lớp 4 - Danh mục'!$AA$14:$AA$132,"&lt;&gt;Đã lên lịch")/COUNTIFS('Lớp 4 - Danh mục'!$J$14:$J$132,I36,'Lớp 4 - Danh mục'!$AA$14:$AA$132,"&lt;&gt;",'Lớp 4 - Danh mục'!$AA$14:$AA$132,"&lt;&gt;Hủy",'Lớp 4 - Danh mục'!$AA$14:$AA$132,"&lt;&gt;Chưa lên lịch",'Lớp 4 - Danh mục'!$AA$14:$AA$132,"&lt;&gt;Đã lên lịch"),IF(X36="Hoàn thành",1,0)))))</f>
        <v>0</v>
      </c>
      <c r="AD36" s="516">
        <f>IF(AI36&lt;&gt;"Có thời hạn","",IF(OR(I36="",Z36="",AA36=""),"",IF(OR(X36="Hoàn thành",X36="Hủy"),0,IF(AA36&lt;TODAY(),-_xlfn.NETWORKDAYS.INTL(AA36,TODAY()-1,11,'Ngày nghỉ lễ'!$A$5:$A$80),MAX(0,_xlfn.NETWORKDAYS.INTL(MAX(TODAY()+1,Z36),AA36,11,'Ngày nghỉ lễ'!$A$5:$A$80))))))</f>
        <v>16</v>
      </c>
      <c r="AE36" s="448">
        <f>IF($I36="","",LET(n,COUNTIFS('Lớp 4 - Danh mục'!$J$14:$J$132,$I36,'Lớp 4 - Danh mục'!$AA$14:$AA$132,"&lt;&gt;Hủy"),du,COUNTIFS('Lớp 4 - Danh mục'!$J$14:$J$132,$I36,'Lớp 4 - Danh mục'!$AA$14:$AA$132,"&lt;&gt;Hủy",'Lớp 4 - Danh mục'!$AH$14:$AH$132,"&lt;&gt;"),IF(n=0,'Trung tâm nhập liệu'!T86,IF(du&lt;n,"",SUMIFS('Lớp 4 - Danh mục'!$AH$14:$AH$132,'Lớp 4 - Danh mục'!$J$14:$J$132,$I36,'Lớp 4 - Danh mục'!$AA$14:$AA$132,"&lt;&gt;Hủy")))))</f>
        <v>120</v>
      </c>
      <c r="AF36" s="510" t="str">
        <f>IF(I36="","",IF(OR(X36="Hoàn thành",X36="Hủy"),"",IF(COUNTIFS('Lớp 4 - Danh mục'!$J$14:$J$132,I36,'Lớp 4 - Danh mục'!$AA$14:$AA$132,"&lt;&gt;Hủy")&gt;0,"",IF(AO36="Ngày",AP36,IF(AO36="Tuần",AP36/5,"")))))</f>
        <v/>
      </c>
      <c r="AG36" s="456" t="str">
        <f>IF(AI36="Chưa xếp lịch","Chưa xếp lịch",IF(AI36="Định kỳ",IF(AJ36="","Thiếu chu kỳ","Theo chu kỳ"),IF(AI36="Khi phát sinh",IF(COUNTIFS('Lớp 4 - Danh mục'!$J$14:$J$132,$I36,'Lớp 4 - Danh mục'!$AA$14:$AA$132,"&lt;&gt;Hủy")=0,"Khi phát sinh – chờ việc con","Khi phát sinh – theo ngày con"),IF(I36="","",LET(n,COUNTIFS('Lớp 4 - Danh mục'!$J$14:$J$132,$I36,'Lớp 4 - Danh mục'!$AA$14:$AA$132,"&lt;&gt;Hủy"),cs,IFERROR(MINIFS('Lớp 4 - Danh mục'!$AC$14:$AC$132,'Lớp 4 - Danh mục'!$J$14:$J$132,$I36,'Lớp 4 - Danh mục'!$AA$14:$AA$132,"&lt;&gt;Hủy",'Lớp 4 - Danh mục'!$AC$14:$AC$132,"&gt;0"),0),ce,IFERROR(MAXIFS('Lớp 4 - Danh mục'!$AD$14:$AD$132,'Lớp 4 - Danh mục'!$J$14:$J$132,$I36,'Lớp 4 - Danh mục'!$AA$14:$AA$132,"&lt;&gt;Hủy",'Lớp 4 - Danh mục'!$AD$14:$AD$132,"&gt;0"),0),ps,'Trung tâm nhập liệu'!R86,pe,'Trung tâm nhập liệu'!Q86,IF(OR(Z36="",AA36=""),"Thiếu ngày L3",IF(n=0,"Chưa có L4",IF(OR(cs=0,ce=0),"Thiếu ngày L4",IF(OR(ps="",pe=""),"Thiếu ngày kế hoạch gốc L3",IF(OR(cs&lt;ps,ce&gt;pe),"Cảnh báo: Con vượt khung kế hoạch gốc","L4 đúng khung kế hoạch gốc"))))))))))</f>
        <v>L4 đúng khung kế hoạch gốc</v>
      </c>
      <c r="AH36" s="465" t="str">
        <f>IF(OR(AR36="Thiếu tham số phân bổ",AR36="Phân bổ phải &gt; 0"),AR36,SWITCH(AI36,"Chưa xếp lịch","Chưa tính tải","Định kỳ","Theo chu kỳ","Khi phát sinh","Khi phát sinh",IF(I36="","",IF(OR(X36="Hoàn thành",X36="Hủy"),X36,IF(COUNTIFS('Lớp 4 - Danh mục'!$J$14:$J$132,I36,'Lớp 4 - Danh mục'!$AA$14:$AA$132,"&lt;&gt;Hủy")&gt;0,"Theo dõi tải tại Lớp 4",IF(AE36="","Chưa nhập khối lượng",IF(V36="","Thiếu người thực hiện",IF(OR(Z36="",AA36=""),"Chưa nhập đủ thời gian",IF(AD36&lt;0,"Quá hạn – còn "&amp;TEXT(MAX(0,AE36*(1-AC36)),"0.0")&amp;" giờ",LET(bd,MAX(TODAY(),Z36),kt,AA36,nguoi,V36,tai,SUMIFS('Lớp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4</v>
      </c>
      <c r="AI36" s="467" t="str">
        <f>'Trung tâm nhập liệu'!O86</f>
        <v>Có thời hạn</v>
      </c>
      <c r="AJ36" s="469" t="str">
        <f>'Trung tâm nhập liệu'!P86</f>
        <v/>
      </c>
      <c r="AK36" s="470" t="str">
        <f>'Trung tâm nhập liệu'!S86</f>
        <v/>
      </c>
      <c r="AL36" s="470" t="str">
        <f>'Trung tâm nhập liệu'!X86</f>
        <v/>
      </c>
      <c r="AM36" s="471" t="str">
        <f t="shared" si="18"/>
        <v/>
      </c>
      <c r="AN36" s="469" t="str">
        <f t="shared" si="19"/>
        <v/>
      </c>
      <c r="AO36" s="475" t="str">
        <f>'Trung tâm nhập liệu'!V86</f>
        <v/>
      </c>
      <c r="AP36" s="476" t="str">
        <f>'Trung tâm nhập liệu'!W86</f>
        <v/>
      </c>
      <c r="AQ36" s="478" t="str">
        <f>IF(AI36&lt;&gt;"Có thời hạn","",IF(OR(I36="",AE36="",X36="Hoàn thành",X36="Hủy",COUNTIFS('Lớp 4 - Danh mục'!$J$14:$J$132,I36,'Lớp 4 - Danh mục'!$AA$14:$AA$132,"&lt;&gt;Hủy")&gt;0),"",LET(canNgay,MAX(0,AE36*(1-AC36))/MAX(1,AD36),IF(AO36="Ngày",canNgay,IF(AO36="Tuần",canNgay*5,"")))))</f>
        <v/>
      </c>
      <c r="AR36" s="465" t="str">
        <f>IF(I36="","",IF(COUNTIFS('Lớp 4 - Danh mục'!$J$14:$J$132,I36,'Lớp 4 - Danh mục'!$AA$14:$AA$132,"&lt;&gt;Hủy")&gt;0,"Theo dõi phân bổ tại Lớp 4",IF(OR(X36="Hoàn thành",X36="Hủy"),X36,IF(AE36="","Thiếu tổng giờ",IF(OR(AO36="",AP36=""),"Thiếu tham số phân bổ",IF(AP36&lt;=0,"Phân bổ phải &gt; 0",IF(AI36&lt;&gt;"Có thời hạn","Đã có phân bổ",IF(AQ36="","Chưa đủ dữ liệu hạn",IF(AP36&gt;=AQ36,"Đủ phân bổ theo "&amp;LOWER(AO36),"Thiếu "&amp;TEXT(AQ36-AP36,"0.0")&amp;" giờ/"&amp;LOWER(AO36))))))))))</f>
        <v>Theo dõi phân bổ tại Lớp 4</v>
      </c>
      <c r="AS36" s="465" t="str">
        <f t="shared" si="20"/>
        <v>OK</v>
      </c>
      <c r="AT36" s="479" t="str">
        <f>'Trung tâm nhập liệu'!Y86</f>
        <v/>
      </c>
    </row>
    <row r="37" ht="15.75" customHeight="1">
      <c r="A37" s="383">
        <f t="shared" si="11"/>
        <v>24</v>
      </c>
      <c r="B37" s="387" t="str">
        <f>'Trung tâm nhập liệu'!F87</f>
        <v>Các CV hỗ trợ khác (cho LĐ &amp; PB khác)</v>
      </c>
      <c r="C37" s="394" t="str">
        <f>'Trung tâm nhập liệu'!M87</f>
        <v>P1</v>
      </c>
      <c r="D37" s="399">
        <f t="shared" ref="D37:E37" si="99">AC37</f>
        <v>0</v>
      </c>
      <c r="E37" s="484" t="str">
        <f t="shared" si="99"/>
        <v/>
      </c>
      <c r="F37" s="407">
        <f t="shared" ref="F37:G37" si="100">Q37</f>
        <v>46280</v>
      </c>
      <c r="G37" s="407">
        <f t="shared" si="100"/>
        <v>46233</v>
      </c>
      <c r="H37" s="411" t="str">
        <f>IF(B37="","",IF(COUNTIF('Lớp 4 - Danh mục'!$J$14:$J$132,I37)&gt;0,"Có","Không"))</f>
        <v>Có</v>
      </c>
      <c r="I37" s="414" t="str">
        <f>'Trung tâm nhập liệu'!B87</f>
        <v>HHL3DL09</v>
      </c>
      <c r="J37" s="415">
        <f>'Trung tâm nhập liệu'!E87</f>
        <v>2026</v>
      </c>
      <c r="K37" s="469" t="s">
        <v>87</v>
      </c>
      <c r="L37" s="604" t="s">
        <v>88</v>
      </c>
      <c r="M37" s="419" t="str">
        <f t="shared" ref="M37:P37" si="101">B37</f>
        <v>Các CV hỗ trợ khác (cho LĐ &amp; PB khác)</v>
      </c>
      <c r="N37" s="420" t="str">
        <f t="shared" si="101"/>
        <v>P1</v>
      </c>
      <c r="O37" s="421">
        <f t="shared" si="101"/>
        <v>0</v>
      </c>
      <c r="P37" s="422" t="str">
        <f t="shared" si="101"/>
        <v/>
      </c>
      <c r="Q37" s="426">
        <f>IF($I37="","",LET(n,COUNTIFS('Lớp 4 - Danh mục'!$J$14:$J$132,$I37,'Lớp 4 - Danh mục'!$AA$14:$AA$132,"&lt;&gt;Hủy"),child,IFERROR(MAXIFS('Lớp 4 - Danh mục'!$AD$14:$AD$132,'Lớp 4 - Danh mục'!$J$14:$J$132,$I37,'Lớp 4 - Danh mục'!$AA$14:$AA$132,"&lt;&gt;Hủy",'Lớp 4 - Danh mục'!$AD$14:$AD$132,"&gt;0"),0),plan,'Trung tâm nhập liệu'!Q87,emergent,LOWER(TRIM('Trung tâm nhập liệu'!O87))="khi phát sinh",IF(n=0,IF(emergent,"",plan),IF(child=0,IF(emergent,"",plan),IF(OR(emergent,plan=""),child,MAX(plan,child))))))</f>
        <v>46280</v>
      </c>
      <c r="R37" s="430">
        <f>IF($I37="","",LET(n,COUNTIFS('Lớp 4 - Danh mục'!$J$14:$J$132,$I37,'Lớp 4 - Danh mục'!$AA$14:$AA$132,"&lt;&gt;Hủy"),child,IFERROR(MINIFS('Lớp 4 - Danh mục'!$AC$14:$AC$132,'Lớp 4 - Danh mục'!$J$14:$J$132,$I37,'Lớp 4 - Danh mục'!$AA$14:$AA$132,"&lt;&gt;Hủy",'Lớp 4 - Danh mục'!$AC$14:$AC$132,"&gt;0"),0),plan,'Trung tâm nhập liệu'!R87,emergent,LOWER(TRIM('Trung tâm nhập liệu'!O87))="khi phát sinh",IF(n=0,IF(emergent,"",plan),IF(child=0,IF(emergent,"",plan),IF(OR(emergent,plan=""),child,MIN(plan,child))))))</f>
        <v>46233</v>
      </c>
      <c r="S37" s="411" t="str">
        <f t="shared" si="15"/>
        <v>Có</v>
      </c>
      <c r="T37" s="414" t="str">
        <f>'Trung tâm nhập liệu'!G87</f>
        <v>Hỗ trợ lãnh đạo và các phòng ban về dữ liệu, báo cáo và công cụ quản trị</v>
      </c>
      <c r="U37" s="433" t="str">
        <f>'Trung tâm nhập liệu'!J87</f>
        <v>GĐ BOC</v>
      </c>
      <c r="V37" s="435" t="str">
        <f>'Trung tâm nhập liệu'!K87</f>
        <v>Em Đại</v>
      </c>
      <c r="W37" s="435" t="str">
        <f>'Trung tâm nhập liệu'!I87</f>
        <v>Dữ liệu điều hành</v>
      </c>
      <c r="X37" s="437" t="str">
        <f>'Trung tâm nhập liệu'!L87</f>
        <v>Chưa bắt đầu</v>
      </c>
      <c r="Y37" s="420" t="str">
        <f>'Trung tâm nhập liệu'!M87</f>
        <v>P1</v>
      </c>
      <c r="Z37" s="430">
        <f t="shared" si="16"/>
        <v>46233</v>
      </c>
      <c r="AA37" s="426">
        <f t="shared" si="17"/>
        <v>46280</v>
      </c>
      <c r="AB37" s="516" t="str">
        <f>IF(AI37&lt;&gt;"Có thời hạn","",IF(OR(Z37="",AA37=""),"",IF(AA37&lt;Z37,"",_xlfn.NETWORKDAYS.INTL(Z37,AA37,11,'Ngày nghỉ lễ'!$A$5:$A$80))))</f>
        <v/>
      </c>
      <c r="AC37" s="446">
        <f>IF(I37="","",IF(L37="Công việc khác","",IF(OR(X37="Chưa lên lịch",X37="Đã lên lịch",X37="Hủy"),"",IF(COUNTIFS('Lớp 4 - Danh mục'!$J$14:$J$132,I37,'Lớp 4 - Danh mục'!$AA$14:$AA$132,"&lt;&gt;",'Lớp 4 - Danh mục'!$AA$14:$AA$132,"&lt;&gt;Hủy",'Lớp 4 - Danh mục'!$AA$14:$AA$132,"&lt;&gt;Chưa lên lịch",'Lớp 4 - Danh mục'!$AA$14:$AA$132,"&lt;&gt;Đã lên lịch")&gt;0,SUMIFS('Lớp 4 - Danh mục'!$AF$14:$AF$132,'Lớp 4 - Danh mục'!$J$14:$J$132,I37,'Lớp 4 - Danh mục'!$AA$14:$AA$132,"&lt;&gt;",'Lớp 4 - Danh mục'!$AA$14:$AA$132,"&lt;&gt;Hủy",'Lớp 4 - Danh mục'!$AA$14:$AA$132,"&lt;&gt;Chưa lên lịch",'Lớp 4 - Danh mục'!$AA$14:$AA$132,"&lt;&gt;Đã lên lịch")/COUNTIFS('Lớp 4 - Danh mục'!$J$14:$J$132,I37,'Lớp 4 - Danh mục'!$AA$14:$AA$132,"&lt;&gt;",'Lớp 4 - Danh mục'!$AA$14:$AA$132,"&lt;&gt;Hủy",'Lớp 4 - Danh mục'!$AA$14:$AA$132,"&lt;&gt;Chưa lên lịch",'Lớp 4 - Danh mục'!$AA$14:$AA$132,"&lt;&gt;Đã lên lịch"),IF(X37="Hoàn thành",1,0)))))</f>
        <v>0</v>
      </c>
      <c r="AD37" s="516" t="str">
        <f>IF(AI37&lt;&gt;"Có thời hạn","",IF(OR(I37="",Z37="",AA37=""),"",IF(OR(X37="Hoàn thành",X37="Hủy"),0,IF(AA37&lt;TODAY(),-_xlfn.NETWORKDAYS.INTL(AA37,TODAY()-1,11,'Ngày nghỉ lễ'!$A$5:$A$80),MAX(0,_xlfn.NETWORKDAYS.INTL(MAX(TODAY()+1,Z37),AA37,11,'Ngày nghỉ lễ'!$A$5:$A$80))))))</f>
        <v/>
      </c>
      <c r="AE37" s="448">
        <f>IF($I37="","",LET(n,COUNTIFS('Lớp 4 - Danh mục'!$J$14:$J$132,$I37,'Lớp 4 - Danh mục'!$AA$14:$AA$132,"&lt;&gt;Hủy"),du,COUNTIFS('Lớp 4 - Danh mục'!$J$14:$J$132,$I37,'Lớp 4 - Danh mục'!$AA$14:$AA$132,"&lt;&gt;Hủy",'Lớp 4 - Danh mục'!$AH$14:$AH$132,"&lt;&gt;"),IF(n=0,'Trung tâm nhập liệu'!T87,IF(du&lt;n,"",SUMIFS('Lớp 4 - Danh mục'!$AH$14:$AH$132,'Lớp 4 - Danh mục'!$J$14:$J$132,$I37,'Lớp 4 - Danh mục'!$AA$14:$AA$132,"&lt;&gt;Hủy")))))</f>
        <v>360</v>
      </c>
      <c r="AF37" s="510" t="str">
        <f>IF(I37="","",IF(OR(X37="Hoàn thành",X37="Hủy"),"",IF(COUNTIFS('Lớp 4 - Danh mục'!$J$14:$J$132,I37,'Lớp 4 - Danh mục'!$AA$14:$AA$132,"&lt;&gt;Hủy")&gt;0,"",IF(AO37="Ngày",AP37,IF(AO37="Tuần",AP37/5,"")))))</f>
        <v/>
      </c>
      <c r="AG37" s="456" t="str">
        <f>IF(AI37="Chưa xếp lịch","Chưa xếp lịch",IF(AI37="Định kỳ",IF(AJ37="","Thiếu chu kỳ","Theo chu kỳ"),IF(AI37="Khi phát sinh",IF(COUNTIFS('Lớp 4 - Danh mục'!$J$14:$J$132,$I37,'Lớp 4 - Danh mục'!$AA$14:$AA$132,"&lt;&gt;Hủy")=0,"Khi phát sinh – chờ việc con","Khi phát sinh – theo ngày con"),IF(I37="","",LET(n,COUNTIFS('Lớp 4 - Danh mục'!$J$14:$J$132,$I37,'Lớp 4 - Danh mục'!$AA$14:$AA$132,"&lt;&gt;Hủy"),cs,IFERROR(MINIFS('Lớp 4 - Danh mục'!$AC$14:$AC$132,'Lớp 4 - Danh mục'!$J$14:$J$132,$I37,'Lớp 4 - Danh mục'!$AA$14:$AA$132,"&lt;&gt;Hủy",'Lớp 4 - Danh mục'!$AC$14:$AC$132,"&gt;0"),0),ce,IFERROR(MAXIFS('Lớp 4 - Danh mục'!$AD$14:$AD$132,'Lớp 4 - Danh mục'!$J$14:$J$132,$I37,'Lớp 4 - Danh mục'!$AA$14:$AA$132,"&lt;&gt;Hủy",'Lớp 4 - Danh mục'!$AD$14:$AD$132,"&gt;0"),0),ps,'Trung tâm nhập liệu'!R87,pe,'Trung tâm nhập liệu'!Q87,IF(OR(Z37="",AA37=""),"Thiếu ngày L3",IF(n=0,"Chưa có L4",IF(OR(cs=0,ce=0),"Thiếu ngày L4",IF(OR(ps="",pe=""),"Thiếu ngày kế hoạch gốc L3",IF(OR(cs&lt;ps,ce&gt;pe),"Cảnh báo: Con vượt khung kế hoạch gốc","L4 đúng khung kế hoạch gốc"))))))))))</f>
        <v>Chưa xếp lịch</v>
      </c>
      <c r="AH37" s="465" t="str">
        <f>IF(OR(AR37="Thiếu tham số phân bổ",AR37="Phân bổ phải &gt; 0"),AR37,SWITCH(AI37,"Chưa xếp lịch","Chưa tính tải","Định kỳ","Theo chu kỳ","Khi phát sinh","Khi phát sinh",IF(I37="","",IF(OR(X37="Hoàn thành",X37="Hủy"),X37,IF(COUNTIFS('Lớp 4 - Danh mục'!$J$14:$J$132,I37,'Lớp 4 - Danh mục'!$AA$14:$AA$132,"&lt;&gt;Hủy")&gt;0,"Theo dõi tải tại Lớp 4",IF(AE37="","Chưa nhập khối lượng",IF(V37="","Thiếu người thực hiện",IF(OR(Z37="",AA37=""),"Chưa nhập đủ thời gian",IF(AD37&lt;0,"Quá hạn – còn "&amp;TEXT(MAX(0,AE37*(1-AC37)),"0.0")&amp;" giờ",LET(bd,MAX(TODAY(),Z37),kt,AA37,nguoi,V37,tai,SUMIFS('Lớp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tính tải</v>
      </c>
      <c r="AI37" s="467" t="str">
        <f>'Trung tâm nhập liệu'!O87</f>
        <v>Chưa xếp lịch</v>
      </c>
      <c r="AJ37" s="469" t="str">
        <f>'Trung tâm nhập liệu'!P87</f>
        <v/>
      </c>
      <c r="AK37" s="470" t="str">
        <f>'Trung tâm nhập liệu'!S87</f>
        <v/>
      </c>
      <c r="AL37" s="470" t="str">
        <f>'Trung tâm nhập liệu'!X87</f>
        <v/>
      </c>
      <c r="AM37" s="471" t="str">
        <f t="shared" si="18"/>
        <v/>
      </c>
      <c r="AN37" s="469" t="str">
        <f t="shared" si="19"/>
        <v/>
      </c>
      <c r="AO37" s="475" t="str">
        <f>'Trung tâm nhập liệu'!V87</f>
        <v/>
      </c>
      <c r="AP37" s="476" t="str">
        <f>'Trung tâm nhập liệu'!W87</f>
        <v/>
      </c>
      <c r="AQ37" s="478" t="str">
        <f>IF(AI37&lt;&gt;"Có thời hạn","",IF(OR(I37="",AE37="",X37="Hoàn thành",X37="Hủy",COUNTIFS('Lớp 4 - Danh mục'!$J$14:$J$132,I37,'Lớp 4 - Danh mục'!$AA$14:$AA$132,"&lt;&gt;Hủy")&gt;0),"",LET(canNgay,MAX(0,AE37*(1-AC37))/MAX(1,AD37),IF(AO37="Ngày",canNgay,IF(AO37="Tuần",canNgay*5,"")))))</f>
        <v/>
      </c>
      <c r="AR37" s="465" t="str">
        <f>IF(I37="","",IF(COUNTIFS('Lớp 4 - Danh mục'!$J$14:$J$132,I37,'Lớp 4 - Danh mục'!$AA$14:$AA$132,"&lt;&gt;Hủy")&gt;0,"Theo dõi phân bổ tại Lớp 4",IF(OR(X37="Hoàn thành",X37="Hủy"),X37,IF(AE37="","Thiếu tổng giờ",IF(OR(AO37="",AP37=""),"Thiếu tham số phân bổ",IF(AP37&lt;=0,"Phân bổ phải &gt; 0",IF(AI37&lt;&gt;"Có thời hạn","Đã có phân bổ",IF(AQ37="","Chưa đủ dữ liệu hạn",IF(AP37&gt;=AQ37,"Đủ phân bổ theo "&amp;LOWER(AO37),"Thiếu "&amp;TEXT(AQ37-AP37,"0.0")&amp;" giờ/"&amp;LOWER(AO37))))))))))</f>
        <v>Theo dõi phân bổ tại Lớp 4</v>
      </c>
      <c r="AS37" s="465" t="str">
        <f t="shared" si="20"/>
        <v>OK</v>
      </c>
      <c r="AT37" s="479" t="str">
        <f>'Trung tâm nhập liệu'!Y87</f>
        <v/>
      </c>
    </row>
    <row r="38" ht="15.75" customHeight="1">
      <c r="A38" s="383">
        <f t="shared" si="11"/>
        <v>25</v>
      </c>
      <c r="B38" s="387" t="str">
        <f>'Trung tâm nhập liệu'!F88</f>
        <v>Xây dựng hệ thống kiểm soát chiết khấu</v>
      </c>
      <c r="C38" s="394" t="str">
        <f>'Trung tâm nhập liệu'!M88</f>
        <v>P3</v>
      </c>
      <c r="D38" s="599" t="str">
        <f t="shared" ref="D38:E38" si="102">AC38</f>
        <v/>
      </c>
      <c r="E38" s="484">
        <f t="shared" si="102"/>
        <v>55</v>
      </c>
      <c r="F38" s="407">
        <f t="shared" ref="F38:G38" si="103">Q38</f>
        <v>46420</v>
      </c>
      <c r="G38" s="407">
        <f t="shared" si="103"/>
        <v>46357</v>
      </c>
      <c r="H38" s="411" t="str">
        <f>IF(B38="","",IF(COUNTIF('Lớp 4 - Danh mục'!$J$14:$J$132,I38)&gt;0,"Có","Không"))</f>
        <v>Không</v>
      </c>
      <c r="I38" s="414" t="str">
        <f>'Trung tâm nhập liệu'!B88</f>
        <v>HHL3DL10</v>
      </c>
      <c r="J38" s="415">
        <f>'Trung tâm nhập liệu'!E88</f>
        <v>2026</v>
      </c>
      <c r="K38" s="469" t="s">
        <v>87</v>
      </c>
      <c r="L38" s="604" t="s">
        <v>88</v>
      </c>
      <c r="M38" s="419" t="str">
        <f t="shared" ref="M38:P38" si="104">B38</f>
        <v>Xây dựng hệ thống kiểm soát chiết khấu</v>
      </c>
      <c r="N38" s="420" t="str">
        <f t="shared" si="104"/>
        <v>P3</v>
      </c>
      <c r="O38" s="421" t="str">
        <f t="shared" si="104"/>
        <v/>
      </c>
      <c r="P38" s="422">
        <f t="shared" si="104"/>
        <v>55</v>
      </c>
      <c r="Q38" s="426">
        <f>IF($I38="","",LET(n,COUNTIFS('Lớp 4 - Danh mục'!$J$14:$J$132,$I38,'Lớp 4 - Danh mục'!$AA$14:$AA$132,"&lt;&gt;Hủy"),child,IFERROR(MAXIFS('Lớp 4 - Danh mục'!$AD$14:$AD$132,'Lớp 4 - Danh mục'!$J$14:$J$132,$I38,'Lớp 4 - Danh mục'!$AA$14:$AA$132,"&lt;&gt;Hủy",'Lớp 4 - Danh mục'!$AD$14:$AD$132,"&gt;0"),0),plan,'Trung tâm nhập liệu'!Q88,emergent,LOWER(TRIM('Trung tâm nhập liệu'!O88))="khi phát sinh",IF(n=0,IF(emergent,"",plan),IF(child=0,IF(emergent,"",plan),IF(OR(emergent,plan=""),child,MAX(plan,child))))))</f>
        <v>46420</v>
      </c>
      <c r="R38" s="430">
        <f>IF($I38="","",LET(n,COUNTIFS('Lớp 4 - Danh mục'!$J$14:$J$132,$I38,'Lớp 4 - Danh mục'!$AA$14:$AA$132,"&lt;&gt;Hủy"),child,IFERROR(MINIFS('Lớp 4 - Danh mục'!$AC$14:$AC$132,'Lớp 4 - Danh mục'!$J$14:$J$132,$I38,'Lớp 4 - Danh mục'!$AA$14:$AA$132,"&lt;&gt;Hủy",'Lớp 4 - Danh mục'!$AC$14:$AC$132,"&gt;0"),0),plan,'Trung tâm nhập liệu'!R88,emergent,LOWER(TRIM('Trung tâm nhập liệu'!O88))="khi phát sinh",IF(n=0,IF(emergent,"",plan),IF(child=0,IF(emergent,"",plan),IF(OR(emergent,plan=""),child,MIN(plan,child))))))</f>
        <v>46357</v>
      </c>
      <c r="S38" s="411" t="str">
        <f t="shared" si="15"/>
        <v>Không</v>
      </c>
      <c r="T38" s="414" t="str">
        <f>'Trung tâm nhập liệu'!G88</f>
        <v/>
      </c>
      <c r="U38" s="433" t="str">
        <f>'Trung tâm nhập liệu'!J88</f>
        <v>GĐ BOC</v>
      </c>
      <c r="V38" s="435" t="str">
        <f>'Trung tâm nhập liệu'!K88</f>
        <v>Em Đại</v>
      </c>
      <c r="W38" s="435" t="str">
        <f>'Trung tâm nhập liệu'!I88</f>
        <v>Dữ liệu điều hành</v>
      </c>
      <c r="X38" s="437" t="str">
        <f>'Trung tâm nhập liệu'!L88</f>
        <v>Đã lên lịch</v>
      </c>
      <c r="Y38" s="420" t="str">
        <f>'Trung tâm nhập liệu'!M88</f>
        <v>P3</v>
      </c>
      <c r="Z38" s="430">
        <f t="shared" si="16"/>
        <v>46357</v>
      </c>
      <c r="AA38" s="426">
        <f t="shared" si="17"/>
        <v>46420</v>
      </c>
      <c r="AB38" s="516">
        <f>IF(AI38&lt;&gt;"Có thời hạn","",IF(OR(Z38="",AA38=""),"",IF(AA38&lt;Z38,"",_xlfn.NETWORKDAYS.INTL(Z38,AA38,11,'Ngày nghỉ lễ'!$A$5:$A$80))))</f>
        <v>55</v>
      </c>
      <c r="AC38" s="446" t="str">
        <f>IF(I38="","",IF(L38="Công việc khác","",IF(OR(X38="Chưa lên lịch",X38="Đã lên lịch",X38="Hủy"),"",IF(COUNTIFS('Lớp 4 - Danh mục'!$J$14:$J$132,I38,'Lớp 4 - Danh mục'!$AA$14:$AA$132,"&lt;&gt;",'Lớp 4 - Danh mục'!$AA$14:$AA$132,"&lt;&gt;Hủy",'Lớp 4 - Danh mục'!$AA$14:$AA$132,"&lt;&gt;Chưa lên lịch",'Lớp 4 - Danh mục'!$AA$14:$AA$132,"&lt;&gt;Đã lên lịch")&gt;0,SUMIFS('Lớp 4 - Danh mục'!$AF$14:$AF$132,'Lớp 4 - Danh mục'!$J$14:$J$132,I38,'Lớp 4 - Danh mục'!$AA$14:$AA$132,"&lt;&gt;",'Lớp 4 - Danh mục'!$AA$14:$AA$132,"&lt;&gt;Hủy",'Lớp 4 - Danh mục'!$AA$14:$AA$132,"&lt;&gt;Chưa lên lịch",'Lớp 4 - Danh mục'!$AA$14:$AA$132,"&lt;&gt;Đã lên lịch")/COUNTIFS('Lớp 4 - Danh mục'!$J$14:$J$132,I38,'Lớp 4 - Danh mục'!$AA$14:$AA$132,"&lt;&gt;",'Lớp 4 - Danh mục'!$AA$14:$AA$132,"&lt;&gt;Hủy",'Lớp 4 - Danh mục'!$AA$14:$AA$132,"&lt;&gt;Chưa lên lịch",'Lớp 4 - Danh mục'!$AA$14:$AA$132,"&lt;&gt;Đã lên lịch"),IF(X38="Hoàn thành",1,0)))))</f>
        <v/>
      </c>
      <c r="AD38" s="516">
        <f>IF(AI38&lt;&gt;"Có thời hạn","",IF(OR(I38="",Z38="",AA38=""),"",IF(OR(X38="Hoàn thành",X38="Hủy"),0,IF(AA38&lt;TODAY(),-_xlfn.NETWORKDAYS.INTL(AA38,TODAY()-1,11,'Ngày nghỉ lễ'!$A$5:$A$80),MAX(0,_xlfn.NETWORKDAYS.INTL(MAX(TODAY()+1,Z38),AA38,11,'Ngày nghỉ lễ'!$A$5:$A$80))))))</f>
        <v>55</v>
      </c>
      <c r="AE38" s="448" t="str">
        <f>IF($I38="","",LET(n,COUNTIFS('Lớp 4 - Danh mục'!$J$14:$J$132,$I38,'Lớp 4 - Danh mục'!$AA$14:$AA$132,"&lt;&gt;Hủy"),du,COUNTIFS('Lớp 4 - Danh mục'!$J$14:$J$132,$I38,'Lớp 4 - Danh mục'!$AA$14:$AA$132,"&lt;&gt;Hủy",'Lớp 4 - Danh mục'!$AH$14:$AH$132,"&lt;&gt;"),IF(n=0,'Trung tâm nhập liệu'!T88,IF(du&lt;n,"",SUMIFS('Lớp 4 - Danh mục'!$AH$14:$AH$132,'Lớp 4 - Danh mục'!$J$14:$J$132,$I38,'Lớp 4 - Danh mục'!$AA$14:$AA$132,"&lt;&gt;Hủy")))))</f>
        <v/>
      </c>
      <c r="AF38" s="510" t="str">
        <f>IF(I38="","",IF(OR(X38="Hoàn thành",X38="Hủy"),"",IF(COUNTIFS('Lớp 4 - Danh mục'!$J$14:$J$132,I38,'Lớp 4 - Danh mục'!$AA$14:$AA$132,"&lt;&gt;Hủy")&gt;0,"",IF(AO38="Ngày",AP38,IF(AO38="Tuần",AP38/5,"")))))</f>
        <v/>
      </c>
      <c r="AG38" s="456" t="str">
        <f>IF(AI38="Chưa xếp lịch","Chưa xếp lịch",IF(AI38="Định kỳ",IF(AJ38="","Thiếu chu kỳ","Theo chu kỳ"),IF(AI38="Khi phát sinh",IF(COUNTIFS('Lớp 4 - Danh mục'!$J$14:$J$132,$I38,'Lớp 4 - Danh mục'!$AA$14:$AA$132,"&lt;&gt;Hủy")=0,"Khi phát sinh – chờ việc con","Khi phát sinh – theo ngày con"),IF(I38="","",LET(n,COUNTIFS('Lớp 4 - Danh mục'!$J$14:$J$132,$I38,'Lớp 4 - Danh mục'!$AA$14:$AA$132,"&lt;&gt;Hủy"),cs,IFERROR(MINIFS('Lớp 4 - Danh mục'!$AC$14:$AC$132,'Lớp 4 - Danh mục'!$J$14:$J$132,$I38,'Lớp 4 - Danh mục'!$AA$14:$AA$132,"&lt;&gt;Hủy",'Lớp 4 - Danh mục'!$AC$14:$AC$132,"&gt;0"),0),ce,IFERROR(MAXIFS('Lớp 4 - Danh mục'!$AD$14:$AD$132,'Lớp 4 - Danh mục'!$J$14:$J$132,$I38,'Lớp 4 - Danh mục'!$AA$14:$AA$132,"&lt;&gt;Hủy",'Lớp 4 - Danh mục'!$AD$14:$AD$132,"&gt;0"),0),ps,'Trung tâm nhập liệu'!R88,pe,'Trung tâm nhập liệu'!Q88,IF(OR(Z38="",AA38=""),"Thiếu ngày L3",IF(n=0,"Chưa có L4",IF(OR(cs=0,ce=0),"Thiếu ngày L4",IF(OR(ps="",pe=""),"Thiếu ngày kế hoạch gốc L3",IF(OR(cs&lt;ps,ce&gt;pe),"Cảnh báo: Con vượt khung kế hoạch gốc","L4 đúng khung kế hoạch gốc"))))))))))</f>
        <v>Chưa có L4</v>
      </c>
      <c r="AH38" s="465" t="str">
        <f>IF(OR(AR38="Thiếu tham số phân bổ",AR38="Phân bổ phải &gt; 0"),AR38,SWITCH(AI38,"Chưa xếp lịch","Chưa tính tải","Định kỳ","Theo chu kỳ","Khi phát sinh","Khi phát sinh",IF(I38="","",IF(OR(X38="Hoàn thành",X38="Hủy"),X38,IF(COUNTIFS('Lớp 4 - Danh mục'!$J$14:$J$132,I38,'Lớp 4 - Danh mục'!$AA$14:$AA$132,"&lt;&gt;Hủy")&gt;0,"Theo dõi tải tại Lớp 4",IF(AE38="","Chưa nhập khối lượng",IF(V38="","Thiếu người thực hiện",IF(OR(Z38="",AA38=""),"Chưa nhập đủ thời gian",IF(AD38&lt;0,"Quá hạn – còn "&amp;TEXT(MAX(0,AE38*(1-AC38)),"0.0")&amp;" giờ",LET(bd,MAX(TODAY(),Z38),kt,AA38,nguoi,V38,tai,SUMIFS('Lớp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I38" s="467" t="str">
        <f>'Trung tâm nhập liệu'!O88</f>
        <v>Có thời hạn</v>
      </c>
      <c r="AJ38" s="469" t="str">
        <f>'Trung tâm nhập liệu'!P88</f>
        <v/>
      </c>
      <c r="AK38" s="470" t="str">
        <f>'Trung tâm nhập liệu'!S88</f>
        <v/>
      </c>
      <c r="AL38" s="470" t="str">
        <f>'Trung tâm nhập liệu'!X88</f>
        <v/>
      </c>
      <c r="AM38" s="471" t="str">
        <f t="shared" si="18"/>
        <v/>
      </c>
      <c r="AN38" s="469" t="str">
        <f t="shared" si="19"/>
        <v/>
      </c>
      <c r="AO38" s="475" t="str">
        <f>'Trung tâm nhập liệu'!V88</f>
        <v/>
      </c>
      <c r="AP38" s="476" t="str">
        <f>'Trung tâm nhập liệu'!W88</f>
        <v/>
      </c>
      <c r="AQ38" s="478" t="str">
        <f>IF(AI38&lt;&gt;"Có thời hạn","",IF(OR(I38="",AE38="",X38="Hoàn thành",X38="Hủy",COUNTIFS('Lớp 4 - Danh mục'!$J$14:$J$132,I38,'Lớp 4 - Danh mục'!$AA$14:$AA$132,"&lt;&gt;Hủy")&gt;0),"",LET(canNgay,MAX(0,AE38*(1-AC38))/MAX(1,AD38),IF(AO38="Ngày",canNgay,IF(AO38="Tuần",canNgay*5,"")))))</f>
        <v/>
      </c>
      <c r="AR38" s="465" t="str">
        <f>IF(I38="","",IF(COUNTIFS('Lớp 4 - Danh mục'!$J$14:$J$132,I38,'Lớp 4 - Danh mục'!$AA$14:$AA$132,"&lt;&gt;Hủy")&gt;0,"Theo dõi phân bổ tại Lớp 4",IF(OR(X38="Hoàn thành",X38="Hủy"),X38,IF(AE38="","Thiếu tổng giờ",IF(OR(AO38="",AP38=""),"Thiếu tham số phân bổ",IF(AP38&lt;=0,"Phân bổ phải &gt; 0",IF(AI38&lt;&gt;"Có thời hạn","Đã có phân bổ",IF(AQ38="","Chưa đủ dữ liệu hạn",IF(AP38&gt;=AQ38,"Đủ phân bổ theo "&amp;LOWER(AO38),"Thiếu "&amp;TEXT(AQ38-AP38,"0.0")&amp;" giờ/"&amp;LOWER(AO38))))))))))</f>
        <v>Thiếu tổng giờ</v>
      </c>
      <c r="AS38" s="465" t="str">
        <f t="shared" si="20"/>
        <v>OK</v>
      </c>
      <c r="AT38" s="479" t="str">
        <f>'Trung tâm nhập liệu'!Y88</f>
        <v/>
      </c>
    </row>
    <row r="39" ht="15.75" customHeight="1">
      <c r="A39" s="383">
        <f t="shared" si="11"/>
        <v>26</v>
      </c>
      <c r="B39" s="387" t="str">
        <f>'Trung tâm nhập liệu'!F89</f>
        <v>Xây dựng hệ thống tính giá &amp; Báo giá xuất khẩu</v>
      </c>
      <c r="C39" s="394" t="s">
        <v>286</v>
      </c>
      <c r="D39" s="613" t="str">
        <f t="shared" ref="D39:E39" si="105">AC39</f>
        <v/>
      </c>
      <c r="E39" s="614">
        <f t="shared" si="105"/>
        <v>28</v>
      </c>
      <c r="F39" s="407">
        <f t="shared" ref="F39:G39" si="106">Q39</f>
        <v>46388</v>
      </c>
      <c r="G39" s="407">
        <f t="shared" si="106"/>
        <v>46357</v>
      </c>
      <c r="H39" s="411" t="str">
        <f>IF(B39="","",IF(COUNTIF('Lớp 4 - Danh mục'!$J$14:$J$132,I39)&gt;0,"Có","Không"))</f>
        <v>Không</v>
      </c>
      <c r="I39" s="414" t="str">
        <f>'Trung tâm nhập liệu'!B89</f>
        <v>HHL3DL11</v>
      </c>
      <c r="J39" s="415">
        <f>'Trung tâm nhập liệu'!E89</f>
        <v>2026</v>
      </c>
      <c r="K39" s="469" t="s">
        <v>87</v>
      </c>
      <c r="L39" s="604" t="s">
        <v>88</v>
      </c>
      <c r="M39" s="419" t="str">
        <f t="shared" ref="M39:P39" si="107">B39</f>
        <v>Xây dựng hệ thống tính giá &amp; Báo giá xuất khẩu</v>
      </c>
      <c r="N39" s="420" t="str">
        <f t="shared" si="107"/>
        <v>P3</v>
      </c>
      <c r="O39" s="421" t="str">
        <f t="shared" si="107"/>
        <v/>
      </c>
      <c r="P39" s="422">
        <f t="shared" si="107"/>
        <v>28</v>
      </c>
      <c r="Q39" s="426">
        <f>IF($I39="","",LET(n,COUNTIFS('Lớp 4 - Danh mục'!$J$14:$J$132,$I39,'Lớp 4 - Danh mục'!$AA$14:$AA$132,"&lt;&gt;Hủy"),child,IFERROR(MAXIFS('Lớp 4 - Danh mục'!$AD$14:$AD$132,'Lớp 4 - Danh mục'!$J$14:$J$132,$I39,'Lớp 4 - Danh mục'!$AA$14:$AA$132,"&lt;&gt;Hủy",'Lớp 4 - Danh mục'!$AD$14:$AD$132,"&gt;0"),0),plan,'Trung tâm nhập liệu'!Q89,emergent,LOWER(TRIM('Trung tâm nhập liệu'!O89))="khi phát sinh",IF(n=0,IF(emergent,"",plan),IF(child=0,IF(emergent,"",plan),IF(OR(emergent,plan=""),child,MAX(plan,child))))))</f>
        <v>46388</v>
      </c>
      <c r="R39" s="430">
        <f>IF($I39="","",LET(n,COUNTIFS('Lớp 4 - Danh mục'!$J$14:$J$132,$I39,'Lớp 4 - Danh mục'!$AA$14:$AA$132,"&lt;&gt;Hủy"),child,IFERROR(MINIFS('Lớp 4 - Danh mục'!$AC$14:$AC$132,'Lớp 4 - Danh mục'!$J$14:$J$132,$I39,'Lớp 4 - Danh mục'!$AA$14:$AA$132,"&lt;&gt;Hủy",'Lớp 4 - Danh mục'!$AC$14:$AC$132,"&gt;0"),0),plan,'Trung tâm nhập liệu'!R89,emergent,LOWER(TRIM('Trung tâm nhập liệu'!O89))="khi phát sinh",IF(n=0,IF(emergent,"",plan),IF(child=0,IF(emergent,"",plan),IF(OR(emergent,plan=""),child,MIN(plan,child))))))</f>
        <v>46357</v>
      </c>
      <c r="S39" s="411" t="str">
        <f t="shared" si="15"/>
        <v>Không</v>
      </c>
      <c r="T39" s="414" t="str">
        <f>'Trung tâm nhập liệu'!G89</f>
        <v/>
      </c>
      <c r="U39" s="433" t="str">
        <f>'Trung tâm nhập liệu'!J89</f>
        <v>GĐ BOC</v>
      </c>
      <c r="V39" s="435" t="str">
        <f>'Trung tâm nhập liệu'!K89</f>
        <v>Em Đại</v>
      </c>
      <c r="W39" s="435" t="str">
        <f>'Trung tâm nhập liệu'!I89</f>
        <v>Dữ liệu điều hành</v>
      </c>
      <c r="X39" s="437" t="str">
        <f>'Trung tâm nhập liệu'!L89</f>
        <v>Đã lên lịch</v>
      </c>
      <c r="Y39" s="420" t="str">
        <f>'Trung tâm nhập liệu'!M89</f>
        <v/>
      </c>
      <c r="Z39" s="430">
        <f t="shared" si="16"/>
        <v>46357</v>
      </c>
      <c r="AA39" s="426">
        <f t="shared" si="17"/>
        <v>46388</v>
      </c>
      <c r="AB39" s="516">
        <f>IF(AI39&lt;&gt;"Có thời hạn","",IF(OR(Z39="",AA39=""),"",IF(AA39&lt;Z39,"",_xlfn.NETWORKDAYS.INTL(Z39,AA39,11,'Ngày nghỉ lễ'!$A$5:$A$80))))</f>
        <v>28</v>
      </c>
      <c r="AC39" s="446" t="str">
        <f>IF(I39="","",IF(L39="Công việc khác","",IF(OR(X39="Chưa lên lịch",X39="Đã lên lịch",X39="Hủy"),"",IF(COUNTIFS('Lớp 4 - Danh mục'!$J$14:$J$132,I39,'Lớp 4 - Danh mục'!$AA$14:$AA$132,"&lt;&gt;",'Lớp 4 - Danh mục'!$AA$14:$AA$132,"&lt;&gt;Hủy",'Lớp 4 - Danh mục'!$AA$14:$AA$132,"&lt;&gt;Chưa lên lịch",'Lớp 4 - Danh mục'!$AA$14:$AA$132,"&lt;&gt;Đã lên lịch")&gt;0,SUMIFS('Lớp 4 - Danh mục'!$AF$14:$AF$132,'Lớp 4 - Danh mục'!$J$14:$J$132,I39,'Lớp 4 - Danh mục'!$AA$14:$AA$132,"&lt;&gt;",'Lớp 4 - Danh mục'!$AA$14:$AA$132,"&lt;&gt;Hủy",'Lớp 4 - Danh mục'!$AA$14:$AA$132,"&lt;&gt;Chưa lên lịch",'Lớp 4 - Danh mục'!$AA$14:$AA$132,"&lt;&gt;Đã lên lịch")/COUNTIFS('Lớp 4 - Danh mục'!$J$14:$J$132,I39,'Lớp 4 - Danh mục'!$AA$14:$AA$132,"&lt;&gt;",'Lớp 4 - Danh mục'!$AA$14:$AA$132,"&lt;&gt;Hủy",'Lớp 4 - Danh mục'!$AA$14:$AA$132,"&lt;&gt;Chưa lên lịch",'Lớp 4 - Danh mục'!$AA$14:$AA$132,"&lt;&gt;Đã lên lịch"),IF(X39="Hoàn thành",1,0)))))</f>
        <v/>
      </c>
      <c r="AD39" s="516">
        <f>IF(AI39&lt;&gt;"Có thời hạn","",IF(OR(I39="",Z39="",AA39=""),"",IF(OR(X39="Hoàn thành",X39="Hủy"),0,IF(AA39&lt;TODAY(),-_xlfn.NETWORKDAYS.INTL(AA39,TODAY()-1,11,'Ngày nghỉ lễ'!$A$5:$A$80),MAX(0,_xlfn.NETWORKDAYS.INTL(MAX(TODAY()+1,Z39),AA39,11,'Ngày nghỉ lễ'!$A$5:$A$80))))))</f>
        <v>28</v>
      </c>
      <c r="AE39" s="448" t="str">
        <f>IF($I39="","",LET(n,COUNTIFS('Lớp 4 - Danh mục'!$J$14:$J$132,$I39,'Lớp 4 - Danh mục'!$AA$14:$AA$132,"&lt;&gt;Hủy"),du,COUNTIFS('Lớp 4 - Danh mục'!$J$14:$J$132,$I39,'Lớp 4 - Danh mục'!$AA$14:$AA$132,"&lt;&gt;Hủy",'Lớp 4 - Danh mục'!$AH$14:$AH$132,"&lt;&gt;"),IF(n=0,'Trung tâm nhập liệu'!T89,IF(du&lt;n,"",SUMIFS('Lớp 4 - Danh mục'!$AH$14:$AH$132,'Lớp 4 - Danh mục'!$J$14:$J$132,$I39,'Lớp 4 - Danh mục'!$AA$14:$AA$132,"&lt;&gt;Hủy")))))</f>
        <v/>
      </c>
      <c r="AF39" s="510" t="str">
        <f>IF(I39="","",IF(OR(X39="Hoàn thành",X39="Hủy"),"",IF(COUNTIFS('Lớp 4 - Danh mục'!$J$14:$J$132,I39,'Lớp 4 - Danh mục'!$AA$14:$AA$132,"&lt;&gt;Hủy")&gt;0,"",IF(AO39="Ngày",AP39,IF(AO39="Tuần",AP39/5,"")))))</f>
        <v/>
      </c>
      <c r="AG39" s="456" t="str">
        <f>IF(AI39="Chưa xếp lịch","Chưa xếp lịch",IF(AI39="Định kỳ",IF(AJ39="","Thiếu chu kỳ","Theo chu kỳ"),IF(AI39="Khi phát sinh",IF(COUNTIFS('Lớp 4 - Danh mục'!$J$14:$J$132,$I39,'Lớp 4 - Danh mục'!$AA$14:$AA$132,"&lt;&gt;Hủy")=0,"Khi phát sinh – chờ việc con","Khi phát sinh – theo ngày con"),IF(I39="","",LET(n,COUNTIFS('Lớp 4 - Danh mục'!$J$14:$J$132,$I39,'Lớp 4 - Danh mục'!$AA$14:$AA$132,"&lt;&gt;Hủy"),cs,IFERROR(MINIFS('Lớp 4 - Danh mục'!$AC$14:$AC$132,'Lớp 4 - Danh mục'!$J$14:$J$132,$I39,'Lớp 4 - Danh mục'!$AA$14:$AA$132,"&lt;&gt;Hủy",'Lớp 4 - Danh mục'!$AC$14:$AC$132,"&gt;0"),0),ce,IFERROR(MAXIFS('Lớp 4 - Danh mục'!$AD$14:$AD$132,'Lớp 4 - Danh mục'!$J$14:$J$132,$I39,'Lớp 4 - Danh mục'!$AA$14:$AA$132,"&lt;&gt;Hủy",'Lớp 4 - Danh mục'!$AD$14:$AD$132,"&gt;0"),0),ps,'Trung tâm nhập liệu'!R89,pe,'Trung tâm nhập liệu'!Q89,IF(OR(Z39="",AA39=""),"Thiếu ngày L3",IF(n=0,"Chưa có L4",IF(OR(cs=0,ce=0),"Thiếu ngày L4",IF(OR(ps="",pe=""),"Thiếu ngày kế hoạch gốc L3",IF(OR(cs&lt;ps,ce&gt;pe),"Cảnh báo: Con vượt khung kế hoạch gốc","L4 đúng khung kế hoạch gốc"))))))))))</f>
        <v>Chưa có L4</v>
      </c>
      <c r="AH39" s="465" t="str">
        <f>IF(OR(AR39="Thiếu tham số phân bổ",AR39="Phân bổ phải &gt; 0"),AR39,SWITCH(AI39,"Chưa xếp lịch","Chưa tính tải","Định kỳ","Theo chu kỳ","Khi phát sinh","Khi phát sinh",IF(I39="","",IF(OR(X39="Hoàn thành",X39="Hủy"),X39,IF(COUNTIFS('Lớp 4 - Danh mục'!$J$14:$J$132,I39,'Lớp 4 - Danh mục'!$AA$14:$AA$132,"&lt;&gt;Hủy")&gt;0,"Theo dõi tải tại Lớp 4",IF(AE39="","Chưa nhập khối lượng",IF(V39="","Thiếu người thực hiện",IF(OR(Z39="",AA39=""),"Chưa nhập đủ thời gian",IF(AD39&lt;0,"Quá hạn – còn "&amp;TEXT(MAX(0,AE39*(1-AC39)),"0.0")&amp;" giờ",LET(bd,MAX(TODAY(),Z39),kt,AA39,nguoi,V39,tai,SUMIFS('Lớp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I39" s="467" t="str">
        <f>'Trung tâm nhập liệu'!O89</f>
        <v>Có thời hạn</v>
      </c>
      <c r="AJ39" s="469" t="str">
        <f>'Trung tâm nhập liệu'!P89</f>
        <v/>
      </c>
      <c r="AK39" s="470" t="str">
        <f>'Trung tâm nhập liệu'!S89</f>
        <v/>
      </c>
      <c r="AL39" s="470" t="str">
        <f>'Trung tâm nhập liệu'!X89</f>
        <v/>
      </c>
      <c r="AM39" s="471" t="str">
        <f t="shared" si="18"/>
        <v/>
      </c>
      <c r="AN39" s="469" t="str">
        <f t="shared" si="19"/>
        <v/>
      </c>
      <c r="AO39" s="475" t="str">
        <f>'Trung tâm nhập liệu'!V89</f>
        <v/>
      </c>
      <c r="AP39" s="476" t="str">
        <f>'Trung tâm nhập liệu'!W89</f>
        <v/>
      </c>
      <c r="AQ39" s="478" t="str">
        <f>IF(AI39&lt;&gt;"Có thời hạn","",IF(OR(I39="",AE39="",X39="Hoàn thành",X39="Hủy",COUNTIFS('Lớp 4 - Danh mục'!$J$14:$J$132,I39,'Lớp 4 - Danh mục'!$AA$14:$AA$132,"&lt;&gt;Hủy")&gt;0),"",LET(canNgay,MAX(0,AE39*(1-AC39))/MAX(1,AD39),IF(AO39="Ngày",canNgay,IF(AO39="Tuần",canNgay*5,"")))))</f>
        <v/>
      </c>
      <c r="AR39" s="465" t="str">
        <f>IF(I39="","",IF(COUNTIFS('Lớp 4 - Danh mục'!$J$14:$J$132,I39,'Lớp 4 - Danh mục'!$AA$14:$AA$132,"&lt;&gt;Hủy")&gt;0,"Theo dõi phân bổ tại Lớp 4",IF(OR(X39="Hoàn thành",X39="Hủy"),X39,IF(AE39="","Thiếu tổng giờ",IF(OR(AO39="",AP39=""),"Thiếu tham số phân bổ",IF(AP39&lt;=0,"Phân bổ phải &gt; 0",IF(AI39&lt;&gt;"Có thời hạn","Đã có phân bổ",IF(AQ39="","Chưa đủ dữ liệu hạn",IF(AP39&gt;=AQ39,"Đủ phân bổ theo "&amp;LOWER(AO39),"Thiếu "&amp;TEXT(AQ39-AP39,"0.0")&amp;" giờ/"&amp;LOWER(AO39))))))))))</f>
        <v>Thiếu tổng giờ</v>
      </c>
      <c r="AS39" s="465" t="str">
        <f t="shared" si="20"/>
        <v>OK</v>
      </c>
      <c r="AT39" s="479" t="str">
        <f>'Trung tâm nhập liệu'!Y89</f>
        <v/>
      </c>
    </row>
    <row r="40" ht="15.75" customHeight="1">
      <c r="A40" s="383">
        <f t="shared" si="11"/>
        <v>27</v>
      </c>
      <c r="B40" s="387" t="str">
        <f>'Trung tâm nhập liệu'!F90</f>
        <v>CĐS &amp; AI các hoạt động của BOC</v>
      </c>
      <c r="C40" s="394" t="str">
        <f>'Trung tâm nhập liệu'!M90</f>
        <v/>
      </c>
      <c r="D40" s="615" t="str">
        <f t="shared" ref="D40:E40" si="108">AC40</f>
        <v/>
      </c>
      <c r="E40" s="614" t="str">
        <f t="shared" si="108"/>
        <v/>
      </c>
      <c r="F40" s="407" t="str">
        <f t="shared" ref="F40:G40" si="109">Q40</f>
        <v/>
      </c>
      <c r="G40" s="407" t="str">
        <f t="shared" si="109"/>
        <v/>
      </c>
      <c r="H40" s="411" t="str">
        <f>IF(B40="","",IF(COUNTIF('Lớp 4 - Danh mục'!$J$14:$J$132,I40)&gt;0,"Có","Không"))</f>
        <v>Có</v>
      </c>
      <c r="I40" s="414" t="str">
        <f>'Trung tâm nhập liệu'!B90</f>
        <v>HHL3DL12</v>
      </c>
      <c r="J40" s="415">
        <f>'Trung tâm nhập liệu'!E90</f>
        <v>2026</v>
      </c>
      <c r="K40" s="469"/>
      <c r="L40" s="521"/>
      <c r="M40" s="419" t="str">
        <f t="shared" ref="M40:P40" si="110">B40</f>
        <v>CĐS &amp; AI các hoạt động của BOC</v>
      </c>
      <c r="N40" s="420" t="str">
        <f t="shared" si="110"/>
        <v/>
      </c>
      <c r="O40" s="421" t="str">
        <f t="shared" si="110"/>
        <v/>
      </c>
      <c r="P40" s="422" t="str">
        <f t="shared" si="110"/>
        <v/>
      </c>
      <c r="Q40" s="426" t="str">
        <f>IF($I40="","",LET(n,COUNTIFS('Lớp 4 - Danh mục'!$J$14:$J$132,$I40,'Lớp 4 - Danh mục'!$AA$14:$AA$132,"&lt;&gt;Hủy"),child,IFERROR(MAXIFS('Lớp 4 - Danh mục'!$AD$14:$AD$132,'Lớp 4 - Danh mục'!$J$14:$J$132,$I40,'Lớp 4 - Danh mục'!$AA$14:$AA$132,"&lt;&gt;Hủy",'Lớp 4 - Danh mục'!$AD$14:$AD$132,"&gt;0"),0),plan,'Trung tâm nhập liệu'!Q90,emergent,LOWER(TRIM('Trung tâm nhập liệu'!O90))="khi phát sinh",IF(n=0,IF(emergent,"",plan),IF(child=0,IF(emergent,"",plan),IF(OR(emergent,plan=""),child,MAX(plan,child))))))</f>
        <v/>
      </c>
      <c r="R40" s="430" t="str">
        <f>IF($I40="","",LET(n,COUNTIFS('Lớp 4 - Danh mục'!$J$14:$J$132,$I40,'Lớp 4 - Danh mục'!$AA$14:$AA$132,"&lt;&gt;Hủy"),child,IFERROR(MINIFS('Lớp 4 - Danh mục'!$AC$14:$AC$132,'Lớp 4 - Danh mục'!$J$14:$J$132,$I40,'Lớp 4 - Danh mục'!$AA$14:$AA$132,"&lt;&gt;Hủy",'Lớp 4 - Danh mục'!$AC$14:$AC$132,"&gt;0"),0),plan,'Trung tâm nhập liệu'!R90,emergent,LOWER(TRIM('Trung tâm nhập liệu'!O90))="khi phát sinh",IF(n=0,IF(emergent,"",plan),IF(child=0,IF(emergent,"",plan),IF(OR(emergent,plan=""),child,MIN(plan,child))))))</f>
        <v/>
      </c>
      <c r="S40" s="411" t="str">
        <f t="shared" si="15"/>
        <v>Có</v>
      </c>
      <c r="T40" s="414" t="str">
        <f>'Trung tâm nhập liệu'!G90</f>
        <v/>
      </c>
      <c r="U40" s="433" t="str">
        <f>'Trung tâm nhập liệu'!J90</f>
        <v>GĐ BOC</v>
      </c>
      <c r="V40" s="435" t="str">
        <f>'Trung tâm nhập liệu'!K90</f>
        <v>Em Đại</v>
      </c>
      <c r="W40" s="435" t="str">
        <f>'Trung tâm nhập liệu'!I90</f>
        <v>Dữ liệu điều hành</v>
      </c>
      <c r="X40" s="437" t="str">
        <f>'Trung tâm nhập liệu'!L90</f>
        <v>Chưa lên lịch</v>
      </c>
      <c r="Y40" s="420" t="str">
        <f>'Trung tâm nhập liệu'!M90</f>
        <v/>
      </c>
      <c r="Z40" s="430" t="str">
        <f t="shared" si="16"/>
        <v/>
      </c>
      <c r="AA40" s="426" t="str">
        <f t="shared" si="17"/>
        <v/>
      </c>
      <c r="AB40" s="516" t="str">
        <f>IF(AI40&lt;&gt;"Có thời hạn","",IF(OR(Z40="",AA40=""),"",IF(AA40&lt;Z40,"",_xlfn.NETWORKDAYS.INTL(Z40,AA40,11,'Ngày nghỉ lễ'!$A$5:$A$80))))</f>
        <v/>
      </c>
      <c r="AC40" s="446" t="str">
        <f>IF(I40="","",IF(L40="Công việc khác","",IF(OR(X40="Chưa lên lịch",X40="Đã lên lịch",X40="Hủy"),"",IF(COUNTIFS('Lớp 4 - Danh mục'!$J$14:$J$132,I40,'Lớp 4 - Danh mục'!$AA$14:$AA$132,"&lt;&gt;",'Lớp 4 - Danh mục'!$AA$14:$AA$132,"&lt;&gt;Hủy",'Lớp 4 - Danh mục'!$AA$14:$AA$132,"&lt;&gt;Chưa lên lịch",'Lớp 4 - Danh mục'!$AA$14:$AA$132,"&lt;&gt;Đã lên lịch")&gt;0,SUMIFS('Lớp 4 - Danh mục'!$AF$14:$AF$132,'Lớp 4 - Danh mục'!$J$14:$J$132,I40,'Lớp 4 - Danh mục'!$AA$14:$AA$132,"&lt;&gt;",'Lớp 4 - Danh mục'!$AA$14:$AA$132,"&lt;&gt;Hủy",'Lớp 4 - Danh mục'!$AA$14:$AA$132,"&lt;&gt;Chưa lên lịch",'Lớp 4 - Danh mục'!$AA$14:$AA$132,"&lt;&gt;Đã lên lịch")/COUNTIFS('Lớp 4 - Danh mục'!$J$14:$J$132,I40,'Lớp 4 - Danh mục'!$AA$14:$AA$132,"&lt;&gt;",'Lớp 4 - Danh mục'!$AA$14:$AA$132,"&lt;&gt;Hủy",'Lớp 4 - Danh mục'!$AA$14:$AA$132,"&lt;&gt;Chưa lên lịch",'Lớp 4 - Danh mục'!$AA$14:$AA$132,"&lt;&gt;Đã lên lịch"),IF(X40="Hoàn thành",1,0)))))</f>
        <v/>
      </c>
      <c r="AD40" s="516" t="str">
        <f>IF(AI40&lt;&gt;"Có thời hạn","",IF(OR(I40="",Z40="",AA40=""),"",IF(OR(X40="Hoàn thành",X40="Hủy"),0,IF(AA40&lt;TODAY(),-_xlfn.NETWORKDAYS.INTL(AA40,TODAY()-1,11,'Ngày nghỉ lễ'!$A$5:$A$80),MAX(0,_xlfn.NETWORKDAYS.INTL(MAX(TODAY()+1,Z40),AA40,11,'Ngày nghỉ lễ'!$A$5:$A$80))))))</f>
        <v/>
      </c>
      <c r="AE40" s="448" t="str">
        <f>IF($I40="","",LET(n,COUNTIFS('Lớp 4 - Danh mục'!$J$14:$J$132,$I40,'Lớp 4 - Danh mục'!$AA$14:$AA$132,"&lt;&gt;Hủy"),du,COUNTIFS('Lớp 4 - Danh mục'!$J$14:$J$132,$I40,'Lớp 4 - Danh mục'!$AA$14:$AA$132,"&lt;&gt;Hủy",'Lớp 4 - Danh mục'!$AH$14:$AH$132,"&lt;&gt;"),IF(n=0,'Trung tâm nhập liệu'!T90,IF(du&lt;n,"",SUMIFS('Lớp 4 - Danh mục'!$AH$14:$AH$132,'Lớp 4 - Danh mục'!$J$14:$J$132,$I40,'Lớp 4 - Danh mục'!$AA$14:$AA$132,"&lt;&gt;Hủy")))))</f>
        <v/>
      </c>
      <c r="AF40" s="510" t="str">
        <f>IF(I40="","",IF(OR(X40="Hoàn thành",X40="Hủy"),"",IF(COUNTIFS('Lớp 4 - Danh mục'!$J$14:$J$132,I40,'Lớp 4 - Danh mục'!$AA$14:$AA$132,"&lt;&gt;Hủy")&gt;0,"",IF(AO40="Ngày",AP40,IF(AO40="Tuần",AP40/5,"")))))</f>
        <v/>
      </c>
      <c r="AG40" s="456" t="str">
        <f>IF(AI40="Chưa xếp lịch","Chưa xếp lịch",IF(AI40="Định kỳ",IF(AJ40="","Thiếu chu kỳ","Theo chu kỳ"),IF(AI40="Khi phát sinh",IF(COUNTIFS('Lớp 4 - Danh mục'!$J$14:$J$132,$I40,'Lớp 4 - Danh mục'!$AA$14:$AA$132,"&lt;&gt;Hủy")=0,"Khi phát sinh – chờ việc con","Khi phát sinh – theo ngày con"),IF(I40="","",LET(n,COUNTIFS('Lớp 4 - Danh mục'!$J$14:$J$132,$I40,'Lớp 4 - Danh mục'!$AA$14:$AA$132,"&lt;&gt;Hủy"),cs,IFERROR(MINIFS('Lớp 4 - Danh mục'!$AC$14:$AC$132,'Lớp 4 - Danh mục'!$J$14:$J$132,$I40,'Lớp 4 - Danh mục'!$AA$14:$AA$132,"&lt;&gt;Hủy",'Lớp 4 - Danh mục'!$AC$14:$AC$132,"&gt;0"),0),ce,IFERROR(MAXIFS('Lớp 4 - Danh mục'!$AD$14:$AD$132,'Lớp 4 - Danh mục'!$J$14:$J$132,$I40,'Lớp 4 - Danh mục'!$AA$14:$AA$132,"&lt;&gt;Hủy",'Lớp 4 - Danh mục'!$AD$14:$AD$132,"&gt;0"),0),ps,'Trung tâm nhập liệu'!R90,pe,'Trung tâm nhập liệu'!Q90,IF(OR(Z40="",AA40=""),"Thiếu ngày L3",IF(n=0,"Chưa có L4",IF(OR(cs=0,ce=0),"Thiếu ngày L4",IF(OR(ps="",pe=""),"Thiếu ngày kế hoạch gốc L3",IF(OR(cs&lt;ps,ce&gt;pe),"Cảnh báo: Con vượt khung kế hoạch gốc","L4 đúng khung kế hoạch gốc"))))))))))</f>
        <v>Thiếu ngày L3</v>
      </c>
      <c r="AH40" s="465" t="str">
        <f>IF(OR(AR40="Thiếu tham số phân bổ",AR40="Phân bổ phải &gt; 0"),AR40,SWITCH(AI40,"Chưa xếp lịch","Chưa tính tải","Định kỳ","Theo chu kỳ","Khi phát sinh","Khi phát sinh",IF(I40="","",IF(OR(X40="Hoàn thành",X40="Hủy"),X40,IF(COUNTIFS('Lớp 4 - Danh mục'!$J$14:$J$132,I40,'Lớp 4 - Danh mục'!$AA$14:$AA$132,"&lt;&gt;Hủy")&gt;0,"Theo dõi tải tại Lớp 4",IF(AE40="","Chưa nhập khối lượng",IF(V40="","Thiếu người thực hiện",IF(OR(Z40="",AA40=""),"Chưa nhập đủ thời gian",IF(AD40&lt;0,"Quá hạn – còn "&amp;TEXT(MAX(0,AE40*(1-AC40)),"0.0")&amp;" giờ",LET(bd,MAX(TODAY(),Z40),kt,AA40,nguoi,V40,tai,SUMIFS('Lớp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4</v>
      </c>
      <c r="AI40" s="467" t="str">
        <f>'Trung tâm nhập liệu'!O90</f>
        <v>Có thời hạn</v>
      </c>
      <c r="AJ40" s="469" t="str">
        <f>'Trung tâm nhập liệu'!P90</f>
        <v/>
      </c>
      <c r="AK40" s="470" t="str">
        <f>'Trung tâm nhập liệu'!S90</f>
        <v/>
      </c>
      <c r="AL40" s="470" t="str">
        <f>'Trung tâm nhập liệu'!X90</f>
        <v/>
      </c>
      <c r="AM40" s="471" t="str">
        <f t="shared" si="18"/>
        <v/>
      </c>
      <c r="AN40" s="469" t="str">
        <f t="shared" si="19"/>
        <v/>
      </c>
      <c r="AO40" s="475" t="str">
        <f>'Trung tâm nhập liệu'!V90</f>
        <v/>
      </c>
      <c r="AP40" s="476" t="str">
        <f>'Trung tâm nhập liệu'!W90</f>
        <v/>
      </c>
      <c r="AQ40" s="478" t="str">
        <f>IF(AI40&lt;&gt;"Có thời hạn","",IF(OR(I40="",AE40="",X40="Hoàn thành",X40="Hủy",COUNTIFS('Lớp 4 - Danh mục'!$J$14:$J$132,I40,'Lớp 4 - Danh mục'!$AA$14:$AA$132,"&lt;&gt;Hủy")&gt;0),"",LET(canNgay,MAX(0,AE40*(1-AC40))/MAX(1,AD40),IF(AO40="Ngày",canNgay,IF(AO40="Tuần",canNgay*5,"")))))</f>
        <v/>
      </c>
      <c r="AR40" s="465" t="str">
        <f>IF(I40="","",IF(COUNTIFS('Lớp 4 - Danh mục'!$J$14:$J$132,I40,'Lớp 4 - Danh mục'!$AA$14:$AA$132,"&lt;&gt;Hủy")&gt;0,"Theo dõi phân bổ tại Lớp 4",IF(OR(X40="Hoàn thành",X40="Hủy"),X40,IF(AE40="","Thiếu tổng giờ",IF(OR(AO40="",AP40=""),"Thiếu tham số phân bổ",IF(AP40&lt;=0,"Phân bổ phải &gt; 0",IF(AI40&lt;&gt;"Có thời hạn","Đã có phân bổ",IF(AQ40="","Chưa đủ dữ liệu hạn",IF(AP40&gt;=AQ40,"Đủ phân bổ theo "&amp;LOWER(AO40),"Thiếu "&amp;TEXT(AQ40-AP40,"0.0")&amp;" giờ/"&amp;LOWER(AO40))))))))))</f>
        <v>Theo dõi phân bổ tại Lớp 4</v>
      </c>
      <c r="AS40" s="465" t="str">
        <f t="shared" si="20"/>
        <v>OK</v>
      </c>
      <c r="AT40" s="479" t="str">
        <f>'Trung tâm nhập liệu'!Y90</f>
        <v/>
      </c>
    </row>
    <row r="41" ht="15.75" customHeight="1">
      <c r="A41" s="383">
        <f t="shared" si="11"/>
        <v>28</v>
      </c>
      <c r="B41" s="387" t="str">
        <f>'Trung tâm nhập liệu'!F91</f>
        <v>XD &amp; vận hành HT CRM XK </v>
      </c>
      <c r="C41" s="394" t="str">
        <f>'Trung tâm nhập liệu'!M91</f>
        <v>P1</v>
      </c>
      <c r="D41" s="615">
        <f t="shared" ref="D41:E41" si="111">AC41</f>
        <v>0</v>
      </c>
      <c r="E41" s="614">
        <f t="shared" si="111"/>
        <v>-12</v>
      </c>
      <c r="F41" s="407">
        <f t="shared" ref="F41:G41" si="112">Q41</f>
        <v>46231</v>
      </c>
      <c r="G41" s="407">
        <f t="shared" si="112"/>
        <v>46244</v>
      </c>
      <c r="H41" s="411" t="str">
        <f>IF(B41="","",IF(COUNTIF('Lớp 4 - Danh mục'!$J$14:$J$132,I41)&gt;0,"Có","Không"))</f>
        <v>Không</v>
      </c>
      <c r="I41" s="414" t="str">
        <f>'Trung tâm nhập liệu'!B91</f>
        <v>HHL3XK01</v>
      </c>
      <c r="J41" s="415">
        <f>'Trung tâm nhập liệu'!E91</f>
        <v>2026</v>
      </c>
      <c r="K41" s="469"/>
      <c r="L41" s="521"/>
      <c r="M41" s="419" t="str">
        <f t="shared" ref="M41:P41" si="113">B41</f>
        <v>XD &amp; vận hành HT CRM XK </v>
      </c>
      <c r="N41" s="420" t="str">
        <f t="shared" si="113"/>
        <v>P1</v>
      </c>
      <c r="O41" s="421">
        <f t="shared" si="113"/>
        <v>0</v>
      </c>
      <c r="P41" s="422">
        <f t="shared" si="113"/>
        <v>-12</v>
      </c>
      <c r="Q41" s="426">
        <f>IF($I41="","",LET(n,COUNTIFS('Lớp 4 - Danh mục'!$J$14:$J$132,$I41,'Lớp 4 - Danh mục'!$AA$14:$AA$132,"&lt;&gt;Hủy"),child,IFERROR(MAXIFS('Lớp 4 - Danh mục'!$AD$14:$AD$132,'Lớp 4 - Danh mục'!$J$14:$J$132,$I41,'Lớp 4 - Danh mục'!$AA$14:$AA$132,"&lt;&gt;Hủy",'Lớp 4 - Danh mục'!$AD$14:$AD$132,"&gt;0"),0),plan,'Trung tâm nhập liệu'!Q91,emergent,LOWER(TRIM('Trung tâm nhập liệu'!O91))="khi phát sinh",IF(n=0,IF(emergent,"",plan),IF(child=0,IF(emergent,"",plan),IF(OR(emergent,plan=""),child,MAX(plan,child))))))</f>
        <v>46231</v>
      </c>
      <c r="R41" s="430">
        <f>IF($I41="","",LET(n,COUNTIFS('Lớp 4 - Danh mục'!$J$14:$J$132,$I41,'Lớp 4 - Danh mục'!$AA$14:$AA$132,"&lt;&gt;Hủy"),child,IFERROR(MINIFS('Lớp 4 - Danh mục'!$AC$14:$AC$132,'Lớp 4 - Danh mục'!$J$14:$J$132,$I41,'Lớp 4 - Danh mục'!$AA$14:$AA$132,"&lt;&gt;Hủy",'Lớp 4 - Danh mục'!$AC$14:$AC$132,"&gt;0"),0),plan,'Trung tâm nhập liệu'!R91,emergent,LOWER(TRIM('Trung tâm nhập liệu'!O91))="khi phát sinh",IF(n=0,IF(emergent,"",plan),IF(child=0,IF(emergent,"",plan),IF(OR(emergent,plan=""),child,MIN(plan,child))))))</f>
        <v>46244</v>
      </c>
      <c r="S41" s="411" t="str">
        <f t="shared" si="15"/>
        <v>Không</v>
      </c>
      <c r="T41" s="414" t="str">
        <f>'Trung tâm nhập liệu'!G91</f>
        <v/>
      </c>
      <c r="U41" s="433" t="str">
        <f>'Trung tâm nhập liệu'!J91</f>
        <v>GĐ BOC</v>
      </c>
      <c r="V41" s="435" t="str">
        <f>'Trung tâm nhập liệu'!K91</f>
        <v/>
      </c>
      <c r="W41" s="435" t="str">
        <f>'Trung tâm nhập liệu'!I91</f>
        <v>Dữ liệu điều hành</v>
      </c>
      <c r="X41" s="437" t="str">
        <f>'Trung tâm nhập liệu'!L91</f>
        <v/>
      </c>
      <c r="Y41" s="420" t="str">
        <f>'Trung tâm nhập liệu'!M91</f>
        <v>P1</v>
      </c>
      <c r="Z41" s="430">
        <f t="shared" si="16"/>
        <v>46244</v>
      </c>
      <c r="AA41" s="426">
        <f t="shared" si="17"/>
        <v>46231</v>
      </c>
      <c r="AB41" s="516" t="str">
        <f>IF(AI41&lt;&gt;"Có thời hạn","",IF(OR(Z41="",AA41=""),"",IF(AA41&lt;Z41,"",_xlfn.NETWORKDAYS.INTL(Z41,AA41,11,'Ngày nghỉ lễ'!$A$5:$A$80))))</f>
        <v/>
      </c>
      <c r="AC41" s="446">
        <f>IF(I41="","",IF(L41="Công việc khác","",IF(OR(X41="Chưa lên lịch",X41="Đã lên lịch",X41="Hủy"),"",IF(COUNTIFS('Lớp 4 - Danh mục'!$J$14:$J$132,I41,'Lớp 4 - Danh mục'!$AA$14:$AA$132,"&lt;&gt;",'Lớp 4 - Danh mục'!$AA$14:$AA$132,"&lt;&gt;Hủy",'Lớp 4 - Danh mục'!$AA$14:$AA$132,"&lt;&gt;Chưa lên lịch",'Lớp 4 - Danh mục'!$AA$14:$AA$132,"&lt;&gt;Đã lên lịch")&gt;0,SUMIFS('Lớp 4 - Danh mục'!$AF$14:$AF$132,'Lớp 4 - Danh mục'!$J$14:$J$132,I41,'Lớp 4 - Danh mục'!$AA$14:$AA$132,"&lt;&gt;",'Lớp 4 - Danh mục'!$AA$14:$AA$132,"&lt;&gt;Hủy",'Lớp 4 - Danh mục'!$AA$14:$AA$132,"&lt;&gt;Chưa lên lịch",'Lớp 4 - Danh mục'!$AA$14:$AA$132,"&lt;&gt;Đã lên lịch")/COUNTIFS('Lớp 4 - Danh mục'!$J$14:$J$132,I41,'Lớp 4 - Danh mục'!$AA$14:$AA$132,"&lt;&gt;",'Lớp 4 - Danh mục'!$AA$14:$AA$132,"&lt;&gt;Hủy",'Lớp 4 - Danh mục'!$AA$14:$AA$132,"&lt;&gt;Chưa lên lịch",'Lớp 4 - Danh mục'!$AA$14:$AA$132,"&lt;&gt;Đã lên lịch"),IF(X41="Hoàn thành",1,0)))))</f>
        <v>0</v>
      </c>
      <c r="AD41" s="516">
        <f>IF(AI41&lt;&gt;"Có thời hạn","",IF(OR(I41="",Z41="",AA41=""),"",IF(OR(X41="Hoàn thành",X41="Hủy"),0,IF(AA41&lt;TODAY(),-_xlfn.NETWORKDAYS.INTL(AA41,TODAY()-1,11,'Ngày nghỉ lễ'!$A$5:$A$80),MAX(0,_xlfn.NETWORKDAYS.INTL(MAX(TODAY()+1,Z41),AA41,11,'Ngày nghỉ lễ'!$A$5:$A$80))))))</f>
        <v>-12</v>
      </c>
      <c r="AE41" s="448" t="str">
        <f>IF($I41="","",LET(n,COUNTIFS('Lớp 4 - Danh mục'!$J$14:$J$132,$I41,'Lớp 4 - Danh mục'!$AA$14:$AA$132,"&lt;&gt;Hủy"),du,COUNTIFS('Lớp 4 - Danh mục'!$J$14:$J$132,$I41,'Lớp 4 - Danh mục'!$AA$14:$AA$132,"&lt;&gt;Hủy",'Lớp 4 - Danh mục'!$AH$14:$AH$132,"&lt;&gt;"),IF(n=0,'Trung tâm nhập liệu'!T91,IF(du&lt;n,"",SUMIFS('Lớp 4 - Danh mục'!$AH$14:$AH$132,'Lớp 4 - Danh mục'!$J$14:$J$132,$I41,'Lớp 4 - Danh mục'!$AA$14:$AA$132,"&lt;&gt;Hủy")))))</f>
        <v/>
      </c>
      <c r="AF41" s="510" t="str">
        <f>IF(I41="","",IF(OR(X41="Hoàn thành",X41="Hủy"),"",IF(COUNTIFS('Lớp 4 - Danh mục'!$J$14:$J$132,I41,'Lớp 4 - Danh mục'!$AA$14:$AA$132,"&lt;&gt;Hủy")&gt;0,"",IF(AO41="Ngày",AP41,IF(AO41="Tuần",AP41/5,"")))))</f>
        <v/>
      </c>
      <c r="AG41" s="456" t="str">
        <f>IF(AI41="Chưa xếp lịch","Chưa xếp lịch",IF(AI41="Định kỳ",IF(AJ41="","Thiếu chu kỳ","Theo chu kỳ"),IF(AI41="Khi phát sinh",IF(COUNTIFS('Lớp 4 - Danh mục'!$J$14:$J$132,$I41,'Lớp 4 - Danh mục'!$AA$14:$AA$132,"&lt;&gt;Hủy")=0,"Khi phát sinh – chờ việc con","Khi phát sinh – theo ngày con"),IF(I41="","",LET(n,COUNTIFS('Lớp 4 - Danh mục'!$J$14:$J$132,$I41,'Lớp 4 - Danh mục'!$AA$14:$AA$132,"&lt;&gt;Hủy"),cs,IFERROR(MINIFS('Lớp 4 - Danh mục'!$AC$14:$AC$132,'Lớp 4 - Danh mục'!$J$14:$J$132,$I41,'Lớp 4 - Danh mục'!$AA$14:$AA$132,"&lt;&gt;Hủy",'Lớp 4 - Danh mục'!$AC$14:$AC$132,"&gt;0"),0),ce,IFERROR(MAXIFS('Lớp 4 - Danh mục'!$AD$14:$AD$132,'Lớp 4 - Danh mục'!$J$14:$J$132,$I41,'Lớp 4 - Danh mục'!$AA$14:$AA$132,"&lt;&gt;Hủy",'Lớp 4 - Danh mục'!$AD$14:$AD$132,"&gt;0"),0),ps,'Trung tâm nhập liệu'!R91,pe,'Trung tâm nhập liệu'!Q91,IF(OR(Z41="",AA41=""),"Thiếu ngày L3",IF(n=0,"Chưa có L4",IF(OR(cs=0,ce=0),"Thiếu ngày L4",IF(OR(ps="",pe=""),"Thiếu ngày kế hoạch gốc L3",IF(OR(cs&lt;ps,ce&gt;pe),"Cảnh báo: Con vượt khung kế hoạch gốc","L4 đúng khung kế hoạch gốc"))))))))))</f>
        <v>Chưa có L4</v>
      </c>
      <c r="AH41" s="465" t="str">
        <f>IF(OR(AR41="Thiếu tham số phân bổ",AR41="Phân bổ phải &gt; 0"),AR41,SWITCH(AI41,"Chưa xếp lịch","Chưa tính tải","Định kỳ","Theo chu kỳ","Khi phát sinh","Khi phát sinh",IF(I41="","",IF(OR(X41="Hoàn thành",X41="Hủy"),X41,IF(COUNTIFS('Lớp 4 - Danh mục'!$J$14:$J$132,I41,'Lớp 4 - Danh mục'!$AA$14:$AA$132,"&lt;&gt;Hủy")&gt;0,"Theo dõi tải tại Lớp 4",IF(AE41="","Chưa nhập khối lượng",IF(V41="","Thiếu người thực hiện",IF(OR(Z41="",AA41=""),"Chưa nhập đủ thời gian",IF(AD41&lt;0,"Quá hạn – còn "&amp;TEXT(MAX(0,AE41*(1-AC41)),"0.0")&amp;" giờ",LET(bd,MAX(TODAY(),Z41),kt,AA41,nguoi,V41,tai,SUMIFS('Lớp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I41" s="467" t="str">
        <f>'Trung tâm nhập liệu'!O91</f>
        <v>Có thời hạn</v>
      </c>
      <c r="AJ41" s="469" t="str">
        <f>'Trung tâm nhập liệu'!P91</f>
        <v/>
      </c>
      <c r="AK41" s="470" t="str">
        <f>'Trung tâm nhập liệu'!S91</f>
        <v/>
      </c>
      <c r="AL41" s="470" t="str">
        <f>'Trung tâm nhập liệu'!X91</f>
        <v/>
      </c>
      <c r="AM41" s="471" t="str">
        <f t="shared" si="18"/>
        <v/>
      </c>
      <c r="AN41" s="469" t="str">
        <f t="shared" si="19"/>
        <v/>
      </c>
      <c r="AO41" s="475" t="str">
        <f>'Trung tâm nhập liệu'!V91</f>
        <v/>
      </c>
      <c r="AP41" s="476" t="str">
        <f>'Trung tâm nhập liệu'!W91</f>
        <v/>
      </c>
      <c r="AQ41" s="478" t="str">
        <f>IF(AI41&lt;&gt;"Có thời hạn","",IF(OR(I41="",AE41="",X41="Hoàn thành",X41="Hủy",COUNTIFS('Lớp 4 - Danh mục'!$J$14:$J$132,I41,'Lớp 4 - Danh mục'!$AA$14:$AA$132,"&lt;&gt;Hủy")&gt;0),"",LET(canNgay,MAX(0,AE41*(1-AC41))/MAX(1,AD41),IF(AO41="Ngày",canNgay,IF(AO41="Tuần",canNgay*5,"")))))</f>
        <v/>
      </c>
      <c r="AR41" s="465" t="str">
        <f>IF(I41="","",IF(COUNTIFS('Lớp 4 - Danh mục'!$J$14:$J$132,I41,'Lớp 4 - Danh mục'!$AA$14:$AA$132,"&lt;&gt;Hủy")&gt;0,"Theo dõi phân bổ tại Lớp 4",IF(OR(X41="Hoàn thành",X41="Hủy"),X41,IF(AE41="","Thiếu tổng giờ",IF(OR(AO41="",AP41=""),"Thiếu tham số phân bổ",IF(AP41&lt;=0,"Phân bổ phải &gt; 0",IF(AI41&lt;&gt;"Có thời hạn","Đã có phân bổ",IF(AQ41="","Chưa đủ dữ liệu hạn",IF(AP41&gt;=AQ41,"Đủ phân bổ theo "&amp;LOWER(AO41),"Thiếu "&amp;TEXT(AQ41-AP41,"0.0")&amp;" giờ/"&amp;LOWER(AO41))))))))))</f>
        <v>Thiếu tổng giờ</v>
      </c>
      <c r="AS41" s="465" t="str">
        <f t="shared" si="20"/>
        <v>Thiếu trạng thái</v>
      </c>
      <c r="AT41" s="479" t="str">
        <f>'Trung tâm nhập liệu'!Y91</f>
        <v/>
      </c>
    </row>
    <row r="42" ht="15.75" customHeight="1">
      <c r="A42" s="383" t="str">
        <f t="shared" si="11"/>
        <v/>
      </c>
      <c r="B42" s="387" t="str">
        <f>'Trung tâm nhập liệu'!F107</f>
        <v/>
      </c>
      <c r="C42" s="394" t="str">
        <f>'Trung tâm nhập liệu'!M107</f>
        <v/>
      </c>
      <c r="D42" s="615" t="str">
        <f t="shared" ref="D42:E42" si="114">AC42</f>
        <v/>
      </c>
      <c r="E42" s="614" t="str">
        <f t="shared" si="114"/>
        <v/>
      </c>
      <c r="F42" s="407" t="str">
        <f t="shared" ref="F42:G42" si="115">Q42</f>
        <v/>
      </c>
      <c r="G42" s="407" t="str">
        <f t="shared" si="115"/>
        <v/>
      </c>
      <c r="H42" s="411" t="str">
        <f>IF(B42="","",IF(COUNTIF('Lớp 4 - Danh mục'!$J$14:$J$132,I42)&gt;0,"Có","Không"))</f>
        <v/>
      </c>
      <c r="I42" s="414" t="str">
        <f>'Trung tâm nhập liệu'!B107</f>
        <v/>
      </c>
      <c r="J42" s="415" t="str">
        <f>'Trung tâm nhập liệu'!E107</f>
        <v/>
      </c>
      <c r="K42" s="469"/>
      <c r="L42" s="521"/>
      <c r="M42" s="419" t="str">
        <f t="shared" ref="M42:P42" si="116">B42</f>
        <v/>
      </c>
      <c r="N42" s="420" t="str">
        <f t="shared" si="116"/>
        <v/>
      </c>
      <c r="O42" s="421" t="str">
        <f t="shared" si="116"/>
        <v/>
      </c>
      <c r="P42" s="422" t="str">
        <f t="shared" si="116"/>
        <v/>
      </c>
      <c r="Q42" s="426" t="str">
        <f>IF($I42="","",LET(n,COUNTIFS('Lớp 4 - Danh mục'!$J$14:$J$132,$I42,'Lớp 4 - Danh mục'!$AA$14:$AA$132,"&lt;&gt;Hủy"),child,IFERROR(MAXIFS('Lớp 4 - Danh mục'!$AD$14:$AD$132,'Lớp 4 - Danh mục'!$J$14:$J$132,$I42,'Lớp 4 - Danh mục'!$AA$14:$AA$132,"&lt;&gt;Hủy",'Lớp 4 - Danh mục'!$AD$14:$AD$132,"&gt;0"),0),plan,'Trung tâm nhập liệu'!Q107,emergent,LOWER(TRIM('Trung tâm nhập liệu'!O107))="khi phát sinh",IF(n=0,IF(emergent,"",plan),IF(child=0,IF(emergent,"",plan),IF(OR(emergent,plan=""),child,MAX(plan,child))))))</f>
        <v/>
      </c>
      <c r="R42" s="430" t="str">
        <f>IF($I42="","",LET(n,COUNTIFS('Lớp 4 - Danh mục'!$J$14:$J$132,$I42,'Lớp 4 - Danh mục'!$AA$14:$AA$132,"&lt;&gt;Hủy"),child,IFERROR(MINIFS('Lớp 4 - Danh mục'!$AC$14:$AC$132,'Lớp 4 - Danh mục'!$J$14:$J$132,$I42,'Lớp 4 - Danh mục'!$AA$14:$AA$132,"&lt;&gt;Hủy",'Lớp 4 - Danh mục'!$AC$14:$AC$132,"&gt;0"),0),plan,'Trung tâm nhập liệu'!R107,emergent,LOWER(TRIM('Trung tâm nhập liệu'!O107))="khi phát sinh",IF(n=0,IF(emergent,"",plan),IF(child=0,IF(emergent,"",plan),IF(OR(emergent,plan=""),child,MIN(plan,child))))))</f>
        <v/>
      </c>
      <c r="S42" s="411" t="str">
        <f t="shared" si="15"/>
        <v/>
      </c>
      <c r="T42" s="414" t="str">
        <f>'Trung tâm nhập liệu'!G107</f>
        <v/>
      </c>
      <c r="U42" s="433" t="str">
        <f>'Trung tâm nhập liệu'!J107</f>
        <v/>
      </c>
      <c r="V42" s="435" t="str">
        <f>'Trung tâm nhập liệu'!K107</f>
        <v/>
      </c>
      <c r="W42" s="435" t="str">
        <f>'Trung tâm nhập liệu'!I107</f>
        <v/>
      </c>
      <c r="X42" s="437" t="str">
        <f>'Trung tâm nhập liệu'!L107</f>
        <v/>
      </c>
      <c r="Y42" s="420" t="str">
        <f>'Trung tâm nhập liệu'!M107</f>
        <v/>
      </c>
      <c r="Z42" s="430" t="str">
        <f t="shared" si="16"/>
        <v/>
      </c>
      <c r="AA42" s="426" t="str">
        <f t="shared" si="17"/>
        <v/>
      </c>
      <c r="AB42" s="516" t="str">
        <f>IF(AI42&lt;&gt;"Có thời hạn","",IF(OR(Z42="",AA42=""),"",IF(AA42&lt;Z42,"",_xlfn.NETWORKDAYS.INTL(Z42,AA42,11,'Ngày nghỉ lễ'!$A$5:$A$80))))</f>
        <v/>
      </c>
      <c r="AC42" s="446" t="str">
        <f>IF(I42="","",IF(L42="Công việc khác","",IF(OR(X42="Chưa lên lịch",X42="Đã lên lịch",X42="Hủy"),"",IF(COUNTIFS('Lớp 4 - Danh mục'!$J$14:$J$132,I42,'Lớp 4 - Danh mục'!$AA$14:$AA$132,"&lt;&gt;",'Lớp 4 - Danh mục'!$AA$14:$AA$132,"&lt;&gt;Hủy",'Lớp 4 - Danh mục'!$AA$14:$AA$132,"&lt;&gt;Chưa lên lịch",'Lớp 4 - Danh mục'!$AA$14:$AA$132,"&lt;&gt;Đã lên lịch")&gt;0,SUMIFS('Lớp 4 - Danh mục'!$AF$14:$AF$132,'Lớp 4 - Danh mục'!$J$14:$J$132,I42,'Lớp 4 - Danh mục'!$AA$14:$AA$132,"&lt;&gt;",'Lớp 4 - Danh mục'!$AA$14:$AA$132,"&lt;&gt;Hủy",'Lớp 4 - Danh mục'!$AA$14:$AA$132,"&lt;&gt;Chưa lên lịch",'Lớp 4 - Danh mục'!$AA$14:$AA$132,"&lt;&gt;Đã lên lịch")/COUNTIFS('Lớp 4 - Danh mục'!$J$14:$J$132,I42,'Lớp 4 - Danh mục'!$AA$14:$AA$132,"&lt;&gt;",'Lớp 4 - Danh mục'!$AA$14:$AA$132,"&lt;&gt;Hủy",'Lớp 4 - Danh mục'!$AA$14:$AA$132,"&lt;&gt;Chưa lên lịch",'Lớp 4 - Danh mục'!$AA$14:$AA$132,"&lt;&gt;Đã lên lịch"),IF(X42="Hoàn thành",1,0)))))</f>
        <v/>
      </c>
      <c r="AD42" s="516" t="str">
        <f>IF(AI42&lt;&gt;"Có thời hạn","",IF(OR(I42="",Z42="",AA42=""),"",IF(OR(X42="Hoàn thành",X42="Hủy"),0,IF(AA42&lt;TODAY(),-_xlfn.NETWORKDAYS.INTL(AA42,TODAY()-1,11,'Ngày nghỉ lễ'!$A$5:$A$80),MAX(0,_xlfn.NETWORKDAYS.INTL(MAX(TODAY()+1,Z42),AA42,11,'Ngày nghỉ lễ'!$A$5:$A$80))))))</f>
        <v/>
      </c>
      <c r="AE42" s="448" t="str">
        <f>IF($I42="","",LET(n,COUNTIFS('Lớp 4 - Danh mục'!$J$14:$J$132,$I42,'Lớp 4 - Danh mục'!$AA$14:$AA$132,"&lt;&gt;Hủy"),du,COUNTIFS('Lớp 4 - Danh mục'!$J$14:$J$132,$I42,'Lớp 4 - Danh mục'!$AA$14:$AA$132,"&lt;&gt;Hủy",'Lớp 4 - Danh mục'!$AH$14:$AH$132,"&lt;&gt;"),IF(n=0,'Trung tâm nhập liệu'!T107,IF(du&lt;n,"",SUMIFS('Lớp 4 - Danh mục'!$AH$14:$AH$132,'Lớp 4 - Danh mục'!$J$14:$J$132,$I42,'Lớp 4 - Danh mục'!$AA$14:$AA$132,"&lt;&gt;Hủy")))))</f>
        <v/>
      </c>
      <c r="AF42" s="510" t="str">
        <f>IF(I42="","",IF(OR(X42="Hoàn thành",X42="Hủy"),"",IF(COUNTIFS('Lớp 4 - Danh mục'!$J$14:$J$132,I42,'Lớp 4 - Danh mục'!$AA$14:$AA$132,"&lt;&gt;Hủy")&gt;0,"",IF(AO42="Ngày",AP42,IF(AO42="Tuần",AP42/5,"")))))</f>
        <v/>
      </c>
      <c r="AG42" s="456" t="str">
        <f>IF(AI42="Chưa xếp lịch","Chưa xếp lịch",IF(AI42="Định kỳ",IF(AJ42="","Thiếu chu kỳ","Theo chu kỳ"),IF(AI42="Khi phát sinh",IF(COUNTIFS('Lớp 4 - Danh mục'!$J$14:$J$132,$I42,'Lớp 4 - Danh mục'!$AA$14:$AA$132,"&lt;&gt;Hủy")=0,"Khi phát sinh – chờ việc con","Khi phát sinh – theo ngày con"),IF(I42="","",LET(n,COUNTIFS('Lớp 4 - Danh mục'!$J$14:$J$132,$I42,'Lớp 4 - Danh mục'!$AA$14:$AA$132,"&lt;&gt;Hủy"),cs,IFERROR(MINIFS('Lớp 4 - Danh mục'!$AC$14:$AC$132,'Lớp 4 - Danh mục'!$J$14:$J$132,$I42,'Lớp 4 - Danh mục'!$AA$14:$AA$132,"&lt;&gt;Hủy",'Lớp 4 - Danh mục'!$AC$14:$AC$132,"&gt;0"),0),ce,IFERROR(MAXIFS('Lớp 4 - Danh mục'!$AD$14:$AD$132,'Lớp 4 - Danh mục'!$J$14:$J$132,$I42,'Lớp 4 - Danh mục'!$AA$14:$AA$132,"&lt;&gt;Hủy",'Lớp 4 - Danh mục'!$AD$14:$AD$132,"&gt;0"),0),ps,'Trung tâm nhập liệu'!R107,pe,'Trung tâm nhập liệu'!Q107,IF(OR(Z42="",AA42=""),"Thiếu ngày L3",IF(n=0,"Chưa có L4",IF(OR(cs=0,ce=0),"Thiếu ngày L4",IF(OR(ps="",pe=""),"Thiếu ngày kế hoạch gốc L3",IF(OR(cs&lt;ps,ce&gt;pe),"Cảnh báo: Con vượt khung kế hoạch gốc","L4 đúng khung kế hoạch gốc"))))))))))</f>
        <v/>
      </c>
      <c r="AH42" s="465" t="str">
        <f>IF(OR(AR42="Thiếu tham số phân bổ",AR42="Phân bổ phải &gt; 0"),AR42,SWITCH(AI42,"Chưa xếp lịch","Chưa tính tải","Định kỳ","Theo chu kỳ","Khi phát sinh","Khi phát sinh",IF(I42="","",IF(OR(X42="Hoàn thành",X42="Hủy"),X42,IF(COUNTIFS('Lớp 4 - Danh mục'!$J$14:$J$132,I42,'Lớp 4 - Danh mục'!$AA$14:$AA$132,"&lt;&gt;Hủy")&gt;0,"Theo dõi tải tại Lớp 4",IF(AE42="","Chưa nhập khối lượng",IF(V42="","Thiếu người thực hiện",IF(OR(Z42="",AA42=""),"Chưa nhập đủ thời gian",IF(AD42&lt;0,"Quá hạn – còn "&amp;TEXT(MAX(0,AE42*(1-AC42)),"0.0")&amp;" giờ",LET(bd,MAX(TODAY(),Z42),kt,AA42,nguoi,V42,tai,SUMIFS('Lớp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I42" s="467" t="str">
        <f>'Trung tâm nhập liệu'!O107</f>
        <v/>
      </c>
      <c r="AJ42" s="469" t="str">
        <f>'Trung tâm nhập liệu'!P107</f>
        <v/>
      </c>
      <c r="AK42" s="470" t="str">
        <f>'Trung tâm nhập liệu'!S107</f>
        <v/>
      </c>
      <c r="AL42" s="470" t="str">
        <f>'Trung tâm nhập liệu'!X107</f>
        <v/>
      </c>
      <c r="AM42" s="471" t="str">
        <f t="shared" si="18"/>
        <v/>
      </c>
      <c r="AN42" s="469" t="str">
        <f t="shared" si="19"/>
        <v/>
      </c>
      <c r="AO42" s="475" t="str">
        <f>'Trung tâm nhập liệu'!V107</f>
        <v/>
      </c>
      <c r="AP42" s="476" t="str">
        <f>'Trung tâm nhập liệu'!W107</f>
        <v/>
      </c>
      <c r="AQ42" s="478" t="str">
        <f>IF(AI42&lt;&gt;"Có thời hạn","",IF(OR(I42="",AE42="",X42="Hoàn thành",X42="Hủy",COUNTIFS('Lớp 4 - Danh mục'!$J$14:$J$132,I42,'Lớp 4 - Danh mục'!$AA$14:$AA$132,"&lt;&gt;Hủy")&gt;0),"",LET(canNgay,MAX(0,AE42*(1-AC42))/MAX(1,AD42),IF(AO42="Ngày",canNgay,IF(AO42="Tuần",canNgay*5,"")))))</f>
        <v/>
      </c>
      <c r="AR42" s="465" t="str">
        <f>IF(I42="","",IF(COUNTIFS('Lớp 4 - Danh mục'!$J$14:$J$132,I42,'Lớp 4 - Danh mục'!$AA$14:$AA$132,"&lt;&gt;Hủy")&gt;0,"Theo dõi phân bổ tại Lớp 4",IF(OR(X42="Hoàn thành",X42="Hủy"),X42,IF(AE42="","Thiếu tổng giờ",IF(OR(AO42="",AP42=""),"Thiếu tham số phân bổ",IF(AP42&lt;=0,"Phân bổ phải &gt; 0",IF(AI42&lt;&gt;"Có thời hạn","Đã có phân bổ",IF(AQ42="","Chưa đủ dữ liệu hạn",IF(AP42&gt;=AQ42,"Đủ phân bổ theo "&amp;LOWER(AO42),"Thiếu "&amp;TEXT(AQ42-AP42,"0.0")&amp;" giờ/"&amp;LOWER(AO42))))))))))</f>
        <v/>
      </c>
      <c r="AS42" s="465" t="str">
        <f t="shared" si="20"/>
        <v/>
      </c>
      <c r="AT42" s="479" t="str">
        <f>'Trung tâm nhập liệu'!Y107</f>
        <v/>
      </c>
    </row>
    <row r="43" ht="15.75" customHeight="1">
      <c r="A43" s="383" t="str">
        <f t="shared" si="11"/>
        <v/>
      </c>
      <c r="B43" s="387" t="str">
        <f>'Trung tâm nhập liệu'!F108</f>
        <v/>
      </c>
      <c r="C43" s="394" t="str">
        <f>'Trung tâm nhập liệu'!M108</f>
        <v/>
      </c>
      <c r="D43" s="615" t="str">
        <f t="shared" ref="D43:E43" si="117">AC43</f>
        <v/>
      </c>
      <c r="E43" s="614" t="str">
        <f t="shared" si="117"/>
        <v/>
      </c>
      <c r="F43" s="407" t="str">
        <f t="shared" ref="F43:G43" si="118">Q43</f>
        <v/>
      </c>
      <c r="G43" s="407" t="str">
        <f t="shared" si="118"/>
        <v/>
      </c>
      <c r="H43" s="411" t="str">
        <f>IF(B43="","",IF(COUNTIF('Lớp 4 - Danh mục'!$J$14:$J$132,I43)&gt;0,"Có","Không"))</f>
        <v/>
      </c>
      <c r="I43" s="414" t="str">
        <f>'Trung tâm nhập liệu'!B108</f>
        <v/>
      </c>
      <c r="J43" s="415" t="str">
        <f>'Trung tâm nhập liệu'!E108</f>
        <v/>
      </c>
      <c r="K43" s="469"/>
      <c r="L43" s="521"/>
      <c r="M43" s="419" t="str">
        <f t="shared" ref="M43:P43" si="119">B43</f>
        <v/>
      </c>
      <c r="N43" s="420" t="str">
        <f t="shared" si="119"/>
        <v/>
      </c>
      <c r="O43" s="421" t="str">
        <f t="shared" si="119"/>
        <v/>
      </c>
      <c r="P43" s="422" t="str">
        <f t="shared" si="119"/>
        <v/>
      </c>
      <c r="Q43" s="426" t="str">
        <f>IF($I43="","",LET(n,COUNTIFS('Lớp 4 - Danh mục'!$J$14:$J$132,$I43,'Lớp 4 - Danh mục'!$AA$14:$AA$132,"&lt;&gt;Hủy"),child,IFERROR(MAXIFS('Lớp 4 - Danh mục'!$AD$14:$AD$132,'Lớp 4 - Danh mục'!$J$14:$J$132,$I43,'Lớp 4 - Danh mục'!$AA$14:$AA$132,"&lt;&gt;Hủy",'Lớp 4 - Danh mục'!$AD$14:$AD$132,"&gt;0"),0),plan,'Trung tâm nhập liệu'!Q108,emergent,LOWER(TRIM('Trung tâm nhập liệu'!O108))="khi phát sinh",IF(n=0,IF(emergent,"",plan),IF(child=0,IF(emergent,"",plan),IF(OR(emergent,plan=""),child,MAX(plan,child))))))</f>
        <v/>
      </c>
      <c r="R43" s="430" t="str">
        <f>IF($I43="","",LET(n,COUNTIFS('Lớp 4 - Danh mục'!$J$14:$J$132,$I43,'Lớp 4 - Danh mục'!$AA$14:$AA$132,"&lt;&gt;Hủy"),child,IFERROR(MINIFS('Lớp 4 - Danh mục'!$AC$14:$AC$132,'Lớp 4 - Danh mục'!$J$14:$J$132,$I43,'Lớp 4 - Danh mục'!$AA$14:$AA$132,"&lt;&gt;Hủy",'Lớp 4 - Danh mục'!$AC$14:$AC$132,"&gt;0"),0),plan,'Trung tâm nhập liệu'!R108,emergent,LOWER(TRIM('Trung tâm nhập liệu'!O108))="khi phát sinh",IF(n=0,IF(emergent,"",plan),IF(child=0,IF(emergent,"",plan),IF(OR(emergent,plan=""),child,MIN(plan,child))))))</f>
        <v/>
      </c>
      <c r="S43" s="411" t="str">
        <f t="shared" si="15"/>
        <v/>
      </c>
      <c r="T43" s="414" t="str">
        <f>'Trung tâm nhập liệu'!G108</f>
        <v/>
      </c>
      <c r="U43" s="433" t="str">
        <f>'Trung tâm nhập liệu'!J108</f>
        <v/>
      </c>
      <c r="V43" s="435" t="str">
        <f>'Trung tâm nhập liệu'!K108</f>
        <v/>
      </c>
      <c r="W43" s="435" t="str">
        <f>'Trung tâm nhập liệu'!I108</f>
        <v/>
      </c>
      <c r="X43" s="437" t="str">
        <f>'Trung tâm nhập liệu'!L108</f>
        <v/>
      </c>
      <c r="Y43" s="420" t="str">
        <f>'Trung tâm nhập liệu'!M108</f>
        <v/>
      </c>
      <c r="Z43" s="430" t="str">
        <f t="shared" si="16"/>
        <v/>
      </c>
      <c r="AA43" s="426" t="str">
        <f t="shared" si="17"/>
        <v/>
      </c>
      <c r="AB43" s="516" t="str">
        <f>IF(AI43&lt;&gt;"Có thời hạn","",IF(OR(Z43="",AA43=""),"",IF(AA43&lt;Z43,"",_xlfn.NETWORKDAYS.INTL(Z43,AA43,11,'Ngày nghỉ lễ'!$A$5:$A$80))))</f>
        <v/>
      </c>
      <c r="AC43" s="446" t="str">
        <f>IF(I43="","",IF(L43="Công việc khác","",IF(OR(X43="Chưa lên lịch",X43="Đã lên lịch",X43="Hủy"),"",IF(COUNTIFS('Lớp 4 - Danh mục'!$J$14:$J$132,I43,'Lớp 4 - Danh mục'!$AA$14:$AA$132,"&lt;&gt;",'Lớp 4 - Danh mục'!$AA$14:$AA$132,"&lt;&gt;Hủy",'Lớp 4 - Danh mục'!$AA$14:$AA$132,"&lt;&gt;Chưa lên lịch",'Lớp 4 - Danh mục'!$AA$14:$AA$132,"&lt;&gt;Đã lên lịch")&gt;0,SUMIFS('Lớp 4 - Danh mục'!$AF$14:$AF$132,'Lớp 4 - Danh mục'!$J$14:$J$132,I43,'Lớp 4 - Danh mục'!$AA$14:$AA$132,"&lt;&gt;",'Lớp 4 - Danh mục'!$AA$14:$AA$132,"&lt;&gt;Hủy",'Lớp 4 - Danh mục'!$AA$14:$AA$132,"&lt;&gt;Chưa lên lịch",'Lớp 4 - Danh mục'!$AA$14:$AA$132,"&lt;&gt;Đã lên lịch")/COUNTIFS('Lớp 4 - Danh mục'!$J$14:$J$132,I43,'Lớp 4 - Danh mục'!$AA$14:$AA$132,"&lt;&gt;",'Lớp 4 - Danh mục'!$AA$14:$AA$132,"&lt;&gt;Hủy",'Lớp 4 - Danh mục'!$AA$14:$AA$132,"&lt;&gt;Chưa lên lịch",'Lớp 4 - Danh mục'!$AA$14:$AA$132,"&lt;&gt;Đã lên lịch"),IF(X43="Hoàn thành",1,0)))))</f>
        <v/>
      </c>
      <c r="AD43" s="516" t="str">
        <f>IF(AI43&lt;&gt;"Có thời hạn","",IF(OR(I43="",Z43="",AA43=""),"",IF(OR(X43="Hoàn thành",X43="Hủy"),0,IF(AA43&lt;TODAY(),-_xlfn.NETWORKDAYS.INTL(AA43,TODAY()-1,11,'Ngày nghỉ lễ'!$A$5:$A$80),MAX(0,_xlfn.NETWORKDAYS.INTL(MAX(TODAY()+1,Z43),AA43,11,'Ngày nghỉ lễ'!$A$5:$A$80))))))</f>
        <v/>
      </c>
      <c r="AE43" s="448" t="str">
        <f>IF($I43="","",LET(n,COUNTIFS('Lớp 4 - Danh mục'!$J$14:$J$132,$I43,'Lớp 4 - Danh mục'!$AA$14:$AA$132,"&lt;&gt;Hủy"),du,COUNTIFS('Lớp 4 - Danh mục'!$J$14:$J$132,$I43,'Lớp 4 - Danh mục'!$AA$14:$AA$132,"&lt;&gt;Hủy",'Lớp 4 - Danh mục'!$AH$14:$AH$132,"&lt;&gt;"),IF(n=0,'Trung tâm nhập liệu'!T108,IF(du&lt;n,"",SUMIFS('Lớp 4 - Danh mục'!$AH$14:$AH$132,'Lớp 4 - Danh mục'!$J$14:$J$132,$I43,'Lớp 4 - Danh mục'!$AA$14:$AA$132,"&lt;&gt;Hủy")))))</f>
        <v/>
      </c>
      <c r="AF43" s="510" t="str">
        <f>IF(I43="","",IF(OR(X43="Hoàn thành",X43="Hủy"),"",IF(COUNTIFS('Lớp 4 - Danh mục'!$J$14:$J$132,I43,'Lớp 4 - Danh mục'!$AA$14:$AA$132,"&lt;&gt;Hủy")&gt;0,"",IF(AO43="Ngày",AP43,IF(AO43="Tuần",AP43/5,"")))))</f>
        <v/>
      </c>
      <c r="AG43" s="456" t="str">
        <f>IF(AI43="Chưa xếp lịch","Chưa xếp lịch",IF(AI43="Định kỳ",IF(AJ43="","Thiếu chu kỳ","Theo chu kỳ"),IF(AI43="Khi phát sinh",IF(COUNTIFS('Lớp 4 - Danh mục'!$J$14:$J$132,$I43,'Lớp 4 - Danh mục'!$AA$14:$AA$132,"&lt;&gt;Hủy")=0,"Khi phát sinh – chờ việc con","Khi phát sinh – theo ngày con"),IF(I43="","",LET(n,COUNTIFS('Lớp 4 - Danh mục'!$J$14:$J$132,$I43,'Lớp 4 - Danh mục'!$AA$14:$AA$132,"&lt;&gt;Hủy"),cs,IFERROR(MINIFS('Lớp 4 - Danh mục'!$AC$14:$AC$132,'Lớp 4 - Danh mục'!$J$14:$J$132,$I43,'Lớp 4 - Danh mục'!$AA$14:$AA$132,"&lt;&gt;Hủy",'Lớp 4 - Danh mục'!$AC$14:$AC$132,"&gt;0"),0),ce,IFERROR(MAXIFS('Lớp 4 - Danh mục'!$AD$14:$AD$132,'Lớp 4 - Danh mục'!$J$14:$J$132,$I43,'Lớp 4 - Danh mục'!$AA$14:$AA$132,"&lt;&gt;Hủy",'Lớp 4 - Danh mục'!$AD$14:$AD$132,"&gt;0"),0),ps,'Trung tâm nhập liệu'!R108,pe,'Trung tâm nhập liệu'!Q108,IF(OR(Z43="",AA43=""),"Thiếu ngày L3",IF(n=0,"Chưa có L4",IF(OR(cs=0,ce=0),"Thiếu ngày L4",IF(OR(ps="",pe=""),"Thiếu ngày kế hoạch gốc L3",IF(OR(cs&lt;ps,ce&gt;pe),"Cảnh báo: Con vượt khung kế hoạch gốc","L4 đúng khung kế hoạch gốc"))))))))))</f>
        <v/>
      </c>
      <c r="AH43" s="465" t="str">
        <f>IF(OR(AR43="Thiếu tham số phân bổ",AR43="Phân bổ phải &gt; 0"),AR43,SWITCH(AI43,"Chưa xếp lịch","Chưa tính tải","Định kỳ","Theo chu kỳ","Khi phát sinh","Khi phát sinh",IF(I43="","",IF(OR(X43="Hoàn thành",X43="Hủy"),X43,IF(COUNTIFS('Lớp 4 - Danh mục'!$J$14:$J$132,I43,'Lớp 4 - Danh mục'!$AA$14:$AA$132,"&lt;&gt;Hủy")&gt;0,"Theo dõi tải tại Lớp 4",IF(AE43="","Chưa nhập khối lượng",IF(V43="","Thiếu người thực hiện",IF(OR(Z43="",AA43=""),"Chưa nhập đủ thời gian",IF(AD43&lt;0,"Quá hạn – còn "&amp;TEXT(MAX(0,AE43*(1-AC43)),"0.0")&amp;" giờ",LET(bd,MAX(TODAY(),Z43),kt,AA43,nguoi,V43,tai,SUMIFS('Lớp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I43" s="467" t="str">
        <f>'Trung tâm nhập liệu'!O108</f>
        <v/>
      </c>
      <c r="AJ43" s="469" t="str">
        <f>'Trung tâm nhập liệu'!P108</f>
        <v/>
      </c>
      <c r="AK43" s="470" t="str">
        <f>'Trung tâm nhập liệu'!S108</f>
        <v/>
      </c>
      <c r="AL43" s="470" t="str">
        <f>'Trung tâm nhập liệu'!X108</f>
        <v/>
      </c>
      <c r="AM43" s="471" t="str">
        <f t="shared" si="18"/>
        <v/>
      </c>
      <c r="AN43" s="469" t="str">
        <f t="shared" si="19"/>
        <v/>
      </c>
      <c r="AO43" s="475" t="str">
        <f>'Trung tâm nhập liệu'!V108</f>
        <v/>
      </c>
      <c r="AP43" s="476" t="str">
        <f>'Trung tâm nhập liệu'!W108</f>
        <v/>
      </c>
      <c r="AQ43" s="478" t="str">
        <f>IF(AI43&lt;&gt;"Có thời hạn","",IF(OR(I43="",AE43="",X43="Hoàn thành",X43="Hủy",COUNTIFS('Lớp 4 - Danh mục'!$J$14:$J$132,I43,'Lớp 4 - Danh mục'!$AA$14:$AA$132,"&lt;&gt;Hủy")&gt;0),"",LET(canNgay,MAX(0,AE43*(1-AC43))/MAX(1,AD43),IF(AO43="Ngày",canNgay,IF(AO43="Tuần",canNgay*5,"")))))</f>
        <v/>
      </c>
      <c r="AR43" s="465" t="str">
        <f>IF(I43="","",IF(COUNTIFS('Lớp 4 - Danh mục'!$J$14:$J$132,I43,'Lớp 4 - Danh mục'!$AA$14:$AA$132,"&lt;&gt;Hủy")&gt;0,"Theo dõi phân bổ tại Lớp 4",IF(OR(X43="Hoàn thành",X43="Hủy"),X43,IF(AE43="","Thiếu tổng giờ",IF(OR(AO43="",AP43=""),"Thiếu tham số phân bổ",IF(AP43&lt;=0,"Phân bổ phải &gt; 0",IF(AI43&lt;&gt;"Có thời hạn","Đã có phân bổ",IF(AQ43="","Chưa đủ dữ liệu hạn",IF(AP43&gt;=AQ43,"Đủ phân bổ theo "&amp;LOWER(AO43),"Thiếu "&amp;TEXT(AQ43-AP43,"0.0")&amp;" giờ/"&amp;LOWER(AO43))))))))))</f>
        <v/>
      </c>
      <c r="AS43" s="465" t="str">
        <f t="shared" si="20"/>
        <v/>
      </c>
      <c r="AT43" s="479" t="str">
        <f>'Trung tâm nhập liệu'!Y108</f>
        <v/>
      </c>
    </row>
    <row r="44" ht="15.75" customHeight="1">
      <c r="A44" s="383" t="str">
        <f t="shared" si="11"/>
        <v/>
      </c>
      <c r="B44" s="387" t="str">
        <f>'Trung tâm nhập liệu'!F109</f>
        <v/>
      </c>
      <c r="C44" s="394" t="str">
        <f>'Trung tâm nhập liệu'!M109</f>
        <v/>
      </c>
      <c r="D44" s="615" t="str">
        <f t="shared" ref="D44:E44" si="120">AC44</f>
        <v/>
      </c>
      <c r="E44" s="614" t="str">
        <f t="shared" si="120"/>
        <v/>
      </c>
      <c r="F44" s="407" t="str">
        <f t="shared" ref="F44:G44" si="121">Q44</f>
        <v/>
      </c>
      <c r="G44" s="407" t="str">
        <f t="shared" si="121"/>
        <v/>
      </c>
      <c r="H44" s="411" t="str">
        <f>IF(B44="","",IF(COUNTIF('Lớp 4 - Danh mục'!$J$14:$J$132,I44)&gt;0,"Có","Không"))</f>
        <v/>
      </c>
      <c r="I44" s="414" t="str">
        <f>'Trung tâm nhập liệu'!B109</f>
        <v/>
      </c>
      <c r="J44" s="415" t="str">
        <f>'Trung tâm nhập liệu'!E109</f>
        <v/>
      </c>
      <c r="K44" s="469"/>
      <c r="L44" s="521"/>
      <c r="M44" s="419" t="str">
        <f t="shared" ref="M44:P44" si="122">B44</f>
        <v/>
      </c>
      <c r="N44" s="420" t="str">
        <f t="shared" si="122"/>
        <v/>
      </c>
      <c r="O44" s="421" t="str">
        <f t="shared" si="122"/>
        <v/>
      </c>
      <c r="P44" s="422" t="str">
        <f t="shared" si="122"/>
        <v/>
      </c>
      <c r="Q44" s="426" t="str">
        <f>IF($I44="","",LET(n,COUNTIFS('Lớp 4 - Danh mục'!$J$14:$J$132,$I44,'Lớp 4 - Danh mục'!$AA$14:$AA$132,"&lt;&gt;Hủy"),child,IFERROR(MAXIFS('Lớp 4 - Danh mục'!$AD$14:$AD$132,'Lớp 4 - Danh mục'!$J$14:$J$132,$I44,'Lớp 4 - Danh mục'!$AA$14:$AA$132,"&lt;&gt;Hủy",'Lớp 4 - Danh mục'!$AD$14:$AD$132,"&gt;0"),0),plan,'Trung tâm nhập liệu'!Q109,emergent,LOWER(TRIM('Trung tâm nhập liệu'!O109))="khi phát sinh",IF(n=0,IF(emergent,"",plan),IF(child=0,IF(emergent,"",plan),IF(OR(emergent,plan=""),child,MAX(plan,child))))))</f>
        <v/>
      </c>
      <c r="R44" s="430" t="str">
        <f>IF($I44="","",LET(n,COUNTIFS('Lớp 4 - Danh mục'!$J$14:$J$132,$I44,'Lớp 4 - Danh mục'!$AA$14:$AA$132,"&lt;&gt;Hủy"),child,IFERROR(MINIFS('Lớp 4 - Danh mục'!$AC$14:$AC$132,'Lớp 4 - Danh mục'!$J$14:$J$132,$I44,'Lớp 4 - Danh mục'!$AA$14:$AA$132,"&lt;&gt;Hủy",'Lớp 4 - Danh mục'!$AC$14:$AC$132,"&gt;0"),0),plan,'Trung tâm nhập liệu'!R109,emergent,LOWER(TRIM('Trung tâm nhập liệu'!O109))="khi phát sinh",IF(n=0,IF(emergent,"",plan),IF(child=0,IF(emergent,"",plan),IF(OR(emergent,plan=""),child,MIN(plan,child))))))</f>
        <v/>
      </c>
      <c r="S44" s="411" t="str">
        <f t="shared" si="15"/>
        <v/>
      </c>
      <c r="T44" s="414" t="str">
        <f>'Trung tâm nhập liệu'!G109</f>
        <v/>
      </c>
      <c r="U44" s="433" t="str">
        <f>'Trung tâm nhập liệu'!J109</f>
        <v/>
      </c>
      <c r="V44" s="435" t="str">
        <f>'Trung tâm nhập liệu'!K109</f>
        <v/>
      </c>
      <c r="W44" s="435" t="str">
        <f>'Trung tâm nhập liệu'!I109</f>
        <v/>
      </c>
      <c r="X44" s="437" t="str">
        <f>'Trung tâm nhập liệu'!L109</f>
        <v/>
      </c>
      <c r="Y44" s="420" t="str">
        <f>'Trung tâm nhập liệu'!M109</f>
        <v/>
      </c>
      <c r="Z44" s="430" t="str">
        <f t="shared" si="16"/>
        <v/>
      </c>
      <c r="AA44" s="426" t="str">
        <f t="shared" si="17"/>
        <v/>
      </c>
      <c r="AB44" s="516" t="str">
        <f>IF(AI44&lt;&gt;"Có thời hạn","",IF(OR(Z44="",AA44=""),"",IF(AA44&lt;Z44,"",_xlfn.NETWORKDAYS.INTL(Z44,AA44,11,'Ngày nghỉ lễ'!$A$5:$A$80))))</f>
        <v/>
      </c>
      <c r="AC44" s="446" t="str">
        <f>IF(I44="","",IF(L44="Công việc khác","",IF(OR(X44="Chưa lên lịch",X44="Đã lên lịch",X44="Hủy"),"",IF(COUNTIFS('Lớp 4 - Danh mục'!$J$14:$J$132,I44,'Lớp 4 - Danh mục'!$AA$14:$AA$132,"&lt;&gt;",'Lớp 4 - Danh mục'!$AA$14:$AA$132,"&lt;&gt;Hủy",'Lớp 4 - Danh mục'!$AA$14:$AA$132,"&lt;&gt;Chưa lên lịch",'Lớp 4 - Danh mục'!$AA$14:$AA$132,"&lt;&gt;Đã lên lịch")&gt;0,SUMIFS('Lớp 4 - Danh mục'!$AF$14:$AF$132,'Lớp 4 - Danh mục'!$J$14:$J$132,I44,'Lớp 4 - Danh mục'!$AA$14:$AA$132,"&lt;&gt;",'Lớp 4 - Danh mục'!$AA$14:$AA$132,"&lt;&gt;Hủy",'Lớp 4 - Danh mục'!$AA$14:$AA$132,"&lt;&gt;Chưa lên lịch",'Lớp 4 - Danh mục'!$AA$14:$AA$132,"&lt;&gt;Đã lên lịch")/COUNTIFS('Lớp 4 - Danh mục'!$J$14:$J$132,I44,'Lớp 4 - Danh mục'!$AA$14:$AA$132,"&lt;&gt;",'Lớp 4 - Danh mục'!$AA$14:$AA$132,"&lt;&gt;Hủy",'Lớp 4 - Danh mục'!$AA$14:$AA$132,"&lt;&gt;Chưa lên lịch",'Lớp 4 - Danh mục'!$AA$14:$AA$132,"&lt;&gt;Đã lên lịch"),IF(X44="Hoàn thành",1,0)))))</f>
        <v/>
      </c>
      <c r="AD44" s="516" t="str">
        <f>IF(AI44&lt;&gt;"Có thời hạn","",IF(OR(I44="",Z44="",AA44=""),"",IF(OR(X44="Hoàn thành",X44="Hủy"),0,IF(AA44&lt;TODAY(),-_xlfn.NETWORKDAYS.INTL(AA44,TODAY()-1,11,'Ngày nghỉ lễ'!$A$5:$A$80),MAX(0,_xlfn.NETWORKDAYS.INTL(MAX(TODAY()+1,Z44),AA44,11,'Ngày nghỉ lễ'!$A$5:$A$80))))))</f>
        <v/>
      </c>
      <c r="AE44" s="448" t="str">
        <f>IF($I44="","",LET(n,COUNTIFS('Lớp 4 - Danh mục'!$J$14:$J$132,$I44,'Lớp 4 - Danh mục'!$AA$14:$AA$132,"&lt;&gt;Hủy"),du,COUNTIFS('Lớp 4 - Danh mục'!$J$14:$J$132,$I44,'Lớp 4 - Danh mục'!$AA$14:$AA$132,"&lt;&gt;Hủy",'Lớp 4 - Danh mục'!$AH$14:$AH$132,"&lt;&gt;"),IF(n=0,'Trung tâm nhập liệu'!T109,IF(du&lt;n,"",SUMIFS('Lớp 4 - Danh mục'!$AH$14:$AH$132,'Lớp 4 - Danh mục'!$J$14:$J$132,$I44,'Lớp 4 - Danh mục'!$AA$14:$AA$132,"&lt;&gt;Hủy")))))</f>
        <v/>
      </c>
      <c r="AF44" s="510" t="str">
        <f>IF(I44="","",IF(OR(X44="Hoàn thành",X44="Hủy"),"",IF(COUNTIFS('Lớp 4 - Danh mục'!$J$14:$J$132,I44,'Lớp 4 - Danh mục'!$AA$14:$AA$132,"&lt;&gt;Hủy")&gt;0,"",IF(AO44="Ngày",AP44,IF(AO44="Tuần",AP44/5,"")))))</f>
        <v/>
      </c>
      <c r="AG44" s="456" t="str">
        <f>IF(AI44="Chưa xếp lịch","Chưa xếp lịch",IF(AI44="Định kỳ",IF(AJ44="","Thiếu chu kỳ","Theo chu kỳ"),IF(AI44="Khi phát sinh",IF(COUNTIFS('Lớp 4 - Danh mục'!$J$14:$J$132,$I44,'Lớp 4 - Danh mục'!$AA$14:$AA$132,"&lt;&gt;Hủy")=0,"Khi phát sinh – chờ việc con","Khi phát sinh – theo ngày con"),IF(I44="","",LET(n,COUNTIFS('Lớp 4 - Danh mục'!$J$14:$J$132,$I44,'Lớp 4 - Danh mục'!$AA$14:$AA$132,"&lt;&gt;Hủy"),cs,IFERROR(MINIFS('Lớp 4 - Danh mục'!$AC$14:$AC$132,'Lớp 4 - Danh mục'!$J$14:$J$132,$I44,'Lớp 4 - Danh mục'!$AA$14:$AA$132,"&lt;&gt;Hủy",'Lớp 4 - Danh mục'!$AC$14:$AC$132,"&gt;0"),0),ce,IFERROR(MAXIFS('Lớp 4 - Danh mục'!$AD$14:$AD$132,'Lớp 4 - Danh mục'!$J$14:$J$132,$I44,'Lớp 4 - Danh mục'!$AA$14:$AA$132,"&lt;&gt;Hủy",'Lớp 4 - Danh mục'!$AD$14:$AD$132,"&gt;0"),0),ps,'Trung tâm nhập liệu'!R109,pe,'Trung tâm nhập liệu'!Q109,IF(OR(Z44="",AA44=""),"Thiếu ngày L3",IF(n=0,"Chưa có L4",IF(OR(cs=0,ce=0),"Thiếu ngày L4",IF(OR(ps="",pe=""),"Thiếu ngày kế hoạch gốc L3",IF(OR(cs&lt;ps,ce&gt;pe),"Cảnh báo: Con vượt khung kế hoạch gốc","L4 đúng khung kế hoạch gốc"))))))))))</f>
        <v/>
      </c>
      <c r="AH44" s="465" t="str">
        <f>IF(OR(AR44="Thiếu tham số phân bổ",AR44="Phân bổ phải &gt; 0"),AR44,SWITCH(AI44,"Chưa xếp lịch","Chưa tính tải","Định kỳ","Theo chu kỳ","Khi phát sinh","Khi phát sinh",IF(I44="","",IF(OR(X44="Hoàn thành",X44="Hủy"),X44,IF(COUNTIFS('Lớp 4 - Danh mục'!$J$14:$J$132,I44,'Lớp 4 - Danh mục'!$AA$14:$AA$132,"&lt;&gt;Hủy")&gt;0,"Theo dõi tải tại Lớp 4",IF(AE44="","Chưa nhập khối lượng",IF(V44="","Thiếu người thực hiện",IF(OR(Z44="",AA44=""),"Chưa nhập đủ thời gian",IF(AD44&lt;0,"Quá hạn – còn "&amp;TEXT(MAX(0,AE44*(1-AC44)),"0.0")&amp;" giờ",LET(bd,MAX(TODAY(),Z44),kt,AA44,nguoi,V44,tai,SUMIFS('Lớp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I44" s="467" t="str">
        <f>'Trung tâm nhập liệu'!O109</f>
        <v/>
      </c>
      <c r="AJ44" s="469" t="str">
        <f>'Trung tâm nhập liệu'!P109</f>
        <v/>
      </c>
      <c r="AK44" s="470" t="str">
        <f>'Trung tâm nhập liệu'!S109</f>
        <v/>
      </c>
      <c r="AL44" s="470" t="str">
        <f>'Trung tâm nhập liệu'!X109</f>
        <v/>
      </c>
      <c r="AM44" s="471" t="str">
        <f t="shared" si="18"/>
        <v/>
      </c>
      <c r="AN44" s="469" t="str">
        <f t="shared" si="19"/>
        <v/>
      </c>
      <c r="AO44" s="475" t="str">
        <f>'Trung tâm nhập liệu'!V109</f>
        <v/>
      </c>
      <c r="AP44" s="476" t="str">
        <f>'Trung tâm nhập liệu'!W109</f>
        <v/>
      </c>
      <c r="AQ44" s="478" t="str">
        <f>IF(AI44&lt;&gt;"Có thời hạn","",IF(OR(I44="",AE44="",X44="Hoàn thành",X44="Hủy",COUNTIFS('Lớp 4 - Danh mục'!$J$14:$J$132,I44,'Lớp 4 - Danh mục'!$AA$14:$AA$132,"&lt;&gt;Hủy")&gt;0),"",LET(canNgay,MAX(0,AE44*(1-AC44))/MAX(1,AD44),IF(AO44="Ngày",canNgay,IF(AO44="Tuần",canNgay*5,"")))))</f>
        <v/>
      </c>
      <c r="AR44" s="465" t="str">
        <f>IF(I44="","",IF(COUNTIFS('Lớp 4 - Danh mục'!$J$14:$J$132,I44,'Lớp 4 - Danh mục'!$AA$14:$AA$132,"&lt;&gt;Hủy")&gt;0,"Theo dõi phân bổ tại Lớp 4",IF(OR(X44="Hoàn thành",X44="Hủy"),X44,IF(AE44="","Thiếu tổng giờ",IF(OR(AO44="",AP44=""),"Thiếu tham số phân bổ",IF(AP44&lt;=0,"Phân bổ phải &gt; 0",IF(AI44&lt;&gt;"Có thời hạn","Đã có phân bổ",IF(AQ44="","Chưa đủ dữ liệu hạn",IF(AP44&gt;=AQ44,"Đủ phân bổ theo "&amp;LOWER(AO44),"Thiếu "&amp;TEXT(AQ44-AP44,"0.0")&amp;" giờ/"&amp;LOWER(AO44))))))))))</f>
        <v/>
      </c>
      <c r="AS44" s="465" t="str">
        <f t="shared" si="20"/>
        <v/>
      </c>
      <c r="AT44" s="479" t="str">
        <f>'Trung tâm nhập liệu'!Y109</f>
        <v/>
      </c>
    </row>
    <row r="45" ht="15.75" customHeight="1">
      <c r="A45" s="383" t="str">
        <f t="shared" si="11"/>
        <v/>
      </c>
      <c r="B45" s="387" t="str">
        <f>'Trung tâm nhập liệu'!F110</f>
        <v/>
      </c>
      <c r="C45" s="394" t="str">
        <f>'Trung tâm nhập liệu'!M110</f>
        <v/>
      </c>
      <c r="D45" s="615" t="str">
        <f t="shared" ref="D45:E45" si="123">AC45</f>
        <v/>
      </c>
      <c r="E45" s="614" t="str">
        <f t="shared" si="123"/>
        <v/>
      </c>
      <c r="F45" s="407" t="str">
        <f t="shared" ref="F45:G45" si="124">Q45</f>
        <v/>
      </c>
      <c r="G45" s="407" t="str">
        <f t="shared" si="124"/>
        <v/>
      </c>
      <c r="H45" s="411" t="str">
        <f>IF(B45="","",IF(COUNTIF('Lớp 4 - Danh mục'!$J$14:$J$132,I45)&gt;0,"Có","Không"))</f>
        <v/>
      </c>
      <c r="I45" s="414" t="str">
        <f>'Trung tâm nhập liệu'!B110</f>
        <v/>
      </c>
      <c r="J45" s="415" t="str">
        <f>'Trung tâm nhập liệu'!E110</f>
        <v/>
      </c>
      <c r="K45" s="469"/>
      <c r="L45" s="521"/>
      <c r="M45" s="419" t="str">
        <f t="shared" ref="M45:P45" si="125">B45</f>
        <v/>
      </c>
      <c r="N45" s="420" t="str">
        <f t="shared" si="125"/>
        <v/>
      </c>
      <c r="O45" s="421" t="str">
        <f t="shared" si="125"/>
        <v/>
      </c>
      <c r="P45" s="422" t="str">
        <f t="shared" si="125"/>
        <v/>
      </c>
      <c r="Q45" s="426" t="str">
        <f>IF($I45="","",LET(n,COUNTIFS('Lớp 4 - Danh mục'!$J$14:$J$132,$I45,'Lớp 4 - Danh mục'!$AA$14:$AA$132,"&lt;&gt;Hủy"),child,IFERROR(MAXIFS('Lớp 4 - Danh mục'!$AD$14:$AD$132,'Lớp 4 - Danh mục'!$J$14:$J$132,$I45,'Lớp 4 - Danh mục'!$AA$14:$AA$132,"&lt;&gt;Hủy",'Lớp 4 - Danh mục'!$AD$14:$AD$132,"&gt;0"),0),plan,'Trung tâm nhập liệu'!Q110,emergent,LOWER(TRIM('Trung tâm nhập liệu'!O110))="khi phát sinh",IF(n=0,IF(emergent,"",plan),IF(child=0,IF(emergent,"",plan),IF(OR(emergent,plan=""),child,MAX(plan,child))))))</f>
        <v/>
      </c>
      <c r="R45" s="430" t="str">
        <f>IF($I45="","",LET(n,COUNTIFS('Lớp 4 - Danh mục'!$J$14:$J$132,$I45,'Lớp 4 - Danh mục'!$AA$14:$AA$132,"&lt;&gt;Hủy"),child,IFERROR(MINIFS('Lớp 4 - Danh mục'!$AC$14:$AC$132,'Lớp 4 - Danh mục'!$J$14:$J$132,$I45,'Lớp 4 - Danh mục'!$AA$14:$AA$132,"&lt;&gt;Hủy",'Lớp 4 - Danh mục'!$AC$14:$AC$132,"&gt;0"),0),plan,'Trung tâm nhập liệu'!R110,emergent,LOWER(TRIM('Trung tâm nhập liệu'!O110))="khi phát sinh",IF(n=0,IF(emergent,"",plan),IF(child=0,IF(emergent,"",plan),IF(OR(emergent,plan=""),child,MIN(plan,child))))))</f>
        <v/>
      </c>
      <c r="S45" s="411" t="str">
        <f t="shared" si="15"/>
        <v/>
      </c>
      <c r="T45" s="414" t="str">
        <f>'Trung tâm nhập liệu'!G110</f>
        <v/>
      </c>
      <c r="U45" s="433" t="str">
        <f>'Trung tâm nhập liệu'!J110</f>
        <v/>
      </c>
      <c r="V45" s="435" t="str">
        <f>'Trung tâm nhập liệu'!K110</f>
        <v/>
      </c>
      <c r="W45" s="435" t="str">
        <f>'Trung tâm nhập liệu'!I110</f>
        <v/>
      </c>
      <c r="X45" s="437" t="str">
        <f>'Trung tâm nhập liệu'!L110</f>
        <v/>
      </c>
      <c r="Y45" s="420" t="str">
        <f>'Trung tâm nhập liệu'!M110</f>
        <v/>
      </c>
      <c r="Z45" s="430" t="str">
        <f t="shared" si="16"/>
        <v/>
      </c>
      <c r="AA45" s="426" t="str">
        <f t="shared" si="17"/>
        <v/>
      </c>
      <c r="AB45" s="516" t="str">
        <f>IF(AI45&lt;&gt;"Có thời hạn","",IF(OR(Z45="",AA45=""),"",IF(AA45&lt;Z45,"",_xlfn.NETWORKDAYS.INTL(Z45,AA45,11,'Ngày nghỉ lễ'!$A$5:$A$80))))</f>
        <v/>
      </c>
      <c r="AC45" s="446" t="str">
        <f>IF(I45="","",IF(L45="Công việc khác","",IF(OR(X45="Chưa lên lịch",X45="Đã lên lịch",X45="Hủy"),"",IF(COUNTIFS('Lớp 4 - Danh mục'!$J$14:$J$132,I45,'Lớp 4 - Danh mục'!$AA$14:$AA$132,"&lt;&gt;",'Lớp 4 - Danh mục'!$AA$14:$AA$132,"&lt;&gt;Hủy",'Lớp 4 - Danh mục'!$AA$14:$AA$132,"&lt;&gt;Chưa lên lịch",'Lớp 4 - Danh mục'!$AA$14:$AA$132,"&lt;&gt;Đã lên lịch")&gt;0,SUMIFS('Lớp 4 - Danh mục'!$AF$14:$AF$132,'Lớp 4 - Danh mục'!$J$14:$J$132,I45,'Lớp 4 - Danh mục'!$AA$14:$AA$132,"&lt;&gt;",'Lớp 4 - Danh mục'!$AA$14:$AA$132,"&lt;&gt;Hủy",'Lớp 4 - Danh mục'!$AA$14:$AA$132,"&lt;&gt;Chưa lên lịch",'Lớp 4 - Danh mục'!$AA$14:$AA$132,"&lt;&gt;Đã lên lịch")/COUNTIFS('Lớp 4 - Danh mục'!$J$14:$J$132,I45,'Lớp 4 - Danh mục'!$AA$14:$AA$132,"&lt;&gt;",'Lớp 4 - Danh mục'!$AA$14:$AA$132,"&lt;&gt;Hủy",'Lớp 4 - Danh mục'!$AA$14:$AA$132,"&lt;&gt;Chưa lên lịch",'Lớp 4 - Danh mục'!$AA$14:$AA$132,"&lt;&gt;Đã lên lịch"),IF(X45="Hoàn thành",1,0)))))</f>
        <v/>
      </c>
      <c r="AD45" s="516" t="str">
        <f>IF(AI45&lt;&gt;"Có thời hạn","",IF(OR(I45="",Z45="",AA45=""),"",IF(OR(X45="Hoàn thành",X45="Hủy"),0,IF(AA45&lt;TODAY(),-_xlfn.NETWORKDAYS.INTL(AA45,TODAY()-1,11,'Ngày nghỉ lễ'!$A$5:$A$80),MAX(0,_xlfn.NETWORKDAYS.INTL(MAX(TODAY()+1,Z45),AA45,11,'Ngày nghỉ lễ'!$A$5:$A$80))))))</f>
        <v/>
      </c>
      <c r="AE45" s="448" t="str">
        <f>IF($I45="","",LET(n,COUNTIFS('Lớp 4 - Danh mục'!$J$14:$J$132,$I45,'Lớp 4 - Danh mục'!$AA$14:$AA$132,"&lt;&gt;Hủy"),du,COUNTIFS('Lớp 4 - Danh mục'!$J$14:$J$132,$I45,'Lớp 4 - Danh mục'!$AA$14:$AA$132,"&lt;&gt;Hủy",'Lớp 4 - Danh mục'!$AH$14:$AH$132,"&lt;&gt;"),IF(n=0,'Trung tâm nhập liệu'!T110,IF(du&lt;n,"",SUMIFS('Lớp 4 - Danh mục'!$AH$14:$AH$132,'Lớp 4 - Danh mục'!$J$14:$J$132,$I45,'Lớp 4 - Danh mục'!$AA$14:$AA$132,"&lt;&gt;Hủy")))))</f>
        <v/>
      </c>
      <c r="AF45" s="510" t="str">
        <f>IF(I45="","",IF(OR(X45="Hoàn thành",X45="Hủy"),"",IF(COUNTIFS('Lớp 4 - Danh mục'!$J$14:$J$132,I45,'Lớp 4 - Danh mục'!$AA$14:$AA$132,"&lt;&gt;Hủy")&gt;0,"",IF(AO45="Ngày",AP45,IF(AO45="Tuần",AP45/5,"")))))</f>
        <v/>
      </c>
      <c r="AG45" s="456" t="str">
        <f>IF(AI45="Chưa xếp lịch","Chưa xếp lịch",IF(AI45="Định kỳ",IF(AJ45="","Thiếu chu kỳ","Theo chu kỳ"),IF(AI45="Khi phát sinh",IF(COUNTIFS('Lớp 4 - Danh mục'!$J$14:$J$132,$I45,'Lớp 4 - Danh mục'!$AA$14:$AA$132,"&lt;&gt;Hủy")=0,"Khi phát sinh – chờ việc con","Khi phát sinh – theo ngày con"),IF(I45="","",LET(n,COUNTIFS('Lớp 4 - Danh mục'!$J$14:$J$132,$I45,'Lớp 4 - Danh mục'!$AA$14:$AA$132,"&lt;&gt;Hủy"),cs,IFERROR(MINIFS('Lớp 4 - Danh mục'!$AC$14:$AC$132,'Lớp 4 - Danh mục'!$J$14:$J$132,$I45,'Lớp 4 - Danh mục'!$AA$14:$AA$132,"&lt;&gt;Hủy",'Lớp 4 - Danh mục'!$AC$14:$AC$132,"&gt;0"),0),ce,IFERROR(MAXIFS('Lớp 4 - Danh mục'!$AD$14:$AD$132,'Lớp 4 - Danh mục'!$J$14:$J$132,$I45,'Lớp 4 - Danh mục'!$AA$14:$AA$132,"&lt;&gt;Hủy",'Lớp 4 - Danh mục'!$AD$14:$AD$132,"&gt;0"),0),ps,'Trung tâm nhập liệu'!R110,pe,'Trung tâm nhập liệu'!Q110,IF(OR(Z45="",AA45=""),"Thiếu ngày L3",IF(n=0,"Chưa có L4",IF(OR(cs=0,ce=0),"Thiếu ngày L4",IF(OR(ps="",pe=""),"Thiếu ngày kế hoạch gốc L3",IF(OR(cs&lt;ps,ce&gt;pe),"Cảnh báo: Con vượt khung kế hoạch gốc","L4 đúng khung kế hoạch gốc"))))))))))</f>
        <v/>
      </c>
      <c r="AH45" s="465" t="str">
        <f>IF(OR(AR45="Thiếu tham số phân bổ",AR45="Phân bổ phải &gt; 0"),AR45,SWITCH(AI45,"Chưa xếp lịch","Chưa tính tải","Định kỳ","Theo chu kỳ","Khi phát sinh","Khi phát sinh",IF(I45="","",IF(OR(X45="Hoàn thành",X45="Hủy"),X45,IF(COUNTIFS('Lớp 4 - Danh mục'!$J$14:$J$132,I45,'Lớp 4 - Danh mục'!$AA$14:$AA$132,"&lt;&gt;Hủy")&gt;0,"Theo dõi tải tại Lớp 4",IF(AE45="","Chưa nhập khối lượng",IF(V45="","Thiếu người thực hiện",IF(OR(Z45="",AA45=""),"Chưa nhập đủ thời gian",IF(AD45&lt;0,"Quá hạn – còn "&amp;TEXT(MAX(0,AE45*(1-AC45)),"0.0")&amp;" giờ",LET(bd,MAX(TODAY(),Z45),kt,AA45,nguoi,V45,tai,SUMIFS('Lớp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I45" s="467" t="str">
        <f>'Trung tâm nhập liệu'!O110</f>
        <v/>
      </c>
      <c r="AJ45" s="469" t="str">
        <f>'Trung tâm nhập liệu'!P110</f>
        <v/>
      </c>
      <c r="AK45" s="470" t="str">
        <f>'Trung tâm nhập liệu'!S110</f>
        <v/>
      </c>
      <c r="AL45" s="470" t="str">
        <f>'Trung tâm nhập liệu'!X110</f>
        <v/>
      </c>
      <c r="AM45" s="471" t="str">
        <f t="shared" si="18"/>
        <v/>
      </c>
      <c r="AN45" s="469" t="str">
        <f t="shared" si="19"/>
        <v/>
      </c>
      <c r="AO45" s="475" t="str">
        <f>'Trung tâm nhập liệu'!V110</f>
        <v/>
      </c>
      <c r="AP45" s="476" t="str">
        <f>'Trung tâm nhập liệu'!W110</f>
        <v/>
      </c>
      <c r="AQ45" s="478" t="str">
        <f>IF(AI45&lt;&gt;"Có thời hạn","",IF(OR(I45="",AE45="",X45="Hoàn thành",X45="Hủy",COUNTIFS('Lớp 4 - Danh mục'!$J$14:$J$132,I45,'Lớp 4 - Danh mục'!$AA$14:$AA$132,"&lt;&gt;Hủy")&gt;0),"",LET(canNgay,MAX(0,AE45*(1-AC45))/MAX(1,AD45),IF(AO45="Ngày",canNgay,IF(AO45="Tuần",canNgay*5,"")))))</f>
        <v/>
      </c>
      <c r="AR45" s="465" t="str">
        <f>IF(I45="","",IF(COUNTIFS('Lớp 4 - Danh mục'!$J$14:$J$132,I45,'Lớp 4 - Danh mục'!$AA$14:$AA$132,"&lt;&gt;Hủy")&gt;0,"Theo dõi phân bổ tại Lớp 4",IF(OR(X45="Hoàn thành",X45="Hủy"),X45,IF(AE45="","Thiếu tổng giờ",IF(OR(AO45="",AP45=""),"Thiếu tham số phân bổ",IF(AP45&lt;=0,"Phân bổ phải &gt; 0",IF(AI45&lt;&gt;"Có thời hạn","Đã có phân bổ",IF(AQ45="","Chưa đủ dữ liệu hạn",IF(AP45&gt;=AQ45,"Đủ phân bổ theo "&amp;LOWER(AO45),"Thiếu "&amp;TEXT(AQ45-AP45,"0.0")&amp;" giờ/"&amp;LOWER(AO45))))))))))</f>
        <v/>
      </c>
      <c r="AS45" s="465" t="str">
        <f t="shared" si="20"/>
        <v/>
      </c>
      <c r="AT45" s="479" t="str">
        <f>'Trung tâm nhập liệu'!Y110</f>
        <v/>
      </c>
    </row>
    <row r="46" ht="15.75" customHeight="1">
      <c r="A46" s="383" t="str">
        <f t="shared" si="11"/>
        <v/>
      </c>
      <c r="B46" s="387" t="str">
        <f>'Trung tâm nhập liệu'!F111</f>
        <v/>
      </c>
      <c r="C46" s="394" t="str">
        <f>'Trung tâm nhập liệu'!M111</f>
        <v/>
      </c>
      <c r="D46" s="615" t="str">
        <f t="shared" ref="D46:E46" si="126">AC46</f>
        <v/>
      </c>
      <c r="E46" s="614" t="str">
        <f t="shared" si="126"/>
        <v/>
      </c>
      <c r="F46" s="407" t="str">
        <f t="shared" ref="F46:G46" si="127">Q46</f>
        <v/>
      </c>
      <c r="G46" s="407" t="str">
        <f t="shared" si="127"/>
        <v/>
      </c>
      <c r="H46" s="411" t="str">
        <f>IF(B46="","",IF(COUNTIF('Lớp 4 - Danh mục'!$J$14:$J$132,I46)&gt;0,"Có","Không"))</f>
        <v/>
      </c>
      <c r="I46" s="414" t="str">
        <f>'Trung tâm nhập liệu'!B111</f>
        <v/>
      </c>
      <c r="J46" s="415" t="str">
        <f>'Trung tâm nhập liệu'!E111</f>
        <v/>
      </c>
      <c r="K46" s="469"/>
      <c r="L46" s="521"/>
      <c r="M46" s="419" t="str">
        <f t="shared" ref="M46:P46" si="128">B46</f>
        <v/>
      </c>
      <c r="N46" s="420" t="str">
        <f t="shared" si="128"/>
        <v/>
      </c>
      <c r="O46" s="421" t="str">
        <f t="shared" si="128"/>
        <v/>
      </c>
      <c r="P46" s="422" t="str">
        <f t="shared" si="128"/>
        <v/>
      </c>
      <c r="Q46" s="426" t="str">
        <f>IF($I46="","",LET(n,COUNTIFS('Lớp 4 - Danh mục'!$J$14:$J$132,$I46,'Lớp 4 - Danh mục'!$AA$14:$AA$132,"&lt;&gt;Hủy"),child,IFERROR(MAXIFS('Lớp 4 - Danh mục'!$AD$14:$AD$132,'Lớp 4 - Danh mục'!$J$14:$J$132,$I46,'Lớp 4 - Danh mục'!$AA$14:$AA$132,"&lt;&gt;Hủy",'Lớp 4 - Danh mục'!$AD$14:$AD$132,"&gt;0"),0),plan,'Trung tâm nhập liệu'!Q111,emergent,LOWER(TRIM('Trung tâm nhập liệu'!O111))="khi phát sinh",IF(n=0,IF(emergent,"",plan),IF(child=0,IF(emergent,"",plan),IF(OR(emergent,plan=""),child,MAX(plan,child))))))</f>
        <v/>
      </c>
      <c r="R46" s="430" t="str">
        <f>IF($I46="","",LET(n,COUNTIFS('Lớp 4 - Danh mục'!$J$14:$J$132,$I46,'Lớp 4 - Danh mục'!$AA$14:$AA$132,"&lt;&gt;Hủy"),child,IFERROR(MINIFS('Lớp 4 - Danh mục'!$AC$14:$AC$132,'Lớp 4 - Danh mục'!$J$14:$J$132,$I46,'Lớp 4 - Danh mục'!$AA$14:$AA$132,"&lt;&gt;Hủy",'Lớp 4 - Danh mục'!$AC$14:$AC$132,"&gt;0"),0),plan,'Trung tâm nhập liệu'!R111,emergent,LOWER(TRIM('Trung tâm nhập liệu'!O111))="khi phát sinh",IF(n=0,IF(emergent,"",plan),IF(child=0,IF(emergent,"",plan),IF(OR(emergent,plan=""),child,MIN(plan,child))))))</f>
        <v/>
      </c>
      <c r="S46" s="411" t="str">
        <f t="shared" si="15"/>
        <v/>
      </c>
      <c r="T46" s="414" t="str">
        <f>'Trung tâm nhập liệu'!G111</f>
        <v/>
      </c>
      <c r="U46" s="433" t="str">
        <f>'Trung tâm nhập liệu'!J111</f>
        <v/>
      </c>
      <c r="V46" s="435" t="str">
        <f>'Trung tâm nhập liệu'!K111</f>
        <v/>
      </c>
      <c r="W46" s="435" t="str">
        <f>'Trung tâm nhập liệu'!I111</f>
        <v/>
      </c>
      <c r="X46" s="437" t="str">
        <f>'Trung tâm nhập liệu'!L111</f>
        <v/>
      </c>
      <c r="Y46" s="420" t="str">
        <f>'Trung tâm nhập liệu'!M111</f>
        <v/>
      </c>
      <c r="Z46" s="430" t="str">
        <f t="shared" si="16"/>
        <v/>
      </c>
      <c r="AA46" s="426" t="str">
        <f t="shared" si="17"/>
        <v/>
      </c>
      <c r="AB46" s="516" t="str">
        <f>IF(AI46&lt;&gt;"Có thời hạn","",IF(OR(Z46="",AA46=""),"",IF(AA46&lt;Z46,"",_xlfn.NETWORKDAYS.INTL(Z46,AA46,11,'Ngày nghỉ lễ'!$A$5:$A$80))))</f>
        <v/>
      </c>
      <c r="AC46" s="446" t="str">
        <f>IF(I46="","",IF(L46="Công việc khác","",IF(OR(X46="Chưa lên lịch",X46="Đã lên lịch",X46="Hủy"),"",IF(COUNTIFS('Lớp 4 - Danh mục'!$J$14:$J$132,I46,'Lớp 4 - Danh mục'!$AA$14:$AA$132,"&lt;&gt;",'Lớp 4 - Danh mục'!$AA$14:$AA$132,"&lt;&gt;Hủy",'Lớp 4 - Danh mục'!$AA$14:$AA$132,"&lt;&gt;Chưa lên lịch",'Lớp 4 - Danh mục'!$AA$14:$AA$132,"&lt;&gt;Đã lên lịch")&gt;0,SUMIFS('Lớp 4 - Danh mục'!$AF$14:$AF$132,'Lớp 4 - Danh mục'!$J$14:$J$132,I46,'Lớp 4 - Danh mục'!$AA$14:$AA$132,"&lt;&gt;",'Lớp 4 - Danh mục'!$AA$14:$AA$132,"&lt;&gt;Hủy",'Lớp 4 - Danh mục'!$AA$14:$AA$132,"&lt;&gt;Chưa lên lịch",'Lớp 4 - Danh mục'!$AA$14:$AA$132,"&lt;&gt;Đã lên lịch")/COUNTIFS('Lớp 4 - Danh mục'!$J$14:$J$132,I46,'Lớp 4 - Danh mục'!$AA$14:$AA$132,"&lt;&gt;",'Lớp 4 - Danh mục'!$AA$14:$AA$132,"&lt;&gt;Hủy",'Lớp 4 - Danh mục'!$AA$14:$AA$132,"&lt;&gt;Chưa lên lịch",'Lớp 4 - Danh mục'!$AA$14:$AA$132,"&lt;&gt;Đã lên lịch"),IF(X46="Hoàn thành",1,0)))))</f>
        <v/>
      </c>
      <c r="AD46" s="516" t="str">
        <f>IF(AI46&lt;&gt;"Có thời hạn","",IF(OR(I46="",Z46="",AA46=""),"",IF(OR(X46="Hoàn thành",X46="Hủy"),0,IF(AA46&lt;TODAY(),-_xlfn.NETWORKDAYS.INTL(AA46,TODAY()-1,11,'Ngày nghỉ lễ'!$A$5:$A$80),MAX(0,_xlfn.NETWORKDAYS.INTL(MAX(TODAY()+1,Z46),AA46,11,'Ngày nghỉ lễ'!$A$5:$A$80))))))</f>
        <v/>
      </c>
      <c r="AE46" s="448" t="str">
        <f>IF($I46="","",LET(n,COUNTIFS('Lớp 4 - Danh mục'!$J$14:$J$132,$I46,'Lớp 4 - Danh mục'!$AA$14:$AA$132,"&lt;&gt;Hủy"),du,COUNTIFS('Lớp 4 - Danh mục'!$J$14:$J$132,$I46,'Lớp 4 - Danh mục'!$AA$14:$AA$132,"&lt;&gt;Hủy",'Lớp 4 - Danh mục'!$AH$14:$AH$132,"&lt;&gt;"),IF(n=0,'Trung tâm nhập liệu'!T111,IF(du&lt;n,"",SUMIFS('Lớp 4 - Danh mục'!$AH$14:$AH$132,'Lớp 4 - Danh mục'!$J$14:$J$132,$I46,'Lớp 4 - Danh mục'!$AA$14:$AA$132,"&lt;&gt;Hủy")))))</f>
        <v/>
      </c>
      <c r="AF46" s="510" t="str">
        <f>IF(I46="","",IF(OR(X46="Hoàn thành",X46="Hủy"),"",IF(COUNTIFS('Lớp 4 - Danh mục'!$J$14:$J$132,I46,'Lớp 4 - Danh mục'!$AA$14:$AA$132,"&lt;&gt;Hủy")&gt;0,"",IF(AO46="Ngày",AP46,IF(AO46="Tuần",AP46/5,"")))))</f>
        <v/>
      </c>
      <c r="AG46" s="456" t="str">
        <f>IF(AI46="Chưa xếp lịch","Chưa xếp lịch",IF(AI46="Định kỳ",IF(AJ46="","Thiếu chu kỳ","Theo chu kỳ"),IF(AI46="Khi phát sinh",IF(COUNTIFS('Lớp 4 - Danh mục'!$J$14:$J$132,$I46,'Lớp 4 - Danh mục'!$AA$14:$AA$132,"&lt;&gt;Hủy")=0,"Khi phát sinh – chờ việc con","Khi phát sinh – theo ngày con"),IF(I46="","",LET(n,COUNTIFS('Lớp 4 - Danh mục'!$J$14:$J$132,$I46,'Lớp 4 - Danh mục'!$AA$14:$AA$132,"&lt;&gt;Hủy"),cs,IFERROR(MINIFS('Lớp 4 - Danh mục'!$AC$14:$AC$132,'Lớp 4 - Danh mục'!$J$14:$J$132,$I46,'Lớp 4 - Danh mục'!$AA$14:$AA$132,"&lt;&gt;Hủy",'Lớp 4 - Danh mục'!$AC$14:$AC$132,"&gt;0"),0),ce,IFERROR(MAXIFS('Lớp 4 - Danh mục'!$AD$14:$AD$132,'Lớp 4 - Danh mục'!$J$14:$J$132,$I46,'Lớp 4 - Danh mục'!$AA$14:$AA$132,"&lt;&gt;Hủy",'Lớp 4 - Danh mục'!$AD$14:$AD$132,"&gt;0"),0),ps,'Trung tâm nhập liệu'!R111,pe,'Trung tâm nhập liệu'!Q111,IF(OR(Z46="",AA46=""),"Thiếu ngày L3",IF(n=0,"Chưa có L4",IF(OR(cs=0,ce=0),"Thiếu ngày L4",IF(OR(ps="",pe=""),"Thiếu ngày kế hoạch gốc L3",IF(OR(cs&lt;ps,ce&gt;pe),"Cảnh báo: Con vượt khung kế hoạch gốc","L4 đúng khung kế hoạch gốc"))))))))))</f>
        <v/>
      </c>
      <c r="AH46" s="465" t="str">
        <f>IF(OR(AR46="Thiếu tham số phân bổ",AR46="Phân bổ phải &gt; 0"),AR46,SWITCH(AI46,"Chưa xếp lịch","Chưa tính tải","Định kỳ","Theo chu kỳ","Khi phát sinh","Khi phát sinh",IF(I46="","",IF(OR(X46="Hoàn thành",X46="Hủy"),X46,IF(COUNTIFS('Lớp 4 - Danh mục'!$J$14:$J$132,I46,'Lớp 4 - Danh mục'!$AA$14:$AA$132,"&lt;&gt;Hủy")&gt;0,"Theo dõi tải tại Lớp 4",IF(AE46="","Chưa nhập khối lượng",IF(V46="","Thiếu người thực hiện",IF(OR(Z46="",AA46=""),"Chưa nhập đủ thời gian",IF(AD46&lt;0,"Quá hạn – còn "&amp;TEXT(MAX(0,AE46*(1-AC46)),"0.0")&amp;" giờ",LET(bd,MAX(TODAY(),Z46),kt,AA46,nguoi,V46,tai,SUMIFS('Lớp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I46" s="467" t="str">
        <f>'Trung tâm nhập liệu'!O111</f>
        <v/>
      </c>
      <c r="AJ46" s="469" t="str">
        <f>'Trung tâm nhập liệu'!P111</f>
        <v/>
      </c>
      <c r="AK46" s="470" t="str">
        <f>'Trung tâm nhập liệu'!S111</f>
        <v/>
      </c>
      <c r="AL46" s="470" t="str">
        <f>'Trung tâm nhập liệu'!X111</f>
        <v/>
      </c>
      <c r="AM46" s="471" t="str">
        <f t="shared" si="18"/>
        <v/>
      </c>
      <c r="AN46" s="469" t="str">
        <f t="shared" si="19"/>
        <v/>
      </c>
      <c r="AO46" s="475" t="str">
        <f>'Trung tâm nhập liệu'!V111</f>
        <v/>
      </c>
      <c r="AP46" s="476" t="str">
        <f>'Trung tâm nhập liệu'!W111</f>
        <v/>
      </c>
      <c r="AQ46" s="478" t="str">
        <f>IF(AI46&lt;&gt;"Có thời hạn","",IF(OR(I46="",AE46="",X46="Hoàn thành",X46="Hủy",COUNTIFS('Lớp 4 - Danh mục'!$J$14:$J$132,I46,'Lớp 4 - Danh mục'!$AA$14:$AA$132,"&lt;&gt;Hủy")&gt;0),"",LET(canNgay,MAX(0,AE46*(1-AC46))/MAX(1,AD46),IF(AO46="Ngày",canNgay,IF(AO46="Tuần",canNgay*5,"")))))</f>
        <v/>
      </c>
      <c r="AR46" s="465" t="str">
        <f>IF(I46="","",IF(COUNTIFS('Lớp 4 - Danh mục'!$J$14:$J$132,I46,'Lớp 4 - Danh mục'!$AA$14:$AA$132,"&lt;&gt;Hủy")&gt;0,"Theo dõi phân bổ tại Lớp 4",IF(OR(X46="Hoàn thành",X46="Hủy"),X46,IF(AE46="","Thiếu tổng giờ",IF(OR(AO46="",AP46=""),"Thiếu tham số phân bổ",IF(AP46&lt;=0,"Phân bổ phải &gt; 0",IF(AI46&lt;&gt;"Có thời hạn","Đã có phân bổ",IF(AQ46="","Chưa đủ dữ liệu hạn",IF(AP46&gt;=AQ46,"Đủ phân bổ theo "&amp;LOWER(AO46),"Thiếu "&amp;TEXT(AQ46-AP46,"0.0")&amp;" giờ/"&amp;LOWER(AO46))))))))))</f>
        <v/>
      </c>
      <c r="AS46" s="465" t="str">
        <f t="shared" si="20"/>
        <v/>
      </c>
      <c r="AT46" s="479" t="str">
        <f>'Trung tâm nhập liệu'!Y111</f>
        <v/>
      </c>
    </row>
    <row r="47" ht="15.75" customHeight="1">
      <c r="A47" s="383" t="str">
        <f t="shared" si="11"/>
        <v/>
      </c>
      <c r="B47" s="387" t="str">
        <f>'Trung tâm nhập liệu'!F112</f>
        <v/>
      </c>
      <c r="C47" s="394" t="str">
        <f>'Trung tâm nhập liệu'!M112</f>
        <v/>
      </c>
      <c r="D47" s="615" t="str">
        <f t="shared" ref="D47:E47" si="129">AC47</f>
        <v/>
      </c>
      <c r="E47" s="614" t="str">
        <f t="shared" si="129"/>
        <v/>
      </c>
      <c r="F47" s="407" t="str">
        <f t="shared" ref="F47:G47" si="130">Q47</f>
        <v/>
      </c>
      <c r="G47" s="407" t="str">
        <f t="shared" si="130"/>
        <v/>
      </c>
      <c r="H47" s="411" t="str">
        <f>IF(B47="","",IF(COUNTIF('Lớp 4 - Danh mục'!$J$14:$J$132,I47)&gt;0,"Có","Không"))</f>
        <v/>
      </c>
      <c r="I47" s="414" t="str">
        <f>'Trung tâm nhập liệu'!B112</f>
        <v/>
      </c>
      <c r="J47" s="415" t="str">
        <f>'Trung tâm nhập liệu'!E112</f>
        <v/>
      </c>
      <c r="K47" s="469"/>
      <c r="L47" s="521"/>
      <c r="M47" s="419" t="str">
        <f t="shared" ref="M47:P47" si="131">B47</f>
        <v/>
      </c>
      <c r="N47" s="420" t="str">
        <f t="shared" si="131"/>
        <v/>
      </c>
      <c r="O47" s="421" t="str">
        <f t="shared" si="131"/>
        <v/>
      </c>
      <c r="P47" s="422" t="str">
        <f t="shared" si="131"/>
        <v/>
      </c>
      <c r="Q47" s="426" t="str">
        <f>IF($I47="","",LET(n,COUNTIFS('Lớp 4 - Danh mục'!$J$14:$J$132,$I47,'Lớp 4 - Danh mục'!$AA$14:$AA$132,"&lt;&gt;Hủy"),child,IFERROR(MAXIFS('Lớp 4 - Danh mục'!$AD$14:$AD$132,'Lớp 4 - Danh mục'!$J$14:$J$132,$I47,'Lớp 4 - Danh mục'!$AA$14:$AA$132,"&lt;&gt;Hủy",'Lớp 4 - Danh mục'!$AD$14:$AD$132,"&gt;0"),0),plan,'Trung tâm nhập liệu'!Q112,emergent,LOWER(TRIM('Trung tâm nhập liệu'!O112))="khi phát sinh",IF(n=0,IF(emergent,"",plan),IF(child=0,IF(emergent,"",plan),IF(OR(emergent,plan=""),child,MAX(plan,child))))))</f>
        <v/>
      </c>
      <c r="R47" s="430" t="str">
        <f>IF($I47="","",LET(n,COUNTIFS('Lớp 4 - Danh mục'!$J$14:$J$132,$I47,'Lớp 4 - Danh mục'!$AA$14:$AA$132,"&lt;&gt;Hủy"),child,IFERROR(MINIFS('Lớp 4 - Danh mục'!$AC$14:$AC$132,'Lớp 4 - Danh mục'!$J$14:$J$132,$I47,'Lớp 4 - Danh mục'!$AA$14:$AA$132,"&lt;&gt;Hủy",'Lớp 4 - Danh mục'!$AC$14:$AC$132,"&gt;0"),0),plan,'Trung tâm nhập liệu'!R112,emergent,LOWER(TRIM('Trung tâm nhập liệu'!O112))="khi phát sinh",IF(n=0,IF(emergent,"",plan),IF(child=0,IF(emergent,"",plan),IF(OR(emergent,plan=""),child,MIN(plan,child))))))</f>
        <v/>
      </c>
      <c r="S47" s="411" t="str">
        <f t="shared" si="15"/>
        <v/>
      </c>
      <c r="T47" s="414" t="str">
        <f>'Trung tâm nhập liệu'!G112</f>
        <v/>
      </c>
      <c r="U47" s="433" t="str">
        <f>'Trung tâm nhập liệu'!J112</f>
        <v/>
      </c>
      <c r="V47" s="435" t="str">
        <f>'Trung tâm nhập liệu'!K112</f>
        <v/>
      </c>
      <c r="W47" s="435" t="str">
        <f>'Trung tâm nhập liệu'!I112</f>
        <v/>
      </c>
      <c r="X47" s="437" t="str">
        <f>'Trung tâm nhập liệu'!L112</f>
        <v/>
      </c>
      <c r="Y47" s="420" t="str">
        <f>'Trung tâm nhập liệu'!M112</f>
        <v/>
      </c>
      <c r="Z47" s="430" t="str">
        <f t="shared" si="16"/>
        <v/>
      </c>
      <c r="AA47" s="426" t="str">
        <f t="shared" si="17"/>
        <v/>
      </c>
      <c r="AB47" s="516" t="str">
        <f>IF(AI47&lt;&gt;"Có thời hạn","",IF(OR(Z47="",AA47=""),"",IF(AA47&lt;Z47,"",_xlfn.NETWORKDAYS.INTL(Z47,AA47,11,'Ngày nghỉ lễ'!$A$5:$A$80))))</f>
        <v/>
      </c>
      <c r="AC47" s="446" t="str">
        <f>IF(I47="","",IF(L47="Công việc khác","",IF(OR(X47="Chưa lên lịch",X47="Đã lên lịch",X47="Hủy"),"",IF(COUNTIFS('Lớp 4 - Danh mục'!$J$14:$J$132,I47,'Lớp 4 - Danh mục'!$AA$14:$AA$132,"&lt;&gt;",'Lớp 4 - Danh mục'!$AA$14:$AA$132,"&lt;&gt;Hủy",'Lớp 4 - Danh mục'!$AA$14:$AA$132,"&lt;&gt;Chưa lên lịch",'Lớp 4 - Danh mục'!$AA$14:$AA$132,"&lt;&gt;Đã lên lịch")&gt;0,SUMIFS('Lớp 4 - Danh mục'!$AF$14:$AF$132,'Lớp 4 - Danh mục'!$J$14:$J$132,I47,'Lớp 4 - Danh mục'!$AA$14:$AA$132,"&lt;&gt;",'Lớp 4 - Danh mục'!$AA$14:$AA$132,"&lt;&gt;Hủy",'Lớp 4 - Danh mục'!$AA$14:$AA$132,"&lt;&gt;Chưa lên lịch",'Lớp 4 - Danh mục'!$AA$14:$AA$132,"&lt;&gt;Đã lên lịch")/COUNTIFS('Lớp 4 - Danh mục'!$J$14:$J$132,I47,'Lớp 4 - Danh mục'!$AA$14:$AA$132,"&lt;&gt;",'Lớp 4 - Danh mục'!$AA$14:$AA$132,"&lt;&gt;Hủy",'Lớp 4 - Danh mục'!$AA$14:$AA$132,"&lt;&gt;Chưa lên lịch",'Lớp 4 - Danh mục'!$AA$14:$AA$132,"&lt;&gt;Đã lên lịch"),IF(X47="Hoàn thành",1,0)))))</f>
        <v/>
      </c>
      <c r="AD47" s="516" t="str">
        <f>IF(AI47&lt;&gt;"Có thời hạn","",IF(OR(I47="",Z47="",AA47=""),"",IF(OR(X47="Hoàn thành",X47="Hủy"),0,IF(AA47&lt;TODAY(),-_xlfn.NETWORKDAYS.INTL(AA47,TODAY()-1,11,'Ngày nghỉ lễ'!$A$5:$A$80),MAX(0,_xlfn.NETWORKDAYS.INTL(MAX(TODAY()+1,Z47),AA47,11,'Ngày nghỉ lễ'!$A$5:$A$80))))))</f>
        <v/>
      </c>
      <c r="AE47" s="448" t="str">
        <f>IF($I47="","",LET(n,COUNTIFS('Lớp 4 - Danh mục'!$J$14:$J$132,$I47,'Lớp 4 - Danh mục'!$AA$14:$AA$132,"&lt;&gt;Hủy"),du,COUNTIFS('Lớp 4 - Danh mục'!$J$14:$J$132,$I47,'Lớp 4 - Danh mục'!$AA$14:$AA$132,"&lt;&gt;Hủy",'Lớp 4 - Danh mục'!$AH$14:$AH$132,"&lt;&gt;"),IF(n=0,'Trung tâm nhập liệu'!T112,IF(du&lt;n,"",SUMIFS('Lớp 4 - Danh mục'!$AH$14:$AH$132,'Lớp 4 - Danh mục'!$J$14:$J$132,$I47,'Lớp 4 - Danh mục'!$AA$14:$AA$132,"&lt;&gt;Hủy")))))</f>
        <v/>
      </c>
      <c r="AF47" s="510" t="str">
        <f>IF(I47="","",IF(OR(X47="Hoàn thành",X47="Hủy"),"",IF(COUNTIFS('Lớp 4 - Danh mục'!$J$14:$J$132,I47,'Lớp 4 - Danh mục'!$AA$14:$AA$132,"&lt;&gt;Hủy")&gt;0,"",IF(AO47="Ngày",AP47,IF(AO47="Tuần",AP47/5,"")))))</f>
        <v/>
      </c>
      <c r="AG47" s="456" t="str">
        <f>IF(AI47="Chưa xếp lịch","Chưa xếp lịch",IF(AI47="Định kỳ",IF(AJ47="","Thiếu chu kỳ","Theo chu kỳ"),IF(AI47="Khi phát sinh",IF(COUNTIFS('Lớp 4 - Danh mục'!$J$14:$J$132,$I47,'Lớp 4 - Danh mục'!$AA$14:$AA$132,"&lt;&gt;Hủy")=0,"Khi phát sinh – chờ việc con","Khi phát sinh – theo ngày con"),IF(I47="","",LET(n,COUNTIFS('Lớp 4 - Danh mục'!$J$14:$J$132,$I47,'Lớp 4 - Danh mục'!$AA$14:$AA$132,"&lt;&gt;Hủy"),cs,IFERROR(MINIFS('Lớp 4 - Danh mục'!$AC$14:$AC$132,'Lớp 4 - Danh mục'!$J$14:$J$132,$I47,'Lớp 4 - Danh mục'!$AA$14:$AA$132,"&lt;&gt;Hủy",'Lớp 4 - Danh mục'!$AC$14:$AC$132,"&gt;0"),0),ce,IFERROR(MAXIFS('Lớp 4 - Danh mục'!$AD$14:$AD$132,'Lớp 4 - Danh mục'!$J$14:$J$132,$I47,'Lớp 4 - Danh mục'!$AA$14:$AA$132,"&lt;&gt;Hủy",'Lớp 4 - Danh mục'!$AD$14:$AD$132,"&gt;0"),0),ps,'Trung tâm nhập liệu'!R112,pe,'Trung tâm nhập liệu'!Q112,IF(OR(Z47="",AA47=""),"Thiếu ngày L3",IF(n=0,"Chưa có L4",IF(OR(cs=0,ce=0),"Thiếu ngày L4",IF(OR(ps="",pe=""),"Thiếu ngày kế hoạch gốc L3",IF(OR(cs&lt;ps,ce&gt;pe),"Cảnh báo: Con vượt khung kế hoạch gốc","L4 đúng khung kế hoạch gốc"))))))))))</f>
        <v/>
      </c>
      <c r="AH47" s="465" t="str">
        <f>IF(OR(AR47="Thiếu tham số phân bổ",AR47="Phân bổ phải &gt; 0"),AR47,SWITCH(AI47,"Chưa xếp lịch","Chưa tính tải","Định kỳ","Theo chu kỳ","Khi phát sinh","Khi phát sinh",IF(I47="","",IF(OR(X47="Hoàn thành",X47="Hủy"),X47,IF(COUNTIFS('Lớp 4 - Danh mục'!$J$14:$J$132,I47,'Lớp 4 - Danh mục'!$AA$14:$AA$132,"&lt;&gt;Hủy")&gt;0,"Theo dõi tải tại Lớp 4",IF(AE47="","Chưa nhập khối lượng",IF(V47="","Thiếu người thực hiện",IF(OR(Z47="",AA47=""),"Chưa nhập đủ thời gian",IF(AD47&lt;0,"Quá hạn – còn "&amp;TEXT(MAX(0,AE47*(1-AC47)),"0.0")&amp;" giờ",LET(bd,MAX(TODAY(),Z47),kt,AA47,nguoi,V47,tai,SUMIFS('Lớp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I47" s="467" t="str">
        <f>'Trung tâm nhập liệu'!O112</f>
        <v/>
      </c>
      <c r="AJ47" s="469" t="str">
        <f>'Trung tâm nhập liệu'!P112</f>
        <v/>
      </c>
      <c r="AK47" s="470" t="str">
        <f>'Trung tâm nhập liệu'!S112</f>
        <v/>
      </c>
      <c r="AL47" s="470" t="str">
        <f>'Trung tâm nhập liệu'!X112</f>
        <v/>
      </c>
      <c r="AM47" s="471" t="str">
        <f t="shared" si="18"/>
        <v/>
      </c>
      <c r="AN47" s="469" t="str">
        <f t="shared" si="19"/>
        <v/>
      </c>
      <c r="AO47" s="475" t="str">
        <f>'Trung tâm nhập liệu'!V112</f>
        <v/>
      </c>
      <c r="AP47" s="476" t="str">
        <f>'Trung tâm nhập liệu'!W112</f>
        <v/>
      </c>
      <c r="AQ47" s="478" t="str">
        <f>IF(AI47&lt;&gt;"Có thời hạn","",IF(OR(I47="",AE47="",X47="Hoàn thành",X47="Hủy",COUNTIFS('Lớp 4 - Danh mục'!$J$14:$J$132,I47,'Lớp 4 - Danh mục'!$AA$14:$AA$132,"&lt;&gt;Hủy")&gt;0),"",LET(canNgay,MAX(0,AE47*(1-AC47))/MAX(1,AD47),IF(AO47="Ngày",canNgay,IF(AO47="Tuần",canNgay*5,"")))))</f>
        <v/>
      </c>
      <c r="AR47" s="465" t="str">
        <f>IF(I47="","",IF(COUNTIFS('Lớp 4 - Danh mục'!$J$14:$J$132,I47,'Lớp 4 - Danh mục'!$AA$14:$AA$132,"&lt;&gt;Hủy")&gt;0,"Theo dõi phân bổ tại Lớp 4",IF(OR(X47="Hoàn thành",X47="Hủy"),X47,IF(AE47="","Thiếu tổng giờ",IF(OR(AO47="",AP47=""),"Thiếu tham số phân bổ",IF(AP47&lt;=0,"Phân bổ phải &gt; 0",IF(AI47&lt;&gt;"Có thời hạn","Đã có phân bổ",IF(AQ47="","Chưa đủ dữ liệu hạn",IF(AP47&gt;=AQ47,"Đủ phân bổ theo "&amp;LOWER(AO47),"Thiếu "&amp;TEXT(AQ47-AP47,"0.0")&amp;" giờ/"&amp;LOWER(AO47))))))))))</f>
        <v/>
      </c>
      <c r="AS47" s="465" t="str">
        <f t="shared" si="20"/>
        <v/>
      </c>
      <c r="AT47" s="479" t="str">
        <f>'Trung tâm nhập liệu'!Y112</f>
        <v/>
      </c>
    </row>
    <row r="48" ht="15.75" customHeight="1">
      <c r="A48" s="383"/>
      <c r="B48" s="387"/>
      <c r="C48" s="394"/>
      <c r="D48" s="615"/>
      <c r="E48" s="614"/>
      <c r="F48" s="407"/>
      <c r="G48" s="407"/>
      <c r="H48" s="411"/>
      <c r="I48" s="414"/>
      <c r="J48" s="415"/>
      <c r="K48" s="469"/>
      <c r="L48" s="521"/>
      <c r="M48" s="419"/>
      <c r="N48" s="420"/>
      <c r="O48" s="421"/>
      <c r="P48" s="422"/>
      <c r="Q48" s="426" t="str">
        <f>IF($I48="","",LET(n,COUNTIFS('Lớp 4 - Danh mục'!$J$14:$J$132,$I48,'Lớp 4 - Danh mục'!$AA$14:$AA$132,"&lt;&gt;Hủy"),child,IFERROR(MAXIFS('Lớp 4 - Danh mục'!$AD$14:$AD$132,'Lớp 4 - Danh mục'!$J$14:$J$132,$I48,'Lớp 4 - Danh mục'!$AA$14:$AA$132,"&lt;&gt;Hủy",'Lớp 4 - Danh mục'!$AD$14:$AD$132,"&gt;0"),0),plan,'Trung tâm nhập liệu'!Q113,emergent,LOWER(TRIM('Trung tâm nhập liệu'!O113))="khi phát sinh",IF(n=0,IF(emergent,"",plan),IF(child=0,IF(emergent,"",plan),IF(OR(emergent,plan=""),child,MAX(plan,child))))))</f>
        <v/>
      </c>
      <c r="R48" s="430" t="str">
        <f>IF($I48="","",LET(n,COUNTIFS('Lớp 4 - Danh mục'!$J$14:$J$132,$I48,'Lớp 4 - Danh mục'!$AA$14:$AA$132,"&lt;&gt;Hủy"),child,IFERROR(MINIFS('Lớp 4 - Danh mục'!$AC$14:$AC$132,'Lớp 4 - Danh mục'!$J$14:$J$132,$I48,'Lớp 4 - Danh mục'!$AA$14:$AA$132,"&lt;&gt;Hủy",'Lớp 4 - Danh mục'!$AC$14:$AC$132,"&gt;0"),0),plan,'Trung tâm nhập liệu'!R113,emergent,LOWER(TRIM('Trung tâm nhập liệu'!O113))="khi phát sinh",IF(n=0,IF(emergent,"",plan),IF(child=0,IF(emergent,"",plan),IF(OR(emergent,plan=""),child,MIN(plan,child))))))</f>
        <v/>
      </c>
      <c r="S48" s="411"/>
      <c r="T48" s="414"/>
      <c r="U48" s="433"/>
      <c r="V48" s="435"/>
      <c r="W48" s="435"/>
      <c r="X48" s="437"/>
      <c r="Y48" s="420"/>
      <c r="Z48" s="430"/>
      <c r="AA48" s="426"/>
      <c r="AB48" s="516"/>
      <c r="AC48" s="446"/>
      <c r="AD48" s="516"/>
      <c r="AE48" s="448"/>
      <c r="AF48" s="510"/>
      <c r="AG48" s="456" t="str">
        <f>IF(AI48="Chưa xếp lịch","Chưa xếp lịch",IF(AI48="Định kỳ",IF(AJ48="","Thiếu chu kỳ","Theo chu kỳ"),IF(AI48="Khi phát sinh",IF(COUNTIFS('Lớp 4 - Danh mục'!$J$14:$J$132,$I48,'Lớp 4 - Danh mục'!$AA$14:$AA$132,"&lt;&gt;Hủy")=0,"Khi phát sinh – chờ việc con","Khi phát sinh – theo ngày con"),IF(I48="","",LET(n,COUNTIFS('Lớp 4 - Danh mục'!$J$14:$J$132,$I48,'Lớp 4 - Danh mục'!$AA$14:$AA$132,"&lt;&gt;Hủy"),cs,IFERROR(MINIFS('Lớp 4 - Danh mục'!$AC$14:$AC$132,'Lớp 4 - Danh mục'!$J$14:$J$132,$I48,'Lớp 4 - Danh mục'!$AA$14:$AA$132,"&lt;&gt;Hủy",'Lớp 4 - Danh mục'!$AC$14:$AC$132,"&gt;0"),0),ce,IFERROR(MAXIFS('Lớp 4 - Danh mục'!$AD$14:$AD$132,'Lớp 4 - Danh mục'!$J$14:$J$132,$I48,'Lớp 4 - Danh mục'!$AA$14:$AA$132,"&lt;&gt;Hủy",'Lớp 4 - Danh mục'!$AD$14:$AD$132,"&gt;0"),0),ps,'Trung tâm nhập liệu'!R113,pe,'Trung tâm nhập liệu'!Q113,IF(OR(Z48="",AA48=""),"Thiếu ngày L3",IF(n=0,"Chưa có L4",IF(OR(cs=0,ce=0),"Thiếu ngày L4",IF(OR(ps="",pe=""),"Thiếu ngày kế hoạch gốc L3",IF(OR(cs&lt;ps,ce&gt;pe),"Cảnh báo: Con vượt khung kế hoạch gốc","L4 đúng khung kế hoạch gốc"))))))))))</f>
        <v/>
      </c>
      <c r="AH48" s="465"/>
      <c r="AI48" s="467"/>
      <c r="AJ48" s="469"/>
      <c r="AK48" s="470"/>
      <c r="AL48" s="470"/>
      <c r="AM48" s="471"/>
      <c r="AN48" s="469"/>
      <c r="AO48" s="475"/>
      <c r="AP48" s="476"/>
      <c r="AQ48" s="478"/>
      <c r="AR48" s="465"/>
      <c r="AS48" s="465"/>
      <c r="AT48" s="479"/>
    </row>
    <row r="49" ht="15.75" customHeight="1">
      <c r="A49" s="383"/>
      <c r="B49" s="387"/>
      <c r="C49" s="394"/>
      <c r="D49" s="615"/>
      <c r="E49" s="614"/>
      <c r="F49" s="407"/>
      <c r="G49" s="407"/>
      <c r="H49" s="411"/>
      <c r="I49" s="414"/>
      <c r="J49" s="415"/>
      <c r="K49" s="469"/>
      <c r="L49" s="521"/>
      <c r="M49" s="419"/>
      <c r="N49" s="420"/>
      <c r="O49" s="421"/>
      <c r="P49" s="422"/>
      <c r="Q49" s="426" t="str">
        <f>IF($I49="","",LET(n,COUNTIFS('Lớp 4 - Danh mục'!$J$14:$J$132,$I49,'Lớp 4 - Danh mục'!$AA$14:$AA$132,"&lt;&gt;Hủy"),child,IFERROR(MAXIFS('Lớp 4 - Danh mục'!$AD$14:$AD$132,'Lớp 4 - Danh mục'!$J$14:$J$132,$I49,'Lớp 4 - Danh mục'!$AA$14:$AA$132,"&lt;&gt;Hủy",'Lớp 4 - Danh mục'!$AD$14:$AD$132,"&gt;0"),0),plan,'Trung tâm nhập liệu'!Q114,emergent,LOWER(TRIM('Trung tâm nhập liệu'!O114))="khi phát sinh",IF(n=0,IF(emergent,"",plan),IF(child=0,IF(emergent,"",plan),IF(OR(emergent,plan=""),child,MAX(plan,child))))))</f>
        <v/>
      </c>
      <c r="R49" s="430" t="str">
        <f>IF($I49="","",LET(n,COUNTIFS('Lớp 4 - Danh mục'!$J$14:$J$132,$I49,'Lớp 4 - Danh mục'!$AA$14:$AA$132,"&lt;&gt;Hủy"),child,IFERROR(MINIFS('Lớp 4 - Danh mục'!$AC$14:$AC$132,'Lớp 4 - Danh mục'!$J$14:$J$132,$I49,'Lớp 4 - Danh mục'!$AA$14:$AA$132,"&lt;&gt;Hủy",'Lớp 4 - Danh mục'!$AC$14:$AC$132,"&gt;0"),0),plan,'Trung tâm nhập liệu'!R114,emergent,LOWER(TRIM('Trung tâm nhập liệu'!O114))="khi phát sinh",IF(n=0,IF(emergent,"",plan),IF(child=0,IF(emergent,"",plan),IF(OR(emergent,plan=""),child,MIN(plan,child))))))</f>
        <v/>
      </c>
      <c r="S49" s="411"/>
      <c r="T49" s="414"/>
      <c r="U49" s="433"/>
      <c r="V49" s="435"/>
      <c r="W49" s="435"/>
      <c r="X49" s="437"/>
      <c r="Y49" s="420"/>
      <c r="Z49" s="430"/>
      <c r="AA49" s="426"/>
      <c r="AB49" s="516"/>
      <c r="AC49" s="446"/>
      <c r="AD49" s="516"/>
      <c r="AE49" s="448"/>
      <c r="AF49" s="510"/>
      <c r="AG49" s="456" t="str">
        <f>IF(AI49="Chưa xếp lịch","Chưa xếp lịch",IF(AI49="Định kỳ",IF(AJ49="","Thiếu chu kỳ","Theo chu kỳ"),IF(AI49="Khi phát sinh",IF(COUNTIFS('Lớp 4 - Danh mục'!$J$14:$J$132,$I49,'Lớp 4 - Danh mục'!$AA$14:$AA$132,"&lt;&gt;Hủy")=0,"Khi phát sinh – chờ việc con","Khi phát sinh – theo ngày con"),IF(I49="","",LET(n,COUNTIFS('Lớp 4 - Danh mục'!$J$14:$J$132,$I49,'Lớp 4 - Danh mục'!$AA$14:$AA$132,"&lt;&gt;Hủy"),cs,IFERROR(MINIFS('Lớp 4 - Danh mục'!$AC$14:$AC$132,'Lớp 4 - Danh mục'!$J$14:$J$132,$I49,'Lớp 4 - Danh mục'!$AA$14:$AA$132,"&lt;&gt;Hủy",'Lớp 4 - Danh mục'!$AC$14:$AC$132,"&gt;0"),0),ce,IFERROR(MAXIFS('Lớp 4 - Danh mục'!$AD$14:$AD$132,'Lớp 4 - Danh mục'!$J$14:$J$132,$I49,'Lớp 4 - Danh mục'!$AA$14:$AA$132,"&lt;&gt;Hủy",'Lớp 4 - Danh mục'!$AD$14:$AD$132,"&gt;0"),0),ps,'Trung tâm nhập liệu'!R114,pe,'Trung tâm nhập liệu'!Q114,IF(OR(Z49="",AA49=""),"Thiếu ngày L3",IF(n=0,"Chưa có L4",IF(OR(cs=0,ce=0),"Thiếu ngày L4",IF(OR(ps="",pe=""),"Thiếu ngày kế hoạch gốc L3",IF(OR(cs&lt;ps,ce&gt;pe),"Cảnh báo: Con vượt khung kế hoạch gốc","L4 đúng khung kế hoạch gốc"))))))))))</f>
        <v/>
      </c>
      <c r="AH49" s="465"/>
      <c r="AI49" s="467"/>
      <c r="AJ49" s="469"/>
      <c r="AK49" s="470"/>
      <c r="AL49" s="470"/>
      <c r="AM49" s="471"/>
      <c r="AN49" s="469"/>
      <c r="AO49" s="475"/>
      <c r="AP49" s="476"/>
      <c r="AQ49" s="478"/>
      <c r="AR49" s="465"/>
      <c r="AS49" s="465"/>
      <c r="AT49" s="479"/>
    </row>
    <row r="50" ht="15.75" customHeight="1">
      <c r="A50" s="383"/>
      <c r="B50" s="387"/>
      <c r="C50" s="394"/>
      <c r="D50" s="615"/>
      <c r="E50" s="614"/>
      <c r="F50" s="407"/>
      <c r="G50" s="407"/>
      <c r="H50" s="411"/>
      <c r="I50" s="414"/>
      <c r="J50" s="415"/>
      <c r="K50" s="469"/>
      <c r="L50" s="521"/>
      <c r="M50" s="419"/>
      <c r="N50" s="420"/>
      <c r="O50" s="421"/>
      <c r="P50" s="422"/>
      <c r="Q50" s="426" t="str">
        <f>IF($I50="","",LET(n,COUNTIFS('Lớp 4 - Danh mục'!$J$14:$J$132,$I50,'Lớp 4 - Danh mục'!$AA$14:$AA$132,"&lt;&gt;Hủy"),child,IFERROR(MAXIFS('Lớp 4 - Danh mục'!$AD$14:$AD$132,'Lớp 4 - Danh mục'!$J$14:$J$132,$I50,'Lớp 4 - Danh mục'!$AA$14:$AA$132,"&lt;&gt;Hủy",'Lớp 4 - Danh mục'!$AD$14:$AD$132,"&gt;0"),0),plan,'Trung tâm nhập liệu'!Q115,emergent,LOWER(TRIM('Trung tâm nhập liệu'!O115))="khi phát sinh",IF(n=0,IF(emergent,"",plan),IF(child=0,IF(emergent,"",plan),IF(OR(emergent,plan=""),child,MAX(plan,child))))))</f>
        <v/>
      </c>
      <c r="R50" s="430" t="str">
        <f>IF($I50="","",LET(n,COUNTIFS('Lớp 4 - Danh mục'!$J$14:$J$132,$I50,'Lớp 4 - Danh mục'!$AA$14:$AA$132,"&lt;&gt;Hủy"),child,IFERROR(MINIFS('Lớp 4 - Danh mục'!$AC$14:$AC$132,'Lớp 4 - Danh mục'!$J$14:$J$132,$I50,'Lớp 4 - Danh mục'!$AA$14:$AA$132,"&lt;&gt;Hủy",'Lớp 4 - Danh mục'!$AC$14:$AC$132,"&gt;0"),0),plan,'Trung tâm nhập liệu'!R115,emergent,LOWER(TRIM('Trung tâm nhập liệu'!O115))="khi phát sinh",IF(n=0,IF(emergent,"",plan),IF(child=0,IF(emergent,"",plan),IF(OR(emergent,plan=""),child,MIN(plan,child))))))</f>
        <v/>
      </c>
      <c r="S50" s="411"/>
      <c r="T50" s="414"/>
      <c r="U50" s="433"/>
      <c r="V50" s="435"/>
      <c r="W50" s="435"/>
      <c r="X50" s="437"/>
      <c r="Y50" s="420"/>
      <c r="Z50" s="430"/>
      <c r="AA50" s="426"/>
      <c r="AB50" s="516"/>
      <c r="AC50" s="446"/>
      <c r="AD50" s="516"/>
      <c r="AE50" s="448"/>
      <c r="AF50" s="510"/>
      <c r="AG50" s="456" t="str">
        <f>IF(AI50="Chưa xếp lịch","Chưa xếp lịch",IF(AI50="Định kỳ",IF(AJ50="","Thiếu chu kỳ","Theo chu kỳ"),IF(AI50="Khi phát sinh",IF(COUNTIFS('Lớp 4 - Danh mục'!$J$14:$J$132,$I50,'Lớp 4 - Danh mục'!$AA$14:$AA$132,"&lt;&gt;Hủy")=0,"Khi phát sinh – chờ việc con","Khi phát sinh – theo ngày con"),IF(I50="","",LET(n,COUNTIFS('Lớp 4 - Danh mục'!$J$14:$J$132,$I50,'Lớp 4 - Danh mục'!$AA$14:$AA$132,"&lt;&gt;Hủy"),cs,IFERROR(MINIFS('Lớp 4 - Danh mục'!$AC$14:$AC$132,'Lớp 4 - Danh mục'!$J$14:$J$132,$I50,'Lớp 4 - Danh mục'!$AA$14:$AA$132,"&lt;&gt;Hủy",'Lớp 4 - Danh mục'!$AC$14:$AC$132,"&gt;0"),0),ce,IFERROR(MAXIFS('Lớp 4 - Danh mục'!$AD$14:$AD$132,'Lớp 4 - Danh mục'!$J$14:$J$132,$I50,'Lớp 4 - Danh mục'!$AA$14:$AA$132,"&lt;&gt;Hủy",'Lớp 4 - Danh mục'!$AD$14:$AD$132,"&gt;0"),0),ps,'Trung tâm nhập liệu'!R115,pe,'Trung tâm nhập liệu'!Q115,IF(OR(Z50="",AA50=""),"Thiếu ngày L3",IF(n=0,"Chưa có L4",IF(OR(cs=0,ce=0),"Thiếu ngày L4",IF(OR(ps="",pe=""),"Thiếu ngày kế hoạch gốc L3",IF(OR(cs&lt;ps,ce&gt;pe),"Cảnh báo: Con vượt khung kế hoạch gốc","L4 đúng khung kế hoạch gốc"))))))))))</f>
        <v/>
      </c>
      <c r="AH50" s="465"/>
      <c r="AI50" s="467"/>
      <c r="AJ50" s="469"/>
      <c r="AK50" s="470"/>
      <c r="AL50" s="470"/>
      <c r="AM50" s="471"/>
      <c r="AN50" s="469"/>
      <c r="AO50" s="475"/>
      <c r="AP50" s="476"/>
      <c r="AQ50" s="478"/>
      <c r="AR50" s="465"/>
      <c r="AS50" s="465"/>
      <c r="AT50" s="479"/>
    </row>
    <row r="51" ht="15.75" customHeight="1">
      <c r="A51" s="383"/>
      <c r="B51" s="387"/>
      <c r="C51" s="394"/>
      <c r="D51" s="615"/>
      <c r="E51" s="614"/>
      <c r="F51" s="407"/>
      <c r="G51" s="407"/>
      <c r="H51" s="411"/>
      <c r="I51" s="414"/>
      <c r="J51" s="415"/>
      <c r="K51" s="469"/>
      <c r="L51" s="521"/>
      <c r="M51" s="419"/>
      <c r="N51" s="420"/>
      <c r="O51" s="421"/>
      <c r="P51" s="422"/>
      <c r="Q51" s="426" t="str">
        <f>IF($I51="","",LET(n,COUNTIFS('Lớp 4 - Danh mục'!$J$14:$J$132,$I51,'Lớp 4 - Danh mục'!$AA$14:$AA$132,"&lt;&gt;Hủy"),child,IFERROR(MAXIFS('Lớp 4 - Danh mục'!$AD$14:$AD$132,'Lớp 4 - Danh mục'!$J$14:$J$132,$I51,'Lớp 4 - Danh mục'!$AA$14:$AA$132,"&lt;&gt;Hủy",'Lớp 4 - Danh mục'!$AD$14:$AD$132,"&gt;0"),0),plan,'Trung tâm nhập liệu'!Q116,emergent,LOWER(TRIM('Trung tâm nhập liệu'!O116))="khi phát sinh",IF(n=0,IF(emergent,"",plan),IF(child=0,IF(emergent,"",plan),IF(OR(emergent,plan=""),child,MAX(plan,child))))))</f>
        <v/>
      </c>
      <c r="R51" s="430" t="str">
        <f>IF($I51="","",LET(n,COUNTIFS('Lớp 4 - Danh mục'!$J$14:$J$132,$I51,'Lớp 4 - Danh mục'!$AA$14:$AA$132,"&lt;&gt;Hủy"),child,IFERROR(MINIFS('Lớp 4 - Danh mục'!$AC$14:$AC$132,'Lớp 4 - Danh mục'!$J$14:$J$132,$I51,'Lớp 4 - Danh mục'!$AA$14:$AA$132,"&lt;&gt;Hủy",'Lớp 4 - Danh mục'!$AC$14:$AC$132,"&gt;0"),0),plan,'Trung tâm nhập liệu'!R116,emergent,LOWER(TRIM('Trung tâm nhập liệu'!O116))="khi phát sinh",IF(n=0,IF(emergent,"",plan),IF(child=0,IF(emergent,"",plan),IF(OR(emergent,plan=""),child,MIN(plan,child))))))</f>
        <v/>
      </c>
      <c r="S51" s="411"/>
      <c r="T51" s="414"/>
      <c r="U51" s="433"/>
      <c r="V51" s="435"/>
      <c r="W51" s="435"/>
      <c r="X51" s="437"/>
      <c r="Y51" s="420"/>
      <c r="Z51" s="430"/>
      <c r="AA51" s="426"/>
      <c r="AB51" s="516"/>
      <c r="AC51" s="446"/>
      <c r="AD51" s="516"/>
      <c r="AE51" s="448"/>
      <c r="AF51" s="510"/>
      <c r="AG51" s="456" t="str">
        <f>IF(AI51="Chưa xếp lịch","Chưa xếp lịch",IF(AI51="Định kỳ",IF(AJ51="","Thiếu chu kỳ","Theo chu kỳ"),IF(AI51="Khi phát sinh",IF(COUNTIFS('Lớp 4 - Danh mục'!$J$14:$J$132,$I51,'Lớp 4 - Danh mục'!$AA$14:$AA$132,"&lt;&gt;Hủy")=0,"Khi phát sinh – chờ việc con","Khi phát sinh – theo ngày con"),IF(I51="","",LET(n,COUNTIFS('Lớp 4 - Danh mục'!$J$14:$J$132,$I51,'Lớp 4 - Danh mục'!$AA$14:$AA$132,"&lt;&gt;Hủy"),cs,IFERROR(MINIFS('Lớp 4 - Danh mục'!$AC$14:$AC$132,'Lớp 4 - Danh mục'!$J$14:$J$132,$I51,'Lớp 4 - Danh mục'!$AA$14:$AA$132,"&lt;&gt;Hủy",'Lớp 4 - Danh mục'!$AC$14:$AC$132,"&gt;0"),0),ce,IFERROR(MAXIFS('Lớp 4 - Danh mục'!$AD$14:$AD$132,'Lớp 4 - Danh mục'!$J$14:$J$132,$I51,'Lớp 4 - Danh mục'!$AA$14:$AA$132,"&lt;&gt;Hủy",'Lớp 4 - Danh mục'!$AD$14:$AD$132,"&gt;0"),0),ps,'Trung tâm nhập liệu'!R116,pe,'Trung tâm nhập liệu'!Q116,IF(OR(Z51="",AA51=""),"Thiếu ngày L3",IF(n=0,"Chưa có L4",IF(OR(cs=0,ce=0),"Thiếu ngày L4",IF(OR(ps="",pe=""),"Thiếu ngày kế hoạch gốc L3",IF(OR(cs&lt;ps,ce&gt;pe),"Cảnh báo: Con vượt khung kế hoạch gốc","L4 đúng khung kế hoạch gốc"))))))))))</f>
        <v/>
      </c>
      <c r="AH51" s="465"/>
      <c r="AI51" s="467"/>
      <c r="AJ51" s="469"/>
      <c r="AK51" s="470"/>
      <c r="AL51" s="470"/>
      <c r="AM51" s="471"/>
      <c r="AN51" s="469"/>
      <c r="AO51" s="475"/>
      <c r="AP51" s="476"/>
      <c r="AQ51" s="478"/>
      <c r="AR51" s="465"/>
      <c r="AS51" s="465"/>
      <c r="AT51" s="479"/>
    </row>
    <row r="52" ht="15.75" customHeight="1">
      <c r="A52" s="383"/>
      <c r="B52" s="387"/>
      <c r="C52" s="394"/>
      <c r="D52" s="615"/>
      <c r="E52" s="614"/>
      <c r="F52" s="407"/>
      <c r="G52" s="407"/>
      <c r="H52" s="411"/>
      <c r="I52" s="414"/>
      <c r="J52" s="415"/>
      <c r="K52" s="469"/>
      <c r="L52" s="521"/>
      <c r="M52" s="419"/>
      <c r="N52" s="420"/>
      <c r="O52" s="421"/>
      <c r="P52" s="422"/>
      <c r="Q52" s="426" t="str">
        <f>IF($I52="","",LET(n,COUNTIFS('Lớp 4 - Danh mục'!$J$14:$J$132,$I52,'Lớp 4 - Danh mục'!$AA$14:$AA$132,"&lt;&gt;Hủy"),child,IFERROR(MAXIFS('Lớp 4 - Danh mục'!$AD$14:$AD$132,'Lớp 4 - Danh mục'!$J$14:$J$132,$I52,'Lớp 4 - Danh mục'!$AA$14:$AA$132,"&lt;&gt;Hủy",'Lớp 4 - Danh mục'!$AD$14:$AD$132,"&gt;0"),0),plan,'Trung tâm nhập liệu'!Q117,emergent,LOWER(TRIM('Trung tâm nhập liệu'!O117))="khi phát sinh",IF(n=0,IF(emergent,"",plan),IF(child=0,IF(emergent,"",plan),IF(OR(emergent,plan=""),child,MAX(plan,child))))))</f>
        <v/>
      </c>
      <c r="R52" s="430" t="str">
        <f>IF($I52="","",LET(n,COUNTIFS('Lớp 4 - Danh mục'!$J$14:$J$132,$I52,'Lớp 4 - Danh mục'!$AA$14:$AA$132,"&lt;&gt;Hủy"),child,IFERROR(MINIFS('Lớp 4 - Danh mục'!$AC$14:$AC$132,'Lớp 4 - Danh mục'!$J$14:$J$132,$I52,'Lớp 4 - Danh mục'!$AA$14:$AA$132,"&lt;&gt;Hủy",'Lớp 4 - Danh mục'!$AC$14:$AC$132,"&gt;0"),0),plan,'Trung tâm nhập liệu'!R117,emergent,LOWER(TRIM('Trung tâm nhập liệu'!O117))="khi phát sinh",IF(n=0,IF(emergent,"",plan),IF(child=0,IF(emergent,"",plan),IF(OR(emergent,plan=""),child,MIN(plan,child))))))</f>
        <v/>
      </c>
      <c r="S52" s="411"/>
      <c r="T52" s="414"/>
      <c r="U52" s="433"/>
      <c r="V52" s="435"/>
      <c r="W52" s="435"/>
      <c r="X52" s="437"/>
      <c r="Y52" s="420"/>
      <c r="Z52" s="430"/>
      <c r="AA52" s="426"/>
      <c r="AB52" s="516"/>
      <c r="AC52" s="446"/>
      <c r="AD52" s="516"/>
      <c r="AE52" s="448"/>
      <c r="AF52" s="510"/>
      <c r="AG52" s="456" t="str">
        <f>IF(AI52="Chưa xếp lịch","Chưa xếp lịch",IF(AI52="Định kỳ",IF(AJ52="","Thiếu chu kỳ","Theo chu kỳ"),IF(AI52="Khi phát sinh",IF(COUNTIFS('Lớp 4 - Danh mục'!$J$14:$J$132,$I52,'Lớp 4 - Danh mục'!$AA$14:$AA$132,"&lt;&gt;Hủy")=0,"Khi phát sinh – chờ việc con","Khi phát sinh – theo ngày con"),IF(I52="","",LET(n,COUNTIFS('Lớp 4 - Danh mục'!$J$14:$J$132,$I52,'Lớp 4 - Danh mục'!$AA$14:$AA$132,"&lt;&gt;Hủy"),cs,IFERROR(MINIFS('Lớp 4 - Danh mục'!$AC$14:$AC$132,'Lớp 4 - Danh mục'!$J$14:$J$132,$I52,'Lớp 4 - Danh mục'!$AA$14:$AA$132,"&lt;&gt;Hủy",'Lớp 4 - Danh mục'!$AC$14:$AC$132,"&gt;0"),0),ce,IFERROR(MAXIFS('Lớp 4 - Danh mục'!$AD$14:$AD$132,'Lớp 4 - Danh mục'!$J$14:$J$132,$I52,'Lớp 4 - Danh mục'!$AA$14:$AA$132,"&lt;&gt;Hủy",'Lớp 4 - Danh mục'!$AD$14:$AD$132,"&gt;0"),0),ps,'Trung tâm nhập liệu'!R117,pe,'Trung tâm nhập liệu'!Q117,IF(OR(Z52="",AA52=""),"Thiếu ngày L3",IF(n=0,"Chưa có L4",IF(OR(cs=0,ce=0),"Thiếu ngày L4",IF(OR(ps="",pe=""),"Thiếu ngày kế hoạch gốc L3",IF(OR(cs&lt;ps,ce&gt;pe),"Cảnh báo: Con vượt khung kế hoạch gốc","L4 đúng khung kế hoạch gốc"))))))))))</f>
        <v/>
      </c>
      <c r="AH52" s="465"/>
      <c r="AI52" s="467"/>
      <c r="AJ52" s="469"/>
      <c r="AK52" s="470"/>
      <c r="AL52" s="470"/>
      <c r="AM52" s="471"/>
      <c r="AN52" s="469"/>
      <c r="AO52" s="475"/>
      <c r="AP52" s="476"/>
      <c r="AQ52" s="478"/>
      <c r="AR52" s="465"/>
      <c r="AS52" s="465"/>
      <c r="AT52" s="479"/>
    </row>
    <row r="53" ht="15.75" customHeight="1">
      <c r="A53" s="383"/>
      <c r="B53" s="387"/>
      <c r="C53" s="394"/>
      <c r="D53" s="615"/>
      <c r="E53" s="614"/>
      <c r="F53" s="407"/>
      <c r="G53" s="407"/>
      <c r="H53" s="411"/>
      <c r="I53" s="414"/>
      <c r="J53" s="415"/>
      <c r="K53" s="469"/>
      <c r="L53" s="521"/>
      <c r="M53" s="419"/>
      <c r="N53" s="420"/>
      <c r="O53" s="421"/>
      <c r="P53" s="422"/>
      <c r="Q53" s="426" t="str">
        <f>IF($I53="","",LET(n,COUNTIFS('Lớp 4 - Danh mục'!$J$14:$J$132,$I53,'Lớp 4 - Danh mục'!$AA$14:$AA$132,"&lt;&gt;Hủy"),child,IFERROR(MAXIFS('Lớp 4 - Danh mục'!$AD$14:$AD$132,'Lớp 4 - Danh mục'!$J$14:$J$132,$I53,'Lớp 4 - Danh mục'!$AA$14:$AA$132,"&lt;&gt;Hủy",'Lớp 4 - Danh mục'!$AD$14:$AD$132,"&gt;0"),0),plan,'Trung tâm nhập liệu'!Q118,emergent,LOWER(TRIM('Trung tâm nhập liệu'!O118))="khi phát sinh",IF(n=0,IF(emergent,"",plan),IF(child=0,IF(emergent,"",plan),IF(OR(emergent,plan=""),child,MAX(plan,child))))))</f>
        <v/>
      </c>
      <c r="R53" s="430" t="str">
        <f>IF($I53="","",LET(n,COUNTIFS('Lớp 4 - Danh mục'!$J$14:$J$132,$I53,'Lớp 4 - Danh mục'!$AA$14:$AA$132,"&lt;&gt;Hủy"),child,IFERROR(MINIFS('Lớp 4 - Danh mục'!$AC$14:$AC$132,'Lớp 4 - Danh mục'!$J$14:$J$132,$I53,'Lớp 4 - Danh mục'!$AA$14:$AA$132,"&lt;&gt;Hủy",'Lớp 4 - Danh mục'!$AC$14:$AC$132,"&gt;0"),0),plan,'Trung tâm nhập liệu'!R118,emergent,LOWER(TRIM('Trung tâm nhập liệu'!O118))="khi phát sinh",IF(n=0,IF(emergent,"",plan),IF(child=0,IF(emergent,"",plan),IF(OR(emergent,plan=""),child,MIN(plan,child))))))</f>
        <v/>
      </c>
      <c r="S53" s="411"/>
      <c r="T53" s="414"/>
      <c r="U53" s="433"/>
      <c r="V53" s="435"/>
      <c r="W53" s="435"/>
      <c r="X53" s="437"/>
      <c r="Y53" s="420"/>
      <c r="Z53" s="430"/>
      <c r="AA53" s="426"/>
      <c r="AB53" s="516"/>
      <c r="AC53" s="446"/>
      <c r="AD53" s="516"/>
      <c r="AE53" s="448"/>
      <c r="AF53" s="510"/>
      <c r="AG53" s="456" t="str">
        <f>IF(AI53="Chưa xếp lịch","Chưa xếp lịch",IF(AI53="Định kỳ",IF(AJ53="","Thiếu chu kỳ","Theo chu kỳ"),IF(AI53="Khi phát sinh",IF(COUNTIFS('Lớp 4 - Danh mục'!$J$14:$J$132,$I53,'Lớp 4 - Danh mục'!$AA$14:$AA$132,"&lt;&gt;Hủy")=0,"Khi phát sinh – chờ việc con","Khi phát sinh – theo ngày con"),IF(I53="","",LET(n,COUNTIFS('Lớp 4 - Danh mục'!$J$14:$J$132,$I53,'Lớp 4 - Danh mục'!$AA$14:$AA$132,"&lt;&gt;Hủy"),cs,IFERROR(MINIFS('Lớp 4 - Danh mục'!$AC$14:$AC$132,'Lớp 4 - Danh mục'!$J$14:$J$132,$I53,'Lớp 4 - Danh mục'!$AA$14:$AA$132,"&lt;&gt;Hủy",'Lớp 4 - Danh mục'!$AC$14:$AC$132,"&gt;0"),0),ce,IFERROR(MAXIFS('Lớp 4 - Danh mục'!$AD$14:$AD$132,'Lớp 4 - Danh mục'!$J$14:$J$132,$I53,'Lớp 4 - Danh mục'!$AA$14:$AA$132,"&lt;&gt;Hủy",'Lớp 4 - Danh mục'!$AD$14:$AD$132,"&gt;0"),0),ps,'Trung tâm nhập liệu'!R118,pe,'Trung tâm nhập liệu'!Q118,IF(OR(Z53="",AA53=""),"Thiếu ngày L3",IF(n=0,"Chưa có L4",IF(OR(cs=0,ce=0),"Thiếu ngày L4",IF(OR(ps="",pe=""),"Thiếu ngày kế hoạch gốc L3",IF(OR(cs&lt;ps,ce&gt;pe),"Cảnh báo: Con vượt khung kế hoạch gốc","L4 đúng khung kế hoạch gốc"))))))))))</f>
        <v/>
      </c>
      <c r="AH53" s="465"/>
      <c r="AI53" s="467"/>
      <c r="AJ53" s="469"/>
      <c r="AK53" s="470"/>
      <c r="AL53" s="470"/>
      <c r="AM53" s="471"/>
      <c r="AN53" s="469"/>
      <c r="AO53" s="475"/>
      <c r="AP53" s="476"/>
      <c r="AQ53" s="478"/>
      <c r="AR53" s="465"/>
      <c r="AS53" s="465"/>
      <c r="AT53" s="479"/>
    </row>
    <row r="54" ht="15.75" customHeight="1">
      <c r="A54" s="383"/>
      <c r="B54" s="387"/>
      <c r="C54" s="394"/>
      <c r="D54" s="615"/>
      <c r="E54" s="614"/>
      <c r="F54" s="407"/>
      <c r="G54" s="407"/>
      <c r="H54" s="411"/>
      <c r="I54" s="414"/>
      <c r="J54" s="415"/>
      <c r="K54" s="469"/>
      <c r="L54" s="521"/>
      <c r="M54" s="419"/>
      <c r="N54" s="420"/>
      <c r="O54" s="421"/>
      <c r="P54" s="422"/>
      <c r="Q54" s="426" t="str">
        <f>IF($I54="","",LET(n,COUNTIFS('Lớp 4 - Danh mục'!$J$14:$J$132,$I54,'Lớp 4 - Danh mục'!$AA$14:$AA$132,"&lt;&gt;Hủy"),child,IFERROR(MAXIFS('Lớp 4 - Danh mục'!$AD$14:$AD$132,'Lớp 4 - Danh mục'!$J$14:$J$132,$I54,'Lớp 4 - Danh mục'!$AA$14:$AA$132,"&lt;&gt;Hủy",'Lớp 4 - Danh mục'!$AD$14:$AD$132,"&gt;0"),0),plan,'Trung tâm nhập liệu'!Q119,emergent,LOWER(TRIM('Trung tâm nhập liệu'!O119))="khi phát sinh",IF(n=0,IF(emergent,"",plan),IF(child=0,IF(emergent,"",plan),IF(OR(emergent,plan=""),child,MAX(plan,child))))))</f>
        <v/>
      </c>
      <c r="R54" s="430" t="str">
        <f>IF($I54="","",LET(n,COUNTIFS('Lớp 4 - Danh mục'!$J$14:$J$132,$I54,'Lớp 4 - Danh mục'!$AA$14:$AA$132,"&lt;&gt;Hủy"),child,IFERROR(MINIFS('Lớp 4 - Danh mục'!$AC$14:$AC$132,'Lớp 4 - Danh mục'!$J$14:$J$132,$I54,'Lớp 4 - Danh mục'!$AA$14:$AA$132,"&lt;&gt;Hủy",'Lớp 4 - Danh mục'!$AC$14:$AC$132,"&gt;0"),0),plan,'Trung tâm nhập liệu'!R119,emergent,LOWER(TRIM('Trung tâm nhập liệu'!O119))="khi phát sinh",IF(n=0,IF(emergent,"",plan),IF(child=0,IF(emergent,"",plan),IF(OR(emergent,plan=""),child,MIN(plan,child))))))</f>
        <v/>
      </c>
      <c r="S54" s="411"/>
      <c r="T54" s="414"/>
      <c r="U54" s="433"/>
      <c r="V54" s="435"/>
      <c r="W54" s="435"/>
      <c r="X54" s="437"/>
      <c r="Y54" s="420"/>
      <c r="Z54" s="430"/>
      <c r="AA54" s="426"/>
      <c r="AB54" s="516"/>
      <c r="AC54" s="446"/>
      <c r="AD54" s="516"/>
      <c r="AE54" s="448"/>
      <c r="AF54" s="510"/>
      <c r="AG54" s="456" t="str">
        <f>IF(AI54="Chưa xếp lịch","Chưa xếp lịch",IF(AI54="Định kỳ",IF(AJ54="","Thiếu chu kỳ","Theo chu kỳ"),IF(AI54="Khi phát sinh",IF(COUNTIFS('Lớp 4 - Danh mục'!$J$14:$J$132,$I54,'Lớp 4 - Danh mục'!$AA$14:$AA$132,"&lt;&gt;Hủy")=0,"Khi phát sinh – chờ việc con","Khi phát sinh – theo ngày con"),IF(I54="","",LET(n,COUNTIFS('Lớp 4 - Danh mục'!$J$14:$J$132,$I54,'Lớp 4 - Danh mục'!$AA$14:$AA$132,"&lt;&gt;Hủy"),cs,IFERROR(MINIFS('Lớp 4 - Danh mục'!$AC$14:$AC$132,'Lớp 4 - Danh mục'!$J$14:$J$132,$I54,'Lớp 4 - Danh mục'!$AA$14:$AA$132,"&lt;&gt;Hủy",'Lớp 4 - Danh mục'!$AC$14:$AC$132,"&gt;0"),0),ce,IFERROR(MAXIFS('Lớp 4 - Danh mục'!$AD$14:$AD$132,'Lớp 4 - Danh mục'!$J$14:$J$132,$I54,'Lớp 4 - Danh mục'!$AA$14:$AA$132,"&lt;&gt;Hủy",'Lớp 4 - Danh mục'!$AD$14:$AD$132,"&gt;0"),0),ps,'Trung tâm nhập liệu'!R119,pe,'Trung tâm nhập liệu'!Q119,IF(OR(Z54="",AA54=""),"Thiếu ngày L3",IF(n=0,"Chưa có L4",IF(OR(cs=0,ce=0),"Thiếu ngày L4",IF(OR(ps="",pe=""),"Thiếu ngày kế hoạch gốc L3",IF(OR(cs&lt;ps,ce&gt;pe),"Cảnh báo: Con vượt khung kế hoạch gốc","L4 đúng khung kế hoạch gốc"))))))))))</f>
        <v/>
      </c>
      <c r="AH54" s="465"/>
      <c r="AI54" s="467"/>
      <c r="AJ54" s="469"/>
      <c r="AK54" s="470"/>
      <c r="AL54" s="470"/>
      <c r="AM54" s="471"/>
      <c r="AN54" s="469"/>
      <c r="AO54" s="475"/>
      <c r="AP54" s="476"/>
      <c r="AQ54" s="478"/>
      <c r="AR54" s="465"/>
      <c r="AS54" s="465"/>
      <c r="AT54" s="479"/>
    </row>
    <row r="55" ht="15.75" customHeight="1">
      <c r="A55" s="383"/>
      <c r="B55" s="387"/>
      <c r="C55" s="394"/>
      <c r="D55" s="615"/>
      <c r="E55" s="614"/>
      <c r="F55" s="407"/>
      <c r="G55" s="407"/>
      <c r="H55" s="411"/>
      <c r="I55" s="414"/>
      <c r="J55" s="415"/>
      <c r="K55" s="469"/>
      <c r="L55" s="521"/>
      <c r="M55" s="419"/>
      <c r="N55" s="420"/>
      <c r="O55" s="421"/>
      <c r="P55" s="422"/>
      <c r="Q55" s="426" t="str">
        <f>IF($I55="","",LET(n,COUNTIFS('Lớp 4 - Danh mục'!$J$14:$J$132,$I55,'Lớp 4 - Danh mục'!$AA$14:$AA$132,"&lt;&gt;Hủy"),child,IFERROR(MAXIFS('Lớp 4 - Danh mục'!$AD$14:$AD$132,'Lớp 4 - Danh mục'!$J$14:$J$132,$I55,'Lớp 4 - Danh mục'!$AA$14:$AA$132,"&lt;&gt;Hủy",'Lớp 4 - Danh mục'!$AD$14:$AD$132,"&gt;0"),0),plan,'Trung tâm nhập liệu'!Q120,emergent,LOWER(TRIM('Trung tâm nhập liệu'!O120))="khi phát sinh",IF(n=0,IF(emergent,"",plan),IF(child=0,IF(emergent,"",plan),IF(OR(emergent,plan=""),child,MAX(plan,child))))))</f>
        <v/>
      </c>
      <c r="R55" s="430" t="str">
        <f>IF($I55="","",LET(n,COUNTIFS('Lớp 4 - Danh mục'!$J$14:$J$132,$I55,'Lớp 4 - Danh mục'!$AA$14:$AA$132,"&lt;&gt;Hủy"),child,IFERROR(MINIFS('Lớp 4 - Danh mục'!$AC$14:$AC$132,'Lớp 4 - Danh mục'!$J$14:$J$132,$I55,'Lớp 4 - Danh mục'!$AA$14:$AA$132,"&lt;&gt;Hủy",'Lớp 4 - Danh mục'!$AC$14:$AC$132,"&gt;0"),0),plan,'Trung tâm nhập liệu'!R120,emergent,LOWER(TRIM('Trung tâm nhập liệu'!O120))="khi phát sinh",IF(n=0,IF(emergent,"",plan),IF(child=0,IF(emergent,"",plan),IF(OR(emergent,plan=""),child,MIN(plan,child))))))</f>
        <v/>
      </c>
      <c r="S55" s="411"/>
      <c r="T55" s="414"/>
      <c r="U55" s="433"/>
      <c r="V55" s="435"/>
      <c r="W55" s="435"/>
      <c r="X55" s="437"/>
      <c r="Y55" s="420"/>
      <c r="Z55" s="430"/>
      <c r="AA55" s="426"/>
      <c r="AB55" s="516"/>
      <c r="AC55" s="446"/>
      <c r="AD55" s="516"/>
      <c r="AE55" s="448"/>
      <c r="AF55" s="510"/>
      <c r="AG55" s="456" t="str">
        <f>IF(AI55="Chưa xếp lịch","Chưa xếp lịch",IF(AI55="Định kỳ",IF(AJ55="","Thiếu chu kỳ","Theo chu kỳ"),IF(AI55="Khi phát sinh",IF(COUNTIFS('Lớp 4 - Danh mục'!$J$14:$J$132,$I55,'Lớp 4 - Danh mục'!$AA$14:$AA$132,"&lt;&gt;Hủy")=0,"Khi phát sinh – chờ việc con","Khi phát sinh – theo ngày con"),IF(I55="","",LET(n,COUNTIFS('Lớp 4 - Danh mục'!$J$14:$J$132,$I55,'Lớp 4 - Danh mục'!$AA$14:$AA$132,"&lt;&gt;Hủy"),cs,IFERROR(MINIFS('Lớp 4 - Danh mục'!$AC$14:$AC$132,'Lớp 4 - Danh mục'!$J$14:$J$132,$I55,'Lớp 4 - Danh mục'!$AA$14:$AA$132,"&lt;&gt;Hủy",'Lớp 4 - Danh mục'!$AC$14:$AC$132,"&gt;0"),0),ce,IFERROR(MAXIFS('Lớp 4 - Danh mục'!$AD$14:$AD$132,'Lớp 4 - Danh mục'!$J$14:$J$132,$I55,'Lớp 4 - Danh mục'!$AA$14:$AA$132,"&lt;&gt;Hủy",'Lớp 4 - Danh mục'!$AD$14:$AD$132,"&gt;0"),0),ps,'Trung tâm nhập liệu'!R120,pe,'Trung tâm nhập liệu'!Q120,IF(OR(Z55="",AA55=""),"Thiếu ngày L3",IF(n=0,"Chưa có L4",IF(OR(cs=0,ce=0),"Thiếu ngày L4",IF(OR(ps="",pe=""),"Thiếu ngày kế hoạch gốc L3",IF(OR(cs&lt;ps,ce&gt;pe),"Cảnh báo: Con vượt khung kế hoạch gốc","L4 đúng khung kế hoạch gốc"))))))))))</f>
        <v/>
      </c>
      <c r="AH55" s="465"/>
      <c r="AI55" s="467"/>
      <c r="AJ55" s="469"/>
      <c r="AK55" s="470"/>
      <c r="AL55" s="470"/>
      <c r="AM55" s="471"/>
      <c r="AN55" s="469"/>
      <c r="AO55" s="475"/>
      <c r="AP55" s="476"/>
      <c r="AQ55" s="478"/>
      <c r="AR55" s="465"/>
      <c r="AS55" s="465"/>
      <c r="AT55" s="479"/>
    </row>
    <row r="56" ht="15.75" customHeight="1">
      <c r="A56" s="383"/>
      <c r="B56" s="387"/>
      <c r="C56" s="394"/>
      <c r="D56" s="615"/>
      <c r="E56" s="614"/>
      <c r="F56" s="407"/>
      <c r="G56" s="407"/>
      <c r="H56" s="411"/>
      <c r="I56" s="414"/>
      <c r="J56" s="415"/>
      <c r="K56" s="469"/>
      <c r="L56" s="521"/>
      <c r="M56" s="419"/>
      <c r="N56" s="420"/>
      <c r="O56" s="421"/>
      <c r="P56" s="422"/>
      <c r="Q56" s="426" t="str">
        <f>IF($I56="","",LET(n,COUNTIFS('Lớp 4 - Danh mục'!$J$14:$J$132,$I56,'Lớp 4 - Danh mục'!$AA$14:$AA$132,"&lt;&gt;Hủy"),child,IFERROR(MAXIFS('Lớp 4 - Danh mục'!$AD$14:$AD$132,'Lớp 4 - Danh mục'!$J$14:$J$132,$I56,'Lớp 4 - Danh mục'!$AA$14:$AA$132,"&lt;&gt;Hủy",'Lớp 4 - Danh mục'!$AD$14:$AD$132,"&gt;0"),0),plan,'Trung tâm nhập liệu'!Q121,emergent,LOWER(TRIM('Trung tâm nhập liệu'!O121))="khi phát sinh",IF(n=0,IF(emergent,"",plan),IF(child=0,IF(emergent,"",plan),IF(OR(emergent,plan=""),child,MAX(plan,child))))))</f>
        <v/>
      </c>
      <c r="R56" s="430" t="str">
        <f>IF($I56="","",LET(n,COUNTIFS('Lớp 4 - Danh mục'!$J$14:$J$132,$I56,'Lớp 4 - Danh mục'!$AA$14:$AA$132,"&lt;&gt;Hủy"),child,IFERROR(MINIFS('Lớp 4 - Danh mục'!$AC$14:$AC$132,'Lớp 4 - Danh mục'!$J$14:$J$132,$I56,'Lớp 4 - Danh mục'!$AA$14:$AA$132,"&lt;&gt;Hủy",'Lớp 4 - Danh mục'!$AC$14:$AC$132,"&gt;0"),0),plan,'Trung tâm nhập liệu'!R121,emergent,LOWER(TRIM('Trung tâm nhập liệu'!O121))="khi phát sinh",IF(n=0,IF(emergent,"",plan),IF(child=0,IF(emergent,"",plan),IF(OR(emergent,plan=""),child,MIN(plan,child))))))</f>
        <v/>
      </c>
      <c r="S56" s="411"/>
      <c r="T56" s="414"/>
      <c r="U56" s="433"/>
      <c r="V56" s="435"/>
      <c r="W56" s="435"/>
      <c r="X56" s="437"/>
      <c r="Y56" s="420"/>
      <c r="Z56" s="430"/>
      <c r="AA56" s="426"/>
      <c r="AB56" s="516"/>
      <c r="AC56" s="446"/>
      <c r="AD56" s="516"/>
      <c r="AE56" s="448"/>
      <c r="AF56" s="510"/>
      <c r="AG56" s="456" t="str">
        <f>IF(AI56="Chưa xếp lịch","Chưa xếp lịch",IF(AI56="Định kỳ",IF(AJ56="","Thiếu chu kỳ","Theo chu kỳ"),IF(AI56="Khi phát sinh",IF(COUNTIFS('Lớp 4 - Danh mục'!$J$14:$J$132,$I56,'Lớp 4 - Danh mục'!$AA$14:$AA$132,"&lt;&gt;Hủy")=0,"Khi phát sinh – chờ việc con","Khi phát sinh – theo ngày con"),IF(I56="","",LET(n,COUNTIFS('Lớp 4 - Danh mục'!$J$14:$J$132,$I56,'Lớp 4 - Danh mục'!$AA$14:$AA$132,"&lt;&gt;Hủy"),cs,IFERROR(MINIFS('Lớp 4 - Danh mục'!$AC$14:$AC$132,'Lớp 4 - Danh mục'!$J$14:$J$132,$I56,'Lớp 4 - Danh mục'!$AA$14:$AA$132,"&lt;&gt;Hủy",'Lớp 4 - Danh mục'!$AC$14:$AC$132,"&gt;0"),0),ce,IFERROR(MAXIFS('Lớp 4 - Danh mục'!$AD$14:$AD$132,'Lớp 4 - Danh mục'!$J$14:$J$132,$I56,'Lớp 4 - Danh mục'!$AA$14:$AA$132,"&lt;&gt;Hủy",'Lớp 4 - Danh mục'!$AD$14:$AD$132,"&gt;0"),0),ps,'Trung tâm nhập liệu'!R121,pe,'Trung tâm nhập liệu'!Q121,IF(OR(Z56="",AA56=""),"Thiếu ngày L3",IF(n=0,"Chưa có L4",IF(OR(cs=0,ce=0),"Thiếu ngày L4",IF(OR(ps="",pe=""),"Thiếu ngày kế hoạch gốc L3",IF(OR(cs&lt;ps,ce&gt;pe),"Cảnh báo: Con vượt khung kế hoạch gốc","L4 đúng khung kế hoạch gốc"))))))))))</f>
        <v/>
      </c>
      <c r="AH56" s="465"/>
      <c r="AI56" s="467"/>
      <c r="AJ56" s="469"/>
      <c r="AK56" s="470"/>
      <c r="AL56" s="470"/>
      <c r="AM56" s="471"/>
      <c r="AN56" s="469"/>
      <c r="AO56" s="475"/>
      <c r="AP56" s="476"/>
      <c r="AQ56" s="478"/>
      <c r="AR56" s="465"/>
      <c r="AS56" s="465"/>
      <c r="AT56" s="479"/>
    </row>
    <row r="57" ht="15.75" customHeight="1">
      <c r="A57" s="383"/>
      <c r="B57" s="387"/>
      <c r="C57" s="394"/>
      <c r="D57" s="615"/>
      <c r="E57" s="614"/>
      <c r="F57" s="407"/>
      <c r="G57" s="407"/>
      <c r="H57" s="411"/>
      <c r="I57" s="414"/>
      <c r="J57" s="415"/>
      <c r="K57" s="469"/>
      <c r="L57" s="521"/>
      <c r="M57" s="419"/>
      <c r="N57" s="420"/>
      <c r="O57" s="421"/>
      <c r="P57" s="422"/>
      <c r="Q57" s="426" t="str">
        <f>IF($I57="","",LET(n,COUNTIFS('Lớp 4 - Danh mục'!$J$14:$J$132,$I57,'Lớp 4 - Danh mục'!$AA$14:$AA$132,"&lt;&gt;Hủy"),child,IFERROR(MAXIFS('Lớp 4 - Danh mục'!$AD$14:$AD$132,'Lớp 4 - Danh mục'!$J$14:$J$132,$I57,'Lớp 4 - Danh mục'!$AA$14:$AA$132,"&lt;&gt;Hủy",'Lớp 4 - Danh mục'!$AD$14:$AD$132,"&gt;0"),0),plan,'Trung tâm nhập liệu'!Q122,emergent,LOWER(TRIM('Trung tâm nhập liệu'!O122))="khi phát sinh",IF(n=0,IF(emergent,"",plan),IF(child=0,IF(emergent,"",plan),IF(OR(emergent,plan=""),child,MAX(plan,child))))))</f>
        <v/>
      </c>
      <c r="R57" s="430" t="str">
        <f>IF($I57="","",LET(n,COUNTIFS('Lớp 4 - Danh mục'!$J$14:$J$132,$I57,'Lớp 4 - Danh mục'!$AA$14:$AA$132,"&lt;&gt;Hủy"),child,IFERROR(MINIFS('Lớp 4 - Danh mục'!$AC$14:$AC$132,'Lớp 4 - Danh mục'!$J$14:$J$132,$I57,'Lớp 4 - Danh mục'!$AA$14:$AA$132,"&lt;&gt;Hủy",'Lớp 4 - Danh mục'!$AC$14:$AC$132,"&gt;0"),0),plan,'Trung tâm nhập liệu'!R122,emergent,LOWER(TRIM('Trung tâm nhập liệu'!O122))="khi phát sinh",IF(n=0,IF(emergent,"",plan),IF(child=0,IF(emergent,"",plan),IF(OR(emergent,plan=""),child,MIN(plan,child))))))</f>
        <v/>
      </c>
      <c r="S57" s="411"/>
      <c r="T57" s="414"/>
      <c r="U57" s="433"/>
      <c r="V57" s="435"/>
      <c r="W57" s="435"/>
      <c r="X57" s="437"/>
      <c r="Y57" s="420"/>
      <c r="Z57" s="430"/>
      <c r="AA57" s="426"/>
      <c r="AB57" s="516"/>
      <c r="AC57" s="446"/>
      <c r="AD57" s="516"/>
      <c r="AE57" s="448"/>
      <c r="AF57" s="510"/>
      <c r="AG57" s="456" t="str">
        <f>IF(AI57="Chưa xếp lịch","Chưa xếp lịch",IF(AI57="Định kỳ",IF(AJ57="","Thiếu chu kỳ","Theo chu kỳ"),IF(AI57="Khi phát sinh",IF(COUNTIFS('Lớp 4 - Danh mục'!$J$14:$J$132,$I57,'Lớp 4 - Danh mục'!$AA$14:$AA$132,"&lt;&gt;Hủy")=0,"Khi phát sinh – chờ việc con","Khi phát sinh – theo ngày con"),IF(I57="","",LET(n,COUNTIFS('Lớp 4 - Danh mục'!$J$14:$J$132,$I57,'Lớp 4 - Danh mục'!$AA$14:$AA$132,"&lt;&gt;Hủy"),cs,IFERROR(MINIFS('Lớp 4 - Danh mục'!$AC$14:$AC$132,'Lớp 4 - Danh mục'!$J$14:$J$132,$I57,'Lớp 4 - Danh mục'!$AA$14:$AA$132,"&lt;&gt;Hủy",'Lớp 4 - Danh mục'!$AC$14:$AC$132,"&gt;0"),0),ce,IFERROR(MAXIFS('Lớp 4 - Danh mục'!$AD$14:$AD$132,'Lớp 4 - Danh mục'!$J$14:$J$132,$I57,'Lớp 4 - Danh mục'!$AA$14:$AA$132,"&lt;&gt;Hủy",'Lớp 4 - Danh mục'!$AD$14:$AD$132,"&gt;0"),0),ps,'Trung tâm nhập liệu'!R122,pe,'Trung tâm nhập liệu'!Q122,IF(OR(Z57="",AA57=""),"Thiếu ngày L3",IF(n=0,"Chưa có L4",IF(OR(cs=0,ce=0),"Thiếu ngày L4",IF(OR(ps="",pe=""),"Thiếu ngày kế hoạch gốc L3",IF(OR(cs&lt;ps,ce&gt;pe),"Cảnh báo: Con vượt khung kế hoạch gốc","L4 đúng khung kế hoạch gốc"))))))))))</f>
        <v/>
      </c>
      <c r="AH57" s="465"/>
      <c r="AI57" s="467"/>
      <c r="AJ57" s="469"/>
      <c r="AK57" s="470"/>
      <c r="AL57" s="470"/>
      <c r="AM57" s="471"/>
      <c r="AN57" s="469"/>
      <c r="AO57" s="475"/>
      <c r="AP57" s="476"/>
      <c r="AQ57" s="478"/>
      <c r="AR57" s="465"/>
      <c r="AS57" s="465"/>
      <c r="AT57" s="479"/>
    </row>
    <row r="58" ht="15.75" customHeight="1">
      <c r="A58" s="383"/>
      <c r="B58" s="387"/>
      <c r="C58" s="394"/>
      <c r="D58" s="615"/>
      <c r="E58" s="614"/>
      <c r="F58" s="407"/>
      <c r="G58" s="407"/>
      <c r="H58" s="411"/>
      <c r="I58" s="414"/>
      <c r="J58" s="415"/>
      <c r="K58" s="469"/>
      <c r="L58" s="521"/>
      <c r="M58" s="419"/>
      <c r="N58" s="420"/>
      <c r="O58" s="421"/>
      <c r="P58" s="422"/>
      <c r="Q58" s="426" t="str">
        <f>IF($I58="","",LET(n,COUNTIFS('Lớp 4 - Danh mục'!$J$14:$J$132,$I58,'Lớp 4 - Danh mục'!$AA$14:$AA$132,"&lt;&gt;Hủy"),child,IFERROR(MAXIFS('Lớp 4 - Danh mục'!$AD$14:$AD$132,'Lớp 4 - Danh mục'!$J$14:$J$132,$I58,'Lớp 4 - Danh mục'!$AA$14:$AA$132,"&lt;&gt;Hủy",'Lớp 4 - Danh mục'!$AD$14:$AD$132,"&gt;0"),0),plan,'Trung tâm nhập liệu'!Q123,emergent,LOWER(TRIM('Trung tâm nhập liệu'!O123))="khi phát sinh",IF(n=0,IF(emergent,"",plan),IF(child=0,IF(emergent,"",plan),IF(OR(emergent,plan=""),child,MAX(plan,child))))))</f>
        <v/>
      </c>
      <c r="R58" s="430" t="str">
        <f>IF($I58="","",LET(n,COUNTIFS('Lớp 4 - Danh mục'!$J$14:$J$132,$I58,'Lớp 4 - Danh mục'!$AA$14:$AA$132,"&lt;&gt;Hủy"),child,IFERROR(MINIFS('Lớp 4 - Danh mục'!$AC$14:$AC$132,'Lớp 4 - Danh mục'!$J$14:$J$132,$I58,'Lớp 4 - Danh mục'!$AA$14:$AA$132,"&lt;&gt;Hủy",'Lớp 4 - Danh mục'!$AC$14:$AC$132,"&gt;0"),0),plan,'Trung tâm nhập liệu'!R123,emergent,LOWER(TRIM('Trung tâm nhập liệu'!O123))="khi phát sinh",IF(n=0,IF(emergent,"",plan),IF(child=0,IF(emergent,"",plan),IF(OR(emergent,plan=""),child,MIN(plan,child))))))</f>
        <v/>
      </c>
      <c r="S58" s="411"/>
      <c r="T58" s="414"/>
      <c r="U58" s="433"/>
      <c r="V58" s="435"/>
      <c r="W58" s="435"/>
      <c r="X58" s="437"/>
      <c r="Y58" s="420"/>
      <c r="Z58" s="430"/>
      <c r="AA58" s="426"/>
      <c r="AB58" s="516"/>
      <c r="AC58" s="446"/>
      <c r="AD58" s="516"/>
      <c r="AE58" s="448"/>
      <c r="AF58" s="510"/>
      <c r="AG58" s="456" t="str">
        <f>IF(AI58="Chưa xếp lịch","Chưa xếp lịch",IF(AI58="Định kỳ",IF(AJ58="","Thiếu chu kỳ","Theo chu kỳ"),IF(AI58="Khi phát sinh",IF(COUNTIFS('Lớp 4 - Danh mục'!$J$14:$J$132,$I58,'Lớp 4 - Danh mục'!$AA$14:$AA$132,"&lt;&gt;Hủy")=0,"Khi phát sinh – chờ việc con","Khi phát sinh – theo ngày con"),IF(I58="","",LET(n,COUNTIFS('Lớp 4 - Danh mục'!$J$14:$J$132,$I58,'Lớp 4 - Danh mục'!$AA$14:$AA$132,"&lt;&gt;Hủy"),cs,IFERROR(MINIFS('Lớp 4 - Danh mục'!$AC$14:$AC$132,'Lớp 4 - Danh mục'!$J$14:$J$132,$I58,'Lớp 4 - Danh mục'!$AA$14:$AA$132,"&lt;&gt;Hủy",'Lớp 4 - Danh mục'!$AC$14:$AC$132,"&gt;0"),0),ce,IFERROR(MAXIFS('Lớp 4 - Danh mục'!$AD$14:$AD$132,'Lớp 4 - Danh mục'!$J$14:$J$132,$I58,'Lớp 4 - Danh mục'!$AA$14:$AA$132,"&lt;&gt;Hủy",'Lớp 4 - Danh mục'!$AD$14:$AD$132,"&gt;0"),0),ps,'Trung tâm nhập liệu'!R123,pe,'Trung tâm nhập liệu'!Q123,IF(OR(Z58="",AA58=""),"Thiếu ngày L3",IF(n=0,"Chưa có L4",IF(OR(cs=0,ce=0),"Thiếu ngày L4",IF(OR(ps="",pe=""),"Thiếu ngày kế hoạch gốc L3",IF(OR(cs&lt;ps,ce&gt;pe),"Cảnh báo: Con vượt khung kế hoạch gốc","L4 đúng khung kế hoạch gốc"))))))))))</f>
        <v/>
      </c>
      <c r="AH58" s="465"/>
      <c r="AI58" s="467"/>
      <c r="AJ58" s="469"/>
      <c r="AK58" s="470"/>
      <c r="AL58" s="470"/>
      <c r="AM58" s="471"/>
      <c r="AN58" s="469"/>
      <c r="AO58" s="475"/>
      <c r="AP58" s="476"/>
      <c r="AQ58" s="478"/>
      <c r="AR58" s="465"/>
      <c r="AS58" s="465"/>
      <c r="AT58" s="479"/>
    </row>
    <row r="59" ht="15.75" customHeight="1">
      <c r="A59" s="383"/>
      <c r="B59" s="387"/>
      <c r="C59" s="394"/>
      <c r="D59" s="615"/>
      <c r="E59" s="614"/>
      <c r="F59" s="407"/>
      <c r="G59" s="407"/>
      <c r="H59" s="411"/>
      <c r="I59" s="414"/>
      <c r="J59" s="415"/>
      <c r="K59" s="469"/>
      <c r="L59" s="521"/>
      <c r="M59" s="419"/>
      <c r="N59" s="420"/>
      <c r="O59" s="421"/>
      <c r="P59" s="422"/>
      <c r="Q59" s="426" t="str">
        <f>IF($I59="","",LET(n,COUNTIFS('Lớp 4 - Danh mục'!$J$14:$J$132,$I59,'Lớp 4 - Danh mục'!$AA$14:$AA$132,"&lt;&gt;Hủy"),child,IFERROR(MAXIFS('Lớp 4 - Danh mục'!$AD$14:$AD$132,'Lớp 4 - Danh mục'!$J$14:$J$132,$I59,'Lớp 4 - Danh mục'!$AA$14:$AA$132,"&lt;&gt;Hủy",'Lớp 4 - Danh mục'!$AD$14:$AD$132,"&gt;0"),0),plan,'Trung tâm nhập liệu'!Q124,emergent,LOWER(TRIM('Trung tâm nhập liệu'!O124))="khi phát sinh",IF(n=0,IF(emergent,"",plan),IF(child=0,IF(emergent,"",plan),IF(OR(emergent,plan=""),child,MAX(plan,child))))))</f>
        <v/>
      </c>
      <c r="R59" s="430" t="str">
        <f>IF($I59="","",LET(n,COUNTIFS('Lớp 4 - Danh mục'!$J$14:$J$132,$I59,'Lớp 4 - Danh mục'!$AA$14:$AA$132,"&lt;&gt;Hủy"),child,IFERROR(MINIFS('Lớp 4 - Danh mục'!$AC$14:$AC$132,'Lớp 4 - Danh mục'!$J$14:$J$132,$I59,'Lớp 4 - Danh mục'!$AA$14:$AA$132,"&lt;&gt;Hủy",'Lớp 4 - Danh mục'!$AC$14:$AC$132,"&gt;0"),0),plan,'Trung tâm nhập liệu'!R124,emergent,LOWER(TRIM('Trung tâm nhập liệu'!O124))="khi phát sinh",IF(n=0,IF(emergent,"",plan),IF(child=0,IF(emergent,"",plan),IF(OR(emergent,plan=""),child,MIN(plan,child))))))</f>
        <v/>
      </c>
      <c r="S59" s="411"/>
      <c r="T59" s="414"/>
      <c r="U59" s="433"/>
      <c r="V59" s="435"/>
      <c r="W59" s="435"/>
      <c r="X59" s="437"/>
      <c r="Y59" s="420"/>
      <c r="Z59" s="430"/>
      <c r="AA59" s="426"/>
      <c r="AB59" s="516"/>
      <c r="AC59" s="446"/>
      <c r="AD59" s="516"/>
      <c r="AE59" s="448"/>
      <c r="AF59" s="510"/>
      <c r="AG59" s="456" t="str">
        <f>IF(AI59="Chưa xếp lịch","Chưa xếp lịch",IF(AI59="Định kỳ",IF(AJ59="","Thiếu chu kỳ","Theo chu kỳ"),IF(AI59="Khi phát sinh",IF(COUNTIFS('Lớp 4 - Danh mục'!$J$14:$J$132,$I59,'Lớp 4 - Danh mục'!$AA$14:$AA$132,"&lt;&gt;Hủy")=0,"Khi phát sinh – chờ việc con","Khi phát sinh – theo ngày con"),IF(I59="","",LET(n,COUNTIFS('Lớp 4 - Danh mục'!$J$14:$J$132,$I59,'Lớp 4 - Danh mục'!$AA$14:$AA$132,"&lt;&gt;Hủy"),cs,IFERROR(MINIFS('Lớp 4 - Danh mục'!$AC$14:$AC$132,'Lớp 4 - Danh mục'!$J$14:$J$132,$I59,'Lớp 4 - Danh mục'!$AA$14:$AA$132,"&lt;&gt;Hủy",'Lớp 4 - Danh mục'!$AC$14:$AC$132,"&gt;0"),0),ce,IFERROR(MAXIFS('Lớp 4 - Danh mục'!$AD$14:$AD$132,'Lớp 4 - Danh mục'!$J$14:$J$132,$I59,'Lớp 4 - Danh mục'!$AA$14:$AA$132,"&lt;&gt;Hủy",'Lớp 4 - Danh mục'!$AD$14:$AD$132,"&gt;0"),0),ps,'Trung tâm nhập liệu'!R124,pe,'Trung tâm nhập liệu'!Q124,IF(OR(Z59="",AA59=""),"Thiếu ngày L3",IF(n=0,"Chưa có L4",IF(OR(cs=0,ce=0),"Thiếu ngày L4",IF(OR(ps="",pe=""),"Thiếu ngày kế hoạch gốc L3",IF(OR(cs&lt;ps,ce&gt;pe),"Cảnh báo: Con vượt khung kế hoạch gốc","L4 đúng khung kế hoạch gốc"))))))))))</f>
        <v/>
      </c>
      <c r="AH59" s="465"/>
      <c r="AI59" s="467"/>
      <c r="AJ59" s="469"/>
      <c r="AK59" s="470"/>
      <c r="AL59" s="470"/>
      <c r="AM59" s="471"/>
      <c r="AN59" s="469"/>
      <c r="AO59" s="475"/>
      <c r="AP59" s="476"/>
      <c r="AQ59" s="478"/>
      <c r="AR59" s="465"/>
      <c r="AS59" s="465"/>
      <c r="AT59" s="479"/>
    </row>
    <row r="60" ht="15.75" customHeight="1">
      <c r="A60" s="383"/>
      <c r="B60" s="387"/>
      <c r="C60" s="394"/>
      <c r="D60" s="615"/>
      <c r="E60" s="614"/>
      <c r="F60" s="407"/>
      <c r="G60" s="407"/>
      <c r="H60" s="411"/>
      <c r="I60" s="414"/>
      <c r="J60" s="415"/>
      <c r="K60" s="469"/>
      <c r="L60" s="521"/>
      <c r="M60" s="419"/>
      <c r="N60" s="420"/>
      <c r="O60" s="421"/>
      <c r="P60" s="422"/>
      <c r="Q60" s="426" t="str">
        <f>IF($I60="","",LET(n,COUNTIFS('Lớp 4 - Danh mục'!$J$14:$J$132,$I60,'Lớp 4 - Danh mục'!$AA$14:$AA$132,"&lt;&gt;Hủy"),child,IFERROR(MAXIFS('Lớp 4 - Danh mục'!$AD$14:$AD$132,'Lớp 4 - Danh mục'!$J$14:$J$132,$I60,'Lớp 4 - Danh mục'!$AA$14:$AA$132,"&lt;&gt;Hủy",'Lớp 4 - Danh mục'!$AD$14:$AD$132,"&gt;0"),0),plan,'Trung tâm nhập liệu'!Q125,emergent,LOWER(TRIM('Trung tâm nhập liệu'!O125))="khi phát sinh",IF(n=0,IF(emergent,"",plan),IF(child=0,IF(emergent,"",plan),IF(OR(emergent,plan=""),child,MAX(plan,child))))))</f>
        <v/>
      </c>
      <c r="R60" s="430" t="str">
        <f>IF($I60="","",LET(n,COUNTIFS('Lớp 4 - Danh mục'!$J$14:$J$132,$I60,'Lớp 4 - Danh mục'!$AA$14:$AA$132,"&lt;&gt;Hủy"),child,IFERROR(MINIFS('Lớp 4 - Danh mục'!$AC$14:$AC$132,'Lớp 4 - Danh mục'!$J$14:$J$132,$I60,'Lớp 4 - Danh mục'!$AA$14:$AA$132,"&lt;&gt;Hủy",'Lớp 4 - Danh mục'!$AC$14:$AC$132,"&gt;0"),0),plan,'Trung tâm nhập liệu'!R125,emergent,LOWER(TRIM('Trung tâm nhập liệu'!O125))="khi phát sinh",IF(n=0,IF(emergent,"",plan),IF(child=0,IF(emergent,"",plan),IF(OR(emergent,plan=""),child,MIN(plan,child))))))</f>
        <v/>
      </c>
      <c r="S60" s="411"/>
      <c r="T60" s="414"/>
      <c r="U60" s="433"/>
      <c r="V60" s="435"/>
      <c r="W60" s="435"/>
      <c r="X60" s="437"/>
      <c r="Y60" s="420"/>
      <c r="Z60" s="430"/>
      <c r="AA60" s="426"/>
      <c r="AB60" s="516"/>
      <c r="AC60" s="446"/>
      <c r="AD60" s="516"/>
      <c r="AE60" s="448"/>
      <c r="AF60" s="510"/>
      <c r="AG60" s="456" t="str">
        <f>IF(AI60="Chưa xếp lịch","Chưa xếp lịch",IF(AI60="Định kỳ",IF(AJ60="","Thiếu chu kỳ","Theo chu kỳ"),IF(AI60="Khi phát sinh",IF(COUNTIFS('Lớp 4 - Danh mục'!$J$14:$J$132,$I60,'Lớp 4 - Danh mục'!$AA$14:$AA$132,"&lt;&gt;Hủy")=0,"Khi phát sinh – chờ việc con","Khi phát sinh – theo ngày con"),IF(I60="","",LET(n,COUNTIFS('Lớp 4 - Danh mục'!$J$14:$J$132,$I60,'Lớp 4 - Danh mục'!$AA$14:$AA$132,"&lt;&gt;Hủy"),cs,IFERROR(MINIFS('Lớp 4 - Danh mục'!$AC$14:$AC$132,'Lớp 4 - Danh mục'!$J$14:$J$132,$I60,'Lớp 4 - Danh mục'!$AA$14:$AA$132,"&lt;&gt;Hủy",'Lớp 4 - Danh mục'!$AC$14:$AC$132,"&gt;0"),0),ce,IFERROR(MAXIFS('Lớp 4 - Danh mục'!$AD$14:$AD$132,'Lớp 4 - Danh mục'!$J$14:$J$132,$I60,'Lớp 4 - Danh mục'!$AA$14:$AA$132,"&lt;&gt;Hủy",'Lớp 4 - Danh mục'!$AD$14:$AD$132,"&gt;0"),0),ps,'Trung tâm nhập liệu'!R125,pe,'Trung tâm nhập liệu'!Q125,IF(OR(Z60="",AA60=""),"Thiếu ngày L3",IF(n=0,"Chưa có L4",IF(OR(cs=0,ce=0),"Thiếu ngày L4",IF(OR(ps="",pe=""),"Thiếu ngày kế hoạch gốc L3",IF(OR(cs&lt;ps,ce&gt;pe),"Cảnh báo: Con vượt khung kế hoạch gốc","L4 đúng khung kế hoạch gốc"))))))))))</f>
        <v/>
      </c>
      <c r="AH60" s="465"/>
      <c r="AI60" s="467"/>
      <c r="AJ60" s="469"/>
      <c r="AK60" s="470"/>
      <c r="AL60" s="470"/>
      <c r="AM60" s="471"/>
      <c r="AN60" s="469"/>
      <c r="AO60" s="475"/>
      <c r="AP60" s="476"/>
      <c r="AQ60" s="478"/>
      <c r="AR60" s="465"/>
      <c r="AS60" s="465"/>
      <c r="AT60" s="479"/>
    </row>
    <row r="61" ht="15.75" customHeight="1">
      <c r="A61" s="383"/>
      <c r="B61" s="387"/>
      <c r="C61" s="394"/>
      <c r="D61" s="615"/>
      <c r="E61" s="614"/>
      <c r="F61" s="407"/>
      <c r="G61" s="407"/>
      <c r="H61" s="411"/>
      <c r="I61" s="414"/>
      <c r="J61" s="415"/>
      <c r="K61" s="469"/>
      <c r="L61" s="521"/>
      <c r="M61" s="419"/>
      <c r="N61" s="420"/>
      <c r="O61" s="421"/>
      <c r="P61" s="422"/>
      <c r="Q61" s="426" t="str">
        <f>IF($I61="","",LET(n,COUNTIFS('Lớp 4 - Danh mục'!$J$14:$J$132,$I61,'Lớp 4 - Danh mục'!$AA$14:$AA$132,"&lt;&gt;Hủy"),child,IFERROR(MAXIFS('Lớp 4 - Danh mục'!$AD$14:$AD$132,'Lớp 4 - Danh mục'!$J$14:$J$132,$I61,'Lớp 4 - Danh mục'!$AA$14:$AA$132,"&lt;&gt;Hủy",'Lớp 4 - Danh mục'!$AD$14:$AD$132,"&gt;0"),0),plan,'Trung tâm nhập liệu'!Q126,emergent,LOWER(TRIM('Trung tâm nhập liệu'!O126))="khi phát sinh",IF(n=0,IF(emergent,"",plan),IF(child=0,IF(emergent,"",plan),IF(OR(emergent,plan=""),child,MAX(plan,child))))))</f>
        <v/>
      </c>
      <c r="R61" s="430" t="str">
        <f>IF($I61="","",LET(n,COUNTIFS('Lớp 4 - Danh mục'!$J$14:$J$132,$I61,'Lớp 4 - Danh mục'!$AA$14:$AA$132,"&lt;&gt;Hủy"),child,IFERROR(MINIFS('Lớp 4 - Danh mục'!$AC$14:$AC$132,'Lớp 4 - Danh mục'!$J$14:$J$132,$I61,'Lớp 4 - Danh mục'!$AA$14:$AA$132,"&lt;&gt;Hủy",'Lớp 4 - Danh mục'!$AC$14:$AC$132,"&gt;0"),0),plan,'Trung tâm nhập liệu'!R126,emergent,LOWER(TRIM('Trung tâm nhập liệu'!O126))="khi phát sinh",IF(n=0,IF(emergent,"",plan),IF(child=0,IF(emergent,"",plan),IF(OR(emergent,plan=""),child,MIN(plan,child))))))</f>
        <v/>
      </c>
      <c r="S61" s="411"/>
      <c r="T61" s="414"/>
      <c r="U61" s="433"/>
      <c r="V61" s="435"/>
      <c r="W61" s="435"/>
      <c r="X61" s="437"/>
      <c r="Y61" s="420"/>
      <c r="Z61" s="430"/>
      <c r="AA61" s="426"/>
      <c r="AB61" s="516"/>
      <c r="AC61" s="446"/>
      <c r="AD61" s="516"/>
      <c r="AE61" s="448"/>
      <c r="AF61" s="510"/>
      <c r="AG61" s="456" t="str">
        <f>IF(AI61="Chưa xếp lịch","Chưa xếp lịch",IF(AI61="Định kỳ",IF(AJ61="","Thiếu chu kỳ","Theo chu kỳ"),IF(AI61="Khi phát sinh",IF(COUNTIFS('Lớp 4 - Danh mục'!$J$14:$J$132,$I61,'Lớp 4 - Danh mục'!$AA$14:$AA$132,"&lt;&gt;Hủy")=0,"Khi phát sinh – chờ việc con","Khi phát sinh – theo ngày con"),IF(I61="","",LET(n,COUNTIFS('Lớp 4 - Danh mục'!$J$14:$J$132,$I61,'Lớp 4 - Danh mục'!$AA$14:$AA$132,"&lt;&gt;Hủy"),cs,IFERROR(MINIFS('Lớp 4 - Danh mục'!$AC$14:$AC$132,'Lớp 4 - Danh mục'!$J$14:$J$132,$I61,'Lớp 4 - Danh mục'!$AA$14:$AA$132,"&lt;&gt;Hủy",'Lớp 4 - Danh mục'!$AC$14:$AC$132,"&gt;0"),0),ce,IFERROR(MAXIFS('Lớp 4 - Danh mục'!$AD$14:$AD$132,'Lớp 4 - Danh mục'!$J$14:$J$132,$I61,'Lớp 4 - Danh mục'!$AA$14:$AA$132,"&lt;&gt;Hủy",'Lớp 4 - Danh mục'!$AD$14:$AD$132,"&gt;0"),0),ps,'Trung tâm nhập liệu'!R126,pe,'Trung tâm nhập liệu'!Q126,IF(OR(Z61="",AA61=""),"Thiếu ngày L3",IF(n=0,"Chưa có L4",IF(OR(cs=0,ce=0),"Thiếu ngày L4",IF(OR(ps="",pe=""),"Thiếu ngày kế hoạch gốc L3",IF(OR(cs&lt;ps,ce&gt;pe),"Cảnh báo: Con vượt khung kế hoạch gốc","L4 đúng khung kế hoạch gốc"))))))))))</f>
        <v/>
      </c>
      <c r="AH61" s="465"/>
      <c r="AI61" s="467"/>
      <c r="AJ61" s="469"/>
      <c r="AK61" s="470"/>
      <c r="AL61" s="470"/>
      <c r="AM61" s="471"/>
      <c r="AN61" s="469"/>
      <c r="AO61" s="475"/>
      <c r="AP61" s="476"/>
      <c r="AQ61" s="478"/>
      <c r="AR61" s="465"/>
      <c r="AS61" s="465"/>
      <c r="AT61" s="479"/>
    </row>
    <row r="62" ht="15.75" customHeight="1">
      <c r="A62" s="383"/>
      <c r="B62" s="387"/>
      <c r="C62" s="394"/>
      <c r="D62" s="615"/>
      <c r="E62" s="614"/>
      <c r="F62" s="407"/>
      <c r="G62" s="407"/>
      <c r="H62" s="411"/>
      <c r="I62" s="414"/>
      <c r="J62" s="415"/>
      <c r="K62" s="469"/>
      <c r="L62" s="521"/>
      <c r="M62" s="419"/>
      <c r="N62" s="420"/>
      <c r="O62" s="421"/>
      <c r="P62" s="422"/>
      <c r="Q62" s="426" t="str">
        <f>IF($I62="","",LET(n,COUNTIFS('Lớp 4 - Danh mục'!$J$14:$J$132,$I62,'Lớp 4 - Danh mục'!$AA$14:$AA$132,"&lt;&gt;Hủy"),child,IFERROR(MAXIFS('Lớp 4 - Danh mục'!$AD$14:$AD$132,'Lớp 4 - Danh mục'!$J$14:$J$132,$I62,'Lớp 4 - Danh mục'!$AA$14:$AA$132,"&lt;&gt;Hủy",'Lớp 4 - Danh mục'!$AD$14:$AD$132,"&gt;0"),0),plan,'Trung tâm nhập liệu'!Q127,emergent,LOWER(TRIM('Trung tâm nhập liệu'!O127))="khi phát sinh",IF(n=0,IF(emergent,"",plan),IF(child=0,IF(emergent,"",plan),IF(OR(emergent,plan=""),child,MAX(plan,child))))))</f>
        <v/>
      </c>
      <c r="R62" s="430" t="str">
        <f>IF($I62="","",LET(n,COUNTIFS('Lớp 4 - Danh mục'!$J$14:$J$132,$I62,'Lớp 4 - Danh mục'!$AA$14:$AA$132,"&lt;&gt;Hủy"),child,IFERROR(MINIFS('Lớp 4 - Danh mục'!$AC$14:$AC$132,'Lớp 4 - Danh mục'!$J$14:$J$132,$I62,'Lớp 4 - Danh mục'!$AA$14:$AA$132,"&lt;&gt;Hủy",'Lớp 4 - Danh mục'!$AC$14:$AC$132,"&gt;0"),0),plan,'Trung tâm nhập liệu'!R127,emergent,LOWER(TRIM('Trung tâm nhập liệu'!O127))="khi phát sinh",IF(n=0,IF(emergent,"",plan),IF(child=0,IF(emergent,"",plan),IF(OR(emergent,plan=""),child,MIN(plan,child))))))</f>
        <v/>
      </c>
      <c r="S62" s="411"/>
      <c r="T62" s="414"/>
      <c r="U62" s="433"/>
      <c r="V62" s="435"/>
      <c r="W62" s="435"/>
      <c r="X62" s="437"/>
      <c r="Y62" s="420"/>
      <c r="Z62" s="430"/>
      <c r="AA62" s="426"/>
      <c r="AB62" s="516"/>
      <c r="AC62" s="446"/>
      <c r="AD62" s="516"/>
      <c r="AE62" s="448"/>
      <c r="AF62" s="510"/>
      <c r="AG62" s="456" t="str">
        <f>IF(AI62="Chưa xếp lịch","Chưa xếp lịch",IF(AI62="Định kỳ",IF(AJ62="","Thiếu chu kỳ","Theo chu kỳ"),IF(AI62="Khi phát sinh",IF(COUNTIFS('Lớp 4 - Danh mục'!$J$14:$J$132,$I62,'Lớp 4 - Danh mục'!$AA$14:$AA$132,"&lt;&gt;Hủy")=0,"Khi phát sinh – chờ việc con","Khi phát sinh – theo ngày con"),IF(I62="","",LET(n,COUNTIFS('Lớp 4 - Danh mục'!$J$14:$J$132,$I62,'Lớp 4 - Danh mục'!$AA$14:$AA$132,"&lt;&gt;Hủy"),cs,IFERROR(MINIFS('Lớp 4 - Danh mục'!$AC$14:$AC$132,'Lớp 4 - Danh mục'!$J$14:$J$132,$I62,'Lớp 4 - Danh mục'!$AA$14:$AA$132,"&lt;&gt;Hủy",'Lớp 4 - Danh mục'!$AC$14:$AC$132,"&gt;0"),0),ce,IFERROR(MAXIFS('Lớp 4 - Danh mục'!$AD$14:$AD$132,'Lớp 4 - Danh mục'!$J$14:$J$132,$I62,'Lớp 4 - Danh mục'!$AA$14:$AA$132,"&lt;&gt;Hủy",'Lớp 4 - Danh mục'!$AD$14:$AD$132,"&gt;0"),0),ps,'Trung tâm nhập liệu'!R127,pe,'Trung tâm nhập liệu'!Q127,IF(OR(Z62="",AA62=""),"Thiếu ngày L3",IF(n=0,"Chưa có L4",IF(OR(cs=0,ce=0),"Thiếu ngày L4",IF(OR(ps="",pe=""),"Thiếu ngày kế hoạch gốc L3",IF(OR(cs&lt;ps,ce&gt;pe),"Cảnh báo: Con vượt khung kế hoạch gốc","L4 đúng khung kế hoạch gốc"))))))))))</f>
        <v/>
      </c>
      <c r="AH62" s="465"/>
      <c r="AI62" s="467"/>
      <c r="AJ62" s="469"/>
      <c r="AK62" s="470"/>
      <c r="AL62" s="470"/>
      <c r="AM62" s="471"/>
      <c r="AN62" s="469"/>
      <c r="AO62" s="475"/>
      <c r="AP62" s="476"/>
      <c r="AQ62" s="478"/>
      <c r="AR62" s="465"/>
      <c r="AS62" s="465"/>
      <c r="AT62" s="479"/>
    </row>
    <row r="63" ht="15.75" customHeight="1">
      <c r="A63" s="383"/>
      <c r="B63" s="387"/>
      <c r="C63" s="394"/>
      <c r="D63" s="615"/>
      <c r="E63" s="614"/>
      <c r="F63" s="407"/>
      <c r="G63" s="407"/>
      <c r="H63" s="411"/>
      <c r="I63" s="414"/>
      <c r="J63" s="415"/>
      <c r="K63" s="469"/>
      <c r="L63" s="521"/>
      <c r="M63" s="419"/>
      <c r="N63" s="420"/>
      <c r="O63" s="421"/>
      <c r="P63" s="422"/>
      <c r="Q63" s="426" t="str">
        <f>IF($I63="","",LET(n,COUNTIFS('Lớp 4 - Danh mục'!$J$14:$J$132,$I63,'Lớp 4 - Danh mục'!$AA$14:$AA$132,"&lt;&gt;Hủy"),child,IFERROR(MAXIFS('Lớp 4 - Danh mục'!$AD$14:$AD$132,'Lớp 4 - Danh mục'!$J$14:$J$132,$I63,'Lớp 4 - Danh mục'!$AA$14:$AA$132,"&lt;&gt;Hủy",'Lớp 4 - Danh mục'!$AD$14:$AD$132,"&gt;0"),0),plan,'Trung tâm nhập liệu'!Q128,emergent,LOWER(TRIM('Trung tâm nhập liệu'!O128))="khi phát sinh",IF(n=0,IF(emergent,"",plan),IF(child=0,IF(emergent,"",plan),IF(OR(emergent,plan=""),child,MAX(plan,child))))))</f>
        <v/>
      </c>
      <c r="R63" s="430" t="str">
        <f>IF($I63="","",LET(n,COUNTIFS('Lớp 4 - Danh mục'!$J$14:$J$132,$I63,'Lớp 4 - Danh mục'!$AA$14:$AA$132,"&lt;&gt;Hủy"),child,IFERROR(MINIFS('Lớp 4 - Danh mục'!$AC$14:$AC$132,'Lớp 4 - Danh mục'!$J$14:$J$132,$I63,'Lớp 4 - Danh mục'!$AA$14:$AA$132,"&lt;&gt;Hủy",'Lớp 4 - Danh mục'!$AC$14:$AC$132,"&gt;0"),0),plan,'Trung tâm nhập liệu'!R128,emergent,LOWER(TRIM('Trung tâm nhập liệu'!O128))="khi phát sinh",IF(n=0,IF(emergent,"",plan),IF(child=0,IF(emergent,"",plan),IF(OR(emergent,plan=""),child,MIN(plan,child))))))</f>
        <v/>
      </c>
      <c r="S63" s="411"/>
      <c r="T63" s="414"/>
      <c r="U63" s="433"/>
      <c r="V63" s="435"/>
      <c r="W63" s="435"/>
      <c r="X63" s="437"/>
      <c r="Y63" s="420"/>
      <c r="Z63" s="430"/>
      <c r="AA63" s="426"/>
      <c r="AB63" s="516"/>
      <c r="AC63" s="446"/>
      <c r="AD63" s="516"/>
      <c r="AE63" s="448"/>
      <c r="AF63" s="510"/>
      <c r="AG63" s="456" t="str">
        <f>IF(AI63="Chưa xếp lịch","Chưa xếp lịch",IF(AI63="Định kỳ",IF(AJ63="","Thiếu chu kỳ","Theo chu kỳ"),IF(AI63="Khi phát sinh",IF(COUNTIFS('Lớp 4 - Danh mục'!$J$14:$J$132,$I63,'Lớp 4 - Danh mục'!$AA$14:$AA$132,"&lt;&gt;Hủy")=0,"Khi phát sinh – chờ việc con","Khi phát sinh – theo ngày con"),IF(I63="","",LET(n,COUNTIFS('Lớp 4 - Danh mục'!$J$14:$J$132,$I63,'Lớp 4 - Danh mục'!$AA$14:$AA$132,"&lt;&gt;Hủy"),cs,IFERROR(MINIFS('Lớp 4 - Danh mục'!$AC$14:$AC$132,'Lớp 4 - Danh mục'!$J$14:$J$132,$I63,'Lớp 4 - Danh mục'!$AA$14:$AA$132,"&lt;&gt;Hủy",'Lớp 4 - Danh mục'!$AC$14:$AC$132,"&gt;0"),0),ce,IFERROR(MAXIFS('Lớp 4 - Danh mục'!$AD$14:$AD$132,'Lớp 4 - Danh mục'!$J$14:$J$132,$I63,'Lớp 4 - Danh mục'!$AA$14:$AA$132,"&lt;&gt;Hủy",'Lớp 4 - Danh mục'!$AD$14:$AD$132,"&gt;0"),0),ps,'Trung tâm nhập liệu'!R128,pe,'Trung tâm nhập liệu'!Q128,IF(OR(Z63="",AA63=""),"Thiếu ngày L3",IF(n=0,"Chưa có L4",IF(OR(cs=0,ce=0),"Thiếu ngày L4",IF(OR(ps="",pe=""),"Thiếu ngày kế hoạch gốc L3",IF(OR(cs&lt;ps,ce&gt;pe),"Cảnh báo: Con vượt khung kế hoạch gốc","L4 đúng khung kế hoạch gốc"))))))))))</f>
        <v/>
      </c>
      <c r="AH63" s="465"/>
      <c r="AI63" s="467"/>
      <c r="AJ63" s="469"/>
      <c r="AK63" s="470"/>
      <c r="AL63" s="470"/>
      <c r="AM63" s="471"/>
      <c r="AN63" s="469"/>
      <c r="AO63" s="475"/>
      <c r="AP63" s="476"/>
      <c r="AQ63" s="478"/>
      <c r="AR63" s="465"/>
      <c r="AS63" s="465"/>
      <c r="AT63" s="479"/>
    </row>
    <row r="64" ht="15.75" customHeight="1">
      <c r="A64" s="383"/>
      <c r="B64" s="387"/>
      <c r="C64" s="394"/>
      <c r="D64" s="615"/>
      <c r="E64" s="614"/>
      <c r="F64" s="407"/>
      <c r="G64" s="407"/>
      <c r="H64" s="411"/>
      <c r="I64" s="414"/>
      <c r="J64" s="415"/>
      <c r="K64" s="469"/>
      <c r="L64" s="521"/>
      <c r="M64" s="419"/>
      <c r="N64" s="420"/>
      <c r="O64" s="421"/>
      <c r="P64" s="422"/>
      <c r="Q64" s="426" t="str">
        <f>IF($I64="","",LET(n,COUNTIFS('Lớp 4 - Danh mục'!$J$14:$J$132,$I64,'Lớp 4 - Danh mục'!$AA$14:$AA$132,"&lt;&gt;Hủy"),child,IFERROR(MAXIFS('Lớp 4 - Danh mục'!$AD$14:$AD$132,'Lớp 4 - Danh mục'!$J$14:$J$132,$I64,'Lớp 4 - Danh mục'!$AA$14:$AA$132,"&lt;&gt;Hủy",'Lớp 4 - Danh mục'!$AD$14:$AD$132,"&gt;0"),0),plan,'Trung tâm nhập liệu'!Q129,emergent,LOWER(TRIM('Trung tâm nhập liệu'!O129))="khi phát sinh",IF(n=0,IF(emergent,"",plan),IF(child=0,IF(emergent,"",plan),IF(OR(emergent,plan=""),child,MAX(plan,child))))))</f>
        <v/>
      </c>
      <c r="R64" s="430" t="str">
        <f>IF($I64="","",LET(n,COUNTIFS('Lớp 4 - Danh mục'!$J$14:$J$132,$I64,'Lớp 4 - Danh mục'!$AA$14:$AA$132,"&lt;&gt;Hủy"),child,IFERROR(MINIFS('Lớp 4 - Danh mục'!$AC$14:$AC$132,'Lớp 4 - Danh mục'!$J$14:$J$132,$I64,'Lớp 4 - Danh mục'!$AA$14:$AA$132,"&lt;&gt;Hủy",'Lớp 4 - Danh mục'!$AC$14:$AC$132,"&gt;0"),0),plan,'Trung tâm nhập liệu'!R129,emergent,LOWER(TRIM('Trung tâm nhập liệu'!O129))="khi phát sinh",IF(n=0,IF(emergent,"",plan),IF(child=0,IF(emergent,"",plan),IF(OR(emergent,plan=""),child,MIN(plan,child))))))</f>
        <v/>
      </c>
      <c r="S64" s="411"/>
      <c r="T64" s="414"/>
      <c r="U64" s="433"/>
      <c r="V64" s="435"/>
      <c r="W64" s="435"/>
      <c r="X64" s="437"/>
      <c r="Y64" s="420"/>
      <c r="Z64" s="430"/>
      <c r="AA64" s="426"/>
      <c r="AB64" s="516"/>
      <c r="AC64" s="446"/>
      <c r="AD64" s="516"/>
      <c r="AE64" s="448"/>
      <c r="AF64" s="510"/>
      <c r="AG64" s="456" t="str">
        <f>IF(AI64="Chưa xếp lịch","Chưa xếp lịch",IF(AI64="Định kỳ",IF(AJ64="","Thiếu chu kỳ","Theo chu kỳ"),IF(AI64="Khi phát sinh",IF(COUNTIFS('Lớp 4 - Danh mục'!$J$14:$J$132,$I64,'Lớp 4 - Danh mục'!$AA$14:$AA$132,"&lt;&gt;Hủy")=0,"Khi phát sinh – chờ việc con","Khi phát sinh – theo ngày con"),IF(I64="","",LET(n,COUNTIFS('Lớp 4 - Danh mục'!$J$14:$J$132,$I64,'Lớp 4 - Danh mục'!$AA$14:$AA$132,"&lt;&gt;Hủy"),cs,IFERROR(MINIFS('Lớp 4 - Danh mục'!$AC$14:$AC$132,'Lớp 4 - Danh mục'!$J$14:$J$132,$I64,'Lớp 4 - Danh mục'!$AA$14:$AA$132,"&lt;&gt;Hủy",'Lớp 4 - Danh mục'!$AC$14:$AC$132,"&gt;0"),0),ce,IFERROR(MAXIFS('Lớp 4 - Danh mục'!$AD$14:$AD$132,'Lớp 4 - Danh mục'!$J$14:$J$132,$I64,'Lớp 4 - Danh mục'!$AA$14:$AA$132,"&lt;&gt;Hủy",'Lớp 4 - Danh mục'!$AD$14:$AD$132,"&gt;0"),0),ps,'Trung tâm nhập liệu'!R129,pe,'Trung tâm nhập liệu'!Q129,IF(OR(Z64="",AA64=""),"Thiếu ngày L3",IF(n=0,"Chưa có L4",IF(OR(cs=0,ce=0),"Thiếu ngày L4",IF(OR(ps="",pe=""),"Thiếu ngày kế hoạch gốc L3",IF(OR(cs&lt;ps,ce&gt;pe),"Cảnh báo: Con vượt khung kế hoạch gốc","L4 đúng khung kế hoạch gốc"))))))))))</f>
        <v/>
      </c>
      <c r="AH64" s="465"/>
      <c r="AI64" s="467"/>
      <c r="AJ64" s="469"/>
      <c r="AK64" s="470"/>
      <c r="AL64" s="470"/>
      <c r="AM64" s="471"/>
      <c r="AN64" s="469"/>
      <c r="AO64" s="475"/>
      <c r="AP64" s="476"/>
      <c r="AQ64" s="478"/>
      <c r="AR64" s="465"/>
      <c r="AS64" s="465"/>
      <c r="AT64" s="479"/>
    </row>
    <row r="65" ht="15.75" customHeight="1">
      <c r="A65" s="383"/>
      <c r="B65" s="387"/>
      <c r="C65" s="394"/>
      <c r="D65" s="615"/>
      <c r="E65" s="614"/>
      <c r="F65" s="407"/>
      <c r="G65" s="407"/>
      <c r="H65" s="411"/>
      <c r="I65" s="414"/>
      <c r="J65" s="415"/>
      <c r="K65" s="469"/>
      <c r="L65" s="521"/>
      <c r="M65" s="419"/>
      <c r="N65" s="420"/>
      <c r="O65" s="421"/>
      <c r="P65" s="422"/>
      <c r="Q65" s="426" t="str">
        <f>IF($I65="","",LET(n,COUNTIFS('Lớp 4 - Danh mục'!$J$14:$J$132,$I65,'Lớp 4 - Danh mục'!$AA$14:$AA$132,"&lt;&gt;Hủy"),child,IFERROR(MAXIFS('Lớp 4 - Danh mục'!$AD$14:$AD$132,'Lớp 4 - Danh mục'!$J$14:$J$132,$I65,'Lớp 4 - Danh mục'!$AA$14:$AA$132,"&lt;&gt;Hủy",'Lớp 4 - Danh mục'!$AD$14:$AD$132,"&gt;0"),0),plan,'Trung tâm nhập liệu'!Q130,emergent,LOWER(TRIM('Trung tâm nhập liệu'!O130))="khi phát sinh",IF(n=0,IF(emergent,"",plan),IF(child=0,IF(emergent,"",plan),IF(OR(emergent,plan=""),child,MAX(plan,child))))))</f>
        <v/>
      </c>
      <c r="R65" s="430" t="str">
        <f>IF($I65="","",LET(n,COUNTIFS('Lớp 4 - Danh mục'!$J$14:$J$132,$I65,'Lớp 4 - Danh mục'!$AA$14:$AA$132,"&lt;&gt;Hủy"),child,IFERROR(MINIFS('Lớp 4 - Danh mục'!$AC$14:$AC$132,'Lớp 4 - Danh mục'!$J$14:$J$132,$I65,'Lớp 4 - Danh mục'!$AA$14:$AA$132,"&lt;&gt;Hủy",'Lớp 4 - Danh mục'!$AC$14:$AC$132,"&gt;0"),0),plan,'Trung tâm nhập liệu'!R130,emergent,LOWER(TRIM('Trung tâm nhập liệu'!O130))="khi phát sinh",IF(n=0,IF(emergent,"",plan),IF(child=0,IF(emergent,"",plan),IF(OR(emergent,plan=""),child,MIN(plan,child))))))</f>
        <v/>
      </c>
      <c r="S65" s="411"/>
      <c r="T65" s="414"/>
      <c r="U65" s="433"/>
      <c r="V65" s="435"/>
      <c r="W65" s="435"/>
      <c r="X65" s="437"/>
      <c r="Y65" s="420"/>
      <c r="Z65" s="430"/>
      <c r="AA65" s="426"/>
      <c r="AB65" s="516"/>
      <c r="AC65" s="446"/>
      <c r="AD65" s="516"/>
      <c r="AE65" s="448"/>
      <c r="AF65" s="510"/>
      <c r="AG65" s="456" t="str">
        <f>IF(AI65="Chưa xếp lịch","Chưa xếp lịch",IF(AI65="Định kỳ",IF(AJ65="","Thiếu chu kỳ","Theo chu kỳ"),IF(AI65="Khi phát sinh",IF(COUNTIFS('Lớp 4 - Danh mục'!$J$14:$J$132,$I65,'Lớp 4 - Danh mục'!$AA$14:$AA$132,"&lt;&gt;Hủy")=0,"Khi phát sinh – chờ việc con","Khi phát sinh – theo ngày con"),IF(I65="","",LET(n,COUNTIFS('Lớp 4 - Danh mục'!$J$14:$J$132,$I65,'Lớp 4 - Danh mục'!$AA$14:$AA$132,"&lt;&gt;Hủy"),cs,IFERROR(MINIFS('Lớp 4 - Danh mục'!$AC$14:$AC$132,'Lớp 4 - Danh mục'!$J$14:$J$132,$I65,'Lớp 4 - Danh mục'!$AA$14:$AA$132,"&lt;&gt;Hủy",'Lớp 4 - Danh mục'!$AC$14:$AC$132,"&gt;0"),0),ce,IFERROR(MAXIFS('Lớp 4 - Danh mục'!$AD$14:$AD$132,'Lớp 4 - Danh mục'!$J$14:$J$132,$I65,'Lớp 4 - Danh mục'!$AA$14:$AA$132,"&lt;&gt;Hủy",'Lớp 4 - Danh mục'!$AD$14:$AD$132,"&gt;0"),0),ps,'Trung tâm nhập liệu'!R130,pe,'Trung tâm nhập liệu'!Q130,IF(OR(Z65="",AA65=""),"Thiếu ngày L3",IF(n=0,"Chưa có L4",IF(OR(cs=0,ce=0),"Thiếu ngày L4",IF(OR(ps="",pe=""),"Thiếu ngày kế hoạch gốc L3",IF(OR(cs&lt;ps,ce&gt;pe),"Cảnh báo: Con vượt khung kế hoạch gốc","L4 đúng khung kế hoạch gốc"))))))))))</f>
        <v/>
      </c>
      <c r="AH65" s="465"/>
      <c r="AI65" s="467"/>
      <c r="AJ65" s="469"/>
      <c r="AK65" s="470"/>
      <c r="AL65" s="470"/>
      <c r="AM65" s="471"/>
      <c r="AN65" s="469"/>
      <c r="AO65" s="475"/>
      <c r="AP65" s="476"/>
      <c r="AQ65" s="478"/>
      <c r="AR65" s="465"/>
      <c r="AS65" s="465"/>
      <c r="AT65" s="479"/>
    </row>
    <row r="66" ht="15.75" customHeight="1">
      <c r="A66" s="383"/>
      <c r="B66" s="387"/>
      <c r="C66" s="394"/>
      <c r="D66" s="615"/>
      <c r="E66" s="614"/>
      <c r="F66" s="407"/>
      <c r="G66" s="407"/>
      <c r="H66" s="411"/>
      <c r="I66" s="414"/>
      <c r="J66" s="415"/>
      <c r="K66" s="469"/>
      <c r="L66" s="521"/>
      <c r="M66" s="419"/>
      <c r="N66" s="420"/>
      <c r="O66" s="421"/>
      <c r="P66" s="422"/>
      <c r="Q66" s="426" t="str">
        <f>IF($I66="","",LET(n,COUNTIFS('Lớp 4 - Danh mục'!$J$14:$J$132,$I66,'Lớp 4 - Danh mục'!$AA$14:$AA$132,"&lt;&gt;Hủy"),child,IFERROR(MAXIFS('Lớp 4 - Danh mục'!$AD$14:$AD$132,'Lớp 4 - Danh mục'!$J$14:$J$132,$I66,'Lớp 4 - Danh mục'!$AA$14:$AA$132,"&lt;&gt;Hủy",'Lớp 4 - Danh mục'!$AD$14:$AD$132,"&gt;0"),0),plan,'Trung tâm nhập liệu'!Q131,emergent,LOWER(TRIM('Trung tâm nhập liệu'!O131))="khi phát sinh",IF(n=0,IF(emergent,"",plan),IF(child=0,IF(emergent,"",plan),IF(OR(emergent,plan=""),child,MAX(plan,child))))))</f>
        <v/>
      </c>
      <c r="R66" s="430" t="str">
        <f>IF($I66="","",LET(n,COUNTIFS('Lớp 4 - Danh mục'!$J$14:$J$132,$I66,'Lớp 4 - Danh mục'!$AA$14:$AA$132,"&lt;&gt;Hủy"),child,IFERROR(MINIFS('Lớp 4 - Danh mục'!$AC$14:$AC$132,'Lớp 4 - Danh mục'!$J$14:$J$132,$I66,'Lớp 4 - Danh mục'!$AA$14:$AA$132,"&lt;&gt;Hủy",'Lớp 4 - Danh mục'!$AC$14:$AC$132,"&gt;0"),0),plan,'Trung tâm nhập liệu'!R131,emergent,LOWER(TRIM('Trung tâm nhập liệu'!O131))="khi phát sinh",IF(n=0,IF(emergent,"",plan),IF(child=0,IF(emergent,"",plan),IF(OR(emergent,plan=""),child,MIN(plan,child))))))</f>
        <v/>
      </c>
      <c r="S66" s="411"/>
      <c r="T66" s="414"/>
      <c r="U66" s="433"/>
      <c r="V66" s="435"/>
      <c r="W66" s="435"/>
      <c r="X66" s="437"/>
      <c r="Y66" s="420"/>
      <c r="Z66" s="430"/>
      <c r="AA66" s="426"/>
      <c r="AB66" s="516"/>
      <c r="AC66" s="446"/>
      <c r="AD66" s="516"/>
      <c r="AE66" s="448"/>
      <c r="AF66" s="510"/>
      <c r="AG66" s="456" t="str">
        <f>IF(AI66="Chưa xếp lịch","Chưa xếp lịch",IF(AI66="Định kỳ",IF(AJ66="","Thiếu chu kỳ","Theo chu kỳ"),IF(AI66="Khi phát sinh",IF(COUNTIFS('Lớp 4 - Danh mục'!$J$14:$J$132,$I66,'Lớp 4 - Danh mục'!$AA$14:$AA$132,"&lt;&gt;Hủy")=0,"Khi phát sinh – chờ việc con","Khi phát sinh – theo ngày con"),IF(I66="","",LET(n,COUNTIFS('Lớp 4 - Danh mục'!$J$14:$J$132,$I66,'Lớp 4 - Danh mục'!$AA$14:$AA$132,"&lt;&gt;Hủy"),cs,IFERROR(MINIFS('Lớp 4 - Danh mục'!$AC$14:$AC$132,'Lớp 4 - Danh mục'!$J$14:$J$132,$I66,'Lớp 4 - Danh mục'!$AA$14:$AA$132,"&lt;&gt;Hủy",'Lớp 4 - Danh mục'!$AC$14:$AC$132,"&gt;0"),0),ce,IFERROR(MAXIFS('Lớp 4 - Danh mục'!$AD$14:$AD$132,'Lớp 4 - Danh mục'!$J$14:$J$132,$I66,'Lớp 4 - Danh mục'!$AA$14:$AA$132,"&lt;&gt;Hủy",'Lớp 4 - Danh mục'!$AD$14:$AD$132,"&gt;0"),0),ps,'Trung tâm nhập liệu'!R131,pe,'Trung tâm nhập liệu'!Q131,IF(OR(Z66="",AA66=""),"Thiếu ngày L3",IF(n=0,"Chưa có L4",IF(OR(cs=0,ce=0),"Thiếu ngày L4",IF(OR(ps="",pe=""),"Thiếu ngày kế hoạch gốc L3",IF(OR(cs&lt;ps,ce&gt;pe),"Cảnh báo: Con vượt khung kế hoạch gốc","L4 đúng khung kế hoạch gốc"))))))))))</f>
        <v/>
      </c>
      <c r="AH66" s="465"/>
      <c r="AI66" s="467"/>
      <c r="AJ66" s="469"/>
      <c r="AK66" s="470"/>
      <c r="AL66" s="470"/>
      <c r="AM66" s="471"/>
      <c r="AN66" s="469"/>
      <c r="AO66" s="475"/>
      <c r="AP66" s="476"/>
      <c r="AQ66" s="478"/>
      <c r="AR66" s="465"/>
      <c r="AS66" s="465"/>
      <c r="AT66" s="479"/>
    </row>
    <row r="67" ht="15.75" customHeight="1">
      <c r="A67" s="383"/>
      <c r="B67" s="387"/>
      <c r="C67" s="394"/>
      <c r="D67" s="615"/>
      <c r="E67" s="614"/>
      <c r="F67" s="407"/>
      <c r="G67" s="407"/>
      <c r="H67" s="411"/>
      <c r="I67" s="414"/>
      <c r="J67" s="415"/>
      <c r="K67" s="469"/>
      <c r="L67" s="521"/>
      <c r="M67" s="419"/>
      <c r="N67" s="420"/>
      <c r="O67" s="421"/>
      <c r="P67" s="422"/>
      <c r="Q67" s="426" t="str">
        <f>IF($I67="","",LET(n,COUNTIFS('Lớp 4 - Danh mục'!$J$14:$J$132,$I67,'Lớp 4 - Danh mục'!$AA$14:$AA$132,"&lt;&gt;Hủy"),child,IFERROR(MAXIFS('Lớp 4 - Danh mục'!$AD$14:$AD$132,'Lớp 4 - Danh mục'!$J$14:$J$132,$I67,'Lớp 4 - Danh mục'!$AA$14:$AA$132,"&lt;&gt;Hủy",'Lớp 4 - Danh mục'!$AD$14:$AD$132,"&gt;0"),0),plan,'Trung tâm nhập liệu'!Q132,emergent,LOWER(TRIM('Trung tâm nhập liệu'!O132))="khi phát sinh",IF(n=0,IF(emergent,"",plan),IF(child=0,IF(emergent,"",plan),IF(OR(emergent,plan=""),child,MAX(plan,child))))))</f>
        <v/>
      </c>
      <c r="R67" s="430" t="str">
        <f>IF($I67="","",LET(n,COUNTIFS('Lớp 4 - Danh mục'!$J$14:$J$132,$I67,'Lớp 4 - Danh mục'!$AA$14:$AA$132,"&lt;&gt;Hủy"),child,IFERROR(MINIFS('Lớp 4 - Danh mục'!$AC$14:$AC$132,'Lớp 4 - Danh mục'!$J$14:$J$132,$I67,'Lớp 4 - Danh mục'!$AA$14:$AA$132,"&lt;&gt;Hủy",'Lớp 4 - Danh mục'!$AC$14:$AC$132,"&gt;0"),0),plan,'Trung tâm nhập liệu'!R132,emergent,LOWER(TRIM('Trung tâm nhập liệu'!O132))="khi phát sinh",IF(n=0,IF(emergent,"",plan),IF(child=0,IF(emergent,"",plan),IF(OR(emergent,plan=""),child,MIN(plan,child))))))</f>
        <v/>
      </c>
      <c r="S67" s="411"/>
      <c r="T67" s="414"/>
      <c r="U67" s="433"/>
      <c r="V67" s="435"/>
      <c r="W67" s="435"/>
      <c r="X67" s="437"/>
      <c r="Y67" s="420"/>
      <c r="Z67" s="430"/>
      <c r="AA67" s="426"/>
      <c r="AB67" s="516"/>
      <c r="AC67" s="446"/>
      <c r="AD67" s="516"/>
      <c r="AE67" s="448"/>
      <c r="AF67" s="510"/>
      <c r="AG67" s="456" t="str">
        <f>IF(AI67="Chưa xếp lịch","Chưa xếp lịch",IF(AI67="Định kỳ",IF(AJ67="","Thiếu chu kỳ","Theo chu kỳ"),IF(AI67="Khi phát sinh",IF(COUNTIFS('Lớp 4 - Danh mục'!$J$14:$J$132,$I67,'Lớp 4 - Danh mục'!$AA$14:$AA$132,"&lt;&gt;Hủy")=0,"Khi phát sinh – chờ việc con","Khi phát sinh – theo ngày con"),IF(I67="","",LET(n,COUNTIFS('Lớp 4 - Danh mục'!$J$14:$J$132,$I67,'Lớp 4 - Danh mục'!$AA$14:$AA$132,"&lt;&gt;Hủy"),cs,IFERROR(MINIFS('Lớp 4 - Danh mục'!$AC$14:$AC$132,'Lớp 4 - Danh mục'!$J$14:$J$132,$I67,'Lớp 4 - Danh mục'!$AA$14:$AA$132,"&lt;&gt;Hủy",'Lớp 4 - Danh mục'!$AC$14:$AC$132,"&gt;0"),0),ce,IFERROR(MAXIFS('Lớp 4 - Danh mục'!$AD$14:$AD$132,'Lớp 4 - Danh mục'!$J$14:$J$132,$I67,'Lớp 4 - Danh mục'!$AA$14:$AA$132,"&lt;&gt;Hủy",'Lớp 4 - Danh mục'!$AD$14:$AD$132,"&gt;0"),0),ps,'Trung tâm nhập liệu'!R132,pe,'Trung tâm nhập liệu'!Q132,IF(OR(Z67="",AA67=""),"Thiếu ngày L3",IF(n=0,"Chưa có L4",IF(OR(cs=0,ce=0),"Thiếu ngày L4",IF(OR(ps="",pe=""),"Thiếu ngày kế hoạch gốc L3",IF(OR(cs&lt;ps,ce&gt;pe),"Cảnh báo: Con vượt khung kế hoạch gốc","L4 đúng khung kế hoạch gốc"))))))))))</f>
        <v/>
      </c>
      <c r="AH67" s="465"/>
      <c r="AI67" s="467"/>
      <c r="AJ67" s="469"/>
      <c r="AK67" s="470"/>
      <c r="AL67" s="470"/>
      <c r="AM67" s="471"/>
      <c r="AN67" s="469"/>
      <c r="AO67" s="475"/>
      <c r="AP67" s="476"/>
      <c r="AQ67" s="478"/>
      <c r="AR67" s="465"/>
      <c r="AS67" s="465"/>
      <c r="AT67" s="479"/>
    </row>
    <row r="68" ht="15.75" customHeight="1">
      <c r="A68" s="383"/>
      <c r="B68" s="387"/>
      <c r="C68" s="394"/>
      <c r="D68" s="615"/>
      <c r="E68" s="614"/>
      <c r="F68" s="407"/>
      <c r="G68" s="407"/>
      <c r="H68" s="411"/>
      <c r="I68" s="414"/>
      <c r="J68" s="415"/>
      <c r="K68" s="469"/>
      <c r="L68" s="521"/>
      <c r="M68" s="419"/>
      <c r="N68" s="420"/>
      <c r="O68" s="421"/>
      <c r="P68" s="422"/>
      <c r="Q68" s="426" t="str">
        <f>IF($I68="","",LET(n,COUNTIFS('Lớp 4 - Danh mục'!$J$14:$J$132,$I68,'Lớp 4 - Danh mục'!$AA$14:$AA$132,"&lt;&gt;Hủy"),child,IFERROR(MAXIFS('Lớp 4 - Danh mục'!$AD$14:$AD$132,'Lớp 4 - Danh mục'!$J$14:$J$132,$I68,'Lớp 4 - Danh mục'!$AA$14:$AA$132,"&lt;&gt;Hủy",'Lớp 4 - Danh mục'!$AD$14:$AD$132,"&gt;0"),0),plan,'Trung tâm nhập liệu'!Q133,emergent,LOWER(TRIM('Trung tâm nhập liệu'!O133))="khi phát sinh",IF(n=0,IF(emergent,"",plan),IF(child=0,IF(emergent,"",plan),IF(OR(emergent,plan=""),child,MAX(plan,child))))))</f>
        <v/>
      </c>
      <c r="R68" s="430" t="str">
        <f>IF($I68="","",LET(n,COUNTIFS('Lớp 4 - Danh mục'!$J$14:$J$132,$I68,'Lớp 4 - Danh mục'!$AA$14:$AA$132,"&lt;&gt;Hủy"),child,IFERROR(MINIFS('Lớp 4 - Danh mục'!$AC$14:$AC$132,'Lớp 4 - Danh mục'!$J$14:$J$132,$I68,'Lớp 4 - Danh mục'!$AA$14:$AA$132,"&lt;&gt;Hủy",'Lớp 4 - Danh mục'!$AC$14:$AC$132,"&gt;0"),0),plan,'Trung tâm nhập liệu'!R133,emergent,LOWER(TRIM('Trung tâm nhập liệu'!O133))="khi phát sinh",IF(n=0,IF(emergent,"",plan),IF(child=0,IF(emergent,"",plan),IF(OR(emergent,plan=""),child,MIN(plan,child))))))</f>
        <v/>
      </c>
      <c r="S68" s="411"/>
      <c r="T68" s="414"/>
      <c r="U68" s="433"/>
      <c r="V68" s="435"/>
      <c r="W68" s="435"/>
      <c r="X68" s="437"/>
      <c r="Y68" s="420"/>
      <c r="Z68" s="430"/>
      <c r="AA68" s="426"/>
      <c r="AB68" s="516"/>
      <c r="AC68" s="446"/>
      <c r="AD68" s="516"/>
      <c r="AE68" s="448"/>
      <c r="AF68" s="510"/>
      <c r="AG68" s="456" t="str">
        <f>IF(AI68="Chưa xếp lịch","Chưa xếp lịch",IF(AI68="Định kỳ",IF(AJ68="","Thiếu chu kỳ","Theo chu kỳ"),IF(AI68="Khi phát sinh",IF(COUNTIFS('Lớp 4 - Danh mục'!$J$14:$J$132,$I68,'Lớp 4 - Danh mục'!$AA$14:$AA$132,"&lt;&gt;Hủy")=0,"Khi phát sinh – chờ việc con","Khi phát sinh – theo ngày con"),IF(I68="","",LET(n,COUNTIFS('Lớp 4 - Danh mục'!$J$14:$J$132,$I68,'Lớp 4 - Danh mục'!$AA$14:$AA$132,"&lt;&gt;Hủy"),cs,IFERROR(MINIFS('Lớp 4 - Danh mục'!$AC$14:$AC$132,'Lớp 4 - Danh mục'!$J$14:$J$132,$I68,'Lớp 4 - Danh mục'!$AA$14:$AA$132,"&lt;&gt;Hủy",'Lớp 4 - Danh mục'!$AC$14:$AC$132,"&gt;0"),0),ce,IFERROR(MAXIFS('Lớp 4 - Danh mục'!$AD$14:$AD$132,'Lớp 4 - Danh mục'!$J$14:$J$132,$I68,'Lớp 4 - Danh mục'!$AA$14:$AA$132,"&lt;&gt;Hủy",'Lớp 4 - Danh mục'!$AD$14:$AD$132,"&gt;0"),0),ps,'Trung tâm nhập liệu'!R133,pe,'Trung tâm nhập liệu'!Q133,IF(OR(Z68="",AA68=""),"Thiếu ngày L3",IF(n=0,"Chưa có L4",IF(OR(cs=0,ce=0),"Thiếu ngày L4",IF(OR(ps="",pe=""),"Thiếu ngày kế hoạch gốc L3",IF(OR(cs&lt;ps,ce&gt;pe),"Cảnh báo: Con vượt khung kế hoạch gốc","L4 đúng khung kế hoạch gốc"))))))))))</f>
        <v/>
      </c>
      <c r="AH68" s="465"/>
      <c r="AI68" s="467"/>
      <c r="AJ68" s="469"/>
      <c r="AK68" s="470"/>
      <c r="AL68" s="470"/>
      <c r="AM68" s="471"/>
      <c r="AN68" s="469"/>
      <c r="AO68" s="475"/>
      <c r="AP68" s="476"/>
      <c r="AQ68" s="478"/>
      <c r="AR68" s="465"/>
      <c r="AS68" s="465"/>
      <c r="AT68" s="479"/>
    </row>
    <row r="69" ht="15.75" customHeight="1">
      <c r="A69" s="383"/>
      <c r="B69" s="387"/>
      <c r="C69" s="394"/>
      <c r="D69" s="615"/>
      <c r="E69" s="614"/>
      <c r="F69" s="407"/>
      <c r="G69" s="407"/>
      <c r="H69" s="411"/>
      <c r="I69" s="414"/>
      <c r="J69" s="415"/>
      <c r="K69" s="469"/>
      <c r="L69" s="521"/>
      <c r="M69" s="419"/>
      <c r="N69" s="420"/>
      <c r="O69" s="421"/>
      <c r="P69" s="422"/>
      <c r="Q69" s="426" t="str">
        <f>IF($I69="","",LET(n,COUNTIFS('Lớp 4 - Danh mục'!$J$14:$J$132,$I69,'Lớp 4 - Danh mục'!$AA$14:$AA$132,"&lt;&gt;Hủy"),child,IFERROR(MAXIFS('Lớp 4 - Danh mục'!$AD$14:$AD$132,'Lớp 4 - Danh mục'!$J$14:$J$132,$I69,'Lớp 4 - Danh mục'!$AA$14:$AA$132,"&lt;&gt;Hủy",'Lớp 4 - Danh mục'!$AD$14:$AD$132,"&gt;0"),0),plan,'Trung tâm nhập liệu'!Q134,emergent,LOWER(TRIM('Trung tâm nhập liệu'!O134))="khi phát sinh",IF(n=0,IF(emergent,"",plan),IF(child=0,IF(emergent,"",plan),IF(OR(emergent,plan=""),child,MAX(plan,child))))))</f>
        <v/>
      </c>
      <c r="R69" s="430" t="str">
        <f>IF($I69="","",LET(n,COUNTIFS('Lớp 4 - Danh mục'!$J$14:$J$132,$I69,'Lớp 4 - Danh mục'!$AA$14:$AA$132,"&lt;&gt;Hủy"),child,IFERROR(MINIFS('Lớp 4 - Danh mục'!$AC$14:$AC$132,'Lớp 4 - Danh mục'!$J$14:$J$132,$I69,'Lớp 4 - Danh mục'!$AA$14:$AA$132,"&lt;&gt;Hủy",'Lớp 4 - Danh mục'!$AC$14:$AC$132,"&gt;0"),0),plan,'Trung tâm nhập liệu'!R134,emergent,LOWER(TRIM('Trung tâm nhập liệu'!O134))="khi phát sinh",IF(n=0,IF(emergent,"",plan),IF(child=0,IF(emergent,"",plan),IF(OR(emergent,plan=""),child,MIN(plan,child))))))</f>
        <v/>
      </c>
      <c r="S69" s="411"/>
      <c r="T69" s="414"/>
      <c r="U69" s="433"/>
      <c r="V69" s="435"/>
      <c r="W69" s="435"/>
      <c r="X69" s="437"/>
      <c r="Y69" s="420"/>
      <c r="Z69" s="430"/>
      <c r="AA69" s="426"/>
      <c r="AB69" s="516"/>
      <c r="AC69" s="446"/>
      <c r="AD69" s="516"/>
      <c r="AE69" s="448"/>
      <c r="AF69" s="510"/>
      <c r="AG69" s="456" t="str">
        <f>IF(AI69="Chưa xếp lịch","Chưa xếp lịch",IF(AI69="Định kỳ",IF(AJ69="","Thiếu chu kỳ","Theo chu kỳ"),IF(AI69="Khi phát sinh",IF(COUNTIFS('Lớp 4 - Danh mục'!$J$14:$J$132,$I69,'Lớp 4 - Danh mục'!$AA$14:$AA$132,"&lt;&gt;Hủy")=0,"Khi phát sinh – chờ việc con","Khi phát sinh – theo ngày con"),IF(I69="","",LET(n,COUNTIFS('Lớp 4 - Danh mục'!$J$14:$J$132,$I69,'Lớp 4 - Danh mục'!$AA$14:$AA$132,"&lt;&gt;Hủy"),cs,IFERROR(MINIFS('Lớp 4 - Danh mục'!$AC$14:$AC$132,'Lớp 4 - Danh mục'!$J$14:$J$132,$I69,'Lớp 4 - Danh mục'!$AA$14:$AA$132,"&lt;&gt;Hủy",'Lớp 4 - Danh mục'!$AC$14:$AC$132,"&gt;0"),0),ce,IFERROR(MAXIFS('Lớp 4 - Danh mục'!$AD$14:$AD$132,'Lớp 4 - Danh mục'!$J$14:$J$132,$I69,'Lớp 4 - Danh mục'!$AA$14:$AA$132,"&lt;&gt;Hủy",'Lớp 4 - Danh mục'!$AD$14:$AD$132,"&gt;0"),0),ps,'Trung tâm nhập liệu'!R134,pe,'Trung tâm nhập liệu'!Q134,IF(OR(Z69="",AA69=""),"Thiếu ngày L3",IF(n=0,"Chưa có L4",IF(OR(cs=0,ce=0),"Thiếu ngày L4",IF(OR(ps="",pe=""),"Thiếu ngày kế hoạch gốc L3",IF(OR(cs&lt;ps,ce&gt;pe),"Cảnh báo: Con vượt khung kế hoạch gốc","L4 đúng khung kế hoạch gốc"))))))))))</f>
        <v/>
      </c>
      <c r="AH69" s="465"/>
      <c r="AI69" s="467"/>
      <c r="AJ69" s="469"/>
      <c r="AK69" s="470"/>
      <c r="AL69" s="470"/>
      <c r="AM69" s="471"/>
      <c r="AN69" s="469"/>
      <c r="AO69" s="475"/>
      <c r="AP69" s="476"/>
      <c r="AQ69" s="478"/>
      <c r="AR69" s="465"/>
      <c r="AS69" s="465"/>
      <c r="AT69" s="479"/>
    </row>
    <row r="70" ht="15.75" customHeight="1">
      <c r="A70" s="383"/>
      <c r="B70" s="387"/>
      <c r="C70" s="394"/>
      <c r="D70" s="615"/>
      <c r="E70" s="614"/>
      <c r="F70" s="407"/>
      <c r="G70" s="407"/>
      <c r="H70" s="411"/>
      <c r="I70" s="414"/>
      <c r="J70" s="415"/>
      <c r="K70" s="469"/>
      <c r="L70" s="521"/>
      <c r="M70" s="419"/>
      <c r="N70" s="420"/>
      <c r="O70" s="421"/>
      <c r="P70" s="422"/>
      <c r="Q70" s="426" t="str">
        <f>IF($I70="","",LET(n,COUNTIFS('Lớp 4 - Danh mục'!$J$14:$J$132,$I70,'Lớp 4 - Danh mục'!$AA$14:$AA$132,"&lt;&gt;Hủy"),child,IFERROR(MAXIFS('Lớp 4 - Danh mục'!$AD$14:$AD$132,'Lớp 4 - Danh mục'!$J$14:$J$132,$I70,'Lớp 4 - Danh mục'!$AA$14:$AA$132,"&lt;&gt;Hủy",'Lớp 4 - Danh mục'!$AD$14:$AD$132,"&gt;0"),0),plan,'Trung tâm nhập liệu'!Q135,emergent,LOWER(TRIM('Trung tâm nhập liệu'!O135))="khi phát sinh",IF(n=0,IF(emergent,"",plan),IF(child=0,IF(emergent,"",plan),IF(OR(emergent,plan=""),child,MAX(plan,child))))))</f>
        <v/>
      </c>
      <c r="R70" s="430" t="str">
        <f>IF($I70="","",LET(n,COUNTIFS('Lớp 4 - Danh mục'!$J$14:$J$132,$I70,'Lớp 4 - Danh mục'!$AA$14:$AA$132,"&lt;&gt;Hủy"),child,IFERROR(MINIFS('Lớp 4 - Danh mục'!$AC$14:$AC$132,'Lớp 4 - Danh mục'!$J$14:$J$132,$I70,'Lớp 4 - Danh mục'!$AA$14:$AA$132,"&lt;&gt;Hủy",'Lớp 4 - Danh mục'!$AC$14:$AC$132,"&gt;0"),0),plan,'Trung tâm nhập liệu'!R135,emergent,LOWER(TRIM('Trung tâm nhập liệu'!O135))="khi phát sinh",IF(n=0,IF(emergent,"",plan),IF(child=0,IF(emergent,"",plan),IF(OR(emergent,plan=""),child,MIN(plan,child))))))</f>
        <v/>
      </c>
      <c r="S70" s="411"/>
      <c r="T70" s="414"/>
      <c r="U70" s="433"/>
      <c r="V70" s="435"/>
      <c r="W70" s="435"/>
      <c r="X70" s="437"/>
      <c r="Y70" s="420"/>
      <c r="Z70" s="430"/>
      <c r="AA70" s="426"/>
      <c r="AB70" s="516"/>
      <c r="AC70" s="446"/>
      <c r="AD70" s="516"/>
      <c r="AE70" s="448"/>
      <c r="AF70" s="510"/>
      <c r="AG70" s="456" t="str">
        <f>IF(AI70="Chưa xếp lịch","Chưa xếp lịch",IF(AI70="Định kỳ",IF(AJ70="","Thiếu chu kỳ","Theo chu kỳ"),IF(AI70="Khi phát sinh",IF(COUNTIFS('Lớp 4 - Danh mục'!$J$14:$J$132,$I70,'Lớp 4 - Danh mục'!$AA$14:$AA$132,"&lt;&gt;Hủy")=0,"Khi phát sinh – chờ việc con","Khi phát sinh – theo ngày con"),IF(I70="","",LET(n,COUNTIFS('Lớp 4 - Danh mục'!$J$14:$J$132,$I70,'Lớp 4 - Danh mục'!$AA$14:$AA$132,"&lt;&gt;Hủy"),cs,IFERROR(MINIFS('Lớp 4 - Danh mục'!$AC$14:$AC$132,'Lớp 4 - Danh mục'!$J$14:$J$132,$I70,'Lớp 4 - Danh mục'!$AA$14:$AA$132,"&lt;&gt;Hủy",'Lớp 4 - Danh mục'!$AC$14:$AC$132,"&gt;0"),0),ce,IFERROR(MAXIFS('Lớp 4 - Danh mục'!$AD$14:$AD$132,'Lớp 4 - Danh mục'!$J$14:$J$132,$I70,'Lớp 4 - Danh mục'!$AA$14:$AA$132,"&lt;&gt;Hủy",'Lớp 4 - Danh mục'!$AD$14:$AD$132,"&gt;0"),0),ps,'Trung tâm nhập liệu'!R135,pe,'Trung tâm nhập liệu'!Q135,IF(OR(Z70="",AA70=""),"Thiếu ngày L3",IF(n=0,"Chưa có L4",IF(OR(cs=0,ce=0),"Thiếu ngày L4",IF(OR(ps="",pe=""),"Thiếu ngày kế hoạch gốc L3",IF(OR(cs&lt;ps,ce&gt;pe),"Cảnh báo: Con vượt khung kế hoạch gốc","L4 đúng khung kế hoạch gốc"))))))))))</f>
        <v/>
      </c>
      <c r="AH70" s="465"/>
      <c r="AI70" s="467"/>
      <c r="AJ70" s="469"/>
      <c r="AK70" s="470"/>
      <c r="AL70" s="470"/>
      <c r="AM70" s="471"/>
      <c r="AN70" s="469"/>
      <c r="AO70" s="475"/>
      <c r="AP70" s="476"/>
      <c r="AQ70" s="478"/>
      <c r="AR70" s="465"/>
      <c r="AS70" s="465"/>
      <c r="AT70" s="479"/>
    </row>
    <row r="71" ht="15.75" customHeight="1">
      <c r="A71" s="383"/>
      <c r="B71" s="387"/>
      <c r="C71" s="394"/>
      <c r="D71" s="615"/>
      <c r="E71" s="614"/>
      <c r="F71" s="407"/>
      <c r="G71" s="407"/>
      <c r="H71" s="411"/>
      <c r="I71" s="414"/>
      <c r="J71" s="415"/>
      <c r="K71" s="469"/>
      <c r="L71" s="521"/>
      <c r="M71" s="419"/>
      <c r="N71" s="420"/>
      <c r="O71" s="421"/>
      <c r="P71" s="422"/>
      <c r="Q71" s="426" t="str">
        <f>IF($I71="","",LET(n,COUNTIFS('Lớp 4 - Danh mục'!$J$14:$J$132,$I71,'Lớp 4 - Danh mục'!$AA$14:$AA$132,"&lt;&gt;Hủy"),child,IFERROR(MAXIFS('Lớp 4 - Danh mục'!$AD$14:$AD$132,'Lớp 4 - Danh mục'!$J$14:$J$132,$I71,'Lớp 4 - Danh mục'!$AA$14:$AA$132,"&lt;&gt;Hủy",'Lớp 4 - Danh mục'!$AD$14:$AD$132,"&gt;0"),0),plan,'Trung tâm nhập liệu'!Q136,emergent,LOWER(TRIM('Trung tâm nhập liệu'!O136))="khi phát sinh",IF(n=0,IF(emergent,"",plan),IF(child=0,IF(emergent,"",plan),IF(OR(emergent,plan=""),child,MAX(plan,child))))))</f>
        <v/>
      </c>
      <c r="R71" s="430" t="str">
        <f>IF($I71="","",LET(n,COUNTIFS('Lớp 4 - Danh mục'!$J$14:$J$132,$I71,'Lớp 4 - Danh mục'!$AA$14:$AA$132,"&lt;&gt;Hủy"),child,IFERROR(MINIFS('Lớp 4 - Danh mục'!$AC$14:$AC$132,'Lớp 4 - Danh mục'!$J$14:$J$132,$I71,'Lớp 4 - Danh mục'!$AA$14:$AA$132,"&lt;&gt;Hủy",'Lớp 4 - Danh mục'!$AC$14:$AC$132,"&gt;0"),0),plan,'Trung tâm nhập liệu'!R136,emergent,LOWER(TRIM('Trung tâm nhập liệu'!O136))="khi phát sinh",IF(n=0,IF(emergent,"",plan),IF(child=0,IF(emergent,"",plan),IF(OR(emergent,plan=""),child,MIN(plan,child))))))</f>
        <v/>
      </c>
      <c r="S71" s="411"/>
      <c r="T71" s="414"/>
      <c r="U71" s="433"/>
      <c r="V71" s="435"/>
      <c r="W71" s="435"/>
      <c r="X71" s="437"/>
      <c r="Y71" s="420"/>
      <c r="Z71" s="430"/>
      <c r="AA71" s="426"/>
      <c r="AB71" s="516"/>
      <c r="AC71" s="446"/>
      <c r="AD71" s="516"/>
      <c r="AE71" s="448"/>
      <c r="AF71" s="510"/>
      <c r="AG71" s="456" t="str">
        <f>IF(AI71="Chưa xếp lịch","Chưa xếp lịch",IF(AI71="Định kỳ",IF(AJ71="","Thiếu chu kỳ","Theo chu kỳ"),IF(AI71="Khi phát sinh",IF(COUNTIFS('Lớp 4 - Danh mục'!$J$14:$J$132,$I71,'Lớp 4 - Danh mục'!$AA$14:$AA$132,"&lt;&gt;Hủy")=0,"Khi phát sinh – chờ việc con","Khi phát sinh – theo ngày con"),IF(I71="","",LET(n,COUNTIFS('Lớp 4 - Danh mục'!$J$14:$J$132,$I71,'Lớp 4 - Danh mục'!$AA$14:$AA$132,"&lt;&gt;Hủy"),cs,IFERROR(MINIFS('Lớp 4 - Danh mục'!$AC$14:$AC$132,'Lớp 4 - Danh mục'!$J$14:$J$132,$I71,'Lớp 4 - Danh mục'!$AA$14:$AA$132,"&lt;&gt;Hủy",'Lớp 4 - Danh mục'!$AC$14:$AC$132,"&gt;0"),0),ce,IFERROR(MAXIFS('Lớp 4 - Danh mục'!$AD$14:$AD$132,'Lớp 4 - Danh mục'!$J$14:$J$132,$I71,'Lớp 4 - Danh mục'!$AA$14:$AA$132,"&lt;&gt;Hủy",'Lớp 4 - Danh mục'!$AD$14:$AD$132,"&gt;0"),0),ps,'Trung tâm nhập liệu'!R136,pe,'Trung tâm nhập liệu'!Q136,IF(OR(Z71="",AA71=""),"Thiếu ngày L3",IF(n=0,"Chưa có L4",IF(OR(cs=0,ce=0),"Thiếu ngày L4",IF(OR(ps="",pe=""),"Thiếu ngày kế hoạch gốc L3",IF(OR(cs&lt;ps,ce&gt;pe),"Cảnh báo: Con vượt khung kế hoạch gốc","L4 đúng khung kế hoạch gốc"))))))))))</f>
        <v/>
      </c>
      <c r="AH71" s="465"/>
      <c r="AI71" s="467"/>
      <c r="AJ71" s="469"/>
      <c r="AK71" s="470"/>
      <c r="AL71" s="470"/>
      <c r="AM71" s="471"/>
      <c r="AN71" s="469"/>
      <c r="AO71" s="475"/>
      <c r="AP71" s="476"/>
      <c r="AQ71" s="478"/>
      <c r="AR71" s="465"/>
      <c r="AS71" s="465"/>
      <c r="AT71" s="479"/>
    </row>
    <row r="72" ht="15.75" customHeight="1">
      <c r="A72" s="383"/>
      <c r="B72" s="387"/>
      <c r="C72" s="394"/>
      <c r="D72" s="615"/>
      <c r="E72" s="614"/>
      <c r="F72" s="407"/>
      <c r="G72" s="407"/>
      <c r="H72" s="411"/>
      <c r="I72" s="414"/>
      <c r="J72" s="415"/>
      <c r="K72" s="469"/>
      <c r="L72" s="521"/>
      <c r="M72" s="419"/>
      <c r="N72" s="420"/>
      <c r="O72" s="421"/>
      <c r="P72" s="422"/>
      <c r="Q72" s="426" t="str">
        <f>IF($I72="","",LET(n,COUNTIFS('Lớp 4 - Danh mục'!$J$14:$J$132,$I72,'Lớp 4 - Danh mục'!$AA$14:$AA$132,"&lt;&gt;Hủy"),child,IFERROR(MAXIFS('Lớp 4 - Danh mục'!$AD$14:$AD$132,'Lớp 4 - Danh mục'!$J$14:$J$132,$I72,'Lớp 4 - Danh mục'!$AA$14:$AA$132,"&lt;&gt;Hủy",'Lớp 4 - Danh mục'!$AD$14:$AD$132,"&gt;0"),0),plan,'Trung tâm nhập liệu'!Q137,emergent,LOWER(TRIM('Trung tâm nhập liệu'!O137))="khi phát sinh",IF(n=0,IF(emergent,"",plan),IF(child=0,IF(emergent,"",plan),IF(OR(emergent,plan=""),child,MAX(plan,child))))))</f>
        <v/>
      </c>
      <c r="R72" s="430" t="str">
        <f>IF($I72="","",LET(n,COUNTIFS('Lớp 4 - Danh mục'!$J$14:$J$132,$I72,'Lớp 4 - Danh mục'!$AA$14:$AA$132,"&lt;&gt;Hủy"),child,IFERROR(MINIFS('Lớp 4 - Danh mục'!$AC$14:$AC$132,'Lớp 4 - Danh mục'!$J$14:$J$132,$I72,'Lớp 4 - Danh mục'!$AA$14:$AA$132,"&lt;&gt;Hủy",'Lớp 4 - Danh mục'!$AC$14:$AC$132,"&gt;0"),0),plan,'Trung tâm nhập liệu'!R137,emergent,LOWER(TRIM('Trung tâm nhập liệu'!O137))="khi phát sinh",IF(n=0,IF(emergent,"",plan),IF(child=0,IF(emergent,"",plan),IF(OR(emergent,plan=""),child,MIN(plan,child))))))</f>
        <v/>
      </c>
      <c r="S72" s="411"/>
      <c r="T72" s="414"/>
      <c r="U72" s="433"/>
      <c r="V72" s="435"/>
      <c r="W72" s="435"/>
      <c r="X72" s="437"/>
      <c r="Y72" s="420"/>
      <c r="Z72" s="430"/>
      <c r="AA72" s="426"/>
      <c r="AB72" s="516"/>
      <c r="AC72" s="446"/>
      <c r="AD72" s="516"/>
      <c r="AE72" s="618"/>
      <c r="AF72" s="510"/>
      <c r="AG72" s="456" t="str">
        <f>IF(AI72="Chưa xếp lịch","Chưa xếp lịch",IF(AI72="Định kỳ",IF(AJ72="","Thiếu chu kỳ","Theo chu kỳ"),IF(AI72="Khi phát sinh",IF(COUNTIFS('Lớp 4 - Danh mục'!$J$14:$J$132,$I72,'Lớp 4 - Danh mục'!$AA$14:$AA$132,"&lt;&gt;Hủy")=0,"Khi phát sinh – chờ việc con","Khi phát sinh – theo ngày con"),IF(I72="","",LET(n,COUNTIFS('Lớp 4 - Danh mục'!$J$14:$J$132,$I72,'Lớp 4 - Danh mục'!$AA$14:$AA$132,"&lt;&gt;Hủy"),cs,IFERROR(MINIFS('Lớp 4 - Danh mục'!$AC$14:$AC$132,'Lớp 4 - Danh mục'!$J$14:$J$132,$I72,'Lớp 4 - Danh mục'!$AA$14:$AA$132,"&lt;&gt;Hủy",'Lớp 4 - Danh mục'!$AC$14:$AC$132,"&gt;0"),0),ce,IFERROR(MAXIFS('Lớp 4 - Danh mục'!$AD$14:$AD$132,'Lớp 4 - Danh mục'!$J$14:$J$132,$I72,'Lớp 4 - Danh mục'!$AA$14:$AA$132,"&lt;&gt;Hủy",'Lớp 4 - Danh mục'!$AD$14:$AD$132,"&gt;0"),0),ps,'Trung tâm nhập liệu'!R137,pe,'Trung tâm nhập liệu'!Q137,IF(OR(Z72="",AA72=""),"Thiếu ngày L3",IF(n=0,"Chưa có L4",IF(OR(cs=0,ce=0),"Thiếu ngày L4",IF(OR(ps="",pe=""),"Thiếu ngày kế hoạch gốc L3",IF(OR(cs&lt;ps,ce&gt;pe),"Cảnh báo: Con vượt khung kế hoạch gốc","L4 đúng khung kế hoạch gốc"))))))))))</f>
        <v/>
      </c>
      <c r="AH72" s="465"/>
      <c r="AI72" s="467"/>
      <c r="AJ72" s="469"/>
      <c r="AK72" s="470"/>
      <c r="AL72" s="470"/>
      <c r="AM72" s="471"/>
      <c r="AN72" s="469"/>
      <c r="AO72" s="475"/>
      <c r="AP72" s="476"/>
      <c r="AQ72" s="478"/>
      <c r="AR72" s="465"/>
      <c r="AS72" s="465"/>
      <c r="AT72" s="479"/>
    </row>
    <row r="73" ht="15.75" customHeight="1">
      <c r="A73" s="383"/>
      <c r="B73" s="387"/>
      <c r="C73" s="394"/>
      <c r="D73" s="619"/>
      <c r="E73" s="620"/>
      <c r="F73" s="407"/>
      <c r="G73" s="407"/>
      <c r="H73" s="411"/>
      <c r="I73" s="414"/>
      <c r="J73" s="415"/>
      <c r="K73" s="621"/>
      <c r="L73" s="622"/>
      <c r="M73" s="419"/>
      <c r="N73" s="420"/>
      <c r="O73" s="421"/>
      <c r="P73" s="422"/>
      <c r="Q73" s="426" t="str">
        <f>IF($I73="","",LET(n,COUNTIFS('Lớp 4 - Danh mục'!$J$14:$J$132,$I73,'Lớp 4 - Danh mục'!$AA$14:$AA$132,"&lt;&gt;Hủy"),child,IFERROR(MAXIFS('Lớp 4 - Danh mục'!$AD$14:$AD$132,'Lớp 4 - Danh mục'!$J$14:$J$132,$I73,'Lớp 4 - Danh mục'!$AA$14:$AA$132,"&lt;&gt;Hủy",'Lớp 4 - Danh mục'!$AD$14:$AD$132,"&gt;0"),0),plan,'Trung tâm nhập liệu'!Q138,emergent,LOWER(TRIM('Trung tâm nhập liệu'!O138))="khi phát sinh",IF(n=0,IF(emergent,"",plan),IF(child=0,IF(emergent,"",plan),IF(OR(emergent,plan=""),child,MAX(plan,child))))))</f>
        <v/>
      </c>
      <c r="R73" s="430" t="str">
        <f>IF($I73="","",LET(n,COUNTIFS('Lớp 4 - Danh mục'!$J$14:$J$132,$I73,'Lớp 4 - Danh mục'!$AA$14:$AA$132,"&lt;&gt;Hủy"),child,IFERROR(MINIFS('Lớp 4 - Danh mục'!$AC$14:$AC$132,'Lớp 4 - Danh mục'!$J$14:$J$132,$I73,'Lớp 4 - Danh mục'!$AA$14:$AA$132,"&lt;&gt;Hủy",'Lớp 4 - Danh mục'!$AC$14:$AC$132,"&gt;0"),0),plan,'Trung tâm nhập liệu'!R138,emergent,LOWER(TRIM('Trung tâm nhập liệu'!O138))="khi phát sinh",IF(n=0,IF(emergent,"",plan),IF(child=0,IF(emergent,"",plan),IF(OR(emergent,plan=""),child,MIN(plan,child))))))</f>
        <v/>
      </c>
      <c r="S73" s="411"/>
      <c r="T73" s="414"/>
      <c r="U73" s="433"/>
      <c r="V73" s="435"/>
      <c r="W73" s="435"/>
      <c r="X73" s="437"/>
      <c r="Y73" s="420"/>
      <c r="Z73" s="430"/>
      <c r="AA73" s="426"/>
      <c r="AB73" s="516"/>
      <c r="AC73" s="446"/>
      <c r="AD73" s="516"/>
      <c r="AE73" s="448"/>
      <c r="AF73" s="510"/>
      <c r="AG73" s="456" t="str">
        <f>IF(AI73="Chưa xếp lịch","Chưa xếp lịch",IF(AI73="Định kỳ",IF(AJ73="","Thiếu chu kỳ","Theo chu kỳ"),IF(AI73="Khi phát sinh",IF(COUNTIFS('Lớp 4 - Danh mục'!$J$14:$J$132,$I73,'Lớp 4 - Danh mục'!$AA$14:$AA$132,"&lt;&gt;Hủy")=0,"Khi phát sinh – chờ việc con","Khi phát sinh – theo ngày con"),IF(I73="","",LET(n,COUNTIFS('Lớp 4 - Danh mục'!$J$14:$J$132,$I73,'Lớp 4 - Danh mục'!$AA$14:$AA$132,"&lt;&gt;Hủy"),cs,IFERROR(MINIFS('Lớp 4 - Danh mục'!$AC$14:$AC$132,'Lớp 4 - Danh mục'!$J$14:$J$132,$I73,'Lớp 4 - Danh mục'!$AA$14:$AA$132,"&lt;&gt;Hủy",'Lớp 4 - Danh mục'!$AC$14:$AC$132,"&gt;0"),0),ce,IFERROR(MAXIFS('Lớp 4 - Danh mục'!$AD$14:$AD$132,'Lớp 4 - Danh mục'!$J$14:$J$132,$I73,'Lớp 4 - Danh mục'!$AA$14:$AA$132,"&lt;&gt;Hủy",'Lớp 4 - Danh mục'!$AD$14:$AD$132,"&gt;0"),0),ps,'Trung tâm nhập liệu'!R138,pe,'Trung tâm nhập liệu'!Q138,IF(OR(Z73="",AA73=""),"Thiếu ngày L3",IF(n=0,"Chưa có L4",IF(OR(cs=0,ce=0),"Thiếu ngày L4",IF(OR(ps="",pe=""),"Thiếu ngày kế hoạch gốc L3",IF(OR(cs&lt;ps,ce&gt;pe),"Cảnh báo: Con vượt khung kế hoạch gốc","L4 đúng khung kế hoạch gốc"))))))))))</f>
        <v/>
      </c>
      <c r="AH73" s="465"/>
      <c r="AI73" s="467"/>
      <c r="AJ73" s="469"/>
      <c r="AK73" s="470"/>
      <c r="AL73" s="470"/>
      <c r="AM73" s="471"/>
      <c r="AN73" s="469"/>
      <c r="AO73" s="475"/>
      <c r="AP73" s="476"/>
      <c r="AQ73" s="478"/>
      <c r="AR73" s="465"/>
      <c r="AS73" s="465"/>
      <c r="AT73" s="479"/>
    </row>
    <row r="74" ht="15.75" customHeight="1">
      <c r="A74" s="383"/>
      <c r="B74" s="387"/>
      <c r="C74" s="394"/>
      <c r="D74" s="619"/>
      <c r="E74" s="620"/>
      <c r="F74" s="407"/>
      <c r="G74" s="407"/>
      <c r="H74" s="411"/>
      <c r="I74" s="414"/>
      <c r="J74" s="415"/>
      <c r="K74" s="621"/>
      <c r="L74" s="622"/>
      <c r="M74" s="419"/>
      <c r="N74" s="420"/>
      <c r="O74" s="421"/>
      <c r="P74" s="422"/>
      <c r="Q74" s="426"/>
      <c r="R74" s="430"/>
      <c r="S74" s="411"/>
      <c r="T74" s="414"/>
      <c r="U74" s="433"/>
      <c r="V74" s="435"/>
      <c r="W74" s="435"/>
      <c r="X74" s="437"/>
      <c r="Y74" s="420"/>
      <c r="Z74" s="430"/>
      <c r="AA74" s="426"/>
      <c r="AB74" s="516"/>
      <c r="AC74" s="446"/>
      <c r="AD74" s="516"/>
      <c r="AE74" s="448"/>
      <c r="AF74" s="510"/>
      <c r="AG74" s="456"/>
      <c r="AH74" s="465"/>
      <c r="AI74" s="467"/>
      <c r="AJ74" s="469"/>
      <c r="AK74" s="470"/>
      <c r="AL74" s="470"/>
      <c r="AM74" s="471"/>
      <c r="AN74" s="469"/>
      <c r="AO74" s="475"/>
      <c r="AP74" s="476"/>
      <c r="AQ74" s="478"/>
      <c r="AR74" s="465"/>
      <c r="AS74" s="465"/>
      <c r="AT74" s="479"/>
    </row>
    <row r="75" ht="15.75" customHeight="1">
      <c r="A75" s="383"/>
      <c r="B75" s="387"/>
      <c r="C75" s="394"/>
      <c r="D75" s="619"/>
      <c r="E75" s="620"/>
      <c r="F75" s="407"/>
      <c r="G75" s="407"/>
      <c r="H75" s="411"/>
      <c r="I75" s="414"/>
      <c r="J75" s="415"/>
      <c r="K75" s="621"/>
      <c r="L75" s="622"/>
      <c r="M75" s="419"/>
      <c r="N75" s="420"/>
      <c r="O75" s="421"/>
      <c r="P75" s="422"/>
      <c r="Q75" s="426"/>
      <c r="R75" s="430"/>
      <c r="S75" s="411"/>
      <c r="T75" s="414"/>
      <c r="U75" s="433"/>
      <c r="V75" s="435"/>
      <c r="W75" s="435"/>
      <c r="X75" s="437"/>
      <c r="Y75" s="420"/>
      <c r="Z75" s="430"/>
      <c r="AA75" s="426"/>
      <c r="AB75" s="516"/>
      <c r="AC75" s="446"/>
      <c r="AD75" s="516"/>
      <c r="AE75" s="448"/>
      <c r="AF75" s="510"/>
      <c r="AG75" s="456"/>
      <c r="AH75" s="465"/>
      <c r="AI75" s="467"/>
      <c r="AJ75" s="469"/>
      <c r="AK75" s="470"/>
      <c r="AL75" s="470"/>
      <c r="AM75" s="471"/>
      <c r="AN75" s="469"/>
      <c r="AO75" s="475"/>
      <c r="AP75" s="476"/>
      <c r="AQ75" s="478"/>
      <c r="AR75" s="465"/>
      <c r="AS75" s="465"/>
      <c r="AT75" s="479"/>
    </row>
    <row r="76" ht="15.75" customHeight="1">
      <c r="A76" s="383"/>
      <c r="B76" s="387"/>
      <c r="C76" s="394"/>
      <c r="D76" s="619"/>
      <c r="E76" s="620"/>
      <c r="F76" s="407"/>
      <c r="G76" s="407"/>
      <c r="H76" s="411"/>
      <c r="I76" s="414"/>
      <c r="J76" s="415"/>
      <c r="K76" s="621"/>
      <c r="L76" s="622"/>
      <c r="M76" s="419"/>
      <c r="N76" s="420"/>
      <c r="O76" s="421"/>
      <c r="P76" s="422"/>
      <c r="Q76" s="426"/>
      <c r="R76" s="430"/>
      <c r="S76" s="411"/>
      <c r="T76" s="414"/>
      <c r="U76" s="433"/>
      <c r="V76" s="435"/>
      <c r="W76" s="435"/>
      <c r="X76" s="437"/>
      <c r="Y76" s="420"/>
      <c r="Z76" s="430"/>
      <c r="AA76" s="426"/>
      <c r="AB76" s="516"/>
      <c r="AC76" s="446"/>
      <c r="AD76" s="516"/>
      <c r="AE76" s="448"/>
      <c r="AF76" s="510"/>
      <c r="AG76" s="456"/>
      <c r="AH76" s="465"/>
      <c r="AI76" s="467"/>
      <c r="AJ76" s="469"/>
      <c r="AK76" s="470"/>
      <c r="AL76" s="470"/>
      <c r="AM76" s="471"/>
      <c r="AN76" s="469"/>
      <c r="AO76" s="475"/>
      <c r="AP76" s="476"/>
      <c r="AQ76" s="478"/>
      <c r="AR76" s="465"/>
      <c r="AS76" s="465"/>
      <c r="AT76" s="479"/>
    </row>
    <row r="77" ht="15.75" customHeight="1">
      <c r="A77" s="383"/>
      <c r="B77" s="387"/>
      <c r="C77" s="394"/>
      <c r="D77" s="619"/>
      <c r="E77" s="620"/>
      <c r="F77" s="407"/>
      <c r="G77" s="407"/>
      <c r="H77" s="411"/>
      <c r="I77" s="414"/>
      <c r="J77" s="415"/>
      <c r="K77" s="621"/>
      <c r="L77" s="622"/>
      <c r="M77" s="419"/>
      <c r="N77" s="420"/>
      <c r="O77" s="421"/>
      <c r="P77" s="422"/>
      <c r="Q77" s="426"/>
      <c r="R77" s="430"/>
      <c r="S77" s="411"/>
      <c r="T77" s="414"/>
      <c r="U77" s="433"/>
      <c r="V77" s="435"/>
      <c r="W77" s="435"/>
      <c r="X77" s="437"/>
      <c r="Y77" s="420"/>
      <c r="Z77" s="430"/>
      <c r="AA77" s="426"/>
      <c r="AB77" s="516"/>
      <c r="AC77" s="446"/>
      <c r="AD77" s="516"/>
      <c r="AE77" s="448"/>
      <c r="AF77" s="510"/>
      <c r="AG77" s="456"/>
      <c r="AH77" s="465"/>
      <c r="AI77" s="467"/>
      <c r="AJ77" s="469"/>
      <c r="AK77" s="470"/>
      <c r="AL77" s="470"/>
      <c r="AM77" s="471"/>
      <c r="AN77" s="469"/>
      <c r="AO77" s="475"/>
      <c r="AP77" s="476"/>
      <c r="AQ77" s="478"/>
      <c r="AR77" s="465"/>
      <c r="AS77" s="465"/>
      <c r="AT77" s="479"/>
    </row>
    <row r="78" ht="15.75" customHeight="1">
      <c r="A78" s="383"/>
      <c r="B78" s="387"/>
      <c r="C78" s="394"/>
      <c r="D78" s="619"/>
      <c r="E78" s="620"/>
      <c r="F78" s="407"/>
      <c r="G78" s="407"/>
      <c r="H78" s="411"/>
      <c r="I78" s="414"/>
      <c r="J78" s="415"/>
      <c r="K78" s="621"/>
      <c r="L78" s="622"/>
      <c r="M78" s="419"/>
      <c r="N78" s="420"/>
      <c r="O78" s="421"/>
      <c r="P78" s="422"/>
      <c r="Q78" s="426"/>
      <c r="R78" s="430"/>
      <c r="S78" s="411"/>
      <c r="T78" s="414"/>
      <c r="U78" s="433"/>
      <c r="V78" s="435"/>
      <c r="W78" s="435"/>
      <c r="X78" s="437"/>
      <c r="Y78" s="420"/>
      <c r="Z78" s="430"/>
      <c r="AA78" s="426"/>
      <c r="AB78" s="516"/>
      <c r="AC78" s="446"/>
      <c r="AD78" s="516"/>
      <c r="AE78" s="448"/>
      <c r="AF78" s="510"/>
      <c r="AG78" s="456"/>
      <c r="AH78" s="465"/>
      <c r="AI78" s="467"/>
      <c r="AJ78" s="469"/>
      <c r="AK78" s="470"/>
      <c r="AL78" s="470"/>
      <c r="AM78" s="471"/>
      <c r="AN78" s="469"/>
      <c r="AO78" s="475"/>
      <c r="AP78" s="476"/>
      <c r="AQ78" s="478"/>
      <c r="AR78" s="465"/>
      <c r="AS78" s="465"/>
      <c r="AT78" s="479"/>
    </row>
    <row r="79" ht="15.75" customHeight="1">
      <c r="AH79" s="624"/>
      <c r="AI79" s="624"/>
      <c r="AJ79" s="624"/>
      <c r="AK79" s="624"/>
      <c r="AL79" s="624"/>
      <c r="AM79" s="624"/>
      <c r="AN79" s="624"/>
      <c r="AO79" s="624"/>
      <c r="AP79" s="624"/>
      <c r="AQ79" s="624"/>
      <c r="AR79" s="624"/>
      <c r="AS79" s="624"/>
      <c r="AT79" s="624"/>
    </row>
    <row r="80" ht="15.75" customHeight="1">
      <c r="AH80" s="624"/>
      <c r="AI80" s="624"/>
      <c r="AJ80" s="624"/>
      <c r="AK80" s="624"/>
      <c r="AL80" s="624"/>
      <c r="AM80" s="624"/>
      <c r="AN80" s="624"/>
      <c r="AO80" s="624"/>
      <c r="AP80" s="624"/>
      <c r="AQ80" s="624"/>
      <c r="AR80" s="624"/>
      <c r="AS80" s="624"/>
      <c r="AT80" s="624"/>
    </row>
    <row r="81" ht="15.75" customHeight="1">
      <c r="AH81" s="624"/>
      <c r="AI81" s="624"/>
      <c r="AJ81" s="624"/>
      <c r="AK81" s="624"/>
      <c r="AL81" s="624"/>
      <c r="AM81" s="624"/>
      <c r="AN81" s="624"/>
      <c r="AO81" s="624"/>
      <c r="AP81" s="624"/>
      <c r="AQ81" s="624"/>
      <c r="AR81" s="624"/>
      <c r="AS81" s="624"/>
      <c r="AT81" s="624"/>
    </row>
    <row r="82" ht="15.75" customHeight="1">
      <c r="AH82" s="624"/>
      <c r="AI82" s="624"/>
      <c r="AJ82" s="624"/>
      <c r="AK82" s="624"/>
      <c r="AL82" s="624"/>
      <c r="AM82" s="624"/>
      <c r="AN82" s="624"/>
      <c r="AO82" s="624"/>
      <c r="AP82" s="624"/>
      <c r="AQ82" s="624"/>
      <c r="AR82" s="624"/>
      <c r="AS82" s="624"/>
      <c r="AT82" s="624"/>
    </row>
    <row r="83" ht="15.75" customHeight="1">
      <c r="AH83" s="624"/>
      <c r="AI83" s="624"/>
      <c r="AJ83" s="624"/>
      <c r="AK83" s="624"/>
      <c r="AL83" s="624"/>
      <c r="AM83" s="624"/>
      <c r="AN83" s="624"/>
      <c r="AO83" s="624"/>
      <c r="AP83" s="624"/>
      <c r="AQ83" s="624"/>
      <c r="AR83" s="624"/>
      <c r="AS83" s="624"/>
      <c r="AT83" s="624"/>
    </row>
    <row r="84" ht="15.75" customHeight="1">
      <c r="AH84" s="624"/>
      <c r="AI84" s="624"/>
      <c r="AJ84" s="624"/>
      <c r="AK84" s="624"/>
      <c r="AL84" s="624"/>
      <c r="AM84" s="624"/>
      <c r="AN84" s="624"/>
      <c r="AO84" s="624"/>
      <c r="AP84" s="624"/>
      <c r="AQ84" s="624"/>
      <c r="AR84" s="624"/>
      <c r="AS84" s="624"/>
      <c r="AT84" s="624"/>
    </row>
    <row r="85" ht="15.75" customHeight="1">
      <c r="AH85" s="624"/>
      <c r="AI85" s="624"/>
      <c r="AJ85" s="624"/>
      <c r="AK85" s="624"/>
      <c r="AL85" s="624"/>
      <c r="AM85" s="624"/>
      <c r="AN85" s="624"/>
      <c r="AO85" s="624"/>
      <c r="AP85" s="624"/>
      <c r="AQ85" s="624"/>
      <c r="AR85" s="624"/>
      <c r="AS85" s="624"/>
      <c r="AT85" s="624"/>
    </row>
    <row r="86" ht="15.75" customHeight="1">
      <c r="AH86" s="624"/>
      <c r="AI86" s="624"/>
      <c r="AJ86" s="624"/>
      <c r="AK86" s="624"/>
      <c r="AL86" s="624"/>
      <c r="AM86" s="624"/>
      <c r="AN86" s="624"/>
      <c r="AO86" s="624"/>
      <c r="AP86" s="624"/>
      <c r="AQ86" s="624"/>
      <c r="AR86" s="624"/>
      <c r="AS86" s="624"/>
      <c r="AT86" s="624"/>
    </row>
    <row r="87" ht="15.75" customHeight="1">
      <c r="AH87" s="624"/>
      <c r="AI87" s="624"/>
      <c r="AJ87" s="624"/>
      <c r="AK87" s="624"/>
      <c r="AL87" s="624"/>
      <c r="AM87" s="624"/>
      <c r="AN87" s="624"/>
      <c r="AO87" s="624"/>
      <c r="AP87" s="624"/>
      <c r="AQ87" s="624"/>
      <c r="AR87" s="624"/>
      <c r="AS87" s="624"/>
      <c r="AT87" s="624"/>
    </row>
    <row r="88" ht="15.75" customHeight="1">
      <c r="AH88" s="624"/>
      <c r="AI88" s="624"/>
      <c r="AJ88" s="624"/>
      <c r="AK88" s="624"/>
      <c r="AL88" s="624"/>
      <c r="AM88" s="624"/>
      <c r="AN88" s="624"/>
      <c r="AO88" s="624"/>
      <c r="AP88" s="624"/>
      <c r="AQ88" s="624"/>
      <c r="AR88" s="624"/>
      <c r="AS88" s="624"/>
      <c r="AT88" s="624"/>
    </row>
    <row r="89" ht="15.75" customHeight="1">
      <c r="AH89" s="624"/>
      <c r="AI89" s="624"/>
      <c r="AJ89" s="624"/>
      <c r="AK89" s="624"/>
      <c r="AL89" s="624"/>
      <c r="AM89" s="624"/>
      <c r="AN89" s="624"/>
      <c r="AO89" s="624"/>
      <c r="AP89" s="624"/>
      <c r="AQ89" s="624"/>
      <c r="AR89" s="624"/>
      <c r="AS89" s="624"/>
      <c r="AT89" s="624"/>
    </row>
    <row r="90" ht="15.75" customHeight="1">
      <c r="AH90" s="624"/>
      <c r="AI90" s="624"/>
      <c r="AJ90" s="624"/>
      <c r="AK90" s="624"/>
      <c r="AL90" s="624"/>
      <c r="AM90" s="624"/>
      <c r="AN90" s="624"/>
      <c r="AO90" s="624"/>
      <c r="AP90" s="624"/>
      <c r="AQ90" s="624"/>
      <c r="AR90" s="624"/>
      <c r="AS90" s="624"/>
      <c r="AT90" s="624"/>
    </row>
    <row r="91" ht="15.75" customHeight="1">
      <c r="AH91" s="624"/>
      <c r="AI91" s="624"/>
      <c r="AJ91" s="624"/>
      <c r="AK91" s="624"/>
      <c r="AL91" s="624"/>
      <c r="AM91" s="624"/>
      <c r="AN91" s="624"/>
      <c r="AO91" s="624"/>
      <c r="AP91" s="624"/>
      <c r="AQ91" s="624"/>
      <c r="AR91" s="624"/>
      <c r="AS91" s="624"/>
      <c r="AT91" s="624"/>
    </row>
    <row r="92" ht="15.75" customHeight="1">
      <c r="AH92" s="624"/>
      <c r="AI92" s="624"/>
      <c r="AJ92" s="624"/>
      <c r="AK92" s="624"/>
      <c r="AL92" s="624"/>
      <c r="AM92" s="624"/>
      <c r="AN92" s="624"/>
      <c r="AO92" s="624"/>
      <c r="AP92" s="624"/>
      <c r="AQ92" s="624"/>
      <c r="AR92" s="624"/>
      <c r="AS92" s="624"/>
      <c r="AT92" s="624"/>
    </row>
    <row r="93" ht="15.75" customHeight="1">
      <c r="AH93" s="624"/>
      <c r="AI93" s="624"/>
      <c r="AJ93" s="624"/>
      <c r="AK93" s="624"/>
      <c r="AL93" s="624"/>
      <c r="AM93" s="624"/>
      <c r="AN93" s="624"/>
      <c r="AO93" s="624"/>
      <c r="AP93" s="624"/>
      <c r="AQ93" s="624"/>
      <c r="AR93" s="624"/>
      <c r="AS93" s="624"/>
      <c r="AT93" s="624"/>
    </row>
    <row r="94" ht="15.75" customHeight="1">
      <c r="AH94" s="624"/>
      <c r="AI94" s="624"/>
      <c r="AJ94" s="624"/>
      <c r="AK94" s="624"/>
      <c r="AL94" s="624"/>
      <c r="AM94" s="624"/>
      <c r="AN94" s="624"/>
      <c r="AO94" s="624"/>
      <c r="AP94" s="624"/>
      <c r="AQ94" s="624"/>
      <c r="AR94" s="624"/>
      <c r="AS94" s="624"/>
      <c r="AT94" s="624"/>
    </row>
    <row r="95" ht="15.75" customHeight="1">
      <c r="AH95" s="624"/>
      <c r="AI95" s="624"/>
      <c r="AJ95" s="624"/>
      <c r="AK95" s="624"/>
      <c r="AL95" s="624"/>
      <c r="AM95" s="624"/>
      <c r="AN95" s="624"/>
      <c r="AO95" s="624"/>
      <c r="AP95" s="624"/>
      <c r="AQ95" s="624"/>
      <c r="AR95" s="624"/>
      <c r="AS95" s="624"/>
      <c r="AT95" s="624"/>
    </row>
    <row r="96" ht="15.75" customHeight="1">
      <c r="AH96" s="624"/>
      <c r="AI96" s="624"/>
      <c r="AJ96" s="624"/>
      <c r="AK96" s="624"/>
      <c r="AL96" s="624"/>
      <c r="AM96" s="624"/>
      <c r="AN96" s="624"/>
      <c r="AO96" s="624"/>
      <c r="AP96" s="624"/>
      <c r="AQ96" s="624"/>
      <c r="AR96" s="624"/>
      <c r="AS96" s="624"/>
      <c r="AT96" s="624"/>
    </row>
    <row r="97" ht="15.75" customHeight="1">
      <c r="AH97" s="624"/>
      <c r="AI97" s="624"/>
      <c r="AJ97" s="624"/>
      <c r="AK97" s="624"/>
      <c r="AL97" s="624"/>
      <c r="AM97" s="624"/>
      <c r="AN97" s="624"/>
      <c r="AO97" s="624"/>
      <c r="AP97" s="624"/>
      <c r="AQ97" s="624"/>
      <c r="AR97" s="624"/>
      <c r="AS97" s="624"/>
      <c r="AT97" s="624"/>
    </row>
    <row r="98" ht="15.75" customHeight="1">
      <c r="AH98" s="624"/>
      <c r="AI98" s="624"/>
      <c r="AJ98" s="624"/>
      <c r="AK98" s="624"/>
      <c r="AL98" s="624"/>
      <c r="AM98" s="624"/>
      <c r="AN98" s="624"/>
      <c r="AO98" s="624"/>
      <c r="AP98" s="624"/>
      <c r="AQ98" s="624"/>
      <c r="AR98" s="624"/>
      <c r="AS98" s="624"/>
      <c r="AT98" s="624"/>
    </row>
    <row r="99" ht="15.75" customHeight="1">
      <c r="AH99" s="624"/>
      <c r="AI99" s="624"/>
      <c r="AJ99" s="624"/>
      <c r="AK99" s="624"/>
      <c r="AL99" s="624"/>
      <c r="AM99" s="624"/>
      <c r="AN99" s="624"/>
      <c r="AO99" s="624"/>
      <c r="AP99" s="624"/>
      <c r="AQ99" s="624"/>
      <c r="AR99" s="624"/>
      <c r="AS99" s="624"/>
      <c r="AT99" s="624"/>
    </row>
    <row r="100" ht="15.75" customHeight="1">
      <c r="AH100" s="624"/>
      <c r="AI100" s="624"/>
      <c r="AJ100" s="624"/>
      <c r="AK100" s="624"/>
      <c r="AL100" s="624"/>
      <c r="AM100" s="624"/>
      <c r="AN100" s="624"/>
      <c r="AO100" s="624"/>
      <c r="AP100" s="624"/>
      <c r="AQ100" s="624"/>
      <c r="AR100" s="624"/>
      <c r="AS100" s="624"/>
      <c r="AT100" s="624"/>
    </row>
    <row r="101" ht="15.75" customHeight="1">
      <c r="AH101" s="624"/>
      <c r="AI101" s="624"/>
      <c r="AJ101" s="624"/>
      <c r="AK101" s="624"/>
      <c r="AL101" s="624"/>
      <c r="AM101" s="624"/>
      <c r="AN101" s="624"/>
      <c r="AO101" s="624"/>
      <c r="AP101" s="624"/>
      <c r="AQ101" s="624"/>
      <c r="AR101" s="624"/>
      <c r="AS101" s="624"/>
      <c r="AT101" s="624"/>
    </row>
    <row r="102" ht="15.75" customHeight="1">
      <c r="AH102" s="624"/>
      <c r="AI102" s="624"/>
      <c r="AJ102" s="624"/>
      <c r="AK102" s="624"/>
      <c r="AL102" s="624"/>
      <c r="AM102" s="624"/>
      <c r="AN102" s="624"/>
      <c r="AO102" s="624"/>
      <c r="AP102" s="624"/>
      <c r="AQ102" s="624"/>
      <c r="AR102" s="624"/>
      <c r="AS102" s="624"/>
      <c r="AT102" s="624"/>
    </row>
    <row r="103" ht="15.75" customHeight="1">
      <c r="AH103" s="624"/>
      <c r="AI103" s="624"/>
      <c r="AJ103" s="624"/>
      <c r="AK103" s="624"/>
      <c r="AL103" s="624"/>
      <c r="AM103" s="624"/>
      <c r="AN103" s="624"/>
      <c r="AO103" s="624"/>
      <c r="AP103" s="624"/>
      <c r="AQ103" s="624"/>
      <c r="AR103" s="624"/>
      <c r="AS103" s="624"/>
      <c r="AT103" s="624"/>
    </row>
    <row r="104" ht="15.75" customHeight="1">
      <c r="AH104" s="624"/>
      <c r="AI104" s="624"/>
      <c r="AJ104" s="624"/>
      <c r="AK104" s="624"/>
      <c r="AL104" s="624"/>
      <c r="AM104" s="624"/>
      <c r="AN104" s="624"/>
      <c r="AO104" s="624"/>
      <c r="AP104" s="624"/>
      <c r="AQ104" s="624"/>
      <c r="AR104" s="624"/>
      <c r="AS104" s="624"/>
      <c r="AT104" s="624"/>
    </row>
    <row r="105" ht="15.75" customHeight="1">
      <c r="AH105" s="624"/>
      <c r="AI105" s="624"/>
      <c r="AJ105" s="624"/>
      <c r="AK105" s="624"/>
      <c r="AL105" s="624"/>
      <c r="AM105" s="624"/>
      <c r="AN105" s="624"/>
      <c r="AO105" s="624"/>
      <c r="AP105" s="624"/>
      <c r="AQ105" s="624"/>
      <c r="AR105" s="624"/>
      <c r="AS105" s="624"/>
      <c r="AT105" s="624"/>
    </row>
    <row r="106" ht="15.75" customHeight="1">
      <c r="AH106" s="624"/>
      <c r="AI106" s="624"/>
      <c r="AJ106" s="624"/>
      <c r="AK106" s="624"/>
      <c r="AL106" s="624"/>
      <c r="AM106" s="624"/>
      <c r="AN106" s="624"/>
      <c r="AO106" s="624"/>
      <c r="AP106" s="624"/>
      <c r="AQ106" s="624"/>
      <c r="AR106" s="624"/>
      <c r="AS106" s="624"/>
      <c r="AT106" s="624"/>
    </row>
    <row r="107" ht="15.75" customHeight="1">
      <c r="AH107" s="624"/>
      <c r="AI107" s="624"/>
      <c r="AJ107" s="624"/>
      <c r="AK107" s="624"/>
      <c r="AL107" s="624"/>
      <c r="AM107" s="624"/>
      <c r="AN107" s="624"/>
      <c r="AO107" s="624"/>
      <c r="AP107" s="624"/>
      <c r="AQ107" s="624"/>
      <c r="AR107" s="624"/>
      <c r="AS107" s="624"/>
      <c r="AT107" s="624"/>
    </row>
    <row r="108" ht="15.75" customHeight="1">
      <c r="AH108" s="624"/>
      <c r="AI108" s="624"/>
      <c r="AJ108" s="624"/>
      <c r="AK108" s="624"/>
      <c r="AL108" s="624"/>
      <c r="AM108" s="624"/>
      <c r="AN108" s="624"/>
      <c r="AO108" s="624"/>
      <c r="AP108" s="624"/>
      <c r="AQ108" s="624"/>
      <c r="AR108" s="624"/>
      <c r="AS108" s="624"/>
      <c r="AT108" s="624"/>
    </row>
    <row r="109" ht="15.75" customHeight="1">
      <c r="AH109" s="624"/>
      <c r="AI109" s="624"/>
      <c r="AJ109" s="624"/>
      <c r="AK109" s="624"/>
      <c r="AL109" s="624"/>
      <c r="AM109" s="624"/>
      <c r="AN109" s="624"/>
      <c r="AO109" s="624"/>
      <c r="AP109" s="624"/>
      <c r="AQ109" s="624"/>
      <c r="AR109" s="624"/>
      <c r="AS109" s="624"/>
      <c r="AT109" s="624"/>
    </row>
    <row r="110" ht="15.75" customHeight="1">
      <c r="AH110" s="624"/>
      <c r="AI110" s="624"/>
      <c r="AJ110" s="624"/>
      <c r="AK110" s="624"/>
      <c r="AL110" s="624"/>
      <c r="AM110" s="624"/>
      <c r="AN110" s="624"/>
      <c r="AO110" s="624"/>
      <c r="AP110" s="624"/>
      <c r="AQ110" s="624"/>
      <c r="AR110" s="624"/>
      <c r="AS110" s="624"/>
      <c r="AT110" s="624"/>
    </row>
    <row r="111" ht="15.75" customHeight="1">
      <c r="AH111" s="624"/>
      <c r="AI111" s="624"/>
      <c r="AJ111" s="624"/>
      <c r="AK111" s="624"/>
      <c r="AL111" s="624"/>
      <c r="AM111" s="624"/>
      <c r="AN111" s="624"/>
      <c r="AO111" s="624"/>
      <c r="AP111" s="624"/>
      <c r="AQ111" s="624"/>
      <c r="AR111" s="624"/>
      <c r="AS111" s="624"/>
      <c r="AT111" s="624"/>
    </row>
    <row r="112" ht="15.75" customHeight="1">
      <c r="AH112" s="624"/>
      <c r="AI112" s="624"/>
      <c r="AJ112" s="624"/>
      <c r="AK112" s="624"/>
      <c r="AL112" s="624"/>
      <c r="AM112" s="624"/>
      <c r="AN112" s="624"/>
      <c r="AO112" s="624"/>
      <c r="AP112" s="624"/>
      <c r="AQ112" s="624"/>
      <c r="AR112" s="624"/>
      <c r="AS112" s="624"/>
      <c r="AT112" s="624"/>
    </row>
    <row r="113" ht="15.75" customHeight="1">
      <c r="AH113" s="624"/>
      <c r="AI113" s="624"/>
      <c r="AJ113" s="624"/>
      <c r="AK113" s="624"/>
      <c r="AL113" s="624"/>
      <c r="AM113" s="624"/>
      <c r="AN113" s="624"/>
      <c r="AO113" s="624"/>
      <c r="AP113" s="624"/>
      <c r="AQ113" s="624"/>
      <c r="AR113" s="624"/>
      <c r="AS113" s="624"/>
      <c r="AT113" s="624"/>
    </row>
    <row r="114" ht="15.75" customHeight="1">
      <c r="AH114" s="624"/>
      <c r="AI114" s="624"/>
      <c r="AJ114" s="624"/>
      <c r="AK114" s="624"/>
      <c r="AL114" s="624"/>
      <c r="AM114" s="624"/>
      <c r="AN114" s="624"/>
      <c r="AO114" s="624"/>
      <c r="AP114" s="624"/>
      <c r="AQ114" s="624"/>
      <c r="AR114" s="624"/>
      <c r="AS114" s="624"/>
      <c r="AT114" s="624"/>
    </row>
    <row r="115" ht="15.75" customHeight="1">
      <c r="AH115" s="624"/>
      <c r="AI115" s="624"/>
      <c r="AJ115" s="624"/>
      <c r="AK115" s="624"/>
      <c r="AL115" s="624"/>
      <c r="AM115" s="624"/>
      <c r="AN115" s="624"/>
      <c r="AO115" s="624"/>
      <c r="AP115" s="624"/>
      <c r="AQ115" s="624"/>
      <c r="AR115" s="624"/>
      <c r="AS115" s="624"/>
      <c r="AT115" s="624"/>
    </row>
    <row r="116" ht="15.75" customHeight="1">
      <c r="AH116" s="624"/>
      <c r="AI116" s="624"/>
      <c r="AJ116" s="624"/>
      <c r="AK116" s="624"/>
      <c r="AL116" s="624"/>
      <c r="AM116" s="624"/>
      <c r="AN116" s="624"/>
      <c r="AO116" s="624"/>
      <c r="AP116" s="624"/>
      <c r="AQ116" s="624"/>
      <c r="AR116" s="624"/>
      <c r="AS116" s="624"/>
      <c r="AT116" s="624"/>
    </row>
    <row r="117" ht="15.75" customHeight="1">
      <c r="AH117" s="624"/>
      <c r="AI117" s="624"/>
      <c r="AJ117" s="624"/>
      <c r="AK117" s="624"/>
      <c r="AL117" s="624"/>
      <c r="AM117" s="624"/>
      <c r="AN117" s="624"/>
      <c r="AO117" s="624"/>
      <c r="AP117" s="624"/>
      <c r="AQ117" s="624"/>
      <c r="AR117" s="624"/>
      <c r="AS117" s="624"/>
      <c r="AT117" s="624"/>
    </row>
    <row r="118" ht="15.75" customHeight="1">
      <c r="AH118" s="624"/>
      <c r="AI118" s="624"/>
      <c r="AJ118" s="624"/>
      <c r="AK118" s="624"/>
      <c r="AL118" s="624"/>
      <c r="AM118" s="624"/>
      <c r="AN118" s="624"/>
      <c r="AO118" s="624"/>
      <c r="AP118" s="624"/>
      <c r="AQ118" s="624"/>
      <c r="AR118" s="624"/>
      <c r="AS118" s="624"/>
      <c r="AT118" s="624"/>
    </row>
    <row r="119" ht="15.75" customHeight="1">
      <c r="AH119" s="624"/>
      <c r="AI119" s="624"/>
      <c r="AJ119" s="624"/>
      <c r="AK119" s="624"/>
      <c r="AL119" s="624"/>
      <c r="AM119" s="624"/>
      <c r="AN119" s="624"/>
      <c r="AO119" s="624"/>
      <c r="AP119" s="624"/>
      <c r="AQ119" s="624"/>
      <c r="AR119" s="624"/>
      <c r="AS119" s="624"/>
      <c r="AT119" s="624"/>
    </row>
    <row r="120" ht="15.75" customHeight="1">
      <c r="AH120" s="624"/>
      <c r="AI120" s="624"/>
      <c r="AJ120" s="624"/>
      <c r="AK120" s="624"/>
      <c r="AL120" s="624"/>
      <c r="AM120" s="624"/>
      <c r="AN120" s="624"/>
      <c r="AO120" s="624"/>
      <c r="AP120" s="624"/>
      <c r="AQ120" s="624"/>
      <c r="AR120" s="624"/>
      <c r="AS120" s="624"/>
      <c r="AT120" s="624"/>
    </row>
    <row r="121" ht="15.75" customHeight="1">
      <c r="AH121" s="624"/>
      <c r="AI121" s="624"/>
      <c r="AJ121" s="624"/>
      <c r="AK121" s="624"/>
      <c r="AL121" s="624"/>
      <c r="AM121" s="624"/>
      <c r="AN121" s="624"/>
      <c r="AO121" s="624"/>
      <c r="AP121" s="624"/>
      <c r="AQ121" s="624"/>
      <c r="AR121" s="624"/>
      <c r="AS121" s="624"/>
      <c r="AT121" s="624"/>
    </row>
    <row r="122" ht="15.75" customHeight="1">
      <c r="AH122" s="624"/>
      <c r="AI122" s="624"/>
      <c r="AJ122" s="624"/>
      <c r="AK122" s="624"/>
      <c r="AL122" s="624"/>
      <c r="AM122" s="624"/>
      <c r="AN122" s="624"/>
      <c r="AO122" s="624"/>
      <c r="AP122" s="624"/>
      <c r="AQ122" s="624"/>
      <c r="AR122" s="624"/>
      <c r="AS122" s="624"/>
      <c r="AT122" s="624"/>
    </row>
    <row r="123" ht="15.75" customHeight="1">
      <c r="AH123" s="624"/>
      <c r="AI123" s="624"/>
      <c r="AJ123" s="624"/>
      <c r="AK123" s="624"/>
      <c r="AL123" s="624"/>
      <c r="AM123" s="624"/>
      <c r="AN123" s="624"/>
      <c r="AO123" s="624"/>
      <c r="AP123" s="624"/>
      <c r="AQ123" s="624"/>
      <c r="AR123" s="624"/>
      <c r="AS123" s="624"/>
      <c r="AT123" s="624"/>
    </row>
    <row r="124" ht="15.75" customHeight="1">
      <c r="AH124" s="624"/>
      <c r="AI124" s="624"/>
      <c r="AJ124" s="624"/>
      <c r="AK124" s="624"/>
      <c r="AL124" s="624"/>
      <c r="AM124" s="624"/>
      <c r="AN124" s="624"/>
      <c r="AO124" s="624"/>
      <c r="AP124" s="624"/>
      <c r="AQ124" s="624"/>
      <c r="AR124" s="624"/>
      <c r="AS124" s="624"/>
      <c r="AT124" s="624"/>
    </row>
    <row r="125" ht="15.75" customHeight="1">
      <c r="AH125" s="624"/>
      <c r="AI125" s="624"/>
      <c r="AJ125" s="624"/>
      <c r="AK125" s="624"/>
      <c r="AL125" s="624"/>
      <c r="AM125" s="624"/>
      <c r="AN125" s="624"/>
      <c r="AO125" s="624"/>
      <c r="AP125" s="624"/>
      <c r="AQ125" s="624"/>
      <c r="AR125" s="624"/>
      <c r="AS125" s="624"/>
      <c r="AT125" s="624"/>
    </row>
    <row r="126" ht="15.75" customHeight="1">
      <c r="AH126" s="624"/>
      <c r="AI126" s="624"/>
      <c r="AJ126" s="624"/>
      <c r="AK126" s="624"/>
      <c r="AL126" s="624"/>
      <c r="AM126" s="624"/>
      <c r="AN126" s="624"/>
      <c r="AO126" s="624"/>
      <c r="AP126" s="624"/>
      <c r="AQ126" s="624"/>
      <c r="AR126" s="624"/>
      <c r="AS126" s="624"/>
      <c r="AT126" s="624"/>
    </row>
    <row r="127" ht="15.75" customHeight="1">
      <c r="AH127" s="624"/>
      <c r="AI127" s="624"/>
      <c r="AJ127" s="624"/>
      <c r="AK127" s="624"/>
      <c r="AL127" s="624"/>
      <c r="AM127" s="624"/>
      <c r="AN127" s="624"/>
      <c r="AO127" s="624"/>
      <c r="AP127" s="624"/>
      <c r="AQ127" s="624"/>
      <c r="AR127" s="624"/>
      <c r="AS127" s="624"/>
      <c r="AT127" s="624"/>
    </row>
    <row r="128" ht="15.75" customHeight="1">
      <c r="AH128" s="624"/>
      <c r="AI128" s="624"/>
      <c r="AJ128" s="624"/>
      <c r="AK128" s="624"/>
      <c r="AL128" s="624"/>
      <c r="AM128" s="624"/>
      <c r="AN128" s="624"/>
      <c r="AO128" s="624"/>
      <c r="AP128" s="624"/>
      <c r="AQ128" s="624"/>
      <c r="AR128" s="624"/>
      <c r="AS128" s="624"/>
      <c r="AT128" s="624"/>
    </row>
    <row r="129" ht="15.75" customHeight="1">
      <c r="AH129" s="624"/>
      <c r="AI129" s="624"/>
      <c r="AJ129" s="624"/>
      <c r="AK129" s="624"/>
      <c r="AL129" s="624"/>
      <c r="AM129" s="624"/>
      <c r="AN129" s="624"/>
      <c r="AO129" s="624"/>
      <c r="AP129" s="624"/>
      <c r="AQ129" s="624"/>
      <c r="AR129" s="624"/>
      <c r="AS129" s="624"/>
      <c r="AT129" s="624"/>
    </row>
    <row r="130" ht="15.75" customHeight="1">
      <c r="AH130" s="624"/>
      <c r="AI130" s="624"/>
      <c r="AJ130" s="624"/>
      <c r="AK130" s="624"/>
      <c r="AL130" s="624"/>
      <c r="AM130" s="624"/>
      <c r="AN130" s="624"/>
      <c r="AO130" s="624"/>
      <c r="AP130" s="624"/>
      <c r="AQ130" s="624"/>
      <c r="AR130" s="624"/>
      <c r="AS130" s="624"/>
      <c r="AT130" s="624"/>
    </row>
    <row r="131" ht="15.75" customHeight="1">
      <c r="AH131" s="624"/>
      <c r="AI131" s="624"/>
      <c r="AJ131" s="624"/>
      <c r="AK131" s="624"/>
      <c r="AL131" s="624"/>
      <c r="AM131" s="624"/>
      <c r="AN131" s="624"/>
      <c r="AO131" s="624"/>
      <c r="AP131" s="624"/>
      <c r="AQ131" s="624"/>
      <c r="AR131" s="624"/>
      <c r="AS131" s="624"/>
      <c r="AT131" s="624"/>
    </row>
    <row r="132" ht="15.75" customHeight="1">
      <c r="AH132" s="624"/>
      <c r="AI132" s="624"/>
      <c r="AJ132" s="624"/>
      <c r="AK132" s="624"/>
      <c r="AL132" s="624"/>
      <c r="AM132" s="624"/>
      <c r="AN132" s="624"/>
      <c r="AO132" s="624"/>
      <c r="AP132" s="624"/>
      <c r="AQ132" s="624"/>
      <c r="AR132" s="624"/>
      <c r="AS132" s="624"/>
      <c r="AT132" s="624"/>
    </row>
    <row r="133" ht="15.75" customHeight="1">
      <c r="AH133" s="624"/>
      <c r="AI133" s="624"/>
      <c r="AJ133" s="624"/>
      <c r="AK133" s="624"/>
      <c r="AL133" s="624"/>
      <c r="AM133" s="624"/>
      <c r="AN133" s="624"/>
      <c r="AO133" s="624"/>
      <c r="AP133" s="624"/>
      <c r="AQ133" s="624"/>
      <c r="AR133" s="624"/>
      <c r="AS133" s="624"/>
      <c r="AT133" s="624"/>
    </row>
    <row r="134" ht="15.75" customHeight="1">
      <c r="AH134" s="624"/>
      <c r="AI134" s="624"/>
      <c r="AJ134" s="624"/>
      <c r="AK134" s="624"/>
      <c r="AL134" s="624"/>
      <c r="AM134" s="624"/>
      <c r="AN134" s="624"/>
      <c r="AO134" s="624"/>
      <c r="AP134" s="624"/>
      <c r="AQ134" s="624"/>
      <c r="AR134" s="624"/>
      <c r="AS134" s="624"/>
      <c r="AT134" s="624"/>
    </row>
    <row r="135" ht="15.75" customHeight="1">
      <c r="AH135" s="624"/>
      <c r="AI135" s="624"/>
      <c r="AJ135" s="624"/>
      <c r="AK135" s="624"/>
      <c r="AL135" s="624"/>
      <c r="AM135" s="624"/>
      <c r="AN135" s="624"/>
      <c r="AO135" s="624"/>
      <c r="AP135" s="624"/>
      <c r="AQ135" s="624"/>
      <c r="AR135" s="624"/>
      <c r="AS135" s="624"/>
      <c r="AT135" s="624"/>
    </row>
    <row r="136" ht="15.75" customHeight="1">
      <c r="AH136" s="624"/>
      <c r="AI136" s="624"/>
      <c r="AJ136" s="624"/>
      <c r="AK136" s="624"/>
      <c r="AL136" s="624"/>
      <c r="AM136" s="624"/>
      <c r="AN136" s="624"/>
      <c r="AO136" s="624"/>
      <c r="AP136" s="624"/>
      <c r="AQ136" s="624"/>
      <c r="AR136" s="624"/>
      <c r="AS136" s="624"/>
      <c r="AT136" s="624"/>
    </row>
    <row r="137" ht="15.75" customHeight="1">
      <c r="AH137" s="624"/>
      <c r="AI137" s="624"/>
      <c r="AJ137" s="624"/>
      <c r="AK137" s="624"/>
      <c r="AL137" s="624"/>
      <c r="AM137" s="624"/>
      <c r="AN137" s="624"/>
      <c r="AO137" s="624"/>
      <c r="AP137" s="624"/>
      <c r="AQ137" s="624"/>
      <c r="AR137" s="624"/>
      <c r="AS137" s="624"/>
      <c r="AT137" s="624"/>
    </row>
    <row r="138" ht="15.75" customHeight="1">
      <c r="AH138" s="624"/>
      <c r="AI138" s="624"/>
      <c r="AJ138" s="624"/>
      <c r="AK138" s="624"/>
      <c r="AL138" s="624"/>
      <c r="AM138" s="624"/>
      <c r="AN138" s="624"/>
      <c r="AO138" s="624"/>
      <c r="AP138" s="624"/>
      <c r="AQ138" s="624"/>
      <c r="AR138" s="624"/>
      <c r="AS138" s="624"/>
      <c r="AT138" s="624"/>
    </row>
    <row r="139" ht="15.75" customHeight="1">
      <c r="AH139" s="624"/>
      <c r="AI139" s="624"/>
      <c r="AJ139" s="624"/>
      <c r="AK139" s="624"/>
      <c r="AL139" s="624"/>
      <c r="AM139" s="624"/>
      <c r="AN139" s="624"/>
      <c r="AO139" s="624"/>
      <c r="AP139" s="624"/>
      <c r="AQ139" s="624"/>
      <c r="AR139" s="624"/>
      <c r="AS139" s="624"/>
      <c r="AT139" s="624"/>
    </row>
    <row r="140" ht="15.75" customHeight="1">
      <c r="AH140" s="624"/>
      <c r="AI140" s="624"/>
      <c r="AJ140" s="624"/>
      <c r="AK140" s="624"/>
      <c r="AL140" s="624"/>
      <c r="AM140" s="624"/>
      <c r="AN140" s="624"/>
      <c r="AO140" s="624"/>
      <c r="AP140" s="624"/>
      <c r="AQ140" s="624"/>
      <c r="AR140" s="624"/>
      <c r="AS140" s="624"/>
      <c r="AT140" s="624"/>
    </row>
    <row r="141" ht="15.75" customHeight="1">
      <c r="AH141" s="624"/>
      <c r="AI141" s="624"/>
      <c r="AJ141" s="624"/>
      <c r="AK141" s="624"/>
      <c r="AL141" s="624"/>
      <c r="AM141" s="624"/>
      <c r="AN141" s="624"/>
      <c r="AO141" s="624"/>
      <c r="AP141" s="624"/>
      <c r="AQ141" s="624"/>
      <c r="AR141" s="624"/>
      <c r="AS141" s="624"/>
      <c r="AT141" s="624"/>
    </row>
    <row r="142" ht="15.75" customHeight="1">
      <c r="AH142" s="624"/>
      <c r="AI142" s="624"/>
      <c r="AJ142" s="624"/>
      <c r="AK142" s="624"/>
      <c r="AL142" s="624"/>
      <c r="AM142" s="624"/>
      <c r="AN142" s="624"/>
      <c r="AO142" s="624"/>
      <c r="AP142" s="624"/>
      <c r="AQ142" s="624"/>
      <c r="AR142" s="624"/>
      <c r="AS142" s="624"/>
      <c r="AT142" s="624"/>
    </row>
    <row r="143" ht="15.75" customHeight="1">
      <c r="AH143" s="624"/>
      <c r="AI143" s="624"/>
      <c r="AJ143" s="624"/>
      <c r="AK143" s="624"/>
      <c r="AL143" s="624"/>
      <c r="AM143" s="624"/>
      <c r="AN143" s="624"/>
      <c r="AO143" s="624"/>
      <c r="AP143" s="624"/>
      <c r="AQ143" s="624"/>
      <c r="AR143" s="624"/>
      <c r="AS143" s="624"/>
      <c r="AT143" s="624"/>
    </row>
    <row r="144" ht="15.75" customHeight="1">
      <c r="AH144" s="624"/>
      <c r="AI144" s="624"/>
      <c r="AJ144" s="624"/>
      <c r="AK144" s="624"/>
      <c r="AL144" s="624"/>
      <c r="AM144" s="624"/>
      <c r="AN144" s="624"/>
      <c r="AO144" s="624"/>
      <c r="AP144" s="624"/>
      <c r="AQ144" s="624"/>
      <c r="AR144" s="624"/>
      <c r="AS144" s="624"/>
      <c r="AT144" s="624"/>
    </row>
    <row r="145" ht="15.75" customHeight="1">
      <c r="AH145" s="624"/>
      <c r="AI145" s="624"/>
      <c r="AJ145" s="624"/>
      <c r="AK145" s="624"/>
      <c r="AL145" s="624"/>
      <c r="AM145" s="624"/>
      <c r="AN145" s="624"/>
      <c r="AO145" s="624"/>
      <c r="AP145" s="624"/>
      <c r="AQ145" s="624"/>
      <c r="AR145" s="624"/>
      <c r="AS145" s="624"/>
      <c r="AT145" s="624"/>
    </row>
    <row r="146" ht="15.75" customHeight="1">
      <c r="AH146" s="624"/>
      <c r="AI146" s="624"/>
      <c r="AJ146" s="624"/>
      <c r="AK146" s="624"/>
      <c r="AL146" s="624"/>
      <c r="AM146" s="624"/>
      <c r="AN146" s="624"/>
      <c r="AO146" s="624"/>
      <c r="AP146" s="624"/>
      <c r="AQ146" s="624"/>
      <c r="AR146" s="624"/>
      <c r="AS146" s="624"/>
      <c r="AT146" s="624"/>
    </row>
    <row r="147" ht="15.75" customHeight="1">
      <c r="AH147" s="624"/>
      <c r="AI147" s="624"/>
      <c r="AJ147" s="624"/>
      <c r="AK147" s="624"/>
      <c r="AL147" s="624"/>
      <c r="AM147" s="624"/>
      <c r="AN147" s="624"/>
      <c r="AO147" s="624"/>
      <c r="AP147" s="624"/>
      <c r="AQ147" s="624"/>
      <c r="AR147" s="624"/>
      <c r="AS147" s="624"/>
      <c r="AT147" s="624"/>
    </row>
    <row r="148" ht="15.75" customHeight="1">
      <c r="AH148" s="624"/>
      <c r="AI148" s="624"/>
      <c r="AJ148" s="624"/>
      <c r="AK148" s="624"/>
      <c r="AL148" s="624"/>
      <c r="AM148" s="624"/>
      <c r="AN148" s="624"/>
      <c r="AO148" s="624"/>
      <c r="AP148" s="624"/>
      <c r="AQ148" s="624"/>
      <c r="AR148" s="624"/>
      <c r="AS148" s="624"/>
      <c r="AT148" s="624"/>
    </row>
    <row r="149" ht="15.75" customHeight="1">
      <c r="AH149" s="624"/>
      <c r="AI149" s="624"/>
      <c r="AJ149" s="624"/>
      <c r="AK149" s="624"/>
      <c r="AL149" s="624"/>
      <c r="AM149" s="624"/>
      <c r="AN149" s="624"/>
      <c r="AO149" s="624"/>
      <c r="AP149" s="624"/>
      <c r="AQ149" s="624"/>
      <c r="AR149" s="624"/>
      <c r="AS149" s="624"/>
      <c r="AT149" s="624"/>
    </row>
    <row r="150" ht="15.75" customHeight="1">
      <c r="AH150" s="624"/>
      <c r="AI150" s="624"/>
      <c r="AJ150" s="624"/>
      <c r="AK150" s="624"/>
      <c r="AL150" s="624"/>
      <c r="AM150" s="624"/>
      <c r="AN150" s="624"/>
      <c r="AO150" s="624"/>
      <c r="AP150" s="624"/>
      <c r="AQ150" s="624"/>
      <c r="AR150" s="624"/>
      <c r="AS150" s="624"/>
      <c r="AT150" s="624"/>
    </row>
    <row r="151" ht="15.75" customHeight="1">
      <c r="AH151" s="624"/>
      <c r="AI151" s="624"/>
      <c r="AJ151" s="624"/>
      <c r="AK151" s="624"/>
      <c r="AL151" s="624"/>
      <c r="AM151" s="624"/>
      <c r="AN151" s="624"/>
      <c r="AO151" s="624"/>
      <c r="AP151" s="624"/>
      <c r="AQ151" s="624"/>
      <c r="AR151" s="624"/>
      <c r="AS151" s="624"/>
      <c r="AT151" s="624"/>
    </row>
    <row r="152" ht="15.75" customHeight="1">
      <c r="AH152" s="624"/>
      <c r="AI152" s="624"/>
      <c r="AJ152" s="624"/>
      <c r="AK152" s="624"/>
      <c r="AL152" s="624"/>
      <c r="AM152" s="624"/>
      <c r="AN152" s="624"/>
      <c r="AO152" s="624"/>
      <c r="AP152" s="624"/>
      <c r="AQ152" s="624"/>
      <c r="AR152" s="624"/>
      <c r="AS152" s="624"/>
      <c r="AT152" s="624"/>
    </row>
    <row r="153" ht="15.75" customHeight="1">
      <c r="AH153" s="624"/>
      <c r="AI153" s="624"/>
      <c r="AJ153" s="624"/>
      <c r="AK153" s="624"/>
      <c r="AL153" s="624"/>
      <c r="AM153" s="624"/>
      <c r="AN153" s="624"/>
      <c r="AO153" s="624"/>
      <c r="AP153" s="624"/>
      <c r="AQ153" s="624"/>
      <c r="AR153" s="624"/>
      <c r="AS153" s="624"/>
      <c r="AT153" s="624"/>
    </row>
    <row r="154" ht="15.75" customHeight="1">
      <c r="AH154" s="624"/>
      <c r="AI154" s="624"/>
      <c r="AJ154" s="624"/>
      <c r="AK154" s="624"/>
      <c r="AL154" s="624"/>
      <c r="AM154" s="624"/>
      <c r="AN154" s="624"/>
      <c r="AO154" s="624"/>
      <c r="AP154" s="624"/>
      <c r="AQ154" s="624"/>
      <c r="AR154" s="624"/>
      <c r="AS154" s="624"/>
      <c r="AT154" s="624"/>
    </row>
    <row r="155" ht="15.75" customHeight="1">
      <c r="AH155" s="624"/>
      <c r="AI155" s="624"/>
      <c r="AJ155" s="624"/>
      <c r="AK155" s="624"/>
      <c r="AL155" s="624"/>
      <c r="AM155" s="624"/>
      <c r="AN155" s="624"/>
      <c r="AO155" s="624"/>
      <c r="AP155" s="624"/>
      <c r="AQ155" s="624"/>
      <c r="AR155" s="624"/>
      <c r="AS155" s="624"/>
      <c r="AT155" s="624"/>
    </row>
    <row r="156" ht="15.75" customHeight="1">
      <c r="AH156" s="624"/>
      <c r="AI156" s="624"/>
      <c r="AJ156" s="624"/>
      <c r="AK156" s="624"/>
      <c r="AL156" s="624"/>
      <c r="AM156" s="624"/>
      <c r="AN156" s="624"/>
      <c r="AO156" s="624"/>
      <c r="AP156" s="624"/>
      <c r="AQ156" s="624"/>
      <c r="AR156" s="624"/>
      <c r="AS156" s="624"/>
      <c r="AT156" s="624"/>
    </row>
    <row r="157" ht="15.75" customHeight="1">
      <c r="AH157" s="624"/>
      <c r="AI157" s="624"/>
      <c r="AJ157" s="624"/>
      <c r="AK157" s="624"/>
      <c r="AL157" s="624"/>
      <c r="AM157" s="624"/>
      <c r="AN157" s="624"/>
      <c r="AO157" s="624"/>
      <c r="AP157" s="624"/>
      <c r="AQ157" s="624"/>
      <c r="AR157" s="624"/>
      <c r="AS157" s="624"/>
      <c r="AT157" s="624"/>
    </row>
    <row r="158" ht="15.75" customHeight="1">
      <c r="AH158" s="624"/>
      <c r="AI158" s="624"/>
      <c r="AJ158" s="624"/>
      <c r="AK158" s="624"/>
      <c r="AL158" s="624"/>
      <c r="AM158" s="624"/>
      <c r="AN158" s="624"/>
      <c r="AO158" s="624"/>
      <c r="AP158" s="624"/>
      <c r="AQ158" s="624"/>
      <c r="AR158" s="624"/>
      <c r="AS158" s="624"/>
      <c r="AT158" s="624"/>
    </row>
    <row r="159" ht="15.75" customHeight="1">
      <c r="AH159" s="624"/>
      <c r="AI159" s="624"/>
      <c r="AJ159" s="624"/>
      <c r="AK159" s="624"/>
      <c r="AL159" s="624"/>
      <c r="AM159" s="624"/>
      <c r="AN159" s="624"/>
      <c r="AO159" s="624"/>
      <c r="AP159" s="624"/>
      <c r="AQ159" s="624"/>
      <c r="AR159" s="624"/>
      <c r="AS159" s="624"/>
      <c r="AT159" s="624"/>
    </row>
    <row r="160" ht="15.75" customHeight="1">
      <c r="AH160" s="624"/>
      <c r="AI160" s="624"/>
      <c r="AJ160" s="624"/>
      <c r="AK160" s="624"/>
      <c r="AL160" s="624"/>
      <c r="AM160" s="624"/>
      <c r="AN160" s="624"/>
      <c r="AO160" s="624"/>
      <c r="AP160" s="624"/>
      <c r="AQ160" s="624"/>
      <c r="AR160" s="624"/>
      <c r="AS160" s="624"/>
      <c r="AT160" s="624"/>
    </row>
    <row r="161" ht="15.75" customHeight="1">
      <c r="AH161" s="624"/>
      <c r="AI161" s="624"/>
      <c r="AJ161" s="624"/>
      <c r="AK161" s="624"/>
      <c r="AL161" s="624"/>
      <c r="AM161" s="624"/>
      <c r="AN161" s="624"/>
      <c r="AO161" s="624"/>
      <c r="AP161" s="624"/>
      <c r="AQ161" s="624"/>
      <c r="AR161" s="624"/>
      <c r="AS161" s="624"/>
      <c r="AT161" s="624"/>
    </row>
    <row r="162" ht="15.75" customHeight="1">
      <c r="AH162" s="624"/>
      <c r="AI162" s="624"/>
      <c r="AJ162" s="624"/>
      <c r="AK162" s="624"/>
      <c r="AL162" s="624"/>
      <c r="AM162" s="624"/>
      <c r="AN162" s="624"/>
      <c r="AO162" s="624"/>
      <c r="AP162" s="624"/>
      <c r="AQ162" s="624"/>
      <c r="AR162" s="624"/>
      <c r="AS162" s="624"/>
      <c r="AT162" s="624"/>
    </row>
    <row r="163" ht="15.75" customHeight="1">
      <c r="AH163" s="624"/>
      <c r="AI163" s="624"/>
      <c r="AJ163" s="624"/>
      <c r="AK163" s="624"/>
      <c r="AL163" s="624"/>
      <c r="AM163" s="624"/>
      <c r="AN163" s="624"/>
      <c r="AO163" s="624"/>
      <c r="AP163" s="624"/>
      <c r="AQ163" s="624"/>
      <c r="AR163" s="624"/>
      <c r="AS163" s="624"/>
      <c r="AT163" s="624"/>
    </row>
    <row r="164" ht="15.75" customHeight="1">
      <c r="AH164" s="624"/>
      <c r="AI164" s="624"/>
      <c r="AJ164" s="624"/>
      <c r="AK164" s="624"/>
      <c r="AL164" s="624"/>
      <c r="AM164" s="624"/>
      <c r="AN164" s="624"/>
      <c r="AO164" s="624"/>
      <c r="AP164" s="624"/>
      <c r="AQ164" s="624"/>
      <c r="AR164" s="624"/>
      <c r="AS164" s="624"/>
      <c r="AT164" s="624"/>
    </row>
    <row r="165" ht="15.75" customHeight="1">
      <c r="AH165" s="624"/>
      <c r="AI165" s="624"/>
      <c r="AJ165" s="624"/>
      <c r="AK165" s="624"/>
      <c r="AL165" s="624"/>
      <c r="AM165" s="624"/>
      <c r="AN165" s="624"/>
      <c r="AO165" s="624"/>
      <c r="AP165" s="624"/>
      <c r="AQ165" s="624"/>
      <c r="AR165" s="624"/>
      <c r="AS165" s="624"/>
      <c r="AT165" s="624"/>
    </row>
    <row r="166" ht="15.75" customHeight="1">
      <c r="AH166" s="624"/>
      <c r="AI166" s="624"/>
      <c r="AJ166" s="624"/>
      <c r="AK166" s="624"/>
      <c r="AL166" s="624"/>
      <c r="AM166" s="624"/>
      <c r="AN166" s="624"/>
      <c r="AO166" s="624"/>
      <c r="AP166" s="624"/>
      <c r="AQ166" s="624"/>
      <c r="AR166" s="624"/>
      <c r="AS166" s="624"/>
      <c r="AT166" s="624"/>
    </row>
    <row r="167" ht="15.75" customHeight="1">
      <c r="AH167" s="624"/>
      <c r="AI167" s="624"/>
      <c r="AJ167" s="624"/>
      <c r="AK167" s="624"/>
      <c r="AL167" s="624"/>
      <c r="AM167" s="624"/>
      <c r="AN167" s="624"/>
      <c r="AO167" s="624"/>
      <c r="AP167" s="624"/>
      <c r="AQ167" s="624"/>
      <c r="AR167" s="624"/>
      <c r="AS167" s="624"/>
      <c r="AT167" s="624"/>
    </row>
    <row r="168" ht="15.75" customHeight="1">
      <c r="AH168" s="624"/>
      <c r="AI168" s="624"/>
      <c r="AJ168" s="624"/>
      <c r="AK168" s="624"/>
      <c r="AL168" s="624"/>
      <c r="AM168" s="624"/>
      <c r="AN168" s="624"/>
      <c r="AO168" s="624"/>
      <c r="AP168" s="624"/>
      <c r="AQ168" s="624"/>
      <c r="AR168" s="624"/>
      <c r="AS168" s="624"/>
      <c r="AT168" s="624"/>
    </row>
    <row r="169" ht="15.75" customHeight="1">
      <c r="AH169" s="624"/>
      <c r="AI169" s="624"/>
      <c r="AJ169" s="624"/>
      <c r="AK169" s="624"/>
      <c r="AL169" s="624"/>
      <c r="AM169" s="624"/>
      <c r="AN169" s="624"/>
      <c r="AO169" s="624"/>
      <c r="AP169" s="624"/>
      <c r="AQ169" s="624"/>
      <c r="AR169" s="624"/>
      <c r="AS169" s="624"/>
      <c r="AT169" s="624"/>
    </row>
    <row r="170" ht="15.75" customHeight="1">
      <c r="AH170" s="624"/>
      <c r="AI170" s="624"/>
      <c r="AJ170" s="624"/>
      <c r="AK170" s="624"/>
      <c r="AL170" s="624"/>
      <c r="AM170" s="624"/>
      <c r="AN170" s="624"/>
      <c r="AO170" s="624"/>
      <c r="AP170" s="624"/>
      <c r="AQ170" s="624"/>
      <c r="AR170" s="624"/>
      <c r="AS170" s="624"/>
      <c r="AT170" s="624"/>
    </row>
    <row r="171" ht="15.75" customHeight="1">
      <c r="AH171" s="624"/>
      <c r="AI171" s="624"/>
      <c r="AJ171" s="624"/>
      <c r="AK171" s="624"/>
      <c r="AL171" s="624"/>
      <c r="AM171" s="624"/>
      <c r="AN171" s="624"/>
      <c r="AO171" s="624"/>
      <c r="AP171" s="624"/>
      <c r="AQ171" s="624"/>
      <c r="AR171" s="624"/>
      <c r="AS171" s="624"/>
      <c r="AT171" s="624"/>
    </row>
    <row r="172" ht="15.75" customHeight="1">
      <c r="AH172" s="624"/>
      <c r="AI172" s="624"/>
      <c r="AJ172" s="624"/>
      <c r="AK172" s="624"/>
      <c r="AL172" s="624"/>
      <c r="AM172" s="624"/>
      <c r="AN172" s="624"/>
      <c r="AO172" s="624"/>
      <c r="AP172" s="624"/>
      <c r="AQ172" s="624"/>
      <c r="AR172" s="624"/>
      <c r="AS172" s="624"/>
      <c r="AT172" s="624"/>
    </row>
    <row r="173" ht="15.75" customHeight="1">
      <c r="AH173" s="624"/>
      <c r="AI173" s="624"/>
      <c r="AJ173" s="624"/>
      <c r="AK173" s="624"/>
      <c r="AL173" s="624"/>
      <c r="AM173" s="624"/>
      <c r="AN173" s="624"/>
      <c r="AO173" s="624"/>
      <c r="AP173" s="624"/>
      <c r="AQ173" s="624"/>
      <c r="AR173" s="624"/>
      <c r="AS173" s="624"/>
      <c r="AT173" s="624"/>
    </row>
    <row r="174" ht="15.75" customHeight="1">
      <c r="AH174" s="624"/>
      <c r="AI174" s="624"/>
      <c r="AJ174" s="624"/>
      <c r="AK174" s="624"/>
      <c r="AL174" s="624"/>
      <c r="AM174" s="624"/>
      <c r="AN174" s="624"/>
      <c r="AO174" s="624"/>
      <c r="AP174" s="624"/>
      <c r="AQ174" s="624"/>
      <c r="AR174" s="624"/>
      <c r="AS174" s="624"/>
      <c r="AT174" s="624"/>
    </row>
    <row r="175" ht="15.75" customHeight="1">
      <c r="AH175" s="624"/>
      <c r="AI175" s="624"/>
      <c r="AJ175" s="624"/>
      <c r="AK175" s="624"/>
      <c r="AL175" s="624"/>
      <c r="AM175" s="624"/>
      <c r="AN175" s="624"/>
      <c r="AO175" s="624"/>
      <c r="AP175" s="624"/>
      <c r="AQ175" s="624"/>
      <c r="AR175" s="624"/>
      <c r="AS175" s="624"/>
      <c r="AT175" s="624"/>
    </row>
    <row r="176" ht="15.75" customHeight="1">
      <c r="AH176" s="624"/>
      <c r="AI176" s="624"/>
      <c r="AJ176" s="624"/>
      <c r="AK176" s="624"/>
      <c r="AL176" s="624"/>
      <c r="AM176" s="624"/>
      <c r="AN176" s="624"/>
      <c r="AO176" s="624"/>
      <c r="AP176" s="624"/>
      <c r="AQ176" s="624"/>
      <c r="AR176" s="624"/>
      <c r="AS176" s="624"/>
      <c r="AT176" s="624"/>
    </row>
    <row r="177" ht="15.75" customHeight="1">
      <c r="AH177" s="624"/>
      <c r="AI177" s="624"/>
      <c r="AJ177" s="624"/>
      <c r="AK177" s="624"/>
      <c r="AL177" s="624"/>
      <c r="AM177" s="624"/>
      <c r="AN177" s="624"/>
      <c r="AO177" s="624"/>
      <c r="AP177" s="624"/>
      <c r="AQ177" s="624"/>
      <c r="AR177" s="624"/>
      <c r="AS177" s="624"/>
      <c r="AT177" s="624"/>
    </row>
    <row r="178" ht="15.75" customHeight="1">
      <c r="AH178" s="624"/>
      <c r="AI178" s="624"/>
      <c r="AJ178" s="624"/>
      <c r="AK178" s="624"/>
      <c r="AL178" s="624"/>
      <c r="AM178" s="624"/>
      <c r="AN178" s="624"/>
      <c r="AO178" s="624"/>
      <c r="AP178" s="624"/>
      <c r="AQ178" s="624"/>
      <c r="AR178" s="624"/>
      <c r="AS178" s="624"/>
      <c r="AT178" s="624"/>
    </row>
    <row r="179" ht="15.75" customHeight="1">
      <c r="AH179" s="624"/>
      <c r="AI179" s="624"/>
      <c r="AJ179" s="624"/>
      <c r="AK179" s="624"/>
      <c r="AL179" s="624"/>
      <c r="AM179" s="624"/>
      <c r="AN179" s="624"/>
      <c r="AO179" s="624"/>
      <c r="AP179" s="624"/>
      <c r="AQ179" s="624"/>
      <c r="AR179" s="624"/>
      <c r="AS179" s="624"/>
      <c r="AT179" s="624"/>
    </row>
    <row r="180" ht="15.75" customHeight="1">
      <c r="AH180" s="624"/>
      <c r="AI180" s="624"/>
      <c r="AJ180" s="624"/>
      <c r="AK180" s="624"/>
      <c r="AL180" s="624"/>
      <c r="AM180" s="624"/>
      <c r="AN180" s="624"/>
      <c r="AO180" s="624"/>
      <c r="AP180" s="624"/>
      <c r="AQ180" s="624"/>
      <c r="AR180" s="624"/>
      <c r="AS180" s="624"/>
      <c r="AT180" s="624"/>
    </row>
    <row r="181" ht="15.75" customHeight="1">
      <c r="AH181" s="624"/>
      <c r="AI181" s="624"/>
      <c r="AJ181" s="624"/>
      <c r="AK181" s="624"/>
      <c r="AL181" s="624"/>
      <c r="AM181" s="624"/>
      <c r="AN181" s="624"/>
      <c r="AO181" s="624"/>
      <c r="AP181" s="624"/>
      <c r="AQ181" s="624"/>
      <c r="AR181" s="624"/>
      <c r="AS181" s="624"/>
      <c r="AT181" s="624"/>
    </row>
    <row r="182" ht="15.75" customHeight="1">
      <c r="AH182" s="624"/>
      <c r="AI182" s="624"/>
      <c r="AJ182" s="624"/>
      <c r="AK182" s="624"/>
      <c r="AL182" s="624"/>
      <c r="AM182" s="624"/>
      <c r="AN182" s="624"/>
      <c r="AO182" s="624"/>
      <c r="AP182" s="624"/>
      <c r="AQ182" s="624"/>
      <c r="AR182" s="624"/>
      <c r="AS182" s="624"/>
      <c r="AT182" s="624"/>
    </row>
    <row r="183" ht="15.75" customHeight="1">
      <c r="AH183" s="624"/>
      <c r="AI183" s="624"/>
      <c r="AJ183" s="624"/>
      <c r="AK183" s="624"/>
      <c r="AL183" s="624"/>
      <c r="AM183" s="624"/>
      <c r="AN183" s="624"/>
      <c r="AO183" s="624"/>
      <c r="AP183" s="624"/>
      <c r="AQ183" s="624"/>
      <c r="AR183" s="624"/>
      <c r="AS183" s="624"/>
      <c r="AT183" s="624"/>
    </row>
    <row r="184" ht="15.75" customHeight="1">
      <c r="AH184" s="624"/>
      <c r="AI184" s="624"/>
      <c r="AJ184" s="624"/>
      <c r="AK184" s="624"/>
      <c r="AL184" s="624"/>
      <c r="AM184" s="624"/>
      <c r="AN184" s="624"/>
      <c r="AO184" s="624"/>
      <c r="AP184" s="624"/>
      <c r="AQ184" s="624"/>
      <c r="AR184" s="624"/>
      <c r="AS184" s="624"/>
      <c r="AT184" s="624"/>
    </row>
    <row r="185" ht="15.75" customHeight="1">
      <c r="AH185" s="624"/>
      <c r="AI185" s="624"/>
      <c r="AJ185" s="624"/>
      <c r="AK185" s="624"/>
      <c r="AL185" s="624"/>
      <c r="AM185" s="624"/>
      <c r="AN185" s="624"/>
      <c r="AO185" s="624"/>
      <c r="AP185" s="624"/>
      <c r="AQ185" s="624"/>
      <c r="AR185" s="624"/>
      <c r="AS185" s="624"/>
      <c r="AT185" s="624"/>
    </row>
    <row r="186" ht="15.75" customHeight="1">
      <c r="AH186" s="624"/>
      <c r="AI186" s="624"/>
      <c r="AJ186" s="624"/>
      <c r="AK186" s="624"/>
      <c r="AL186" s="624"/>
      <c r="AM186" s="624"/>
      <c r="AN186" s="624"/>
      <c r="AO186" s="624"/>
      <c r="AP186" s="624"/>
      <c r="AQ186" s="624"/>
      <c r="AR186" s="624"/>
      <c r="AS186" s="624"/>
      <c r="AT186" s="624"/>
    </row>
    <row r="187" ht="15.75" customHeight="1">
      <c r="AH187" s="624"/>
      <c r="AI187" s="624"/>
      <c r="AJ187" s="624"/>
      <c r="AK187" s="624"/>
      <c r="AL187" s="624"/>
      <c r="AM187" s="624"/>
      <c r="AN187" s="624"/>
      <c r="AO187" s="624"/>
      <c r="AP187" s="624"/>
      <c r="AQ187" s="624"/>
      <c r="AR187" s="624"/>
      <c r="AS187" s="624"/>
      <c r="AT187" s="624"/>
    </row>
    <row r="188" ht="15.75" customHeight="1">
      <c r="AH188" s="624"/>
      <c r="AI188" s="624"/>
      <c r="AJ188" s="624"/>
      <c r="AK188" s="624"/>
      <c r="AL188" s="624"/>
      <c r="AM188" s="624"/>
      <c r="AN188" s="624"/>
      <c r="AO188" s="624"/>
      <c r="AP188" s="624"/>
      <c r="AQ188" s="624"/>
      <c r="AR188" s="624"/>
      <c r="AS188" s="624"/>
      <c r="AT188" s="624"/>
    </row>
    <row r="189" ht="15.75" customHeight="1">
      <c r="AH189" s="624"/>
      <c r="AI189" s="624"/>
      <c r="AJ189" s="624"/>
      <c r="AK189" s="624"/>
      <c r="AL189" s="624"/>
      <c r="AM189" s="624"/>
      <c r="AN189" s="624"/>
      <c r="AO189" s="624"/>
      <c r="AP189" s="624"/>
      <c r="AQ189" s="624"/>
      <c r="AR189" s="624"/>
      <c r="AS189" s="624"/>
      <c r="AT189" s="624"/>
    </row>
    <row r="190" ht="15.75" customHeight="1">
      <c r="AH190" s="624"/>
      <c r="AI190" s="624"/>
      <c r="AJ190" s="624"/>
      <c r="AK190" s="624"/>
      <c r="AL190" s="624"/>
      <c r="AM190" s="624"/>
      <c r="AN190" s="624"/>
      <c r="AO190" s="624"/>
      <c r="AP190" s="624"/>
      <c r="AQ190" s="624"/>
      <c r="AR190" s="624"/>
      <c r="AS190" s="624"/>
      <c r="AT190" s="624"/>
    </row>
    <row r="191" ht="15.75" customHeight="1">
      <c r="AH191" s="624"/>
      <c r="AI191" s="624"/>
      <c r="AJ191" s="624"/>
      <c r="AK191" s="624"/>
      <c r="AL191" s="624"/>
      <c r="AM191" s="624"/>
      <c r="AN191" s="624"/>
      <c r="AO191" s="624"/>
      <c r="AP191" s="624"/>
      <c r="AQ191" s="624"/>
      <c r="AR191" s="624"/>
      <c r="AS191" s="624"/>
      <c r="AT191" s="624"/>
    </row>
    <row r="192" ht="15.75" customHeight="1">
      <c r="AH192" s="624"/>
      <c r="AI192" s="624"/>
      <c r="AJ192" s="624"/>
      <c r="AK192" s="624"/>
      <c r="AL192" s="624"/>
      <c r="AM192" s="624"/>
      <c r="AN192" s="624"/>
      <c r="AO192" s="624"/>
      <c r="AP192" s="624"/>
      <c r="AQ192" s="624"/>
      <c r="AR192" s="624"/>
      <c r="AS192" s="624"/>
      <c r="AT192" s="624"/>
    </row>
    <row r="193" ht="15.75" customHeight="1">
      <c r="AH193" s="624"/>
      <c r="AI193" s="624"/>
      <c r="AJ193" s="624"/>
      <c r="AK193" s="624"/>
      <c r="AL193" s="624"/>
      <c r="AM193" s="624"/>
      <c r="AN193" s="624"/>
      <c r="AO193" s="624"/>
      <c r="AP193" s="624"/>
      <c r="AQ193" s="624"/>
      <c r="AR193" s="624"/>
      <c r="AS193" s="624"/>
      <c r="AT193" s="624"/>
    </row>
    <row r="194" ht="15.75" customHeight="1">
      <c r="AH194" s="624"/>
      <c r="AI194" s="624"/>
      <c r="AJ194" s="624"/>
      <c r="AK194" s="624"/>
      <c r="AL194" s="624"/>
      <c r="AM194" s="624"/>
      <c r="AN194" s="624"/>
      <c r="AO194" s="624"/>
      <c r="AP194" s="624"/>
      <c r="AQ194" s="624"/>
      <c r="AR194" s="624"/>
      <c r="AS194" s="624"/>
      <c r="AT194" s="624"/>
    </row>
    <row r="195" ht="15.75" customHeight="1">
      <c r="AH195" s="624"/>
      <c r="AI195" s="624"/>
      <c r="AJ195" s="624"/>
      <c r="AK195" s="624"/>
      <c r="AL195" s="624"/>
      <c r="AM195" s="624"/>
      <c r="AN195" s="624"/>
      <c r="AO195" s="624"/>
      <c r="AP195" s="624"/>
      <c r="AQ195" s="624"/>
      <c r="AR195" s="624"/>
      <c r="AS195" s="624"/>
      <c r="AT195" s="624"/>
    </row>
    <row r="196" ht="15.75" customHeight="1">
      <c r="AH196" s="624"/>
      <c r="AI196" s="624"/>
      <c r="AJ196" s="624"/>
      <c r="AK196" s="624"/>
      <c r="AL196" s="624"/>
      <c r="AM196" s="624"/>
      <c r="AN196" s="624"/>
      <c r="AO196" s="624"/>
      <c r="AP196" s="624"/>
      <c r="AQ196" s="624"/>
      <c r="AR196" s="624"/>
      <c r="AS196" s="624"/>
      <c r="AT196" s="624"/>
    </row>
    <row r="197" ht="15.75" customHeight="1">
      <c r="AH197" s="624"/>
      <c r="AI197" s="624"/>
      <c r="AJ197" s="624"/>
      <c r="AK197" s="624"/>
      <c r="AL197" s="624"/>
      <c r="AM197" s="624"/>
      <c r="AN197" s="624"/>
      <c r="AO197" s="624"/>
      <c r="AP197" s="624"/>
      <c r="AQ197" s="624"/>
      <c r="AR197" s="624"/>
      <c r="AS197" s="624"/>
      <c r="AT197" s="624"/>
    </row>
    <row r="198" ht="15.75" customHeight="1">
      <c r="AH198" s="624"/>
      <c r="AI198" s="624"/>
      <c r="AJ198" s="624"/>
      <c r="AK198" s="624"/>
      <c r="AL198" s="624"/>
      <c r="AM198" s="624"/>
      <c r="AN198" s="624"/>
      <c r="AO198" s="624"/>
      <c r="AP198" s="624"/>
      <c r="AQ198" s="624"/>
      <c r="AR198" s="624"/>
      <c r="AS198" s="624"/>
      <c r="AT198" s="624"/>
    </row>
    <row r="199" ht="15.75" customHeight="1">
      <c r="AH199" s="624"/>
      <c r="AI199" s="624"/>
      <c r="AJ199" s="624"/>
      <c r="AK199" s="624"/>
      <c r="AL199" s="624"/>
      <c r="AM199" s="624"/>
      <c r="AN199" s="624"/>
      <c r="AO199" s="624"/>
      <c r="AP199" s="624"/>
      <c r="AQ199" s="624"/>
      <c r="AR199" s="624"/>
      <c r="AS199" s="624"/>
      <c r="AT199" s="624"/>
    </row>
    <row r="200" ht="15.75" customHeight="1">
      <c r="AH200" s="624"/>
      <c r="AI200" s="624"/>
      <c r="AJ200" s="624"/>
      <c r="AK200" s="624"/>
      <c r="AL200" s="624"/>
      <c r="AM200" s="624"/>
      <c r="AN200" s="624"/>
      <c r="AO200" s="624"/>
      <c r="AP200" s="624"/>
      <c r="AQ200" s="624"/>
      <c r="AR200" s="624"/>
      <c r="AS200" s="624"/>
      <c r="AT200" s="624"/>
    </row>
    <row r="201" ht="15.75" customHeight="1">
      <c r="AH201" s="624"/>
      <c r="AI201" s="624"/>
      <c r="AJ201" s="624"/>
      <c r="AK201" s="624"/>
      <c r="AL201" s="624"/>
      <c r="AM201" s="624"/>
      <c r="AN201" s="624"/>
      <c r="AO201" s="624"/>
      <c r="AP201" s="624"/>
      <c r="AQ201" s="624"/>
      <c r="AR201" s="624"/>
      <c r="AS201" s="624"/>
      <c r="AT201" s="624"/>
    </row>
    <row r="202" ht="15.75" customHeight="1">
      <c r="AH202" s="624"/>
      <c r="AI202" s="624"/>
      <c r="AJ202" s="624"/>
      <c r="AK202" s="624"/>
      <c r="AL202" s="624"/>
      <c r="AM202" s="624"/>
      <c r="AN202" s="624"/>
      <c r="AO202" s="624"/>
      <c r="AP202" s="624"/>
      <c r="AQ202" s="624"/>
      <c r="AR202" s="624"/>
      <c r="AS202" s="624"/>
      <c r="AT202" s="624"/>
    </row>
    <row r="203" ht="15.75" customHeight="1">
      <c r="AH203" s="624"/>
      <c r="AI203" s="624"/>
      <c r="AJ203" s="624"/>
      <c r="AK203" s="624"/>
      <c r="AL203" s="624"/>
      <c r="AM203" s="624"/>
      <c r="AN203" s="624"/>
      <c r="AO203" s="624"/>
      <c r="AP203" s="624"/>
      <c r="AQ203" s="624"/>
      <c r="AR203" s="624"/>
      <c r="AS203" s="624"/>
      <c r="AT203" s="624"/>
    </row>
    <row r="204" ht="15.75" customHeight="1">
      <c r="AH204" s="624"/>
      <c r="AI204" s="624"/>
      <c r="AJ204" s="624"/>
      <c r="AK204" s="624"/>
      <c r="AL204" s="624"/>
      <c r="AM204" s="624"/>
      <c r="AN204" s="624"/>
      <c r="AO204" s="624"/>
      <c r="AP204" s="624"/>
      <c r="AQ204" s="624"/>
      <c r="AR204" s="624"/>
      <c r="AS204" s="624"/>
      <c r="AT204" s="624"/>
    </row>
    <row r="205" ht="15.75" customHeight="1">
      <c r="AH205" s="624"/>
      <c r="AI205" s="624"/>
      <c r="AJ205" s="624"/>
      <c r="AK205" s="624"/>
      <c r="AL205" s="624"/>
      <c r="AM205" s="624"/>
      <c r="AN205" s="624"/>
      <c r="AO205" s="624"/>
      <c r="AP205" s="624"/>
      <c r="AQ205" s="624"/>
      <c r="AR205" s="624"/>
      <c r="AS205" s="624"/>
      <c r="AT205" s="624"/>
    </row>
    <row r="206" ht="15.75" customHeight="1">
      <c r="AH206" s="624"/>
      <c r="AI206" s="624"/>
      <c r="AJ206" s="624"/>
      <c r="AK206" s="624"/>
      <c r="AL206" s="624"/>
      <c r="AM206" s="624"/>
      <c r="AN206" s="624"/>
      <c r="AO206" s="624"/>
      <c r="AP206" s="624"/>
      <c r="AQ206" s="624"/>
      <c r="AR206" s="624"/>
      <c r="AS206" s="624"/>
      <c r="AT206" s="624"/>
    </row>
    <row r="207" ht="15.75" customHeight="1">
      <c r="AH207" s="624"/>
      <c r="AI207" s="624"/>
      <c r="AJ207" s="624"/>
      <c r="AK207" s="624"/>
      <c r="AL207" s="624"/>
      <c r="AM207" s="624"/>
      <c r="AN207" s="624"/>
      <c r="AO207" s="624"/>
      <c r="AP207" s="624"/>
      <c r="AQ207" s="624"/>
      <c r="AR207" s="624"/>
      <c r="AS207" s="624"/>
      <c r="AT207" s="624"/>
    </row>
    <row r="208" ht="15.75" customHeight="1">
      <c r="AH208" s="624"/>
      <c r="AI208" s="624"/>
      <c r="AJ208" s="624"/>
      <c r="AK208" s="624"/>
      <c r="AL208" s="624"/>
      <c r="AM208" s="624"/>
      <c r="AN208" s="624"/>
      <c r="AO208" s="624"/>
      <c r="AP208" s="624"/>
      <c r="AQ208" s="624"/>
      <c r="AR208" s="624"/>
      <c r="AS208" s="624"/>
      <c r="AT208" s="624"/>
    </row>
    <row r="209" ht="15.75" customHeight="1">
      <c r="AH209" s="624"/>
      <c r="AI209" s="624"/>
      <c r="AJ209" s="624"/>
      <c r="AK209" s="624"/>
      <c r="AL209" s="624"/>
      <c r="AM209" s="624"/>
      <c r="AN209" s="624"/>
      <c r="AO209" s="624"/>
      <c r="AP209" s="624"/>
      <c r="AQ209" s="624"/>
      <c r="AR209" s="624"/>
      <c r="AS209" s="624"/>
      <c r="AT209" s="624"/>
    </row>
    <row r="210" ht="15.75" customHeight="1">
      <c r="AH210" s="624"/>
      <c r="AI210" s="624"/>
      <c r="AJ210" s="624"/>
      <c r="AK210" s="624"/>
      <c r="AL210" s="624"/>
      <c r="AM210" s="624"/>
      <c r="AN210" s="624"/>
      <c r="AO210" s="624"/>
      <c r="AP210" s="624"/>
      <c r="AQ210" s="624"/>
      <c r="AR210" s="624"/>
      <c r="AS210" s="624"/>
      <c r="AT210" s="624"/>
    </row>
    <row r="211" ht="15.75" customHeight="1">
      <c r="AH211" s="624"/>
      <c r="AI211" s="624"/>
      <c r="AJ211" s="624"/>
      <c r="AK211" s="624"/>
      <c r="AL211" s="624"/>
      <c r="AM211" s="624"/>
      <c r="AN211" s="624"/>
      <c r="AO211" s="624"/>
      <c r="AP211" s="624"/>
      <c r="AQ211" s="624"/>
      <c r="AR211" s="624"/>
      <c r="AS211" s="624"/>
      <c r="AT211" s="624"/>
    </row>
    <row r="212" ht="15.75" customHeight="1">
      <c r="AH212" s="624"/>
      <c r="AI212" s="624"/>
      <c r="AJ212" s="624"/>
      <c r="AK212" s="624"/>
      <c r="AL212" s="624"/>
      <c r="AM212" s="624"/>
      <c r="AN212" s="624"/>
      <c r="AO212" s="624"/>
      <c r="AP212" s="624"/>
      <c r="AQ212" s="624"/>
      <c r="AR212" s="624"/>
      <c r="AS212" s="624"/>
      <c r="AT212" s="624"/>
    </row>
    <row r="213" ht="15.75" customHeight="1">
      <c r="AH213" s="624"/>
      <c r="AI213" s="624"/>
      <c r="AJ213" s="624"/>
      <c r="AK213" s="624"/>
      <c r="AL213" s="624"/>
      <c r="AM213" s="624"/>
      <c r="AN213" s="624"/>
      <c r="AO213" s="624"/>
      <c r="AP213" s="624"/>
      <c r="AQ213" s="624"/>
      <c r="AR213" s="624"/>
      <c r="AS213" s="624"/>
      <c r="AT213" s="624"/>
    </row>
    <row r="214" ht="15.75" customHeight="1">
      <c r="AH214" s="624"/>
      <c r="AI214" s="624"/>
      <c r="AJ214" s="624"/>
      <c r="AK214" s="624"/>
      <c r="AL214" s="624"/>
      <c r="AM214" s="624"/>
      <c r="AN214" s="624"/>
      <c r="AO214" s="624"/>
      <c r="AP214" s="624"/>
      <c r="AQ214" s="624"/>
      <c r="AR214" s="624"/>
      <c r="AS214" s="624"/>
      <c r="AT214" s="624"/>
    </row>
    <row r="215" ht="15.75" customHeight="1">
      <c r="AH215" s="624"/>
      <c r="AI215" s="624"/>
      <c r="AJ215" s="624"/>
      <c r="AK215" s="624"/>
      <c r="AL215" s="624"/>
      <c r="AM215" s="624"/>
      <c r="AN215" s="624"/>
      <c r="AO215" s="624"/>
      <c r="AP215" s="624"/>
      <c r="AQ215" s="624"/>
      <c r="AR215" s="624"/>
      <c r="AS215" s="624"/>
      <c r="AT215" s="624"/>
    </row>
    <row r="216" ht="15.75" customHeight="1">
      <c r="AH216" s="624"/>
      <c r="AI216" s="624"/>
      <c r="AJ216" s="624"/>
      <c r="AK216" s="624"/>
      <c r="AL216" s="624"/>
      <c r="AM216" s="624"/>
      <c r="AN216" s="624"/>
      <c r="AO216" s="624"/>
      <c r="AP216" s="624"/>
      <c r="AQ216" s="624"/>
      <c r="AR216" s="624"/>
      <c r="AS216" s="624"/>
      <c r="AT216" s="624"/>
    </row>
    <row r="217" ht="15.75" customHeight="1">
      <c r="AH217" s="624"/>
      <c r="AI217" s="624"/>
      <c r="AJ217" s="624"/>
      <c r="AK217" s="624"/>
      <c r="AL217" s="624"/>
      <c r="AM217" s="624"/>
      <c r="AN217" s="624"/>
      <c r="AO217" s="624"/>
      <c r="AP217" s="624"/>
      <c r="AQ217" s="624"/>
      <c r="AR217" s="624"/>
      <c r="AS217" s="624"/>
      <c r="AT217" s="624"/>
    </row>
    <row r="218" ht="15.75" customHeight="1">
      <c r="AH218" s="624"/>
      <c r="AI218" s="624"/>
      <c r="AJ218" s="624"/>
      <c r="AK218" s="624"/>
      <c r="AL218" s="624"/>
      <c r="AM218" s="624"/>
      <c r="AN218" s="624"/>
      <c r="AO218" s="624"/>
      <c r="AP218" s="624"/>
      <c r="AQ218" s="624"/>
      <c r="AR218" s="624"/>
      <c r="AS218" s="624"/>
      <c r="AT218" s="624"/>
    </row>
    <row r="219" ht="15.75" customHeight="1">
      <c r="AH219" s="624"/>
      <c r="AI219" s="624"/>
      <c r="AJ219" s="624"/>
      <c r="AK219" s="624"/>
      <c r="AL219" s="624"/>
      <c r="AM219" s="624"/>
      <c r="AN219" s="624"/>
      <c r="AO219" s="624"/>
      <c r="AP219" s="624"/>
      <c r="AQ219" s="624"/>
      <c r="AR219" s="624"/>
      <c r="AS219" s="624"/>
      <c r="AT219" s="624"/>
    </row>
    <row r="220" ht="15.75" customHeight="1">
      <c r="AH220" s="624"/>
      <c r="AI220" s="624"/>
      <c r="AJ220" s="624"/>
      <c r="AK220" s="624"/>
      <c r="AL220" s="624"/>
      <c r="AM220" s="624"/>
      <c r="AN220" s="624"/>
      <c r="AO220" s="624"/>
      <c r="AP220" s="624"/>
      <c r="AQ220" s="624"/>
      <c r="AR220" s="624"/>
      <c r="AS220" s="624"/>
      <c r="AT220" s="624"/>
    </row>
    <row r="221" ht="15.75" customHeight="1">
      <c r="AH221" s="624"/>
      <c r="AI221" s="624"/>
      <c r="AJ221" s="624"/>
      <c r="AK221" s="624"/>
      <c r="AL221" s="624"/>
      <c r="AM221" s="624"/>
      <c r="AN221" s="624"/>
      <c r="AO221" s="624"/>
      <c r="AP221" s="624"/>
      <c r="AQ221" s="624"/>
      <c r="AR221" s="624"/>
      <c r="AS221" s="624"/>
      <c r="AT221" s="624"/>
    </row>
    <row r="222" ht="15.75" customHeight="1">
      <c r="AH222" s="624"/>
      <c r="AI222" s="624"/>
      <c r="AJ222" s="624"/>
      <c r="AK222" s="624"/>
      <c r="AL222" s="624"/>
      <c r="AM222" s="624"/>
      <c r="AN222" s="624"/>
      <c r="AO222" s="624"/>
      <c r="AP222" s="624"/>
      <c r="AQ222" s="624"/>
      <c r="AR222" s="624"/>
      <c r="AS222" s="624"/>
      <c r="AT222" s="624"/>
    </row>
    <row r="223" ht="15.75" customHeight="1">
      <c r="AH223" s="624"/>
      <c r="AI223" s="624"/>
      <c r="AJ223" s="624"/>
      <c r="AK223" s="624"/>
      <c r="AL223" s="624"/>
      <c r="AM223" s="624"/>
      <c r="AN223" s="624"/>
      <c r="AO223" s="624"/>
      <c r="AP223" s="624"/>
      <c r="AQ223" s="624"/>
      <c r="AR223" s="624"/>
      <c r="AS223" s="624"/>
      <c r="AT223" s="624"/>
    </row>
    <row r="224" ht="15.75" customHeight="1">
      <c r="AH224" s="624"/>
      <c r="AI224" s="624"/>
      <c r="AJ224" s="624"/>
      <c r="AK224" s="624"/>
      <c r="AL224" s="624"/>
      <c r="AM224" s="624"/>
      <c r="AN224" s="624"/>
      <c r="AO224" s="624"/>
      <c r="AP224" s="624"/>
      <c r="AQ224" s="624"/>
      <c r="AR224" s="624"/>
      <c r="AS224" s="624"/>
      <c r="AT224" s="624"/>
    </row>
    <row r="225" ht="15.75" customHeight="1">
      <c r="AH225" s="624"/>
      <c r="AI225" s="624"/>
      <c r="AJ225" s="624"/>
      <c r="AK225" s="624"/>
      <c r="AL225" s="624"/>
      <c r="AM225" s="624"/>
      <c r="AN225" s="624"/>
      <c r="AO225" s="624"/>
      <c r="AP225" s="624"/>
      <c r="AQ225" s="624"/>
      <c r="AR225" s="624"/>
      <c r="AS225" s="624"/>
      <c r="AT225" s="624"/>
    </row>
    <row r="226" ht="15.75" customHeight="1">
      <c r="AH226" s="624"/>
      <c r="AI226" s="624"/>
      <c r="AJ226" s="624"/>
      <c r="AK226" s="624"/>
      <c r="AL226" s="624"/>
      <c r="AM226" s="624"/>
      <c r="AN226" s="624"/>
      <c r="AO226" s="624"/>
      <c r="AP226" s="624"/>
      <c r="AQ226" s="624"/>
      <c r="AR226" s="624"/>
      <c r="AS226" s="624"/>
      <c r="AT226" s="624"/>
    </row>
    <row r="227" ht="15.75" customHeight="1">
      <c r="AH227" s="624"/>
      <c r="AI227" s="624"/>
      <c r="AJ227" s="624"/>
      <c r="AK227" s="624"/>
      <c r="AL227" s="624"/>
      <c r="AM227" s="624"/>
      <c r="AN227" s="624"/>
      <c r="AO227" s="624"/>
      <c r="AP227" s="624"/>
      <c r="AQ227" s="624"/>
      <c r="AR227" s="624"/>
      <c r="AS227" s="624"/>
      <c r="AT227" s="624"/>
    </row>
    <row r="228" ht="15.75" customHeight="1">
      <c r="AH228" s="624"/>
      <c r="AI228" s="624"/>
      <c r="AJ228" s="624"/>
      <c r="AK228" s="624"/>
      <c r="AL228" s="624"/>
      <c r="AM228" s="624"/>
      <c r="AN228" s="624"/>
      <c r="AO228" s="624"/>
      <c r="AP228" s="624"/>
      <c r="AQ228" s="624"/>
      <c r="AR228" s="624"/>
      <c r="AS228" s="624"/>
      <c r="AT228" s="624"/>
    </row>
    <row r="229" ht="15.75" customHeight="1">
      <c r="AH229" s="624"/>
      <c r="AI229" s="624"/>
      <c r="AJ229" s="624"/>
      <c r="AK229" s="624"/>
      <c r="AL229" s="624"/>
      <c r="AM229" s="624"/>
      <c r="AN229" s="624"/>
      <c r="AO229" s="624"/>
      <c r="AP229" s="624"/>
      <c r="AQ229" s="624"/>
      <c r="AR229" s="624"/>
      <c r="AS229" s="624"/>
      <c r="AT229" s="624"/>
    </row>
    <row r="230" ht="15.75" customHeight="1">
      <c r="AH230" s="624"/>
      <c r="AI230" s="624"/>
      <c r="AJ230" s="624"/>
      <c r="AK230" s="624"/>
      <c r="AL230" s="624"/>
      <c r="AM230" s="624"/>
      <c r="AN230" s="624"/>
      <c r="AO230" s="624"/>
      <c r="AP230" s="624"/>
      <c r="AQ230" s="624"/>
      <c r="AR230" s="624"/>
      <c r="AS230" s="624"/>
      <c r="AT230" s="624"/>
    </row>
    <row r="231" ht="15.75" customHeight="1">
      <c r="AH231" s="624"/>
      <c r="AI231" s="624"/>
      <c r="AJ231" s="624"/>
      <c r="AK231" s="624"/>
      <c r="AL231" s="624"/>
      <c r="AM231" s="624"/>
      <c r="AN231" s="624"/>
      <c r="AO231" s="624"/>
      <c r="AP231" s="624"/>
      <c r="AQ231" s="624"/>
      <c r="AR231" s="624"/>
      <c r="AS231" s="624"/>
      <c r="AT231" s="624"/>
    </row>
    <row r="232" ht="15.75" customHeight="1">
      <c r="AH232" s="624"/>
      <c r="AI232" s="624"/>
      <c r="AJ232" s="624"/>
      <c r="AK232" s="624"/>
      <c r="AL232" s="624"/>
      <c r="AM232" s="624"/>
      <c r="AN232" s="624"/>
      <c r="AO232" s="624"/>
      <c r="AP232" s="624"/>
      <c r="AQ232" s="624"/>
      <c r="AR232" s="624"/>
      <c r="AS232" s="624"/>
      <c r="AT232" s="624"/>
    </row>
    <row r="233" ht="15.75" customHeight="1">
      <c r="AH233" s="624"/>
      <c r="AI233" s="624"/>
      <c r="AJ233" s="624"/>
      <c r="AK233" s="624"/>
      <c r="AL233" s="624"/>
      <c r="AM233" s="624"/>
      <c r="AN233" s="624"/>
      <c r="AO233" s="624"/>
      <c r="AP233" s="624"/>
      <c r="AQ233" s="624"/>
      <c r="AR233" s="624"/>
      <c r="AS233" s="624"/>
      <c r="AT233" s="624"/>
    </row>
    <row r="234" ht="15.75" customHeight="1">
      <c r="AH234" s="624"/>
      <c r="AI234" s="624"/>
      <c r="AJ234" s="624"/>
      <c r="AK234" s="624"/>
      <c r="AL234" s="624"/>
      <c r="AM234" s="624"/>
      <c r="AN234" s="624"/>
      <c r="AO234" s="624"/>
      <c r="AP234" s="624"/>
      <c r="AQ234" s="624"/>
      <c r="AR234" s="624"/>
      <c r="AS234" s="624"/>
      <c r="AT234" s="624"/>
    </row>
    <row r="235" ht="15.75" customHeight="1">
      <c r="AH235" s="624"/>
      <c r="AI235" s="624"/>
      <c r="AJ235" s="624"/>
      <c r="AK235" s="624"/>
      <c r="AL235" s="624"/>
      <c r="AM235" s="624"/>
      <c r="AN235" s="624"/>
      <c r="AO235" s="624"/>
      <c r="AP235" s="624"/>
      <c r="AQ235" s="624"/>
      <c r="AR235" s="624"/>
      <c r="AS235" s="624"/>
      <c r="AT235" s="624"/>
    </row>
    <row r="236" ht="15.75" customHeight="1">
      <c r="AH236" s="624"/>
      <c r="AI236" s="624"/>
      <c r="AJ236" s="624"/>
      <c r="AK236" s="624"/>
      <c r="AL236" s="624"/>
      <c r="AM236" s="624"/>
      <c r="AN236" s="624"/>
      <c r="AO236" s="624"/>
      <c r="AP236" s="624"/>
      <c r="AQ236" s="624"/>
      <c r="AR236" s="624"/>
      <c r="AS236" s="624"/>
      <c r="AT236" s="624"/>
    </row>
    <row r="237" ht="15.75" customHeight="1">
      <c r="AH237" s="624"/>
      <c r="AI237" s="624"/>
      <c r="AJ237" s="624"/>
      <c r="AK237" s="624"/>
      <c r="AL237" s="624"/>
      <c r="AM237" s="624"/>
      <c r="AN237" s="624"/>
      <c r="AO237" s="624"/>
      <c r="AP237" s="624"/>
      <c r="AQ237" s="624"/>
      <c r="AR237" s="624"/>
      <c r="AS237" s="624"/>
      <c r="AT237" s="624"/>
    </row>
    <row r="238" ht="15.75" customHeight="1">
      <c r="AH238" s="624"/>
      <c r="AI238" s="624"/>
      <c r="AJ238" s="624"/>
      <c r="AK238" s="624"/>
      <c r="AL238" s="624"/>
      <c r="AM238" s="624"/>
      <c r="AN238" s="624"/>
      <c r="AO238" s="624"/>
      <c r="AP238" s="624"/>
      <c r="AQ238" s="624"/>
      <c r="AR238" s="624"/>
      <c r="AS238" s="624"/>
      <c r="AT238" s="624"/>
    </row>
    <row r="239" ht="15.75" customHeight="1">
      <c r="AH239" s="624"/>
      <c r="AI239" s="624"/>
      <c r="AJ239" s="624"/>
      <c r="AK239" s="624"/>
      <c r="AL239" s="624"/>
      <c r="AM239" s="624"/>
      <c r="AN239" s="624"/>
      <c r="AO239" s="624"/>
      <c r="AP239" s="624"/>
      <c r="AQ239" s="624"/>
      <c r="AR239" s="624"/>
      <c r="AS239" s="624"/>
      <c r="AT239" s="624"/>
    </row>
    <row r="240" ht="15.75" customHeight="1">
      <c r="AH240" s="624"/>
      <c r="AI240" s="624"/>
      <c r="AJ240" s="624"/>
      <c r="AK240" s="624"/>
      <c r="AL240" s="624"/>
      <c r="AM240" s="624"/>
      <c r="AN240" s="624"/>
      <c r="AO240" s="624"/>
      <c r="AP240" s="624"/>
      <c r="AQ240" s="624"/>
      <c r="AR240" s="624"/>
      <c r="AS240" s="624"/>
      <c r="AT240" s="624"/>
    </row>
    <row r="241" ht="15.75" customHeight="1">
      <c r="AH241" s="624"/>
      <c r="AI241" s="624"/>
      <c r="AJ241" s="624"/>
      <c r="AK241" s="624"/>
      <c r="AL241" s="624"/>
      <c r="AM241" s="624"/>
      <c r="AN241" s="624"/>
      <c r="AO241" s="624"/>
      <c r="AP241" s="624"/>
      <c r="AQ241" s="624"/>
      <c r="AR241" s="624"/>
      <c r="AS241" s="624"/>
      <c r="AT241" s="624"/>
    </row>
    <row r="242" ht="15.75" customHeight="1">
      <c r="AH242" s="624"/>
      <c r="AI242" s="624"/>
      <c r="AJ242" s="624"/>
      <c r="AK242" s="624"/>
      <c r="AL242" s="624"/>
      <c r="AM242" s="624"/>
      <c r="AN242" s="624"/>
      <c r="AO242" s="624"/>
      <c r="AP242" s="624"/>
      <c r="AQ242" s="624"/>
      <c r="AR242" s="624"/>
      <c r="AS242" s="624"/>
      <c r="AT242" s="624"/>
    </row>
    <row r="243" ht="15.75" customHeight="1">
      <c r="AH243" s="624"/>
      <c r="AI243" s="624"/>
      <c r="AJ243" s="624"/>
      <c r="AK243" s="624"/>
      <c r="AL243" s="624"/>
      <c r="AM243" s="624"/>
      <c r="AN243" s="624"/>
      <c r="AO243" s="624"/>
      <c r="AP243" s="624"/>
      <c r="AQ243" s="624"/>
      <c r="AR243" s="624"/>
      <c r="AS243" s="624"/>
      <c r="AT243" s="624"/>
    </row>
    <row r="244" ht="15.75" customHeight="1">
      <c r="AH244" s="624"/>
      <c r="AI244" s="624"/>
      <c r="AJ244" s="624"/>
      <c r="AK244" s="624"/>
      <c r="AL244" s="624"/>
      <c r="AM244" s="624"/>
      <c r="AN244" s="624"/>
      <c r="AO244" s="624"/>
      <c r="AP244" s="624"/>
      <c r="AQ244" s="624"/>
      <c r="AR244" s="624"/>
      <c r="AS244" s="624"/>
      <c r="AT244" s="624"/>
    </row>
    <row r="245" ht="15.75" customHeight="1">
      <c r="AH245" s="624"/>
      <c r="AI245" s="624"/>
      <c r="AJ245" s="624"/>
      <c r="AK245" s="624"/>
      <c r="AL245" s="624"/>
      <c r="AM245" s="624"/>
      <c r="AN245" s="624"/>
      <c r="AO245" s="624"/>
      <c r="AP245" s="624"/>
      <c r="AQ245" s="624"/>
      <c r="AR245" s="624"/>
      <c r="AS245" s="624"/>
      <c r="AT245" s="624"/>
    </row>
    <row r="246" ht="15.75" customHeight="1">
      <c r="AH246" s="624"/>
      <c r="AI246" s="624"/>
      <c r="AJ246" s="624"/>
      <c r="AK246" s="624"/>
      <c r="AL246" s="624"/>
      <c r="AM246" s="624"/>
      <c r="AN246" s="624"/>
      <c r="AO246" s="624"/>
      <c r="AP246" s="624"/>
      <c r="AQ246" s="624"/>
      <c r="AR246" s="624"/>
      <c r="AS246" s="624"/>
      <c r="AT246" s="624"/>
    </row>
    <row r="247" ht="15.75" customHeight="1">
      <c r="AH247" s="624"/>
      <c r="AI247" s="624"/>
      <c r="AJ247" s="624"/>
      <c r="AK247" s="624"/>
      <c r="AL247" s="624"/>
      <c r="AM247" s="624"/>
      <c r="AN247" s="624"/>
      <c r="AO247" s="624"/>
      <c r="AP247" s="624"/>
      <c r="AQ247" s="624"/>
      <c r="AR247" s="624"/>
      <c r="AS247" s="624"/>
      <c r="AT247" s="624"/>
    </row>
    <row r="248" ht="15.75" customHeight="1">
      <c r="AH248" s="624"/>
      <c r="AI248" s="624"/>
      <c r="AJ248" s="624"/>
      <c r="AK248" s="624"/>
      <c r="AL248" s="624"/>
      <c r="AM248" s="624"/>
      <c r="AN248" s="624"/>
      <c r="AO248" s="624"/>
      <c r="AP248" s="624"/>
      <c r="AQ248" s="624"/>
      <c r="AR248" s="624"/>
      <c r="AS248" s="624"/>
      <c r="AT248" s="624"/>
    </row>
    <row r="249" ht="15.75" customHeight="1">
      <c r="AH249" s="624"/>
      <c r="AI249" s="624"/>
      <c r="AJ249" s="624"/>
      <c r="AK249" s="624"/>
      <c r="AL249" s="624"/>
      <c r="AM249" s="624"/>
      <c r="AN249" s="624"/>
      <c r="AO249" s="624"/>
      <c r="AP249" s="624"/>
      <c r="AQ249" s="624"/>
      <c r="AR249" s="624"/>
      <c r="AS249" s="624"/>
      <c r="AT249" s="624"/>
    </row>
    <row r="250" ht="15.75" customHeight="1">
      <c r="AH250" s="624"/>
      <c r="AI250" s="624"/>
      <c r="AJ250" s="624"/>
      <c r="AK250" s="624"/>
      <c r="AL250" s="624"/>
      <c r="AM250" s="624"/>
      <c r="AN250" s="624"/>
      <c r="AO250" s="624"/>
      <c r="AP250" s="624"/>
      <c r="AQ250" s="624"/>
      <c r="AR250" s="624"/>
      <c r="AS250" s="624"/>
      <c r="AT250" s="624"/>
    </row>
    <row r="251" ht="15.75" customHeight="1">
      <c r="AH251" s="624"/>
      <c r="AI251" s="624"/>
      <c r="AJ251" s="624"/>
      <c r="AK251" s="624"/>
      <c r="AL251" s="624"/>
      <c r="AM251" s="624"/>
      <c r="AN251" s="624"/>
      <c r="AO251" s="624"/>
      <c r="AP251" s="624"/>
      <c r="AQ251" s="624"/>
      <c r="AR251" s="624"/>
      <c r="AS251" s="624"/>
      <c r="AT251" s="624"/>
    </row>
    <row r="252" ht="15.75" customHeight="1">
      <c r="AH252" s="624"/>
      <c r="AI252" s="624"/>
      <c r="AJ252" s="624"/>
      <c r="AK252" s="624"/>
      <c r="AL252" s="624"/>
      <c r="AM252" s="624"/>
      <c r="AN252" s="624"/>
      <c r="AO252" s="624"/>
      <c r="AP252" s="624"/>
      <c r="AQ252" s="624"/>
      <c r="AR252" s="624"/>
      <c r="AS252" s="624"/>
      <c r="AT252" s="624"/>
    </row>
    <row r="253" ht="15.75" customHeight="1">
      <c r="AH253" s="624"/>
      <c r="AI253" s="624"/>
      <c r="AJ253" s="624"/>
      <c r="AK253" s="624"/>
      <c r="AL253" s="624"/>
      <c r="AM253" s="624"/>
      <c r="AN253" s="624"/>
      <c r="AO253" s="624"/>
      <c r="AP253" s="624"/>
      <c r="AQ253" s="624"/>
      <c r="AR253" s="624"/>
      <c r="AS253" s="624"/>
      <c r="AT253" s="624"/>
    </row>
    <row r="254" ht="15.75" customHeight="1">
      <c r="AH254" s="624"/>
      <c r="AI254" s="624"/>
      <c r="AJ254" s="624"/>
      <c r="AK254" s="624"/>
      <c r="AL254" s="624"/>
      <c r="AM254" s="624"/>
      <c r="AN254" s="624"/>
      <c r="AO254" s="624"/>
      <c r="AP254" s="624"/>
      <c r="AQ254" s="624"/>
      <c r="AR254" s="624"/>
      <c r="AS254" s="624"/>
      <c r="AT254" s="624"/>
    </row>
    <row r="255" ht="15.75" customHeight="1">
      <c r="AH255" s="624"/>
      <c r="AI255" s="624"/>
      <c r="AJ255" s="624"/>
      <c r="AK255" s="624"/>
      <c r="AL255" s="624"/>
      <c r="AM255" s="624"/>
      <c r="AN255" s="624"/>
      <c r="AO255" s="624"/>
      <c r="AP255" s="624"/>
      <c r="AQ255" s="624"/>
      <c r="AR255" s="624"/>
      <c r="AS255" s="624"/>
      <c r="AT255" s="624"/>
    </row>
    <row r="256" ht="15.75" customHeight="1">
      <c r="AH256" s="624"/>
      <c r="AI256" s="624"/>
      <c r="AJ256" s="624"/>
      <c r="AK256" s="624"/>
      <c r="AL256" s="624"/>
      <c r="AM256" s="624"/>
      <c r="AN256" s="624"/>
      <c r="AO256" s="624"/>
      <c r="AP256" s="624"/>
      <c r="AQ256" s="624"/>
      <c r="AR256" s="624"/>
      <c r="AS256" s="624"/>
      <c r="AT256" s="624"/>
    </row>
    <row r="257" ht="15.75" customHeight="1">
      <c r="AH257" s="624"/>
      <c r="AI257" s="624"/>
      <c r="AJ257" s="624"/>
      <c r="AK257" s="624"/>
      <c r="AL257" s="624"/>
      <c r="AM257" s="624"/>
      <c r="AN257" s="624"/>
      <c r="AO257" s="624"/>
      <c r="AP257" s="624"/>
      <c r="AQ257" s="624"/>
      <c r="AR257" s="624"/>
      <c r="AS257" s="624"/>
      <c r="AT257" s="624"/>
    </row>
    <row r="258" ht="15.75" customHeight="1">
      <c r="AH258" s="624"/>
      <c r="AI258" s="624"/>
      <c r="AJ258" s="624"/>
      <c r="AK258" s="624"/>
      <c r="AL258" s="624"/>
      <c r="AM258" s="624"/>
      <c r="AN258" s="624"/>
      <c r="AO258" s="624"/>
      <c r="AP258" s="624"/>
      <c r="AQ258" s="624"/>
      <c r="AR258" s="624"/>
      <c r="AS258" s="624"/>
      <c r="AT258" s="624"/>
    </row>
    <row r="259" ht="15.75" customHeight="1">
      <c r="AH259" s="624"/>
      <c r="AI259" s="624"/>
      <c r="AJ259" s="624"/>
      <c r="AK259" s="624"/>
      <c r="AL259" s="624"/>
      <c r="AM259" s="624"/>
      <c r="AN259" s="624"/>
      <c r="AO259" s="624"/>
      <c r="AP259" s="624"/>
      <c r="AQ259" s="624"/>
      <c r="AR259" s="624"/>
      <c r="AS259" s="624"/>
      <c r="AT259" s="624"/>
    </row>
    <row r="260" ht="15.75" customHeight="1">
      <c r="AH260" s="624"/>
      <c r="AI260" s="624"/>
      <c r="AJ260" s="624"/>
      <c r="AK260" s="624"/>
      <c r="AL260" s="624"/>
      <c r="AM260" s="624"/>
      <c r="AN260" s="624"/>
      <c r="AO260" s="624"/>
      <c r="AP260" s="624"/>
      <c r="AQ260" s="624"/>
      <c r="AR260" s="624"/>
      <c r="AS260" s="624"/>
      <c r="AT260" s="624"/>
    </row>
    <row r="261" ht="15.75" customHeight="1">
      <c r="AH261" s="624"/>
      <c r="AI261" s="624"/>
      <c r="AJ261" s="624"/>
      <c r="AK261" s="624"/>
      <c r="AL261" s="624"/>
      <c r="AM261" s="624"/>
      <c r="AN261" s="624"/>
      <c r="AO261" s="624"/>
      <c r="AP261" s="624"/>
      <c r="AQ261" s="624"/>
      <c r="AR261" s="624"/>
      <c r="AS261" s="624"/>
      <c r="AT261" s="624"/>
    </row>
    <row r="262" ht="15.75" customHeight="1">
      <c r="AH262" s="624"/>
      <c r="AI262" s="624"/>
      <c r="AJ262" s="624"/>
      <c r="AK262" s="624"/>
      <c r="AL262" s="624"/>
      <c r="AM262" s="624"/>
      <c r="AN262" s="624"/>
      <c r="AO262" s="624"/>
      <c r="AP262" s="624"/>
      <c r="AQ262" s="624"/>
      <c r="AR262" s="624"/>
      <c r="AS262" s="624"/>
      <c r="AT262" s="624"/>
    </row>
    <row r="263" ht="15.75" customHeight="1">
      <c r="AH263" s="624"/>
      <c r="AI263" s="624"/>
      <c r="AJ263" s="624"/>
      <c r="AK263" s="624"/>
      <c r="AL263" s="624"/>
      <c r="AM263" s="624"/>
      <c r="AN263" s="624"/>
      <c r="AO263" s="624"/>
      <c r="AP263" s="624"/>
      <c r="AQ263" s="624"/>
      <c r="AR263" s="624"/>
      <c r="AS263" s="624"/>
      <c r="AT263" s="624"/>
    </row>
    <row r="264" ht="15.75" customHeight="1">
      <c r="AH264" s="624"/>
      <c r="AI264" s="624"/>
      <c r="AJ264" s="624"/>
      <c r="AK264" s="624"/>
      <c r="AL264" s="624"/>
      <c r="AM264" s="624"/>
      <c r="AN264" s="624"/>
      <c r="AO264" s="624"/>
      <c r="AP264" s="624"/>
      <c r="AQ264" s="624"/>
      <c r="AR264" s="624"/>
      <c r="AS264" s="624"/>
      <c r="AT264" s="624"/>
    </row>
    <row r="265" ht="15.75" customHeight="1">
      <c r="AH265" s="624"/>
      <c r="AI265" s="624"/>
      <c r="AJ265" s="624"/>
      <c r="AK265" s="624"/>
      <c r="AL265" s="624"/>
      <c r="AM265" s="624"/>
      <c r="AN265" s="624"/>
      <c r="AO265" s="624"/>
      <c r="AP265" s="624"/>
      <c r="AQ265" s="624"/>
      <c r="AR265" s="624"/>
      <c r="AS265" s="624"/>
      <c r="AT265" s="624"/>
    </row>
    <row r="266" ht="15.75" customHeight="1">
      <c r="AH266" s="624"/>
      <c r="AI266" s="624"/>
      <c r="AJ266" s="624"/>
      <c r="AK266" s="624"/>
      <c r="AL266" s="624"/>
      <c r="AM266" s="624"/>
      <c r="AN266" s="624"/>
      <c r="AO266" s="624"/>
      <c r="AP266" s="624"/>
      <c r="AQ266" s="624"/>
      <c r="AR266" s="624"/>
      <c r="AS266" s="624"/>
      <c r="AT266" s="624"/>
    </row>
    <row r="267" ht="15.75" customHeight="1">
      <c r="AH267" s="624"/>
      <c r="AI267" s="624"/>
      <c r="AJ267" s="624"/>
      <c r="AK267" s="624"/>
      <c r="AL267" s="624"/>
      <c r="AM267" s="624"/>
      <c r="AN267" s="624"/>
      <c r="AO267" s="624"/>
      <c r="AP267" s="624"/>
      <c r="AQ267" s="624"/>
      <c r="AR267" s="624"/>
      <c r="AS267" s="624"/>
      <c r="AT267" s="624"/>
    </row>
    <row r="268" ht="15.75" customHeight="1">
      <c r="AH268" s="624"/>
      <c r="AI268" s="624"/>
      <c r="AJ268" s="624"/>
      <c r="AK268" s="624"/>
      <c r="AL268" s="624"/>
      <c r="AM268" s="624"/>
      <c r="AN268" s="624"/>
      <c r="AO268" s="624"/>
      <c r="AP268" s="624"/>
      <c r="AQ268" s="624"/>
      <c r="AR268" s="624"/>
      <c r="AS268" s="624"/>
      <c r="AT268" s="624"/>
    </row>
    <row r="269" ht="15.75" customHeight="1">
      <c r="AH269" s="624"/>
      <c r="AI269" s="624"/>
      <c r="AJ269" s="624"/>
      <c r="AK269" s="624"/>
      <c r="AL269" s="624"/>
      <c r="AM269" s="624"/>
      <c r="AN269" s="624"/>
      <c r="AO269" s="624"/>
      <c r="AP269" s="624"/>
      <c r="AQ269" s="624"/>
      <c r="AR269" s="624"/>
      <c r="AS269" s="624"/>
      <c r="AT269" s="624"/>
    </row>
    <row r="270" ht="15.75" customHeight="1">
      <c r="AH270" s="624"/>
      <c r="AI270" s="624"/>
      <c r="AJ270" s="624"/>
      <c r="AK270" s="624"/>
      <c r="AL270" s="624"/>
      <c r="AM270" s="624"/>
      <c r="AN270" s="624"/>
      <c r="AO270" s="624"/>
      <c r="AP270" s="624"/>
      <c r="AQ270" s="624"/>
      <c r="AR270" s="624"/>
      <c r="AS270" s="624"/>
      <c r="AT270" s="624"/>
    </row>
    <row r="271" ht="15.75" customHeight="1">
      <c r="AH271" s="624"/>
      <c r="AI271" s="624"/>
      <c r="AJ271" s="624"/>
      <c r="AK271" s="624"/>
      <c r="AL271" s="624"/>
      <c r="AM271" s="624"/>
      <c r="AN271" s="624"/>
      <c r="AO271" s="624"/>
      <c r="AP271" s="624"/>
      <c r="AQ271" s="624"/>
      <c r="AR271" s="624"/>
      <c r="AS271" s="624"/>
      <c r="AT271" s="624"/>
    </row>
    <row r="272" ht="15.75" customHeight="1">
      <c r="AH272" s="624"/>
      <c r="AI272" s="624"/>
      <c r="AJ272" s="624"/>
      <c r="AK272" s="624"/>
      <c r="AL272" s="624"/>
      <c r="AM272" s="624"/>
      <c r="AN272" s="624"/>
      <c r="AO272" s="624"/>
      <c r="AP272" s="624"/>
      <c r="AQ272" s="624"/>
      <c r="AR272" s="624"/>
      <c r="AS272" s="624"/>
      <c r="AT272" s="624"/>
    </row>
    <row r="273" ht="15.75" customHeight="1">
      <c r="AH273" s="624"/>
      <c r="AI273" s="624"/>
      <c r="AJ273" s="624"/>
      <c r="AK273" s="624"/>
      <c r="AL273" s="624"/>
      <c r="AM273" s="624"/>
      <c r="AN273" s="624"/>
      <c r="AO273" s="624"/>
      <c r="AP273" s="624"/>
      <c r="AQ273" s="624"/>
      <c r="AR273" s="624"/>
      <c r="AS273" s="624"/>
      <c r="AT273" s="624"/>
    </row>
    <row r="274" ht="15.75" customHeight="1">
      <c r="AH274" s="624"/>
      <c r="AI274" s="624"/>
      <c r="AJ274" s="624"/>
      <c r="AK274" s="624"/>
      <c r="AL274" s="624"/>
      <c r="AM274" s="624"/>
      <c r="AN274" s="624"/>
      <c r="AO274" s="624"/>
      <c r="AP274" s="624"/>
      <c r="AQ274" s="624"/>
      <c r="AR274" s="624"/>
      <c r="AS274" s="624"/>
      <c r="AT274" s="624"/>
    </row>
    <row r="275" ht="15.75" customHeight="1">
      <c r="AH275" s="624"/>
      <c r="AI275" s="624"/>
      <c r="AJ275" s="624"/>
      <c r="AK275" s="624"/>
      <c r="AL275" s="624"/>
      <c r="AM275" s="624"/>
      <c r="AN275" s="624"/>
      <c r="AO275" s="624"/>
      <c r="AP275" s="624"/>
      <c r="AQ275" s="624"/>
      <c r="AR275" s="624"/>
      <c r="AS275" s="624"/>
      <c r="AT275" s="624"/>
    </row>
    <row r="276" ht="15.75" customHeight="1">
      <c r="AH276" s="624"/>
      <c r="AI276" s="624"/>
      <c r="AJ276" s="624"/>
      <c r="AK276" s="624"/>
      <c r="AL276" s="624"/>
      <c r="AM276" s="624"/>
      <c r="AN276" s="624"/>
      <c r="AO276" s="624"/>
      <c r="AP276" s="624"/>
      <c r="AQ276" s="624"/>
      <c r="AR276" s="624"/>
      <c r="AS276" s="624"/>
      <c r="AT276" s="624"/>
    </row>
    <row r="277" ht="15.75" customHeight="1">
      <c r="AH277" s="624"/>
      <c r="AI277" s="624"/>
      <c r="AJ277" s="624"/>
      <c r="AK277" s="624"/>
      <c r="AL277" s="624"/>
      <c r="AM277" s="624"/>
      <c r="AN277" s="624"/>
      <c r="AO277" s="624"/>
      <c r="AP277" s="624"/>
      <c r="AQ277" s="624"/>
      <c r="AR277" s="624"/>
      <c r="AS277" s="624"/>
      <c r="AT277" s="624"/>
    </row>
    <row r="278" ht="15.75" customHeight="1">
      <c r="AH278" s="624"/>
      <c r="AI278" s="624"/>
      <c r="AJ278" s="624"/>
      <c r="AK278" s="624"/>
      <c r="AL278" s="624"/>
      <c r="AM278" s="624"/>
      <c r="AN278" s="624"/>
      <c r="AO278" s="624"/>
      <c r="AP278" s="624"/>
      <c r="AQ278" s="624"/>
      <c r="AR278" s="624"/>
      <c r="AS278" s="624"/>
      <c r="AT278" s="624"/>
    </row>
    <row r="279" ht="15.75" customHeight="1">
      <c r="AH279" s="624"/>
      <c r="AI279" s="624"/>
      <c r="AJ279" s="624"/>
      <c r="AK279" s="624"/>
      <c r="AL279" s="624"/>
      <c r="AM279" s="624"/>
      <c r="AN279" s="624"/>
      <c r="AO279" s="624"/>
      <c r="AP279" s="624"/>
      <c r="AQ279" s="624"/>
      <c r="AR279" s="624"/>
      <c r="AS279" s="624"/>
      <c r="AT279" s="624"/>
    </row>
    <row r="280" ht="15.75" customHeight="1">
      <c r="AH280" s="624"/>
      <c r="AI280" s="624"/>
      <c r="AJ280" s="624"/>
      <c r="AK280" s="624"/>
      <c r="AL280" s="624"/>
      <c r="AM280" s="624"/>
      <c r="AN280" s="624"/>
      <c r="AO280" s="624"/>
      <c r="AP280" s="624"/>
      <c r="AQ280" s="624"/>
      <c r="AR280" s="624"/>
      <c r="AS280" s="624"/>
      <c r="AT280" s="624"/>
    </row>
    <row r="281" ht="15.75" customHeight="1">
      <c r="AH281" s="624"/>
      <c r="AI281" s="624"/>
      <c r="AJ281" s="624"/>
      <c r="AK281" s="624"/>
      <c r="AL281" s="624"/>
      <c r="AM281" s="624"/>
      <c r="AN281" s="624"/>
      <c r="AO281" s="624"/>
      <c r="AP281" s="624"/>
      <c r="AQ281" s="624"/>
      <c r="AR281" s="624"/>
      <c r="AS281" s="624"/>
      <c r="AT281" s="624"/>
    </row>
    <row r="282" ht="15.75" customHeight="1">
      <c r="AH282" s="624"/>
      <c r="AI282" s="624"/>
      <c r="AJ282" s="624"/>
      <c r="AK282" s="624"/>
      <c r="AL282" s="624"/>
      <c r="AM282" s="624"/>
      <c r="AN282" s="624"/>
      <c r="AO282" s="624"/>
      <c r="AP282" s="624"/>
      <c r="AQ282" s="624"/>
      <c r="AR282" s="624"/>
      <c r="AS282" s="624"/>
      <c r="AT282" s="624"/>
    </row>
    <row r="283" ht="15.75" customHeight="1">
      <c r="AH283" s="624"/>
      <c r="AI283" s="624"/>
      <c r="AJ283" s="624"/>
      <c r="AK283" s="624"/>
      <c r="AL283" s="624"/>
      <c r="AM283" s="624"/>
      <c r="AN283" s="624"/>
      <c r="AO283" s="624"/>
      <c r="AP283" s="624"/>
      <c r="AQ283" s="624"/>
      <c r="AR283" s="624"/>
      <c r="AS283" s="624"/>
      <c r="AT283" s="624"/>
    </row>
    <row r="284" ht="15.75" customHeight="1">
      <c r="AH284" s="624"/>
      <c r="AI284" s="624"/>
      <c r="AJ284" s="624"/>
      <c r="AK284" s="624"/>
      <c r="AL284" s="624"/>
      <c r="AM284" s="624"/>
      <c r="AN284" s="624"/>
      <c r="AO284" s="624"/>
      <c r="AP284" s="624"/>
      <c r="AQ284" s="624"/>
      <c r="AR284" s="624"/>
      <c r="AS284" s="624"/>
      <c r="AT284" s="624"/>
    </row>
    <row r="285" ht="15.75" customHeight="1">
      <c r="AH285" s="624"/>
      <c r="AI285" s="624"/>
      <c r="AJ285" s="624"/>
      <c r="AK285" s="624"/>
      <c r="AL285" s="624"/>
      <c r="AM285" s="624"/>
      <c r="AN285" s="624"/>
      <c r="AO285" s="624"/>
      <c r="AP285" s="624"/>
      <c r="AQ285" s="624"/>
      <c r="AR285" s="624"/>
      <c r="AS285" s="624"/>
      <c r="AT285" s="624"/>
    </row>
    <row r="286" ht="15.75" customHeight="1">
      <c r="AH286" s="624"/>
      <c r="AI286" s="624"/>
      <c r="AJ286" s="624"/>
      <c r="AK286" s="624"/>
      <c r="AL286" s="624"/>
      <c r="AM286" s="624"/>
      <c r="AN286" s="624"/>
      <c r="AO286" s="624"/>
      <c r="AP286" s="624"/>
      <c r="AQ286" s="624"/>
      <c r="AR286" s="624"/>
      <c r="AS286" s="624"/>
      <c r="AT286" s="624"/>
    </row>
    <row r="287" ht="15.75" customHeight="1">
      <c r="AH287" s="624"/>
      <c r="AI287" s="624"/>
      <c r="AJ287" s="624"/>
      <c r="AK287" s="624"/>
      <c r="AL287" s="624"/>
      <c r="AM287" s="624"/>
      <c r="AN287" s="624"/>
      <c r="AO287" s="624"/>
      <c r="AP287" s="624"/>
      <c r="AQ287" s="624"/>
      <c r="AR287" s="624"/>
      <c r="AS287" s="624"/>
      <c r="AT287" s="624"/>
    </row>
    <row r="288" ht="15.75" customHeight="1">
      <c r="AH288" s="624"/>
      <c r="AI288" s="624"/>
      <c r="AJ288" s="624"/>
      <c r="AK288" s="624"/>
      <c r="AL288" s="624"/>
      <c r="AM288" s="624"/>
      <c r="AN288" s="624"/>
      <c r="AO288" s="624"/>
      <c r="AP288" s="624"/>
      <c r="AQ288" s="624"/>
      <c r="AR288" s="624"/>
      <c r="AS288" s="624"/>
      <c r="AT288" s="624"/>
    </row>
    <row r="289" ht="15.75" customHeight="1">
      <c r="AH289" s="624"/>
      <c r="AI289" s="624"/>
      <c r="AJ289" s="624"/>
      <c r="AK289" s="624"/>
      <c r="AL289" s="624"/>
      <c r="AM289" s="624"/>
      <c r="AN289" s="624"/>
      <c r="AO289" s="624"/>
      <c r="AP289" s="624"/>
      <c r="AQ289" s="624"/>
      <c r="AR289" s="624"/>
      <c r="AS289" s="624"/>
      <c r="AT289" s="624"/>
    </row>
    <row r="290" ht="15.75" customHeight="1">
      <c r="AH290" s="624"/>
      <c r="AI290" s="624"/>
      <c r="AJ290" s="624"/>
      <c r="AK290" s="624"/>
      <c r="AL290" s="624"/>
      <c r="AM290" s="624"/>
      <c r="AN290" s="624"/>
      <c r="AO290" s="624"/>
      <c r="AP290" s="624"/>
      <c r="AQ290" s="624"/>
      <c r="AR290" s="624"/>
      <c r="AS290" s="624"/>
      <c r="AT290" s="624"/>
    </row>
    <row r="291" ht="15.75" customHeight="1">
      <c r="AH291" s="624"/>
      <c r="AI291" s="624"/>
      <c r="AJ291" s="624"/>
      <c r="AK291" s="624"/>
      <c r="AL291" s="624"/>
      <c r="AM291" s="624"/>
      <c r="AN291" s="624"/>
      <c r="AO291" s="624"/>
      <c r="AP291" s="624"/>
      <c r="AQ291" s="624"/>
      <c r="AR291" s="624"/>
      <c r="AS291" s="624"/>
      <c r="AT291" s="624"/>
    </row>
    <row r="292" ht="15.75" customHeight="1">
      <c r="AH292" s="624"/>
      <c r="AI292" s="624"/>
      <c r="AJ292" s="624"/>
      <c r="AK292" s="624"/>
      <c r="AL292" s="624"/>
      <c r="AM292" s="624"/>
      <c r="AN292" s="624"/>
      <c r="AO292" s="624"/>
      <c r="AP292" s="624"/>
      <c r="AQ292" s="624"/>
      <c r="AR292" s="624"/>
      <c r="AS292" s="624"/>
      <c r="AT292" s="624"/>
    </row>
    <row r="293" ht="15.75" customHeight="1">
      <c r="AH293" s="624"/>
      <c r="AI293" s="624"/>
      <c r="AJ293" s="624"/>
      <c r="AK293" s="624"/>
      <c r="AL293" s="624"/>
      <c r="AM293" s="624"/>
      <c r="AN293" s="624"/>
      <c r="AO293" s="624"/>
      <c r="AP293" s="624"/>
      <c r="AQ293" s="624"/>
      <c r="AR293" s="624"/>
      <c r="AS293" s="624"/>
      <c r="AT293" s="624"/>
    </row>
    <row r="294" ht="15.75" customHeight="1">
      <c r="AH294" s="624"/>
      <c r="AI294" s="624"/>
      <c r="AJ294" s="624"/>
      <c r="AK294" s="624"/>
      <c r="AL294" s="624"/>
      <c r="AM294" s="624"/>
      <c r="AN294" s="624"/>
      <c r="AO294" s="624"/>
      <c r="AP294" s="624"/>
      <c r="AQ294" s="624"/>
      <c r="AR294" s="624"/>
      <c r="AS294" s="624"/>
      <c r="AT294" s="624"/>
    </row>
    <row r="295" ht="15.75" customHeight="1">
      <c r="AH295" s="624"/>
      <c r="AI295" s="624"/>
      <c r="AJ295" s="624"/>
      <c r="AK295" s="624"/>
      <c r="AL295" s="624"/>
      <c r="AM295" s="624"/>
      <c r="AN295" s="624"/>
      <c r="AO295" s="624"/>
      <c r="AP295" s="624"/>
      <c r="AQ295" s="624"/>
      <c r="AR295" s="624"/>
      <c r="AS295" s="624"/>
      <c r="AT295" s="624"/>
    </row>
    <row r="296" ht="15.75" customHeight="1">
      <c r="AH296" s="624"/>
      <c r="AI296" s="624"/>
      <c r="AJ296" s="624"/>
      <c r="AK296" s="624"/>
      <c r="AL296" s="624"/>
      <c r="AM296" s="624"/>
      <c r="AN296" s="624"/>
      <c r="AO296" s="624"/>
      <c r="AP296" s="624"/>
      <c r="AQ296" s="624"/>
      <c r="AR296" s="624"/>
      <c r="AS296" s="624"/>
      <c r="AT296" s="624"/>
    </row>
    <row r="297" ht="15.75" customHeight="1">
      <c r="AH297" s="624"/>
      <c r="AI297" s="624"/>
      <c r="AJ297" s="624"/>
      <c r="AK297" s="624"/>
      <c r="AL297" s="624"/>
      <c r="AM297" s="624"/>
      <c r="AN297" s="624"/>
      <c r="AO297" s="624"/>
      <c r="AP297" s="624"/>
      <c r="AQ297" s="624"/>
      <c r="AR297" s="624"/>
      <c r="AS297" s="624"/>
      <c r="AT297" s="624"/>
    </row>
    <row r="298" ht="15.75" customHeight="1">
      <c r="AH298" s="624"/>
      <c r="AI298" s="624"/>
      <c r="AJ298" s="624"/>
      <c r="AK298" s="624"/>
      <c r="AL298" s="624"/>
      <c r="AM298" s="624"/>
      <c r="AN298" s="624"/>
      <c r="AO298" s="624"/>
      <c r="AP298" s="624"/>
      <c r="AQ298" s="624"/>
      <c r="AR298" s="624"/>
      <c r="AS298" s="624"/>
      <c r="AT298" s="624"/>
    </row>
    <row r="299" ht="15.75" customHeight="1">
      <c r="AH299" s="624"/>
      <c r="AI299" s="624"/>
      <c r="AJ299" s="624"/>
      <c r="AK299" s="624"/>
      <c r="AL299" s="624"/>
      <c r="AM299" s="624"/>
      <c r="AN299" s="624"/>
      <c r="AO299" s="624"/>
      <c r="AP299" s="624"/>
      <c r="AQ299" s="624"/>
      <c r="AR299" s="624"/>
      <c r="AS299" s="624"/>
      <c r="AT299" s="624"/>
    </row>
    <row r="300" ht="15.75" customHeight="1">
      <c r="AH300" s="624"/>
      <c r="AI300" s="624"/>
      <c r="AJ300" s="624"/>
      <c r="AK300" s="624"/>
      <c r="AL300" s="624"/>
      <c r="AM300" s="624"/>
      <c r="AN300" s="624"/>
      <c r="AO300" s="624"/>
      <c r="AP300" s="624"/>
      <c r="AQ300" s="624"/>
      <c r="AR300" s="624"/>
      <c r="AS300" s="624"/>
      <c r="AT300" s="624"/>
    </row>
    <row r="301" ht="15.75" customHeight="1">
      <c r="AH301" s="624"/>
      <c r="AI301" s="624"/>
      <c r="AJ301" s="624"/>
      <c r="AK301" s="624"/>
      <c r="AL301" s="624"/>
      <c r="AM301" s="624"/>
      <c r="AN301" s="624"/>
      <c r="AO301" s="624"/>
      <c r="AP301" s="624"/>
      <c r="AQ301" s="624"/>
      <c r="AR301" s="624"/>
      <c r="AS301" s="624"/>
      <c r="AT301" s="624"/>
    </row>
    <row r="302" ht="15.75" customHeight="1">
      <c r="AH302" s="624"/>
      <c r="AI302" s="624"/>
      <c r="AJ302" s="624"/>
      <c r="AK302" s="624"/>
      <c r="AL302" s="624"/>
      <c r="AM302" s="624"/>
      <c r="AN302" s="624"/>
      <c r="AO302" s="624"/>
      <c r="AP302" s="624"/>
      <c r="AQ302" s="624"/>
      <c r="AR302" s="624"/>
      <c r="AS302" s="624"/>
      <c r="AT302" s="624"/>
    </row>
    <row r="303" ht="15.75" customHeight="1">
      <c r="AH303" s="624"/>
      <c r="AI303" s="624"/>
      <c r="AJ303" s="624"/>
      <c r="AK303" s="624"/>
      <c r="AL303" s="624"/>
      <c r="AM303" s="624"/>
      <c r="AN303" s="624"/>
      <c r="AO303" s="624"/>
      <c r="AP303" s="624"/>
      <c r="AQ303" s="624"/>
      <c r="AR303" s="624"/>
      <c r="AS303" s="624"/>
      <c r="AT303" s="624"/>
    </row>
    <row r="304" ht="15.75" customHeight="1">
      <c r="AH304" s="624"/>
      <c r="AI304" s="624"/>
      <c r="AJ304" s="624"/>
      <c r="AK304" s="624"/>
      <c r="AL304" s="624"/>
      <c r="AM304" s="624"/>
      <c r="AN304" s="624"/>
      <c r="AO304" s="624"/>
      <c r="AP304" s="624"/>
      <c r="AQ304" s="624"/>
      <c r="AR304" s="624"/>
      <c r="AS304" s="624"/>
      <c r="AT304" s="624"/>
    </row>
    <row r="305" ht="15.75" customHeight="1">
      <c r="AH305" s="624"/>
      <c r="AI305" s="624"/>
      <c r="AJ305" s="624"/>
      <c r="AK305" s="624"/>
      <c r="AL305" s="624"/>
      <c r="AM305" s="624"/>
      <c r="AN305" s="624"/>
      <c r="AO305" s="624"/>
      <c r="AP305" s="624"/>
      <c r="AQ305" s="624"/>
      <c r="AR305" s="624"/>
      <c r="AS305" s="624"/>
      <c r="AT305" s="624"/>
    </row>
    <row r="306" ht="15.75" customHeight="1">
      <c r="AH306" s="624"/>
      <c r="AI306" s="624"/>
      <c r="AJ306" s="624"/>
      <c r="AK306" s="624"/>
      <c r="AL306" s="624"/>
      <c r="AM306" s="624"/>
      <c r="AN306" s="624"/>
      <c r="AO306" s="624"/>
      <c r="AP306" s="624"/>
      <c r="AQ306" s="624"/>
      <c r="AR306" s="624"/>
      <c r="AS306" s="624"/>
      <c r="AT306" s="624"/>
    </row>
    <row r="307" ht="15.75" customHeight="1">
      <c r="AH307" s="624"/>
      <c r="AI307" s="624"/>
      <c r="AJ307" s="624"/>
      <c r="AK307" s="624"/>
      <c r="AL307" s="624"/>
      <c r="AM307" s="624"/>
      <c r="AN307" s="624"/>
      <c r="AO307" s="624"/>
      <c r="AP307" s="624"/>
      <c r="AQ307" s="624"/>
      <c r="AR307" s="624"/>
      <c r="AS307" s="624"/>
      <c r="AT307" s="624"/>
    </row>
    <row r="308" ht="15.75" customHeight="1">
      <c r="AH308" s="624"/>
      <c r="AI308" s="624"/>
      <c r="AJ308" s="624"/>
      <c r="AK308" s="624"/>
      <c r="AL308" s="624"/>
      <c r="AM308" s="624"/>
      <c r="AN308" s="624"/>
      <c r="AO308" s="624"/>
      <c r="AP308" s="624"/>
      <c r="AQ308" s="624"/>
      <c r="AR308" s="624"/>
      <c r="AS308" s="624"/>
      <c r="AT308" s="624"/>
    </row>
    <row r="309" ht="15.75" customHeight="1">
      <c r="AH309" s="624"/>
      <c r="AI309" s="624"/>
      <c r="AJ309" s="624"/>
      <c r="AK309" s="624"/>
      <c r="AL309" s="624"/>
      <c r="AM309" s="624"/>
      <c r="AN309" s="624"/>
      <c r="AO309" s="624"/>
      <c r="AP309" s="624"/>
      <c r="AQ309" s="624"/>
      <c r="AR309" s="624"/>
      <c r="AS309" s="624"/>
      <c r="AT309" s="624"/>
    </row>
    <row r="310" ht="15.75" customHeight="1">
      <c r="AH310" s="624"/>
      <c r="AI310" s="624"/>
      <c r="AJ310" s="624"/>
      <c r="AK310" s="624"/>
      <c r="AL310" s="624"/>
      <c r="AM310" s="624"/>
      <c r="AN310" s="624"/>
      <c r="AO310" s="624"/>
      <c r="AP310" s="624"/>
      <c r="AQ310" s="624"/>
      <c r="AR310" s="624"/>
      <c r="AS310" s="624"/>
      <c r="AT310" s="624"/>
    </row>
    <row r="311" ht="15.75" customHeight="1">
      <c r="AH311" s="624"/>
      <c r="AI311" s="624"/>
      <c r="AJ311" s="624"/>
      <c r="AK311" s="624"/>
      <c r="AL311" s="624"/>
      <c r="AM311" s="624"/>
      <c r="AN311" s="624"/>
      <c r="AO311" s="624"/>
      <c r="AP311" s="624"/>
      <c r="AQ311" s="624"/>
      <c r="AR311" s="624"/>
      <c r="AS311" s="624"/>
      <c r="AT311" s="624"/>
    </row>
    <row r="312" ht="15.75" customHeight="1">
      <c r="AH312" s="624"/>
      <c r="AI312" s="624"/>
      <c r="AJ312" s="624"/>
      <c r="AK312" s="624"/>
      <c r="AL312" s="624"/>
      <c r="AM312" s="624"/>
      <c r="AN312" s="624"/>
      <c r="AO312" s="624"/>
      <c r="AP312" s="624"/>
      <c r="AQ312" s="624"/>
      <c r="AR312" s="624"/>
      <c r="AS312" s="624"/>
      <c r="AT312" s="624"/>
    </row>
    <row r="313" ht="15.75" customHeight="1">
      <c r="AH313" s="624"/>
      <c r="AI313" s="624"/>
      <c r="AJ313" s="624"/>
      <c r="AK313" s="624"/>
      <c r="AL313" s="624"/>
      <c r="AM313" s="624"/>
      <c r="AN313" s="624"/>
      <c r="AO313" s="624"/>
      <c r="AP313" s="624"/>
      <c r="AQ313" s="624"/>
      <c r="AR313" s="624"/>
      <c r="AS313" s="624"/>
      <c r="AT313" s="624"/>
    </row>
    <row r="314" ht="15.75" customHeight="1">
      <c r="AH314" s="624"/>
      <c r="AI314" s="624"/>
      <c r="AJ314" s="624"/>
      <c r="AK314" s="624"/>
      <c r="AL314" s="624"/>
      <c r="AM314" s="624"/>
      <c r="AN314" s="624"/>
      <c r="AO314" s="624"/>
      <c r="AP314" s="624"/>
      <c r="AQ314" s="624"/>
      <c r="AR314" s="624"/>
      <c r="AS314" s="624"/>
      <c r="AT314" s="624"/>
    </row>
    <row r="315" ht="15.75" customHeight="1">
      <c r="AH315" s="624"/>
      <c r="AI315" s="624"/>
      <c r="AJ315" s="624"/>
      <c r="AK315" s="624"/>
      <c r="AL315" s="624"/>
      <c r="AM315" s="624"/>
      <c r="AN315" s="624"/>
      <c r="AO315" s="624"/>
      <c r="AP315" s="624"/>
      <c r="AQ315" s="624"/>
      <c r="AR315" s="624"/>
      <c r="AS315" s="624"/>
      <c r="AT315" s="624"/>
    </row>
    <row r="316" ht="15.75" customHeight="1">
      <c r="AH316" s="624"/>
      <c r="AI316" s="624"/>
      <c r="AJ316" s="624"/>
      <c r="AK316" s="624"/>
      <c r="AL316" s="624"/>
      <c r="AM316" s="624"/>
      <c r="AN316" s="624"/>
      <c r="AO316" s="624"/>
      <c r="AP316" s="624"/>
      <c r="AQ316" s="624"/>
      <c r="AR316" s="624"/>
      <c r="AS316" s="624"/>
      <c r="AT316" s="624"/>
    </row>
    <row r="317" ht="15.75" customHeight="1">
      <c r="AH317" s="624"/>
      <c r="AI317" s="624"/>
      <c r="AJ317" s="624"/>
      <c r="AK317" s="624"/>
      <c r="AL317" s="624"/>
      <c r="AM317" s="624"/>
      <c r="AN317" s="624"/>
      <c r="AO317" s="624"/>
      <c r="AP317" s="624"/>
      <c r="AQ317" s="624"/>
      <c r="AR317" s="624"/>
      <c r="AS317" s="624"/>
      <c r="AT317" s="624"/>
    </row>
    <row r="318" ht="15.75" customHeight="1">
      <c r="AH318" s="624"/>
      <c r="AI318" s="624"/>
      <c r="AJ318" s="624"/>
      <c r="AK318" s="624"/>
      <c r="AL318" s="624"/>
      <c r="AM318" s="624"/>
      <c r="AN318" s="624"/>
      <c r="AO318" s="624"/>
      <c r="AP318" s="624"/>
      <c r="AQ318" s="624"/>
      <c r="AR318" s="624"/>
      <c r="AS318" s="624"/>
      <c r="AT318" s="624"/>
    </row>
    <row r="319" ht="15.75" customHeight="1">
      <c r="AH319" s="624"/>
      <c r="AI319" s="624"/>
      <c r="AJ319" s="624"/>
      <c r="AK319" s="624"/>
      <c r="AL319" s="624"/>
      <c r="AM319" s="624"/>
      <c r="AN319" s="624"/>
      <c r="AO319" s="624"/>
      <c r="AP319" s="624"/>
      <c r="AQ319" s="624"/>
      <c r="AR319" s="624"/>
      <c r="AS319" s="624"/>
      <c r="AT319" s="624"/>
    </row>
    <row r="320" ht="15.75" customHeight="1">
      <c r="AH320" s="624"/>
      <c r="AI320" s="624"/>
      <c r="AJ320" s="624"/>
      <c r="AK320" s="624"/>
      <c r="AL320" s="624"/>
      <c r="AM320" s="624"/>
      <c r="AN320" s="624"/>
      <c r="AO320" s="624"/>
      <c r="AP320" s="624"/>
      <c r="AQ320" s="624"/>
      <c r="AR320" s="624"/>
      <c r="AS320" s="624"/>
      <c r="AT320" s="624"/>
    </row>
    <row r="321" ht="15.75" customHeight="1">
      <c r="AH321" s="624"/>
      <c r="AI321" s="624"/>
      <c r="AJ321" s="624"/>
      <c r="AK321" s="624"/>
      <c r="AL321" s="624"/>
      <c r="AM321" s="624"/>
      <c r="AN321" s="624"/>
      <c r="AO321" s="624"/>
      <c r="AP321" s="624"/>
      <c r="AQ321" s="624"/>
      <c r="AR321" s="624"/>
      <c r="AS321" s="624"/>
      <c r="AT321" s="624"/>
    </row>
    <row r="322" ht="15.75" customHeight="1">
      <c r="AH322" s="624"/>
      <c r="AI322" s="624"/>
      <c r="AJ322" s="624"/>
      <c r="AK322" s="624"/>
      <c r="AL322" s="624"/>
      <c r="AM322" s="624"/>
      <c r="AN322" s="624"/>
      <c r="AO322" s="624"/>
      <c r="AP322" s="624"/>
      <c r="AQ322" s="624"/>
      <c r="AR322" s="624"/>
      <c r="AS322" s="624"/>
      <c r="AT322" s="624"/>
    </row>
    <row r="323" ht="15.75" customHeight="1">
      <c r="AH323" s="624"/>
      <c r="AI323" s="624"/>
      <c r="AJ323" s="624"/>
      <c r="AK323" s="624"/>
      <c r="AL323" s="624"/>
      <c r="AM323" s="624"/>
      <c r="AN323" s="624"/>
      <c r="AO323" s="624"/>
      <c r="AP323" s="624"/>
      <c r="AQ323" s="624"/>
      <c r="AR323" s="624"/>
      <c r="AS323" s="624"/>
      <c r="AT323" s="624"/>
    </row>
    <row r="324" ht="15.75" customHeight="1">
      <c r="AH324" s="624"/>
      <c r="AI324" s="624"/>
      <c r="AJ324" s="624"/>
      <c r="AK324" s="624"/>
      <c r="AL324" s="624"/>
      <c r="AM324" s="624"/>
      <c r="AN324" s="624"/>
      <c r="AO324" s="624"/>
      <c r="AP324" s="624"/>
      <c r="AQ324" s="624"/>
      <c r="AR324" s="624"/>
      <c r="AS324" s="624"/>
      <c r="AT324" s="624"/>
    </row>
    <row r="325" ht="15.75" customHeight="1">
      <c r="AH325" s="624"/>
      <c r="AI325" s="624"/>
      <c r="AJ325" s="624"/>
      <c r="AK325" s="624"/>
      <c r="AL325" s="624"/>
      <c r="AM325" s="624"/>
      <c r="AN325" s="624"/>
      <c r="AO325" s="624"/>
      <c r="AP325" s="624"/>
      <c r="AQ325" s="624"/>
      <c r="AR325" s="624"/>
      <c r="AS325" s="624"/>
      <c r="AT325" s="624"/>
    </row>
    <row r="326" ht="15.75" customHeight="1">
      <c r="AH326" s="624"/>
      <c r="AI326" s="624"/>
      <c r="AJ326" s="624"/>
      <c r="AK326" s="624"/>
      <c r="AL326" s="624"/>
      <c r="AM326" s="624"/>
      <c r="AN326" s="624"/>
      <c r="AO326" s="624"/>
      <c r="AP326" s="624"/>
      <c r="AQ326" s="624"/>
      <c r="AR326" s="624"/>
      <c r="AS326" s="624"/>
      <c r="AT326" s="624"/>
    </row>
    <row r="327" ht="15.75" customHeight="1">
      <c r="AH327" s="624"/>
      <c r="AI327" s="624"/>
      <c r="AJ327" s="624"/>
      <c r="AK327" s="624"/>
      <c r="AL327" s="624"/>
      <c r="AM327" s="624"/>
      <c r="AN327" s="624"/>
      <c r="AO327" s="624"/>
      <c r="AP327" s="624"/>
      <c r="AQ327" s="624"/>
      <c r="AR327" s="624"/>
      <c r="AS327" s="624"/>
      <c r="AT327" s="624"/>
    </row>
    <row r="328" ht="15.75" customHeight="1">
      <c r="AH328" s="624"/>
      <c r="AI328" s="624"/>
      <c r="AJ328" s="624"/>
      <c r="AK328" s="624"/>
      <c r="AL328" s="624"/>
      <c r="AM328" s="624"/>
      <c r="AN328" s="624"/>
      <c r="AO328" s="624"/>
      <c r="AP328" s="624"/>
      <c r="AQ328" s="624"/>
      <c r="AR328" s="624"/>
      <c r="AS328" s="624"/>
      <c r="AT328" s="624"/>
    </row>
    <row r="329" ht="15.75" customHeight="1">
      <c r="AH329" s="624"/>
      <c r="AI329" s="624"/>
      <c r="AJ329" s="624"/>
      <c r="AK329" s="624"/>
      <c r="AL329" s="624"/>
      <c r="AM329" s="624"/>
      <c r="AN329" s="624"/>
      <c r="AO329" s="624"/>
      <c r="AP329" s="624"/>
      <c r="AQ329" s="624"/>
      <c r="AR329" s="624"/>
      <c r="AS329" s="624"/>
      <c r="AT329" s="624"/>
    </row>
    <row r="330" ht="15.75" customHeight="1">
      <c r="AH330" s="624"/>
      <c r="AI330" s="624"/>
      <c r="AJ330" s="624"/>
      <c r="AK330" s="624"/>
      <c r="AL330" s="624"/>
      <c r="AM330" s="624"/>
      <c r="AN330" s="624"/>
      <c r="AO330" s="624"/>
      <c r="AP330" s="624"/>
      <c r="AQ330" s="624"/>
      <c r="AR330" s="624"/>
      <c r="AS330" s="624"/>
      <c r="AT330" s="624"/>
    </row>
    <row r="331" ht="15.75" customHeight="1">
      <c r="AH331" s="624"/>
      <c r="AI331" s="624"/>
      <c r="AJ331" s="624"/>
      <c r="AK331" s="624"/>
      <c r="AL331" s="624"/>
      <c r="AM331" s="624"/>
      <c r="AN331" s="624"/>
      <c r="AO331" s="624"/>
      <c r="AP331" s="624"/>
      <c r="AQ331" s="624"/>
      <c r="AR331" s="624"/>
      <c r="AS331" s="624"/>
      <c r="AT331" s="624"/>
    </row>
    <row r="332" ht="15.75" customHeight="1">
      <c r="AH332" s="624"/>
      <c r="AI332" s="624"/>
      <c r="AJ332" s="624"/>
      <c r="AK332" s="624"/>
      <c r="AL332" s="624"/>
      <c r="AM332" s="624"/>
      <c r="AN332" s="624"/>
      <c r="AO332" s="624"/>
      <c r="AP332" s="624"/>
      <c r="AQ332" s="624"/>
      <c r="AR332" s="624"/>
      <c r="AS332" s="624"/>
      <c r="AT332" s="624"/>
    </row>
    <row r="333" ht="15.75" customHeight="1">
      <c r="AH333" s="624"/>
      <c r="AI333" s="624"/>
      <c r="AJ333" s="624"/>
      <c r="AK333" s="624"/>
      <c r="AL333" s="624"/>
      <c r="AM333" s="624"/>
      <c r="AN333" s="624"/>
      <c r="AO333" s="624"/>
      <c r="AP333" s="624"/>
      <c r="AQ333" s="624"/>
      <c r="AR333" s="624"/>
      <c r="AS333" s="624"/>
      <c r="AT333" s="624"/>
    </row>
    <row r="334" ht="15.75" customHeight="1">
      <c r="AH334" s="624"/>
      <c r="AI334" s="624"/>
      <c r="AJ334" s="624"/>
      <c r="AK334" s="624"/>
      <c r="AL334" s="624"/>
      <c r="AM334" s="624"/>
      <c r="AN334" s="624"/>
      <c r="AO334" s="624"/>
      <c r="AP334" s="624"/>
      <c r="AQ334" s="624"/>
      <c r="AR334" s="624"/>
      <c r="AS334" s="624"/>
      <c r="AT334" s="624"/>
    </row>
    <row r="335" ht="15.75" customHeight="1">
      <c r="AH335" s="624"/>
      <c r="AI335" s="624"/>
      <c r="AJ335" s="624"/>
      <c r="AK335" s="624"/>
      <c r="AL335" s="624"/>
      <c r="AM335" s="624"/>
      <c r="AN335" s="624"/>
      <c r="AO335" s="624"/>
      <c r="AP335" s="624"/>
      <c r="AQ335" s="624"/>
      <c r="AR335" s="624"/>
      <c r="AS335" s="624"/>
      <c r="AT335" s="624"/>
    </row>
    <row r="336" ht="15.75" customHeight="1">
      <c r="AH336" s="624"/>
      <c r="AI336" s="624"/>
      <c r="AJ336" s="624"/>
      <c r="AK336" s="624"/>
      <c r="AL336" s="624"/>
      <c r="AM336" s="624"/>
      <c r="AN336" s="624"/>
      <c r="AO336" s="624"/>
      <c r="AP336" s="624"/>
      <c r="AQ336" s="624"/>
      <c r="AR336" s="624"/>
      <c r="AS336" s="624"/>
      <c r="AT336" s="624"/>
    </row>
    <row r="337" ht="15.75" customHeight="1">
      <c r="AH337" s="624"/>
      <c r="AI337" s="624"/>
      <c r="AJ337" s="624"/>
      <c r="AK337" s="624"/>
      <c r="AL337" s="624"/>
      <c r="AM337" s="624"/>
      <c r="AN337" s="624"/>
      <c r="AO337" s="624"/>
      <c r="AP337" s="624"/>
      <c r="AQ337" s="624"/>
      <c r="AR337" s="624"/>
      <c r="AS337" s="624"/>
      <c r="AT337" s="624"/>
    </row>
    <row r="338" ht="15.75" customHeight="1">
      <c r="AH338" s="624"/>
      <c r="AI338" s="624"/>
      <c r="AJ338" s="624"/>
      <c r="AK338" s="624"/>
      <c r="AL338" s="624"/>
      <c r="AM338" s="624"/>
      <c r="AN338" s="624"/>
      <c r="AO338" s="624"/>
      <c r="AP338" s="624"/>
      <c r="AQ338" s="624"/>
      <c r="AR338" s="624"/>
      <c r="AS338" s="624"/>
      <c r="AT338" s="624"/>
    </row>
    <row r="339" ht="15.75" customHeight="1">
      <c r="AH339" s="624"/>
      <c r="AI339" s="624"/>
      <c r="AJ339" s="624"/>
      <c r="AK339" s="624"/>
      <c r="AL339" s="624"/>
      <c r="AM339" s="624"/>
      <c r="AN339" s="624"/>
      <c r="AO339" s="624"/>
      <c r="AP339" s="624"/>
      <c r="AQ339" s="624"/>
      <c r="AR339" s="624"/>
      <c r="AS339" s="624"/>
      <c r="AT339" s="624"/>
    </row>
    <row r="340" ht="15.75" customHeight="1">
      <c r="AH340" s="624"/>
      <c r="AI340" s="624"/>
      <c r="AJ340" s="624"/>
      <c r="AK340" s="624"/>
      <c r="AL340" s="624"/>
      <c r="AM340" s="624"/>
      <c r="AN340" s="624"/>
      <c r="AO340" s="624"/>
      <c r="AP340" s="624"/>
      <c r="AQ340" s="624"/>
      <c r="AR340" s="624"/>
      <c r="AS340" s="624"/>
      <c r="AT340" s="624"/>
    </row>
    <row r="341" ht="15.75" customHeight="1">
      <c r="AH341" s="624"/>
      <c r="AI341" s="624"/>
      <c r="AJ341" s="624"/>
      <c r="AK341" s="624"/>
      <c r="AL341" s="624"/>
      <c r="AM341" s="624"/>
      <c r="AN341" s="624"/>
      <c r="AO341" s="624"/>
      <c r="AP341" s="624"/>
      <c r="AQ341" s="624"/>
      <c r="AR341" s="624"/>
      <c r="AS341" s="624"/>
      <c r="AT341" s="624"/>
    </row>
    <row r="342" ht="15.75" customHeight="1">
      <c r="AH342" s="624"/>
      <c r="AI342" s="624"/>
      <c r="AJ342" s="624"/>
      <c r="AK342" s="624"/>
      <c r="AL342" s="624"/>
      <c r="AM342" s="624"/>
      <c r="AN342" s="624"/>
      <c r="AO342" s="624"/>
      <c r="AP342" s="624"/>
      <c r="AQ342" s="624"/>
      <c r="AR342" s="624"/>
      <c r="AS342" s="624"/>
      <c r="AT342" s="624"/>
    </row>
    <row r="343" ht="15.75" customHeight="1">
      <c r="AH343" s="624"/>
      <c r="AI343" s="624"/>
      <c r="AJ343" s="624"/>
      <c r="AK343" s="624"/>
      <c r="AL343" s="624"/>
      <c r="AM343" s="624"/>
      <c r="AN343" s="624"/>
      <c r="AO343" s="624"/>
      <c r="AP343" s="624"/>
      <c r="AQ343" s="624"/>
      <c r="AR343" s="624"/>
      <c r="AS343" s="624"/>
      <c r="AT343" s="624"/>
    </row>
    <row r="344" ht="15.75" customHeight="1">
      <c r="AH344" s="624"/>
      <c r="AI344" s="624"/>
      <c r="AJ344" s="624"/>
      <c r="AK344" s="624"/>
      <c r="AL344" s="624"/>
      <c r="AM344" s="624"/>
      <c r="AN344" s="624"/>
      <c r="AO344" s="624"/>
      <c r="AP344" s="624"/>
      <c r="AQ344" s="624"/>
      <c r="AR344" s="624"/>
      <c r="AS344" s="624"/>
      <c r="AT344" s="624"/>
    </row>
    <row r="345" ht="15.75" customHeight="1">
      <c r="AH345" s="624"/>
      <c r="AI345" s="624"/>
      <c r="AJ345" s="624"/>
      <c r="AK345" s="624"/>
      <c r="AL345" s="624"/>
      <c r="AM345" s="624"/>
      <c r="AN345" s="624"/>
      <c r="AO345" s="624"/>
      <c r="AP345" s="624"/>
      <c r="AQ345" s="624"/>
      <c r="AR345" s="624"/>
      <c r="AS345" s="624"/>
      <c r="AT345" s="624"/>
    </row>
    <row r="346" ht="15.75" customHeight="1">
      <c r="AH346" s="624"/>
      <c r="AI346" s="624"/>
      <c r="AJ346" s="624"/>
      <c r="AK346" s="624"/>
      <c r="AL346" s="624"/>
      <c r="AM346" s="624"/>
      <c r="AN346" s="624"/>
      <c r="AO346" s="624"/>
      <c r="AP346" s="624"/>
      <c r="AQ346" s="624"/>
      <c r="AR346" s="624"/>
      <c r="AS346" s="624"/>
      <c r="AT346" s="624"/>
    </row>
    <row r="347" ht="15.75" customHeight="1">
      <c r="AH347" s="624"/>
      <c r="AI347" s="624"/>
      <c r="AJ347" s="624"/>
      <c r="AK347" s="624"/>
      <c r="AL347" s="624"/>
      <c r="AM347" s="624"/>
      <c r="AN347" s="624"/>
      <c r="AO347" s="624"/>
      <c r="AP347" s="624"/>
      <c r="AQ347" s="624"/>
      <c r="AR347" s="624"/>
      <c r="AS347" s="624"/>
      <c r="AT347" s="624"/>
    </row>
    <row r="348" ht="15.75" customHeight="1">
      <c r="AH348" s="624"/>
      <c r="AI348" s="624"/>
      <c r="AJ348" s="624"/>
      <c r="AK348" s="624"/>
      <c r="AL348" s="624"/>
      <c r="AM348" s="624"/>
      <c r="AN348" s="624"/>
      <c r="AO348" s="624"/>
      <c r="AP348" s="624"/>
      <c r="AQ348" s="624"/>
      <c r="AR348" s="624"/>
      <c r="AS348" s="624"/>
      <c r="AT348" s="624"/>
    </row>
    <row r="349" ht="15.75" customHeight="1">
      <c r="AH349" s="624"/>
      <c r="AI349" s="624"/>
      <c r="AJ349" s="624"/>
      <c r="AK349" s="624"/>
      <c r="AL349" s="624"/>
      <c r="AM349" s="624"/>
      <c r="AN349" s="624"/>
      <c r="AO349" s="624"/>
      <c r="AP349" s="624"/>
      <c r="AQ349" s="624"/>
      <c r="AR349" s="624"/>
      <c r="AS349" s="624"/>
      <c r="AT349" s="624"/>
    </row>
    <row r="350" ht="15.75" customHeight="1">
      <c r="AH350" s="624"/>
      <c r="AI350" s="624"/>
      <c r="AJ350" s="624"/>
      <c r="AK350" s="624"/>
      <c r="AL350" s="624"/>
      <c r="AM350" s="624"/>
      <c r="AN350" s="624"/>
      <c r="AO350" s="624"/>
      <c r="AP350" s="624"/>
      <c r="AQ350" s="624"/>
      <c r="AR350" s="624"/>
      <c r="AS350" s="624"/>
      <c r="AT350" s="624"/>
    </row>
    <row r="351" ht="15.75" customHeight="1">
      <c r="AH351" s="624"/>
      <c r="AI351" s="624"/>
      <c r="AJ351" s="624"/>
      <c r="AK351" s="624"/>
      <c r="AL351" s="624"/>
      <c r="AM351" s="624"/>
      <c r="AN351" s="624"/>
      <c r="AO351" s="624"/>
      <c r="AP351" s="624"/>
      <c r="AQ351" s="624"/>
      <c r="AR351" s="624"/>
      <c r="AS351" s="624"/>
      <c r="AT351" s="624"/>
    </row>
    <row r="352" ht="15.75" customHeight="1">
      <c r="AH352" s="624"/>
      <c r="AI352" s="624"/>
      <c r="AJ352" s="624"/>
      <c r="AK352" s="624"/>
      <c r="AL352" s="624"/>
      <c r="AM352" s="624"/>
      <c r="AN352" s="624"/>
      <c r="AO352" s="624"/>
      <c r="AP352" s="624"/>
      <c r="AQ352" s="624"/>
      <c r="AR352" s="624"/>
      <c r="AS352" s="624"/>
      <c r="AT352" s="624"/>
    </row>
    <row r="353" ht="15.75" customHeight="1">
      <c r="AH353" s="624"/>
      <c r="AI353" s="624"/>
      <c r="AJ353" s="624"/>
      <c r="AK353" s="624"/>
      <c r="AL353" s="624"/>
      <c r="AM353" s="624"/>
      <c r="AN353" s="624"/>
      <c r="AO353" s="624"/>
      <c r="AP353" s="624"/>
      <c r="AQ353" s="624"/>
      <c r="AR353" s="624"/>
      <c r="AS353" s="624"/>
      <c r="AT353" s="624"/>
    </row>
    <row r="354" ht="15.75" customHeight="1">
      <c r="AH354" s="624"/>
      <c r="AI354" s="624"/>
      <c r="AJ354" s="624"/>
      <c r="AK354" s="624"/>
      <c r="AL354" s="624"/>
      <c r="AM354" s="624"/>
      <c r="AN354" s="624"/>
      <c r="AO354" s="624"/>
      <c r="AP354" s="624"/>
      <c r="AQ354" s="624"/>
      <c r="AR354" s="624"/>
      <c r="AS354" s="624"/>
      <c r="AT354" s="624"/>
    </row>
    <row r="355" ht="15.75" customHeight="1">
      <c r="AH355" s="624"/>
      <c r="AI355" s="624"/>
      <c r="AJ355" s="624"/>
      <c r="AK355" s="624"/>
      <c r="AL355" s="624"/>
      <c r="AM355" s="624"/>
      <c r="AN355" s="624"/>
      <c r="AO355" s="624"/>
      <c r="AP355" s="624"/>
      <c r="AQ355" s="624"/>
      <c r="AR355" s="624"/>
      <c r="AS355" s="624"/>
      <c r="AT355" s="624"/>
    </row>
    <row r="356" ht="15.75" customHeight="1">
      <c r="AH356" s="624"/>
      <c r="AI356" s="624"/>
      <c r="AJ356" s="624"/>
      <c r="AK356" s="624"/>
      <c r="AL356" s="624"/>
      <c r="AM356" s="624"/>
      <c r="AN356" s="624"/>
      <c r="AO356" s="624"/>
      <c r="AP356" s="624"/>
      <c r="AQ356" s="624"/>
      <c r="AR356" s="624"/>
      <c r="AS356" s="624"/>
      <c r="AT356" s="624"/>
    </row>
    <row r="357" ht="15.75" customHeight="1">
      <c r="AH357" s="624"/>
      <c r="AI357" s="624"/>
      <c r="AJ357" s="624"/>
      <c r="AK357" s="624"/>
      <c r="AL357" s="624"/>
      <c r="AM357" s="624"/>
      <c r="AN357" s="624"/>
      <c r="AO357" s="624"/>
      <c r="AP357" s="624"/>
      <c r="AQ357" s="624"/>
      <c r="AR357" s="624"/>
      <c r="AS357" s="624"/>
      <c r="AT357" s="624"/>
    </row>
    <row r="358" ht="15.75" customHeight="1">
      <c r="AH358" s="624"/>
      <c r="AI358" s="624"/>
      <c r="AJ358" s="624"/>
      <c r="AK358" s="624"/>
      <c r="AL358" s="624"/>
      <c r="AM358" s="624"/>
      <c r="AN358" s="624"/>
      <c r="AO358" s="624"/>
      <c r="AP358" s="624"/>
      <c r="AQ358" s="624"/>
      <c r="AR358" s="624"/>
      <c r="AS358" s="624"/>
      <c r="AT358" s="624"/>
    </row>
    <row r="359" ht="15.75" customHeight="1">
      <c r="AH359" s="624"/>
      <c r="AI359" s="624"/>
      <c r="AJ359" s="624"/>
      <c r="AK359" s="624"/>
      <c r="AL359" s="624"/>
      <c r="AM359" s="624"/>
      <c r="AN359" s="624"/>
      <c r="AO359" s="624"/>
      <c r="AP359" s="624"/>
      <c r="AQ359" s="624"/>
      <c r="AR359" s="624"/>
      <c r="AS359" s="624"/>
      <c r="AT359" s="624"/>
    </row>
    <row r="360" ht="15.75" customHeight="1">
      <c r="AH360" s="624"/>
      <c r="AI360" s="624"/>
      <c r="AJ360" s="624"/>
      <c r="AK360" s="624"/>
      <c r="AL360" s="624"/>
      <c r="AM360" s="624"/>
      <c r="AN360" s="624"/>
      <c r="AO360" s="624"/>
      <c r="AP360" s="624"/>
      <c r="AQ360" s="624"/>
      <c r="AR360" s="624"/>
      <c r="AS360" s="624"/>
      <c r="AT360" s="624"/>
    </row>
    <row r="361" ht="15.75" customHeight="1">
      <c r="AH361" s="624"/>
      <c r="AI361" s="624"/>
      <c r="AJ361" s="624"/>
      <c r="AK361" s="624"/>
      <c r="AL361" s="624"/>
      <c r="AM361" s="624"/>
      <c r="AN361" s="624"/>
      <c r="AO361" s="624"/>
      <c r="AP361" s="624"/>
      <c r="AQ361" s="624"/>
      <c r="AR361" s="624"/>
      <c r="AS361" s="624"/>
      <c r="AT361" s="624"/>
    </row>
    <row r="362" ht="15.75" customHeight="1">
      <c r="AH362" s="624"/>
      <c r="AI362" s="624"/>
      <c r="AJ362" s="624"/>
      <c r="AK362" s="624"/>
      <c r="AL362" s="624"/>
      <c r="AM362" s="624"/>
      <c r="AN362" s="624"/>
      <c r="AO362" s="624"/>
      <c r="AP362" s="624"/>
      <c r="AQ362" s="624"/>
      <c r="AR362" s="624"/>
      <c r="AS362" s="624"/>
      <c r="AT362" s="624"/>
    </row>
    <row r="363" ht="15.75" customHeight="1">
      <c r="AH363" s="624"/>
      <c r="AI363" s="624"/>
      <c r="AJ363" s="624"/>
      <c r="AK363" s="624"/>
      <c r="AL363" s="624"/>
      <c r="AM363" s="624"/>
      <c r="AN363" s="624"/>
      <c r="AO363" s="624"/>
      <c r="AP363" s="624"/>
      <c r="AQ363" s="624"/>
      <c r="AR363" s="624"/>
      <c r="AS363" s="624"/>
      <c r="AT363" s="624"/>
    </row>
    <row r="364" ht="15.75" customHeight="1">
      <c r="AH364" s="624"/>
      <c r="AI364" s="624"/>
      <c r="AJ364" s="624"/>
      <c r="AK364" s="624"/>
      <c r="AL364" s="624"/>
      <c r="AM364" s="624"/>
      <c r="AN364" s="624"/>
      <c r="AO364" s="624"/>
      <c r="AP364" s="624"/>
      <c r="AQ364" s="624"/>
      <c r="AR364" s="624"/>
      <c r="AS364" s="624"/>
      <c r="AT364" s="624"/>
    </row>
    <row r="365" ht="15.75" customHeight="1">
      <c r="AH365" s="624"/>
      <c r="AI365" s="624"/>
      <c r="AJ365" s="624"/>
      <c r="AK365" s="624"/>
      <c r="AL365" s="624"/>
      <c r="AM365" s="624"/>
      <c r="AN365" s="624"/>
      <c r="AO365" s="624"/>
      <c r="AP365" s="624"/>
      <c r="AQ365" s="624"/>
      <c r="AR365" s="624"/>
      <c r="AS365" s="624"/>
      <c r="AT365" s="624"/>
    </row>
    <row r="366" ht="15.75" customHeight="1">
      <c r="AH366" s="624"/>
      <c r="AI366" s="624"/>
      <c r="AJ366" s="624"/>
      <c r="AK366" s="624"/>
      <c r="AL366" s="624"/>
      <c r="AM366" s="624"/>
      <c r="AN366" s="624"/>
      <c r="AO366" s="624"/>
      <c r="AP366" s="624"/>
      <c r="AQ366" s="624"/>
      <c r="AR366" s="624"/>
      <c r="AS366" s="624"/>
      <c r="AT366" s="624"/>
    </row>
    <row r="367" ht="15.75" customHeight="1">
      <c r="AH367" s="624"/>
      <c r="AI367" s="624"/>
      <c r="AJ367" s="624"/>
      <c r="AK367" s="624"/>
      <c r="AL367" s="624"/>
      <c r="AM367" s="624"/>
      <c r="AN367" s="624"/>
      <c r="AO367" s="624"/>
      <c r="AP367" s="624"/>
      <c r="AQ367" s="624"/>
      <c r="AR367" s="624"/>
      <c r="AS367" s="624"/>
      <c r="AT367" s="624"/>
    </row>
    <row r="368" ht="15.75" customHeight="1">
      <c r="AH368" s="624"/>
      <c r="AI368" s="624"/>
      <c r="AJ368" s="624"/>
      <c r="AK368" s="624"/>
      <c r="AL368" s="624"/>
      <c r="AM368" s="624"/>
      <c r="AN368" s="624"/>
      <c r="AO368" s="624"/>
      <c r="AP368" s="624"/>
      <c r="AQ368" s="624"/>
      <c r="AR368" s="624"/>
      <c r="AS368" s="624"/>
      <c r="AT368" s="624"/>
    </row>
    <row r="369" ht="15.75" customHeight="1">
      <c r="AH369" s="624"/>
      <c r="AI369" s="624"/>
      <c r="AJ369" s="624"/>
      <c r="AK369" s="624"/>
      <c r="AL369" s="624"/>
      <c r="AM369" s="624"/>
      <c r="AN369" s="624"/>
      <c r="AO369" s="624"/>
      <c r="AP369" s="624"/>
      <c r="AQ369" s="624"/>
      <c r="AR369" s="624"/>
      <c r="AS369" s="624"/>
      <c r="AT369" s="624"/>
    </row>
    <row r="370" ht="15.75" customHeight="1">
      <c r="AH370" s="624"/>
      <c r="AI370" s="624"/>
      <c r="AJ370" s="624"/>
      <c r="AK370" s="624"/>
      <c r="AL370" s="624"/>
      <c r="AM370" s="624"/>
      <c r="AN370" s="624"/>
      <c r="AO370" s="624"/>
      <c r="AP370" s="624"/>
      <c r="AQ370" s="624"/>
      <c r="AR370" s="624"/>
      <c r="AS370" s="624"/>
      <c r="AT370" s="624"/>
    </row>
    <row r="371" ht="15.75" customHeight="1">
      <c r="AH371" s="624"/>
      <c r="AI371" s="624"/>
      <c r="AJ371" s="624"/>
      <c r="AK371" s="624"/>
      <c r="AL371" s="624"/>
      <c r="AM371" s="624"/>
      <c r="AN371" s="624"/>
      <c r="AO371" s="624"/>
      <c r="AP371" s="624"/>
      <c r="AQ371" s="624"/>
      <c r="AR371" s="624"/>
      <c r="AS371" s="624"/>
      <c r="AT371" s="624"/>
    </row>
    <row r="372" ht="15.75" customHeight="1">
      <c r="AH372" s="624"/>
      <c r="AI372" s="624"/>
      <c r="AJ372" s="624"/>
      <c r="AK372" s="624"/>
      <c r="AL372" s="624"/>
      <c r="AM372" s="624"/>
      <c r="AN372" s="624"/>
      <c r="AO372" s="624"/>
      <c r="AP372" s="624"/>
      <c r="AQ372" s="624"/>
      <c r="AR372" s="624"/>
      <c r="AS372" s="624"/>
      <c r="AT372" s="624"/>
    </row>
    <row r="373" ht="15.75" customHeight="1">
      <c r="AH373" s="624"/>
      <c r="AI373" s="624"/>
      <c r="AJ373" s="624"/>
      <c r="AK373" s="624"/>
      <c r="AL373" s="624"/>
      <c r="AM373" s="624"/>
      <c r="AN373" s="624"/>
      <c r="AO373" s="624"/>
      <c r="AP373" s="624"/>
      <c r="AQ373" s="624"/>
      <c r="AR373" s="624"/>
      <c r="AS373" s="624"/>
      <c r="AT373" s="624"/>
    </row>
    <row r="374" ht="15.75" customHeight="1">
      <c r="AH374" s="624"/>
      <c r="AI374" s="624"/>
      <c r="AJ374" s="624"/>
      <c r="AK374" s="624"/>
      <c r="AL374" s="624"/>
      <c r="AM374" s="624"/>
      <c r="AN374" s="624"/>
      <c r="AO374" s="624"/>
      <c r="AP374" s="624"/>
      <c r="AQ374" s="624"/>
      <c r="AR374" s="624"/>
      <c r="AS374" s="624"/>
      <c r="AT374" s="624"/>
    </row>
    <row r="375" ht="15.75" customHeight="1">
      <c r="AH375" s="624"/>
      <c r="AI375" s="624"/>
      <c r="AJ375" s="624"/>
      <c r="AK375" s="624"/>
      <c r="AL375" s="624"/>
      <c r="AM375" s="624"/>
      <c r="AN375" s="624"/>
      <c r="AO375" s="624"/>
      <c r="AP375" s="624"/>
      <c r="AQ375" s="624"/>
      <c r="AR375" s="624"/>
      <c r="AS375" s="624"/>
      <c r="AT375" s="624"/>
    </row>
    <row r="376" ht="15.75" customHeight="1">
      <c r="AH376" s="624"/>
      <c r="AI376" s="624"/>
      <c r="AJ376" s="624"/>
      <c r="AK376" s="624"/>
      <c r="AL376" s="624"/>
      <c r="AM376" s="624"/>
      <c r="AN376" s="624"/>
      <c r="AO376" s="624"/>
      <c r="AP376" s="624"/>
      <c r="AQ376" s="624"/>
      <c r="AR376" s="624"/>
      <c r="AS376" s="624"/>
      <c r="AT376" s="624"/>
    </row>
    <row r="377" ht="15.75" customHeight="1">
      <c r="AH377" s="624"/>
      <c r="AI377" s="624"/>
      <c r="AJ377" s="624"/>
      <c r="AK377" s="624"/>
      <c r="AL377" s="624"/>
      <c r="AM377" s="624"/>
      <c r="AN377" s="624"/>
      <c r="AO377" s="624"/>
      <c r="AP377" s="624"/>
      <c r="AQ377" s="624"/>
      <c r="AR377" s="624"/>
      <c r="AS377" s="624"/>
      <c r="AT377" s="624"/>
    </row>
    <row r="378" ht="15.75" customHeight="1">
      <c r="AH378" s="624"/>
      <c r="AI378" s="624"/>
      <c r="AJ378" s="624"/>
      <c r="AK378" s="624"/>
      <c r="AL378" s="624"/>
      <c r="AM378" s="624"/>
      <c r="AN378" s="624"/>
      <c r="AO378" s="624"/>
      <c r="AP378" s="624"/>
      <c r="AQ378" s="624"/>
      <c r="AR378" s="624"/>
      <c r="AS378" s="624"/>
      <c r="AT378" s="624"/>
    </row>
    <row r="379" ht="15.75" customHeight="1">
      <c r="AH379" s="624"/>
      <c r="AI379" s="624"/>
      <c r="AJ379" s="624"/>
      <c r="AK379" s="624"/>
      <c r="AL379" s="624"/>
      <c r="AM379" s="624"/>
      <c r="AN379" s="624"/>
      <c r="AO379" s="624"/>
      <c r="AP379" s="624"/>
      <c r="AQ379" s="624"/>
      <c r="AR379" s="624"/>
      <c r="AS379" s="624"/>
      <c r="AT379" s="624"/>
    </row>
    <row r="380" ht="15.75" customHeight="1">
      <c r="AH380" s="624"/>
      <c r="AI380" s="624"/>
      <c r="AJ380" s="624"/>
      <c r="AK380" s="624"/>
      <c r="AL380" s="624"/>
      <c r="AM380" s="624"/>
      <c r="AN380" s="624"/>
      <c r="AO380" s="624"/>
      <c r="AP380" s="624"/>
      <c r="AQ380" s="624"/>
      <c r="AR380" s="624"/>
      <c r="AS380" s="624"/>
      <c r="AT380" s="624"/>
    </row>
    <row r="381" ht="15.75" customHeight="1">
      <c r="AH381" s="624"/>
      <c r="AI381" s="624"/>
      <c r="AJ381" s="624"/>
      <c r="AK381" s="624"/>
      <c r="AL381" s="624"/>
      <c r="AM381" s="624"/>
      <c r="AN381" s="624"/>
      <c r="AO381" s="624"/>
      <c r="AP381" s="624"/>
      <c r="AQ381" s="624"/>
      <c r="AR381" s="624"/>
      <c r="AS381" s="624"/>
      <c r="AT381" s="624"/>
    </row>
    <row r="382" ht="15.75" customHeight="1">
      <c r="AH382" s="624"/>
      <c r="AI382" s="624"/>
      <c r="AJ382" s="624"/>
      <c r="AK382" s="624"/>
      <c r="AL382" s="624"/>
      <c r="AM382" s="624"/>
      <c r="AN382" s="624"/>
      <c r="AO382" s="624"/>
      <c r="AP382" s="624"/>
      <c r="AQ382" s="624"/>
      <c r="AR382" s="624"/>
      <c r="AS382" s="624"/>
      <c r="AT382" s="624"/>
    </row>
    <row r="383" ht="15.75" customHeight="1">
      <c r="AH383" s="624"/>
      <c r="AI383" s="624"/>
      <c r="AJ383" s="624"/>
      <c r="AK383" s="624"/>
      <c r="AL383" s="624"/>
      <c r="AM383" s="624"/>
      <c r="AN383" s="624"/>
      <c r="AO383" s="624"/>
      <c r="AP383" s="624"/>
      <c r="AQ383" s="624"/>
      <c r="AR383" s="624"/>
      <c r="AS383" s="624"/>
      <c r="AT383" s="624"/>
    </row>
    <row r="384" ht="15.75" customHeight="1">
      <c r="AH384" s="624"/>
      <c r="AI384" s="624"/>
      <c r="AJ384" s="624"/>
      <c r="AK384" s="624"/>
      <c r="AL384" s="624"/>
      <c r="AM384" s="624"/>
      <c r="AN384" s="624"/>
      <c r="AO384" s="624"/>
      <c r="AP384" s="624"/>
      <c r="AQ384" s="624"/>
      <c r="AR384" s="624"/>
      <c r="AS384" s="624"/>
      <c r="AT384" s="624"/>
    </row>
    <row r="385" ht="15.75" customHeight="1">
      <c r="AH385" s="624"/>
      <c r="AI385" s="624"/>
      <c r="AJ385" s="624"/>
      <c r="AK385" s="624"/>
      <c r="AL385" s="624"/>
      <c r="AM385" s="624"/>
      <c r="AN385" s="624"/>
      <c r="AO385" s="624"/>
      <c r="AP385" s="624"/>
      <c r="AQ385" s="624"/>
      <c r="AR385" s="624"/>
      <c r="AS385" s="624"/>
      <c r="AT385" s="624"/>
    </row>
    <row r="386" ht="15.75" customHeight="1">
      <c r="AH386" s="624"/>
      <c r="AI386" s="624"/>
      <c r="AJ386" s="624"/>
      <c r="AK386" s="624"/>
      <c r="AL386" s="624"/>
      <c r="AM386" s="624"/>
      <c r="AN386" s="624"/>
      <c r="AO386" s="624"/>
      <c r="AP386" s="624"/>
      <c r="AQ386" s="624"/>
      <c r="AR386" s="624"/>
      <c r="AS386" s="624"/>
      <c r="AT386" s="624"/>
    </row>
    <row r="387" ht="15.75" customHeight="1">
      <c r="AH387" s="624"/>
      <c r="AI387" s="624"/>
      <c r="AJ387" s="624"/>
      <c r="AK387" s="624"/>
      <c r="AL387" s="624"/>
      <c r="AM387" s="624"/>
      <c r="AN387" s="624"/>
      <c r="AO387" s="624"/>
      <c r="AP387" s="624"/>
      <c r="AQ387" s="624"/>
      <c r="AR387" s="624"/>
      <c r="AS387" s="624"/>
      <c r="AT387" s="624"/>
    </row>
    <row r="388" ht="15.75" customHeight="1">
      <c r="AH388" s="624"/>
      <c r="AI388" s="624"/>
      <c r="AJ388" s="624"/>
      <c r="AK388" s="624"/>
      <c r="AL388" s="624"/>
      <c r="AM388" s="624"/>
      <c r="AN388" s="624"/>
      <c r="AO388" s="624"/>
      <c r="AP388" s="624"/>
      <c r="AQ388" s="624"/>
      <c r="AR388" s="624"/>
      <c r="AS388" s="624"/>
      <c r="AT388" s="624"/>
    </row>
    <row r="389" ht="15.75" customHeight="1">
      <c r="AH389" s="624"/>
      <c r="AI389" s="624"/>
      <c r="AJ389" s="624"/>
      <c r="AK389" s="624"/>
      <c r="AL389" s="624"/>
      <c r="AM389" s="624"/>
      <c r="AN389" s="624"/>
      <c r="AO389" s="624"/>
      <c r="AP389" s="624"/>
      <c r="AQ389" s="624"/>
      <c r="AR389" s="624"/>
      <c r="AS389" s="624"/>
      <c r="AT389" s="624"/>
    </row>
    <row r="390" ht="15.75" customHeight="1">
      <c r="AH390" s="624"/>
      <c r="AI390" s="624"/>
      <c r="AJ390" s="624"/>
      <c r="AK390" s="624"/>
      <c r="AL390" s="624"/>
      <c r="AM390" s="624"/>
      <c r="AN390" s="624"/>
      <c r="AO390" s="624"/>
      <c r="AP390" s="624"/>
      <c r="AQ390" s="624"/>
      <c r="AR390" s="624"/>
      <c r="AS390" s="624"/>
      <c r="AT390" s="624"/>
    </row>
    <row r="391" ht="15.75" customHeight="1">
      <c r="AH391" s="624"/>
      <c r="AI391" s="624"/>
      <c r="AJ391" s="624"/>
      <c r="AK391" s="624"/>
      <c r="AL391" s="624"/>
      <c r="AM391" s="624"/>
      <c r="AN391" s="624"/>
      <c r="AO391" s="624"/>
      <c r="AP391" s="624"/>
      <c r="AQ391" s="624"/>
      <c r="AR391" s="624"/>
      <c r="AS391" s="624"/>
      <c r="AT391" s="624"/>
    </row>
    <row r="392" ht="15.75" customHeight="1">
      <c r="AH392" s="624"/>
      <c r="AI392" s="624"/>
      <c r="AJ392" s="624"/>
      <c r="AK392" s="624"/>
      <c r="AL392" s="624"/>
      <c r="AM392" s="624"/>
      <c r="AN392" s="624"/>
      <c r="AO392" s="624"/>
      <c r="AP392" s="624"/>
      <c r="AQ392" s="624"/>
      <c r="AR392" s="624"/>
      <c r="AS392" s="624"/>
      <c r="AT392" s="624"/>
    </row>
    <row r="393" ht="15.75" customHeight="1">
      <c r="AH393" s="624"/>
      <c r="AI393" s="624"/>
      <c r="AJ393" s="624"/>
      <c r="AK393" s="624"/>
      <c r="AL393" s="624"/>
      <c r="AM393" s="624"/>
      <c r="AN393" s="624"/>
      <c r="AO393" s="624"/>
      <c r="AP393" s="624"/>
      <c r="AQ393" s="624"/>
      <c r="AR393" s="624"/>
      <c r="AS393" s="624"/>
      <c r="AT393" s="624"/>
    </row>
    <row r="394" ht="15.75" customHeight="1">
      <c r="AH394" s="624"/>
      <c r="AI394" s="624"/>
      <c r="AJ394" s="624"/>
      <c r="AK394" s="624"/>
      <c r="AL394" s="624"/>
      <c r="AM394" s="624"/>
      <c r="AN394" s="624"/>
      <c r="AO394" s="624"/>
      <c r="AP394" s="624"/>
      <c r="AQ394" s="624"/>
      <c r="AR394" s="624"/>
      <c r="AS394" s="624"/>
      <c r="AT394" s="624"/>
    </row>
    <row r="395" ht="15.75" customHeight="1">
      <c r="AH395" s="624"/>
      <c r="AI395" s="624"/>
      <c r="AJ395" s="624"/>
      <c r="AK395" s="624"/>
      <c r="AL395" s="624"/>
      <c r="AM395" s="624"/>
      <c r="AN395" s="624"/>
      <c r="AO395" s="624"/>
      <c r="AP395" s="624"/>
      <c r="AQ395" s="624"/>
      <c r="AR395" s="624"/>
      <c r="AS395" s="624"/>
      <c r="AT395" s="624"/>
    </row>
    <row r="396" ht="15.75" customHeight="1">
      <c r="AH396" s="624"/>
      <c r="AI396" s="624"/>
      <c r="AJ396" s="624"/>
      <c r="AK396" s="624"/>
      <c r="AL396" s="624"/>
      <c r="AM396" s="624"/>
      <c r="AN396" s="624"/>
      <c r="AO396" s="624"/>
      <c r="AP396" s="624"/>
      <c r="AQ396" s="624"/>
      <c r="AR396" s="624"/>
      <c r="AS396" s="624"/>
      <c r="AT396" s="624"/>
    </row>
    <row r="397" ht="15.75" customHeight="1">
      <c r="AH397" s="624"/>
      <c r="AI397" s="624"/>
      <c r="AJ397" s="624"/>
      <c r="AK397" s="624"/>
      <c r="AL397" s="624"/>
      <c r="AM397" s="624"/>
      <c r="AN397" s="624"/>
      <c r="AO397" s="624"/>
      <c r="AP397" s="624"/>
      <c r="AQ397" s="624"/>
      <c r="AR397" s="624"/>
      <c r="AS397" s="624"/>
      <c r="AT397" s="624"/>
    </row>
    <row r="398" ht="15.75" customHeight="1">
      <c r="AH398" s="624"/>
      <c r="AI398" s="624"/>
      <c r="AJ398" s="624"/>
      <c r="AK398" s="624"/>
      <c r="AL398" s="624"/>
      <c r="AM398" s="624"/>
      <c r="AN398" s="624"/>
      <c r="AO398" s="624"/>
      <c r="AP398" s="624"/>
      <c r="AQ398" s="624"/>
      <c r="AR398" s="624"/>
      <c r="AS398" s="624"/>
      <c r="AT398" s="624"/>
    </row>
    <row r="399" ht="15.75" customHeight="1">
      <c r="AH399" s="624"/>
      <c r="AI399" s="624"/>
      <c r="AJ399" s="624"/>
      <c r="AK399" s="624"/>
      <c r="AL399" s="624"/>
      <c r="AM399" s="624"/>
      <c r="AN399" s="624"/>
      <c r="AO399" s="624"/>
      <c r="AP399" s="624"/>
      <c r="AQ399" s="624"/>
      <c r="AR399" s="624"/>
      <c r="AS399" s="624"/>
      <c r="AT399" s="624"/>
    </row>
    <row r="400" ht="15.75" customHeight="1">
      <c r="AH400" s="624"/>
      <c r="AI400" s="624"/>
      <c r="AJ400" s="624"/>
      <c r="AK400" s="624"/>
      <c r="AL400" s="624"/>
      <c r="AM400" s="624"/>
      <c r="AN400" s="624"/>
      <c r="AO400" s="624"/>
      <c r="AP400" s="624"/>
      <c r="AQ400" s="624"/>
      <c r="AR400" s="624"/>
      <c r="AS400" s="624"/>
      <c r="AT400" s="624"/>
    </row>
    <row r="401" ht="15.75" customHeight="1">
      <c r="AH401" s="624"/>
      <c r="AI401" s="624"/>
      <c r="AJ401" s="624"/>
      <c r="AK401" s="624"/>
      <c r="AL401" s="624"/>
      <c r="AM401" s="624"/>
      <c r="AN401" s="624"/>
      <c r="AO401" s="624"/>
      <c r="AP401" s="624"/>
      <c r="AQ401" s="624"/>
      <c r="AR401" s="624"/>
      <c r="AS401" s="624"/>
      <c r="AT401" s="624"/>
    </row>
    <row r="402" ht="15.75" customHeight="1">
      <c r="AH402" s="624"/>
      <c r="AI402" s="624"/>
      <c r="AJ402" s="624"/>
      <c r="AK402" s="624"/>
      <c r="AL402" s="624"/>
      <c r="AM402" s="624"/>
      <c r="AN402" s="624"/>
      <c r="AO402" s="624"/>
      <c r="AP402" s="624"/>
      <c r="AQ402" s="624"/>
      <c r="AR402" s="624"/>
      <c r="AS402" s="624"/>
      <c r="AT402" s="624"/>
    </row>
    <row r="403" ht="15.75" customHeight="1">
      <c r="AH403" s="624"/>
      <c r="AI403" s="624"/>
      <c r="AJ403" s="624"/>
      <c r="AK403" s="624"/>
      <c r="AL403" s="624"/>
      <c r="AM403" s="624"/>
      <c r="AN403" s="624"/>
      <c r="AO403" s="624"/>
      <c r="AP403" s="624"/>
      <c r="AQ403" s="624"/>
      <c r="AR403" s="624"/>
      <c r="AS403" s="624"/>
      <c r="AT403" s="624"/>
    </row>
    <row r="404" ht="15.75" customHeight="1">
      <c r="AH404" s="624"/>
      <c r="AI404" s="624"/>
      <c r="AJ404" s="624"/>
      <c r="AK404" s="624"/>
      <c r="AL404" s="624"/>
      <c r="AM404" s="624"/>
      <c r="AN404" s="624"/>
      <c r="AO404" s="624"/>
      <c r="AP404" s="624"/>
      <c r="AQ404" s="624"/>
      <c r="AR404" s="624"/>
      <c r="AS404" s="624"/>
      <c r="AT404" s="624"/>
    </row>
    <row r="405" ht="15.75" customHeight="1">
      <c r="AH405" s="624"/>
      <c r="AI405" s="624"/>
      <c r="AJ405" s="624"/>
      <c r="AK405" s="624"/>
      <c r="AL405" s="624"/>
      <c r="AM405" s="624"/>
      <c r="AN405" s="624"/>
      <c r="AO405" s="624"/>
      <c r="AP405" s="624"/>
      <c r="AQ405" s="624"/>
      <c r="AR405" s="624"/>
      <c r="AS405" s="624"/>
      <c r="AT405" s="624"/>
    </row>
    <row r="406" ht="15.75" customHeight="1">
      <c r="AH406" s="624"/>
      <c r="AI406" s="624"/>
      <c r="AJ406" s="624"/>
      <c r="AK406" s="624"/>
      <c r="AL406" s="624"/>
      <c r="AM406" s="624"/>
      <c r="AN406" s="624"/>
      <c r="AO406" s="624"/>
      <c r="AP406" s="624"/>
      <c r="AQ406" s="624"/>
      <c r="AR406" s="624"/>
      <c r="AS406" s="624"/>
      <c r="AT406" s="624"/>
    </row>
    <row r="407" ht="15.75" customHeight="1">
      <c r="AH407" s="624"/>
      <c r="AI407" s="624"/>
      <c r="AJ407" s="624"/>
      <c r="AK407" s="624"/>
      <c r="AL407" s="624"/>
      <c r="AM407" s="624"/>
      <c r="AN407" s="624"/>
      <c r="AO407" s="624"/>
      <c r="AP407" s="624"/>
      <c r="AQ407" s="624"/>
      <c r="AR407" s="624"/>
      <c r="AS407" s="624"/>
      <c r="AT407" s="624"/>
    </row>
    <row r="408" ht="15.75" customHeight="1">
      <c r="AH408" s="624"/>
      <c r="AI408" s="624"/>
      <c r="AJ408" s="624"/>
      <c r="AK408" s="624"/>
      <c r="AL408" s="624"/>
      <c r="AM408" s="624"/>
      <c r="AN408" s="624"/>
      <c r="AO408" s="624"/>
      <c r="AP408" s="624"/>
      <c r="AQ408" s="624"/>
      <c r="AR408" s="624"/>
      <c r="AS408" s="624"/>
      <c r="AT408" s="624"/>
    </row>
    <row r="409" ht="15.75" customHeight="1">
      <c r="AH409" s="624"/>
      <c r="AI409" s="624"/>
      <c r="AJ409" s="624"/>
      <c r="AK409" s="624"/>
      <c r="AL409" s="624"/>
      <c r="AM409" s="624"/>
      <c r="AN409" s="624"/>
      <c r="AO409" s="624"/>
      <c r="AP409" s="624"/>
      <c r="AQ409" s="624"/>
      <c r="AR409" s="624"/>
      <c r="AS409" s="624"/>
      <c r="AT409" s="624"/>
    </row>
    <row r="410" ht="15.75" customHeight="1">
      <c r="AH410" s="624"/>
      <c r="AI410" s="624"/>
      <c r="AJ410" s="624"/>
      <c r="AK410" s="624"/>
      <c r="AL410" s="624"/>
      <c r="AM410" s="624"/>
      <c r="AN410" s="624"/>
      <c r="AO410" s="624"/>
      <c r="AP410" s="624"/>
      <c r="AQ410" s="624"/>
      <c r="AR410" s="624"/>
      <c r="AS410" s="624"/>
      <c r="AT410" s="624"/>
    </row>
    <row r="411" ht="15.75" customHeight="1">
      <c r="AH411" s="624"/>
      <c r="AI411" s="624"/>
      <c r="AJ411" s="624"/>
      <c r="AK411" s="624"/>
      <c r="AL411" s="624"/>
      <c r="AM411" s="624"/>
      <c r="AN411" s="624"/>
      <c r="AO411" s="624"/>
      <c r="AP411" s="624"/>
      <c r="AQ411" s="624"/>
      <c r="AR411" s="624"/>
      <c r="AS411" s="624"/>
      <c r="AT411" s="624"/>
    </row>
    <row r="412" ht="15.75" customHeight="1">
      <c r="AH412" s="624"/>
      <c r="AI412" s="624"/>
      <c r="AJ412" s="624"/>
      <c r="AK412" s="624"/>
      <c r="AL412" s="624"/>
      <c r="AM412" s="624"/>
      <c r="AN412" s="624"/>
      <c r="AO412" s="624"/>
      <c r="AP412" s="624"/>
      <c r="AQ412" s="624"/>
      <c r="AR412" s="624"/>
      <c r="AS412" s="624"/>
      <c r="AT412" s="624"/>
    </row>
    <row r="413" ht="15.75" customHeight="1">
      <c r="AH413" s="624"/>
      <c r="AI413" s="624"/>
      <c r="AJ413" s="624"/>
      <c r="AK413" s="624"/>
      <c r="AL413" s="624"/>
      <c r="AM413" s="624"/>
      <c r="AN413" s="624"/>
      <c r="AO413" s="624"/>
      <c r="AP413" s="624"/>
      <c r="AQ413" s="624"/>
      <c r="AR413" s="624"/>
      <c r="AS413" s="624"/>
      <c r="AT413" s="624"/>
    </row>
    <row r="414" ht="15.75" customHeight="1">
      <c r="AH414" s="624"/>
      <c r="AI414" s="624"/>
      <c r="AJ414" s="624"/>
      <c r="AK414" s="624"/>
      <c r="AL414" s="624"/>
      <c r="AM414" s="624"/>
      <c r="AN414" s="624"/>
      <c r="AO414" s="624"/>
      <c r="AP414" s="624"/>
      <c r="AQ414" s="624"/>
      <c r="AR414" s="624"/>
      <c r="AS414" s="624"/>
      <c r="AT414" s="624"/>
    </row>
    <row r="415" ht="15.75" customHeight="1">
      <c r="AH415" s="624"/>
      <c r="AI415" s="624"/>
      <c r="AJ415" s="624"/>
      <c r="AK415" s="624"/>
      <c r="AL415" s="624"/>
      <c r="AM415" s="624"/>
      <c r="AN415" s="624"/>
      <c r="AO415" s="624"/>
      <c r="AP415" s="624"/>
      <c r="AQ415" s="624"/>
      <c r="AR415" s="624"/>
      <c r="AS415" s="624"/>
      <c r="AT415" s="624"/>
    </row>
    <row r="416" ht="15.75" customHeight="1">
      <c r="AH416" s="624"/>
      <c r="AI416" s="624"/>
      <c r="AJ416" s="624"/>
      <c r="AK416" s="624"/>
      <c r="AL416" s="624"/>
      <c r="AM416" s="624"/>
      <c r="AN416" s="624"/>
      <c r="AO416" s="624"/>
      <c r="AP416" s="624"/>
      <c r="AQ416" s="624"/>
      <c r="AR416" s="624"/>
      <c r="AS416" s="624"/>
      <c r="AT416" s="624"/>
    </row>
    <row r="417" ht="15.75" customHeight="1">
      <c r="AH417" s="624"/>
      <c r="AI417" s="624"/>
      <c r="AJ417" s="624"/>
      <c r="AK417" s="624"/>
      <c r="AL417" s="624"/>
      <c r="AM417" s="624"/>
      <c r="AN417" s="624"/>
      <c r="AO417" s="624"/>
      <c r="AP417" s="624"/>
      <c r="AQ417" s="624"/>
      <c r="AR417" s="624"/>
      <c r="AS417" s="624"/>
      <c r="AT417" s="624"/>
    </row>
    <row r="418" ht="15.75" customHeight="1">
      <c r="AH418" s="624"/>
      <c r="AI418" s="624"/>
      <c r="AJ418" s="624"/>
      <c r="AK418" s="624"/>
      <c r="AL418" s="624"/>
      <c r="AM418" s="624"/>
      <c r="AN418" s="624"/>
      <c r="AO418" s="624"/>
      <c r="AP418" s="624"/>
      <c r="AQ418" s="624"/>
      <c r="AR418" s="624"/>
      <c r="AS418" s="624"/>
      <c r="AT418" s="624"/>
    </row>
    <row r="419" ht="15.75" customHeight="1">
      <c r="AH419" s="624"/>
      <c r="AI419" s="624"/>
      <c r="AJ419" s="624"/>
      <c r="AK419" s="624"/>
      <c r="AL419" s="624"/>
      <c r="AM419" s="624"/>
      <c r="AN419" s="624"/>
      <c r="AO419" s="624"/>
      <c r="AP419" s="624"/>
      <c r="AQ419" s="624"/>
      <c r="AR419" s="624"/>
      <c r="AS419" s="624"/>
      <c r="AT419" s="624"/>
    </row>
    <row r="420" ht="15.75" customHeight="1">
      <c r="AH420" s="624"/>
      <c r="AI420" s="624"/>
      <c r="AJ420" s="624"/>
      <c r="AK420" s="624"/>
      <c r="AL420" s="624"/>
      <c r="AM420" s="624"/>
      <c r="AN420" s="624"/>
      <c r="AO420" s="624"/>
      <c r="AP420" s="624"/>
      <c r="AQ420" s="624"/>
      <c r="AR420" s="624"/>
      <c r="AS420" s="624"/>
      <c r="AT420" s="624"/>
    </row>
    <row r="421" ht="15.75" customHeight="1">
      <c r="AH421" s="624"/>
      <c r="AI421" s="624"/>
      <c r="AJ421" s="624"/>
      <c r="AK421" s="624"/>
      <c r="AL421" s="624"/>
      <c r="AM421" s="624"/>
      <c r="AN421" s="624"/>
      <c r="AO421" s="624"/>
      <c r="AP421" s="624"/>
      <c r="AQ421" s="624"/>
      <c r="AR421" s="624"/>
      <c r="AS421" s="624"/>
      <c r="AT421" s="624"/>
    </row>
    <row r="422" ht="15.75" customHeight="1">
      <c r="AH422" s="624"/>
      <c r="AI422" s="624"/>
      <c r="AJ422" s="624"/>
      <c r="AK422" s="624"/>
      <c r="AL422" s="624"/>
      <c r="AM422" s="624"/>
      <c r="AN422" s="624"/>
      <c r="AO422" s="624"/>
      <c r="AP422" s="624"/>
      <c r="AQ422" s="624"/>
      <c r="AR422" s="624"/>
      <c r="AS422" s="624"/>
      <c r="AT422" s="624"/>
    </row>
    <row r="423" ht="15.75" customHeight="1">
      <c r="AH423" s="624"/>
      <c r="AI423" s="624"/>
      <c r="AJ423" s="624"/>
      <c r="AK423" s="624"/>
      <c r="AL423" s="624"/>
      <c r="AM423" s="624"/>
      <c r="AN423" s="624"/>
      <c r="AO423" s="624"/>
      <c r="AP423" s="624"/>
      <c r="AQ423" s="624"/>
      <c r="AR423" s="624"/>
      <c r="AS423" s="624"/>
      <c r="AT423" s="624"/>
    </row>
    <row r="424" ht="15.75" customHeight="1">
      <c r="AH424" s="624"/>
      <c r="AI424" s="624"/>
      <c r="AJ424" s="624"/>
      <c r="AK424" s="624"/>
      <c r="AL424" s="624"/>
      <c r="AM424" s="624"/>
      <c r="AN424" s="624"/>
      <c r="AO424" s="624"/>
      <c r="AP424" s="624"/>
      <c r="AQ424" s="624"/>
      <c r="AR424" s="624"/>
      <c r="AS424" s="624"/>
      <c r="AT424" s="624"/>
    </row>
    <row r="425" ht="15.75" customHeight="1">
      <c r="AH425" s="624"/>
      <c r="AI425" s="624"/>
      <c r="AJ425" s="624"/>
      <c r="AK425" s="624"/>
      <c r="AL425" s="624"/>
      <c r="AM425" s="624"/>
      <c r="AN425" s="624"/>
      <c r="AO425" s="624"/>
      <c r="AP425" s="624"/>
      <c r="AQ425" s="624"/>
      <c r="AR425" s="624"/>
      <c r="AS425" s="624"/>
      <c r="AT425" s="624"/>
    </row>
    <row r="426" ht="15.75" customHeight="1">
      <c r="AH426" s="624"/>
      <c r="AI426" s="624"/>
      <c r="AJ426" s="624"/>
      <c r="AK426" s="624"/>
      <c r="AL426" s="624"/>
      <c r="AM426" s="624"/>
      <c r="AN426" s="624"/>
      <c r="AO426" s="624"/>
      <c r="AP426" s="624"/>
      <c r="AQ426" s="624"/>
      <c r="AR426" s="624"/>
      <c r="AS426" s="624"/>
      <c r="AT426" s="624"/>
    </row>
    <row r="427" ht="15.75" customHeight="1">
      <c r="AH427" s="624"/>
      <c r="AI427" s="624"/>
      <c r="AJ427" s="624"/>
      <c r="AK427" s="624"/>
      <c r="AL427" s="624"/>
      <c r="AM427" s="624"/>
      <c r="AN427" s="624"/>
      <c r="AO427" s="624"/>
      <c r="AP427" s="624"/>
      <c r="AQ427" s="624"/>
      <c r="AR427" s="624"/>
      <c r="AS427" s="624"/>
      <c r="AT427" s="624"/>
    </row>
    <row r="428" ht="15.75" customHeight="1">
      <c r="AH428" s="624"/>
      <c r="AI428" s="624"/>
      <c r="AJ428" s="624"/>
      <c r="AK428" s="624"/>
      <c r="AL428" s="624"/>
      <c r="AM428" s="624"/>
      <c r="AN428" s="624"/>
      <c r="AO428" s="624"/>
      <c r="AP428" s="624"/>
      <c r="AQ428" s="624"/>
      <c r="AR428" s="624"/>
      <c r="AS428" s="624"/>
      <c r="AT428" s="624"/>
    </row>
    <row r="429" ht="15.75" customHeight="1">
      <c r="AH429" s="624"/>
      <c r="AI429" s="624"/>
      <c r="AJ429" s="624"/>
      <c r="AK429" s="624"/>
      <c r="AL429" s="624"/>
      <c r="AM429" s="624"/>
      <c r="AN429" s="624"/>
      <c r="AO429" s="624"/>
      <c r="AP429" s="624"/>
      <c r="AQ429" s="624"/>
      <c r="AR429" s="624"/>
      <c r="AS429" s="624"/>
      <c r="AT429" s="624"/>
    </row>
    <row r="430" ht="15.75" customHeight="1">
      <c r="AH430" s="624"/>
      <c r="AI430" s="624"/>
      <c r="AJ430" s="624"/>
      <c r="AK430" s="624"/>
      <c r="AL430" s="624"/>
      <c r="AM430" s="624"/>
      <c r="AN430" s="624"/>
      <c r="AO430" s="624"/>
      <c r="AP430" s="624"/>
      <c r="AQ430" s="624"/>
      <c r="AR430" s="624"/>
      <c r="AS430" s="624"/>
      <c r="AT430" s="624"/>
    </row>
    <row r="431" ht="15.75" customHeight="1">
      <c r="AH431" s="624"/>
      <c r="AI431" s="624"/>
      <c r="AJ431" s="624"/>
      <c r="AK431" s="624"/>
      <c r="AL431" s="624"/>
      <c r="AM431" s="624"/>
      <c r="AN431" s="624"/>
      <c r="AO431" s="624"/>
      <c r="AP431" s="624"/>
      <c r="AQ431" s="624"/>
      <c r="AR431" s="624"/>
      <c r="AS431" s="624"/>
      <c r="AT431" s="624"/>
    </row>
    <row r="432" ht="15.75" customHeight="1">
      <c r="AH432" s="624"/>
      <c r="AI432" s="624"/>
      <c r="AJ432" s="624"/>
      <c r="AK432" s="624"/>
      <c r="AL432" s="624"/>
      <c r="AM432" s="624"/>
      <c r="AN432" s="624"/>
      <c r="AO432" s="624"/>
      <c r="AP432" s="624"/>
      <c r="AQ432" s="624"/>
      <c r="AR432" s="624"/>
      <c r="AS432" s="624"/>
      <c r="AT432" s="624"/>
    </row>
    <row r="433" ht="15.75" customHeight="1">
      <c r="AH433" s="624"/>
      <c r="AI433" s="624"/>
      <c r="AJ433" s="624"/>
      <c r="AK433" s="624"/>
      <c r="AL433" s="624"/>
      <c r="AM433" s="624"/>
      <c r="AN433" s="624"/>
      <c r="AO433" s="624"/>
      <c r="AP433" s="624"/>
      <c r="AQ433" s="624"/>
      <c r="AR433" s="624"/>
      <c r="AS433" s="624"/>
      <c r="AT433" s="624"/>
    </row>
    <row r="434" ht="15.75" customHeight="1">
      <c r="AH434" s="624"/>
      <c r="AI434" s="624"/>
      <c r="AJ434" s="624"/>
      <c r="AK434" s="624"/>
      <c r="AL434" s="624"/>
      <c r="AM434" s="624"/>
      <c r="AN434" s="624"/>
      <c r="AO434" s="624"/>
      <c r="AP434" s="624"/>
      <c r="AQ434" s="624"/>
      <c r="AR434" s="624"/>
      <c r="AS434" s="624"/>
      <c r="AT434" s="624"/>
    </row>
    <row r="435" ht="15.75" customHeight="1">
      <c r="AH435" s="624"/>
      <c r="AI435" s="624"/>
      <c r="AJ435" s="624"/>
      <c r="AK435" s="624"/>
      <c r="AL435" s="624"/>
      <c r="AM435" s="624"/>
      <c r="AN435" s="624"/>
      <c r="AO435" s="624"/>
      <c r="AP435" s="624"/>
      <c r="AQ435" s="624"/>
      <c r="AR435" s="624"/>
      <c r="AS435" s="624"/>
      <c r="AT435" s="624"/>
    </row>
    <row r="436" ht="15.75" customHeight="1">
      <c r="AH436" s="624"/>
      <c r="AI436" s="624"/>
      <c r="AJ436" s="624"/>
      <c r="AK436" s="624"/>
      <c r="AL436" s="624"/>
      <c r="AM436" s="624"/>
      <c r="AN436" s="624"/>
      <c r="AO436" s="624"/>
      <c r="AP436" s="624"/>
      <c r="AQ436" s="624"/>
      <c r="AR436" s="624"/>
      <c r="AS436" s="624"/>
      <c r="AT436" s="624"/>
    </row>
    <row r="437" ht="15.75" customHeight="1">
      <c r="AH437" s="624"/>
      <c r="AI437" s="624"/>
      <c r="AJ437" s="624"/>
      <c r="AK437" s="624"/>
      <c r="AL437" s="624"/>
      <c r="AM437" s="624"/>
      <c r="AN437" s="624"/>
      <c r="AO437" s="624"/>
      <c r="AP437" s="624"/>
      <c r="AQ437" s="624"/>
      <c r="AR437" s="624"/>
      <c r="AS437" s="624"/>
      <c r="AT437" s="624"/>
    </row>
    <row r="438" ht="15.75" customHeight="1">
      <c r="AH438" s="624"/>
      <c r="AI438" s="624"/>
      <c r="AJ438" s="624"/>
      <c r="AK438" s="624"/>
      <c r="AL438" s="624"/>
      <c r="AM438" s="624"/>
      <c r="AN438" s="624"/>
      <c r="AO438" s="624"/>
      <c r="AP438" s="624"/>
      <c r="AQ438" s="624"/>
      <c r="AR438" s="624"/>
      <c r="AS438" s="624"/>
      <c r="AT438" s="624"/>
    </row>
    <row r="439" ht="15.75" customHeight="1">
      <c r="AH439" s="624"/>
      <c r="AI439" s="624"/>
      <c r="AJ439" s="624"/>
      <c r="AK439" s="624"/>
      <c r="AL439" s="624"/>
      <c r="AM439" s="624"/>
      <c r="AN439" s="624"/>
      <c r="AO439" s="624"/>
      <c r="AP439" s="624"/>
      <c r="AQ439" s="624"/>
      <c r="AR439" s="624"/>
      <c r="AS439" s="624"/>
      <c r="AT439" s="624"/>
    </row>
    <row r="440" ht="15.75" customHeight="1">
      <c r="AH440" s="624"/>
      <c r="AI440" s="624"/>
      <c r="AJ440" s="624"/>
      <c r="AK440" s="624"/>
      <c r="AL440" s="624"/>
      <c r="AM440" s="624"/>
      <c r="AN440" s="624"/>
      <c r="AO440" s="624"/>
      <c r="AP440" s="624"/>
      <c r="AQ440" s="624"/>
      <c r="AR440" s="624"/>
      <c r="AS440" s="624"/>
      <c r="AT440" s="624"/>
    </row>
    <row r="441" ht="15.75" customHeight="1">
      <c r="AH441" s="624"/>
      <c r="AI441" s="624"/>
      <c r="AJ441" s="624"/>
      <c r="AK441" s="624"/>
      <c r="AL441" s="624"/>
      <c r="AM441" s="624"/>
      <c r="AN441" s="624"/>
      <c r="AO441" s="624"/>
      <c r="AP441" s="624"/>
      <c r="AQ441" s="624"/>
      <c r="AR441" s="624"/>
      <c r="AS441" s="624"/>
      <c r="AT441" s="624"/>
    </row>
    <row r="442" ht="15.75" customHeight="1">
      <c r="AH442" s="624"/>
      <c r="AI442" s="624"/>
      <c r="AJ442" s="624"/>
      <c r="AK442" s="624"/>
      <c r="AL442" s="624"/>
      <c r="AM442" s="624"/>
      <c r="AN442" s="624"/>
      <c r="AO442" s="624"/>
      <c r="AP442" s="624"/>
      <c r="AQ442" s="624"/>
      <c r="AR442" s="624"/>
      <c r="AS442" s="624"/>
      <c r="AT442" s="624"/>
    </row>
    <row r="443" ht="15.75" customHeight="1">
      <c r="AH443" s="624"/>
      <c r="AI443" s="624"/>
      <c r="AJ443" s="624"/>
      <c r="AK443" s="624"/>
      <c r="AL443" s="624"/>
      <c r="AM443" s="624"/>
      <c r="AN443" s="624"/>
      <c r="AO443" s="624"/>
      <c r="AP443" s="624"/>
      <c r="AQ443" s="624"/>
      <c r="AR443" s="624"/>
      <c r="AS443" s="624"/>
      <c r="AT443" s="624"/>
    </row>
    <row r="444" ht="15.75" customHeight="1">
      <c r="AH444" s="624"/>
      <c r="AI444" s="624"/>
      <c r="AJ444" s="624"/>
      <c r="AK444" s="624"/>
      <c r="AL444" s="624"/>
      <c r="AM444" s="624"/>
      <c r="AN444" s="624"/>
      <c r="AO444" s="624"/>
      <c r="AP444" s="624"/>
      <c r="AQ444" s="624"/>
      <c r="AR444" s="624"/>
      <c r="AS444" s="624"/>
      <c r="AT444" s="624"/>
    </row>
    <row r="445" ht="15.75" customHeight="1">
      <c r="AH445" s="624"/>
      <c r="AI445" s="624"/>
      <c r="AJ445" s="624"/>
      <c r="AK445" s="624"/>
      <c r="AL445" s="624"/>
      <c r="AM445" s="624"/>
      <c r="AN445" s="624"/>
      <c r="AO445" s="624"/>
      <c r="AP445" s="624"/>
      <c r="AQ445" s="624"/>
      <c r="AR445" s="624"/>
      <c r="AS445" s="624"/>
      <c r="AT445" s="624"/>
    </row>
    <row r="446" ht="15.75" customHeight="1">
      <c r="AH446" s="624"/>
      <c r="AI446" s="624"/>
      <c r="AJ446" s="624"/>
      <c r="AK446" s="624"/>
      <c r="AL446" s="624"/>
      <c r="AM446" s="624"/>
      <c r="AN446" s="624"/>
      <c r="AO446" s="624"/>
      <c r="AP446" s="624"/>
      <c r="AQ446" s="624"/>
      <c r="AR446" s="624"/>
      <c r="AS446" s="624"/>
      <c r="AT446" s="624"/>
    </row>
    <row r="447" ht="15.75" customHeight="1">
      <c r="AH447" s="624"/>
      <c r="AI447" s="624"/>
      <c r="AJ447" s="624"/>
      <c r="AK447" s="624"/>
      <c r="AL447" s="624"/>
      <c r="AM447" s="624"/>
      <c r="AN447" s="624"/>
      <c r="AO447" s="624"/>
      <c r="AP447" s="624"/>
      <c r="AQ447" s="624"/>
      <c r="AR447" s="624"/>
      <c r="AS447" s="624"/>
      <c r="AT447" s="624"/>
    </row>
    <row r="448" ht="15.75" customHeight="1">
      <c r="AH448" s="624"/>
      <c r="AI448" s="624"/>
      <c r="AJ448" s="624"/>
      <c r="AK448" s="624"/>
      <c r="AL448" s="624"/>
      <c r="AM448" s="624"/>
      <c r="AN448" s="624"/>
      <c r="AO448" s="624"/>
      <c r="AP448" s="624"/>
      <c r="AQ448" s="624"/>
      <c r="AR448" s="624"/>
      <c r="AS448" s="624"/>
      <c r="AT448" s="624"/>
    </row>
    <row r="449" ht="15.75" customHeight="1">
      <c r="AH449" s="624"/>
      <c r="AI449" s="624"/>
      <c r="AJ449" s="624"/>
      <c r="AK449" s="624"/>
      <c r="AL449" s="624"/>
      <c r="AM449" s="624"/>
      <c r="AN449" s="624"/>
      <c r="AO449" s="624"/>
      <c r="AP449" s="624"/>
      <c r="AQ449" s="624"/>
      <c r="AR449" s="624"/>
      <c r="AS449" s="624"/>
      <c r="AT449" s="624"/>
    </row>
    <row r="450" ht="15.75" customHeight="1">
      <c r="AH450" s="624"/>
      <c r="AI450" s="624"/>
      <c r="AJ450" s="624"/>
      <c r="AK450" s="624"/>
      <c r="AL450" s="624"/>
      <c r="AM450" s="624"/>
      <c r="AN450" s="624"/>
      <c r="AO450" s="624"/>
      <c r="AP450" s="624"/>
      <c r="AQ450" s="624"/>
      <c r="AR450" s="624"/>
      <c r="AS450" s="624"/>
      <c r="AT450" s="624"/>
    </row>
    <row r="451" ht="15.75" customHeight="1">
      <c r="AH451" s="624"/>
      <c r="AI451" s="624"/>
      <c r="AJ451" s="624"/>
      <c r="AK451" s="624"/>
      <c r="AL451" s="624"/>
      <c r="AM451" s="624"/>
      <c r="AN451" s="624"/>
      <c r="AO451" s="624"/>
      <c r="AP451" s="624"/>
      <c r="AQ451" s="624"/>
      <c r="AR451" s="624"/>
      <c r="AS451" s="624"/>
      <c r="AT451" s="624"/>
    </row>
    <row r="452" ht="15.75" customHeight="1">
      <c r="AH452" s="624"/>
      <c r="AI452" s="624"/>
      <c r="AJ452" s="624"/>
      <c r="AK452" s="624"/>
      <c r="AL452" s="624"/>
      <c r="AM452" s="624"/>
      <c r="AN452" s="624"/>
      <c r="AO452" s="624"/>
      <c r="AP452" s="624"/>
      <c r="AQ452" s="624"/>
      <c r="AR452" s="624"/>
      <c r="AS452" s="624"/>
      <c r="AT452" s="624"/>
    </row>
    <row r="453" ht="15.75" customHeight="1">
      <c r="AH453" s="624"/>
      <c r="AI453" s="624"/>
      <c r="AJ453" s="624"/>
      <c r="AK453" s="624"/>
      <c r="AL453" s="624"/>
      <c r="AM453" s="624"/>
      <c r="AN453" s="624"/>
      <c r="AO453" s="624"/>
      <c r="AP453" s="624"/>
      <c r="AQ453" s="624"/>
      <c r="AR453" s="624"/>
      <c r="AS453" s="624"/>
      <c r="AT453" s="624"/>
    </row>
    <row r="454" ht="15.75" customHeight="1">
      <c r="AH454" s="624"/>
      <c r="AI454" s="624"/>
      <c r="AJ454" s="624"/>
      <c r="AK454" s="624"/>
      <c r="AL454" s="624"/>
      <c r="AM454" s="624"/>
      <c r="AN454" s="624"/>
      <c r="AO454" s="624"/>
      <c r="AP454" s="624"/>
      <c r="AQ454" s="624"/>
      <c r="AR454" s="624"/>
      <c r="AS454" s="624"/>
      <c r="AT454" s="624"/>
    </row>
    <row r="455" ht="15.75" customHeight="1">
      <c r="AH455" s="624"/>
      <c r="AI455" s="624"/>
      <c r="AJ455" s="624"/>
      <c r="AK455" s="624"/>
      <c r="AL455" s="624"/>
      <c r="AM455" s="624"/>
      <c r="AN455" s="624"/>
      <c r="AO455" s="624"/>
      <c r="AP455" s="624"/>
      <c r="AQ455" s="624"/>
      <c r="AR455" s="624"/>
      <c r="AS455" s="624"/>
      <c r="AT455" s="624"/>
    </row>
    <row r="456" ht="15.75" customHeight="1">
      <c r="AH456" s="624"/>
      <c r="AI456" s="624"/>
      <c r="AJ456" s="624"/>
      <c r="AK456" s="624"/>
      <c r="AL456" s="624"/>
      <c r="AM456" s="624"/>
      <c r="AN456" s="624"/>
      <c r="AO456" s="624"/>
      <c r="AP456" s="624"/>
      <c r="AQ456" s="624"/>
      <c r="AR456" s="624"/>
      <c r="AS456" s="624"/>
      <c r="AT456" s="624"/>
    </row>
    <row r="457" ht="15.75" customHeight="1">
      <c r="AH457" s="624"/>
      <c r="AI457" s="624"/>
      <c r="AJ457" s="624"/>
      <c r="AK457" s="624"/>
      <c r="AL457" s="624"/>
      <c r="AM457" s="624"/>
      <c r="AN457" s="624"/>
      <c r="AO457" s="624"/>
      <c r="AP457" s="624"/>
      <c r="AQ457" s="624"/>
      <c r="AR457" s="624"/>
      <c r="AS457" s="624"/>
      <c r="AT457" s="624"/>
    </row>
    <row r="458" ht="15.75" customHeight="1">
      <c r="AH458" s="624"/>
      <c r="AI458" s="624"/>
      <c r="AJ458" s="624"/>
      <c r="AK458" s="624"/>
      <c r="AL458" s="624"/>
      <c r="AM458" s="624"/>
      <c r="AN458" s="624"/>
      <c r="AO458" s="624"/>
      <c r="AP458" s="624"/>
      <c r="AQ458" s="624"/>
      <c r="AR458" s="624"/>
      <c r="AS458" s="624"/>
      <c r="AT458" s="624"/>
    </row>
    <row r="459" ht="15.75" customHeight="1">
      <c r="AH459" s="624"/>
      <c r="AI459" s="624"/>
      <c r="AJ459" s="624"/>
      <c r="AK459" s="624"/>
      <c r="AL459" s="624"/>
      <c r="AM459" s="624"/>
      <c r="AN459" s="624"/>
      <c r="AO459" s="624"/>
      <c r="AP459" s="624"/>
      <c r="AQ459" s="624"/>
      <c r="AR459" s="624"/>
      <c r="AS459" s="624"/>
      <c r="AT459" s="624"/>
    </row>
    <row r="460" ht="15.75" customHeight="1">
      <c r="AH460" s="624"/>
      <c r="AI460" s="624"/>
      <c r="AJ460" s="624"/>
      <c r="AK460" s="624"/>
      <c r="AL460" s="624"/>
      <c r="AM460" s="624"/>
      <c r="AN460" s="624"/>
      <c r="AO460" s="624"/>
      <c r="AP460" s="624"/>
      <c r="AQ460" s="624"/>
      <c r="AR460" s="624"/>
      <c r="AS460" s="624"/>
      <c r="AT460" s="624"/>
    </row>
    <row r="461" ht="15.75" customHeight="1">
      <c r="AH461" s="624"/>
      <c r="AI461" s="624"/>
      <c r="AJ461" s="624"/>
      <c r="AK461" s="624"/>
      <c r="AL461" s="624"/>
      <c r="AM461" s="624"/>
      <c r="AN461" s="624"/>
      <c r="AO461" s="624"/>
      <c r="AP461" s="624"/>
      <c r="AQ461" s="624"/>
      <c r="AR461" s="624"/>
      <c r="AS461" s="624"/>
      <c r="AT461" s="624"/>
    </row>
    <row r="462" ht="15.75" customHeight="1">
      <c r="AH462" s="624"/>
      <c r="AI462" s="624"/>
      <c r="AJ462" s="624"/>
      <c r="AK462" s="624"/>
      <c r="AL462" s="624"/>
      <c r="AM462" s="624"/>
      <c r="AN462" s="624"/>
      <c r="AO462" s="624"/>
      <c r="AP462" s="624"/>
      <c r="AQ462" s="624"/>
      <c r="AR462" s="624"/>
      <c r="AS462" s="624"/>
      <c r="AT462" s="624"/>
    </row>
    <row r="463" ht="15.75" customHeight="1">
      <c r="AH463" s="624"/>
      <c r="AI463" s="624"/>
      <c r="AJ463" s="624"/>
      <c r="AK463" s="624"/>
      <c r="AL463" s="624"/>
      <c r="AM463" s="624"/>
      <c r="AN463" s="624"/>
      <c r="AO463" s="624"/>
      <c r="AP463" s="624"/>
      <c r="AQ463" s="624"/>
      <c r="AR463" s="624"/>
      <c r="AS463" s="624"/>
      <c r="AT463" s="624"/>
    </row>
    <row r="464" ht="15.75" customHeight="1">
      <c r="AH464" s="624"/>
      <c r="AI464" s="624"/>
      <c r="AJ464" s="624"/>
      <c r="AK464" s="624"/>
      <c r="AL464" s="624"/>
      <c r="AM464" s="624"/>
      <c r="AN464" s="624"/>
      <c r="AO464" s="624"/>
      <c r="AP464" s="624"/>
      <c r="AQ464" s="624"/>
      <c r="AR464" s="624"/>
      <c r="AS464" s="624"/>
      <c r="AT464" s="624"/>
    </row>
    <row r="465" ht="15.75" customHeight="1">
      <c r="AH465" s="624"/>
      <c r="AI465" s="624"/>
      <c r="AJ465" s="624"/>
      <c r="AK465" s="624"/>
      <c r="AL465" s="624"/>
      <c r="AM465" s="624"/>
      <c r="AN465" s="624"/>
      <c r="AO465" s="624"/>
      <c r="AP465" s="624"/>
      <c r="AQ465" s="624"/>
      <c r="AR465" s="624"/>
      <c r="AS465" s="624"/>
      <c r="AT465" s="624"/>
    </row>
    <row r="466" ht="15.75" customHeight="1">
      <c r="AH466" s="624"/>
      <c r="AI466" s="624"/>
      <c r="AJ466" s="624"/>
      <c r="AK466" s="624"/>
      <c r="AL466" s="624"/>
      <c r="AM466" s="624"/>
      <c r="AN466" s="624"/>
      <c r="AO466" s="624"/>
      <c r="AP466" s="624"/>
      <c r="AQ466" s="624"/>
      <c r="AR466" s="624"/>
      <c r="AS466" s="624"/>
      <c r="AT466" s="624"/>
    </row>
    <row r="467" ht="15.75" customHeight="1">
      <c r="AH467" s="624"/>
      <c r="AI467" s="624"/>
      <c r="AJ467" s="624"/>
      <c r="AK467" s="624"/>
      <c r="AL467" s="624"/>
      <c r="AM467" s="624"/>
      <c r="AN467" s="624"/>
      <c r="AO467" s="624"/>
      <c r="AP467" s="624"/>
      <c r="AQ467" s="624"/>
      <c r="AR467" s="624"/>
      <c r="AS467" s="624"/>
      <c r="AT467" s="624"/>
    </row>
    <row r="468" ht="15.75" customHeight="1">
      <c r="AH468" s="624"/>
      <c r="AI468" s="624"/>
      <c r="AJ468" s="624"/>
      <c r="AK468" s="624"/>
      <c r="AL468" s="624"/>
      <c r="AM468" s="624"/>
      <c r="AN468" s="624"/>
      <c r="AO468" s="624"/>
      <c r="AP468" s="624"/>
      <c r="AQ468" s="624"/>
      <c r="AR468" s="624"/>
      <c r="AS468" s="624"/>
      <c r="AT468" s="624"/>
    </row>
    <row r="469" ht="15.75" customHeight="1">
      <c r="AH469" s="624"/>
      <c r="AI469" s="624"/>
      <c r="AJ469" s="624"/>
      <c r="AK469" s="624"/>
      <c r="AL469" s="624"/>
      <c r="AM469" s="624"/>
      <c r="AN469" s="624"/>
      <c r="AO469" s="624"/>
      <c r="AP469" s="624"/>
      <c r="AQ469" s="624"/>
      <c r="AR469" s="624"/>
      <c r="AS469" s="624"/>
      <c r="AT469" s="624"/>
    </row>
    <row r="470" ht="15.75" customHeight="1">
      <c r="AH470" s="624"/>
      <c r="AI470" s="624"/>
      <c r="AJ470" s="624"/>
      <c r="AK470" s="624"/>
      <c r="AL470" s="624"/>
      <c r="AM470" s="624"/>
      <c r="AN470" s="624"/>
      <c r="AO470" s="624"/>
      <c r="AP470" s="624"/>
      <c r="AQ470" s="624"/>
      <c r="AR470" s="624"/>
      <c r="AS470" s="624"/>
      <c r="AT470" s="624"/>
    </row>
    <row r="471" ht="15.75" customHeight="1">
      <c r="AH471" s="624"/>
      <c r="AI471" s="624"/>
      <c r="AJ471" s="624"/>
      <c r="AK471" s="624"/>
      <c r="AL471" s="624"/>
      <c r="AM471" s="624"/>
      <c r="AN471" s="624"/>
      <c r="AO471" s="624"/>
      <c r="AP471" s="624"/>
      <c r="AQ471" s="624"/>
      <c r="AR471" s="624"/>
      <c r="AS471" s="624"/>
      <c r="AT471" s="624"/>
    </row>
    <row r="472" ht="15.75" customHeight="1">
      <c r="AH472" s="624"/>
      <c r="AI472" s="624"/>
      <c r="AJ472" s="624"/>
      <c r="AK472" s="624"/>
      <c r="AL472" s="624"/>
      <c r="AM472" s="624"/>
      <c r="AN472" s="624"/>
      <c r="AO472" s="624"/>
      <c r="AP472" s="624"/>
      <c r="AQ472" s="624"/>
      <c r="AR472" s="624"/>
      <c r="AS472" s="624"/>
      <c r="AT472" s="624"/>
    </row>
    <row r="473" ht="15.75" customHeight="1">
      <c r="AH473" s="624"/>
      <c r="AI473" s="624"/>
      <c r="AJ473" s="624"/>
      <c r="AK473" s="624"/>
      <c r="AL473" s="624"/>
      <c r="AM473" s="624"/>
      <c r="AN473" s="624"/>
      <c r="AO473" s="624"/>
      <c r="AP473" s="624"/>
      <c r="AQ473" s="624"/>
      <c r="AR473" s="624"/>
      <c r="AS473" s="624"/>
      <c r="AT473" s="624"/>
    </row>
    <row r="474" ht="15.75" customHeight="1">
      <c r="AH474" s="624"/>
      <c r="AI474" s="624"/>
      <c r="AJ474" s="624"/>
      <c r="AK474" s="624"/>
      <c r="AL474" s="624"/>
      <c r="AM474" s="624"/>
      <c r="AN474" s="624"/>
      <c r="AO474" s="624"/>
      <c r="AP474" s="624"/>
      <c r="AQ474" s="624"/>
      <c r="AR474" s="624"/>
      <c r="AS474" s="624"/>
      <c r="AT474" s="624"/>
    </row>
    <row r="475" ht="15.75" customHeight="1">
      <c r="AH475" s="624"/>
      <c r="AI475" s="624"/>
      <c r="AJ475" s="624"/>
      <c r="AK475" s="624"/>
      <c r="AL475" s="624"/>
      <c r="AM475" s="624"/>
      <c r="AN475" s="624"/>
      <c r="AO475" s="624"/>
      <c r="AP475" s="624"/>
      <c r="AQ475" s="624"/>
      <c r="AR475" s="624"/>
      <c r="AS475" s="624"/>
      <c r="AT475" s="624"/>
    </row>
    <row r="476" ht="15.75" customHeight="1">
      <c r="AH476" s="624"/>
      <c r="AI476" s="624"/>
      <c r="AJ476" s="624"/>
      <c r="AK476" s="624"/>
      <c r="AL476" s="624"/>
      <c r="AM476" s="624"/>
      <c r="AN476" s="624"/>
      <c r="AO476" s="624"/>
      <c r="AP476" s="624"/>
      <c r="AQ476" s="624"/>
      <c r="AR476" s="624"/>
      <c r="AS476" s="624"/>
      <c r="AT476" s="624"/>
    </row>
    <row r="477" ht="15.75" customHeight="1">
      <c r="AH477" s="624"/>
      <c r="AI477" s="624"/>
      <c r="AJ477" s="624"/>
      <c r="AK477" s="624"/>
      <c r="AL477" s="624"/>
      <c r="AM477" s="624"/>
      <c r="AN477" s="624"/>
      <c r="AO477" s="624"/>
      <c r="AP477" s="624"/>
      <c r="AQ477" s="624"/>
      <c r="AR477" s="624"/>
      <c r="AS477" s="624"/>
      <c r="AT477" s="624"/>
    </row>
    <row r="478" ht="15.75" customHeight="1">
      <c r="AH478" s="624"/>
      <c r="AI478" s="624"/>
      <c r="AJ478" s="624"/>
      <c r="AK478" s="624"/>
      <c r="AL478" s="624"/>
      <c r="AM478" s="624"/>
      <c r="AN478" s="624"/>
      <c r="AO478" s="624"/>
      <c r="AP478" s="624"/>
      <c r="AQ478" s="624"/>
      <c r="AR478" s="624"/>
      <c r="AS478" s="624"/>
      <c r="AT478" s="624"/>
    </row>
    <row r="479" ht="15.75" customHeight="1">
      <c r="AH479" s="624"/>
      <c r="AI479" s="624"/>
      <c r="AJ479" s="624"/>
      <c r="AK479" s="624"/>
      <c r="AL479" s="624"/>
      <c r="AM479" s="624"/>
      <c r="AN479" s="624"/>
      <c r="AO479" s="624"/>
      <c r="AP479" s="624"/>
      <c r="AQ479" s="624"/>
      <c r="AR479" s="624"/>
      <c r="AS479" s="624"/>
      <c r="AT479" s="624"/>
    </row>
    <row r="480" ht="15.75" customHeight="1">
      <c r="AH480" s="624"/>
      <c r="AI480" s="624"/>
      <c r="AJ480" s="624"/>
      <c r="AK480" s="624"/>
      <c r="AL480" s="624"/>
      <c r="AM480" s="624"/>
      <c r="AN480" s="624"/>
      <c r="AO480" s="624"/>
      <c r="AP480" s="624"/>
      <c r="AQ480" s="624"/>
      <c r="AR480" s="624"/>
      <c r="AS480" s="624"/>
      <c r="AT480" s="624"/>
    </row>
    <row r="481" ht="15.75" customHeight="1">
      <c r="AH481" s="624"/>
      <c r="AI481" s="624"/>
      <c r="AJ481" s="624"/>
      <c r="AK481" s="624"/>
      <c r="AL481" s="624"/>
      <c r="AM481" s="624"/>
      <c r="AN481" s="624"/>
      <c r="AO481" s="624"/>
      <c r="AP481" s="624"/>
      <c r="AQ481" s="624"/>
      <c r="AR481" s="624"/>
      <c r="AS481" s="624"/>
      <c r="AT481" s="624"/>
    </row>
    <row r="482" ht="15.75" customHeight="1">
      <c r="AH482" s="624"/>
      <c r="AI482" s="624"/>
      <c r="AJ482" s="624"/>
      <c r="AK482" s="624"/>
      <c r="AL482" s="624"/>
      <c r="AM482" s="624"/>
      <c r="AN482" s="624"/>
      <c r="AO482" s="624"/>
      <c r="AP482" s="624"/>
      <c r="AQ482" s="624"/>
      <c r="AR482" s="624"/>
      <c r="AS482" s="624"/>
      <c r="AT482" s="624"/>
    </row>
    <row r="483" ht="15.75" customHeight="1">
      <c r="AH483" s="624"/>
      <c r="AI483" s="624"/>
      <c r="AJ483" s="624"/>
      <c r="AK483" s="624"/>
      <c r="AL483" s="624"/>
      <c r="AM483" s="624"/>
      <c r="AN483" s="624"/>
      <c r="AO483" s="624"/>
      <c r="AP483" s="624"/>
      <c r="AQ483" s="624"/>
      <c r="AR483" s="624"/>
      <c r="AS483" s="624"/>
      <c r="AT483" s="624"/>
    </row>
    <row r="484" ht="15.75" customHeight="1">
      <c r="AH484" s="624"/>
      <c r="AI484" s="624"/>
      <c r="AJ484" s="624"/>
      <c r="AK484" s="624"/>
      <c r="AL484" s="624"/>
      <c r="AM484" s="624"/>
      <c r="AN484" s="624"/>
      <c r="AO484" s="624"/>
      <c r="AP484" s="624"/>
      <c r="AQ484" s="624"/>
      <c r="AR484" s="624"/>
      <c r="AS484" s="624"/>
      <c r="AT484" s="624"/>
    </row>
    <row r="485" ht="15.75" customHeight="1">
      <c r="AH485" s="624"/>
      <c r="AI485" s="624"/>
      <c r="AJ485" s="624"/>
      <c r="AK485" s="624"/>
      <c r="AL485" s="624"/>
      <c r="AM485" s="624"/>
      <c r="AN485" s="624"/>
      <c r="AO485" s="624"/>
      <c r="AP485" s="624"/>
      <c r="AQ485" s="624"/>
      <c r="AR485" s="624"/>
      <c r="AS485" s="624"/>
      <c r="AT485" s="624"/>
    </row>
    <row r="486" ht="15.75" customHeight="1">
      <c r="AH486" s="624"/>
      <c r="AI486" s="624"/>
      <c r="AJ486" s="624"/>
      <c r="AK486" s="624"/>
      <c r="AL486" s="624"/>
      <c r="AM486" s="624"/>
      <c r="AN486" s="624"/>
      <c r="AO486" s="624"/>
      <c r="AP486" s="624"/>
      <c r="AQ486" s="624"/>
      <c r="AR486" s="624"/>
      <c r="AS486" s="624"/>
      <c r="AT486" s="624"/>
    </row>
    <row r="487" ht="15.75" customHeight="1">
      <c r="AH487" s="624"/>
      <c r="AI487" s="624"/>
      <c r="AJ487" s="624"/>
      <c r="AK487" s="624"/>
      <c r="AL487" s="624"/>
      <c r="AM487" s="624"/>
      <c r="AN487" s="624"/>
      <c r="AO487" s="624"/>
      <c r="AP487" s="624"/>
      <c r="AQ487" s="624"/>
      <c r="AR487" s="624"/>
      <c r="AS487" s="624"/>
      <c r="AT487" s="624"/>
    </row>
    <row r="488" ht="15.75" customHeight="1">
      <c r="AH488" s="624"/>
      <c r="AI488" s="624"/>
      <c r="AJ488" s="624"/>
      <c r="AK488" s="624"/>
      <c r="AL488" s="624"/>
      <c r="AM488" s="624"/>
      <c r="AN488" s="624"/>
      <c r="AO488" s="624"/>
      <c r="AP488" s="624"/>
      <c r="AQ488" s="624"/>
      <c r="AR488" s="624"/>
      <c r="AS488" s="624"/>
      <c r="AT488" s="624"/>
    </row>
    <row r="489" ht="15.75" customHeight="1">
      <c r="AH489" s="624"/>
      <c r="AI489" s="624"/>
      <c r="AJ489" s="624"/>
      <c r="AK489" s="624"/>
      <c r="AL489" s="624"/>
      <c r="AM489" s="624"/>
      <c r="AN489" s="624"/>
      <c r="AO489" s="624"/>
      <c r="AP489" s="624"/>
      <c r="AQ489" s="624"/>
      <c r="AR489" s="624"/>
      <c r="AS489" s="624"/>
      <c r="AT489" s="624"/>
    </row>
    <row r="490" ht="15.75" customHeight="1">
      <c r="AH490" s="624"/>
      <c r="AI490" s="624"/>
      <c r="AJ490" s="624"/>
      <c r="AK490" s="624"/>
      <c r="AL490" s="624"/>
      <c r="AM490" s="624"/>
      <c r="AN490" s="624"/>
      <c r="AO490" s="624"/>
      <c r="AP490" s="624"/>
      <c r="AQ490" s="624"/>
      <c r="AR490" s="624"/>
      <c r="AS490" s="624"/>
      <c r="AT490" s="624"/>
    </row>
    <row r="491" ht="15.75" customHeight="1">
      <c r="AH491" s="624"/>
      <c r="AI491" s="624"/>
      <c r="AJ491" s="624"/>
      <c r="AK491" s="624"/>
      <c r="AL491" s="624"/>
      <c r="AM491" s="624"/>
      <c r="AN491" s="624"/>
      <c r="AO491" s="624"/>
      <c r="AP491" s="624"/>
      <c r="AQ491" s="624"/>
      <c r="AR491" s="624"/>
      <c r="AS491" s="624"/>
      <c r="AT491" s="624"/>
    </row>
    <row r="492" ht="15.75" customHeight="1">
      <c r="AH492" s="624"/>
      <c r="AI492" s="624"/>
      <c r="AJ492" s="624"/>
      <c r="AK492" s="624"/>
      <c r="AL492" s="624"/>
      <c r="AM492" s="624"/>
      <c r="AN492" s="624"/>
      <c r="AO492" s="624"/>
      <c r="AP492" s="624"/>
      <c r="AQ492" s="624"/>
      <c r="AR492" s="624"/>
      <c r="AS492" s="624"/>
      <c r="AT492" s="624"/>
    </row>
    <row r="493" ht="15.75" customHeight="1">
      <c r="AH493" s="624"/>
      <c r="AI493" s="624"/>
      <c r="AJ493" s="624"/>
      <c r="AK493" s="624"/>
      <c r="AL493" s="624"/>
      <c r="AM493" s="624"/>
      <c r="AN493" s="624"/>
      <c r="AO493" s="624"/>
      <c r="AP493" s="624"/>
      <c r="AQ493" s="624"/>
      <c r="AR493" s="624"/>
      <c r="AS493" s="624"/>
      <c r="AT493" s="624"/>
    </row>
    <row r="494" ht="15.75" customHeight="1">
      <c r="AH494" s="624"/>
      <c r="AI494" s="624"/>
      <c r="AJ494" s="624"/>
      <c r="AK494" s="624"/>
      <c r="AL494" s="624"/>
      <c r="AM494" s="624"/>
      <c r="AN494" s="624"/>
      <c r="AO494" s="624"/>
      <c r="AP494" s="624"/>
      <c r="AQ494" s="624"/>
      <c r="AR494" s="624"/>
      <c r="AS494" s="624"/>
      <c r="AT494" s="624"/>
    </row>
    <row r="495" ht="15.75" customHeight="1">
      <c r="AH495" s="624"/>
      <c r="AI495" s="624"/>
      <c r="AJ495" s="624"/>
      <c r="AK495" s="624"/>
      <c r="AL495" s="624"/>
      <c r="AM495" s="624"/>
      <c r="AN495" s="624"/>
      <c r="AO495" s="624"/>
      <c r="AP495" s="624"/>
      <c r="AQ495" s="624"/>
      <c r="AR495" s="624"/>
      <c r="AS495" s="624"/>
      <c r="AT495" s="624"/>
    </row>
    <row r="496" ht="15.75" customHeight="1">
      <c r="AH496" s="624"/>
      <c r="AI496" s="624"/>
      <c r="AJ496" s="624"/>
      <c r="AK496" s="624"/>
      <c r="AL496" s="624"/>
      <c r="AM496" s="624"/>
      <c r="AN496" s="624"/>
      <c r="AO496" s="624"/>
      <c r="AP496" s="624"/>
      <c r="AQ496" s="624"/>
      <c r="AR496" s="624"/>
      <c r="AS496" s="624"/>
      <c r="AT496" s="624"/>
    </row>
    <row r="497" ht="15.75" customHeight="1">
      <c r="AH497" s="624"/>
      <c r="AI497" s="624"/>
      <c r="AJ497" s="624"/>
      <c r="AK497" s="624"/>
      <c r="AL497" s="624"/>
      <c r="AM497" s="624"/>
      <c r="AN497" s="624"/>
      <c r="AO497" s="624"/>
      <c r="AP497" s="624"/>
      <c r="AQ497" s="624"/>
      <c r="AR497" s="624"/>
      <c r="AS497" s="624"/>
      <c r="AT497" s="624"/>
    </row>
    <row r="498" ht="15.75" customHeight="1">
      <c r="AH498" s="624"/>
      <c r="AI498" s="624"/>
      <c r="AJ498" s="624"/>
      <c r="AK498" s="624"/>
      <c r="AL498" s="624"/>
      <c r="AM498" s="624"/>
      <c r="AN498" s="624"/>
      <c r="AO498" s="624"/>
      <c r="AP498" s="624"/>
      <c r="AQ498" s="624"/>
      <c r="AR498" s="624"/>
      <c r="AS498" s="624"/>
      <c r="AT498" s="624"/>
    </row>
    <row r="499" ht="15.75" customHeight="1">
      <c r="AH499" s="624"/>
      <c r="AI499" s="624"/>
      <c r="AJ499" s="624"/>
      <c r="AK499" s="624"/>
      <c r="AL499" s="624"/>
      <c r="AM499" s="624"/>
      <c r="AN499" s="624"/>
      <c r="AO499" s="624"/>
      <c r="AP499" s="624"/>
      <c r="AQ499" s="624"/>
      <c r="AR499" s="624"/>
      <c r="AS499" s="624"/>
      <c r="AT499" s="624"/>
    </row>
    <row r="500" ht="15.75" customHeight="1">
      <c r="AH500" s="624"/>
      <c r="AI500" s="624"/>
      <c r="AJ500" s="624"/>
      <c r="AK500" s="624"/>
      <c r="AL500" s="624"/>
      <c r="AM500" s="624"/>
      <c r="AN500" s="624"/>
      <c r="AO500" s="624"/>
      <c r="AP500" s="624"/>
      <c r="AQ500" s="624"/>
      <c r="AR500" s="624"/>
      <c r="AS500" s="624"/>
      <c r="AT500" s="624"/>
    </row>
    <row r="501" ht="15.75" customHeight="1">
      <c r="AH501" s="624"/>
      <c r="AI501" s="624"/>
      <c r="AJ501" s="624"/>
      <c r="AK501" s="624"/>
      <c r="AL501" s="624"/>
      <c r="AM501" s="624"/>
      <c r="AN501" s="624"/>
      <c r="AO501" s="624"/>
      <c r="AP501" s="624"/>
      <c r="AQ501" s="624"/>
      <c r="AR501" s="624"/>
      <c r="AS501" s="624"/>
      <c r="AT501" s="624"/>
    </row>
    <row r="502" ht="15.75" customHeight="1">
      <c r="AH502" s="624"/>
      <c r="AI502" s="624"/>
      <c r="AJ502" s="624"/>
      <c r="AK502" s="624"/>
      <c r="AL502" s="624"/>
      <c r="AM502" s="624"/>
      <c r="AN502" s="624"/>
      <c r="AO502" s="624"/>
      <c r="AP502" s="624"/>
      <c r="AQ502" s="624"/>
      <c r="AR502" s="624"/>
      <c r="AS502" s="624"/>
      <c r="AT502" s="624"/>
    </row>
    <row r="503" ht="15.75" customHeight="1">
      <c r="AH503" s="624"/>
      <c r="AI503" s="624"/>
      <c r="AJ503" s="624"/>
      <c r="AK503" s="624"/>
      <c r="AL503" s="624"/>
      <c r="AM503" s="624"/>
      <c r="AN503" s="624"/>
      <c r="AO503" s="624"/>
      <c r="AP503" s="624"/>
      <c r="AQ503" s="624"/>
      <c r="AR503" s="624"/>
      <c r="AS503" s="624"/>
      <c r="AT503" s="624"/>
    </row>
    <row r="504" ht="15.75" customHeight="1">
      <c r="AH504" s="624"/>
      <c r="AI504" s="624"/>
      <c r="AJ504" s="624"/>
      <c r="AK504" s="624"/>
      <c r="AL504" s="624"/>
      <c r="AM504" s="624"/>
      <c r="AN504" s="624"/>
      <c r="AO504" s="624"/>
      <c r="AP504" s="624"/>
      <c r="AQ504" s="624"/>
      <c r="AR504" s="624"/>
      <c r="AS504" s="624"/>
      <c r="AT504" s="624"/>
    </row>
    <row r="505" ht="15.75" customHeight="1">
      <c r="AH505" s="624"/>
      <c r="AI505" s="624"/>
      <c r="AJ505" s="624"/>
      <c r="AK505" s="624"/>
      <c r="AL505" s="624"/>
      <c r="AM505" s="624"/>
      <c r="AN505" s="624"/>
      <c r="AO505" s="624"/>
      <c r="AP505" s="624"/>
      <c r="AQ505" s="624"/>
      <c r="AR505" s="624"/>
      <c r="AS505" s="624"/>
      <c r="AT505" s="624"/>
    </row>
    <row r="506" ht="15.75" customHeight="1">
      <c r="AH506" s="624"/>
      <c r="AI506" s="624"/>
      <c r="AJ506" s="624"/>
      <c r="AK506" s="624"/>
      <c r="AL506" s="624"/>
      <c r="AM506" s="624"/>
      <c r="AN506" s="624"/>
      <c r="AO506" s="624"/>
      <c r="AP506" s="624"/>
      <c r="AQ506" s="624"/>
      <c r="AR506" s="624"/>
      <c r="AS506" s="624"/>
      <c r="AT506" s="624"/>
    </row>
    <row r="507" ht="15.75" customHeight="1">
      <c r="AH507" s="624"/>
      <c r="AI507" s="624"/>
      <c r="AJ507" s="624"/>
      <c r="AK507" s="624"/>
      <c r="AL507" s="624"/>
      <c r="AM507" s="624"/>
      <c r="AN507" s="624"/>
      <c r="AO507" s="624"/>
      <c r="AP507" s="624"/>
      <c r="AQ507" s="624"/>
      <c r="AR507" s="624"/>
      <c r="AS507" s="624"/>
      <c r="AT507" s="624"/>
    </row>
    <row r="508" ht="15.75" customHeight="1">
      <c r="AH508" s="624"/>
      <c r="AI508" s="624"/>
      <c r="AJ508" s="624"/>
      <c r="AK508" s="624"/>
      <c r="AL508" s="624"/>
      <c r="AM508" s="624"/>
      <c r="AN508" s="624"/>
      <c r="AO508" s="624"/>
      <c r="AP508" s="624"/>
      <c r="AQ508" s="624"/>
      <c r="AR508" s="624"/>
      <c r="AS508" s="624"/>
      <c r="AT508" s="624"/>
    </row>
    <row r="509" ht="15.75" customHeight="1">
      <c r="AH509" s="624"/>
      <c r="AI509" s="624"/>
      <c r="AJ509" s="624"/>
      <c r="AK509" s="624"/>
      <c r="AL509" s="624"/>
      <c r="AM509" s="624"/>
      <c r="AN509" s="624"/>
      <c r="AO509" s="624"/>
      <c r="AP509" s="624"/>
      <c r="AQ509" s="624"/>
      <c r="AR509" s="624"/>
      <c r="AS509" s="624"/>
      <c r="AT509" s="624"/>
    </row>
    <row r="510" ht="15.75" customHeight="1">
      <c r="AH510" s="624"/>
      <c r="AI510" s="624"/>
      <c r="AJ510" s="624"/>
      <c r="AK510" s="624"/>
      <c r="AL510" s="624"/>
      <c r="AM510" s="624"/>
      <c r="AN510" s="624"/>
      <c r="AO510" s="624"/>
      <c r="AP510" s="624"/>
      <c r="AQ510" s="624"/>
      <c r="AR510" s="624"/>
      <c r="AS510" s="624"/>
      <c r="AT510" s="624"/>
    </row>
    <row r="511" ht="15.75" customHeight="1">
      <c r="AH511" s="624"/>
      <c r="AI511" s="624"/>
      <c r="AJ511" s="624"/>
      <c r="AK511" s="624"/>
      <c r="AL511" s="624"/>
      <c r="AM511" s="624"/>
      <c r="AN511" s="624"/>
      <c r="AO511" s="624"/>
      <c r="AP511" s="624"/>
      <c r="AQ511" s="624"/>
      <c r="AR511" s="624"/>
      <c r="AS511" s="624"/>
      <c r="AT511" s="624"/>
    </row>
    <row r="512" ht="15.75" customHeight="1">
      <c r="AH512" s="624"/>
      <c r="AI512" s="624"/>
      <c r="AJ512" s="624"/>
      <c r="AK512" s="624"/>
      <c r="AL512" s="624"/>
      <c r="AM512" s="624"/>
      <c r="AN512" s="624"/>
      <c r="AO512" s="624"/>
      <c r="AP512" s="624"/>
      <c r="AQ512" s="624"/>
      <c r="AR512" s="624"/>
      <c r="AS512" s="624"/>
      <c r="AT512" s="624"/>
    </row>
    <row r="513" ht="15.75" customHeight="1">
      <c r="AH513" s="624"/>
      <c r="AI513" s="624"/>
      <c r="AJ513" s="624"/>
      <c r="AK513" s="624"/>
      <c r="AL513" s="624"/>
      <c r="AM513" s="624"/>
      <c r="AN513" s="624"/>
      <c r="AO513" s="624"/>
      <c r="AP513" s="624"/>
      <c r="AQ513" s="624"/>
      <c r="AR513" s="624"/>
      <c r="AS513" s="624"/>
      <c r="AT513" s="624"/>
    </row>
    <row r="514" ht="15.75" customHeight="1">
      <c r="AH514" s="624"/>
      <c r="AI514" s="624"/>
      <c r="AJ514" s="624"/>
      <c r="AK514" s="624"/>
      <c r="AL514" s="624"/>
      <c r="AM514" s="624"/>
      <c r="AN514" s="624"/>
      <c r="AO514" s="624"/>
      <c r="AP514" s="624"/>
      <c r="AQ514" s="624"/>
      <c r="AR514" s="624"/>
      <c r="AS514" s="624"/>
      <c r="AT514" s="624"/>
    </row>
    <row r="515" ht="15.75" customHeight="1">
      <c r="AH515" s="624"/>
      <c r="AI515" s="624"/>
      <c r="AJ515" s="624"/>
      <c r="AK515" s="624"/>
      <c r="AL515" s="624"/>
      <c r="AM515" s="624"/>
      <c r="AN515" s="624"/>
      <c r="AO515" s="624"/>
      <c r="AP515" s="624"/>
      <c r="AQ515" s="624"/>
      <c r="AR515" s="624"/>
      <c r="AS515" s="624"/>
      <c r="AT515" s="624"/>
    </row>
    <row r="516" ht="15.75" customHeight="1">
      <c r="AH516" s="624"/>
      <c r="AI516" s="624"/>
      <c r="AJ516" s="624"/>
      <c r="AK516" s="624"/>
      <c r="AL516" s="624"/>
      <c r="AM516" s="624"/>
      <c r="AN516" s="624"/>
      <c r="AO516" s="624"/>
      <c r="AP516" s="624"/>
      <c r="AQ516" s="624"/>
      <c r="AR516" s="624"/>
      <c r="AS516" s="624"/>
      <c r="AT516" s="624"/>
    </row>
    <row r="517" ht="15.75" customHeight="1">
      <c r="AH517" s="624"/>
      <c r="AI517" s="624"/>
      <c r="AJ517" s="624"/>
      <c r="AK517" s="624"/>
      <c r="AL517" s="624"/>
      <c r="AM517" s="624"/>
      <c r="AN517" s="624"/>
      <c r="AO517" s="624"/>
      <c r="AP517" s="624"/>
      <c r="AQ517" s="624"/>
      <c r="AR517" s="624"/>
      <c r="AS517" s="624"/>
      <c r="AT517" s="624"/>
    </row>
    <row r="518" ht="15.75" customHeight="1">
      <c r="AH518" s="624"/>
      <c r="AI518" s="624"/>
      <c r="AJ518" s="624"/>
      <c r="AK518" s="624"/>
      <c r="AL518" s="624"/>
      <c r="AM518" s="624"/>
      <c r="AN518" s="624"/>
      <c r="AO518" s="624"/>
      <c r="AP518" s="624"/>
      <c r="AQ518" s="624"/>
      <c r="AR518" s="624"/>
      <c r="AS518" s="624"/>
      <c r="AT518" s="624"/>
    </row>
    <row r="519" ht="15.75" customHeight="1">
      <c r="AH519" s="624"/>
      <c r="AI519" s="624"/>
      <c r="AJ519" s="624"/>
      <c r="AK519" s="624"/>
      <c r="AL519" s="624"/>
      <c r="AM519" s="624"/>
      <c r="AN519" s="624"/>
      <c r="AO519" s="624"/>
      <c r="AP519" s="624"/>
      <c r="AQ519" s="624"/>
      <c r="AR519" s="624"/>
      <c r="AS519" s="624"/>
      <c r="AT519" s="624"/>
    </row>
    <row r="520" ht="15.75" customHeight="1">
      <c r="AH520" s="624"/>
      <c r="AI520" s="624"/>
      <c r="AJ520" s="624"/>
      <c r="AK520" s="624"/>
      <c r="AL520" s="624"/>
      <c r="AM520" s="624"/>
      <c r="AN520" s="624"/>
      <c r="AO520" s="624"/>
      <c r="AP520" s="624"/>
      <c r="AQ520" s="624"/>
      <c r="AR520" s="624"/>
      <c r="AS520" s="624"/>
      <c r="AT520" s="624"/>
    </row>
    <row r="521" ht="15.75" customHeight="1">
      <c r="AH521" s="624"/>
      <c r="AI521" s="624"/>
      <c r="AJ521" s="624"/>
      <c r="AK521" s="624"/>
      <c r="AL521" s="624"/>
      <c r="AM521" s="624"/>
      <c r="AN521" s="624"/>
      <c r="AO521" s="624"/>
      <c r="AP521" s="624"/>
      <c r="AQ521" s="624"/>
      <c r="AR521" s="624"/>
      <c r="AS521" s="624"/>
      <c r="AT521" s="624"/>
    </row>
    <row r="522" ht="15.75" customHeight="1">
      <c r="AH522" s="624"/>
      <c r="AI522" s="624"/>
      <c r="AJ522" s="624"/>
      <c r="AK522" s="624"/>
      <c r="AL522" s="624"/>
      <c r="AM522" s="624"/>
      <c r="AN522" s="624"/>
      <c r="AO522" s="624"/>
      <c r="AP522" s="624"/>
      <c r="AQ522" s="624"/>
      <c r="AR522" s="624"/>
      <c r="AS522" s="624"/>
      <c r="AT522" s="624"/>
    </row>
    <row r="523" ht="15.75" customHeight="1">
      <c r="AH523" s="624"/>
      <c r="AI523" s="624"/>
      <c r="AJ523" s="624"/>
      <c r="AK523" s="624"/>
      <c r="AL523" s="624"/>
      <c r="AM523" s="624"/>
      <c r="AN523" s="624"/>
      <c r="AO523" s="624"/>
      <c r="AP523" s="624"/>
      <c r="AQ523" s="624"/>
      <c r="AR523" s="624"/>
      <c r="AS523" s="624"/>
      <c r="AT523" s="624"/>
    </row>
    <row r="524" ht="15.75" customHeight="1">
      <c r="AH524" s="624"/>
      <c r="AI524" s="624"/>
      <c r="AJ524" s="624"/>
      <c r="AK524" s="624"/>
      <c r="AL524" s="624"/>
      <c r="AM524" s="624"/>
      <c r="AN524" s="624"/>
      <c r="AO524" s="624"/>
      <c r="AP524" s="624"/>
      <c r="AQ524" s="624"/>
      <c r="AR524" s="624"/>
      <c r="AS524" s="624"/>
      <c r="AT524" s="624"/>
    </row>
    <row r="525" ht="15.75" customHeight="1">
      <c r="AH525" s="624"/>
      <c r="AI525" s="624"/>
      <c r="AJ525" s="624"/>
      <c r="AK525" s="624"/>
      <c r="AL525" s="624"/>
      <c r="AM525" s="624"/>
      <c r="AN525" s="624"/>
      <c r="AO525" s="624"/>
      <c r="AP525" s="624"/>
      <c r="AQ525" s="624"/>
      <c r="AR525" s="624"/>
      <c r="AS525" s="624"/>
      <c r="AT525" s="624"/>
    </row>
    <row r="526" ht="15.75" customHeight="1">
      <c r="AH526" s="624"/>
      <c r="AI526" s="624"/>
      <c r="AJ526" s="624"/>
      <c r="AK526" s="624"/>
      <c r="AL526" s="624"/>
      <c r="AM526" s="624"/>
      <c r="AN526" s="624"/>
      <c r="AO526" s="624"/>
      <c r="AP526" s="624"/>
      <c r="AQ526" s="624"/>
      <c r="AR526" s="624"/>
      <c r="AS526" s="624"/>
      <c r="AT526" s="624"/>
    </row>
    <row r="527" ht="15.75" customHeight="1">
      <c r="AH527" s="624"/>
      <c r="AI527" s="624"/>
      <c r="AJ527" s="624"/>
      <c r="AK527" s="624"/>
      <c r="AL527" s="624"/>
      <c r="AM527" s="624"/>
      <c r="AN527" s="624"/>
      <c r="AO527" s="624"/>
      <c r="AP527" s="624"/>
      <c r="AQ527" s="624"/>
      <c r="AR527" s="624"/>
      <c r="AS527" s="624"/>
      <c r="AT527" s="624"/>
    </row>
    <row r="528" ht="15.75" customHeight="1">
      <c r="AH528" s="624"/>
      <c r="AI528" s="624"/>
      <c r="AJ528" s="624"/>
      <c r="AK528" s="624"/>
      <c r="AL528" s="624"/>
      <c r="AM528" s="624"/>
      <c r="AN528" s="624"/>
      <c r="AO528" s="624"/>
      <c r="AP528" s="624"/>
      <c r="AQ528" s="624"/>
      <c r="AR528" s="624"/>
      <c r="AS528" s="624"/>
      <c r="AT528" s="624"/>
    </row>
    <row r="529" ht="15.75" customHeight="1">
      <c r="AH529" s="624"/>
      <c r="AI529" s="624"/>
      <c r="AJ529" s="624"/>
      <c r="AK529" s="624"/>
      <c r="AL529" s="624"/>
      <c r="AM529" s="624"/>
      <c r="AN529" s="624"/>
      <c r="AO529" s="624"/>
      <c r="AP529" s="624"/>
      <c r="AQ529" s="624"/>
      <c r="AR529" s="624"/>
      <c r="AS529" s="624"/>
      <c r="AT529" s="624"/>
    </row>
    <row r="530" ht="15.75" customHeight="1">
      <c r="AH530" s="624"/>
      <c r="AI530" s="624"/>
      <c r="AJ530" s="624"/>
      <c r="AK530" s="624"/>
      <c r="AL530" s="624"/>
      <c r="AM530" s="624"/>
      <c r="AN530" s="624"/>
      <c r="AO530" s="624"/>
      <c r="AP530" s="624"/>
      <c r="AQ530" s="624"/>
      <c r="AR530" s="624"/>
      <c r="AS530" s="624"/>
      <c r="AT530" s="624"/>
    </row>
    <row r="531" ht="15.75" customHeight="1">
      <c r="AH531" s="624"/>
      <c r="AI531" s="624"/>
      <c r="AJ531" s="624"/>
      <c r="AK531" s="624"/>
      <c r="AL531" s="624"/>
      <c r="AM531" s="624"/>
      <c r="AN531" s="624"/>
      <c r="AO531" s="624"/>
      <c r="AP531" s="624"/>
      <c r="AQ531" s="624"/>
      <c r="AR531" s="624"/>
      <c r="AS531" s="624"/>
      <c r="AT531" s="624"/>
    </row>
    <row r="532" ht="15.75" customHeight="1">
      <c r="AH532" s="624"/>
      <c r="AI532" s="624"/>
      <c r="AJ532" s="624"/>
      <c r="AK532" s="624"/>
      <c r="AL532" s="624"/>
      <c r="AM532" s="624"/>
      <c r="AN532" s="624"/>
      <c r="AO532" s="624"/>
      <c r="AP532" s="624"/>
      <c r="AQ532" s="624"/>
      <c r="AR532" s="624"/>
      <c r="AS532" s="624"/>
      <c r="AT532" s="624"/>
    </row>
    <row r="533" ht="15.75" customHeight="1">
      <c r="AH533" s="624"/>
      <c r="AI533" s="624"/>
      <c r="AJ533" s="624"/>
      <c r="AK533" s="624"/>
      <c r="AL533" s="624"/>
      <c r="AM533" s="624"/>
      <c r="AN533" s="624"/>
      <c r="AO533" s="624"/>
      <c r="AP533" s="624"/>
      <c r="AQ533" s="624"/>
      <c r="AR533" s="624"/>
      <c r="AS533" s="624"/>
      <c r="AT533" s="624"/>
    </row>
    <row r="534" ht="15.75" customHeight="1">
      <c r="AH534" s="624"/>
      <c r="AI534" s="624"/>
      <c r="AJ534" s="624"/>
      <c r="AK534" s="624"/>
      <c r="AL534" s="624"/>
      <c r="AM534" s="624"/>
      <c r="AN534" s="624"/>
      <c r="AO534" s="624"/>
      <c r="AP534" s="624"/>
      <c r="AQ534" s="624"/>
      <c r="AR534" s="624"/>
      <c r="AS534" s="624"/>
      <c r="AT534" s="624"/>
    </row>
    <row r="535" ht="15.75" customHeight="1">
      <c r="AH535" s="624"/>
      <c r="AI535" s="624"/>
      <c r="AJ535" s="624"/>
      <c r="AK535" s="624"/>
      <c r="AL535" s="624"/>
      <c r="AM535" s="624"/>
      <c r="AN535" s="624"/>
      <c r="AO535" s="624"/>
      <c r="AP535" s="624"/>
      <c r="AQ535" s="624"/>
      <c r="AR535" s="624"/>
      <c r="AS535" s="624"/>
      <c r="AT535" s="624"/>
    </row>
    <row r="536" ht="15.75" customHeight="1">
      <c r="AH536" s="624"/>
      <c r="AI536" s="624"/>
      <c r="AJ536" s="624"/>
      <c r="AK536" s="624"/>
      <c r="AL536" s="624"/>
      <c r="AM536" s="624"/>
      <c r="AN536" s="624"/>
      <c r="AO536" s="624"/>
      <c r="AP536" s="624"/>
      <c r="AQ536" s="624"/>
      <c r="AR536" s="624"/>
      <c r="AS536" s="624"/>
      <c r="AT536" s="624"/>
    </row>
    <row r="537" ht="15.75" customHeight="1">
      <c r="AH537" s="624"/>
      <c r="AI537" s="624"/>
      <c r="AJ537" s="624"/>
      <c r="AK537" s="624"/>
      <c r="AL537" s="624"/>
      <c r="AM537" s="624"/>
      <c r="AN537" s="624"/>
      <c r="AO537" s="624"/>
      <c r="AP537" s="624"/>
      <c r="AQ537" s="624"/>
      <c r="AR537" s="624"/>
      <c r="AS537" s="624"/>
      <c r="AT537" s="624"/>
    </row>
    <row r="538" ht="15.75" customHeight="1">
      <c r="AH538" s="624"/>
      <c r="AI538" s="624"/>
      <c r="AJ538" s="624"/>
      <c r="AK538" s="624"/>
      <c r="AL538" s="624"/>
      <c r="AM538" s="624"/>
      <c r="AN538" s="624"/>
      <c r="AO538" s="624"/>
      <c r="AP538" s="624"/>
      <c r="AQ538" s="624"/>
      <c r="AR538" s="624"/>
      <c r="AS538" s="624"/>
      <c r="AT538" s="624"/>
    </row>
    <row r="539" ht="15.75" customHeight="1">
      <c r="AH539" s="624"/>
      <c r="AI539" s="624"/>
      <c r="AJ539" s="624"/>
      <c r="AK539" s="624"/>
      <c r="AL539" s="624"/>
      <c r="AM539" s="624"/>
      <c r="AN539" s="624"/>
      <c r="AO539" s="624"/>
      <c r="AP539" s="624"/>
      <c r="AQ539" s="624"/>
      <c r="AR539" s="624"/>
      <c r="AS539" s="624"/>
      <c r="AT539" s="624"/>
    </row>
    <row r="540" ht="15.75" customHeight="1">
      <c r="AH540" s="624"/>
      <c r="AI540" s="624"/>
      <c r="AJ540" s="624"/>
      <c r="AK540" s="624"/>
      <c r="AL540" s="624"/>
      <c r="AM540" s="624"/>
      <c r="AN540" s="624"/>
      <c r="AO540" s="624"/>
      <c r="AP540" s="624"/>
      <c r="AQ540" s="624"/>
      <c r="AR540" s="624"/>
      <c r="AS540" s="624"/>
      <c r="AT540" s="624"/>
    </row>
    <row r="541" ht="15.75" customHeight="1">
      <c r="AH541" s="624"/>
      <c r="AI541" s="624"/>
      <c r="AJ541" s="624"/>
      <c r="AK541" s="624"/>
      <c r="AL541" s="624"/>
      <c r="AM541" s="624"/>
      <c r="AN541" s="624"/>
      <c r="AO541" s="624"/>
      <c r="AP541" s="624"/>
      <c r="AQ541" s="624"/>
      <c r="AR541" s="624"/>
      <c r="AS541" s="624"/>
      <c r="AT541" s="624"/>
    </row>
    <row r="542" ht="15.75" customHeight="1">
      <c r="AH542" s="624"/>
      <c r="AI542" s="624"/>
      <c r="AJ542" s="624"/>
      <c r="AK542" s="624"/>
      <c r="AL542" s="624"/>
      <c r="AM542" s="624"/>
      <c r="AN542" s="624"/>
      <c r="AO542" s="624"/>
      <c r="AP542" s="624"/>
      <c r="AQ542" s="624"/>
      <c r="AR542" s="624"/>
      <c r="AS542" s="624"/>
      <c r="AT542" s="624"/>
    </row>
    <row r="543" ht="15.75" customHeight="1">
      <c r="AH543" s="624"/>
      <c r="AI543" s="624"/>
      <c r="AJ543" s="624"/>
      <c r="AK543" s="624"/>
      <c r="AL543" s="624"/>
      <c r="AM543" s="624"/>
      <c r="AN543" s="624"/>
      <c r="AO543" s="624"/>
      <c r="AP543" s="624"/>
      <c r="AQ543" s="624"/>
      <c r="AR543" s="624"/>
      <c r="AS543" s="624"/>
      <c r="AT543" s="624"/>
    </row>
    <row r="544" ht="15.75" customHeight="1">
      <c r="AH544" s="624"/>
      <c r="AI544" s="624"/>
      <c r="AJ544" s="624"/>
      <c r="AK544" s="624"/>
      <c r="AL544" s="624"/>
      <c r="AM544" s="624"/>
      <c r="AN544" s="624"/>
      <c r="AO544" s="624"/>
      <c r="AP544" s="624"/>
      <c r="AQ544" s="624"/>
      <c r="AR544" s="624"/>
      <c r="AS544" s="624"/>
      <c r="AT544" s="624"/>
    </row>
    <row r="545" ht="15.75" customHeight="1">
      <c r="AH545" s="624"/>
      <c r="AI545" s="624"/>
      <c r="AJ545" s="624"/>
      <c r="AK545" s="624"/>
      <c r="AL545" s="624"/>
      <c r="AM545" s="624"/>
      <c r="AN545" s="624"/>
      <c r="AO545" s="624"/>
      <c r="AP545" s="624"/>
      <c r="AQ545" s="624"/>
      <c r="AR545" s="624"/>
      <c r="AS545" s="624"/>
      <c r="AT545" s="624"/>
    </row>
    <row r="546" ht="15.75" customHeight="1">
      <c r="AH546" s="624"/>
      <c r="AI546" s="624"/>
      <c r="AJ546" s="624"/>
      <c r="AK546" s="624"/>
      <c r="AL546" s="624"/>
      <c r="AM546" s="624"/>
      <c r="AN546" s="624"/>
      <c r="AO546" s="624"/>
      <c r="AP546" s="624"/>
      <c r="AQ546" s="624"/>
      <c r="AR546" s="624"/>
      <c r="AS546" s="624"/>
      <c r="AT546" s="624"/>
    </row>
    <row r="547" ht="15.75" customHeight="1">
      <c r="AH547" s="624"/>
      <c r="AI547" s="624"/>
      <c r="AJ547" s="624"/>
      <c r="AK547" s="624"/>
      <c r="AL547" s="624"/>
      <c r="AM547" s="624"/>
      <c r="AN547" s="624"/>
      <c r="AO547" s="624"/>
      <c r="AP547" s="624"/>
      <c r="AQ547" s="624"/>
      <c r="AR547" s="624"/>
      <c r="AS547" s="624"/>
      <c r="AT547" s="624"/>
    </row>
    <row r="548" ht="15.75" customHeight="1">
      <c r="AH548" s="624"/>
      <c r="AI548" s="624"/>
      <c r="AJ548" s="624"/>
      <c r="AK548" s="624"/>
      <c r="AL548" s="624"/>
      <c r="AM548" s="624"/>
      <c r="AN548" s="624"/>
      <c r="AO548" s="624"/>
      <c r="AP548" s="624"/>
      <c r="AQ548" s="624"/>
      <c r="AR548" s="624"/>
      <c r="AS548" s="624"/>
      <c r="AT548" s="624"/>
    </row>
    <row r="549" ht="15.75" customHeight="1">
      <c r="AH549" s="624"/>
      <c r="AI549" s="624"/>
      <c r="AJ549" s="624"/>
      <c r="AK549" s="624"/>
      <c r="AL549" s="624"/>
      <c r="AM549" s="624"/>
      <c r="AN549" s="624"/>
      <c r="AO549" s="624"/>
      <c r="AP549" s="624"/>
      <c r="AQ549" s="624"/>
      <c r="AR549" s="624"/>
      <c r="AS549" s="624"/>
      <c r="AT549" s="624"/>
    </row>
    <row r="550" ht="15.75" customHeight="1">
      <c r="AH550" s="624"/>
      <c r="AI550" s="624"/>
      <c r="AJ550" s="624"/>
      <c r="AK550" s="624"/>
      <c r="AL550" s="624"/>
      <c r="AM550" s="624"/>
      <c r="AN550" s="624"/>
      <c r="AO550" s="624"/>
      <c r="AP550" s="624"/>
      <c r="AQ550" s="624"/>
      <c r="AR550" s="624"/>
      <c r="AS550" s="624"/>
      <c r="AT550" s="624"/>
    </row>
    <row r="551" ht="15.75" customHeight="1">
      <c r="AH551" s="624"/>
      <c r="AI551" s="624"/>
      <c r="AJ551" s="624"/>
      <c r="AK551" s="624"/>
      <c r="AL551" s="624"/>
      <c r="AM551" s="624"/>
      <c r="AN551" s="624"/>
      <c r="AO551" s="624"/>
      <c r="AP551" s="624"/>
      <c r="AQ551" s="624"/>
      <c r="AR551" s="624"/>
      <c r="AS551" s="624"/>
      <c r="AT551" s="624"/>
    </row>
    <row r="552" ht="15.75" customHeight="1">
      <c r="AH552" s="624"/>
      <c r="AI552" s="624"/>
      <c r="AJ552" s="624"/>
      <c r="AK552" s="624"/>
      <c r="AL552" s="624"/>
      <c r="AM552" s="624"/>
      <c r="AN552" s="624"/>
      <c r="AO552" s="624"/>
      <c r="AP552" s="624"/>
      <c r="AQ552" s="624"/>
      <c r="AR552" s="624"/>
      <c r="AS552" s="624"/>
      <c r="AT552" s="624"/>
    </row>
    <row r="553" ht="15.75" customHeight="1">
      <c r="AH553" s="624"/>
      <c r="AI553" s="624"/>
      <c r="AJ553" s="624"/>
      <c r="AK553" s="624"/>
      <c r="AL553" s="624"/>
      <c r="AM553" s="624"/>
      <c r="AN553" s="624"/>
      <c r="AO553" s="624"/>
      <c r="AP553" s="624"/>
      <c r="AQ553" s="624"/>
      <c r="AR553" s="624"/>
      <c r="AS553" s="624"/>
      <c r="AT553" s="624"/>
    </row>
    <row r="554" ht="15.75" customHeight="1">
      <c r="AH554" s="624"/>
      <c r="AI554" s="624"/>
      <c r="AJ554" s="624"/>
      <c r="AK554" s="624"/>
      <c r="AL554" s="624"/>
      <c r="AM554" s="624"/>
      <c r="AN554" s="624"/>
      <c r="AO554" s="624"/>
      <c r="AP554" s="624"/>
      <c r="AQ554" s="624"/>
      <c r="AR554" s="624"/>
      <c r="AS554" s="624"/>
      <c r="AT554" s="624"/>
    </row>
    <row r="555" ht="15.75" customHeight="1">
      <c r="AH555" s="624"/>
      <c r="AI555" s="624"/>
      <c r="AJ555" s="624"/>
      <c r="AK555" s="624"/>
      <c r="AL555" s="624"/>
      <c r="AM555" s="624"/>
      <c r="AN555" s="624"/>
      <c r="AO555" s="624"/>
      <c r="AP555" s="624"/>
      <c r="AQ555" s="624"/>
      <c r="AR555" s="624"/>
      <c r="AS555" s="624"/>
      <c r="AT555" s="624"/>
    </row>
    <row r="556" ht="15.75" customHeight="1">
      <c r="AH556" s="624"/>
      <c r="AI556" s="624"/>
      <c r="AJ556" s="624"/>
      <c r="AK556" s="624"/>
      <c r="AL556" s="624"/>
      <c r="AM556" s="624"/>
      <c r="AN556" s="624"/>
      <c r="AO556" s="624"/>
      <c r="AP556" s="624"/>
      <c r="AQ556" s="624"/>
      <c r="AR556" s="624"/>
      <c r="AS556" s="624"/>
      <c r="AT556" s="624"/>
    </row>
    <row r="557" ht="15.75" customHeight="1">
      <c r="AH557" s="624"/>
      <c r="AI557" s="624"/>
      <c r="AJ557" s="624"/>
      <c r="AK557" s="624"/>
      <c r="AL557" s="624"/>
      <c r="AM557" s="624"/>
      <c r="AN557" s="624"/>
      <c r="AO557" s="624"/>
      <c r="AP557" s="624"/>
      <c r="AQ557" s="624"/>
      <c r="AR557" s="624"/>
      <c r="AS557" s="624"/>
      <c r="AT557" s="624"/>
    </row>
    <row r="558" ht="15.75" customHeight="1">
      <c r="AH558" s="624"/>
      <c r="AI558" s="624"/>
      <c r="AJ558" s="624"/>
      <c r="AK558" s="624"/>
      <c r="AL558" s="624"/>
      <c r="AM558" s="624"/>
      <c r="AN558" s="624"/>
      <c r="AO558" s="624"/>
      <c r="AP558" s="624"/>
      <c r="AQ558" s="624"/>
      <c r="AR558" s="624"/>
      <c r="AS558" s="624"/>
      <c r="AT558" s="624"/>
    </row>
    <row r="559" ht="15.75" customHeight="1">
      <c r="AH559" s="624"/>
      <c r="AI559" s="624"/>
      <c r="AJ559" s="624"/>
      <c r="AK559" s="624"/>
      <c r="AL559" s="624"/>
      <c r="AM559" s="624"/>
      <c r="AN559" s="624"/>
      <c r="AO559" s="624"/>
      <c r="AP559" s="624"/>
      <c r="AQ559" s="624"/>
      <c r="AR559" s="624"/>
      <c r="AS559" s="624"/>
      <c r="AT559" s="624"/>
    </row>
    <row r="560" ht="15.75" customHeight="1">
      <c r="AH560" s="624"/>
      <c r="AI560" s="624"/>
      <c r="AJ560" s="624"/>
      <c r="AK560" s="624"/>
      <c r="AL560" s="624"/>
      <c r="AM560" s="624"/>
      <c r="AN560" s="624"/>
      <c r="AO560" s="624"/>
      <c r="AP560" s="624"/>
      <c r="AQ560" s="624"/>
      <c r="AR560" s="624"/>
      <c r="AS560" s="624"/>
      <c r="AT560" s="624"/>
    </row>
    <row r="561" ht="15.75" customHeight="1">
      <c r="AH561" s="624"/>
      <c r="AI561" s="624"/>
      <c r="AJ561" s="624"/>
      <c r="AK561" s="624"/>
      <c r="AL561" s="624"/>
      <c r="AM561" s="624"/>
      <c r="AN561" s="624"/>
      <c r="AO561" s="624"/>
      <c r="AP561" s="624"/>
      <c r="AQ561" s="624"/>
      <c r="AR561" s="624"/>
      <c r="AS561" s="624"/>
      <c r="AT561" s="624"/>
    </row>
    <row r="562" ht="15.75" customHeight="1">
      <c r="AH562" s="624"/>
      <c r="AI562" s="624"/>
      <c r="AJ562" s="624"/>
      <c r="AK562" s="624"/>
      <c r="AL562" s="624"/>
      <c r="AM562" s="624"/>
      <c r="AN562" s="624"/>
      <c r="AO562" s="624"/>
      <c r="AP562" s="624"/>
      <c r="AQ562" s="624"/>
      <c r="AR562" s="624"/>
      <c r="AS562" s="624"/>
      <c r="AT562" s="624"/>
    </row>
    <row r="563" ht="15.75" customHeight="1">
      <c r="AH563" s="624"/>
      <c r="AI563" s="624"/>
      <c r="AJ563" s="624"/>
      <c r="AK563" s="624"/>
      <c r="AL563" s="624"/>
      <c r="AM563" s="624"/>
      <c r="AN563" s="624"/>
      <c r="AO563" s="624"/>
      <c r="AP563" s="624"/>
      <c r="AQ563" s="624"/>
      <c r="AR563" s="624"/>
      <c r="AS563" s="624"/>
      <c r="AT563" s="624"/>
    </row>
    <row r="564" ht="15.75" customHeight="1">
      <c r="AH564" s="624"/>
      <c r="AI564" s="624"/>
      <c r="AJ564" s="624"/>
      <c r="AK564" s="624"/>
      <c r="AL564" s="624"/>
      <c r="AM564" s="624"/>
      <c r="AN564" s="624"/>
      <c r="AO564" s="624"/>
      <c r="AP564" s="624"/>
      <c r="AQ564" s="624"/>
      <c r="AR564" s="624"/>
      <c r="AS564" s="624"/>
      <c r="AT564" s="624"/>
    </row>
    <row r="565" ht="15.75" customHeight="1">
      <c r="AH565" s="624"/>
      <c r="AI565" s="624"/>
      <c r="AJ565" s="624"/>
      <c r="AK565" s="624"/>
      <c r="AL565" s="624"/>
      <c r="AM565" s="624"/>
      <c r="AN565" s="624"/>
      <c r="AO565" s="624"/>
      <c r="AP565" s="624"/>
      <c r="AQ565" s="624"/>
      <c r="AR565" s="624"/>
      <c r="AS565" s="624"/>
      <c r="AT565" s="624"/>
    </row>
    <row r="566" ht="15.75" customHeight="1">
      <c r="AH566" s="624"/>
      <c r="AI566" s="624"/>
      <c r="AJ566" s="624"/>
      <c r="AK566" s="624"/>
      <c r="AL566" s="624"/>
      <c r="AM566" s="624"/>
      <c r="AN566" s="624"/>
      <c r="AO566" s="624"/>
      <c r="AP566" s="624"/>
      <c r="AQ566" s="624"/>
      <c r="AR566" s="624"/>
      <c r="AS566" s="624"/>
      <c r="AT566" s="624"/>
    </row>
    <row r="567" ht="15.75" customHeight="1">
      <c r="AH567" s="624"/>
      <c r="AI567" s="624"/>
      <c r="AJ567" s="624"/>
      <c r="AK567" s="624"/>
      <c r="AL567" s="624"/>
      <c r="AM567" s="624"/>
      <c r="AN567" s="624"/>
      <c r="AO567" s="624"/>
      <c r="AP567" s="624"/>
      <c r="AQ567" s="624"/>
      <c r="AR567" s="624"/>
      <c r="AS567" s="624"/>
      <c r="AT567" s="624"/>
    </row>
    <row r="568" ht="15.75" customHeight="1">
      <c r="AH568" s="624"/>
      <c r="AI568" s="624"/>
      <c r="AJ568" s="624"/>
      <c r="AK568" s="624"/>
      <c r="AL568" s="624"/>
      <c r="AM568" s="624"/>
      <c r="AN568" s="624"/>
      <c r="AO568" s="624"/>
      <c r="AP568" s="624"/>
      <c r="AQ568" s="624"/>
      <c r="AR568" s="624"/>
      <c r="AS568" s="624"/>
      <c r="AT568" s="624"/>
    </row>
    <row r="569" ht="15.75" customHeight="1">
      <c r="AH569" s="624"/>
      <c r="AI569" s="624"/>
      <c r="AJ569" s="624"/>
      <c r="AK569" s="624"/>
      <c r="AL569" s="624"/>
      <c r="AM569" s="624"/>
      <c r="AN569" s="624"/>
      <c r="AO569" s="624"/>
      <c r="AP569" s="624"/>
      <c r="AQ569" s="624"/>
      <c r="AR569" s="624"/>
      <c r="AS569" s="624"/>
      <c r="AT569" s="624"/>
    </row>
    <row r="570" ht="15.75" customHeight="1">
      <c r="AH570" s="624"/>
      <c r="AI570" s="624"/>
      <c r="AJ570" s="624"/>
      <c r="AK570" s="624"/>
      <c r="AL570" s="624"/>
      <c r="AM570" s="624"/>
      <c r="AN570" s="624"/>
      <c r="AO570" s="624"/>
      <c r="AP570" s="624"/>
      <c r="AQ570" s="624"/>
      <c r="AR570" s="624"/>
      <c r="AS570" s="624"/>
      <c r="AT570" s="624"/>
    </row>
    <row r="571" ht="15.75" customHeight="1">
      <c r="AH571" s="624"/>
      <c r="AI571" s="624"/>
      <c r="AJ571" s="624"/>
      <c r="AK571" s="624"/>
      <c r="AL571" s="624"/>
      <c r="AM571" s="624"/>
      <c r="AN571" s="624"/>
      <c r="AO571" s="624"/>
      <c r="AP571" s="624"/>
      <c r="AQ571" s="624"/>
      <c r="AR571" s="624"/>
      <c r="AS571" s="624"/>
      <c r="AT571" s="624"/>
    </row>
    <row r="572" ht="15.75" customHeight="1">
      <c r="AH572" s="624"/>
      <c r="AI572" s="624"/>
      <c r="AJ572" s="624"/>
      <c r="AK572" s="624"/>
      <c r="AL572" s="624"/>
      <c r="AM572" s="624"/>
      <c r="AN572" s="624"/>
      <c r="AO572" s="624"/>
      <c r="AP572" s="624"/>
      <c r="AQ572" s="624"/>
      <c r="AR572" s="624"/>
      <c r="AS572" s="624"/>
      <c r="AT572" s="624"/>
    </row>
    <row r="573" ht="15.75" customHeight="1">
      <c r="AH573" s="624"/>
      <c r="AI573" s="624"/>
      <c r="AJ573" s="624"/>
      <c r="AK573" s="624"/>
      <c r="AL573" s="624"/>
      <c r="AM573" s="624"/>
      <c r="AN573" s="624"/>
      <c r="AO573" s="624"/>
      <c r="AP573" s="624"/>
      <c r="AQ573" s="624"/>
      <c r="AR573" s="624"/>
      <c r="AS573" s="624"/>
      <c r="AT573" s="624"/>
    </row>
    <row r="574" ht="15.75" customHeight="1">
      <c r="AH574" s="624"/>
      <c r="AI574" s="624"/>
      <c r="AJ574" s="624"/>
      <c r="AK574" s="624"/>
      <c r="AL574" s="624"/>
      <c r="AM574" s="624"/>
      <c r="AN574" s="624"/>
      <c r="AO574" s="624"/>
      <c r="AP574" s="624"/>
      <c r="AQ574" s="624"/>
      <c r="AR574" s="624"/>
      <c r="AS574" s="624"/>
      <c r="AT574" s="624"/>
    </row>
    <row r="575" ht="15.75" customHeight="1">
      <c r="AH575" s="624"/>
      <c r="AI575" s="624"/>
      <c r="AJ575" s="624"/>
      <c r="AK575" s="624"/>
      <c r="AL575" s="624"/>
      <c r="AM575" s="624"/>
      <c r="AN575" s="624"/>
      <c r="AO575" s="624"/>
      <c r="AP575" s="624"/>
      <c r="AQ575" s="624"/>
      <c r="AR575" s="624"/>
      <c r="AS575" s="624"/>
      <c r="AT575" s="624"/>
    </row>
    <row r="576" ht="15.75" customHeight="1">
      <c r="AH576" s="624"/>
      <c r="AI576" s="624"/>
      <c r="AJ576" s="624"/>
      <c r="AK576" s="624"/>
      <c r="AL576" s="624"/>
      <c r="AM576" s="624"/>
      <c r="AN576" s="624"/>
      <c r="AO576" s="624"/>
      <c r="AP576" s="624"/>
      <c r="AQ576" s="624"/>
      <c r="AR576" s="624"/>
      <c r="AS576" s="624"/>
      <c r="AT576" s="624"/>
    </row>
    <row r="577" ht="15.75" customHeight="1">
      <c r="AH577" s="624"/>
      <c r="AI577" s="624"/>
      <c r="AJ577" s="624"/>
      <c r="AK577" s="624"/>
      <c r="AL577" s="624"/>
      <c r="AM577" s="624"/>
      <c r="AN577" s="624"/>
      <c r="AO577" s="624"/>
      <c r="AP577" s="624"/>
      <c r="AQ577" s="624"/>
      <c r="AR577" s="624"/>
      <c r="AS577" s="624"/>
      <c r="AT577" s="624"/>
    </row>
    <row r="578" ht="15.75" customHeight="1">
      <c r="AH578" s="624"/>
      <c r="AI578" s="624"/>
      <c r="AJ578" s="624"/>
      <c r="AK578" s="624"/>
      <c r="AL578" s="624"/>
      <c r="AM578" s="624"/>
      <c r="AN578" s="624"/>
      <c r="AO578" s="624"/>
      <c r="AP578" s="624"/>
      <c r="AQ578" s="624"/>
      <c r="AR578" s="624"/>
      <c r="AS578" s="624"/>
      <c r="AT578" s="624"/>
    </row>
    <row r="579" ht="15.75" customHeight="1">
      <c r="AH579" s="624"/>
      <c r="AI579" s="624"/>
      <c r="AJ579" s="624"/>
      <c r="AK579" s="624"/>
      <c r="AL579" s="624"/>
      <c r="AM579" s="624"/>
      <c r="AN579" s="624"/>
      <c r="AO579" s="624"/>
      <c r="AP579" s="624"/>
      <c r="AQ579" s="624"/>
      <c r="AR579" s="624"/>
      <c r="AS579" s="624"/>
      <c r="AT579" s="624"/>
    </row>
    <row r="580" ht="15.75" customHeight="1">
      <c r="AH580" s="624"/>
      <c r="AI580" s="624"/>
      <c r="AJ580" s="624"/>
      <c r="AK580" s="624"/>
      <c r="AL580" s="624"/>
      <c r="AM580" s="624"/>
      <c r="AN580" s="624"/>
      <c r="AO580" s="624"/>
      <c r="AP580" s="624"/>
      <c r="AQ580" s="624"/>
      <c r="AR580" s="624"/>
      <c r="AS580" s="624"/>
      <c r="AT580" s="624"/>
    </row>
    <row r="581" ht="15.75" customHeight="1">
      <c r="AH581" s="624"/>
      <c r="AI581" s="624"/>
      <c r="AJ581" s="624"/>
      <c r="AK581" s="624"/>
      <c r="AL581" s="624"/>
      <c r="AM581" s="624"/>
      <c r="AN581" s="624"/>
      <c r="AO581" s="624"/>
      <c r="AP581" s="624"/>
      <c r="AQ581" s="624"/>
      <c r="AR581" s="624"/>
      <c r="AS581" s="624"/>
      <c r="AT581" s="624"/>
    </row>
    <row r="582" ht="15.75" customHeight="1">
      <c r="AH582" s="624"/>
      <c r="AI582" s="624"/>
      <c r="AJ582" s="624"/>
      <c r="AK582" s="624"/>
      <c r="AL582" s="624"/>
      <c r="AM582" s="624"/>
      <c r="AN582" s="624"/>
      <c r="AO582" s="624"/>
      <c r="AP582" s="624"/>
      <c r="AQ582" s="624"/>
      <c r="AR582" s="624"/>
      <c r="AS582" s="624"/>
      <c r="AT582" s="624"/>
    </row>
    <row r="583" ht="15.75" customHeight="1">
      <c r="AH583" s="624"/>
      <c r="AI583" s="624"/>
      <c r="AJ583" s="624"/>
      <c r="AK583" s="624"/>
      <c r="AL583" s="624"/>
      <c r="AM583" s="624"/>
      <c r="AN583" s="624"/>
      <c r="AO583" s="624"/>
      <c r="AP583" s="624"/>
      <c r="AQ583" s="624"/>
      <c r="AR583" s="624"/>
      <c r="AS583" s="624"/>
      <c r="AT583" s="624"/>
    </row>
    <row r="584" ht="15.75" customHeight="1">
      <c r="AH584" s="624"/>
      <c r="AI584" s="624"/>
      <c r="AJ584" s="624"/>
      <c r="AK584" s="624"/>
      <c r="AL584" s="624"/>
      <c r="AM584" s="624"/>
      <c r="AN584" s="624"/>
      <c r="AO584" s="624"/>
      <c r="AP584" s="624"/>
      <c r="AQ584" s="624"/>
      <c r="AR584" s="624"/>
      <c r="AS584" s="624"/>
      <c r="AT584" s="624"/>
    </row>
    <row r="585" ht="15.75" customHeight="1">
      <c r="AH585" s="624"/>
      <c r="AI585" s="624"/>
      <c r="AJ585" s="624"/>
      <c r="AK585" s="624"/>
      <c r="AL585" s="624"/>
      <c r="AM585" s="624"/>
      <c r="AN585" s="624"/>
      <c r="AO585" s="624"/>
      <c r="AP585" s="624"/>
      <c r="AQ585" s="624"/>
      <c r="AR585" s="624"/>
      <c r="AS585" s="624"/>
      <c r="AT585" s="624"/>
    </row>
    <row r="586" ht="15.75" customHeight="1">
      <c r="AH586" s="624"/>
      <c r="AI586" s="624"/>
      <c r="AJ586" s="624"/>
      <c r="AK586" s="624"/>
      <c r="AL586" s="624"/>
      <c r="AM586" s="624"/>
      <c r="AN586" s="624"/>
      <c r="AO586" s="624"/>
      <c r="AP586" s="624"/>
      <c r="AQ586" s="624"/>
      <c r="AR586" s="624"/>
      <c r="AS586" s="624"/>
      <c r="AT586" s="624"/>
    </row>
    <row r="587" ht="15.75" customHeight="1">
      <c r="AH587" s="624"/>
      <c r="AI587" s="624"/>
      <c r="AJ587" s="624"/>
      <c r="AK587" s="624"/>
      <c r="AL587" s="624"/>
      <c r="AM587" s="624"/>
      <c r="AN587" s="624"/>
      <c r="AO587" s="624"/>
      <c r="AP587" s="624"/>
      <c r="AQ587" s="624"/>
      <c r="AR587" s="624"/>
      <c r="AS587" s="624"/>
      <c r="AT587" s="624"/>
    </row>
    <row r="588" ht="15.75" customHeight="1">
      <c r="AH588" s="624"/>
      <c r="AI588" s="624"/>
      <c r="AJ588" s="624"/>
      <c r="AK588" s="624"/>
      <c r="AL588" s="624"/>
      <c r="AM588" s="624"/>
      <c r="AN588" s="624"/>
      <c r="AO588" s="624"/>
      <c r="AP588" s="624"/>
      <c r="AQ588" s="624"/>
      <c r="AR588" s="624"/>
      <c r="AS588" s="624"/>
      <c r="AT588" s="624"/>
    </row>
    <row r="589" ht="15.75" customHeight="1">
      <c r="AH589" s="624"/>
      <c r="AI589" s="624"/>
      <c r="AJ589" s="624"/>
      <c r="AK589" s="624"/>
      <c r="AL589" s="624"/>
      <c r="AM589" s="624"/>
      <c r="AN589" s="624"/>
      <c r="AO589" s="624"/>
      <c r="AP589" s="624"/>
      <c r="AQ589" s="624"/>
      <c r="AR589" s="624"/>
      <c r="AS589" s="624"/>
      <c r="AT589" s="624"/>
    </row>
    <row r="590" ht="15.75" customHeight="1">
      <c r="AH590" s="624"/>
      <c r="AI590" s="624"/>
      <c r="AJ590" s="624"/>
      <c r="AK590" s="624"/>
      <c r="AL590" s="624"/>
      <c r="AM590" s="624"/>
      <c r="AN590" s="624"/>
      <c r="AO590" s="624"/>
      <c r="AP590" s="624"/>
      <c r="AQ590" s="624"/>
      <c r="AR590" s="624"/>
      <c r="AS590" s="624"/>
      <c r="AT590" s="624"/>
    </row>
    <row r="591" ht="15.75" customHeight="1">
      <c r="AH591" s="624"/>
      <c r="AI591" s="624"/>
      <c r="AJ591" s="624"/>
      <c r="AK591" s="624"/>
      <c r="AL591" s="624"/>
      <c r="AM591" s="624"/>
      <c r="AN591" s="624"/>
      <c r="AO591" s="624"/>
      <c r="AP591" s="624"/>
      <c r="AQ591" s="624"/>
      <c r="AR591" s="624"/>
      <c r="AS591" s="624"/>
      <c r="AT591" s="624"/>
    </row>
    <row r="592" ht="15.75" customHeight="1">
      <c r="AH592" s="624"/>
      <c r="AI592" s="624"/>
      <c r="AJ592" s="624"/>
      <c r="AK592" s="624"/>
      <c r="AL592" s="624"/>
      <c r="AM592" s="624"/>
      <c r="AN592" s="624"/>
      <c r="AO592" s="624"/>
      <c r="AP592" s="624"/>
      <c r="AQ592" s="624"/>
      <c r="AR592" s="624"/>
      <c r="AS592" s="624"/>
      <c r="AT592" s="624"/>
    </row>
    <row r="593" ht="15.75" customHeight="1">
      <c r="AH593" s="624"/>
      <c r="AI593" s="624"/>
      <c r="AJ593" s="624"/>
      <c r="AK593" s="624"/>
      <c r="AL593" s="624"/>
      <c r="AM593" s="624"/>
      <c r="AN593" s="624"/>
      <c r="AO593" s="624"/>
      <c r="AP593" s="624"/>
      <c r="AQ593" s="624"/>
      <c r="AR593" s="624"/>
      <c r="AS593" s="624"/>
      <c r="AT593" s="624"/>
    </row>
    <row r="594" ht="15.75" customHeight="1">
      <c r="AH594" s="624"/>
      <c r="AI594" s="624"/>
      <c r="AJ594" s="624"/>
      <c r="AK594" s="624"/>
      <c r="AL594" s="624"/>
      <c r="AM594" s="624"/>
      <c r="AN594" s="624"/>
      <c r="AO594" s="624"/>
      <c r="AP594" s="624"/>
      <c r="AQ594" s="624"/>
      <c r="AR594" s="624"/>
      <c r="AS594" s="624"/>
      <c r="AT594" s="624"/>
    </row>
    <row r="595" ht="15.75" customHeight="1">
      <c r="AH595" s="624"/>
      <c r="AI595" s="624"/>
      <c r="AJ595" s="624"/>
      <c r="AK595" s="624"/>
      <c r="AL595" s="624"/>
      <c r="AM595" s="624"/>
      <c r="AN595" s="624"/>
      <c r="AO595" s="624"/>
      <c r="AP595" s="624"/>
      <c r="AQ595" s="624"/>
      <c r="AR595" s="624"/>
      <c r="AS595" s="624"/>
      <c r="AT595" s="624"/>
    </row>
    <row r="596" ht="15.75" customHeight="1">
      <c r="AH596" s="624"/>
      <c r="AI596" s="624"/>
      <c r="AJ596" s="624"/>
      <c r="AK596" s="624"/>
      <c r="AL596" s="624"/>
      <c r="AM596" s="624"/>
      <c r="AN596" s="624"/>
      <c r="AO596" s="624"/>
      <c r="AP596" s="624"/>
      <c r="AQ596" s="624"/>
      <c r="AR596" s="624"/>
      <c r="AS596" s="624"/>
      <c r="AT596" s="624"/>
    </row>
    <row r="597" ht="15.75" customHeight="1">
      <c r="AH597" s="624"/>
      <c r="AI597" s="624"/>
      <c r="AJ597" s="624"/>
      <c r="AK597" s="624"/>
      <c r="AL597" s="624"/>
      <c r="AM597" s="624"/>
      <c r="AN597" s="624"/>
      <c r="AO597" s="624"/>
      <c r="AP597" s="624"/>
      <c r="AQ597" s="624"/>
      <c r="AR597" s="624"/>
      <c r="AS597" s="624"/>
      <c r="AT597" s="624"/>
    </row>
    <row r="598" ht="15.75" customHeight="1">
      <c r="AH598" s="624"/>
      <c r="AI598" s="624"/>
      <c r="AJ598" s="624"/>
      <c r="AK598" s="624"/>
      <c r="AL598" s="624"/>
      <c r="AM598" s="624"/>
      <c r="AN598" s="624"/>
      <c r="AO598" s="624"/>
      <c r="AP598" s="624"/>
      <c r="AQ598" s="624"/>
      <c r="AR598" s="624"/>
      <c r="AS598" s="624"/>
      <c r="AT598" s="624"/>
    </row>
    <row r="599" ht="15.75" customHeight="1">
      <c r="AH599" s="624"/>
      <c r="AI599" s="624"/>
      <c r="AJ599" s="624"/>
      <c r="AK599" s="624"/>
      <c r="AL599" s="624"/>
      <c r="AM599" s="624"/>
      <c r="AN599" s="624"/>
      <c r="AO599" s="624"/>
      <c r="AP599" s="624"/>
      <c r="AQ599" s="624"/>
      <c r="AR599" s="624"/>
      <c r="AS599" s="624"/>
      <c r="AT599" s="624"/>
    </row>
    <row r="600" ht="15.75" customHeight="1">
      <c r="AH600" s="624"/>
      <c r="AI600" s="624"/>
      <c r="AJ600" s="624"/>
      <c r="AK600" s="624"/>
      <c r="AL600" s="624"/>
      <c r="AM600" s="624"/>
      <c r="AN600" s="624"/>
      <c r="AO600" s="624"/>
      <c r="AP600" s="624"/>
      <c r="AQ600" s="624"/>
      <c r="AR600" s="624"/>
      <c r="AS600" s="624"/>
      <c r="AT600" s="624"/>
    </row>
    <row r="601" ht="15.75" customHeight="1">
      <c r="AH601" s="624"/>
      <c r="AI601" s="624"/>
      <c r="AJ601" s="624"/>
      <c r="AK601" s="624"/>
      <c r="AL601" s="624"/>
      <c r="AM601" s="624"/>
      <c r="AN601" s="624"/>
      <c r="AO601" s="624"/>
      <c r="AP601" s="624"/>
      <c r="AQ601" s="624"/>
      <c r="AR601" s="624"/>
      <c r="AS601" s="624"/>
      <c r="AT601" s="624"/>
    </row>
    <row r="602" ht="15.75" customHeight="1">
      <c r="AH602" s="624"/>
      <c r="AI602" s="624"/>
      <c r="AJ602" s="624"/>
      <c r="AK602" s="624"/>
      <c r="AL602" s="624"/>
      <c r="AM602" s="624"/>
      <c r="AN602" s="624"/>
      <c r="AO602" s="624"/>
      <c r="AP602" s="624"/>
      <c r="AQ602" s="624"/>
      <c r="AR602" s="624"/>
      <c r="AS602" s="624"/>
      <c r="AT602" s="624"/>
    </row>
    <row r="603" ht="15.75" customHeight="1">
      <c r="AH603" s="624"/>
      <c r="AI603" s="624"/>
      <c r="AJ603" s="624"/>
      <c r="AK603" s="624"/>
      <c r="AL603" s="624"/>
      <c r="AM603" s="624"/>
      <c r="AN603" s="624"/>
      <c r="AO603" s="624"/>
      <c r="AP603" s="624"/>
      <c r="AQ603" s="624"/>
      <c r="AR603" s="624"/>
      <c r="AS603" s="624"/>
      <c r="AT603" s="624"/>
    </row>
    <row r="604" ht="15.75" customHeight="1">
      <c r="AH604" s="624"/>
      <c r="AI604" s="624"/>
      <c r="AJ604" s="624"/>
      <c r="AK604" s="624"/>
      <c r="AL604" s="624"/>
      <c r="AM604" s="624"/>
      <c r="AN604" s="624"/>
      <c r="AO604" s="624"/>
      <c r="AP604" s="624"/>
      <c r="AQ604" s="624"/>
      <c r="AR604" s="624"/>
      <c r="AS604" s="624"/>
      <c r="AT604" s="624"/>
    </row>
    <row r="605" ht="15.75" customHeight="1">
      <c r="AH605" s="624"/>
      <c r="AI605" s="624"/>
      <c r="AJ605" s="624"/>
      <c r="AK605" s="624"/>
      <c r="AL605" s="624"/>
      <c r="AM605" s="624"/>
      <c r="AN605" s="624"/>
      <c r="AO605" s="624"/>
      <c r="AP605" s="624"/>
      <c r="AQ605" s="624"/>
      <c r="AR605" s="624"/>
      <c r="AS605" s="624"/>
      <c r="AT605" s="624"/>
    </row>
    <row r="606" ht="15.75" customHeight="1">
      <c r="AH606" s="624"/>
      <c r="AI606" s="624"/>
      <c r="AJ606" s="624"/>
      <c r="AK606" s="624"/>
      <c r="AL606" s="624"/>
      <c r="AM606" s="624"/>
      <c r="AN606" s="624"/>
      <c r="AO606" s="624"/>
      <c r="AP606" s="624"/>
      <c r="AQ606" s="624"/>
      <c r="AR606" s="624"/>
      <c r="AS606" s="624"/>
      <c r="AT606" s="624"/>
    </row>
    <row r="607" ht="15.75" customHeight="1">
      <c r="AH607" s="624"/>
      <c r="AI607" s="624"/>
      <c r="AJ607" s="624"/>
      <c r="AK607" s="624"/>
      <c r="AL607" s="624"/>
      <c r="AM607" s="624"/>
      <c r="AN607" s="624"/>
      <c r="AO607" s="624"/>
      <c r="AP607" s="624"/>
      <c r="AQ607" s="624"/>
      <c r="AR607" s="624"/>
      <c r="AS607" s="624"/>
      <c r="AT607" s="624"/>
    </row>
    <row r="608" ht="15.75" customHeight="1">
      <c r="AH608" s="624"/>
      <c r="AI608" s="624"/>
      <c r="AJ608" s="624"/>
      <c r="AK608" s="624"/>
      <c r="AL608" s="624"/>
      <c r="AM608" s="624"/>
      <c r="AN608" s="624"/>
      <c r="AO608" s="624"/>
      <c r="AP608" s="624"/>
      <c r="AQ608" s="624"/>
      <c r="AR608" s="624"/>
      <c r="AS608" s="624"/>
      <c r="AT608" s="624"/>
    </row>
    <row r="609" ht="15.75" customHeight="1">
      <c r="AH609" s="624"/>
      <c r="AI609" s="624"/>
      <c r="AJ609" s="624"/>
      <c r="AK609" s="624"/>
      <c r="AL609" s="624"/>
      <c r="AM609" s="624"/>
      <c r="AN609" s="624"/>
      <c r="AO609" s="624"/>
      <c r="AP609" s="624"/>
      <c r="AQ609" s="624"/>
      <c r="AR609" s="624"/>
      <c r="AS609" s="624"/>
      <c r="AT609" s="624"/>
    </row>
    <row r="610" ht="15.75" customHeight="1">
      <c r="AH610" s="624"/>
      <c r="AI610" s="624"/>
      <c r="AJ610" s="624"/>
      <c r="AK610" s="624"/>
      <c r="AL610" s="624"/>
      <c r="AM610" s="624"/>
      <c r="AN610" s="624"/>
      <c r="AO610" s="624"/>
      <c r="AP610" s="624"/>
      <c r="AQ610" s="624"/>
      <c r="AR610" s="624"/>
      <c r="AS610" s="624"/>
      <c r="AT610" s="624"/>
    </row>
    <row r="611" ht="15.75" customHeight="1">
      <c r="AH611" s="624"/>
      <c r="AI611" s="624"/>
      <c r="AJ611" s="624"/>
      <c r="AK611" s="624"/>
      <c r="AL611" s="624"/>
      <c r="AM611" s="624"/>
      <c r="AN611" s="624"/>
      <c r="AO611" s="624"/>
      <c r="AP611" s="624"/>
      <c r="AQ611" s="624"/>
      <c r="AR611" s="624"/>
      <c r="AS611" s="624"/>
      <c r="AT611" s="624"/>
    </row>
    <row r="612" ht="15.75" customHeight="1">
      <c r="AH612" s="624"/>
      <c r="AI612" s="624"/>
      <c r="AJ612" s="624"/>
      <c r="AK612" s="624"/>
      <c r="AL612" s="624"/>
      <c r="AM612" s="624"/>
      <c r="AN612" s="624"/>
      <c r="AO612" s="624"/>
      <c r="AP612" s="624"/>
      <c r="AQ612" s="624"/>
      <c r="AR612" s="624"/>
      <c r="AS612" s="624"/>
      <c r="AT612" s="624"/>
    </row>
    <row r="613" ht="15.75" customHeight="1">
      <c r="AH613" s="624"/>
      <c r="AI613" s="624"/>
      <c r="AJ613" s="624"/>
      <c r="AK613" s="624"/>
      <c r="AL613" s="624"/>
      <c r="AM613" s="624"/>
      <c r="AN613" s="624"/>
      <c r="AO613" s="624"/>
      <c r="AP613" s="624"/>
      <c r="AQ613" s="624"/>
      <c r="AR613" s="624"/>
      <c r="AS613" s="624"/>
      <c r="AT613" s="624"/>
    </row>
    <row r="614" ht="15.75" customHeight="1">
      <c r="AH614" s="624"/>
      <c r="AI614" s="624"/>
      <c r="AJ614" s="624"/>
      <c r="AK614" s="624"/>
      <c r="AL614" s="624"/>
      <c r="AM614" s="624"/>
      <c r="AN614" s="624"/>
      <c r="AO614" s="624"/>
      <c r="AP614" s="624"/>
      <c r="AQ614" s="624"/>
      <c r="AR614" s="624"/>
      <c r="AS614" s="624"/>
      <c r="AT614" s="624"/>
    </row>
    <row r="615" ht="15.75" customHeight="1">
      <c r="AH615" s="624"/>
      <c r="AI615" s="624"/>
      <c r="AJ615" s="624"/>
      <c r="AK615" s="624"/>
      <c r="AL615" s="624"/>
      <c r="AM615" s="624"/>
      <c r="AN615" s="624"/>
      <c r="AO615" s="624"/>
      <c r="AP615" s="624"/>
      <c r="AQ615" s="624"/>
      <c r="AR615" s="624"/>
      <c r="AS615" s="624"/>
      <c r="AT615" s="624"/>
    </row>
    <row r="616" ht="15.75" customHeight="1">
      <c r="AH616" s="624"/>
      <c r="AI616" s="624"/>
      <c r="AJ616" s="624"/>
      <c r="AK616" s="624"/>
      <c r="AL616" s="624"/>
      <c r="AM616" s="624"/>
      <c r="AN616" s="624"/>
      <c r="AO616" s="624"/>
      <c r="AP616" s="624"/>
      <c r="AQ616" s="624"/>
      <c r="AR616" s="624"/>
      <c r="AS616" s="624"/>
      <c r="AT616" s="624"/>
    </row>
    <row r="617" ht="15.75" customHeight="1">
      <c r="AH617" s="624"/>
      <c r="AI617" s="624"/>
      <c r="AJ617" s="624"/>
      <c r="AK617" s="624"/>
      <c r="AL617" s="624"/>
      <c r="AM617" s="624"/>
      <c r="AN617" s="624"/>
      <c r="AO617" s="624"/>
      <c r="AP617" s="624"/>
      <c r="AQ617" s="624"/>
      <c r="AR617" s="624"/>
      <c r="AS617" s="624"/>
      <c r="AT617" s="624"/>
    </row>
    <row r="618" ht="15.75" customHeight="1">
      <c r="AH618" s="624"/>
      <c r="AI618" s="624"/>
      <c r="AJ618" s="624"/>
      <c r="AK618" s="624"/>
      <c r="AL618" s="624"/>
      <c r="AM618" s="624"/>
      <c r="AN618" s="624"/>
      <c r="AO618" s="624"/>
      <c r="AP618" s="624"/>
      <c r="AQ618" s="624"/>
      <c r="AR618" s="624"/>
      <c r="AS618" s="624"/>
      <c r="AT618" s="624"/>
    </row>
    <row r="619" ht="15.75" customHeight="1">
      <c r="AH619" s="624"/>
      <c r="AI619" s="624"/>
      <c r="AJ619" s="624"/>
      <c r="AK619" s="624"/>
      <c r="AL619" s="624"/>
      <c r="AM619" s="624"/>
      <c r="AN619" s="624"/>
      <c r="AO619" s="624"/>
      <c r="AP619" s="624"/>
      <c r="AQ619" s="624"/>
      <c r="AR619" s="624"/>
      <c r="AS619" s="624"/>
      <c r="AT619" s="624"/>
    </row>
    <row r="620" ht="15.75" customHeight="1">
      <c r="AH620" s="624"/>
      <c r="AI620" s="624"/>
      <c r="AJ620" s="624"/>
      <c r="AK620" s="624"/>
      <c r="AL620" s="624"/>
      <c r="AM620" s="624"/>
      <c r="AN620" s="624"/>
      <c r="AO620" s="624"/>
      <c r="AP620" s="624"/>
      <c r="AQ620" s="624"/>
      <c r="AR620" s="624"/>
      <c r="AS620" s="624"/>
      <c r="AT620" s="624"/>
    </row>
    <row r="621" ht="15.75" customHeight="1">
      <c r="AH621" s="624"/>
      <c r="AI621" s="624"/>
      <c r="AJ621" s="624"/>
      <c r="AK621" s="624"/>
      <c r="AL621" s="624"/>
      <c r="AM621" s="624"/>
      <c r="AN621" s="624"/>
      <c r="AO621" s="624"/>
      <c r="AP621" s="624"/>
      <c r="AQ621" s="624"/>
      <c r="AR621" s="624"/>
      <c r="AS621" s="624"/>
      <c r="AT621" s="624"/>
    </row>
    <row r="622" ht="15.75" customHeight="1">
      <c r="AH622" s="624"/>
      <c r="AI622" s="624"/>
      <c r="AJ622" s="624"/>
      <c r="AK622" s="624"/>
      <c r="AL622" s="624"/>
      <c r="AM622" s="624"/>
      <c r="AN622" s="624"/>
      <c r="AO622" s="624"/>
      <c r="AP622" s="624"/>
      <c r="AQ622" s="624"/>
      <c r="AR622" s="624"/>
      <c r="AS622" s="624"/>
      <c r="AT622" s="624"/>
    </row>
    <row r="623" ht="15.75" customHeight="1">
      <c r="AH623" s="624"/>
      <c r="AI623" s="624"/>
      <c r="AJ623" s="624"/>
      <c r="AK623" s="624"/>
      <c r="AL623" s="624"/>
      <c r="AM623" s="624"/>
      <c r="AN623" s="624"/>
      <c r="AO623" s="624"/>
      <c r="AP623" s="624"/>
      <c r="AQ623" s="624"/>
      <c r="AR623" s="624"/>
      <c r="AS623" s="624"/>
      <c r="AT623" s="624"/>
    </row>
    <row r="624" ht="15.75" customHeight="1">
      <c r="AH624" s="624"/>
      <c r="AI624" s="624"/>
      <c r="AJ624" s="624"/>
      <c r="AK624" s="624"/>
      <c r="AL624" s="624"/>
      <c r="AM624" s="624"/>
      <c r="AN624" s="624"/>
      <c r="AO624" s="624"/>
      <c r="AP624" s="624"/>
      <c r="AQ624" s="624"/>
      <c r="AR624" s="624"/>
      <c r="AS624" s="624"/>
      <c r="AT624" s="624"/>
    </row>
    <row r="625" ht="15.75" customHeight="1">
      <c r="AH625" s="624"/>
      <c r="AI625" s="624"/>
      <c r="AJ625" s="624"/>
      <c r="AK625" s="624"/>
      <c r="AL625" s="624"/>
      <c r="AM625" s="624"/>
      <c r="AN625" s="624"/>
      <c r="AO625" s="624"/>
      <c r="AP625" s="624"/>
      <c r="AQ625" s="624"/>
      <c r="AR625" s="624"/>
      <c r="AS625" s="624"/>
      <c r="AT625" s="624"/>
    </row>
    <row r="626" ht="15.75" customHeight="1">
      <c r="AH626" s="624"/>
      <c r="AI626" s="624"/>
      <c r="AJ626" s="624"/>
      <c r="AK626" s="624"/>
      <c r="AL626" s="624"/>
      <c r="AM626" s="624"/>
      <c r="AN626" s="624"/>
      <c r="AO626" s="624"/>
      <c r="AP626" s="624"/>
      <c r="AQ626" s="624"/>
      <c r="AR626" s="624"/>
      <c r="AS626" s="624"/>
      <c r="AT626" s="624"/>
    </row>
    <row r="627" ht="15.75" customHeight="1">
      <c r="AH627" s="624"/>
      <c r="AI627" s="624"/>
      <c r="AJ627" s="624"/>
      <c r="AK627" s="624"/>
      <c r="AL627" s="624"/>
      <c r="AM627" s="624"/>
      <c r="AN627" s="624"/>
      <c r="AO627" s="624"/>
      <c r="AP627" s="624"/>
      <c r="AQ627" s="624"/>
      <c r="AR627" s="624"/>
      <c r="AS627" s="624"/>
      <c r="AT627" s="624"/>
    </row>
    <row r="628" ht="15.75" customHeight="1">
      <c r="AH628" s="624"/>
      <c r="AI628" s="624"/>
      <c r="AJ628" s="624"/>
      <c r="AK628" s="624"/>
      <c r="AL628" s="624"/>
      <c r="AM628" s="624"/>
      <c r="AN628" s="624"/>
      <c r="AO628" s="624"/>
      <c r="AP628" s="624"/>
      <c r="AQ628" s="624"/>
      <c r="AR628" s="624"/>
      <c r="AS628" s="624"/>
      <c r="AT628" s="624"/>
    </row>
    <row r="629" ht="15.75" customHeight="1">
      <c r="AH629" s="624"/>
      <c r="AI629" s="624"/>
      <c r="AJ629" s="624"/>
      <c r="AK629" s="624"/>
      <c r="AL629" s="624"/>
      <c r="AM629" s="624"/>
      <c r="AN629" s="624"/>
      <c r="AO629" s="624"/>
      <c r="AP629" s="624"/>
      <c r="AQ629" s="624"/>
      <c r="AR629" s="624"/>
      <c r="AS629" s="624"/>
      <c r="AT629" s="624"/>
    </row>
    <row r="630" ht="15.75" customHeight="1">
      <c r="AH630" s="624"/>
      <c r="AI630" s="624"/>
      <c r="AJ630" s="624"/>
      <c r="AK630" s="624"/>
      <c r="AL630" s="624"/>
      <c r="AM630" s="624"/>
      <c r="AN630" s="624"/>
      <c r="AO630" s="624"/>
      <c r="AP630" s="624"/>
      <c r="AQ630" s="624"/>
      <c r="AR630" s="624"/>
      <c r="AS630" s="624"/>
      <c r="AT630" s="624"/>
    </row>
    <row r="631" ht="15.75" customHeight="1">
      <c r="AH631" s="624"/>
      <c r="AI631" s="624"/>
      <c r="AJ631" s="624"/>
      <c r="AK631" s="624"/>
      <c r="AL631" s="624"/>
      <c r="AM631" s="624"/>
      <c r="AN631" s="624"/>
      <c r="AO631" s="624"/>
      <c r="AP631" s="624"/>
      <c r="AQ631" s="624"/>
      <c r="AR631" s="624"/>
      <c r="AS631" s="624"/>
      <c r="AT631" s="624"/>
    </row>
    <row r="632" ht="15.75" customHeight="1">
      <c r="AH632" s="624"/>
      <c r="AI632" s="624"/>
      <c r="AJ632" s="624"/>
      <c r="AK632" s="624"/>
      <c r="AL632" s="624"/>
      <c r="AM632" s="624"/>
      <c r="AN632" s="624"/>
      <c r="AO632" s="624"/>
      <c r="AP632" s="624"/>
      <c r="AQ632" s="624"/>
      <c r="AR632" s="624"/>
      <c r="AS632" s="624"/>
      <c r="AT632" s="624"/>
    </row>
    <row r="633" ht="15.75" customHeight="1">
      <c r="AH633" s="624"/>
      <c r="AI633" s="624"/>
      <c r="AJ633" s="624"/>
      <c r="AK633" s="624"/>
      <c r="AL633" s="624"/>
      <c r="AM633" s="624"/>
      <c r="AN633" s="624"/>
      <c r="AO633" s="624"/>
      <c r="AP633" s="624"/>
      <c r="AQ633" s="624"/>
      <c r="AR633" s="624"/>
      <c r="AS633" s="624"/>
      <c r="AT633" s="624"/>
    </row>
    <row r="634" ht="15.75" customHeight="1">
      <c r="AH634" s="624"/>
      <c r="AI634" s="624"/>
      <c r="AJ634" s="624"/>
      <c r="AK634" s="624"/>
      <c r="AL634" s="624"/>
      <c r="AM634" s="624"/>
      <c r="AN634" s="624"/>
      <c r="AO634" s="624"/>
      <c r="AP634" s="624"/>
      <c r="AQ634" s="624"/>
      <c r="AR634" s="624"/>
      <c r="AS634" s="624"/>
      <c r="AT634" s="624"/>
    </row>
    <row r="635" ht="15.75" customHeight="1">
      <c r="AH635" s="624"/>
      <c r="AI635" s="624"/>
      <c r="AJ635" s="624"/>
      <c r="AK635" s="624"/>
      <c r="AL635" s="624"/>
      <c r="AM635" s="624"/>
      <c r="AN635" s="624"/>
      <c r="AO635" s="624"/>
      <c r="AP635" s="624"/>
      <c r="AQ635" s="624"/>
      <c r="AR635" s="624"/>
      <c r="AS635" s="624"/>
      <c r="AT635" s="624"/>
    </row>
    <row r="636" ht="15.75" customHeight="1">
      <c r="AH636" s="624"/>
      <c r="AI636" s="624"/>
      <c r="AJ636" s="624"/>
      <c r="AK636" s="624"/>
      <c r="AL636" s="624"/>
      <c r="AM636" s="624"/>
      <c r="AN636" s="624"/>
      <c r="AO636" s="624"/>
      <c r="AP636" s="624"/>
      <c r="AQ636" s="624"/>
      <c r="AR636" s="624"/>
      <c r="AS636" s="624"/>
      <c r="AT636" s="624"/>
    </row>
    <row r="637" ht="15.75" customHeight="1">
      <c r="AH637" s="624"/>
      <c r="AI637" s="624"/>
      <c r="AJ637" s="624"/>
      <c r="AK637" s="624"/>
      <c r="AL637" s="624"/>
      <c r="AM637" s="624"/>
      <c r="AN637" s="624"/>
      <c r="AO637" s="624"/>
      <c r="AP637" s="624"/>
      <c r="AQ637" s="624"/>
      <c r="AR637" s="624"/>
      <c r="AS637" s="624"/>
      <c r="AT637" s="624"/>
    </row>
    <row r="638" ht="15.75" customHeight="1">
      <c r="AH638" s="624"/>
      <c r="AI638" s="624"/>
      <c r="AJ638" s="624"/>
      <c r="AK638" s="624"/>
      <c r="AL638" s="624"/>
      <c r="AM638" s="624"/>
      <c r="AN638" s="624"/>
      <c r="AO638" s="624"/>
      <c r="AP638" s="624"/>
      <c r="AQ638" s="624"/>
      <c r="AR638" s="624"/>
      <c r="AS638" s="624"/>
      <c r="AT638" s="624"/>
    </row>
    <row r="639" ht="15.75" customHeight="1">
      <c r="AH639" s="624"/>
      <c r="AI639" s="624"/>
      <c r="AJ639" s="624"/>
      <c r="AK639" s="624"/>
      <c r="AL639" s="624"/>
      <c r="AM639" s="624"/>
      <c r="AN639" s="624"/>
      <c r="AO639" s="624"/>
      <c r="AP639" s="624"/>
      <c r="AQ639" s="624"/>
      <c r="AR639" s="624"/>
      <c r="AS639" s="624"/>
      <c r="AT639" s="624"/>
    </row>
    <row r="640" ht="15.75" customHeight="1">
      <c r="AH640" s="624"/>
      <c r="AI640" s="624"/>
      <c r="AJ640" s="624"/>
      <c r="AK640" s="624"/>
      <c r="AL640" s="624"/>
      <c r="AM640" s="624"/>
      <c r="AN640" s="624"/>
      <c r="AO640" s="624"/>
      <c r="AP640" s="624"/>
      <c r="AQ640" s="624"/>
      <c r="AR640" s="624"/>
      <c r="AS640" s="624"/>
      <c r="AT640" s="624"/>
    </row>
    <row r="641" ht="15.75" customHeight="1">
      <c r="AH641" s="624"/>
      <c r="AI641" s="624"/>
      <c r="AJ641" s="624"/>
      <c r="AK641" s="624"/>
      <c r="AL641" s="624"/>
      <c r="AM641" s="624"/>
      <c r="AN641" s="624"/>
      <c r="AO641" s="624"/>
      <c r="AP641" s="624"/>
      <c r="AQ641" s="624"/>
      <c r="AR641" s="624"/>
      <c r="AS641" s="624"/>
      <c r="AT641" s="624"/>
    </row>
    <row r="642" ht="15.75" customHeight="1">
      <c r="AH642" s="624"/>
      <c r="AI642" s="624"/>
      <c r="AJ642" s="624"/>
      <c r="AK642" s="624"/>
      <c r="AL642" s="624"/>
      <c r="AM642" s="624"/>
      <c r="AN642" s="624"/>
      <c r="AO642" s="624"/>
      <c r="AP642" s="624"/>
      <c r="AQ642" s="624"/>
      <c r="AR642" s="624"/>
      <c r="AS642" s="624"/>
      <c r="AT642" s="624"/>
    </row>
    <row r="643" ht="15.75" customHeight="1">
      <c r="AH643" s="624"/>
      <c r="AI643" s="624"/>
      <c r="AJ643" s="624"/>
      <c r="AK643" s="624"/>
      <c r="AL643" s="624"/>
      <c r="AM643" s="624"/>
      <c r="AN643" s="624"/>
      <c r="AO643" s="624"/>
      <c r="AP643" s="624"/>
      <c r="AQ643" s="624"/>
      <c r="AR643" s="624"/>
      <c r="AS643" s="624"/>
      <c r="AT643" s="624"/>
    </row>
    <row r="644" ht="15.75" customHeight="1">
      <c r="AH644" s="624"/>
      <c r="AI644" s="624"/>
      <c r="AJ644" s="624"/>
      <c r="AK644" s="624"/>
      <c r="AL644" s="624"/>
      <c r="AM644" s="624"/>
      <c r="AN644" s="624"/>
      <c r="AO644" s="624"/>
      <c r="AP644" s="624"/>
      <c r="AQ644" s="624"/>
      <c r="AR644" s="624"/>
      <c r="AS644" s="624"/>
      <c r="AT644" s="624"/>
    </row>
    <row r="645" ht="15.75" customHeight="1">
      <c r="AH645" s="624"/>
      <c r="AI645" s="624"/>
      <c r="AJ645" s="624"/>
      <c r="AK645" s="624"/>
      <c r="AL645" s="624"/>
      <c r="AM645" s="624"/>
      <c r="AN645" s="624"/>
      <c r="AO645" s="624"/>
      <c r="AP645" s="624"/>
      <c r="AQ645" s="624"/>
      <c r="AR645" s="624"/>
      <c r="AS645" s="624"/>
      <c r="AT645" s="624"/>
    </row>
    <row r="646" ht="15.75" customHeight="1">
      <c r="AH646" s="624"/>
      <c r="AI646" s="624"/>
      <c r="AJ646" s="624"/>
      <c r="AK646" s="624"/>
      <c r="AL646" s="624"/>
      <c r="AM646" s="624"/>
      <c r="AN646" s="624"/>
      <c r="AO646" s="624"/>
      <c r="AP646" s="624"/>
      <c r="AQ646" s="624"/>
      <c r="AR646" s="624"/>
      <c r="AS646" s="624"/>
      <c r="AT646" s="624"/>
    </row>
    <row r="647" ht="15.75" customHeight="1">
      <c r="AH647" s="624"/>
      <c r="AI647" s="624"/>
      <c r="AJ647" s="624"/>
      <c r="AK647" s="624"/>
      <c r="AL647" s="624"/>
      <c r="AM647" s="624"/>
      <c r="AN647" s="624"/>
      <c r="AO647" s="624"/>
      <c r="AP647" s="624"/>
      <c r="AQ647" s="624"/>
      <c r="AR647" s="624"/>
      <c r="AS647" s="624"/>
      <c r="AT647" s="624"/>
    </row>
    <row r="648" ht="15.75" customHeight="1">
      <c r="AH648" s="624"/>
      <c r="AI648" s="624"/>
      <c r="AJ648" s="624"/>
      <c r="AK648" s="624"/>
      <c r="AL648" s="624"/>
      <c r="AM648" s="624"/>
      <c r="AN648" s="624"/>
      <c r="AO648" s="624"/>
      <c r="AP648" s="624"/>
      <c r="AQ648" s="624"/>
      <c r="AR648" s="624"/>
      <c r="AS648" s="624"/>
      <c r="AT648" s="624"/>
    </row>
    <row r="649" ht="15.75" customHeight="1">
      <c r="AH649" s="624"/>
      <c r="AI649" s="624"/>
      <c r="AJ649" s="624"/>
      <c r="AK649" s="624"/>
      <c r="AL649" s="624"/>
      <c r="AM649" s="624"/>
      <c r="AN649" s="624"/>
      <c r="AO649" s="624"/>
      <c r="AP649" s="624"/>
      <c r="AQ649" s="624"/>
      <c r="AR649" s="624"/>
      <c r="AS649" s="624"/>
      <c r="AT649" s="624"/>
    </row>
    <row r="650" ht="15.75" customHeight="1">
      <c r="AH650" s="624"/>
      <c r="AI650" s="624"/>
      <c r="AJ650" s="624"/>
      <c r="AK650" s="624"/>
      <c r="AL650" s="624"/>
      <c r="AM650" s="624"/>
      <c r="AN650" s="624"/>
      <c r="AO650" s="624"/>
      <c r="AP650" s="624"/>
      <c r="AQ650" s="624"/>
      <c r="AR650" s="624"/>
      <c r="AS650" s="624"/>
      <c r="AT650" s="624"/>
    </row>
    <row r="651" ht="15.75" customHeight="1">
      <c r="AH651" s="624"/>
      <c r="AI651" s="624"/>
      <c r="AJ651" s="624"/>
      <c r="AK651" s="624"/>
      <c r="AL651" s="624"/>
      <c r="AM651" s="624"/>
      <c r="AN651" s="624"/>
      <c r="AO651" s="624"/>
      <c r="AP651" s="624"/>
      <c r="AQ651" s="624"/>
      <c r="AR651" s="624"/>
      <c r="AS651" s="624"/>
      <c r="AT651" s="624"/>
    </row>
    <row r="652" ht="15.75" customHeight="1">
      <c r="AH652" s="624"/>
      <c r="AI652" s="624"/>
      <c r="AJ652" s="624"/>
      <c r="AK652" s="624"/>
      <c r="AL652" s="624"/>
      <c r="AM652" s="624"/>
      <c r="AN652" s="624"/>
      <c r="AO652" s="624"/>
      <c r="AP652" s="624"/>
      <c r="AQ652" s="624"/>
      <c r="AR652" s="624"/>
      <c r="AS652" s="624"/>
      <c r="AT652" s="624"/>
    </row>
    <row r="653" ht="15.75" customHeight="1">
      <c r="AH653" s="624"/>
      <c r="AI653" s="624"/>
      <c r="AJ653" s="624"/>
      <c r="AK653" s="624"/>
      <c r="AL653" s="624"/>
      <c r="AM653" s="624"/>
      <c r="AN653" s="624"/>
      <c r="AO653" s="624"/>
      <c r="AP653" s="624"/>
      <c r="AQ653" s="624"/>
      <c r="AR653" s="624"/>
      <c r="AS653" s="624"/>
      <c r="AT653" s="624"/>
    </row>
    <row r="654" ht="15.75" customHeight="1">
      <c r="AH654" s="624"/>
      <c r="AI654" s="624"/>
      <c r="AJ654" s="624"/>
      <c r="AK654" s="624"/>
      <c r="AL654" s="624"/>
      <c r="AM654" s="624"/>
      <c r="AN654" s="624"/>
      <c r="AO654" s="624"/>
      <c r="AP654" s="624"/>
      <c r="AQ654" s="624"/>
      <c r="AR654" s="624"/>
      <c r="AS654" s="624"/>
      <c r="AT654" s="624"/>
    </row>
    <row r="655" ht="15.75" customHeight="1">
      <c r="AH655" s="624"/>
      <c r="AI655" s="624"/>
      <c r="AJ655" s="624"/>
      <c r="AK655" s="624"/>
      <c r="AL655" s="624"/>
      <c r="AM655" s="624"/>
      <c r="AN655" s="624"/>
      <c r="AO655" s="624"/>
      <c r="AP655" s="624"/>
      <c r="AQ655" s="624"/>
      <c r="AR655" s="624"/>
      <c r="AS655" s="624"/>
      <c r="AT655" s="624"/>
    </row>
    <row r="656" ht="15.75" customHeight="1">
      <c r="AH656" s="624"/>
      <c r="AI656" s="624"/>
      <c r="AJ656" s="624"/>
      <c r="AK656" s="624"/>
      <c r="AL656" s="624"/>
      <c r="AM656" s="624"/>
      <c r="AN656" s="624"/>
      <c r="AO656" s="624"/>
      <c r="AP656" s="624"/>
      <c r="AQ656" s="624"/>
      <c r="AR656" s="624"/>
      <c r="AS656" s="624"/>
      <c r="AT656" s="624"/>
    </row>
    <row r="657" ht="15.75" customHeight="1">
      <c r="AH657" s="624"/>
      <c r="AI657" s="624"/>
      <c r="AJ657" s="624"/>
      <c r="AK657" s="624"/>
      <c r="AL657" s="624"/>
      <c r="AM657" s="624"/>
      <c r="AN657" s="624"/>
      <c r="AO657" s="624"/>
      <c r="AP657" s="624"/>
      <c r="AQ657" s="624"/>
      <c r="AR657" s="624"/>
      <c r="AS657" s="624"/>
      <c r="AT657" s="624"/>
    </row>
    <row r="658" ht="15.75" customHeight="1">
      <c r="AH658" s="624"/>
      <c r="AI658" s="624"/>
      <c r="AJ658" s="624"/>
      <c r="AK658" s="624"/>
      <c r="AL658" s="624"/>
      <c r="AM658" s="624"/>
      <c r="AN658" s="624"/>
      <c r="AO658" s="624"/>
      <c r="AP658" s="624"/>
      <c r="AQ658" s="624"/>
      <c r="AR658" s="624"/>
      <c r="AS658" s="624"/>
      <c r="AT658" s="624"/>
    </row>
    <row r="659" ht="15.75" customHeight="1">
      <c r="AH659" s="624"/>
      <c r="AI659" s="624"/>
      <c r="AJ659" s="624"/>
      <c r="AK659" s="624"/>
      <c r="AL659" s="624"/>
      <c r="AM659" s="624"/>
      <c r="AN659" s="624"/>
      <c r="AO659" s="624"/>
      <c r="AP659" s="624"/>
      <c r="AQ659" s="624"/>
      <c r="AR659" s="624"/>
      <c r="AS659" s="624"/>
      <c r="AT659" s="624"/>
    </row>
    <row r="660" ht="15.75" customHeight="1">
      <c r="AH660" s="624"/>
      <c r="AI660" s="624"/>
      <c r="AJ660" s="624"/>
      <c r="AK660" s="624"/>
      <c r="AL660" s="624"/>
      <c r="AM660" s="624"/>
      <c r="AN660" s="624"/>
      <c r="AO660" s="624"/>
      <c r="AP660" s="624"/>
      <c r="AQ660" s="624"/>
      <c r="AR660" s="624"/>
      <c r="AS660" s="624"/>
      <c r="AT660" s="624"/>
    </row>
    <row r="661" ht="15.75" customHeight="1">
      <c r="AH661" s="624"/>
      <c r="AI661" s="624"/>
      <c r="AJ661" s="624"/>
      <c r="AK661" s="624"/>
      <c r="AL661" s="624"/>
      <c r="AM661" s="624"/>
      <c r="AN661" s="624"/>
      <c r="AO661" s="624"/>
      <c r="AP661" s="624"/>
      <c r="AQ661" s="624"/>
      <c r="AR661" s="624"/>
      <c r="AS661" s="624"/>
      <c r="AT661" s="624"/>
    </row>
    <row r="662" ht="15.75" customHeight="1">
      <c r="AH662" s="624"/>
      <c r="AI662" s="624"/>
      <c r="AJ662" s="624"/>
      <c r="AK662" s="624"/>
      <c r="AL662" s="624"/>
      <c r="AM662" s="624"/>
      <c r="AN662" s="624"/>
      <c r="AO662" s="624"/>
      <c r="AP662" s="624"/>
      <c r="AQ662" s="624"/>
      <c r="AR662" s="624"/>
      <c r="AS662" s="624"/>
      <c r="AT662" s="624"/>
    </row>
    <row r="663" ht="15.75" customHeight="1">
      <c r="AH663" s="624"/>
      <c r="AI663" s="624"/>
      <c r="AJ663" s="624"/>
      <c r="AK663" s="624"/>
      <c r="AL663" s="624"/>
      <c r="AM663" s="624"/>
      <c r="AN663" s="624"/>
      <c r="AO663" s="624"/>
      <c r="AP663" s="624"/>
      <c r="AQ663" s="624"/>
      <c r="AR663" s="624"/>
      <c r="AS663" s="624"/>
      <c r="AT663" s="624"/>
    </row>
    <row r="664" ht="15.75" customHeight="1">
      <c r="AH664" s="624"/>
      <c r="AI664" s="624"/>
      <c r="AJ664" s="624"/>
      <c r="AK664" s="624"/>
      <c r="AL664" s="624"/>
      <c r="AM664" s="624"/>
      <c r="AN664" s="624"/>
      <c r="AO664" s="624"/>
      <c r="AP664" s="624"/>
      <c r="AQ664" s="624"/>
      <c r="AR664" s="624"/>
      <c r="AS664" s="624"/>
      <c r="AT664" s="624"/>
    </row>
    <row r="665" ht="15.75" customHeight="1">
      <c r="AH665" s="624"/>
      <c r="AI665" s="624"/>
      <c r="AJ665" s="624"/>
      <c r="AK665" s="624"/>
      <c r="AL665" s="624"/>
      <c r="AM665" s="624"/>
      <c r="AN665" s="624"/>
      <c r="AO665" s="624"/>
      <c r="AP665" s="624"/>
      <c r="AQ665" s="624"/>
      <c r="AR665" s="624"/>
      <c r="AS665" s="624"/>
      <c r="AT665" s="624"/>
    </row>
    <row r="666" ht="15.75" customHeight="1">
      <c r="AH666" s="624"/>
      <c r="AI666" s="624"/>
      <c r="AJ666" s="624"/>
      <c r="AK666" s="624"/>
      <c r="AL666" s="624"/>
      <c r="AM666" s="624"/>
      <c r="AN666" s="624"/>
      <c r="AO666" s="624"/>
      <c r="AP666" s="624"/>
      <c r="AQ666" s="624"/>
      <c r="AR666" s="624"/>
      <c r="AS666" s="624"/>
      <c r="AT666" s="624"/>
    </row>
    <row r="667" ht="15.75" customHeight="1">
      <c r="AH667" s="624"/>
      <c r="AI667" s="624"/>
      <c r="AJ667" s="624"/>
      <c r="AK667" s="624"/>
      <c r="AL667" s="624"/>
      <c r="AM667" s="624"/>
      <c r="AN667" s="624"/>
      <c r="AO667" s="624"/>
      <c r="AP667" s="624"/>
      <c r="AQ667" s="624"/>
      <c r="AR667" s="624"/>
      <c r="AS667" s="624"/>
      <c r="AT667" s="624"/>
    </row>
    <row r="668" ht="15.75" customHeight="1">
      <c r="AH668" s="624"/>
      <c r="AI668" s="624"/>
      <c r="AJ668" s="624"/>
      <c r="AK668" s="624"/>
      <c r="AL668" s="624"/>
      <c r="AM668" s="624"/>
      <c r="AN668" s="624"/>
      <c r="AO668" s="624"/>
      <c r="AP668" s="624"/>
      <c r="AQ668" s="624"/>
      <c r="AR668" s="624"/>
      <c r="AS668" s="624"/>
      <c r="AT668" s="624"/>
    </row>
    <row r="669" ht="15.75" customHeight="1">
      <c r="AH669" s="624"/>
      <c r="AI669" s="624"/>
      <c r="AJ669" s="624"/>
      <c r="AK669" s="624"/>
      <c r="AL669" s="624"/>
      <c r="AM669" s="624"/>
      <c r="AN669" s="624"/>
      <c r="AO669" s="624"/>
      <c r="AP669" s="624"/>
      <c r="AQ669" s="624"/>
      <c r="AR669" s="624"/>
      <c r="AS669" s="624"/>
      <c r="AT669" s="624"/>
    </row>
    <row r="670" ht="15.75" customHeight="1">
      <c r="AH670" s="624"/>
      <c r="AI670" s="624"/>
      <c r="AJ670" s="624"/>
      <c r="AK670" s="624"/>
      <c r="AL670" s="624"/>
      <c r="AM670" s="624"/>
      <c r="AN670" s="624"/>
      <c r="AO670" s="624"/>
      <c r="AP670" s="624"/>
      <c r="AQ670" s="624"/>
      <c r="AR670" s="624"/>
      <c r="AS670" s="624"/>
      <c r="AT670" s="624"/>
    </row>
    <row r="671" ht="15.75" customHeight="1">
      <c r="AH671" s="624"/>
      <c r="AI671" s="624"/>
      <c r="AJ671" s="624"/>
      <c r="AK671" s="624"/>
      <c r="AL671" s="624"/>
      <c r="AM671" s="624"/>
      <c r="AN671" s="624"/>
      <c r="AO671" s="624"/>
      <c r="AP671" s="624"/>
      <c r="AQ671" s="624"/>
      <c r="AR671" s="624"/>
      <c r="AS671" s="624"/>
      <c r="AT671" s="624"/>
    </row>
    <row r="672" ht="15.75" customHeight="1">
      <c r="AH672" s="624"/>
      <c r="AI672" s="624"/>
      <c r="AJ672" s="624"/>
      <c r="AK672" s="624"/>
      <c r="AL672" s="624"/>
      <c r="AM672" s="624"/>
      <c r="AN672" s="624"/>
      <c r="AO672" s="624"/>
      <c r="AP672" s="624"/>
      <c r="AQ672" s="624"/>
      <c r="AR672" s="624"/>
      <c r="AS672" s="624"/>
      <c r="AT672" s="624"/>
    </row>
    <row r="673" ht="15.75" customHeight="1">
      <c r="AH673" s="624"/>
      <c r="AI673" s="624"/>
      <c r="AJ673" s="624"/>
      <c r="AK673" s="624"/>
      <c r="AL673" s="624"/>
      <c r="AM673" s="624"/>
      <c r="AN673" s="624"/>
      <c r="AO673" s="624"/>
      <c r="AP673" s="624"/>
      <c r="AQ673" s="624"/>
      <c r="AR673" s="624"/>
      <c r="AS673" s="624"/>
      <c r="AT673" s="624"/>
    </row>
    <row r="674" ht="15.75" customHeight="1">
      <c r="AH674" s="624"/>
      <c r="AI674" s="624"/>
      <c r="AJ674" s="624"/>
      <c r="AK674" s="624"/>
      <c r="AL674" s="624"/>
      <c r="AM674" s="624"/>
      <c r="AN674" s="624"/>
      <c r="AO674" s="624"/>
      <c r="AP674" s="624"/>
      <c r="AQ674" s="624"/>
      <c r="AR674" s="624"/>
      <c r="AS674" s="624"/>
      <c r="AT674" s="624"/>
    </row>
    <row r="675" ht="15.75" customHeight="1">
      <c r="AH675" s="624"/>
      <c r="AI675" s="624"/>
      <c r="AJ675" s="624"/>
      <c r="AK675" s="624"/>
      <c r="AL675" s="624"/>
      <c r="AM675" s="624"/>
      <c r="AN675" s="624"/>
      <c r="AO675" s="624"/>
      <c r="AP675" s="624"/>
      <c r="AQ675" s="624"/>
      <c r="AR675" s="624"/>
      <c r="AS675" s="624"/>
      <c r="AT675" s="624"/>
    </row>
    <row r="676" ht="15.75" customHeight="1">
      <c r="AH676" s="624"/>
      <c r="AI676" s="624"/>
      <c r="AJ676" s="624"/>
      <c r="AK676" s="624"/>
      <c r="AL676" s="624"/>
      <c r="AM676" s="624"/>
      <c r="AN676" s="624"/>
      <c r="AO676" s="624"/>
      <c r="AP676" s="624"/>
      <c r="AQ676" s="624"/>
      <c r="AR676" s="624"/>
      <c r="AS676" s="624"/>
      <c r="AT676" s="624"/>
    </row>
    <row r="677" ht="15.75" customHeight="1">
      <c r="AH677" s="624"/>
      <c r="AI677" s="624"/>
      <c r="AJ677" s="624"/>
      <c r="AK677" s="624"/>
      <c r="AL677" s="624"/>
      <c r="AM677" s="624"/>
      <c r="AN677" s="624"/>
      <c r="AO677" s="624"/>
      <c r="AP677" s="624"/>
      <c r="AQ677" s="624"/>
      <c r="AR677" s="624"/>
      <c r="AS677" s="624"/>
      <c r="AT677" s="624"/>
    </row>
    <row r="678" ht="15.75" customHeight="1">
      <c r="AH678" s="624"/>
      <c r="AI678" s="624"/>
      <c r="AJ678" s="624"/>
      <c r="AK678" s="624"/>
      <c r="AL678" s="624"/>
      <c r="AM678" s="624"/>
      <c r="AN678" s="624"/>
      <c r="AO678" s="624"/>
      <c r="AP678" s="624"/>
      <c r="AQ678" s="624"/>
      <c r="AR678" s="624"/>
      <c r="AS678" s="624"/>
      <c r="AT678" s="624"/>
    </row>
    <row r="679" ht="15.75" customHeight="1">
      <c r="AH679" s="624"/>
      <c r="AI679" s="624"/>
      <c r="AJ679" s="624"/>
      <c r="AK679" s="624"/>
      <c r="AL679" s="624"/>
      <c r="AM679" s="624"/>
      <c r="AN679" s="624"/>
      <c r="AO679" s="624"/>
      <c r="AP679" s="624"/>
      <c r="AQ679" s="624"/>
      <c r="AR679" s="624"/>
      <c r="AS679" s="624"/>
      <c r="AT679" s="624"/>
    </row>
    <row r="680" ht="15.75" customHeight="1">
      <c r="AH680" s="624"/>
      <c r="AI680" s="624"/>
      <c r="AJ680" s="624"/>
      <c r="AK680" s="624"/>
      <c r="AL680" s="624"/>
      <c r="AM680" s="624"/>
      <c r="AN680" s="624"/>
      <c r="AO680" s="624"/>
      <c r="AP680" s="624"/>
      <c r="AQ680" s="624"/>
      <c r="AR680" s="624"/>
      <c r="AS680" s="624"/>
      <c r="AT680" s="624"/>
    </row>
    <row r="681" ht="15.75" customHeight="1">
      <c r="AH681" s="624"/>
      <c r="AI681" s="624"/>
      <c r="AJ681" s="624"/>
      <c r="AK681" s="624"/>
      <c r="AL681" s="624"/>
      <c r="AM681" s="624"/>
      <c r="AN681" s="624"/>
      <c r="AO681" s="624"/>
      <c r="AP681" s="624"/>
      <c r="AQ681" s="624"/>
      <c r="AR681" s="624"/>
      <c r="AS681" s="624"/>
      <c r="AT681" s="624"/>
    </row>
    <row r="682" ht="15.75" customHeight="1">
      <c r="AH682" s="624"/>
      <c r="AI682" s="624"/>
      <c r="AJ682" s="624"/>
      <c r="AK682" s="624"/>
      <c r="AL682" s="624"/>
      <c r="AM682" s="624"/>
      <c r="AN682" s="624"/>
      <c r="AO682" s="624"/>
      <c r="AP682" s="624"/>
      <c r="AQ682" s="624"/>
      <c r="AR682" s="624"/>
      <c r="AS682" s="624"/>
      <c r="AT682" s="624"/>
    </row>
    <row r="683" ht="15.75" customHeight="1">
      <c r="AH683" s="624"/>
      <c r="AI683" s="624"/>
      <c r="AJ683" s="624"/>
      <c r="AK683" s="624"/>
      <c r="AL683" s="624"/>
      <c r="AM683" s="624"/>
      <c r="AN683" s="624"/>
      <c r="AO683" s="624"/>
      <c r="AP683" s="624"/>
      <c r="AQ683" s="624"/>
      <c r="AR683" s="624"/>
      <c r="AS683" s="624"/>
      <c r="AT683" s="624"/>
    </row>
    <row r="684" ht="15.75" customHeight="1">
      <c r="AH684" s="624"/>
      <c r="AI684" s="624"/>
      <c r="AJ684" s="624"/>
      <c r="AK684" s="624"/>
      <c r="AL684" s="624"/>
      <c r="AM684" s="624"/>
      <c r="AN684" s="624"/>
      <c r="AO684" s="624"/>
      <c r="AP684" s="624"/>
      <c r="AQ684" s="624"/>
      <c r="AR684" s="624"/>
      <c r="AS684" s="624"/>
      <c r="AT684" s="624"/>
    </row>
    <row r="685" ht="15.75" customHeight="1">
      <c r="AH685" s="624"/>
      <c r="AI685" s="624"/>
      <c r="AJ685" s="624"/>
      <c r="AK685" s="624"/>
      <c r="AL685" s="624"/>
      <c r="AM685" s="624"/>
      <c r="AN685" s="624"/>
      <c r="AO685" s="624"/>
      <c r="AP685" s="624"/>
      <c r="AQ685" s="624"/>
      <c r="AR685" s="624"/>
      <c r="AS685" s="624"/>
      <c r="AT685" s="624"/>
    </row>
    <row r="686" ht="15.75" customHeight="1">
      <c r="AH686" s="624"/>
      <c r="AI686" s="624"/>
      <c r="AJ686" s="624"/>
      <c r="AK686" s="624"/>
      <c r="AL686" s="624"/>
      <c r="AM686" s="624"/>
      <c r="AN686" s="624"/>
      <c r="AO686" s="624"/>
      <c r="AP686" s="624"/>
      <c r="AQ686" s="624"/>
      <c r="AR686" s="624"/>
      <c r="AS686" s="624"/>
      <c r="AT686" s="624"/>
    </row>
    <row r="687" ht="15.75" customHeight="1">
      <c r="AH687" s="624"/>
      <c r="AI687" s="624"/>
      <c r="AJ687" s="624"/>
      <c r="AK687" s="624"/>
      <c r="AL687" s="624"/>
      <c r="AM687" s="624"/>
      <c r="AN687" s="624"/>
      <c r="AO687" s="624"/>
      <c r="AP687" s="624"/>
      <c r="AQ687" s="624"/>
      <c r="AR687" s="624"/>
      <c r="AS687" s="624"/>
      <c r="AT687" s="624"/>
    </row>
    <row r="688" ht="15.75" customHeight="1">
      <c r="AH688" s="624"/>
      <c r="AI688" s="624"/>
      <c r="AJ688" s="624"/>
      <c r="AK688" s="624"/>
      <c r="AL688" s="624"/>
      <c r="AM688" s="624"/>
      <c r="AN688" s="624"/>
      <c r="AO688" s="624"/>
      <c r="AP688" s="624"/>
      <c r="AQ688" s="624"/>
      <c r="AR688" s="624"/>
      <c r="AS688" s="624"/>
      <c r="AT688" s="624"/>
    </row>
    <row r="689" ht="15.75" customHeight="1">
      <c r="AH689" s="624"/>
      <c r="AI689" s="624"/>
      <c r="AJ689" s="624"/>
      <c r="AK689" s="624"/>
      <c r="AL689" s="624"/>
      <c r="AM689" s="624"/>
      <c r="AN689" s="624"/>
      <c r="AO689" s="624"/>
      <c r="AP689" s="624"/>
      <c r="AQ689" s="624"/>
      <c r="AR689" s="624"/>
      <c r="AS689" s="624"/>
      <c r="AT689" s="624"/>
    </row>
    <row r="690" ht="15.75" customHeight="1">
      <c r="AH690" s="624"/>
      <c r="AI690" s="624"/>
      <c r="AJ690" s="624"/>
      <c r="AK690" s="624"/>
      <c r="AL690" s="624"/>
      <c r="AM690" s="624"/>
      <c r="AN690" s="624"/>
      <c r="AO690" s="624"/>
      <c r="AP690" s="624"/>
      <c r="AQ690" s="624"/>
      <c r="AR690" s="624"/>
      <c r="AS690" s="624"/>
      <c r="AT690" s="624"/>
    </row>
    <row r="691" ht="15.75" customHeight="1">
      <c r="AH691" s="624"/>
      <c r="AI691" s="624"/>
      <c r="AJ691" s="624"/>
      <c r="AK691" s="624"/>
      <c r="AL691" s="624"/>
      <c r="AM691" s="624"/>
      <c r="AN691" s="624"/>
      <c r="AO691" s="624"/>
      <c r="AP691" s="624"/>
      <c r="AQ691" s="624"/>
      <c r="AR691" s="624"/>
      <c r="AS691" s="624"/>
      <c r="AT691" s="624"/>
    </row>
    <row r="692" ht="15.75" customHeight="1">
      <c r="AH692" s="624"/>
      <c r="AI692" s="624"/>
      <c r="AJ692" s="624"/>
      <c r="AK692" s="624"/>
      <c r="AL692" s="624"/>
      <c r="AM692" s="624"/>
      <c r="AN692" s="624"/>
      <c r="AO692" s="624"/>
      <c r="AP692" s="624"/>
      <c r="AQ692" s="624"/>
      <c r="AR692" s="624"/>
      <c r="AS692" s="624"/>
      <c r="AT692" s="624"/>
    </row>
    <row r="693" ht="15.75" customHeight="1">
      <c r="AH693" s="624"/>
      <c r="AI693" s="624"/>
      <c r="AJ693" s="624"/>
      <c r="AK693" s="624"/>
      <c r="AL693" s="624"/>
      <c r="AM693" s="624"/>
      <c r="AN693" s="624"/>
      <c r="AO693" s="624"/>
      <c r="AP693" s="624"/>
      <c r="AQ693" s="624"/>
      <c r="AR693" s="624"/>
      <c r="AS693" s="624"/>
      <c r="AT693" s="624"/>
    </row>
    <row r="694" ht="15.75" customHeight="1">
      <c r="AH694" s="624"/>
      <c r="AI694" s="624"/>
      <c r="AJ694" s="624"/>
      <c r="AK694" s="624"/>
      <c r="AL694" s="624"/>
      <c r="AM694" s="624"/>
      <c r="AN694" s="624"/>
      <c r="AO694" s="624"/>
      <c r="AP694" s="624"/>
      <c r="AQ694" s="624"/>
      <c r="AR694" s="624"/>
      <c r="AS694" s="624"/>
      <c r="AT694" s="624"/>
    </row>
    <row r="695" ht="15.75" customHeight="1">
      <c r="AH695" s="624"/>
      <c r="AI695" s="624"/>
      <c r="AJ695" s="624"/>
      <c r="AK695" s="624"/>
      <c r="AL695" s="624"/>
      <c r="AM695" s="624"/>
      <c r="AN695" s="624"/>
      <c r="AO695" s="624"/>
      <c r="AP695" s="624"/>
      <c r="AQ695" s="624"/>
      <c r="AR695" s="624"/>
      <c r="AS695" s="624"/>
      <c r="AT695" s="624"/>
    </row>
    <row r="696" ht="15.75" customHeight="1">
      <c r="AH696" s="624"/>
      <c r="AI696" s="624"/>
      <c r="AJ696" s="624"/>
      <c r="AK696" s="624"/>
      <c r="AL696" s="624"/>
      <c r="AM696" s="624"/>
      <c r="AN696" s="624"/>
      <c r="AO696" s="624"/>
      <c r="AP696" s="624"/>
      <c r="AQ696" s="624"/>
      <c r="AR696" s="624"/>
      <c r="AS696" s="624"/>
      <c r="AT696" s="624"/>
    </row>
    <row r="697" ht="15.75" customHeight="1">
      <c r="AH697" s="624"/>
      <c r="AI697" s="624"/>
      <c r="AJ697" s="624"/>
      <c r="AK697" s="624"/>
      <c r="AL697" s="624"/>
      <c r="AM697" s="624"/>
      <c r="AN697" s="624"/>
      <c r="AO697" s="624"/>
      <c r="AP697" s="624"/>
      <c r="AQ697" s="624"/>
      <c r="AR697" s="624"/>
      <c r="AS697" s="624"/>
      <c r="AT697" s="624"/>
    </row>
    <row r="698" ht="15.75" customHeight="1">
      <c r="AH698" s="624"/>
      <c r="AI698" s="624"/>
      <c r="AJ698" s="624"/>
      <c r="AK698" s="624"/>
      <c r="AL698" s="624"/>
      <c r="AM698" s="624"/>
      <c r="AN698" s="624"/>
      <c r="AO698" s="624"/>
      <c r="AP698" s="624"/>
      <c r="AQ698" s="624"/>
      <c r="AR698" s="624"/>
      <c r="AS698" s="624"/>
      <c r="AT698" s="624"/>
    </row>
    <row r="699" ht="15.75" customHeight="1">
      <c r="AH699" s="624"/>
      <c r="AI699" s="624"/>
      <c r="AJ699" s="624"/>
      <c r="AK699" s="624"/>
      <c r="AL699" s="624"/>
      <c r="AM699" s="624"/>
      <c r="AN699" s="624"/>
      <c r="AO699" s="624"/>
      <c r="AP699" s="624"/>
      <c r="AQ699" s="624"/>
      <c r="AR699" s="624"/>
      <c r="AS699" s="624"/>
      <c r="AT699" s="624"/>
    </row>
    <row r="700" ht="15.75" customHeight="1">
      <c r="AH700" s="624"/>
      <c r="AI700" s="624"/>
      <c r="AJ700" s="624"/>
      <c r="AK700" s="624"/>
      <c r="AL700" s="624"/>
      <c r="AM700" s="624"/>
      <c r="AN700" s="624"/>
      <c r="AO700" s="624"/>
      <c r="AP700" s="624"/>
      <c r="AQ700" s="624"/>
      <c r="AR700" s="624"/>
      <c r="AS700" s="624"/>
      <c r="AT700" s="624"/>
    </row>
    <row r="701" ht="15.75" customHeight="1">
      <c r="AH701" s="624"/>
      <c r="AI701" s="624"/>
      <c r="AJ701" s="624"/>
      <c r="AK701" s="624"/>
      <c r="AL701" s="624"/>
      <c r="AM701" s="624"/>
      <c r="AN701" s="624"/>
      <c r="AO701" s="624"/>
      <c r="AP701" s="624"/>
      <c r="AQ701" s="624"/>
      <c r="AR701" s="624"/>
      <c r="AS701" s="624"/>
      <c r="AT701" s="624"/>
    </row>
    <row r="702" ht="15.75" customHeight="1">
      <c r="AH702" s="624"/>
      <c r="AI702" s="624"/>
      <c r="AJ702" s="624"/>
      <c r="AK702" s="624"/>
      <c r="AL702" s="624"/>
      <c r="AM702" s="624"/>
      <c r="AN702" s="624"/>
      <c r="AO702" s="624"/>
      <c r="AP702" s="624"/>
      <c r="AQ702" s="624"/>
      <c r="AR702" s="624"/>
      <c r="AS702" s="624"/>
      <c r="AT702" s="624"/>
    </row>
    <row r="703" ht="15.75" customHeight="1">
      <c r="AH703" s="624"/>
      <c r="AI703" s="624"/>
      <c r="AJ703" s="624"/>
      <c r="AK703" s="624"/>
      <c r="AL703" s="624"/>
      <c r="AM703" s="624"/>
      <c r="AN703" s="624"/>
      <c r="AO703" s="624"/>
      <c r="AP703" s="624"/>
      <c r="AQ703" s="624"/>
      <c r="AR703" s="624"/>
      <c r="AS703" s="624"/>
      <c r="AT703" s="624"/>
    </row>
    <row r="704" ht="15.75" customHeight="1">
      <c r="AH704" s="624"/>
      <c r="AI704" s="624"/>
      <c r="AJ704" s="624"/>
      <c r="AK704" s="624"/>
      <c r="AL704" s="624"/>
      <c r="AM704" s="624"/>
      <c r="AN704" s="624"/>
      <c r="AO704" s="624"/>
      <c r="AP704" s="624"/>
      <c r="AQ704" s="624"/>
      <c r="AR704" s="624"/>
      <c r="AS704" s="624"/>
      <c r="AT704" s="624"/>
    </row>
    <row r="705" ht="15.75" customHeight="1">
      <c r="AH705" s="624"/>
      <c r="AI705" s="624"/>
      <c r="AJ705" s="624"/>
      <c r="AK705" s="624"/>
      <c r="AL705" s="624"/>
      <c r="AM705" s="624"/>
      <c r="AN705" s="624"/>
      <c r="AO705" s="624"/>
      <c r="AP705" s="624"/>
      <c r="AQ705" s="624"/>
      <c r="AR705" s="624"/>
      <c r="AS705" s="624"/>
      <c r="AT705" s="624"/>
    </row>
    <row r="706" ht="15.75" customHeight="1">
      <c r="AH706" s="624"/>
      <c r="AI706" s="624"/>
      <c r="AJ706" s="624"/>
      <c r="AK706" s="624"/>
      <c r="AL706" s="624"/>
      <c r="AM706" s="624"/>
      <c r="AN706" s="624"/>
      <c r="AO706" s="624"/>
      <c r="AP706" s="624"/>
      <c r="AQ706" s="624"/>
      <c r="AR706" s="624"/>
      <c r="AS706" s="624"/>
      <c r="AT706" s="624"/>
    </row>
    <row r="707" ht="15.75" customHeight="1">
      <c r="AH707" s="624"/>
      <c r="AI707" s="624"/>
      <c r="AJ707" s="624"/>
      <c r="AK707" s="624"/>
      <c r="AL707" s="624"/>
      <c r="AM707" s="624"/>
      <c r="AN707" s="624"/>
      <c r="AO707" s="624"/>
      <c r="AP707" s="624"/>
      <c r="AQ707" s="624"/>
      <c r="AR707" s="624"/>
      <c r="AS707" s="624"/>
      <c r="AT707" s="624"/>
    </row>
    <row r="708" ht="15.75" customHeight="1">
      <c r="AH708" s="624"/>
      <c r="AI708" s="624"/>
      <c r="AJ708" s="624"/>
      <c r="AK708" s="624"/>
      <c r="AL708" s="624"/>
      <c r="AM708" s="624"/>
      <c r="AN708" s="624"/>
      <c r="AO708" s="624"/>
      <c r="AP708" s="624"/>
      <c r="AQ708" s="624"/>
      <c r="AR708" s="624"/>
      <c r="AS708" s="624"/>
      <c r="AT708" s="624"/>
    </row>
    <row r="709" ht="15.75" customHeight="1">
      <c r="AH709" s="624"/>
      <c r="AI709" s="624"/>
      <c r="AJ709" s="624"/>
      <c r="AK709" s="624"/>
      <c r="AL709" s="624"/>
      <c r="AM709" s="624"/>
      <c r="AN709" s="624"/>
      <c r="AO709" s="624"/>
      <c r="AP709" s="624"/>
      <c r="AQ709" s="624"/>
      <c r="AR709" s="624"/>
      <c r="AS709" s="624"/>
      <c r="AT709" s="624"/>
    </row>
    <row r="710" ht="15.75" customHeight="1">
      <c r="AH710" s="624"/>
      <c r="AI710" s="624"/>
      <c r="AJ710" s="624"/>
      <c r="AK710" s="624"/>
      <c r="AL710" s="624"/>
      <c r="AM710" s="624"/>
      <c r="AN710" s="624"/>
      <c r="AO710" s="624"/>
      <c r="AP710" s="624"/>
      <c r="AQ710" s="624"/>
      <c r="AR710" s="624"/>
      <c r="AS710" s="624"/>
      <c r="AT710" s="624"/>
    </row>
    <row r="711" ht="15.75" customHeight="1">
      <c r="AH711" s="624"/>
      <c r="AI711" s="624"/>
      <c r="AJ711" s="624"/>
      <c r="AK711" s="624"/>
      <c r="AL711" s="624"/>
      <c r="AM711" s="624"/>
      <c r="AN711" s="624"/>
      <c r="AO711" s="624"/>
      <c r="AP711" s="624"/>
      <c r="AQ711" s="624"/>
      <c r="AR711" s="624"/>
      <c r="AS711" s="624"/>
      <c r="AT711" s="624"/>
    </row>
    <row r="712" ht="15.75" customHeight="1">
      <c r="AH712" s="624"/>
      <c r="AI712" s="624"/>
      <c r="AJ712" s="624"/>
      <c r="AK712" s="624"/>
      <c r="AL712" s="624"/>
      <c r="AM712" s="624"/>
      <c r="AN712" s="624"/>
      <c r="AO712" s="624"/>
      <c r="AP712" s="624"/>
      <c r="AQ712" s="624"/>
      <c r="AR712" s="624"/>
      <c r="AS712" s="624"/>
      <c r="AT712" s="624"/>
    </row>
    <row r="713" ht="15.75" customHeight="1">
      <c r="AH713" s="624"/>
      <c r="AI713" s="624"/>
      <c r="AJ713" s="624"/>
      <c r="AK713" s="624"/>
      <c r="AL713" s="624"/>
      <c r="AM713" s="624"/>
      <c r="AN713" s="624"/>
      <c r="AO713" s="624"/>
      <c r="AP713" s="624"/>
      <c r="AQ713" s="624"/>
      <c r="AR713" s="624"/>
      <c r="AS713" s="624"/>
      <c r="AT713" s="624"/>
    </row>
    <row r="714" ht="15.75" customHeight="1">
      <c r="AH714" s="624"/>
      <c r="AI714" s="624"/>
      <c r="AJ714" s="624"/>
      <c r="AK714" s="624"/>
      <c r="AL714" s="624"/>
      <c r="AM714" s="624"/>
      <c r="AN714" s="624"/>
      <c r="AO714" s="624"/>
      <c r="AP714" s="624"/>
      <c r="AQ714" s="624"/>
      <c r="AR714" s="624"/>
      <c r="AS714" s="624"/>
      <c r="AT714" s="624"/>
    </row>
    <row r="715" ht="15.75" customHeight="1">
      <c r="AH715" s="624"/>
      <c r="AI715" s="624"/>
      <c r="AJ715" s="624"/>
      <c r="AK715" s="624"/>
      <c r="AL715" s="624"/>
      <c r="AM715" s="624"/>
      <c r="AN715" s="624"/>
      <c r="AO715" s="624"/>
      <c r="AP715" s="624"/>
      <c r="AQ715" s="624"/>
      <c r="AR715" s="624"/>
      <c r="AS715" s="624"/>
      <c r="AT715" s="624"/>
    </row>
    <row r="716" ht="15.75" customHeight="1">
      <c r="AH716" s="624"/>
      <c r="AI716" s="624"/>
      <c r="AJ716" s="624"/>
      <c r="AK716" s="624"/>
      <c r="AL716" s="624"/>
      <c r="AM716" s="624"/>
      <c r="AN716" s="624"/>
      <c r="AO716" s="624"/>
      <c r="AP716" s="624"/>
      <c r="AQ716" s="624"/>
      <c r="AR716" s="624"/>
      <c r="AS716" s="624"/>
      <c r="AT716" s="624"/>
    </row>
    <row r="717" ht="15.75" customHeight="1">
      <c r="AH717" s="624"/>
      <c r="AI717" s="624"/>
      <c r="AJ717" s="624"/>
      <c r="AK717" s="624"/>
      <c r="AL717" s="624"/>
      <c r="AM717" s="624"/>
      <c r="AN717" s="624"/>
      <c r="AO717" s="624"/>
      <c r="AP717" s="624"/>
      <c r="AQ717" s="624"/>
      <c r="AR717" s="624"/>
      <c r="AS717" s="624"/>
      <c r="AT717" s="624"/>
    </row>
    <row r="718" ht="15.75" customHeight="1">
      <c r="AH718" s="624"/>
      <c r="AI718" s="624"/>
      <c r="AJ718" s="624"/>
      <c r="AK718" s="624"/>
      <c r="AL718" s="624"/>
      <c r="AM718" s="624"/>
      <c r="AN718" s="624"/>
      <c r="AO718" s="624"/>
      <c r="AP718" s="624"/>
      <c r="AQ718" s="624"/>
      <c r="AR718" s="624"/>
      <c r="AS718" s="624"/>
      <c r="AT718" s="624"/>
    </row>
    <row r="719" ht="15.75" customHeight="1">
      <c r="AH719" s="624"/>
      <c r="AI719" s="624"/>
      <c r="AJ719" s="624"/>
      <c r="AK719" s="624"/>
      <c r="AL719" s="624"/>
      <c r="AM719" s="624"/>
      <c r="AN719" s="624"/>
      <c r="AO719" s="624"/>
      <c r="AP719" s="624"/>
      <c r="AQ719" s="624"/>
      <c r="AR719" s="624"/>
      <c r="AS719" s="624"/>
      <c r="AT719" s="624"/>
    </row>
    <row r="720" ht="15.75" customHeight="1">
      <c r="AH720" s="624"/>
      <c r="AI720" s="624"/>
      <c r="AJ720" s="624"/>
      <c r="AK720" s="624"/>
      <c r="AL720" s="624"/>
      <c r="AM720" s="624"/>
      <c r="AN720" s="624"/>
      <c r="AO720" s="624"/>
      <c r="AP720" s="624"/>
      <c r="AQ720" s="624"/>
      <c r="AR720" s="624"/>
      <c r="AS720" s="624"/>
      <c r="AT720" s="624"/>
    </row>
    <row r="721" ht="15.75" customHeight="1">
      <c r="AH721" s="624"/>
      <c r="AI721" s="624"/>
      <c r="AJ721" s="624"/>
      <c r="AK721" s="624"/>
      <c r="AL721" s="624"/>
      <c r="AM721" s="624"/>
      <c r="AN721" s="624"/>
      <c r="AO721" s="624"/>
      <c r="AP721" s="624"/>
      <c r="AQ721" s="624"/>
      <c r="AR721" s="624"/>
      <c r="AS721" s="624"/>
      <c r="AT721" s="624"/>
    </row>
    <row r="722" ht="15.75" customHeight="1">
      <c r="AH722" s="624"/>
      <c r="AI722" s="624"/>
      <c r="AJ722" s="624"/>
      <c r="AK722" s="624"/>
      <c r="AL722" s="624"/>
      <c r="AM722" s="624"/>
      <c r="AN722" s="624"/>
      <c r="AO722" s="624"/>
      <c r="AP722" s="624"/>
      <c r="AQ722" s="624"/>
      <c r="AR722" s="624"/>
      <c r="AS722" s="624"/>
      <c r="AT722" s="624"/>
    </row>
    <row r="723" ht="15.75" customHeight="1">
      <c r="AH723" s="624"/>
      <c r="AI723" s="624"/>
      <c r="AJ723" s="624"/>
      <c r="AK723" s="624"/>
      <c r="AL723" s="624"/>
      <c r="AM723" s="624"/>
      <c r="AN723" s="624"/>
      <c r="AO723" s="624"/>
      <c r="AP723" s="624"/>
      <c r="AQ723" s="624"/>
      <c r="AR723" s="624"/>
      <c r="AS723" s="624"/>
      <c r="AT723" s="624"/>
    </row>
    <row r="724" ht="15.75" customHeight="1">
      <c r="AH724" s="624"/>
      <c r="AI724" s="624"/>
      <c r="AJ724" s="624"/>
      <c r="AK724" s="624"/>
      <c r="AL724" s="624"/>
      <c r="AM724" s="624"/>
      <c r="AN724" s="624"/>
      <c r="AO724" s="624"/>
      <c r="AP724" s="624"/>
      <c r="AQ724" s="624"/>
      <c r="AR724" s="624"/>
      <c r="AS724" s="624"/>
      <c r="AT724" s="624"/>
    </row>
    <row r="725" ht="15.75" customHeight="1">
      <c r="AH725" s="624"/>
      <c r="AI725" s="624"/>
      <c r="AJ725" s="624"/>
      <c r="AK725" s="624"/>
      <c r="AL725" s="624"/>
      <c r="AM725" s="624"/>
      <c r="AN725" s="624"/>
      <c r="AO725" s="624"/>
      <c r="AP725" s="624"/>
      <c r="AQ725" s="624"/>
      <c r="AR725" s="624"/>
      <c r="AS725" s="624"/>
      <c r="AT725" s="624"/>
    </row>
    <row r="726" ht="15.75" customHeight="1">
      <c r="AH726" s="624"/>
      <c r="AI726" s="624"/>
      <c r="AJ726" s="624"/>
      <c r="AK726" s="624"/>
      <c r="AL726" s="624"/>
      <c r="AM726" s="624"/>
      <c r="AN726" s="624"/>
      <c r="AO726" s="624"/>
      <c r="AP726" s="624"/>
      <c r="AQ726" s="624"/>
      <c r="AR726" s="624"/>
      <c r="AS726" s="624"/>
      <c r="AT726" s="624"/>
    </row>
    <row r="727" ht="15.75" customHeight="1">
      <c r="AH727" s="624"/>
      <c r="AI727" s="624"/>
      <c r="AJ727" s="624"/>
      <c r="AK727" s="624"/>
      <c r="AL727" s="624"/>
      <c r="AM727" s="624"/>
      <c r="AN727" s="624"/>
      <c r="AO727" s="624"/>
      <c r="AP727" s="624"/>
      <c r="AQ727" s="624"/>
      <c r="AR727" s="624"/>
      <c r="AS727" s="624"/>
      <c r="AT727" s="624"/>
    </row>
    <row r="728" ht="15.75" customHeight="1">
      <c r="AH728" s="624"/>
      <c r="AI728" s="624"/>
      <c r="AJ728" s="624"/>
      <c r="AK728" s="624"/>
      <c r="AL728" s="624"/>
      <c r="AM728" s="624"/>
      <c r="AN728" s="624"/>
      <c r="AO728" s="624"/>
      <c r="AP728" s="624"/>
      <c r="AQ728" s="624"/>
      <c r="AR728" s="624"/>
      <c r="AS728" s="624"/>
      <c r="AT728" s="624"/>
    </row>
    <row r="729" ht="15.75" customHeight="1">
      <c r="AH729" s="624"/>
      <c r="AI729" s="624"/>
      <c r="AJ729" s="624"/>
      <c r="AK729" s="624"/>
      <c r="AL729" s="624"/>
      <c r="AM729" s="624"/>
      <c r="AN729" s="624"/>
      <c r="AO729" s="624"/>
      <c r="AP729" s="624"/>
      <c r="AQ729" s="624"/>
      <c r="AR729" s="624"/>
      <c r="AS729" s="624"/>
      <c r="AT729" s="624"/>
    </row>
    <row r="730" ht="15.75" customHeight="1">
      <c r="AH730" s="624"/>
      <c r="AI730" s="624"/>
      <c r="AJ730" s="624"/>
      <c r="AK730" s="624"/>
      <c r="AL730" s="624"/>
      <c r="AM730" s="624"/>
      <c r="AN730" s="624"/>
      <c r="AO730" s="624"/>
      <c r="AP730" s="624"/>
      <c r="AQ730" s="624"/>
      <c r="AR730" s="624"/>
      <c r="AS730" s="624"/>
      <c r="AT730" s="624"/>
    </row>
    <row r="731" ht="15.75" customHeight="1">
      <c r="AH731" s="624"/>
      <c r="AI731" s="624"/>
      <c r="AJ731" s="624"/>
      <c r="AK731" s="624"/>
      <c r="AL731" s="624"/>
      <c r="AM731" s="624"/>
      <c r="AN731" s="624"/>
      <c r="AO731" s="624"/>
      <c r="AP731" s="624"/>
      <c r="AQ731" s="624"/>
      <c r="AR731" s="624"/>
      <c r="AS731" s="624"/>
      <c r="AT731" s="624"/>
    </row>
    <row r="732" ht="15.75" customHeight="1">
      <c r="AH732" s="624"/>
      <c r="AI732" s="624"/>
      <c r="AJ732" s="624"/>
      <c r="AK732" s="624"/>
      <c r="AL732" s="624"/>
      <c r="AM732" s="624"/>
      <c r="AN732" s="624"/>
      <c r="AO732" s="624"/>
      <c r="AP732" s="624"/>
      <c r="AQ732" s="624"/>
      <c r="AR732" s="624"/>
      <c r="AS732" s="624"/>
      <c r="AT732" s="624"/>
    </row>
    <row r="733" ht="15.75" customHeight="1">
      <c r="AH733" s="624"/>
      <c r="AI733" s="624"/>
      <c r="AJ733" s="624"/>
      <c r="AK733" s="624"/>
      <c r="AL733" s="624"/>
      <c r="AM733" s="624"/>
      <c r="AN733" s="624"/>
      <c r="AO733" s="624"/>
      <c r="AP733" s="624"/>
      <c r="AQ733" s="624"/>
      <c r="AR733" s="624"/>
      <c r="AS733" s="624"/>
      <c r="AT733" s="624"/>
    </row>
    <row r="734" ht="15.75" customHeight="1">
      <c r="AH734" s="624"/>
      <c r="AI734" s="624"/>
      <c r="AJ734" s="624"/>
      <c r="AK734" s="624"/>
      <c r="AL734" s="624"/>
      <c r="AM734" s="624"/>
      <c r="AN734" s="624"/>
      <c r="AO734" s="624"/>
      <c r="AP734" s="624"/>
      <c r="AQ734" s="624"/>
      <c r="AR734" s="624"/>
      <c r="AS734" s="624"/>
      <c r="AT734" s="624"/>
    </row>
    <row r="735" ht="15.75" customHeight="1">
      <c r="AH735" s="624"/>
      <c r="AI735" s="624"/>
      <c r="AJ735" s="624"/>
      <c r="AK735" s="624"/>
      <c r="AL735" s="624"/>
      <c r="AM735" s="624"/>
      <c r="AN735" s="624"/>
      <c r="AO735" s="624"/>
      <c r="AP735" s="624"/>
      <c r="AQ735" s="624"/>
      <c r="AR735" s="624"/>
      <c r="AS735" s="624"/>
      <c r="AT735" s="624"/>
    </row>
    <row r="736" ht="15.75" customHeight="1">
      <c r="AH736" s="624"/>
      <c r="AI736" s="624"/>
      <c r="AJ736" s="624"/>
      <c r="AK736" s="624"/>
      <c r="AL736" s="624"/>
      <c r="AM736" s="624"/>
      <c r="AN736" s="624"/>
      <c r="AO736" s="624"/>
      <c r="AP736" s="624"/>
      <c r="AQ736" s="624"/>
      <c r="AR736" s="624"/>
      <c r="AS736" s="624"/>
      <c r="AT736" s="624"/>
    </row>
    <row r="737" ht="15.75" customHeight="1">
      <c r="AH737" s="624"/>
      <c r="AI737" s="624"/>
      <c r="AJ737" s="624"/>
      <c r="AK737" s="624"/>
      <c r="AL737" s="624"/>
      <c r="AM737" s="624"/>
      <c r="AN737" s="624"/>
      <c r="AO737" s="624"/>
      <c r="AP737" s="624"/>
      <c r="AQ737" s="624"/>
      <c r="AR737" s="624"/>
      <c r="AS737" s="624"/>
      <c r="AT737" s="624"/>
    </row>
    <row r="738" ht="15.75" customHeight="1">
      <c r="AH738" s="624"/>
      <c r="AI738" s="624"/>
      <c r="AJ738" s="624"/>
      <c r="AK738" s="624"/>
      <c r="AL738" s="624"/>
      <c r="AM738" s="624"/>
      <c r="AN738" s="624"/>
      <c r="AO738" s="624"/>
      <c r="AP738" s="624"/>
      <c r="AQ738" s="624"/>
      <c r="AR738" s="624"/>
      <c r="AS738" s="624"/>
      <c r="AT738" s="624"/>
    </row>
    <row r="739" ht="15.75" customHeight="1">
      <c r="AH739" s="624"/>
      <c r="AI739" s="624"/>
      <c r="AJ739" s="624"/>
      <c r="AK739" s="624"/>
      <c r="AL739" s="624"/>
      <c r="AM739" s="624"/>
      <c r="AN739" s="624"/>
      <c r="AO739" s="624"/>
      <c r="AP739" s="624"/>
      <c r="AQ739" s="624"/>
      <c r="AR739" s="624"/>
      <c r="AS739" s="624"/>
      <c r="AT739" s="624"/>
    </row>
    <row r="740" ht="15.75" customHeight="1">
      <c r="AH740" s="624"/>
      <c r="AI740" s="624"/>
      <c r="AJ740" s="624"/>
      <c r="AK740" s="624"/>
      <c r="AL740" s="624"/>
      <c r="AM740" s="624"/>
      <c r="AN740" s="624"/>
      <c r="AO740" s="624"/>
      <c r="AP740" s="624"/>
      <c r="AQ740" s="624"/>
      <c r="AR740" s="624"/>
      <c r="AS740" s="624"/>
      <c r="AT740" s="624"/>
    </row>
    <row r="741" ht="15.75" customHeight="1">
      <c r="AH741" s="624"/>
      <c r="AI741" s="624"/>
      <c r="AJ741" s="624"/>
      <c r="AK741" s="624"/>
      <c r="AL741" s="624"/>
      <c r="AM741" s="624"/>
      <c r="AN741" s="624"/>
      <c r="AO741" s="624"/>
      <c r="AP741" s="624"/>
      <c r="AQ741" s="624"/>
      <c r="AR741" s="624"/>
      <c r="AS741" s="624"/>
      <c r="AT741" s="624"/>
    </row>
    <row r="742" ht="15.75" customHeight="1">
      <c r="AH742" s="624"/>
      <c r="AI742" s="624"/>
      <c r="AJ742" s="624"/>
      <c r="AK742" s="624"/>
      <c r="AL742" s="624"/>
      <c r="AM742" s="624"/>
      <c r="AN742" s="624"/>
      <c r="AO742" s="624"/>
      <c r="AP742" s="624"/>
      <c r="AQ742" s="624"/>
      <c r="AR742" s="624"/>
      <c r="AS742" s="624"/>
      <c r="AT742" s="624"/>
    </row>
    <row r="743" ht="15.75" customHeight="1">
      <c r="AH743" s="624"/>
      <c r="AI743" s="624"/>
      <c r="AJ743" s="624"/>
      <c r="AK743" s="624"/>
      <c r="AL743" s="624"/>
      <c r="AM743" s="624"/>
      <c r="AN743" s="624"/>
      <c r="AO743" s="624"/>
      <c r="AP743" s="624"/>
      <c r="AQ743" s="624"/>
      <c r="AR743" s="624"/>
      <c r="AS743" s="624"/>
      <c r="AT743" s="624"/>
    </row>
    <row r="744" ht="15.75" customHeight="1">
      <c r="AH744" s="624"/>
      <c r="AI744" s="624"/>
      <c r="AJ744" s="624"/>
      <c r="AK744" s="624"/>
      <c r="AL744" s="624"/>
      <c r="AM744" s="624"/>
      <c r="AN744" s="624"/>
      <c r="AO744" s="624"/>
      <c r="AP744" s="624"/>
      <c r="AQ744" s="624"/>
      <c r="AR744" s="624"/>
      <c r="AS744" s="624"/>
      <c r="AT744" s="624"/>
    </row>
    <row r="745" ht="15.75" customHeight="1">
      <c r="AH745" s="624"/>
      <c r="AI745" s="624"/>
      <c r="AJ745" s="624"/>
      <c r="AK745" s="624"/>
      <c r="AL745" s="624"/>
      <c r="AM745" s="624"/>
      <c r="AN745" s="624"/>
      <c r="AO745" s="624"/>
      <c r="AP745" s="624"/>
      <c r="AQ745" s="624"/>
      <c r="AR745" s="624"/>
      <c r="AS745" s="624"/>
      <c r="AT745" s="624"/>
    </row>
    <row r="746" ht="15.75" customHeight="1">
      <c r="AH746" s="624"/>
      <c r="AI746" s="624"/>
      <c r="AJ746" s="624"/>
      <c r="AK746" s="624"/>
      <c r="AL746" s="624"/>
      <c r="AM746" s="624"/>
      <c r="AN746" s="624"/>
      <c r="AO746" s="624"/>
      <c r="AP746" s="624"/>
      <c r="AQ746" s="624"/>
      <c r="AR746" s="624"/>
      <c r="AS746" s="624"/>
      <c r="AT746" s="624"/>
    </row>
    <row r="747" ht="15.75" customHeight="1">
      <c r="AH747" s="624"/>
      <c r="AI747" s="624"/>
      <c r="AJ747" s="624"/>
      <c r="AK747" s="624"/>
      <c r="AL747" s="624"/>
      <c r="AM747" s="624"/>
      <c r="AN747" s="624"/>
      <c r="AO747" s="624"/>
      <c r="AP747" s="624"/>
      <c r="AQ747" s="624"/>
      <c r="AR747" s="624"/>
      <c r="AS747" s="624"/>
      <c r="AT747" s="624"/>
    </row>
    <row r="748" ht="15.75" customHeight="1">
      <c r="AH748" s="624"/>
      <c r="AI748" s="624"/>
      <c r="AJ748" s="624"/>
      <c r="AK748" s="624"/>
      <c r="AL748" s="624"/>
      <c r="AM748" s="624"/>
      <c r="AN748" s="624"/>
      <c r="AO748" s="624"/>
      <c r="AP748" s="624"/>
      <c r="AQ748" s="624"/>
      <c r="AR748" s="624"/>
      <c r="AS748" s="624"/>
      <c r="AT748" s="624"/>
    </row>
    <row r="749" ht="15.75" customHeight="1">
      <c r="AH749" s="624"/>
      <c r="AI749" s="624"/>
      <c r="AJ749" s="624"/>
      <c r="AK749" s="624"/>
      <c r="AL749" s="624"/>
      <c r="AM749" s="624"/>
      <c r="AN749" s="624"/>
      <c r="AO749" s="624"/>
      <c r="AP749" s="624"/>
      <c r="AQ749" s="624"/>
      <c r="AR749" s="624"/>
      <c r="AS749" s="624"/>
      <c r="AT749" s="624"/>
    </row>
    <row r="750" ht="15.75" customHeight="1">
      <c r="AH750" s="624"/>
      <c r="AI750" s="624"/>
      <c r="AJ750" s="624"/>
      <c r="AK750" s="624"/>
      <c r="AL750" s="624"/>
      <c r="AM750" s="624"/>
      <c r="AN750" s="624"/>
      <c r="AO750" s="624"/>
      <c r="AP750" s="624"/>
      <c r="AQ750" s="624"/>
      <c r="AR750" s="624"/>
      <c r="AS750" s="624"/>
      <c r="AT750" s="624"/>
    </row>
    <row r="751" ht="15.75" customHeight="1">
      <c r="AH751" s="624"/>
      <c r="AI751" s="624"/>
      <c r="AJ751" s="624"/>
      <c r="AK751" s="624"/>
      <c r="AL751" s="624"/>
      <c r="AM751" s="624"/>
      <c r="AN751" s="624"/>
      <c r="AO751" s="624"/>
      <c r="AP751" s="624"/>
      <c r="AQ751" s="624"/>
      <c r="AR751" s="624"/>
      <c r="AS751" s="624"/>
      <c r="AT751" s="624"/>
    </row>
    <row r="752" ht="15.75" customHeight="1">
      <c r="AH752" s="624"/>
      <c r="AI752" s="624"/>
      <c r="AJ752" s="624"/>
      <c r="AK752" s="624"/>
      <c r="AL752" s="624"/>
      <c r="AM752" s="624"/>
      <c r="AN752" s="624"/>
      <c r="AO752" s="624"/>
      <c r="AP752" s="624"/>
      <c r="AQ752" s="624"/>
      <c r="AR752" s="624"/>
      <c r="AS752" s="624"/>
      <c r="AT752" s="624"/>
    </row>
    <row r="753" ht="15.75" customHeight="1">
      <c r="AH753" s="624"/>
      <c r="AI753" s="624"/>
      <c r="AJ753" s="624"/>
      <c r="AK753" s="624"/>
      <c r="AL753" s="624"/>
      <c r="AM753" s="624"/>
      <c r="AN753" s="624"/>
      <c r="AO753" s="624"/>
      <c r="AP753" s="624"/>
      <c r="AQ753" s="624"/>
      <c r="AR753" s="624"/>
      <c r="AS753" s="624"/>
      <c r="AT753" s="624"/>
    </row>
    <row r="754" ht="15.75" customHeight="1">
      <c r="AH754" s="624"/>
      <c r="AI754" s="624"/>
      <c r="AJ754" s="624"/>
      <c r="AK754" s="624"/>
      <c r="AL754" s="624"/>
      <c r="AM754" s="624"/>
      <c r="AN754" s="624"/>
      <c r="AO754" s="624"/>
      <c r="AP754" s="624"/>
      <c r="AQ754" s="624"/>
      <c r="AR754" s="624"/>
      <c r="AS754" s="624"/>
      <c r="AT754" s="624"/>
    </row>
    <row r="755" ht="15.75" customHeight="1">
      <c r="AH755" s="624"/>
      <c r="AI755" s="624"/>
      <c r="AJ755" s="624"/>
      <c r="AK755" s="624"/>
      <c r="AL755" s="624"/>
      <c r="AM755" s="624"/>
      <c r="AN755" s="624"/>
      <c r="AO755" s="624"/>
      <c r="AP755" s="624"/>
      <c r="AQ755" s="624"/>
      <c r="AR755" s="624"/>
      <c r="AS755" s="624"/>
      <c r="AT755" s="624"/>
    </row>
    <row r="756" ht="15.75" customHeight="1">
      <c r="AH756" s="624"/>
      <c r="AI756" s="624"/>
      <c r="AJ756" s="624"/>
      <c r="AK756" s="624"/>
      <c r="AL756" s="624"/>
      <c r="AM756" s="624"/>
      <c r="AN756" s="624"/>
      <c r="AO756" s="624"/>
      <c r="AP756" s="624"/>
      <c r="AQ756" s="624"/>
      <c r="AR756" s="624"/>
      <c r="AS756" s="624"/>
      <c r="AT756" s="624"/>
    </row>
    <row r="757" ht="15.75" customHeight="1">
      <c r="AH757" s="624"/>
      <c r="AI757" s="624"/>
      <c r="AJ757" s="624"/>
      <c r="AK757" s="624"/>
      <c r="AL757" s="624"/>
      <c r="AM757" s="624"/>
      <c r="AN757" s="624"/>
      <c r="AO757" s="624"/>
      <c r="AP757" s="624"/>
      <c r="AQ757" s="624"/>
      <c r="AR757" s="624"/>
      <c r="AS757" s="624"/>
      <c r="AT757" s="624"/>
    </row>
    <row r="758" ht="15.75" customHeight="1">
      <c r="AH758" s="624"/>
      <c r="AI758" s="624"/>
      <c r="AJ758" s="624"/>
      <c r="AK758" s="624"/>
      <c r="AL758" s="624"/>
      <c r="AM758" s="624"/>
      <c r="AN758" s="624"/>
      <c r="AO758" s="624"/>
      <c r="AP758" s="624"/>
      <c r="AQ758" s="624"/>
      <c r="AR758" s="624"/>
      <c r="AS758" s="624"/>
      <c r="AT758" s="624"/>
    </row>
    <row r="759" ht="15.75" customHeight="1">
      <c r="AH759" s="624"/>
      <c r="AI759" s="624"/>
      <c r="AJ759" s="624"/>
      <c r="AK759" s="624"/>
      <c r="AL759" s="624"/>
      <c r="AM759" s="624"/>
      <c r="AN759" s="624"/>
      <c r="AO759" s="624"/>
      <c r="AP759" s="624"/>
      <c r="AQ759" s="624"/>
      <c r="AR759" s="624"/>
      <c r="AS759" s="624"/>
      <c r="AT759" s="624"/>
    </row>
    <row r="760" ht="15.75" customHeight="1">
      <c r="AH760" s="624"/>
      <c r="AI760" s="624"/>
      <c r="AJ760" s="624"/>
      <c r="AK760" s="624"/>
      <c r="AL760" s="624"/>
      <c r="AM760" s="624"/>
      <c r="AN760" s="624"/>
      <c r="AO760" s="624"/>
      <c r="AP760" s="624"/>
      <c r="AQ760" s="624"/>
      <c r="AR760" s="624"/>
      <c r="AS760" s="624"/>
      <c r="AT760" s="624"/>
    </row>
    <row r="761" ht="15.75" customHeight="1">
      <c r="AH761" s="624"/>
      <c r="AI761" s="624"/>
      <c r="AJ761" s="624"/>
      <c r="AK761" s="624"/>
      <c r="AL761" s="624"/>
      <c r="AM761" s="624"/>
      <c r="AN761" s="624"/>
      <c r="AO761" s="624"/>
      <c r="AP761" s="624"/>
      <c r="AQ761" s="624"/>
      <c r="AR761" s="624"/>
      <c r="AS761" s="624"/>
      <c r="AT761" s="624"/>
    </row>
    <row r="762" ht="15.75" customHeight="1">
      <c r="AH762" s="624"/>
      <c r="AI762" s="624"/>
      <c r="AJ762" s="624"/>
      <c r="AK762" s="624"/>
      <c r="AL762" s="624"/>
      <c r="AM762" s="624"/>
      <c r="AN762" s="624"/>
      <c r="AO762" s="624"/>
      <c r="AP762" s="624"/>
      <c r="AQ762" s="624"/>
      <c r="AR762" s="624"/>
      <c r="AS762" s="624"/>
      <c r="AT762" s="624"/>
    </row>
    <row r="763" ht="15.75" customHeight="1">
      <c r="AH763" s="624"/>
      <c r="AI763" s="624"/>
      <c r="AJ763" s="624"/>
      <c r="AK763" s="624"/>
      <c r="AL763" s="624"/>
      <c r="AM763" s="624"/>
      <c r="AN763" s="624"/>
      <c r="AO763" s="624"/>
      <c r="AP763" s="624"/>
      <c r="AQ763" s="624"/>
      <c r="AR763" s="624"/>
      <c r="AS763" s="624"/>
      <c r="AT763" s="624"/>
    </row>
    <row r="764" ht="15.75" customHeight="1">
      <c r="AH764" s="624"/>
      <c r="AI764" s="624"/>
      <c r="AJ764" s="624"/>
      <c r="AK764" s="624"/>
      <c r="AL764" s="624"/>
      <c r="AM764" s="624"/>
      <c r="AN764" s="624"/>
      <c r="AO764" s="624"/>
      <c r="AP764" s="624"/>
      <c r="AQ764" s="624"/>
      <c r="AR764" s="624"/>
      <c r="AS764" s="624"/>
      <c r="AT764" s="624"/>
    </row>
    <row r="765" ht="15.75" customHeight="1">
      <c r="AH765" s="624"/>
      <c r="AI765" s="624"/>
      <c r="AJ765" s="624"/>
      <c r="AK765" s="624"/>
      <c r="AL765" s="624"/>
      <c r="AM765" s="624"/>
      <c r="AN765" s="624"/>
      <c r="AO765" s="624"/>
      <c r="AP765" s="624"/>
      <c r="AQ765" s="624"/>
      <c r="AR765" s="624"/>
      <c r="AS765" s="624"/>
      <c r="AT765" s="624"/>
    </row>
    <row r="766" ht="15.75" customHeight="1">
      <c r="AH766" s="624"/>
      <c r="AI766" s="624"/>
      <c r="AJ766" s="624"/>
      <c r="AK766" s="624"/>
      <c r="AL766" s="624"/>
      <c r="AM766" s="624"/>
      <c r="AN766" s="624"/>
      <c r="AO766" s="624"/>
      <c r="AP766" s="624"/>
      <c r="AQ766" s="624"/>
      <c r="AR766" s="624"/>
      <c r="AS766" s="624"/>
      <c r="AT766" s="624"/>
    </row>
    <row r="767" ht="15.75" customHeight="1">
      <c r="AH767" s="624"/>
      <c r="AI767" s="624"/>
      <c r="AJ767" s="624"/>
      <c r="AK767" s="624"/>
      <c r="AL767" s="624"/>
      <c r="AM767" s="624"/>
      <c r="AN767" s="624"/>
      <c r="AO767" s="624"/>
      <c r="AP767" s="624"/>
      <c r="AQ767" s="624"/>
      <c r="AR767" s="624"/>
      <c r="AS767" s="624"/>
      <c r="AT767" s="624"/>
    </row>
    <row r="768" ht="15.75" customHeight="1">
      <c r="AH768" s="624"/>
      <c r="AI768" s="624"/>
      <c r="AJ768" s="624"/>
      <c r="AK768" s="624"/>
      <c r="AL768" s="624"/>
      <c r="AM768" s="624"/>
      <c r="AN768" s="624"/>
      <c r="AO768" s="624"/>
      <c r="AP768" s="624"/>
      <c r="AQ768" s="624"/>
      <c r="AR768" s="624"/>
      <c r="AS768" s="624"/>
      <c r="AT768" s="624"/>
    </row>
    <row r="769" ht="15.75" customHeight="1">
      <c r="AH769" s="624"/>
      <c r="AI769" s="624"/>
      <c r="AJ769" s="624"/>
      <c r="AK769" s="624"/>
      <c r="AL769" s="624"/>
      <c r="AM769" s="624"/>
      <c r="AN769" s="624"/>
      <c r="AO769" s="624"/>
      <c r="AP769" s="624"/>
      <c r="AQ769" s="624"/>
      <c r="AR769" s="624"/>
      <c r="AS769" s="624"/>
      <c r="AT769" s="624"/>
    </row>
    <row r="770" ht="15.75" customHeight="1">
      <c r="AH770" s="624"/>
      <c r="AI770" s="624"/>
      <c r="AJ770" s="624"/>
      <c r="AK770" s="624"/>
      <c r="AL770" s="624"/>
      <c r="AM770" s="624"/>
      <c r="AN770" s="624"/>
      <c r="AO770" s="624"/>
      <c r="AP770" s="624"/>
      <c r="AQ770" s="624"/>
      <c r="AR770" s="624"/>
      <c r="AS770" s="624"/>
      <c r="AT770" s="624"/>
    </row>
    <row r="771" ht="15.75" customHeight="1">
      <c r="AH771" s="624"/>
      <c r="AI771" s="624"/>
      <c r="AJ771" s="624"/>
      <c r="AK771" s="624"/>
      <c r="AL771" s="624"/>
      <c r="AM771" s="624"/>
      <c r="AN771" s="624"/>
      <c r="AO771" s="624"/>
      <c r="AP771" s="624"/>
      <c r="AQ771" s="624"/>
      <c r="AR771" s="624"/>
      <c r="AS771" s="624"/>
      <c r="AT771" s="624"/>
    </row>
    <row r="772" ht="15.75" customHeight="1">
      <c r="AH772" s="624"/>
      <c r="AI772" s="624"/>
      <c r="AJ772" s="624"/>
      <c r="AK772" s="624"/>
      <c r="AL772" s="624"/>
      <c r="AM772" s="624"/>
      <c r="AN772" s="624"/>
      <c r="AO772" s="624"/>
      <c r="AP772" s="624"/>
      <c r="AQ772" s="624"/>
      <c r="AR772" s="624"/>
      <c r="AS772" s="624"/>
      <c r="AT772" s="624"/>
    </row>
    <row r="773" ht="15.75" customHeight="1">
      <c r="AH773" s="624"/>
      <c r="AI773" s="624"/>
      <c r="AJ773" s="624"/>
      <c r="AK773" s="624"/>
      <c r="AL773" s="624"/>
      <c r="AM773" s="624"/>
      <c r="AN773" s="624"/>
      <c r="AO773" s="624"/>
      <c r="AP773" s="624"/>
      <c r="AQ773" s="624"/>
      <c r="AR773" s="624"/>
      <c r="AS773" s="624"/>
      <c r="AT773" s="624"/>
    </row>
    <row r="774" ht="15.75" customHeight="1">
      <c r="AH774" s="624"/>
      <c r="AI774" s="624"/>
      <c r="AJ774" s="624"/>
      <c r="AK774" s="624"/>
      <c r="AL774" s="624"/>
      <c r="AM774" s="624"/>
      <c r="AN774" s="624"/>
      <c r="AO774" s="624"/>
      <c r="AP774" s="624"/>
      <c r="AQ774" s="624"/>
      <c r="AR774" s="624"/>
      <c r="AS774" s="624"/>
      <c r="AT774" s="624"/>
    </row>
    <row r="775" ht="15.75" customHeight="1">
      <c r="AH775" s="624"/>
      <c r="AI775" s="624"/>
      <c r="AJ775" s="624"/>
      <c r="AK775" s="624"/>
      <c r="AL775" s="624"/>
      <c r="AM775" s="624"/>
      <c r="AN775" s="624"/>
      <c r="AO775" s="624"/>
      <c r="AP775" s="624"/>
      <c r="AQ775" s="624"/>
      <c r="AR775" s="624"/>
      <c r="AS775" s="624"/>
      <c r="AT775" s="624"/>
    </row>
    <row r="776" ht="15.75" customHeight="1">
      <c r="AH776" s="624"/>
      <c r="AI776" s="624"/>
      <c r="AJ776" s="624"/>
      <c r="AK776" s="624"/>
      <c r="AL776" s="624"/>
      <c r="AM776" s="624"/>
      <c r="AN776" s="624"/>
      <c r="AO776" s="624"/>
      <c r="AP776" s="624"/>
      <c r="AQ776" s="624"/>
      <c r="AR776" s="624"/>
      <c r="AS776" s="624"/>
      <c r="AT776" s="624"/>
    </row>
    <row r="777" ht="15.75" customHeight="1">
      <c r="AH777" s="624"/>
      <c r="AI777" s="624"/>
      <c r="AJ777" s="624"/>
      <c r="AK777" s="624"/>
      <c r="AL777" s="624"/>
      <c r="AM777" s="624"/>
      <c r="AN777" s="624"/>
      <c r="AO777" s="624"/>
      <c r="AP777" s="624"/>
      <c r="AQ777" s="624"/>
      <c r="AR777" s="624"/>
      <c r="AS777" s="624"/>
      <c r="AT777" s="624"/>
    </row>
    <row r="778" ht="15.75" customHeight="1">
      <c r="AH778" s="624"/>
      <c r="AI778" s="624"/>
      <c r="AJ778" s="624"/>
      <c r="AK778" s="624"/>
      <c r="AL778" s="624"/>
      <c r="AM778" s="624"/>
      <c r="AN778" s="624"/>
      <c r="AO778" s="624"/>
      <c r="AP778" s="624"/>
      <c r="AQ778" s="624"/>
      <c r="AR778" s="624"/>
      <c r="AS778" s="624"/>
      <c r="AT778" s="624"/>
    </row>
    <row r="779" ht="15.75" customHeight="1">
      <c r="AH779" s="624"/>
      <c r="AI779" s="624"/>
      <c r="AJ779" s="624"/>
      <c r="AK779" s="624"/>
      <c r="AL779" s="624"/>
      <c r="AM779" s="624"/>
      <c r="AN779" s="624"/>
      <c r="AO779" s="624"/>
      <c r="AP779" s="624"/>
      <c r="AQ779" s="624"/>
      <c r="AR779" s="624"/>
      <c r="AS779" s="624"/>
      <c r="AT779" s="624"/>
    </row>
    <row r="780" ht="15.75" customHeight="1">
      <c r="AH780" s="624"/>
      <c r="AI780" s="624"/>
      <c r="AJ780" s="624"/>
      <c r="AK780" s="624"/>
      <c r="AL780" s="624"/>
      <c r="AM780" s="624"/>
      <c r="AN780" s="624"/>
      <c r="AO780" s="624"/>
      <c r="AP780" s="624"/>
      <c r="AQ780" s="624"/>
      <c r="AR780" s="624"/>
      <c r="AS780" s="624"/>
      <c r="AT780" s="624"/>
    </row>
    <row r="781" ht="15.75" customHeight="1">
      <c r="AH781" s="624"/>
      <c r="AI781" s="624"/>
      <c r="AJ781" s="624"/>
      <c r="AK781" s="624"/>
      <c r="AL781" s="624"/>
      <c r="AM781" s="624"/>
      <c r="AN781" s="624"/>
      <c r="AO781" s="624"/>
      <c r="AP781" s="624"/>
      <c r="AQ781" s="624"/>
      <c r="AR781" s="624"/>
      <c r="AS781" s="624"/>
      <c r="AT781" s="624"/>
    </row>
    <row r="782" ht="15.75" customHeight="1">
      <c r="AH782" s="624"/>
      <c r="AI782" s="624"/>
      <c r="AJ782" s="624"/>
      <c r="AK782" s="624"/>
      <c r="AL782" s="624"/>
      <c r="AM782" s="624"/>
      <c r="AN782" s="624"/>
      <c r="AO782" s="624"/>
      <c r="AP782" s="624"/>
      <c r="AQ782" s="624"/>
      <c r="AR782" s="624"/>
      <c r="AS782" s="624"/>
      <c r="AT782" s="624"/>
    </row>
    <row r="783" ht="15.75" customHeight="1">
      <c r="AH783" s="624"/>
      <c r="AI783" s="624"/>
      <c r="AJ783" s="624"/>
      <c r="AK783" s="624"/>
      <c r="AL783" s="624"/>
      <c r="AM783" s="624"/>
      <c r="AN783" s="624"/>
      <c r="AO783" s="624"/>
      <c r="AP783" s="624"/>
      <c r="AQ783" s="624"/>
      <c r="AR783" s="624"/>
      <c r="AS783" s="624"/>
      <c r="AT783" s="624"/>
    </row>
    <row r="784" ht="15.75" customHeight="1">
      <c r="AH784" s="624"/>
      <c r="AI784" s="624"/>
      <c r="AJ784" s="624"/>
      <c r="AK784" s="624"/>
      <c r="AL784" s="624"/>
      <c r="AM784" s="624"/>
      <c r="AN784" s="624"/>
      <c r="AO784" s="624"/>
      <c r="AP784" s="624"/>
      <c r="AQ784" s="624"/>
      <c r="AR784" s="624"/>
      <c r="AS784" s="624"/>
      <c r="AT784" s="624"/>
    </row>
    <row r="785" ht="15.75" customHeight="1">
      <c r="AH785" s="624"/>
      <c r="AI785" s="624"/>
      <c r="AJ785" s="624"/>
      <c r="AK785" s="624"/>
      <c r="AL785" s="624"/>
      <c r="AM785" s="624"/>
      <c r="AN785" s="624"/>
      <c r="AO785" s="624"/>
      <c r="AP785" s="624"/>
      <c r="AQ785" s="624"/>
      <c r="AR785" s="624"/>
      <c r="AS785" s="624"/>
      <c r="AT785" s="624"/>
    </row>
    <row r="786" ht="15.75" customHeight="1">
      <c r="AH786" s="624"/>
      <c r="AI786" s="624"/>
      <c r="AJ786" s="624"/>
      <c r="AK786" s="624"/>
      <c r="AL786" s="624"/>
      <c r="AM786" s="624"/>
      <c r="AN786" s="624"/>
      <c r="AO786" s="624"/>
      <c r="AP786" s="624"/>
      <c r="AQ786" s="624"/>
      <c r="AR786" s="624"/>
      <c r="AS786" s="624"/>
      <c r="AT786" s="624"/>
    </row>
    <row r="787" ht="15.75" customHeight="1">
      <c r="AH787" s="624"/>
      <c r="AI787" s="624"/>
      <c r="AJ787" s="624"/>
      <c r="AK787" s="624"/>
      <c r="AL787" s="624"/>
      <c r="AM787" s="624"/>
      <c r="AN787" s="624"/>
      <c r="AO787" s="624"/>
      <c r="AP787" s="624"/>
      <c r="AQ787" s="624"/>
      <c r="AR787" s="624"/>
      <c r="AS787" s="624"/>
      <c r="AT787" s="624"/>
    </row>
    <row r="788" ht="15.75" customHeight="1">
      <c r="AH788" s="624"/>
      <c r="AI788" s="624"/>
      <c r="AJ788" s="624"/>
      <c r="AK788" s="624"/>
      <c r="AL788" s="624"/>
      <c r="AM788" s="624"/>
      <c r="AN788" s="624"/>
      <c r="AO788" s="624"/>
      <c r="AP788" s="624"/>
      <c r="AQ788" s="624"/>
      <c r="AR788" s="624"/>
      <c r="AS788" s="624"/>
      <c r="AT788" s="624"/>
    </row>
    <row r="789" ht="15.75" customHeight="1">
      <c r="AH789" s="624"/>
      <c r="AI789" s="624"/>
      <c r="AJ789" s="624"/>
      <c r="AK789" s="624"/>
      <c r="AL789" s="624"/>
      <c r="AM789" s="624"/>
      <c r="AN789" s="624"/>
      <c r="AO789" s="624"/>
      <c r="AP789" s="624"/>
      <c r="AQ789" s="624"/>
      <c r="AR789" s="624"/>
      <c r="AS789" s="624"/>
      <c r="AT789" s="624"/>
    </row>
    <row r="790" ht="15.75" customHeight="1">
      <c r="AH790" s="624"/>
      <c r="AI790" s="624"/>
      <c r="AJ790" s="624"/>
      <c r="AK790" s="624"/>
      <c r="AL790" s="624"/>
      <c r="AM790" s="624"/>
      <c r="AN790" s="624"/>
      <c r="AO790" s="624"/>
      <c r="AP790" s="624"/>
      <c r="AQ790" s="624"/>
      <c r="AR790" s="624"/>
      <c r="AS790" s="624"/>
      <c r="AT790" s="624"/>
    </row>
    <row r="791" ht="15.75" customHeight="1">
      <c r="AH791" s="624"/>
      <c r="AI791" s="624"/>
      <c r="AJ791" s="624"/>
      <c r="AK791" s="624"/>
      <c r="AL791" s="624"/>
      <c r="AM791" s="624"/>
      <c r="AN791" s="624"/>
      <c r="AO791" s="624"/>
      <c r="AP791" s="624"/>
      <c r="AQ791" s="624"/>
      <c r="AR791" s="624"/>
      <c r="AS791" s="624"/>
      <c r="AT791" s="624"/>
    </row>
    <row r="792" ht="15.75" customHeight="1">
      <c r="AH792" s="624"/>
      <c r="AI792" s="624"/>
      <c r="AJ792" s="624"/>
      <c r="AK792" s="624"/>
      <c r="AL792" s="624"/>
      <c r="AM792" s="624"/>
      <c r="AN792" s="624"/>
      <c r="AO792" s="624"/>
      <c r="AP792" s="624"/>
      <c r="AQ792" s="624"/>
      <c r="AR792" s="624"/>
      <c r="AS792" s="624"/>
      <c r="AT792" s="624"/>
    </row>
    <row r="793" ht="15.75" customHeight="1">
      <c r="AH793" s="624"/>
      <c r="AI793" s="624"/>
      <c r="AJ793" s="624"/>
      <c r="AK793" s="624"/>
      <c r="AL793" s="624"/>
      <c r="AM793" s="624"/>
      <c r="AN793" s="624"/>
      <c r="AO793" s="624"/>
      <c r="AP793" s="624"/>
      <c r="AQ793" s="624"/>
      <c r="AR793" s="624"/>
      <c r="AS793" s="624"/>
      <c r="AT793" s="624"/>
    </row>
    <row r="794" ht="15.75" customHeight="1">
      <c r="AH794" s="624"/>
      <c r="AI794" s="624"/>
      <c r="AJ794" s="624"/>
      <c r="AK794" s="624"/>
      <c r="AL794" s="624"/>
      <c r="AM794" s="624"/>
      <c r="AN794" s="624"/>
      <c r="AO794" s="624"/>
      <c r="AP794" s="624"/>
      <c r="AQ794" s="624"/>
      <c r="AR794" s="624"/>
      <c r="AS794" s="624"/>
      <c r="AT794" s="624"/>
    </row>
    <row r="795" ht="15.75" customHeight="1">
      <c r="AH795" s="624"/>
      <c r="AI795" s="624"/>
      <c r="AJ795" s="624"/>
      <c r="AK795" s="624"/>
      <c r="AL795" s="624"/>
      <c r="AM795" s="624"/>
      <c r="AN795" s="624"/>
      <c r="AO795" s="624"/>
      <c r="AP795" s="624"/>
      <c r="AQ795" s="624"/>
      <c r="AR795" s="624"/>
      <c r="AS795" s="624"/>
      <c r="AT795" s="624"/>
    </row>
    <row r="796" ht="15.75" customHeight="1">
      <c r="AH796" s="624"/>
      <c r="AI796" s="624"/>
      <c r="AJ796" s="624"/>
      <c r="AK796" s="624"/>
      <c r="AL796" s="624"/>
      <c r="AM796" s="624"/>
      <c r="AN796" s="624"/>
      <c r="AO796" s="624"/>
      <c r="AP796" s="624"/>
      <c r="AQ796" s="624"/>
      <c r="AR796" s="624"/>
      <c r="AS796" s="624"/>
      <c r="AT796" s="624"/>
    </row>
    <row r="797" ht="15.75" customHeight="1">
      <c r="AH797" s="624"/>
      <c r="AI797" s="624"/>
      <c r="AJ797" s="624"/>
      <c r="AK797" s="624"/>
      <c r="AL797" s="624"/>
      <c r="AM797" s="624"/>
      <c r="AN797" s="624"/>
      <c r="AO797" s="624"/>
      <c r="AP797" s="624"/>
      <c r="AQ797" s="624"/>
      <c r="AR797" s="624"/>
      <c r="AS797" s="624"/>
      <c r="AT797" s="624"/>
    </row>
    <row r="798" ht="15.75" customHeight="1">
      <c r="AH798" s="624"/>
      <c r="AI798" s="624"/>
      <c r="AJ798" s="624"/>
      <c r="AK798" s="624"/>
      <c r="AL798" s="624"/>
      <c r="AM798" s="624"/>
      <c r="AN798" s="624"/>
      <c r="AO798" s="624"/>
      <c r="AP798" s="624"/>
      <c r="AQ798" s="624"/>
      <c r="AR798" s="624"/>
      <c r="AS798" s="624"/>
      <c r="AT798" s="624"/>
    </row>
    <row r="799" ht="15.75" customHeight="1">
      <c r="AH799" s="624"/>
      <c r="AI799" s="624"/>
      <c r="AJ799" s="624"/>
      <c r="AK799" s="624"/>
      <c r="AL799" s="624"/>
      <c r="AM799" s="624"/>
      <c r="AN799" s="624"/>
      <c r="AO799" s="624"/>
      <c r="AP799" s="624"/>
      <c r="AQ799" s="624"/>
      <c r="AR799" s="624"/>
      <c r="AS799" s="624"/>
      <c r="AT799" s="624"/>
    </row>
    <row r="800" ht="15.75" customHeight="1">
      <c r="AH800" s="624"/>
      <c r="AI800" s="624"/>
      <c r="AJ800" s="624"/>
      <c r="AK800" s="624"/>
      <c r="AL800" s="624"/>
      <c r="AM800" s="624"/>
      <c r="AN800" s="624"/>
      <c r="AO800" s="624"/>
      <c r="AP800" s="624"/>
      <c r="AQ800" s="624"/>
      <c r="AR800" s="624"/>
      <c r="AS800" s="624"/>
      <c r="AT800" s="624"/>
    </row>
    <row r="801" ht="15.75" customHeight="1">
      <c r="AH801" s="624"/>
      <c r="AI801" s="624"/>
      <c r="AJ801" s="624"/>
      <c r="AK801" s="624"/>
      <c r="AL801" s="624"/>
      <c r="AM801" s="624"/>
      <c r="AN801" s="624"/>
      <c r="AO801" s="624"/>
      <c r="AP801" s="624"/>
      <c r="AQ801" s="624"/>
      <c r="AR801" s="624"/>
      <c r="AS801" s="624"/>
      <c r="AT801" s="624"/>
    </row>
    <row r="802" ht="15.75" customHeight="1">
      <c r="AH802" s="624"/>
      <c r="AI802" s="624"/>
      <c r="AJ802" s="624"/>
      <c r="AK802" s="624"/>
      <c r="AL802" s="624"/>
      <c r="AM802" s="624"/>
      <c r="AN802" s="624"/>
      <c r="AO802" s="624"/>
      <c r="AP802" s="624"/>
      <c r="AQ802" s="624"/>
      <c r="AR802" s="624"/>
      <c r="AS802" s="624"/>
      <c r="AT802" s="624"/>
    </row>
    <row r="803" ht="15.75" customHeight="1">
      <c r="AH803" s="624"/>
      <c r="AI803" s="624"/>
      <c r="AJ803" s="624"/>
      <c r="AK803" s="624"/>
      <c r="AL803" s="624"/>
      <c r="AM803" s="624"/>
      <c r="AN803" s="624"/>
      <c r="AO803" s="624"/>
      <c r="AP803" s="624"/>
      <c r="AQ803" s="624"/>
      <c r="AR803" s="624"/>
      <c r="AS803" s="624"/>
      <c r="AT803" s="624"/>
    </row>
    <row r="804" ht="15.75" customHeight="1">
      <c r="AH804" s="624"/>
      <c r="AI804" s="624"/>
      <c r="AJ804" s="624"/>
      <c r="AK804" s="624"/>
      <c r="AL804" s="624"/>
      <c r="AM804" s="624"/>
      <c r="AN804" s="624"/>
      <c r="AO804" s="624"/>
      <c r="AP804" s="624"/>
      <c r="AQ804" s="624"/>
      <c r="AR804" s="624"/>
      <c r="AS804" s="624"/>
      <c r="AT804" s="624"/>
    </row>
    <row r="805" ht="15.75" customHeight="1">
      <c r="AH805" s="624"/>
      <c r="AI805" s="624"/>
      <c r="AJ805" s="624"/>
      <c r="AK805" s="624"/>
      <c r="AL805" s="624"/>
      <c r="AM805" s="624"/>
      <c r="AN805" s="624"/>
      <c r="AO805" s="624"/>
      <c r="AP805" s="624"/>
      <c r="AQ805" s="624"/>
      <c r="AR805" s="624"/>
      <c r="AS805" s="624"/>
      <c r="AT805" s="624"/>
    </row>
    <row r="806" ht="15.75" customHeight="1">
      <c r="AH806" s="624"/>
      <c r="AI806" s="624"/>
      <c r="AJ806" s="624"/>
      <c r="AK806" s="624"/>
      <c r="AL806" s="624"/>
      <c r="AM806" s="624"/>
      <c r="AN806" s="624"/>
      <c r="AO806" s="624"/>
      <c r="AP806" s="624"/>
      <c r="AQ806" s="624"/>
      <c r="AR806" s="624"/>
      <c r="AS806" s="624"/>
      <c r="AT806" s="624"/>
    </row>
    <row r="807" ht="15.75" customHeight="1">
      <c r="AH807" s="624"/>
      <c r="AI807" s="624"/>
      <c r="AJ807" s="624"/>
      <c r="AK807" s="624"/>
      <c r="AL807" s="624"/>
      <c r="AM807" s="624"/>
      <c r="AN807" s="624"/>
      <c r="AO807" s="624"/>
      <c r="AP807" s="624"/>
      <c r="AQ807" s="624"/>
      <c r="AR807" s="624"/>
      <c r="AS807" s="624"/>
      <c r="AT807" s="624"/>
    </row>
    <row r="808" ht="15.75" customHeight="1">
      <c r="AH808" s="624"/>
      <c r="AI808" s="624"/>
      <c r="AJ808" s="624"/>
      <c r="AK808" s="624"/>
      <c r="AL808" s="624"/>
      <c r="AM808" s="624"/>
      <c r="AN808" s="624"/>
      <c r="AO808" s="624"/>
      <c r="AP808" s="624"/>
      <c r="AQ808" s="624"/>
      <c r="AR808" s="624"/>
      <c r="AS808" s="624"/>
      <c r="AT808" s="624"/>
    </row>
    <row r="809" ht="15.75" customHeight="1">
      <c r="AH809" s="624"/>
      <c r="AI809" s="624"/>
      <c r="AJ809" s="624"/>
      <c r="AK809" s="624"/>
      <c r="AL809" s="624"/>
      <c r="AM809" s="624"/>
      <c r="AN809" s="624"/>
      <c r="AO809" s="624"/>
      <c r="AP809" s="624"/>
      <c r="AQ809" s="624"/>
      <c r="AR809" s="624"/>
      <c r="AS809" s="624"/>
      <c r="AT809" s="624"/>
    </row>
    <row r="810" ht="15.75" customHeight="1">
      <c r="AH810" s="624"/>
      <c r="AI810" s="624"/>
      <c r="AJ810" s="624"/>
      <c r="AK810" s="624"/>
      <c r="AL810" s="624"/>
      <c r="AM810" s="624"/>
      <c r="AN810" s="624"/>
      <c r="AO810" s="624"/>
      <c r="AP810" s="624"/>
      <c r="AQ810" s="624"/>
      <c r="AR810" s="624"/>
      <c r="AS810" s="624"/>
      <c r="AT810" s="624"/>
    </row>
    <row r="811" ht="15.75" customHeight="1">
      <c r="AH811" s="624"/>
      <c r="AI811" s="624"/>
      <c r="AJ811" s="624"/>
      <c r="AK811" s="624"/>
      <c r="AL811" s="624"/>
      <c r="AM811" s="624"/>
      <c r="AN811" s="624"/>
      <c r="AO811" s="624"/>
      <c r="AP811" s="624"/>
      <c r="AQ811" s="624"/>
      <c r="AR811" s="624"/>
      <c r="AS811" s="624"/>
      <c r="AT811" s="624"/>
    </row>
    <row r="812" ht="15.75" customHeight="1">
      <c r="AH812" s="624"/>
      <c r="AI812" s="624"/>
      <c r="AJ812" s="624"/>
      <c r="AK812" s="624"/>
      <c r="AL812" s="624"/>
      <c r="AM812" s="624"/>
      <c r="AN812" s="624"/>
      <c r="AO812" s="624"/>
      <c r="AP812" s="624"/>
      <c r="AQ812" s="624"/>
      <c r="AR812" s="624"/>
      <c r="AS812" s="624"/>
      <c r="AT812" s="624"/>
    </row>
    <row r="813" ht="15.75" customHeight="1">
      <c r="AH813" s="624"/>
      <c r="AI813" s="624"/>
      <c r="AJ813" s="624"/>
      <c r="AK813" s="624"/>
      <c r="AL813" s="624"/>
      <c r="AM813" s="624"/>
      <c r="AN813" s="624"/>
      <c r="AO813" s="624"/>
      <c r="AP813" s="624"/>
      <c r="AQ813" s="624"/>
      <c r="AR813" s="624"/>
      <c r="AS813" s="624"/>
      <c r="AT813" s="624"/>
    </row>
    <row r="814" ht="15.75" customHeight="1">
      <c r="AH814" s="624"/>
      <c r="AI814" s="624"/>
      <c r="AJ814" s="624"/>
      <c r="AK814" s="624"/>
      <c r="AL814" s="624"/>
      <c r="AM814" s="624"/>
      <c r="AN814" s="624"/>
      <c r="AO814" s="624"/>
      <c r="AP814" s="624"/>
      <c r="AQ814" s="624"/>
      <c r="AR814" s="624"/>
      <c r="AS814" s="624"/>
      <c r="AT814" s="624"/>
    </row>
    <row r="815" ht="15.75" customHeight="1">
      <c r="AH815" s="624"/>
      <c r="AI815" s="624"/>
      <c r="AJ815" s="624"/>
      <c r="AK815" s="624"/>
      <c r="AL815" s="624"/>
      <c r="AM815" s="624"/>
      <c r="AN815" s="624"/>
      <c r="AO815" s="624"/>
      <c r="AP815" s="624"/>
      <c r="AQ815" s="624"/>
      <c r="AR815" s="624"/>
      <c r="AS815" s="624"/>
      <c r="AT815" s="624"/>
    </row>
    <row r="816" ht="15.75" customHeight="1">
      <c r="AH816" s="624"/>
      <c r="AI816" s="624"/>
      <c r="AJ816" s="624"/>
      <c r="AK816" s="624"/>
      <c r="AL816" s="624"/>
      <c r="AM816" s="624"/>
      <c r="AN816" s="624"/>
      <c r="AO816" s="624"/>
      <c r="AP816" s="624"/>
      <c r="AQ816" s="624"/>
      <c r="AR816" s="624"/>
      <c r="AS816" s="624"/>
      <c r="AT816" s="624"/>
    </row>
    <row r="817" ht="15.75" customHeight="1">
      <c r="AH817" s="624"/>
      <c r="AI817" s="624"/>
      <c r="AJ817" s="624"/>
      <c r="AK817" s="624"/>
      <c r="AL817" s="624"/>
      <c r="AM817" s="624"/>
      <c r="AN817" s="624"/>
      <c r="AO817" s="624"/>
      <c r="AP817" s="624"/>
      <c r="AQ817" s="624"/>
      <c r="AR817" s="624"/>
      <c r="AS817" s="624"/>
      <c r="AT817" s="624"/>
    </row>
    <row r="818" ht="15.75" customHeight="1">
      <c r="AH818" s="624"/>
      <c r="AI818" s="624"/>
      <c r="AJ818" s="624"/>
      <c r="AK818" s="624"/>
      <c r="AL818" s="624"/>
      <c r="AM818" s="624"/>
      <c r="AN818" s="624"/>
      <c r="AO818" s="624"/>
      <c r="AP818" s="624"/>
      <c r="AQ818" s="624"/>
      <c r="AR818" s="624"/>
      <c r="AS818" s="624"/>
      <c r="AT818" s="624"/>
    </row>
    <row r="819" ht="15.75" customHeight="1">
      <c r="AH819" s="624"/>
      <c r="AI819" s="624"/>
      <c r="AJ819" s="624"/>
      <c r="AK819" s="624"/>
      <c r="AL819" s="624"/>
      <c r="AM819" s="624"/>
      <c r="AN819" s="624"/>
      <c r="AO819" s="624"/>
      <c r="AP819" s="624"/>
      <c r="AQ819" s="624"/>
      <c r="AR819" s="624"/>
      <c r="AS819" s="624"/>
      <c r="AT819" s="624"/>
    </row>
    <row r="820" ht="15.75" customHeight="1">
      <c r="AH820" s="624"/>
      <c r="AI820" s="624"/>
      <c r="AJ820" s="624"/>
      <c r="AK820" s="624"/>
      <c r="AL820" s="624"/>
      <c r="AM820" s="624"/>
      <c r="AN820" s="624"/>
      <c r="AO820" s="624"/>
      <c r="AP820" s="624"/>
      <c r="AQ820" s="624"/>
      <c r="AR820" s="624"/>
      <c r="AS820" s="624"/>
      <c r="AT820" s="624"/>
    </row>
    <row r="821" ht="15.75" customHeight="1">
      <c r="AH821" s="624"/>
      <c r="AI821" s="624"/>
      <c r="AJ821" s="624"/>
      <c r="AK821" s="624"/>
      <c r="AL821" s="624"/>
      <c r="AM821" s="624"/>
      <c r="AN821" s="624"/>
      <c r="AO821" s="624"/>
      <c r="AP821" s="624"/>
      <c r="AQ821" s="624"/>
      <c r="AR821" s="624"/>
      <c r="AS821" s="624"/>
      <c r="AT821" s="624"/>
    </row>
    <row r="822" ht="15.75" customHeight="1">
      <c r="AH822" s="624"/>
      <c r="AI822" s="624"/>
      <c r="AJ822" s="624"/>
      <c r="AK822" s="624"/>
      <c r="AL822" s="624"/>
      <c r="AM822" s="624"/>
      <c r="AN822" s="624"/>
      <c r="AO822" s="624"/>
      <c r="AP822" s="624"/>
      <c r="AQ822" s="624"/>
      <c r="AR822" s="624"/>
      <c r="AS822" s="624"/>
      <c r="AT822" s="624"/>
    </row>
    <row r="823" ht="15.75" customHeight="1">
      <c r="AH823" s="624"/>
      <c r="AI823" s="624"/>
      <c r="AJ823" s="624"/>
      <c r="AK823" s="624"/>
      <c r="AL823" s="624"/>
      <c r="AM823" s="624"/>
      <c r="AN823" s="624"/>
      <c r="AO823" s="624"/>
      <c r="AP823" s="624"/>
      <c r="AQ823" s="624"/>
      <c r="AR823" s="624"/>
      <c r="AS823" s="624"/>
      <c r="AT823" s="624"/>
    </row>
    <row r="824" ht="15.75" customHeight="1">
      <c r="AH824" s="624"/>
      <c r="AI824" s="624"/>
      <c r="AJ824" s="624"/>
      <c r="AK824" s="624"/>
      <c r="AL824" s="624"/>
      <c r="AM824" s="624"/>
      <c r="AN824" s="624"/>
      <c r="AO824" s="624"/>
      <c r="AP824" s="624"/>
      <c r="AQ824" s="624"/>
      <c r="AR824" s="624"/>
      <c r="AS824" s="624"/>
      <c r="AT824" s="624"/>
    </row>
    <row r="825" ht="15.75" customHeight="1">
      <c r="AH825" s="624"/>
      <c r="AI825" s="624"/>
      <c r="AJ825" s="624"/>
      <c r="AK825" s="624"/>
      <c r="AL825" s="624"/>
      <c r="AM825" s="624"/>
      <c r="AN825" s="624"/>
      <c r="AO825" s="624"/>
      <c r="AP825" s="624"/>
      <c r="AQ825" s="624"/>
      <c r="AR825" s="624"/>
      <c r="AS825" s="624"/>
      <c r="AT825" s="624"/>
    </row>
    <row r="826" ht="15.75" customHeight="1">
      <c r="AH826" s="624"/>
      <c r="AI826" s="624"/>
      <c r="AJ826" s="624"/>
      <c r="AK826" s="624"/>
      <c r="AL826" s="624"/>
      <c r="AM826" s="624"/>
      <c r="AN826" s="624"/>
      <c r="AO826" s="624"/>
      <c r="AP826" s="624"/>
      <c r="AQ826" s="624"/>
      <c r="AR826" s="624"/>
      <c r="AS826" s="624"/>
      <c r="AT826" s="624"/>
    </row>
    <row r="827" ht="15.75" customHeight="1">
      <c r="AH827" s="624"/>
      <c r="AI827" s="624"/>
      <c r="AJ827" s="624"/>
      <c r="AK827" s="624"/>
      <c r="AL827" s="624"/>
      <c r="AM827" s="624"/>
      <c r="AN827" s="624"/>
      <c r="AO827" s="624"/>
      <c r="AP827" s="624"/>
      <c r="AQ827" s="624"/>
      <c r="AR827" s="624"/>
      <c r="AS827" s="624"/>
      <c r="AT827" s="624"/>
    </row>
    <row r="828" ht="15.75" customHeight="1">
      <c r="AH828" s="624"/>
      <c r="AI828" s="624"/>
      <c r="AJ828" s="624"/>
      <c r="AK828" s="624"/>
      <c r="AL828" s="624"/>
      <c r="AM828" s="624"/>
      <c r="AN828" s="624"/>
      <c r="AO828" s="624"/>
      <c r="AP828" s="624"/>
      <c r="AQ828" s="624"/>
      <c r="AR828" s="624"/>
      <c r="AS828" s="624"/>
      <c r="AT828" s="624"/>
    </row>
    <row r="829" ht="15.75" customHeight="1">
      <c r="AH829" s="624"/>
      <c r="AI829" s="624"/>
      <c r="AJ829" s="624"/>
      <c r="AK829" s="624"/>
      <c r="AL829" s="624"/>
      <c r="AM829" s="624"/>
      <c r="AN829" s="624"/>
      <c r="AO829" s="624"/>
      <c r="AP829" s="624"/>
      <c r="AQ829" s="624"/>
      <c r="AR829" s="624"/>
      <c r="AS829" s="624"/>
      <c r="AT829" s="624"/>
    </row>
    <row r="830" ht="15.75" customHeight="1">
      <c r="AH830" s="624"/>
      <c r="AI830" s="624"/>
      <c r="AJ830" s="624"/>
      <c r="AK830" s="624"/>
      <c r="AL830" s="624"/>
      <c r="AM830" s="624"/>
      <c r="AN830" s="624"/>
      <c r="AO830" s="624"/>
      <c r="AP830" s="624"/>
      <c r="AQ830" s="624"/>
      <c r="AR830" s="624"/>
      <c r="AS830" s="624"/>
      <c r="AT830" s="624"/>
    </row>
    <row r="831" ht="15.75" customHeight="1">
      <c r="AH831" s="624"/>
      <c r="AI831" s="624"/>
      <c r="AJ831" s="624"/>
      <c r="AK831" s="624"/>
      <c r="AL831" s="624"/>
      <c r="AM831" s="624"/>
      <c r="AN831" s="624"/>
      <c r="AO831" s="624"/>
      <c r="AP831" s="624"/>
      <c r="AQ831" s="624"/>
      <c r="AR831" s="624"/>
      <c r="AS831" s="624"/>
      <c r="AT831" s="624"/>
    </row>
    <row r="832" ht="15.75" customHeight="1">
      <c r="AH832" s="624"/>
      <c r="AI832" s="624"/>
      <c r="AJ832" s="624"/>
      <c r="AK832" s="624"/>
      <c r="AL832" s="624"/>
      <c r="AM832" s="624"/>
      <c r="AN832" s="624"/>
      <c r="AO832" s="624"/>
      <c r="AP832" s="624"/>
      <c r="AQ832" s="624"/>
      <c r="AR832" s="624"/>
      <c r="AS832" s="624"/>
      <c r="AT832" s="624"/>
    </row>
    <row r="833" ht="15.75" customHeight="1">
      <c r="AH833" s="624"/>
      <c r="AI833" s="624"/>
      <c r="AJ833" s="624"/>
      <c r="AK833" s="624"/>
      <c r="AL833" s="624"/>
      <c r="AM833" s="624"/>
      <c r="AN833" s="624"/>
      <c r="AO833" s="624"/>
      <c r="AP833" s="624"/>
      <c r="AQ833" s="624"/>
      <c r="AR833" s="624"/>
      <c r="AS833" s="624"/>
      <c r="AT833" s="624"/>
    </row>
    <row r="834" ht="15.75" customHeight="1">
      <c r="AH834" s="624"/>
      <c r="AI834" s="624"/>
      <c r="AJ834" s="624"/>
      <c r="AK834" s="624"/>
      <c r="AL834" s="624"/>
      <c r="AM834" s="624"/>
      <c r="AN834" s="624"/>
      <c r="AO834" s="624"/>
      <c r="AP834" s="624"/>
      <c r="AQ834" s="624"/>
      <c r="AR834" s="624"/>
      <c r="AS834" s="624"/>
      <c r="AT834" s="624"/>
    </row>
    <row r="835" ht="15.75" customHeight="1">
      <c r="AH835" s="624"/>
      <c r="AI835" s="624"/>
      <c r="AJ835" s="624"/>
      <c r="AK835" s="624"/>
      <c r="AL835" s="624"/>
      <c r="AM835" s="624"/>
      <c r="AN835" s="624"/>
      <c r="AO835" s="624"/>
      <c r="AP835" s="624"/>
      <c r="AQ835" s="624"/>
      <c r="AR835" s="624"/>
      <c r="AS835" s="624"/>
      <c r="AT835" s="624"/>
    </row>
    <row r="836" ht="15.75" customHeight="1">
      <c r="AH836" s="624"/>
      <c r="AI836" s="624"/>
      <c r="AJ836" s="624"/>
      <c r="AK836" s="624"/>
      <c r="AL836" s="624"/>
      <c r="AM836" s="624"/>
      <c r="AN836" s="624"/>
      <c r="AO836" s="624"/>
      <c r="AP836" s="624"/>
      <c r="AQ836" s="624"/>
      <c r="AR836" s="624"/>
      <c r="AS836" s="624"/>
      <c r="AT836" s="624"/>
    </row>
    <row r="837" ht="15.75" customHeight="1">
      <c r="AH837" s="624"/>
      <c r="AI837" s="624"/>
      <c r="AJ837" s="624"/>
      <c r="AK837" s="624"/>
      <c r="AL837" s="624"/>
      <c r="AM837" s="624"/>
      <c r="AN837" s="624"/>
      <c r="AO837" s="624"/>
      <c r="AP837" s="624"/>
      <c r="AQ837" s="624"/>
      <c r="AR837" s="624"/>
      <c r="AS837" s="624"/>
      <c r="AT837" s="624"/>
    </row>
    <row r="838" ht="15.75" customHeight="1">
      <c r="AH838" s="624"/>
      <c r="AI838" s="624"/>
      <c r="AJ838" s="624"/>
      <c r="AK838" s="624"/>
      <c r="AL838" s="624"/>
      <c r="AM838" s="624"/>
      <c r="AN838" s="624"/>
      <c r="AO838" s="624"/>
      <c r="AP838" s="624"/>
      <c r="AQ838" s="624"/>
      <c r="AR838" s="624"/>
      <c r="AS838" s="624"/>
      <c r="AT838" s="624"/>
    </row>
    <row r="839" ht="15.75" customHeight="1">
      <c r="AH839" s="624"/>
      <c r="AI839" s="624"/>
      <c r="AJ839" s="624"/>
      <c r="AK839" s="624"/>
      <c r="AL839" s="624"/>
      <c r="AM839" s="624"/>
      <c r="AN839" s="624"/>
      <c r="AO839" s="624"/>
      <c r="AP839" s="624"/>
      <c r="AQ839" s="624"/>
      <c r="AR839" s="624"/>
      <c r="AS839" s="624"/>
      <c r="AT839" s="624"/>
    </row>
    <row r="840" ht="15.75" customHeight="1">
      <c r="AH840" s="624"/>
      <c r="AI840" s="624"/>
      <c r="AJ840" s="624"/>
      <c r="AK840" s="624"/>
      <c r="AL840" s="624"/>
      <c r="AM840" s="624"/>
      <c r="AN840" s="624"/>
      <c r="AO840" s="624"/>
      <c r="AP840" s="624"/>
      <c r="AQ840" s="624"/>
      <c r="AR840" s="624"/>
      <c r="AS840" s="624"/>
      <c r="AT840" s="624"/>
    </row>
    <row r="841" ht="15.75" customHeight="1">
      <c r="AH841" s="624"/>
      <c r="AI841" s="624"/>
      <c r="AJ841" s="624"/>
      <c r="AK841" s="624"/>
      <c r="AL841" s="624"/>
      <c r="AM841" s="624"/>
      <c r="AN841" s="624"/>
      <c r="AO841" s="624"/>
      <c r="AP841" s="624"/>
      <c r="AQ841" s="624"/>
      <c r="AR841" s="624"/>
      <c r="AS841" s="624"/>
      <c r="AT841" s="624"/>
    </row>
    <row r="842" ht="15.75" customHeight="1">
      <c r="AH842" s="624"/>
      <c r="AI842" s="624"/>
      <c r="AJ842" s="624"/>
      <c r="AK842" s="624"/>
      <c r="AL842" s="624"/>
      <c r="AM842" s="624"/>
      <c r="AN842" s="624"/>
      <c r="AO842" s="624"/>
      <c r="AP842" s="624"/>
      <c r="AQ842" s="624"/>
      <c r="AR842" s="624"/>
      <c r="AS842" s="624"/>
      <c r="AT842" s="624"/>
    </row>
    <row r="843" ht="15.75" customHeight="1">
      <c r="AH843" s="624"/>
      <c r="AI843" s="624"/>
      <c r="AJ843" s="624"/>
      <c r="AK843" s="624"/>
      <c r="AL843" s="624"/>
      <c r="AM843" s="624"/>
      <c r="AN843" s="624"/>
      <c r="AO843" s="624"/>
      <c r="AP843" s="624"/>
      <c r="AQ843" s="624"/>
      <c r="AR843" s="624"/>
      <c r="AS843" s="624"/>
      <c r="AT843" s="624"/>
    </row>
    <row r="844" ht="15.75" customHeight="1">
      <c r="AH844" s="624"/>
      <c r="AI844" s="624"/>
      <c r="AJ844" s="624"/>
      <c r="AK844" s="624"/>
      <c r="AL844" s="624"/>
      <c r="AM844" s="624"/>
      <c r="AN844" s="624"/>
      <c r="AO844" s="624"/>
      <c r="AP844" s="624"/>
      <c r="AQ844" s="624"/>
      <c r="AR844" s="624"/>
      <c r="AS844" s="624"/>
      <c r="AT844" s="624"/>
    </row>
    <row r="845" ht="15.75" customHeight="1">
      <c r="AH845" s="624"/>
      <c r="AI845" s="624"/>
      <c r="AJ845" s="624"/>
      <c r="AK845" s="624"/>
      <c r="AL845" s="624"/>
      <c r="AM845" s="624"/>
      <c r="AN845" s="624"/>
      <c r="AO845" s="624"/>
      <c r="AP845" s="624"/>
      <c r="AQ845" s="624"/>
      <c r="AR845" s="624"/>
      <c r="AS845" s="624"/>
      <c r="AT845" s="624"/>
    </row>
    <row r="846" ht="15.75" customHeight="1">
      <c r="AH846" s="624"/>
      <c r="AI846" s="624"/>
      <c r="AJ846" s="624"/>
      <c r="AK846" s="624"/>
      <c r="AL846" s="624"/>
      <c r="AM846" s="624"/>
      <c r="AN846" s="624"/>
      <c r="AO846" s="624"/>
      <c r="AP846" s="624"/>
      <c r="AQ846" s="624"/>
      <c r="AR846" s="624"/>
      <c r="AS846" s="624"/>
      <c r="AT846" s="624"/>
    </row>
    <row r="847" ht="15.75" customHeight="1">
      <c r="AH847" s="624"/>
      <c r="AI847" s="624"/>
      <c r="AJ847" s="624"/>
      <c r="AK847" s="624"/>
      <c r="AL847" s="624"/>
      <c r="AM847" s="624"/>
      <c r="AN847" s="624"/>
      <c r="AO847" s="624"/>
      <c r="AP847" s="624"/>
      <c r="AQ847" s="624"/>
      <c r="AR847" s="624"/>
      <c r="AS847" s="624"/>
      <c r="AT847" s="624"/>
    </row>
    <row r="848" ht="15.75" customHeight="1">
      <c r="AH848" s="624"/>
      <c r="AI848" s="624"/>
      <c r="AJ848" s="624"/>
      <c r="AK848" s="624"/>
      <c r="AL848" s="624"/>
      <c r="AM848" s="624"/>
      <c r="AN848" s="624"/>
      <c r="AO848" s="624"/>
      <c r="AP848" s="624"/>
      <c r="AQ848" s="624"/>
      <c r="AR848" s="624"/>
      <c r="AS848" s="624"/>
      <c r="AT848" s="624"/>
    </row>
    <row r="849" ht="15.75" customHeight="1">
      <c r="AH849" s="624"/>
      <c r="AI849" s="624"/>
      <c r="AJ849" s="624"/>
      <c r="AK849" s="624"/>
      <c r="AL849" s="624"/>
      <c r="AM849" s="624"/>
      <c r="AN849" s="624"/>
      <c r="AO849" s="624"/>
      <c r="AP849" s="624"/>
      <c r="AQ849" s="624"/>
      <c r="AR849" s="624"/>
      <c r="AS849" s="624"/>
      <c r="AT849" s="624"/>
    </row>
    <row r="850" ht="15.75" customHeight="1">
      <c r="AH850" s="624"/>
      <c r="AI850" s="624"/>
      <c r="AJ850" s="624"/>
      <c r="AK850" s="624"/>
      <c r="AL850" s="624"/>
      <c r="AM850" s="624"/>
      <c r="AN850" s="624"/>
      <c r="AO850" s="624"/>
      <c r="AP850" s="624"/>
      <c r="AQ850" s="624"/>
      <c r="AR850" s="624"/>
      <c r="AS850" s="624"/>
      <c r="AT850" s="624"/>
    </row>
    <row r="851" ht="15.75" customHeight="1">
      <c r="AH851" s="624"/>
      <c r="AI851" s="624"/>
      <c r="AJ851" s="624"/>
      <c r="AK851" s="624"/>
      <c r="AL851" s="624"/>
      <c r="AM851" s="624"/>
      <c r="AN851" s="624"/>
      <c r="AO851" s="624"/>
      <c r="AP851" s="624"/>
      <c r="AQ851" s="624"/>
      <c r="AR851" s="624"/>
      <c r="AS851" s="624"/>
      <c r="AT851" s="624"/>
    </row>
    <row r="852" ht="15.75" customHeight="1">
      <c r="AH852" s="624"/>
      <c r="AI852" s="624"/>
      <c r="AJ852" s="624"/>
      <c r="AK852" s="624"/>
      <c r="AL852" s="624"/>
      <c r="AM852" s="624"/>
      <c r="AN852" s="624"/>
      <c r="AO852" s="624"/>
      <c r="AP852" s="624"/>
      <c r="AQ852" s="624"/>
      <c r="AR852" s="624"/>
      <c r="AS852" s="624"/>
      <c r="AT852" s="624"/>
    </row>
    <row r="853" ht="15.75" customHeight="1">
      <c r="AH853" s="624"/>
      <c r="AI853" s="624"/>
      <c r="AJ853" s="624"/>
      <c r="AK853" s="624"/>
      <c r="AL853" s="624"/>
      <c r="AM853" s="624"/>
      <c r="AN853" s="624"/>
      <c r="AO853" s="624"/>
      <c r="AP853" s="624"/>
      <c r="AQ853" s="624"/>
      <c r="AR853" s="624"/>
      <c r="AS853" s="624"/>
      <c r="AT853" s="624"/>
    </row>
    <row r="854" ht="15.75" customHeight="1">
      <c r="AH854" s="624"/>
      <c r="AI854" s="624"/>
      <c r="AJ854" s="624"/>
      <c r="AK854" s="624"/>
      <c r="AL854" s="624"/>
      <c r="AM854" s="624"/>
      <c r="AN854" s="624"/>
      <c r="AO854" s="624"/>
      <c r="AP854" s="624"/>
      <c r="AQ854" s="624"/>
      <c r="AR854" s="624"/>
      <c r="AS854" s="624"/>
      <c r="AT854" s="624"/>
    </row>
    <row r="855" ht="15.75" customHeight="1">
      <c r="AH855" s="624"/>
      <c r="AI855" s="624"/>
      <c r="AJ855" s="624"/>
      <c r="AK855" s="624"/>
      <c r="AL855" s="624"/>
      <c r="AM855" s="624"/>
      <c r="AN855" s="624"/>
      <c r="AO855" s="624"/>
      <c r="AP855" s="624"/>
      <c r="AQ855" s="624"/>
      <c r="AR855" s="624"/>
      <c r="AS855" s="624"/>
      <c r="AT855" s="624"/>
    </row>
    <row r="856" ht="15.75" customHeight="1">
      <c r="AH856" s="624"/>
      <c r="AI856" s="624"/>
      <c r="AJ856" s="624"/>
      <c r="AK856" s="624"/>
      <c r="AL856" s="624"/>
      <c r="AM856" s="624"/>
      <c r="AN856" s="624"/>
      <c r="AO856" s="624"/>
      <c r="AP856" s="624"/>
      <c r="AQ856" s="624"/>
      <c r="AR856" s="624"/>
      <c r="AS856" s="624"/>
      <c r="AT856" s="624"/>
    </row>
    <row r="857" ht="15.75" customHeight="1">
      <c r="AH857" s="624"/>
      <c r="AI857" s="624"/>
      <c r="AJ857" s="624"/>
      <c r="AK857" s="624"/>
      <c r="AL857" s="624"/>
      <c r="AM857" s="624"/>
      <c r="AN857" s="624"/>
      <c r="AO857" s="624"/>
      <c r="AP857" s="624"/>
      <c r="AQ857" s="624"/>
      <c r="AR857" s="624"/>
      <c r="AS857" s="624"/>
      <c r="AT857" s="624"/>
    </row>
    <row r="858" ht="15.75" customHeight="1">
      <c r="AH858" s="624"/>
      <c r="AI858" s="624"/>
      <c r="AJ858" s="624"/>
      <c r="AK858" s="624"/>
      <c r="AL858" s="624"/>
      <c r="AM858" s="624"/>
      <c r="AN858" s="624"/>
      <c r="AO858" s="624"/>
      <c r="AP858" s="624"/>
      <c r="AQ858" s="624"/>
      <c r="AR858" s="624"/>
      <c r="AS858" s="624"/>
      <c r="AT858" s="624"/>
    </row>
    <row r="859" ht="15.75" customHeight="1">
      <c r="AH859" s="624"/>
      <c r="AI859" s="624"/>
      <c r="AJ859" s="624"/>
      <c r="AK859" s="624"/>
      <c r="AL859" s="624"/>
      <c r="AM859" s="624"/>
      <c r="AN859" s="624"/>
      <c r="AO859" s="624"/>
      <c r="AP859" s="624"/>
      <c r="AQ859" s="624"/>
      <c r="AR859" s="624"/>
      <c r="AS859" s="624"/>
      <c r="AT859" s="624"/>
    </row>
    <row r="860" ht="15.75" customHeight="1">
      <c r="AH860" s="624"/>
      <c r="AI860" s="624"/>
      <c r="AJ860" s="624"/>
      <c r="AK860" s="624"/>
      <c r="AL860" s="624"/>
      <c r="AM860" s="624"/>
      <c r="AN860" s="624"/>
      <c r="AO860" s="624"/>
      <c r="AP860" s="624"/>
      <c r="AQ860" s="624"/>
      <c r="AR860" s="624"/>
      <c r="AS860" s="624"/>
      <c r="AT860" s="624"/>
    </row>
    <row r="861" ht="15.75" customHeight="1">
      <c r="AH861" s="624"/>
      <c r="AI861" s="624"/>
      <c r="AJ861" s="624"/>
      <c r="AK861" s="624"/>
      <c r="AL861" s="624"/>
      <c r="AM861" s="624"/>
      <c r="AN861" s="624"/>
      <c r="AO861" s="624"/>
      <c r="AP861" s="624"/>
      <c r="AQ861" s="624"/>
      <c r="AR861" s="624"/>
      <c r="AS861" s="624"/>
      <c r="AT861" s="624"/>
    </row>
    <row r="862" ht="15.75" customHeight="1">
      <c r="AH862" s="624"/>
      <c r="AI862" s="624"/>
      <c r="AJ862" s="624"/>
      <c r="AK862" s="624"/>
      <c r="AL862" s="624"/>
      <c r="AM862" s="624"/>
      <c r="AN862" s="624"/>
      <c r="AO862" s="624"/>
      <c r="AP862" s="624"/>
      <c r="AQ862" s="624"/>
      <c r="AR862" s="624"/>
      <c r="AS862" s="624"/>
      <c r="AT862" s="624"/>
    </row>
    <row r="863" ht="15.75" customHeight="1">
      <c r="AH863" s="624"/>
      <c r="AI863" s="624"/>
      <c r="AJ863" s="624"/>
      <c r="AK863" s="624"/>
      <c r="AL863" s="624"/>
      <c r="AM863" s="624"/>
      <c r="AN863" s="624"/>
      <c r="AO863" s="624"/>
      <c r="AP863" s="624"/>
      <c r="AQ863" s="624"/>
      <c r="AR863" s="624"/>
      <c r="AS863" s="624"/>
      <c r="AT863" s="624"/>
    </row>
    <row r="864" ht="15.75" customHeight="1">
      <c r="AH864" s="624"/>
      <c r="AI864" s="624"/>
      <c r="AJ864" s="624"/>
      <c r="AK864" s="624"/>
      <c r="AL864" s="624"/>
      <c r="AM864" s="624"/>
      <c r="AN864" s="624"/>
      <c r="AO864" s="624"/>
      <c r="AP864" s="624"/>
      <c r="AQ864" s="624"/>
      <c r="AR864" s="624"/>
      <c r="AS864" s="624"/>
      <c r="AT864" s="624"/>
    </row>
    <row r="865" ht="15.75" customHeight="1">
      <c r="AH865" s="624"/>
      <c r="AI865" s="624"/>
      <c r="AJ865" s="624"/>
      <c r="AK865" s="624"/>
      <c r="AL865" s="624"/>
      <c r="AM865" s="624"/>
      <c r="AN865" s="624"/>
      <c r="AO865" s="624"/>
      <c r="AP865" s="624"/>
      <c r="AQ865" s="624"/>
      <c r="AR865" s="624"/>
      <c r="AS865" s="624"/>
      <c r="AT865" s="624"/>
    </row>
    <row r="866" ht="15.75" customHeight="1">
      <c r="AH866" s="624"/>
      <c r="AI866" s="624"/>
      <c r="AJ866" s="624"/>
      <c r="AK866" s="624"/>
      <c r="AL866" s="624"/>
      <c r="AM866" s="624"/>
      <c r="AN866" s="624"/>
      <c r="AO866" s="624"/>
      <c r="AP866" s="624"/>
      <c r="AQ866" s="624"/>
      <c r="AR866" s="624"/>
      <c r="AS866" s="624"/>
      <c r="AT866" s="624"/>
    </row>
    <row r="867" ht="15.75" customHeight="1">
      <c r="AH867" s="624"/>
      <c r="AI867" s="624"/>
      <c r="AJ867" s="624"/>
      <c r="AK867" s="624"/>
      <c r="AL867" s="624"/>
      <c r="AM867" s="624"/>
      <c r="AN867" s="624"/>
      <c r="AO867" s="624"/>
      <c r="AP867" s="624"/>
      <c r="AQ867" s="624"/>
      <c r="AR867" s="624"/>
      <c r="AS867" s="624"/>
      <c r="AT867" s="624"/>
    </row>
    <row r="868" ht="15.75" customHeight="1">
      <c r="AH868" s="624"/>
      <c r="AI868" s="624"/>
      <c r="AJ868" s="624"/>
      <c r="AK868" s="624"/>
      <c r="AL868" s="624"/>
      <c r="AM868" s="624"/>
      <c r="AN868" s="624"/>
      <c r="AO868" s="624"/>
      <c r="AP868" s="624"/>
      <c r="AQ868" s="624"/>
      <c r="AR868" s="624"/>
      <c r="AS868" s="624"/>
      <c r="AT868" s="624"/>
    </row>
    <row r="869" ht="15.75" customHeight="1">
      <c r="AH869" s="624"/>
      <c r="AI869" s="624"/>
      <c r="AJ869" s="624"/>
      <c r="AK869" s="624"/>
      <c r="AL869" s="624"/>
      <c r="AM869" s="624"/>
      <c r="AN869" s="624"/>
      <c r="AO869" s="624"/>
      <c r="AP869" s="624"/>
      <c r="AQ869" s="624"/>
      <c r="AR869" s="624"/>
      <c r="AS869" s="624"/>
      <c r="AT869" s="624"/>
    </row>
    <row r="870" ht="15.75" customHeight="1">
      <c r="AH870" s="624"/>
      <c r="AI870" s="624"/>
      <c r="AJ870" s="624"/>
      <c r="AK870" s="624"/>
      <c r="AL870" s="624"/>
      <c r="AM870" s="624"/>
      <c r="AN870" s="624"/>
      <c r="AO870" s="624"/>
      <c r="AP870" s="624"/>
      <c r="AQ870" s="624"/>
      <c r="AR870" s="624"/>
      <c r="AS870" s="624"/>
      <c r="AT870" s="624"/>
    </row>
    <row r="871" ht="15.75" customHeight="1">
      <c r="AH871" s="624"/>
      <c r="AI871" s="624"/>
      <c r="AJ871" s="624"/>
      <c r="AK871" s="624"/>
      <c r="AL871" s="624"/>
      <c r="AM871" s="624"/>
      <c r="AN871" s="624"/>
      <c r="AO871" s="624"/>
      <c r="AP871" s="624"/>
      <c r="AQ871" s="624"/>
      <c r="AR871" s="624"/>
      <c r="AS871" s="624"/>
      <c r="AT871" s="624"/>
    </row>
    <row r="872" ht="15.75" customHeight="1">
      <c r="AH872" s="624"/>
      <c r="AI872" s="624"/>
      <c r="AJ872" s="624"/>
      <c r="AK872" s="624"/>
      <c r="AL872" s="624"/>
      <c r="AM872" s="624"/>
      <c r="AN872" s="624"/>
      <c r="AO872" s="624"/>
      <c r="AP872" s="624"/>
      <c r="AQ872" s="624"/>
      <c r="AR872" s="624"/>
      <c r="AS872" s="624"/>
      <c r="AT872" s="624"/>
    </row>
    <row r="873" ht="15.75" customHeight="1">
      <c r="AH873" s="624"/>
      <c r="AI873" s="624"/>
      <c r="AJ873" s="624"/>
      <c r="AK873" s="624"/>
      <c r="AL873" s="624"/>
      <c r="AM873" s="624"/>
      <c r="AN873" s="624"/>
      <c r="AO873" s="624"/>
      <c r="AP873" s="624"/>
      <c r="AQ873" s="624"/>
      <c r="AR873" s="624"/>
      <c r="AS873" s="624"/>
      <c r="AT873" s="624"/>
    </row>
    <row r="874" ht="15.75" customHeight="1">
      <c r="AH874" s="624"/>
      <c r="AI874" s="624"/>
      <c r="AJ874" s="624"/>
      <c r="AK874" s="624"/>
      <c r="AL874" s="624"/>
      <c r="AM874" s="624"/>
      <c r="AN874" s="624"/>
      <c r="AO874" s="624"/>
      <c r="AP874" s="624"/>
      <c r="AQ874" s="624"/>
      <c r="AR874" s="624"/>
      <c r="AS874" s="624"/>
      <c r="AT874" s="624"/>
    </row>
    <row r="875" ht="15.75" customHeight="1">
      <c r="AH875" s="624"/>
      <c r="AI875" s="624"/>
      <c r="AJ875" s="624"/>
      <c r="AK875" s="624"/>
      <c r="AL875" s="624"/>
      <c r="AM875" s="624"/>
      <c r="AN875" s="624"/>
      <c r="AO875" s="624"/>
      <c r="AP875" s="624"/>
      <c r="AQ875" s="624"/>
      <c r="AR875" s="624"/>
      <c r="AS875" s="624"/>
      <c r="AT875" s="624"/>
    </row>
    <row r="876" ht="15.75" customHeight="1">
      <c r="AH876" s="624"/>
      <c r="AI876" s="624"/>
      <c r="AJ876" s="624"/>
      <c r="AK876" s="624"/>
      <c r="AL876" s="624"/>
      <c r="AM876" s="624"/>
      <c r="AN876" s="624"/>
      <c r="AO876" s="624"/>
      <c r="AP876" s="624"/>
      <c r="AQ876" s="624"/>
      <c r="AR876" s="624"/>
      <c r="AS876" s="624"/>
      <c r="AT876" s="624"/>
    </row>
    <row r="877" ht="15.75" customHeight="1">
      <c r="AH877" s="624"/>
      <c r="AI877" s="624"/>
      <c r="AJ877" s="624"/>
      <c r="AK877" s="624"/>
      <c r="AL877" s="624"/>
      <c r="AM877" s="624"/>
      <c r="AN877" s="624"/>
      <c r="AO877" s="624"/>
      <c r="AP877" s="624"/>
      <c r="AQ877" s="624"/>
      <c r="AR877" s="624"/>
      <c r="AS877" s="624"/>
      <c r="AT877" s="624"/>
    </row>
    <row r="878" ht="15.75" customHeight="1">
      <c r="AH878" s="624"/>
      <c r="AI878" s="624"/>
      <c r="AJ878" s="624"/>
      <c r="AK878" s="624"/>
      <c r="AL878" s="624"/>
      <c r="AM878" s="624"/>
      <c r="AN878" s="624"/>
      <c r="AO878" s="624"/>
      <c r="AP878" s="624"/>
      <c r="AQ878" s="624"/>
      <c r="AR878" s="624"/>
      <c r="AS878" s="624"/>
      <c r="AT878" s="624"/>
    </row>
    <row r="879" ht="15.75" customHeight="1">
      <c r="AH879" s="624"/>
      <c r="AI879" s="624"/>
      <c r="AJ879" s="624"/>
      <c r="AK879" s="624"/>
      <c r="AL879" s="624"/>
      <c r="AM879" s="624"/>
      <c r="AN879" s="624"/>
      <c r="AO879" s="624"/>
      <c r="AP879" s="624"/>
      <c r="AQ879" s="624"/>
      <c r="AR879" s="624"/>
      <c r="AS879" s="624"/>
      <c r="AT879" s="624"/>
    </row>
    <row r="880" ht="15.75" customHeight="1">
      <c r="AH880" s="624"/>
      <c r="AI880" s="624"/>
      <c r="AJ880" s="624"/>
      <c r="AK880" s="624"/>
      <c r="AL880" s="624"/>
      <c r="AM880" s="624"/>
      <c r="AN880" s="624"/>
      <c r="AO880" s="624"/>
      <c r="AP880" s="624"/>
      <c r="AQ880" s="624"/>
      <c r="AR880" s="624"/>
      <c r="AS880" s="624"/>
      <c r="AT880" s="624"/>
    </row>
    <row r="881" ht="15.75" customHeight="1">
      <c r="AH881" s="624"/>
      <c r="AI881" s="624"/>
      <c r="AJ881" s="624"/>
      <c r="AK881" s="624"/>
      <c r="AL881" s="624"/>
      <c r="AM881" s="624"/>
      <c r="AN881" s="624"/>
      <c r="AO881" s="624"/>
      <c r="AP881" s="624"/>
      <c r="AQ881" s="624"/>
      <c r="AR881" s="624"/>
      <c r="AS881" s="624"/>
      <c r="AT881" s="624"/>
    </row>
    <row r="882" ht="15.75" customHeight="1">
      <c r="AH882" s="624"/>
      <c r="AI882" s="624"/>
      <c r="AJ882" s="624"/>
      <c r="AK882" s="624"/>
      <c r="AL882" s="624"/>
      <c r="AM882" s="624"/>
      <c r="AN882" s="624"/>
      <c r="AO882" s="624"/>
      <c r="AP882" s="624"/>
      <c r="AQ882" s="624"/>
      <c r="AR882" s="624"/>
      <c r="AS882" s="624"/>
      <c r="AT882" s="624"/>
    </row>
    <row r="883" ht="15.75" customHeight="1">
      <c r="AH883" s="624"/>
      <c r="AI883" s="624"/>
      <c r="AJ883" s="624"/>
      <c r="AK883" s="624"/>
      <c r="AL883" s="624"/>
      <c r="AM883" s="624"/>
      <c r="AN883" s="624"/>
      <c r="AO883" s="624"/>
      <c r="AP883" s="624"/>
      <c r="AQ883" s="624"/>
      <c r="AR883" s="624"/>
      <c r="AS883" s="624"/>
      <c r="AT883" s="624"/>
    </row>
    <row r="884" ht="15.75" customHeight="1">
      <c r="AH884" s="624"/>
      <c r="AI884" s="624"/>
      <c r="AJ884" s="624"/>
      <c r="AK884" s="624"/>
      <c r="AL884" s="624"/>
      <c r="AM884" s="624"/>
      <c r="AN884" s="624"/>
      <c r="AO884" s="624"/>
      <c r="AP884" s="624"/>
      <c r="AQ884" s="624"/>
      <c r="AR884" s="624"/>
      <c r="AS884" s="624"/>
      <c r="AT884" s="624"/>
    </row>
    <row r="885" ht="15.75" customHeight="1">
      <c r="AH885" s="624"/>
      <c r="AI885" s="624"/>
      <c r="AJ885" s="624"/>
      <c r="AK885" s="624"/>
      <c r="AL885" s="624"/>
      <c r="AM885" s="624"/>
      <c r="AN885" s="624"/>
      <c r="AO885" s="624"/>
      <c r="AP885" s="624"/>
      <c r="AQ885" s="624"/>
      <c r="AR885" s="624"/>
      <c r="AS885" s="624"/>
      <c r="AT885" s="624"/>
    </row>
    <row r="886" ht="15.75" customHeight="1">
      <c r="AH886" s="624"/>
      <c r="AI886" s="624"/>
      <c r="AJ886" s="624"/>
      <c r="AK886" s="624"/>
      <c r="AL886" s="624"/>
      <c r="AM886" s="624"/>
      <c r="AN886" s="624"/>
      <c r="AO886" s="624"/>
      <c r="AP886" s="624"/>
      <c r="AQ886" s="624"/>
      <c r="AR886" s="624"/>
      <c r="AS886" s="624"/>
      <c r="AT886" s="624"/>
    </row>
    <row r="887" ht="15.75" customHeight="1">
      <c r="AH887" s="624"/>
      <c r="AI887" s="624"/>
      <c r="AJ887" s="624"/>
      <c r="AK887" s="624"/>
      <c r="AL887" s="624"/>
      <c r="AM887" s="624"/>
      <c r="AN887" s="624"/>
      <c r="AO887" s="624"/>
      <c r="AP887" s="624"/>
      <c r="AQ887" s="624"/>
      <c r="AR887" s="624"/>
      <c r="AS887" s="624"/>
      <c r="AT887" s="624"/>
    </row>
    <row r="888" ht="15.75" customHeight="1">
      <c r="AH888" s="624"/>
      <c r="AI888" s="624"/>
      <c r="AJ888" s="624"/>
      <c r="AK888" s="624"/>
      <c r="AL888" s="624"/>
      <c r="AM888" s="624"/>
      <c r="AN888" s="624"/>
      <c r="AO888" s="624"/>
      <c r="AP888" s="624"/>
      <c r="AQ888" s="624"/>
      <c r="AR888" s="624"/>
      <c r="AS888" s="624"/>
      <c r="AT888" s="624"/>
    </row>
    <row r="889" ht="15.75" customHeight="1">
      <c r="AH889" s="624"/>
      <c r="AI889" s="624"/>
      <c r="AJ889" s="624"/>
      <c r="AK889" s="624"/>
      <c r="AL889" s="624"/>
      <c r="AM889" s="624"/>
      <c r="AN889" s="624"/>
      <c r="AO889" s="624"/>
      <c r="AP889" s="624"/>
      <c r="AQ889" s="624"/>
      <c r="AR889" s="624"/>
      <c r="AS889" s="624"/>
      <c r="AT889" s="624"/>
    </row>
    <row r="890" ht="15.75" customHeight="1">
      <c r="AH890" s="624"/>
      <c r="AI890" s="624"/>
      <c r="AJ890" s="624"/>
      <c r="AK890" s="624"/>
      <c r="AL890" s="624"/>
      <c r="AM890" s="624"/>
      <c r="AN890" s="624"/>
      <c r="AO890" s="624"/>
      <c r="AP890" s="624"/>
      <c r="AQ890" s="624"/>
      <c r="AR890" s="624"/>
      <c r="AS890" s="624"/>
      <c r="AT890" s="624"/>
    </row>
    <row r="891" ht="15.75" customHeight="1">
      <c r="AH891" s="624"/>
      <c r="AI891" s="624"/>
      <c r="AJ891" s="624"/>
      <c r="AK891" s="624"/>
      <c r="AL891" s="624"/>
      <c r="AM891" s="624"/>
      <c r="AN891" s="624"/>
      <c r="AO891" s="624"/>
      <c r="AP891" s="624"/>
      <c r="AQ891" s="624"/>
      <c r="AR891" s="624"/>
      <c r="AS891" s="624"/>
      <c r="AT891" s="624"/>
    </row>
    <row r="892" ht="15.75" customHeight="1">
      <c r="AH892" s="624"/>
      <c r="AI892" s="624"/>
      <c r="AJ892" s="624"/>
      <c r="AK892" s="624"/>
      <c r="AL892" s="624"/>
      <c r="AM892" s="624"/>
      <c r="AN892" s="624"/>
      <c r="AO892" s="624"/>
      <c r="AP892" s="624"/>
      <c r="AQ892" s="624"/>
      <c r="AR892" s="624"/>
      <c r="AS892" s="624"/>
      <c r="AT892" s="624"/>
    </row>
    <row r="893" ht="15.75" customHeight="1">
      <c r="AH893" s="624"/>
      <c r="AI893" s="624"/>
      <c r="AJ893" s="624"/>
      <c r="AK893" s="624"/>
      <c r="AL893" s="624"/>
      <c r="AM893" s="624"/>
      <c r="AN893" s="624"/>
      <c r="AO893" s="624"/>
      <c r="AP893" s="624"/>
      <c r="AQ893" s="624"/>
      <c r="AR893" s="624"/>
      <c r="AS893" s="624"/>
      <c r="AT893" s="624"/>
    </row>
    <row r="894" ht="15.75" customHeight="1">
      <c r="AH894" s="624"/>
      <c r="AI894" s="624"/>
      <c r="AJ894" s="624"/>
      <c r="AK894" s="624"/>
      <c r="AL894" s="624"/>
      <c r="AM894" s="624"/>
      <c r="AN894" s="624"/>
      <c r="AO894" s="624"/>
      <c r="AP894" s="624"/>
      <c r="AQ894" s="624"/>
      <c r="AR894" s="624"/>
      <c r="AS894" s="624"/>
      <c r="AT894" s="624"/>
    </row>
    <row r="895" ht="15.75" customHeight="1">
      <c r="AH895" s="624"/>
      <c r="AI895" s="624"/>
      <c r="AJ895" s="624"/>
      <c r="AK895" s="624"/>
      <c r="AL895" s="624"/>
      <c r="AM895" s="624"/>
      <c r="AN895" s="624"/>
      <c r="AO895" s="624"/>
      <c r="AP895" s="624"/>
      <c r="AQ895" s="624"/>
      <c r="AR895" s="624"/>
      <c r="AS895" s="624"/>
      <c r="AT895" s="624"/>
    </row>
    <row r="896" ht="15.75" customHeight="1">
      <c r="AH896" s="624"/>
      <c r="AI896" s="624"/>
      <c r="AJ896" s="624"/>
      <c r="AK896" s="624"/>
      <c r="AL896" s="624"/>
      <c r="AM896" s="624"/>
      <c r="AN896" s="624"/>
      <c r="AO896" s="624"/>
      <c r="AP896" s="624"/>
      <c r="AQ896" s="624"/>
      <c r="AR896" s="624"/>
      <c r="AS896" s="624"/>
      <c r="AT896" s="624"/>
    </row>
    <row r="897" ht="15.75" customHeight="1">
      <c r="AH897" s="624"/>
      <c r="AI897" s="624"/>
      <c r="AJ897" s="624"/>
      <c r="AK897" s="624"/>
      <c r="AL897" s="624"/>
      <c r="AM897" s="624"/>
      <c r="AN897" s="624"/>
      <c r="AO897" s="624"/>
      <c r="AP897" s="624"/>
      <c r="AQ897" s="624"/>
      <c r="AR897" s="624"/>
      <c r="AS897" s="624"/>
      <c r="AT897" s="624"/>
    </row>
    <row r="898" ht="15.75" customHeight="1">
      <c r="AH898" s="624"/>
      <c r="AI898" s="624"/>
      <c r="AJ898" s="624"/>
      <c r="AK898" s="624"/>
      <c r="AL898" s="624"/>
      <c r="AM898" s="624"/>
      <c r="AN898" s="624"/>
      <c r="AO898" s="624"/>
      <c r="AP898" s="624"/>
      <c r="AQ898" s="624"/>
      <c r="AR898" s="624"/>
      <c r="AS898" s="624"/>
      <c r="AT898" s="624"/>
    </row>
    <row r="899" ht="15.75" customHeight="1">
      <c r="AH899" s="624"/>
      <c r="AI899" s="624"/>
      <c r="AJ899" s="624"/>
      <c r="AK899" s="624"/>
      <c r="AL899" s="624"/>
      <c r="AM899" s="624"/>
      <c r="AN899" s="624"/>
      <c r="AO899" s="624"/>
      <c r="AP899" s="624"/>
      <c r="AQ899" s="624"/>
      <c r="AR899" s="624"/>
      <c r="AS899" s="624"/>
      <c r="AT899" s="624"/>
    </row>
    <row r="900" ht="15.75" customHeight="1">
      <c r="AH900" s="624"/>
      <c r="AI900" s="624"/>
      <c r="AJ900" s="624"/>
      <c r="AK900" s="624"/>
      <c r="AL900" s="624"/>
      <c r="AM900" s="624"/>
      <c r="AN900" s="624"/>
      <c r="AO900" s="624"/>
      <c r="AP900" s="624"/>
      <c r="AQ900" s="624"/>
      <c r="AR900" s="624"/>
      <c r="AS900" s="624"/>
      <c r="AT900" s="624"/>
    </row>
    <row r="901" ht="15.75" customHeight="1">
      <c r="AH901" s="624"/>
      <c r="AI901" s="624"/>
      <c r="AJ901" s="624"/>
      <c r="AK901" s="624"/>
      <c r="AL901" s="624"/>
      <c r="AM901" s="624"/>
      <c r="AN901" s="624"/>
      <c r="AO901" s="624"/>
      <c r="AP901" s="624"/>
      <c r="AQ901" s="624"/>
      <c r="AR901" s="624"/>
      <c r="AS901" s="624"/>
      <c r="AT901" s="624"/>
    </row>
    <row r="902" ht="15.75" customHeight="1">
      <c r="AH902" s="624"/>
      <c r="AI902" s="624"/>
      <c r="AJ902" s="624"/>
      <c r="AK902" s="624"/>
      <c r="AL902" s="624"/>
      <c r="AM902" s="624"/>
      <c r="AN902" s="624"/>
      <c r="AO902" s="624"/>
      <c r="AP902" s="624"/>
      <c r="AQ902" s="624"/>
      <c r="AR902" s="624"/>
      <c r="AS902" s="624"/>
      <c r="AT902" s="624"/>
    </row>
    <row r="903" ht="15.75" customHeight="1">
      <c r="AH903" s="624"/>
      <c r="AI903" s="624"/>
      <c r="AJ903" s="624"/>
      <c r="AK903" s="624"/>
      <c r="AL903" s="624"/>
      <c r="AM903" s="624"/>
      <c r="AN903" s="624"/>
      <c r="AO903" s="624"/>
      <c r="AP903" s="624"/>
      <c r="AQ903" s="624"/>
      <c r="AR903" s="624"/>
      <c r="AS903" s="624"/>
      <c r="AT903" s="624"/>
    </row>
    <row r="904" ht="15.75" customHeight="1">
      <c r="AH904" s="624"/>
      <c r="AI904" s="624"/>
      <c r="AJ904" s="624"/>
      <c r="AK904" s="624"/>
      <c r="AL904" s="624"/>
      <c r="AM904" s="624"/>
      <c r="AN904" s="624"/>
      <c r="AO904" s="624"/>
      <c r="AP904" s="624"/>
      <c r="AQ904" s="624"/>
      <c r="AR904" s="624"/>
      <c r="AS904" s="624"/>
      <c r="AT904" s="624"/>
    </row>
    <row r="905" ht="15.75" customHeight="1">
      <c r="AH905" s="624"/>
      <c r="AI905" s="624"/>
      <c r="AJ905" s="624"/>
      <c r="AK905" s="624"/>
      <c r="AL905" s="624"/>
      <c r="AM905" s="624"/>
      <c r="AN905" s="624"/>
      <c r="AO905" s="624"/>
      <c r="AP905" s="624"/>
      <c r="AQ905" s="624"/>
      <c r="AR905" s="624"/>
      <c r="AS905" s="624"/>
      <c r="AT905" s="624"/>
    </row>
    <row r="906" ht="15.75" customHeight="1">
      <c r="AH906" s="624"/>
      <c r="AI906" s="624"/>
      <c r="AJ906" s="624"/>
      <c r="AK906" s="624"/>
      <c r="AL906" s="624"/>
      <c r="AM906" s="624"/>
      <c r="AN906" s="624"/>
      <c r="AO906" s="624"/>
      <c r="AP906" s="624"/>
      <c r="AQ906" s="624"/>
      <c r="AR906" s="624"/>
      <c r="AS906" s="624"/>
      <c r="AT906" s="624"/>
    </row>
    <row r="907" ht="15.75" customHeight="1">
      <c r="AH907" s="624"/>
      <c r="AI907" s="624"/>
      <c r="AJ907" s="624"/>
      <c r="AK907" s="624"/>
      <c r="AL907" s="624"/>
      <c r="AM907" s="624"/>
      <c r="AN907" s="624"/>
      <c r="AO907" s="624"/>
      <c r="AP907" s="624"/>
      <c r="AQ907" s="624"/>
      <c r="AR907" s="624"/>
      <c r="AS907" s="624"/>
      <c r="AT907" s="624"/>
    </row>
    <row r="908" ht="15.75" customHeight="1">
      <c r="AH908" s="624"/>
      <c r="AI908" s="624"/>
      <c r="AJ908" s="624"/>
      <c r="AK908" s="624"/>
      <c r="AL908" s="624"/>
      <c r="AM908" s="624"/>
      <c r="AN908" s="624"/>
      <c r="AO908" s="624"/>
      <c r="AP908" s="624"/>
      <c r="AQ908" s="624"/>
      <c r="AR908" s="624"/>
      <c r="AS908" s="624"/>
      <c r="AT908" s="624"/>
    </row>
    <row r="909" ht="15.75" customHeight="1">
      <c r="AH909" s="624"/>
      <c r="AI909" s="624"/>
      <c r="AJ909" s="624"/>
      <c r="AK909" s="624"/>
      <c r="AL909" s="624"/>
      <c r="AM909" s="624"/>
      <c r="AN909" s="624"/>
      <c r="AO909" s="624"/>
      <c r="AP909" s="624"/>
      <c r="AQ909" s="624"/>
      <c r="AR909" s="624"/>
      <c r="AS909" s="624"/>
      <c r="AT909" s="624"/>
    </row>
    <row r="910" ht="15.75" customHeight="1">
      <c r="AH910" s="624"/>
      <c r="AI910" s="624"/>
      <c r="AJ910" s="624"/>
      <c r="AK910" s="624"/>
      <c r="AL910" s="624"/>
      <c r="AM910" s="624"/>
      <c r="AN910" s="624"/>
      <c r="AO910" s="624"/>
      <c r="AP910" s="624"/>
      <c r="AQ910" s="624"/>
      <c r="AR910" s="624"/>
      <c r="AS910" s="624"/>
      <c r="AT910" s="624"/>
    </row>
    <row r="911" ht="15.75" customHeight="1">
      <c r="AH911" s="624"/>
      <c r="AI911" s="624"/>
      <c r="AJ911" s="624"/>
      <c r="AK911" s="624"/>
      <c r="AL911" s="624"/>
      <c r="AM911" s="624"/>
      <c r="AN911" s="624"/>
      <c r="AO911" s="624"/>
      <c r="AP911" s="624"/>
      <c r="AQ911" s="624"/>
      <c r="AR911" s="624"/>
      <c r="AS911" s="624"/>
      <c r="AT911" s="624"/>
    </row>
    <row r="912" ht="15.75" customHeight="1">
      <c r="AH912" s="624"/>
      <c r="AI912" s="624"/>
      <c r="AJ912" s="624"/>
      <c r="AK912" s="624"/>
      <c r="AL912" s="624"/>
      <c r="AM912" s="624"/>
      <c r="AN912" s="624"/>
      <c r="AO912" s="624"/>
      <c r="AP912" s="624"/>
      <c r="AQ912" s="624"/>
      <c r="AR912" s="624"/>
      <c r="AS912" s="624"/>
      <c r="AT912" s="624"/>
    </row>
    <row r="913" ht="15.75" customHeight="1">
      <c r="AH913" s="624"/>
      <c r="AI913" s="624"/>
      <c r="AJ913" s="624"/>
      <c r="AK913" s="624"/>
      <c r="AL913" s="624"/>
      <c r="AM913" s="624"/>
      <c r="AN913" s="624"/>
      <c r="AO913" s="624"/>
      <c r="AP913" s="624"/>
      <c r="AQ913" s="624"/>
      <c r="AR913" s="624"/>
      <c r="AS913" s="624"/>
      <c r="AT913" s="624"/>
    </row>
    <row r="914" ht="15.75" customHeight="1">
      <c r="AH914" s="624"/>
      <c r="AI914" s="624"/>
      <c r="AJ914" s="624"/>
      <c r="AK914" s="624"/>
      <c r="AL914" s="624"/>
      <c r="AM914" s="624"/>
      <c r="AN914" s="624"/>
      <c r="AO914" s="624"/>
      <c r="AP914" s="624"/>
      <c r="AQ914" s="624"/>
      <c r="AR914" s="624"/>
      <c r="AS914" s="624"/>
      <c r="AT914" s="624"/>
    </row>
    <row r="915" ht="15.75" customHeight="1">
      <c r="AH915" s="624"/>
      <c r="AI915" s="624"/>
      <c r="AJ915" s="624"/>
      <c r="AK915" s="624"/>
      <c r="AL915" s="624"/>
      <c r="AM915" s="624"/>
      <c r="AN915" s="624"/>
      <c r="AO915" s="624"/>
      <c r="AP915" s="624"/>
      <c r="AQ915" s="624"/>
      <c r="AR915" s="624"/>
      <c r="AS915" s="624"/>
      <c r="AT915" s="624"/>
    </row>
    <row r="916" ht="15.75" customHeight="1">
      <c r="AH916" s="624"/>
      <c r="AI916" s="624"/>
      <c r="AJ916" s="624"/>
      <c r="AK916" s="624"/>
      <c r="AL916" s="624"/>
      <c r="AM916" s="624"/>
      <c r="AN916" s="624"/>
      <c r="AO916" s="624"/>
      <c r="AP916" s="624"/>
      <c r="AQ916" s="624"/>
      <c r="AR916" s="624"/>
      <c r="AS916" s="624"/>
      <c r="AT916" s="624"/>
    </row>
    <row r="917" ht="15.75" customHeight="1">
      <c r="AH917" s="624"/>
      <c r="AI917" s="624"/>
      <c r="AJ917" s="624"/>
      <c r="AK917" s="624"/>
      <c r="AL917" s="624"/>
      <c r="AM917" s="624"/>
      <c r="AN917" s="624"/>
      <c r="AO917" s="624"/>
      <c r="AP917" s="624"/>
      <c r="AQ917" s="624"/>
      <c r="AR917" s="624"/>
      <c r="AS917" s="624"/>
      <c r="AT917" s="624"/>
    </row>
    <row r="918" ht="15.75" customHeight="1">
      <c r="AH918" s="624"/>
      <c r="AI918" s="624"/>
      <c r="AJ918" s="624"/>
      <c r="AK918" s="624"/>
      <c r="AL918" s="624"/>
      <c r="AM918" s="624"/>
      <c r="AN918" s="624"/>
      <c r="AO918" s="624"/>
      <c r="AP918" s="624"/>
      <c r="AQ918" s="624"/>
      <c r="AR918" s="624"/>
      <c r="AS918" s="624"/>
      <c r="AT918" s="624"/>
    </row>
    <row r="919" ht="15.75" customHeight="1">
      <c r="AH919" s="624"/>
      <c r="AI919" s="624"/>
      <c r="AJ919" s="624"/>
      <c r="AK919" s="624"/>
      <c r="AL919" s="624"/>
      <c r="AM919" s="624"/>
      <c r="AN919" s="624"/>
      <c r="AO919" s="624"/>
      <c r="AP919" s="624"/>
      <c r="AQ919" s="624"/>
      <c r="AR919" s="624"/>
      <c r="AS919" s="624"/>
      <c r="AT919" s="624"/>
    </row>
    <row r="920" ht="15.75" customHeight="1">
      <c r="AH920" s="624"/>
      <c r="AI920" s="624"/>
      <c r="AJ920" s="624"/>
      <c r="AK920" s="624"/>
      <c r="AL920" s="624"/>
      <c r="AM920" s="624"/>
      <c r="AN920" s="624"/>
      <c r="AO920" s="624"/>
      <c r="AP920" s="624"/>
      <c r="AQ920" s="624"/>
      <c r="AR920" s="624"/>
      <c r="AS920" s="624"/>
      <c r="AT920" s="624"/>
    </row>
    <row r="921" ht="15.75" customHeight="1">
      <c r="AH921" s="624"/>
      <c r="AI921" s="624"/>
      <c r="AJ921" s="624"/>
      <c r="AK921" s="624"/>
      <c r="AL921" s="624"/>
      <c r="AM921" s="624"/>
      <c r="AN921" s="624"/>
      <c r="AO921" s="624"/>
      <c r="AP921" s="624"/>
      <c r="AQ921" s="624"/>
      <c r="AR921" s="624"/>
      <c r="AS921" s="624"/>
      <c r="AT921" s="624"/>
    </row>
    <row r="922" ht="15.75" customHeight="1">
      <c r="AH922" s="624"/>
      <c r="AI922" s="624"/>
      <c r="AJ922" s="624"/>
      <c r="AK922" s="624"/>
      <c r="AL922" s="624"/>
      <c r="AM922" s="624"/>
      <c r="AN922" s="624"/>
      <c r="AO922" s="624"/>
      <c r="AP922" s="624"/>
      <c r="AQ922" s="624"/>
      <c r="AR922" s="624"/>
      <c r="AS922" s="624"/>
      <c r="AT922" s="624"/>
    </row>
    <row r="923" ht="15.75" customHeight="1">
      <c r="AH923" s="624"/>
      <c r="AI923" s="624"/>
      <c r="AJ923" s="624"/>
      <c r="AK923" s="624"/>
      <c r="AL923" s="624"/>
      <c r="AM923" s="624"/>
      <c r="AN923" s="624"/>
      <c r="AO923" s="624"/>
      <c r="AP923" s="624"/>
      <c r="AQ923" s="624"/>
      <c r="AR923" s="624"/>
      <c r="AS923" s="624"/>
      <c r="AT923" s="624"/>
    </row>
    <row r="924" ht="15.75" customHeight="1">
      <c r="AH924" s="624"/>
      <c r="AI924" s="624"/>
      <c r="AJ924" s="624"/>
      <c r="AK924" s="624"/>
      <c r="AL924" s="624"/>
      <c r="AM924" s="624"/>
      <c r="AN924" s="624"/>
      <c r="AO924" s="624"/>
      <c r="AP924" s="624"/>
      <c r="AQ924" s="624"/>
      <c r="AR924" s="624"/>
      <c r="AS924" s="624"/>
      <c r="AT924" s="624"/>
    </row>
    <row r="925" ht="15.75" customHeight="1">
      <c r="AH925" s="624"/>
      <c r="AI925" s="624"/>
      <c r="AJ925" s="624"/>
      <c r="AK925" s="624"/>
      <c r="AL925" s="624"/>
      <c r="AM925" s="624"/>
      <c r="AN925" s="624"/>
      <c r="AO925" s="624"/>
      <c r="AP925" s="624"/>
      <c r="AQ925" s="624"/>
      <c r="AR925" s="624"/>
      <c r="AS925" s="624"/>
      <c r="AT925" s="624"/>
    </row>
    <row r="926" ht="15.75" customHeight="1">
      <c r="AH926" s="624"/>
      <c r="AI926" s="624"/>
      <c r="AJ926" s="624"/>
      <c r="AK926" s="624"/>
      <c r="AL926" s="624"/>
      <c r="AM926" s="624"/>
      <c r="AN926" s="624"/>
      <c r="AO926" s="624"/>
      <c r="AP926" s="624"/>
      <c r="AQ926" s="624"/>
      <c r="AR926" s="624"/>
      <c r="AS926" s="624"/>
      <c r="AT926" s="624"/>
    </row>
    <row r="927" ht="15.75" customHeight="1">
      <c r="AH927" s="624"/>
      <c r="AI927" s="624"/>
      <c r="AJ927" s="624"/>
      <c r="AK927" s="624"/>
      <c r="AL927" s="624"/>
      <c r="AM927" s="624"/>
      <c r="AN927" s="624"/>
      <c r="AO927" s="624"/>
      <c r="AP927" s="624"/>
      <c r="AQ927" s="624"/>
      <c r="AR927" s="624"/>
      <c r="AS927" s="624"/>
      <c r="AT927" s="624"/>
    </row>
    <row r="928" ht="15.75" customHeight="1">
      <c r="AH928" s="624"/>
      <c r="AI928" s="624"/>
      <c r="AJ928" s="624"/>
      <c r="AK928" s="624"/>
      <c r="AL928" s="624"/>
      <c r="AM928" s="624"/>
      <c r="AN928" s="624"/>
      <c r="AO928" s="624"/>
      <c r="AP928" s="624"/>
      <c r="AQ928" s="624"/>
      <c r="AR928" s="624"/>
      <c r="AS928" s="624"/>
      <c r="AT928" s="624"/>
    </row>
    <row r="929" ht="15.75" customHeight="1">
      <c r="AH929" s="624"/>
      <c r="AI929" s="624"/>
      <c r="AJ929" s="624"/>
      <c r="AK929" s="624"/>
      <c r="AL929" s="624"/>
      <c r="AM929" s="624"/>
      <c r="AN929" s="624"/>
      <c r="AO929" s="624"/>
      <c r="AP929" s="624"/>
      <c r="AQ929" s="624"/>
      <c r="AR929" s="624"/>
      <c r="AS929" s="624"/>
      <c r="AT929" s="624"/>
    </row>
    <row r="930" ht="15.75" customHeight="1">
      <c r="AH930" s="624"/>
      <c r="AI930" s="624"/>
      <c r="AJ930" s="624"/>
      <c r="AK930" s="624"/>
      <c r="AL930" s="624"/>
      <c r="AM930" s="624"/>
      <c r="AN930" s="624"/>
      <c r="AO930" s="624"/>
      <c r="AP930" s="624"/>
      <c r="AQ930" s="624"/>
      <c r="AR930" s="624"/>
      <c r="AS930" s="624"/>
      <c r="AT930" s="624"/>
    </row>
    <row r="931" ht="15.75" customHeight="1">
      <c r="AH931" s="624"/>
      <c r="AI931" s="624"/>
      <c r="AJ931" s="624"/>
      <c r="AK931" s="624"/>
      <c r="AL931" s="624"/>
      <c r="AM931" s="624"/>
      <c r="AN931" s="624"/>
      <c r="AO931" s="624"/>
      <c r="AP931" s="624"/>
      <c r="AQ931" s="624"/>
      <c r="AR931" s="624"/>
      <c r="AS931" s="624"/>
      <c r="AT931" s="624"/>
    </row>
    <row r="932" ht="15.75" customHeight="1">
      <c r="AH932" s="624"/>
      <c r="AI932" s="624"/>
      <c r="AJ932" s="624"/>
      <c r="AK932" s="624"/>
      <c r="AL932" s="624"/>
      <c r="AM932" s="624"/>
      <c r="AN932" s="624"/>
      <c r="AO932" s="624"/>
      <c r="AP932" s="624"/>
      <c r="AQ932" s="624"/>
      <c r="AR932" s="624"/>
      <c r="AS932" s="624"/>
      <c r="AT932" s="624"/>
    </row>
    <row r="933" ht="15.75" customHeight="1">
      <c r="AH933" s="624"/>
      <c r="AI933" s="624"/>
      <c r="AJ933" s="624"/>
      <c r="AK933" s="624"/>
      <c r="AL933" s="624"/>
      <c r="AM933" s="624"/>
      <c r="AN933" s="624"/>
      <c r="AO933" s="624"/>
      <c r="AP933" s="624"/>
      <c r="AQ933" s="624"/>
      <c r="AR933" s="624"/>
      <c r="AS933" s="624"/>
      <c r="AT933" s="624"/>
    </row>
    <row r="934" ht="15.75" customHeight="1">
      <c r="AH934" s="624"/>
      <c r="AI934" s="624"/>
      <c r="AJ934" s="624"/>
      <c r="AK934" s="624"/>
      <c r="AL934" s="624"/>
      <c r="AM934" s="624"/>
      <c r="AN934" s="624"/>
      <c r="AO934" s="624"/>
      <c r="AP934" s="624"/>
      <c r="AQ934" s="624"/>
      <c r="AR934" s="624"/>
      <c r="AS934" s="624"/>
      <c r="AT934" s="624"/>
    </row>
    <row r="935" ht="15.75" customHeight="1">
      <c r="AH935" s="624"/>
      <c r="AI935" s="624"/>
      <c r="AJ935" s="624"/>
      <c r="AK935" s="624"/>
      <c r="AL935" s="624"/>
      <c r="AM935" s="624"/>
      <c r="AN935" s="624"/>
      <c r="AO935" s="624"/>
      <c r="AP935" s="624"/>
      <c r="AQ935" s="624"/>
      <c r="AR935" s="624"/>
      <c r="AS935" s="624"/>
      <c r="AT935" s="624"/>
    </row>
    <row r="936" ht="15.75" customHeight="1">
      <c r="AH936" s="624"/>
      <c r="AI936" s="624"/>
      <c r="AJ936" s="624"/>
      <c r="AK936" s="624"/>
      <c r="AL936" s="624"/>
      <c r="AM936" s="624"/>
      <c r="AN936" s="624"/>
      <c r="AO936" s="624"/>
      <c r="AP936" s="624"/>
      <c r="AQ936" s="624"/>
      <c r="AR936" s="624"/>
      <c r="AS936" s="624"/>
      <c r="AT936" s="624"/>
    </row>
    <row r="937" ht="15.75" customHeight="1">
      <c r="AH937" s="624"/>
      <c r="AI937" s="624"/>
      <c r="AJ937" s="624"/>
      <c r="AK937" s="624"/>
      <c r="AL937" s="624"/>
      <c r="AM937" s="624"/>
      <c r="AN937" s="624"/>
      <c r="AO937" s="624"/>
      <c r="AP937" s="624"/>
      <c r="AQ937" s="624"/>
      <c r="AR937" s="624"/>
      <c r="AS937" s="624"/>
      <c r="AT937" s="624"/>
    </row>
    <row r="938" ht="15.75" customHeight="1">
      <c r="AH938" s="624"/>
      <c r="AI938" s="624"/>
      <c r="AJ938" s="624"/>
      <c r="AK938" s="624"/>
      <c r="AL938" s="624"/>
      <c r="AM938" s="624"/>
      <c r="AN938" s="624"/>
      <c r="AO938" s="624"/>
      <c r="AP938" s="624"/>
      <c r="AQ938" s="624"/>
      <c r="AR938" s="624"/>
      <c r="AS938" s="624"/>
      <c r="AT938" s="624"/>
    </row>
    <row r="939" ht="15.75" customHeight="1">
      <c r="AH939" s="624"/>
      <c r="AI939" s="624"/>
      <c r="AJ939" s="624"/>
      <c r="AK939" s="624"/>
      <c r="AL939" s="624"/>
      <c r="AM939" s="624"/>
      <c r="AN939" s="624"/>
      <c r="AO939" s="624"/>
      <c r="AP939" s="624"/>
      <c r="AQ939" s="624"/>
      <c r="AR939" s="624"/>
      <c r="AS939" s="624"/>
      <c r="AT939" s="624"/>
    </row>
    <row r="940" ht="15.75" customHeight="1">
      <c r="AH940" s="624"/>
      <c r="AI940" s="624"/>
      <c r="AJ940" s="624"/>
      <c r="AK940" s="624"/>
      <c r="AL940" s="624"/>
      <c r="AM940" s="624"/>
      <c r="AN940" s="624"/>
      <c r="AO940" s="624"/>
      <c r="AP940" s="624"/>
      <c r="AQ940" s="624"/>
      <c r="AR940" s="624"/>
      <c r="AS940" s="624"/>
      <c r="AT940" s="624"/>
    </row>
    <row r="941" ht="15.75" customHeight="1">
      <c r="AH941" s="624"/>
      <c r="AI941" s="624"/>
      <c r="AJ941" s="624"/>
      <c r="AK941" s="624"/>
      <c r="AL941" s="624"/>
      <c r="AM941" s="624"/>
      <c r="AN941" s="624"/>
      <c r="AO941" s="624"/>
      <c r="AP941" s="624"/>
      <c r="AQ941" s="624"/>
      <c r="AR941" s="624"/>
      <c r="AS941" s="624"/>
      <c r="AT941" s="624"/>
    </row>
    <row r="942" ht="15.75" customHeight="1">
      <c r="AH942" s="624"/>
      <c r="AI942" s="624"/>
      <c r="AJ942" s="624"/>
      <c r="AK942" s="624"/>
      <c r="AL942" s="624"/>
      <c r="AM942" s="624"/>
      <c r="AN942" s="624"/>
      <c r="AO942" s="624"/>
      <c r="AP942" s="624"/>
      <c r="AQ942" s="624"/>
      <c r="AR942" s="624"/>
      <c r="AS942" s="624"/>
      <c r="AT942" s="624"/>
    </row>
    <row r="943" ht="15.75" customHeight="1">
      <c r="AH943" s="624"/>
      <c r="AI943" s="624"/>
      <c r="AJ943" s="624"/>
      <c r="AK943" s="624"/>
      <c r="AL943" s="624"/>
      <c r="AM943" s="624"/>
      <c r="AN943" s="624"/>
      <c r="AO943" s="624"/>
      <c r="AP943" s="624"/>
      <c r="AQ943" s="624"/>
      <c r="AR943" s="624"/>
      <c r="AS943" s="624"/>
      <c r="AT943" s="624"/>
    </row>
    <row r="944" ht="15.75" customHeight="1">
      <c r="AH944" s="624"/>
      <c r="AI944" s="624"/>
      <c r="AJ944" s="624"/>
      <c r="AK944" s="624"/>
      <c r="AL944" s="624"/>
      <c r="AM944" s="624"/>
      <c r="AN944" s="624"/>
      <c r="AO944" s="624"/>
      <c r="AP944" s="624"/>
      <c r="AQ944" s="624"/>
      <c r="AR944" s="624"/>
      <c r="AS944" s="624"/>
      <c r="AT944" s="624"/>
    </row>
    <row r="945" ht="15.75" customHeight="1">
      <c r="AH945" s="624"/>
      <c r="AI945" s="624"/>
      <c r="AJ945" s="624"/>
      <c r="AK945" s="624"/>
      <c r="AL945" s="624"/>
      <c r="AM945" s="624"/>
      <c r="AN945" s="624"/>
      <c r="AO945" s="624"/>
      <c r="AP945" s="624"/>
      <c r="AQ945" s="624"/>
      <c r="AR945" s="624"/>
      <c r="AS945" s="624"/>
      <c r="AT945" s="624"/>
    </row>
    <row r="946" ht="15.75" customHeight="1">
      <c r="AH946" s="624"/>
      <c r="AI946" s="624"/>
      <c r="AJ946" s="624"/>
      <c r="AK946" s="624"/>
      <c r="AL946" s="624"/>
      <c r="AM946" s="624"/>
      <c r="AN946" s="624"/>
      <c r="AO946" s="624"/>
      <c r="AP946" s="624"/>
      <c r="AQ946" s="624"/>
      <c r="AR946" s="624"/>
      <c r="AS946" s="624"/>
      <c r="AT946" s="624"/>
    </row>
    <row r="947" ht="15.75" customHeight="1">
      <c r="AH947" s="624"/>
      <c r="AI947" s="624"/>
      <c r="AJ947" s="624"/>
      <c r="AK947" s="624"/>
      <c r="AL947" s="624"/>
      <c r="AM947" s="624"/>
      <c r="AN947" s="624"/>
      <c r="AO947" s="624"/>
      <c r="AP947" s="624"/>
      <c r="AQ947" s="624"/>
      <c r="AR947" s="624"/>
      <c r="AS947" s="624"/>
      <c r="AT947" s="624"/>
    </row>
    <row r="948" ht="15.75" customHeight="1">
      <c r="AH948" s="624"/>
      <c r="AI948" s="624"/>
      <c r="AJ948" s="624"/>
      <c r="AK948" s="624"/>
      <c r="AL948" s="624"/>
      <c r="AM948" s="624"/>
      <c r="AN948" s="624"/>
      <c r="AO948" s="624"/>
      <c r="AP948" s="624"/>
      <c r="AQ948" s="624"/>
      <c r="AR948" s="624"/>
      <c r="AS948" s="624"/>
      <c r="AT948" s="624"/>
    </row>
    <row r="949" ht="15.75" customHeight="1">
      <c r="AH949" s="624"/>
      <c r="AI949" s="624"/>
      <c r="AJ949" s="624"/>
      <c r="AK949" s="624"/>
      <c r="AL949" s="624"/>
      <c r="AM949" s="624"/>
      <c r="AN949" s="624"/>
      <c r="AO949" s="624"/>
      <c r="AP949" s="624"/>
      <c r="AQ949" s="624"/>
      <c r="AR949" s="624"/>
      <c r="AS949" s="624"/>
      <c r="AT949" s="624"/>
    </row>
    <row r="950" ht="15.75" customHeight="1">
      <c r="AH950" s="624"/>
      <c r="AI950" s="624"/>
      <c r="AJ950" s="624"/>
      <c r="AK950" s="624"/>
      <c r="AL950" s="624"/>
      <c r="AM950" s="624"/>
      <c r="AN950" s="624"/>
      <c r="AO950" s="624"/>
      <c r="AP950" s="624"/>
      <c r="AQ950" s="624"/>
      <c r="AR950" s="624"/>
      <c r="AS950" s="624"/>
      <c r="AT950" s="624"/>
    </row>
    <row r="951" ht="15.75" customHeight="1">
      <c r="AH951" s="624"/>
      <c r="AI951" s="624"/>
      <c r="AJ951" s="624"/>
      <c r="AK951" s="624"/>
      <c r="AL951" s="624"/>
      <c r="AM951" s="624"/>
      <c r="AN951" s="624"/>
      <c r="AO951" s="624"/>
      <c r="AP951" s="624"/>
      <c r="AQ951" s="624"/>
      <c r="AR951" s="624"/>
      <c r="AS951" s="624"/>
      <c r="AT951" s="624"/>
    </row>
    <row r="952" ht="15.75" customHeight="1">
      <c r="AH952" s="624"/>
      <c r="AI952" s="624"/>
      <c r="AJ952" s="624"/>
      <c r="AK952" s="624"/>
      <c r="AL952" s="624"/>
      <c r="AM952" s="624"/>
      <c r="AN952" s="624"/>
      <c r="AO952" s="624"/>
      <c r="AP952" s="624"/>
      <c r="AQ952" s="624"/>
      <c r="AR952" s="624"/>
      <c r="AS952" s="624"/>
      <c r="AT952" s="624"/>
    </row>
    <row r="953" ht="15.75" customHeight="1">
      <c r="AH953" s="624"/>
      <c r="AI953" s="624"/>
      <c r="AJ953" s="624"/>
      <c r="AK953" s="624"/>
      <c r="AL953" s="624"/>
      <c r="AM953" s="624"/>
      <c r="AN953" s="624"/>
      <c r="AO953" s="624"/>
      <c r="AP953" s="624"/>
      <c r="AQ953" s="624"/>
      <c r="AR953" s="624"/>
      <c r="AS953" s="624"/>
      <c r="AT953" s="624"/>
    </row>
    <row r="954" ht="15.75" customHeight="1">
      <c r="AH954" s="624"/>
      <c r="AI954" s="624"/>
      <c r="AJ954" s="624"/>
      <c r="AK954" s="624"/>
      <c r="AL954" s="624"/>
      <c r="AM954" s="624"/>
      <c r="AN954" s="624"/>
      <c r="AO954" s="624"/>
      <c r="AP954" s="624"/>
      <c r="AQ954" s="624"/>
      <c r="AR954" s="624"/>
      <c r="AS954" s="624"/>
      <c r="AT954" s="624"/>
    </row>
    <row r="955" ht="15.75" customHeight="1">
      <c r="AH955" s="624"/>
      <c r="AI955" s="624"/>
      <c r="AJ955" s="624"/>
      <c r="AK955" s="624"/>
      <c r="AL955" s="624"/>
      <c r="AM955" s="624"/>
      <c r="AN955" s="624"/>
      <c r="AO955" s="624"/>
      <c r="AP955" s="624"/>
      <c r="AQ955" s="624"/>
      <c r="AR955" s="624"/>
      <c r="AS955" s="624"/>
      <c r="AT955" s="624"/>
    </row>
    <row r="956" ht="15.75" customHeight="1">
      <c r="AH956" s="624"/>
      <c r="AI956" s="624"/>
      <c r="AJ956" s="624"/>
      <c r="AK956" s="624"/>
      <c r="AL956" s="624"/>
      <c r="AM956" s="624"/>
      <c r="AN956" s="624"/>
      <c r="AO956" s="624"/>
      <c r="AP956" s="624"/>
      <c r="AQ956" s="624"/>
      <c r="AR956" s="624"/>
      <c r="AS956" s="624"/>
      <c r="AT956" s="624"/>
    </row>
    <row r="957" ht="15.75" customHeight="1">
      <c r="AH957" s="624"/>
      <c r="AI957" s="624"/>
      <c r="AJ957" s="624"/>
      <c r="AK957" s="624"/>
      <c r="AL957" s="624"/>
      <c r="AM957" s="624"/>
      <c r="AN957" s="624"/>
      <c r="AO957" s="624"/>
      <c r="AP957" s="624"/>
      <c r="AQ957" s="624"/>
      <c r="AR957" s="624"/>
      <c r="AS957" s="624"/>
      <c r="AT957" s="624"/>
    </row>
    <row r="958" ht="15.75" customHeight="1">
      <c r="AH958" s="624"/>
      <c r="AI958" s="624"/>
      <c r="AJ958" s="624"/>
      <c r="AK958" s="624"/>
      <c r="AL958" s="624"/>
      <c r="AM958" s="624"/>
      <c r="AN958" s="624"/>
      <c r="AO958" s="624"/>
      <c r="AP958" s="624"/>
      <c r="AQ958" s="624"/>
      <c r="AR958" s="624"/>
      <c r="AS958" s="624"/>
      <c r="AT958" s="624"/>
    </row>
    <row r="959" ht="15.75" customHeight="1">
      <c r="AH959" s="624"/>
      <c r="AI959" s="624"/>
      <c r="AJ959" s="624"/>
      <c r="AK959" s="624"/>
      <c r="AL959" s="624"/>
      <c r="AM959" s="624"/>
      <c r="AN959" s="624"/>
      <c r="AO959" s="624"/>
      <c r="AP959" s="624"/>
      <c r="AQ959" s="624"/>
      <c r="AR959" s="624"/>
      <c r="AS959" s="624"/>
      <c r="AT959" s="624"/>
    </row>
    <row r="960" ht="15.75" customHeight="1">
      <c r="AH960" s="624"/>
      <c r="AI960" s="624"/>
      <c r="AJ960" s="624"/>
      <c r="AK960" s="624"/>
      <c r="AL960" s="624"/>
      <c r="AM960" s="624"/>
      <c r="AN960" s="624"/>
      <c r="AO960" s="624"/>
      <c r="AP960" s="624"/>
      <c r="AQ960" s="624"/>
      <c r="AR960" s="624"/>
      <c r="AS960" s="624"/>
      <c r="AT960" s="624"/>
    </row>
    <row r="961" ht="15.75" customHeight="1">
      <c r="AH961" s="624"/>
      <c r="AI961" s="624"/>
      <c r="AJ961" s="624"/>
      <c r="AK961" s="624"/>
      <c r="AL961" s="624"/>
      <c r="AM961" s="624"/>
      <c r="AN961" s="624"/>
      <c r="AO961" s="624"/>
      <c r="AP961" s="624"/>
      <c r="AQ961" s="624"/>
      <c r="AR961" s="624"/>
      <c r="AS961" s="624"/>
      <c r="AT961" s="624"/>
    </row>
    <row r="962" ht="15.75" customHeight="1">
      <c r="AH962" s="624"/>
      <c r="AI962" s="624"/>
      <c r="AJ962" s="624"/>
      <c r="AK962" s="624"/>
      <c r="AL962" s="624"/>
      <c r="AM962" s="624"/>
      <c r="AN962" s="624"/>
      <c r="AO962" s="624"/>
      <c r="AP962" s="624"/>
      <c r="AQ962" s="624"/>
      <c r="AR962" s="624"/>
      <c r="AS962" s="624"/>
      <c r="AT962" s="624"/>
    </row>
    <row r="963" ht="15.75" customHeight="1">
      <c r="AH963" s="624"/>
      <c r="AI963" s="624"/>
      <c r="AJ963" s="624"/>
      <c r="AK963" s="624"/>
      <c r="AL963" s="624"/>
      <c r="AM963" s="624"/>
      <c r="AN963" s="624"/>
      <c r="AO963" s="624"/>
      <c r="AP963" s="624"/>
      <c r="AQ963" s="624"/>
      <c r="AR963" s="624"/>
      <c r="AS963" s="624"/>
      <c r="AT963" s="624"/>
    </row>
    <row r="964" ht="15.75" customHeight="1">
      <c r="AH964" s="624"/>
      <c r="AI964" s="624"/>
      <c r="AJ964" s="624"/>
      <c r="AK964" s="624"/>
      <c r="AL964" s="624"/>
      <c r="AM964" s="624"/>
      <c r="AN964" s="624"/>
      <c r="AO964" s="624"/>
      <c r="AP964" s="624"/>
      <c r="AQ964" s="624"/>
      <c r="AR964" s="624"/>
      <c r="AS964" s="624"/>
      <c r="AT964" s="624"/>
    </row>
    <row r="965" ht="15.75" customHeight="1">
      <c r="AH965" s="624"/>
      <c r="AI965" s="624"/>
      <c r="AJ965" s="624"/>
      <c r="AK965" s="624"/>
      <c r="AL965" s="624"/>
      <c r="AM965" s="624"/>
      <c r="AN965" s="624"/>
      <c r="AO965" s="624"/>
      <c r="AP965" s="624"/>
      <c r="AQ965" s="624"/>
      <c r="AR965" s="624"/>
      <c r="AS965" s="624"/>
      <c r="AT965" s="624"/>
    </row>
    <row r="966" ht="15.75" customHeight="1">
      <c r="AH966" s="624"/>
      <c r="AI966" s="624"/>
      <c r="AJ966" s="624"/>
      <c r="AK966" s="624"/>
      <c r="AL966" s="624"/>
      <c r="AM966" s="624"/>
      <c r="AN966" s="624"/>
      <c r="AO966" s="624"/>
      <c r="AP966" s="624"/>
      <c r="AQ966" s="624"/>
      <c r="AR966" s="624"/>
      <c r="AS966" s="624"/>
      <c r="AT966" s="624"/>
    </row>
    <row r="967" ht="15.75" customHeight="1">
      <c r="AH967" s="624"/>
      <c r="AI967" s="624"/>
      <c r="AJ967" s="624"/>
      <c r="AK967" s="624"/>
      <c r="AL967" s="624"/>
      <c r="AM967" s="624"/>
      <c r="AN967" s="624"/>
      <c r="AO967" s="624"/>
      <c r="AP967" s="624"/>
      <c r="AQ967" s="624"/>
      <c r="AR967" s="624"/>
      <c r="AS967" s="624"/>
      <c r="AT967" s="624"/>
    </row>
    <row r="968" ht="15.75" customHeight="1">
      <c r="AH968" s="624"/>
      <c r="AI968" s="624"/>
      <c r="AJ968" s="624"/>
      <c r="AK968" s="624"/>
      <c r="AL968" s="624"/>
      <c r="AM968" s="624"/>
      <c r="AN968" s="624"/>
      <c r="AO968" s="624"/>
      <c r="AP968" s="624"/>
      <c r="AQ968" s="624"/>
      <c r="AR968" s="624"/>
      <c r="AS968" s="624"/>
      <c r="AT968" s="624"/>
    </row>
    <row r="969" ht="15.75" customHeight="1">
      <c r="AH969" s="624"/>
      <c r="AI969" s="624"/>
      <c r="AJ969" s="624"/>
      <c r="AK969" s="624"/>
      <c r="AL969" s="624"/>
      <c r="AM969" s="624"/>
      <c r="AN969" s="624"/>
      <c r="AO969" s="624"/>
      <c r="AP969" s="624"/>
      <c r="AQ969" s="624"/>
      <c r="AR969" s="624"/>
      <c r="AS969" s="624"/>
      <c r="AT969" s="624"/>
    </row>
    <row r="970" ht="15.75" customHeight="1">
      <c r="AH970" s="624"/>
      <c r="AI970" s="624"/>
      <c r="AJ970" s="624"/>
      <c r="AK970" s="624"/>
      <c r="AL970" s="624"/>
      <c r="AM970" s="624"/>
      <c r="AN970" s="624"/>
      <c r="AO970" s="624"/>
      <c r="AP970" s="624"/>
      <c r="AQ970" s="624"/>
      <c r="AR970" s="624"/>
      <c r="AS970" s="624"/>
      <c r="AT970" s="624"/>
    </row>
    <row r="971" ht="15.75" customHeight="1">
      <c r="AH971" s="624"/>
      <c r="AI971" s="624"/>
      <c r="AJ971" s="624"/>
      <c r="AK971" s="624"/>
      <c r="AL971" s="624"/>
      <c r="AM971" s="624"/>
      <c r="AN971" s="624"/>
      <c r="AO971" s="624"/>
      <c r="AP971" s="624"/>
      <c r="AQ971" s="624"/>
      <c r="AR971" s="624"/>
      <c r="AS971" s="624"/>
      <c r="AT971" s="624"/>
    </row>
    <row r="972" ht="15.75" customHeight="1">
      <c r="AH972" s="624"/>
      <c r="AI972" s="624"/>
      <c r="AJ972" s="624"/>
      <c r="AK972" s="624"/>
      <c r="AL972" s="624"/>
      <c r="AM972" s="624"/>
      <c r="AN972" s="624"/>
      <c r="AO972" s="624"/>
      <c r="AP972" s="624"/>
      <c r="AQ972" s="624"/>
      <c r="AR972" s="624"/>
      <c r="AS972" s="624"/>
      <c r="AT972" s="624"/>
    </row>
    <row r="973" ht="15.75" customHeight="1">
      <c r="AH973" s="624"/>
      <c r="AI973" s="624"/>
      <c r="AJ973" s="624"/>
      <c r="AK973" s="624"/>
      <c r="AL973" s="624"/>
      <c r="AM973" s="624"/>
      <c r="AN973" s="624"/>
      <c r="AO973" s="624"/>
      <c r="AP973" s="624"/>
      <c r="AQ973" s="624"/>
      <c r="AR973" s="624"/>
      <c r="AS973" s="624"/>
      <c r="AT973" s="624"/>
    </row>
    <row r="974" ht="15.75" customHeight="1">
      <c r="AH974" s="624"/>
      <c r="AI974" s="624"/>
      <c r="AJ974" s="624"/>
      <c r="AK974" s="624"/>
      <c r="AL974" s="624"/>
      <c r="AM974" s="624"/>
      <c r="AN974" s="624"/>
      <c r="AO974" s="624"/>
      <c r="AP974" s="624"/>
      <c r="AQ974" s="624"/>
      <c r="AR974" s="624"/>
      <c r="AS974" s="624"/>
      <c r="AT974" s="624"/>
    </row>
    <row r="975" ht="15.75" customHeight="1">
      <c r="AH975" s="624"/>
      <c r="AI975" s="624"/>
      <c r="AJ975" s="624"/>
      <c r="AK975" s="624"/>
      <c r="AL975" s="624"/>
      <c r="AM975" s="624"/>
      <c r="AN975" s="624"/>
      <c r="AO975" s="624"/>
      <c r="AP975" s="624"/>
      <c r="AQ975" s="624"/>
      <c r="AR975" s="624"/>
      <c r="AS975" s="624"/>
      <c r="AT975" s="624"/>
    </row>
    <row r="976" ht="15.75" customHeight="1">
      <c r="AH976" s="624"/>
      <c r="AI976" s="624"/>
      <c r="AJ976" s="624"/>
      <c r="AK976" s="624"/>
      <c r="AL976" s="624"/>
      <c r="AM976" s="624"/>
      <c r="AN976" s="624"/>
      <c r="AO976" s="624"/>
      <c r="AP976" s="624"/>
      <c r="AQ976" s="624"/>
      <c r="AR976" s="624"/>
      <c r="AS976" s="624"/>
      <c r="AT976" s="624"/>
    </row>
    <row r="977" ht="15.75" customHeight="1">
      <c r="AH977" s="624"/>
      <c r="AI977" s="624"/>
      <c r="AJ977" s="624"/>
      <c r="AK977" s="624"/>
      <c r="AL977" s="624"/>
      <c r="AM977" s="624"/>
      <c r="AN977" s="624"/>
      <c r="AO977" s="624"/>
      <c r="AP977" s="624"/>
      <c r="AQ977" s="624"/>
      <c r="AR977" s="624"/>
      <c r="AS977" s="624"/>
      <c r="AT977" s="624"/>
    </row>
    <row r="978" ht="15.75" customHeight="1">
      <c r="AH978" s="624"/>
      <c r="AI978" s="624"/>
      <c r="AJ978" s="624"/>
      <c r="AK978" s="624"/>
      <c r="AL978" s="624"/>
      <c r="AM978" s="624"/>
      <c r="AN978" s="624"/>
      <c r="AO978" s="624"/>
      <c r="AP978" s="624"/>
      <c r="AQ978" s="624"/>
      <c r="AR978" s="624"/>
      <c r="AS978" s="624"/>
      <c r="AT978" s="624"/>
    </row>
    <row r="979" ht="15.75" customHeight="1">
      <c r="AH979" s="624"/>
      <c r="AI979" s="624"/>
      <c r="AJ979" s="624"/>
      <c r="AK979" s="624"/>
      <c r="AL979" s="624"/>
      <c r="AM979" s="624"/>
      <c r="AN979" s="624"/>
      <c r="AO979" s="624"/>
      <c r="AP979" s="624"/>
      <c r="AQ979" s="624"/>
      <c r="AR979" s="624"/>
      <c r="AS979" s="624"/>
      <c r="AT979" s="624"/>
    </row>
    <row r="980" ht="15.75" customHeight="1">
      <c r="AH980" s="624"/>
      <c r="AI980" s="624"/>
      <c r="AJ980" s="624"/>
      <c r="AK980" s="624"/>
      <c r="AL980" s="624"/>
      <c r="AM980" s="624"/>
      <c r="AN980" s="624"/>
      <c r="AO980" s="624"/>
      <c r="AP980" s="624"/>
      <c r="AQ980" s="624"/>
      <c r="AR980" s="624"/>
      <c r="AS980" s="624"/>
      <c r="AT980" s="624"/>
    </row>
    <row r="981" ht="15.75" customHeight="1">
      <c r="AH981" s="624"/>
      <c r="AI981" s="624"/>
      <c r="AJ981" s="624"/>
      <c r="AK981" s="624"/>
      <c r="AL981" s="624"/>
      <c r="AM981" s="624"/>
      <c r="AN981" s="624"/>
      <c r="AO981" s="624"/>
      <c r="AP981" s="624"/>
      <c r="AQ981" s="624"/>
      <c r="AR981" s="624"/>
      <c r="AS981" s="624"/>
      <c r="AT981" s="624"/>
    </row>
    <row r="982" ht="15.75" customHeight="1">
      <c r="AH982" s="624"/>
      <c r="AI982" s="624"/>
      <c r="AJ982" s="624"/>
      <c r="AK982" s="624"/>
      <c r="AL982" s="624"/>
      <c r="AM982" s="624"/>
      <c r="AN982" s="624"/>
      <c r="AO982" s="624"/>
      <c r="AP982" s="624"/>
      <c r="AQ982" s="624"/>
      <c r="AR982" s="624"/>
      <c r="AS982" s="624"/>
      <c r="AT982" s="624"/>
    </row>
    <row r="983" ht="15.75" customHeight="1">
      <c r="AH983" s="624"/>
      <c r="AI983" s="624"/>
      <c r="AJ983" s="624"/>
      <c r="AK983" s="624"/>
      <c r="AL983" s="624"/>
      <c r="AM983" s="624"/>
      <c r="AN983" s="624"/>
      <c r="AO983" s="624"/>
      <c r="AP983" s="624"/>
      <c r="AQ983" s="624"/>
      <c r="AR983" s="624"/>
      <c r="AS983" s="624"/>
      <c r="AT983" s="624"/>
    </row>
    <row r="984" ht="15.75" customHeight="1">
      <c r="AH984" s="624"/>
      <c r="AI984" s="624"/>
      <c r="AJ984" s="624"/>
      <c r="AK984" s="624"/>
      <c r="AL984" s="624"/>
      <c r="AM984" s="624"/>
      <c r="AN984" s="624"/>
      <c r="AO984" s="624"/>
      <c r="AP984" s="624"/>
      <c r="AQ984" s="624"/>
      <c r="AR984" s="624"/>
      <c r="AS984" s="624"/>
      <c r="AT984" s="624"/>
    </row>
    <row r="985" ht="15.75" customHeight="1">
      <c r="AH985" s="624"/>
      <c r="AI985" s="624"/>
      <c r="AJ985" s="624"/>
      <c r="AK985" s="624"/>
      <c r="AL985" s="624"/>
      <c r="AM985" s="624"/>
      <c r="AN985" s="624"/>
      <c r="AO985" s="624"/>
      <c r="AP985" s="624"/>
      <c r="AQ985" s="624"/>
      <c r="AR985" s="624"/>
      <c r="AS985" s="624"/>
      <c r="AT985" s="624"/>
    </row>
    <row r="986" ht="15.75" customHeight="1">
      <c r="AH986" s="624"/>
      <c r="AI986" s="624"/>
      <c r="AJ986" s="624"/>
      <c r="AK986" s="624"/>
      <c r="AL986" s="624"/>
      <c r="AM986" s="624"/>
      <c r="AN986" s="624"/>
      <c r="AO986" s="624"/>
      <c r="AP986" s="624"/>
      <c r="AQ986" s="624"/>
      <c r="AR986" s="624"/>
      <c r="AS986" s="624"/>
      <c r="AT986" s="624"/>
    </row>
    <row r="987" ht="15.75" customHeight="1">
      <c r="AH987" s="624"/>
      <c r="AI987" s="624"/>
      <c r="AJ987" s="624"/>
      <c r="AK987" s="624"/>
      <c r="AL987" s="624"/>
      <c r="AM987" s="624"/>
      <c r="AN987" s="624"/>
      <c r="AO987" s="624"/>
      <c r="AP987" s="624"/>
      <c r="AQ987" s="624"/>
      <c r="AR987" s="624"/>
      <c r="AS987" s="624"/>
      <c r="AT987" s="624"/>
    </row>
    <row r="988" ht="15.75" customHeight="1">
      <c r="AH988" s="624"/>
      <c r="AI988" s="624"/>
      <c r="AJ988" s="624"/>
      <c r="AK988" s="624"/>
      <c r="AL988" s="624"/>
      <c r="AM988" s="624"/>
      <c r="AN988" s="624"/>
      <c r="AO988" s="624"/>
      <c r="AP988" s="624"/>
      <c r="AQ988" s="624"/>
      <c r="AR988" s="624"/>
      <c r="AS988" s="624"/>
      <c r="AT988" s="624"/>
    </row>
    <row r="989" ht="15.75" customHeight="1">
      <c r="AH989" s="624"/>
      <c r="AI989" s="624"/>
      <c r="AJ989" s="624"/>
      <c r="AK989" s="624"/>
      <c r="AL989" s="624"/>
      <c r="AM989" s="624"/>
      <c r="AN989" s="624"/>
      <c r="AO989" s="624"/>
      <c r="AP989" s="624"/>
      <c r="AQ989" s="624"/>
      <c r="AR989" s="624"/>
      <c r="AS989" s="624"/>
      <c r="AT989" s="624"/>
    </row>
    <row r="990" ht="15.75" customHeight="1">
      <c r="AH990" s="624"/>
      <c r="AI990" s="624"/>
      <c r="AJ990" s="624"/>
      <c r="AK990" s="624"/>
      <c r="AL990" s="624"/>
      <c r="AM990" s="624"/>
      <c r="AN990" s="624"/>
      <c r="AO990" s="624"/>
      <c r="AP990" s="624"/>
      <c r="AQ990" s="624"/>
      <c r="AR990" s="624"/>
      <c r="AS990" s="624"/>
      <c r="AT990" s="624"/>
    </row>
    <row r="991" ht="15.75" customHeight="1">
      <c r="AH991" s="624"/>
      <c r="AI991" s="624"/>
      <c r="AJ991" s="624"/>
      <c r="AK991" s="624"/>
      <c r="AL991" s="624"/>
      <c r="AM991" s="624"/>
      <c r="AN991" s="624"/>
      <c r="AO991" s="624"/>
      <c r="AP991" s="624"/>
      <c r="AQ991" s="624"/>
      <c r="AR991" s="624"/>
      <c r="AS991" s="624"/>
      <c r="AT991" s="624"/>
    </row>
    <row r="992" ht="15.75" customHeight="1">
      <c r="AH992" s="624"/>
      <c r="AI992" s="624"/>
      <c r="AJ992" s="624"/>
      <c r="AK992" s="624"/>
      <c r="AL992" s="624"/>
      <c r="AM992" s="624"/>
      <c r="AN992" s="624"/>
      <c r="AO992" s="624"/>
      <c r="AP992" s="624"/>
      <c r="AQ992" s="624"/>
      <c r="AR992" s="624"/>
      <c r="AS992" s="624"/>
      <c r="AT992" s="624"/>
    </row>
    <row r="993" ht="15.75" customHeight="1">
      <c r="AH993" s="624"/>
      <c r="AI993" s="624"/>
      <c r="AJ993" s="624"/>
      <c r="AK993" s="624"/>
      <c r="AL993" s="624"/>
      <c r="AM993" s="624"/>
      <c r="AN993" s="624"/>
      <c r="AO993" s="624"/>
      <c r="AP993" s="624"/>
      <c r="AQ993" s="624"/>
      <c r="AR993" s="624"/>
      <c r="AS993" s="624"/>
      <c r="AT993" s="624"/>
    </row>
    <row r="994" ht="15.75" customHeight="1">
      <c r="AH994" s="624"/>
      <c r="AI994" s="624"/>
      <c r="AJ994" s="624"/>
      <c r="AK994" s="624"/>
      <c r="AL994" s="624"/>
      <c r="AM994" s="624"/>
      <c r="AN994" s="624"/>
      <c r="AO994" s="624"/>
      <c r="AP994" s="624"/>
      <c r="AQ994" s="624"/>
      <c r="AR994" s="624"/>
      <c r="AS994" s="624"/>
      <c r="AT994" s="624"/>
    </row>
    <row r="995" ht="15.75" customHeight="1">
      <c r="AH995" s="624"/>
      <c r="AI995" s="624"/>
      <c r="AJ995" s="624"/>
      <c r="AK995" s="624"/>
      <c r="AL995" s="624"/>
      <c r="AM995" s="624"/>
      <c r="AN995" s="624"/>
      <c r="AO995" s="624"/>
      <c r="AP995" s="624"/>
      <c r="AQ995" s="624"/>
      <c r="AR995" s="624"/>
      <c r="AS995" s="624"/>
      <c r="AT995" s="624"/>
    </row>
    <row r="996" ht="15.75" customHeight="1">
      <c r="AH996" s="624"/>
      <c r="AI996" s="624"/>
      <c r="AJ996" s="624"/>
      <c r="AK996" s="624"/>
      <c r="AL996" s="624"/>
      <c r="AM996" s="624"/>
      <c r="AN996" s="624"/>
      <c r="AO996" s="624"/>
      <c r="AP996" s="624"/>
      <c r="AQ996" s="624"/>
      <c r="AR996" s="624"/>
      <c r="AS996" s="624"/>
      <c r="AT996" s="624"/>
    </row>
    <row r="997" ht="15.75" customHeight="1">
      <c r="AH997" s="624"/>
      <c r="AI997" s="624"/>
      <c r="AJ997" s="624"/>
      <c r="AK997" s="624"/>
      <c r="AL997" s="624"/>
      <c r="AM997" s="624"/>
      <c r="AN997" s="624"/>
      <c r="AO997" s="624"/>
      <c r="AP997" s="624"/>
      <c r="AQ997" s="624"/>
      <c r="AR997" s="624"/>
      <c r="AS997" s="624"/>
      <c r="AT997" s="624"/>
    </row>
    <row r="998" ht="15.75" customHeight="1">
      <c r="AH998" s="624"/>
      <c r="AI998" s="624"/>
      <c r="AJ998" s="624"/>
      <c r="AK998" s="624"/>
      <c r="AL998" s="624"/>
      <c r="AM998" s="624"/>
      <c r="AN998" s="624"/>
      <c r="AO998" s="624"/>
      <c r="AP998" s="624"/>
      <c r="AQ998" s="624"/>
      <c r="AR998" s="624"/>
      <c r="AS998" s="624"/>
      <c r="AT998" s="624"/>
    </row>
    <row r="999" ht="15.75" customHeight="1">
      <c r="AH999" s="624"/>
      <c r="AI999" s="624"/>
      <c r="AJ999" s="624"/>
      <c r="AK999" s="624"/>
      <c r="AL999" s="624"/>
      <c r="AM999" s="624"/>
      <c r="AN999" s="624"/>
      <c r="AO999" s="624"/>
      <c r="AP999" s="624"/>
      <c r="AQ999" s="624"/>
      <c r="AR999" s="624"/>
      <c r="AS999" s="624"/>
      <c r="AT999" s="624"/>
    </row>
    <row r="1000" ht="15.75" customHeight="1">
      <c r="AH1000" s="624"/>
      <c r="AI1000" s="624"/>
      <c r="AJ1000" s="624"/>
      <c r="AK1000" s="624"/>
      <c r="AL1000" s="624"/>
      <c r="AM1000" s="624"/>
      <c r="AN1000" s="624"/>
      <c r="AO1000" s="624"/>
      <c r="AP1000" s="624"/>
      <c r="AQ1000" s="624"/>
      <c r="AR1000" s="624"/>
      <c r="AS1000" s="624"/>
      <c r="AT1000" s="624"/>
    </row>
    <row r="1001" ht="15.75" customHeight="1">
      <c r="AH1001" s="624"/>
      <c r="AI1001" s="624"/>
      <c r="AJ1001" s="624"/>
      <c r="AK1001" s="624"/>
      <c r="AL1001" s="624"/>
      <c r="AM1001" s="624"/>
      <c r="AN1001" s="624"/>
      <c r="AO1001" s="624"/>
      <c r="AP1001" s="624"/>
      <c r="AQ1001" s="624"/>
      <c r="AR1001" s="624"/>
      <c r="AS1001" s="624"/>
      <c r="AT1001" s="624"/>
    </row>
    <row r="1002" ht="15.75" customHeight="1">
      <c r="AH1002" s="624"/>
      <c r="AI1002" s="624"/>
      <c r="AJ1002" s="624"/>
      <c r="AK1002" s="624"/>
      <c r="AL1002" s="624"/>
      <c r="AM1002" s="624"/>
      <c r="AN1002" s="624"/>
      <c r="AO1002" s="624"/>
      <c r="AP1002" s="624"/>
      <c r="AQ1002" s="624"/>
      <c r="AR1002" s="624"/>
      <c r="AS1002" s="624"/>
      <c r="AT1002" s="624"/>
    </row>
    <row r="1003" ht="15.75" customHeight="1">
      <c r="AH1003" s="624"/>
      <c r="AI1003" s="624"/>
      <c r="AJ1003" s="624"/>
      <c r="AK1003" s="624"/>
      <c r="AL1003" s="624"/>
      <c r="AM1003" s="624"/>
      <c r="AN1003" s="624"/>
      <c r="AO1003" s="624"/>
      <c r="AP1003" s="624"/>
      <c r="AQ1003" s="624"/>
      <c r="AR1003" s="624"/>
      <c r="AS1003" s="624"/>
      <c r="AT1003" s="624"/>
    </row>
    <row r="1004" ht="15.75" customHeight="1">
      <c r="AH1004" s="624"/>
      <c r="AI1004" s="624"/>
      <c r="AJ1004" s="624"/>
      <c r="AK1004" s="624"/>
      <c r="AL1004" s="624"/>
      <c r="AM1004" s="624"/>
      <c r="AN1004" s="624"/>
      <c r="AO1004" s="624"/>
      <c r="AP1004" s="624"/>
      <c r="AQ1004" s="624"/>
      <c r="AR1004" s="624"/>
      <c r="AS1004" s="624"/>
      <c r="AT1004" s="624"/>
    </row>
    <row r="1005" ht="15.75" customHeight="1">
      <c r="AH1005" s="624"/>
      <c r="AI1005" s="624"/>
      <c r="AJ1005" s="624"/>
      <c r="AK1005" s="624"/>
      <c r="AL1005" s="624"/>
      <c r="AM1005" s="624"/>
      <c r="AN1005" s="624"/>
      <c r="AO1005" s="624"/>
      <c r="AP1005" s="624"/>
      <c r="AQ1005" s="624"/>
      <c r="AR1005" s="624"/>
      <c r="AS1005" s="624"/>
      <c r="AT1005" s="624"/>
    </row>
    <row r="1006" ht="15.75" customHeight="1">
      <c r="AH1006" s="624"/>
      <c r="AI1006" s="624"/>
      <c r="AJ1006" s="624"/>
      <c r="AK1006" s="624"/>
      <c r="AL1006" s="624"/>
      <c r="AM1006" s="624"/>
      <c r="AN1006" s="624"/>
      <c r="AO1006" s="624"/>
      <c r="AP1006" s="624"/>
      <c r="AQ1006" s="624"/>
      <c r="AR1006" s="624"/>
      <c r="AS1006" s="624"/>
      <c r="AT1006" s="624"/>
    </row>
    <row r="1007" ht="15.75" customHeight="1">
      <c r="AH1007" s="624"/>
      <c r="AI1007" s="624"/>
      <c r="AJ1007" s="624"/>
      <c r="AK1007" s="624"/>
      <c r="AL1007" s="624"/>
      <c r="AM1007" s="624"/>
      <c r="AN1007" s="624"/>
      <c r="AO1007" s="624"/>
      <c r="AP1007" s="624"/>
      <c r="AQ1007" s="624"/>
      <c r="AR1007" s="624"/>
      <c r="AS1007" s="624"/>
      <c r="AT1007" s="624"/>
    </row>
    <row r="1008" ht="15.75" customHeight="1">
      <c r="AH1008" s="624"/>
      <c r="AI1008" s="624"/>
      <c r="AJ1008" s="624"/>
      <c r="AK1008" s="624"/>
      <c r="AL1008" s="624"/>
      <c r="AM1008" s="624"/>
      <c r="AN1008" s="624"/>
      <c r="AO1008" s="624"/>
      <c r="AP1008" s="624"/>
      <c r="AQ1008" s="624"/>
      <c r="AR1008" s="624"/>
      <c r="AS1008" s="624"/>
      <c r="AT1008" s="624"/>
    </row>
    <row r="1009" ht="15.75" customHeight="1">
      <c r="AH1009" s="624"/>
      <c r="AI1009" s="624"/>
      <c r="AJ1009" s="624"/>
      <c r="AK1009" s="624"/>
      <c r="AL1009" s="624"/>
      <c r="AM1009" s="624"/>
      <c r="AN1009" s="624"/>
      <c r="AO1009" s="624"/>
      <c r="AP1009" s="624"/>
      <c r="AQ1009" s="624"/>
      <c r="AR1009" s="624"/>
      <c r="AS1009" s="624"/>
      <c r="AT1009" s="624"/>
    </row>
    <row r="1010" ht="15.75" customHeight="1">
      <c r="AH1010" s="624"/>
      <c r="AI1010" s="624"/>
      <c r="AJ1010" s="624"/>
      <c r="AK1010" s="624"/>
      <c r="AL1010" s="624"/>
      <c r="AM1010" s="624"/>
      <c r="AN1010" s="624"/>
      <c r="AO1010" s="624"/>
      <c r="AP1010" s="624"/>
      <c r="AQ1010" s="624"/>
      <c r="AR1010" s="624"/>
      <c r="AS1010" s="624"/>
      <c r="AT1010" s="624"/>
    </row>
    <row r="1011" ht="15.75" customHeight="1">
      <c r="AH1011" s="624"/>
      <c r="AI1011" s="624"/>
      <c r="AJ1011" s="624"/>
      <c r="AK1011" s="624"/>
      <c r="AL1011" s="624"/>
      <c r="AM1011" s="624"/>
      <c r="AN1011" s="624"/>
      <c r="AO1011" s="624"/>
      <c r="AP1011" s="624"/>
      <c r="AQ1011" s="624"/>
      <c r="AR1011" s="624"/>
      <c r="AS1011" s="624"/>
      <c r="AT1011" s="624"/>
    </row>
    <row r="1012" ht="15.75" customHeight="1">
      <c r="AH1012" s="624"/>
      <c r="AI1012" s="624"/>
      <c r="AJ1012" s="624"/>
      <c r="AK1012" s="624"/>
      <c r="AL1012" s="624"/>
      <c r="AM1012" s="624"/>
      <c r="AN1012" s="624"/>
      <c r="AO1012" s="624"/>
      <c r="AP1012" s="624"/>
      <c r="AQ1012" s="624"/>
      <c r="AR1012" s="624"/>
      <c r="AS1012" s="624"/>
      <c r="AT1012" s="624"/>
    </row>
    <row r="1013" ht="15.75" customHeight="1">
      <c r="AH1013" s="624"/>
      <c r="AI1013" s="624"/>
      <c r="AJ1013" s="624"/>
      <c r="AK1013" s="624"/>
      <c r="AL1013" s="624"/>
      <c r="AM1013" s="624"/>
      <c r="AN1013" s="624"/>
      <c r="AO1013" s="624"/>
      <c r="AP1013" s="624"/>
      <c r="AQ1013" s="624"/>
      <c r="AR1013" s="624"/>
      <c r="AS1013" s="624"/>
      <c r="AT1013" s="624"/>
    </row>
  </sheetData>
  <conditionalFormatting sqref="A14:D78 M14:N78 Y14:Y78 AC14:AC78">
    <cfRule type="expression" dxfId="9" priority="1" stopIfTrue="1">
      <formula>$Y14="P1"</formula>
    </cfRule>
  </conditionalFormatting>
  <conditionalFormatting sqref="A14:D78 M14:N78 Y14:Y78 AC14:AC78">
    <cfRule type="expression" dxfId="10" priority="2" stopIfTrue="1">
      <formula>$Y14="P2"</formula>
    </cfRule>
  </conditionalFormatting>
  <conditionalFormatting sqref="A14:D78 M14:N78 Y14:Y78 AC14:AC78">
    <cfRule type="expression" dxfId="11" priority="3" stopIfTrue="1">
      <formula>$Y14="P3"</formula>
    </cfRule>
  </conditionalFormatting>
  <conditionalFormatting sqref="A14:D78 M14:N78 Y14:Y78 AC14:AC78">
    <cfRule type="expression" dxfId="12" priority="4" stopIfTrue="1">
      <formula>$Y14="P4"</formula>
    </cfRule>
  </conditionalFormatting>
  <conditionalFormatting sqref="C14:C78 N14:N78 Y14:Y78">
    <cfRule type="cellIs" dxfId="9" priority="5" stopIfTrue="1" operator="equal">
      <formula>"P1"</formula>
    </cfRule>
  </conditionalFormatting>
  <conditionalFormatting sqref="C14:C78 N14:N78 Y14:Y78">
    <cfRule type="cellIs" dxfId="13" priority="6" stopIfTrue="1" operator="equal">
      <formula>"P2"</formula>
    </cfRule>
  </conditionalFormatting>
  <conditionalFormatting sqref="C14:C78 N14:N78 Y14:Y78">
    <cfRule type="cellIs" dxfId="14" priority="7" stopIfTrue="1" operator="equal">
      <formula>"P3"</formula>
    </cfRule>
  </conditionalFormatting>
  <conditionalFormatting sqref="C14:C78 N14:N78 Y14:Y78">
    <cfRule type="cellIs" dxfId="15" priority="8" stopIfTrue="1" operator="equal">
      <formula>"P4"</formula>
    </cfRule>
  </conditionalFormatting>
  <conditionalFormatting sqref="K74:K79">
    <cfRule type="containsText" dxfId="16" priority="9" stopIfTrue="1" operator="containsText" text="Cấp công ty">
      <formula>NOT(ISERROR(SEARCH(("Cấp công ty"),(K74))))</formula>
    </cfRule>
  </conditionalFormatting>
  <conditionalFormatting sqref="K74:K79">
    <cfRule type="containsText" dxfId="17" priority="10" stopIfTrue="1" operator="containsText" text="Cấp phòng ban">
      <formula>NOT(ISERROR(SEARCH(("Cấp phòng ban"),(K74))))</formula>
    </cfRule>
  </conditionalFormatting>
  <conditionalFormatting sqref="L14:L25 L27:L79">
    <cfRule type="containsText" dxfId="18" priority="11" stopIfTrue="1" operator="containsText" text="Công việc khác">
      <formula>NOT(ISERROR(SEARCH(("Công việc khác"),(L14))))</formula>
    </cfRule>
  </conditionalFormatting>
  <conditionalFormatting sqref="X14:X79 W74:W79">
    <cfRule type="containsText" dxfId="17" priority="12" stopIfTrue="1" operator="containsText" text="Hoàn thành">
      <formula>NOT(ISERROR(SEARCH(("Hoàn thành"),(X14))))</formula>
    </cfRule>
  </conditionalFormatting>
  <conditionalFormatting sqref="X14:X79 W74:W79">
    <cfRule type="containsText" dxfId="19" priority="13" stopIfTrue="1" operator="containsText" text="Tạm dừng">
      <formula>NOT(ISERROR(SEARCH(("Tạm dừng"),(X14))))</formula>
    </cfRule>
  </conditionalFormatting>
  <conditionalFormatting sqref="Y74:Y79">
    <cfRule type="containsText" dxfId="20" priority="14" stopIfTrue="1" operator="containsText" text="P1">
      <formula>NOT(ISERROR(SEARCH(("P1"),(Y74))))</formula>
    </cfRule>
  </conditionalFormatting>
  <conditionalFormatting sqref="Y74:Y79">
    <cfRule type="containsText" dxfId="21" priority="15" stopIfTrue="1" operator="containsText" text="P2">
      <formula>NOT(ISERROR(SEARCH(("P2"),(Y74))))</formula>
    </cfRule>
  </conditionalFormatting>
  <conditionalFormatting sqref="Y74:Y79">
    <cfRule type="containsText" dxfId="22" priority="16" stopIfTrue="1" operator="containsText" text="P3">
      <formula>NOT(ISERROR(SEARCH(("P3"),(Y74))))</formula>
    </cfRule>
  </conditionalFormatting>
  <conditionalFormatting sqref="Y74:Y79">
    <cfRule type="containsText" dxfId="23" priority="17" stopIfTrue="1" operator="containsText" text="P4">
      <formula>NOT(ISERROR(SEARCH(("P4"),(Y74))))</formula>
    </cfRule>
  </conditionalFormatting>
  <conditionalFormatting sqref="F14:G78 Q14:R78 Z14:AA79">
    <cfRule type="expression" dxfId="20" priority="18" stopIfTrue="1">
      <formula>ISNUMBER(SEARCH("Vượt khung",$AG14))</formula>
    </cfRule>
  </conditionalFormatting>
  <conditionalFormatting sqref="AD14:AD79">
    <cfRule type="cellIs" dxfId="20" priority="19" stopIfTrue="1" operator="lessThan">
      <formula>0</formula>
    </cfRule>
  </conditionalFormatting>
  <conditionalFormatting sqref="AD14:AD79">
    <cfRule type="cellIs" dxfId="21" priority="20" stopIfTrue="1" operator="between">
      <formula>0</formula>
      <formula>3</formula>
    </cfRule>
  </conditionalFormatting>
  <conditionalFormatting sqref="AF74:AF79">
    <cfRule type="expression" dxfId="20" priority="21" stopIfTrue="1">
      <formula>AND($U74&lt;&gt;"",SUMIF($U$14:$U$79,$U74,$AF$14:$AF$79)&gt;10)</formula>
    </cfRule>
  </conditionalFormatting>
  <conditionalFormatting sqref="AG74:AG79">
    <cfRule type="containsText" dxfId="24" priority="22" stopIfTrue="1" operator="containsText" text="Hợp lệ">
      <formula>NOT(ISERROR(SEARCH(("Hợp lệ"),(AG74))))</formula>
    </cfRule>
  </conditionalFormatting>
  <conditionalFormatting sqref="AG74:AG79">
    <cfRule type="containsText" dxfId="25" priority="23" stopIfTrue="1" operator="containsText" text="Chưa">
      <formula>NOT(ISERROR(SEARCH(("Chưa"),(AG74))))</formula>
    </cfRule>
  </conditionalFormatting>
  <conditionalFormatting sqref="AG74:AG79">
    <cfRule type="containsText" dxfId="20" priority="24" stopIfTrue="1" operator="containsText" text="Vượt khung">
      <formula>NOT(ISERROR(SEARCH(("Vượt khung"),(AG74))))</formula>
    </cfRule>
  </conditionalFormatting>
  <dataValidations>
    <dataValidation type="list" allowBlank="1" showInputMessage="1" showErrorMessage="1" prompt="Chọn cấp quản trị." sqref="K14:K78">
      <formula1>'Danh mục chọn'!$A$2:$A$100</formula1>
    </dataValidation>
    <dataValidation type="list" allowBlank="1" showInputMessage="1" showErrorMessage="1" prompt="Chọn nhóm công việc BOC." sqref="L14:L78">
      <formula1>'Danh mục chọn'!$B$2:$B$100</formula1>
    </dataValidation>
    <dataValidation type="decimal" allowBlank="1" sqref="AE14:AE78">
      <formula1>0.0</formula1>
      <formula2>10000.0</formula2>
    </dataValidation>
    <dataValidation type="list" allowBlank="1" showInputMessage="1" showErrorMessage="1" prompt="Chọn đơn vị phụ trách." sqref="W14:W78">
      <formula1>'Danh mục chọn'!$F$2:$F$500</formula1>
    </dataValidation>
    <dataValidation type="list" allowBlank="1" showInputMessage="1" showErrorMessage="1" prompt="Chọn người hoặc nhóm thực hiện." sqref="U14:V78">
      <formula1>'Danh mục chọn'!$P$2:$P$500</formula1>
    </dataValidation>
    <dataValidation type="list" allowBlank="1" showInputMessage="1" showErrorMessage="1" prompt="Chọn trạng thái." sqref="X14:X78">
      <formula1>'Danh mục chọn'!$D$2:$D$100</formula1>
    </dataValidation>
    <dataValidation type="list" allowBlank="1" showInputMessage="1" showErrorMessage="1" prompt="Chọn loại lịch." sqref="AI14:AI78">
      <formula1>'Danh mục chọn'!$K$2:$K$100</formula1>
    </dataValidation>
    <dataValidation type="list" allowBlank="1" showInputMessage="1" showErrorMessage="1" prompt="Chọn năm quản trị." sqref="J14:J78">
      <formula1>'Danh mục chọn'!$C$2:$C$100</formula1>
    </dataValidation>
    <dataValidation type="list" allowBlank="1" showInputMessage="1" showErrorMessage="1" prompt="Chọn P1, P2, P3 hoặc P4." sqref="C14:C78 N14:N78 Y14:Y78">
      <formula1>'Danh mục chọn'!$E$2:$E$100</formula1>
    </dataValidation>
    <dataValidation type="list" allowBlank="1" showInputMessage="1" showErrorMessage="1" prompt="Chọn chu kỳ nếu là công việc định kỳ." sqref="AJ14:AJ78">
      <formula1>'Danh mục chọn'!$L$2:$L$100</formula1>
    </dataValidation>
    <dataValidation type="date" allowBlank="1" sqref="F14:G78 Q14:R78 Z14:AA78">
      <formula1>DATE(2025,1,1)</formula1>
      <formula2>DATE(2035,12,31)</formula2>
    </dataValidation>
    <dataValidation type="list" allowBlank="1" showInputMessage="1" showErrorMessage="1" prompt="Chọn phân bổ theo Ngày hoặc Tuần." sqref="AO14:AO78">
      <formula1>'Danh mục chọn'!$N$2:$N$100</formula1>
    </dataValidation>
  </dataValidations>
  <printOptions/>
  <pageMargins bottom="0.75" footer="0.0" header="0.0" left="0.7" right="0.7" top="0.75"/>
  <pageSetup paperSize="9" orientation="portrait"/>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3.0" topLeftCell="A14" activePane="bottomLeft" state="frozen"/>
      <selection activeCell="B15" sqref="B15" pane="bottomLeft"/>
    </sheetView>
  </sheetViews>
  <sheetFormatPr customHeight="1" defaultColWidth="12.63" defaultRowHeight="15.0"/>
  <cols>
    <col customWidth="1" min="1" max="1" width="5.75"/>
    <col customWidth="1" min="2" max="2" width="49.5"/>
    <col customWidth="1" min="3" max="3" width="12.0"/>
    <col customWidth="1" min="4" max="4" width="15.75"/>
    <col customWidth="1" min="5" max="5" width="15.13"/>
    <col customWidth="1" min="6" max="7" width="12.63"/>
    <col customWidth="1" min="8" max="8" width="20.38"/>
    <col customWidth="1" min="9" max="9" width="35.13"/>
    <col customWidth="1" min="10" max="10" width="15.0"/>
    <col customWidth="1" min="11" max="11" width="9.38"/>
    <col customWidth="1" min="12" max="12" width="21.75"/>
    <col customWidth="1" min="13" max="13" width="17.0"/>
    <col customWidth="1" min="14" max="14" width="54.0"/>
    <col customWidth="1" hidden="1" min="15" max="15" width="46.25"/>
    <col customWidth="1" hidden="1" min="16" max="16" width="15.25"/>
    <col customWidth="1" hidden="1" min="17" max="17" width="20.25"/>
    <col customWidth="1" hidden="1" min="18" max="18" width="19.63"/>
    <col customWidth="1" hidden="1" min="19" max="19" width="14.25"/>
    <col customWidth="1" hidden="1" min="20" max="20" width="13.75"/>
    <col customWidth="1" hidden="1" min="21" max="21" width="31.25"/>
    <col customWidth="1" min="22" max="22" width="63.13"/>
    <col customWidth="1" min="23" max="23" width="18.25"/>
    <col customWidth="1" min="24" max="24" width="18.0"/>
    <col customWidth="1" min="25" max="25" width="22.5"/>
    <col customWidth="1" min="26" max="26" width="43.13"/>
    <col customWidth="1" min="27" max="27" width="19.88"/>
    <col customWidth="1" hidden="1" min="28" max="28" width="20.63"/>
    <col customWidth="1" hidden="1" min="29" max="29" width="21.13"/>
    <col customWidth="1" hidden="1" min="30" max="30" width="18.75"/>
    <col customWidth="1" hidden="1" min="31" max="31" width="17.88"/>
    <col customWidth="1" hidden="1" min="32" max="32" width="14.25"/>
    <col customWidth="1" hidden="1" min="33" max="33" width="22.0"/>
    <col customWidth="1" min="34" max="34" width="27.88"/>
    <col customWidth="1" min="35" max="35" width="23.13"/>
    <col customWidth="1" min="36" max="36" width="24.13"/>
    <col customWidth="1" min="37" max="37" width="27.63"/>
    <col customWidth="1" min="38" max="38" width="12.63"/>
    <col customWidth="1" hidden="1" min="39" max="39" width="9.5"/>
    <col customWidth="1" min="40" max="40" width="13.25"/>
    <col customWidth="1" min="41" max="41" width="17.0"/>
    <col customWidth="1" hidden="1" min="42" max="42" width="12.0"/>
    <col customWidth="1" hidden="1" min="43" max="43" width="26.38"/>
    <col customWidth="1" min="44" max="44" width="22.0"/>
    <col customWidth="1" min="45" max="45" width="16.25"/>
    <col customWidth="1" min="46" max="46" width="21.75"/>
    <col customWidth="1" min="47" max="47" width="21.5"/>
    <col customWidth="1" min="48" max="48" width="30.75"/>
    <col customWidth="1" min="49" max="49" width="20.13"/>
  </cols>
  <sheetData>
    <row r="1" ht="15.75" customHeight="1">
      <c r="A1" s="152"/>
      <c r="B1" s="5" t="s">
        <v>132</v>
      </c>
      <c r="C1" s="156"/>
      <c r="D1" s="156"/>
      <c r="E1" s="156"/>
      <c r="F1" s="156"/>
      <c r="G1" s="156"/>
      <c r="H1" s="156"/>
      <c r="I1" s="156"/>
      <c r="J1" s="156"/>
      <c r="K1" s="156"/>
      <c r="L1" s="156"/>
      <c r="M1" s="156"/>
      <c r="N1" s="156"/>
      <c r="O1" s="156"/>
      <c r="P1" s="156"/>
      <c r="Q1" s="156"/>
      <c r="R1" s="156"/>
      <c r="S1" s="156"/>
      <c r="T1" s="156"/>
      <c r="U1" s="156"/>
      <c r="V1" s="156"/>
      <c r="W1" s="156"/>
      <c r="X1" s="156"/>
      <c r="Y1" s="67"/>
      <c r="Z1" s="67"/>
      <c r="AA1" s="67"/>
      <c r="AB1" s="67"/>
      <c r="AC1" s="67"/>
      <c r="AD1" s="67"/>
      <c r="AE1" s="67"/>
      <c r="AF1" s="156"/>
      <c r="AG1" s="156"/>
      <c r="AH1" s="156"/>
      <c r="AI1" s="156"/>
      <c r="AJ1" s="203"/>
      <c r="AK1" s="3"/>
      <c r="AL1" s="3"/>
      <c r="AM1" s="3"/>
      <c r="AN1" s="3"/>
      <c r="AO1" s="3"/>
      <c r="AP1" s="3"/>
      <c r="AQ1" s="3"/>
      <c r="AR1" s="3"/>
      <c r="AS1" s="3"/>
      <c r="AT1" s="3"/>
      <c r="AU1" s="3"/>
      <c r="AV1" s="160"/>
      <c r="AW1" s="160"/>
    </row>
    <row r="2" ht="15.75" customHeight="1">
      <c r="A2" s="162"/>
      <c r="B2" s="210" t="s">
        <v>135</v>
      </c>
      <c r="C2" s="210"/>
      <c r="D2" s="210"/>
      <c r="E2" s="210"/>
      <c r="F2" s="214" t="s">
        <v>117</v>
      </c>
      <c r="G2" s="214"/>
      <c r="H2" s="216" t="s">
        <v>118</v>
      </c>
      <c r="I2" s="216" t="s">
        <v>119</v>
      </c>
      <c r="J2" s="216" t="s">
        <v>120</v>
      </c>
      <c r="K2" s="216" t="s">
        <v>121</v>
      </c>
      <c r="L2" s="216" t="s">
        <v>122</v>
      </c>
      <c r="M2" s="216" t="s">
        <v>123</v>
      </c>
      <c r="N2" s="67"/>
      <c r="O2" s="67"/>
      <c r="P2" s="67"/>
      <c r="Q2" s="67"/>
      <c r="R2" s="67"/>
      <c r="S2" s="67"/>
      <c r="T2" s="67"/>
      <c r="U2" s="67"/>
      <c r="V2" s="67"/>
      <c r="W2" s="67"/>
      <c r="X2" s="67"/>
      <c r="Y2" s="67"/>
      <c r="Z2" s="67"/>
      <c r="AA2" s="67"/>
      <c r="AB2" s="67"/>
      <c r="AC2" s="67"/>
      <c r="AD2" s="67"/>
      <c r="AE2" s="67"/>
      <c r="AF2" s="214"/>
      <c r="AG2" s="214"/>
      <c r="AH2" s="214"/>
      <c r="AI2" s="214"/>
      <c r="AJ2" s="214"/>
    </row>
    <row r="3" ht="15.75" customHeight="1">
      <c r="A3" s="222"/>
      <c r="B3" s="224" t="s">
        <v>140</v>
      </c>
      <c r="C3" s="224"/>
      <c r="D3" s="224"/>
      <c r="E3" s="224"/>
      <c r="F3" s="228">
        <f>COUNTIF($B$14:$B$132,"&lt;&gt;")</f>
        <v>36</v>
      </c>
      <c r="G3" s="229"/>
      <c r="H3" s="234">
        <f>COUNTIFS($B$14:$B$132,"&lt;&gt;",$X$14:$X$132,"Công ty")</f>
        <v>0</v>
      </c>
      <c r="I3" s="234">
        <f>COUNTIFS($B$14:$B$132,"&lt;&gt;",$X$14:$X$132,"R&amp;D")</f>
        <v>18</v>
      </c>
      <c r="J3" s="234">
        <f>COUNTIFS($B$14:$B$132,"&lt;&gt;",$X$14:$X$132,"MKT*")</f>
        <v>0</v>
      </c>
      <c r="K3" s="234">
        <f>COUNTIFS($B$14:$B$132,"&lt;&gt;",$X$14:$X$132,"KH &amp; Cung ứng*")</f>
        <v>0</v>
      </c>
      <c r="L3" s="234">
        <f>COUNTIFS($B$14:$B$132,"&lt;&gt;",$X$14:$X$132,"Dữ liệu điều hành*")</f>
        <v>15</v>
      </c>
      <c r="M3" s="234">
        <f>COUNTIFS($B$14:$B$132,"&lt;&gt;",$X$14:$X$132,"Kinh doanh quốc tế*")</f>
        <v>0</v>
      </c>
      <c r="N3" s="187"/>
      <c r="O3" s="187"/>
      <c r="P3" s="187"/>
      <c r="Q3" s="187"/>
      <c r="R3" s="187"/>
      <c r="S3" s="187"/>
      <c r="T3" s="187"/>
      <c r="U3" s="187"/>
      <c r="V3" s="187"/>
      <c r="W3" s="187"/>
      <c r="X3" s="187"/>
      <c r="Y3" s="187"/>
      <c r="Z3" s="187"/>
      <c r="AA3" s="187"/>
      <c r="AB3" s="187"/>
      <c r="AC3" s="187"/>
      <c r="AD3" s="187"/>
      <c r="AE3" s="187"/>
      <c r="AF3" s="229"/>
      <c r="AG3" s="229"/>
      <c r="AH3" s="229"/>
      <c r="AI3" s="229"/>
      <c r="AJ3" s="229"/>
    </row>
    <row r="4" ht="15.75" customHeight="1">
      <c r="A4" s="222"/>
      <c r="B4" s="224" t="s">
        <v>88</v>
      </c>
      <c r="C4" s="224"/>
      <c r="D4" s="224"/>
      <c r="E4" s="224"/>
      <c r="F4" s="228">
        <f t="shared" ref="F4:F6" si="1">COUNTIFS($B$14:$B$132,"&lt;&gt;",$M$14:$M$132,$B4)</f>
        <v>14</v>
      </c>
      <c r="G4" s="229"/>
      <c r="H4" s="229">
        <f t="shared" ref="H4:H6" si="2">COUNTIFS($B$14:$B$132,"&lt;&gt;",$M$14:$M$132,$B4,$X$14:$X$132,"Công ty")</f>
        <v>0</v>
      </c>
      <c r="I4" s="229">
        <f t="shared" ref="I4:I6" si="3">COUNTIFS($B$14:$B$132,"&lt;&gt;",$M$14:$M$132,$B4,$X$14:$X$132,"R&amp;D")</f>
        <v>8</v>
      </c>
      <c r="J4" s="229">
        <f t="shared" ref="J4:J6" si="4">COUNTIFS($B$14:$B$132,"&lt;&gt;",$M$14:$M$132,$B4,$X$14:$X$132,"MKT*")</f>
        <v>0</v>
      </c>
      <c r="K4" s="229">
        <f t="shared" ref="K4:K6" si="5">COUNTIFS($B$14:$B$132,"&lt;&gt;",$M$14:$M$132,$B4,$X$14:$X$132,"KH &amp; Cung ứng*")</f>
        <v>0</v>
      </c>
      <c r="L4" s="229">
        <f t="shared" ref="L4:L6" si="6">COUNTIFS($B$14:$B$132,"&lt;&gt;",$M$14:$M$132,$B4,$X$14:$X$132,"Dữ liệu điều hành*")</f>
        <v>6</v>
      </c>
      <c r="M4" s="229">
        <f t="shared" ref="M4:M6" si="7">COUNTIFS($B$14:$B$132,"&lt;&gt;",$M$14:$M$132,$B4,$X$14:$X$132,"Kinh doanh quốc tế*")</f>
        <v>0</v>
      </c>
      <c r="N4" s="187"/>
      <c r="O4" s="187"/>
      <c r="P4" s="187"/>
      <c r="Q4" s="187"/>
      <c r="R4" s="187"/>
      <c r="S4" s="187"/>
      <c r="T4" s="187"/>
      <c r="U4" s="187"/>
      <c r="V4" s="187"/>
      <c r="W4" s="187"/>
      <c r="X4" s="187"/>
      <c r="Y4" s="187"/>
      <c r="Z4" s="187"/>
      <c r="AA4" s="187"/>
      <c r="AB4" s="187"/>
      <c r="AC4" s="187"/>
      <c r="AD4" s="187"/>
      <c r="AE4" s="187"/>
      <c r="AF4" s="229"/>
      <c r="AG4" s="229"/>
      <c r="AH4" s="229"/>
      <c r="AI4" s="229"/>
      <c r="AJ4" s="229"/>
    </row>
    <row r="5" ht="15.75" customHeight="1">
      <c r="A5" s="222"/>
      <c r="B5" s="224" t="s">
        <v>78</v>
      </c>
      <c r="C5" s="224"/>
      <c r="D5" s="224"/>
      <c r="E5" s="224"/>
      <c r="F5" s="228">
        <f t="shared" si="1"/>
        <v>17</v>
      </c>
      <c r="G5" s="229"/>
      <c r="H5" s="229">
        <f t="shared" si="2"/>
        <v>0</v>
      </c>
      <c r="I5" s="229">
        <f t="shared" si="3"/>
        <v>10</v>
      </c>
      <c r="J5" s="229">
        <f t="shared" si="4"/>
        <v>0</v>
      </c>
      <c r="K5" s="229">
        <f t="shared" si="5"/>
        <v>0</v>
      </c>
      <c r="L5" s="229">
        <f t="shared" si="6"/>
        <v>7</v>
      </c>
      <c r="M5" s="229">
        <f t="shared" si="7"/>
        <v>0</v>
      </c>
      <c r="N5" s="187"/>
      <c r="O5" s="187"/>
      <c r="P5" s="187"/>
      <c r="Q5" s="187"/>
      <c r="R5" s="187"/>
      <c r="S5" s="187"/>
      <c r="T5" s="187"/>
      <c r="U5" s="187"/>
      <c r="V5" s="187"/>
      <c r="W5" s="187"/>
      <c r="X5" s="187"/>
      <c r="Y5" s="187"/>
      <c r="Z5" s="187"/>
      <c r="AA5" s="187"/>
      <c r="AB5" s="187"/>
      <c r="AC5" s="187"/>
      <c r="AD5" s="187"/>
      <c r="AE5" s="187"/>
      <c r="AF5" s="229"/>
      <c r="AG5" s="229"/>
      <c r="AH5" s="229"/>
      <c r="AI5" s="229"/>
      <c r="AJ5" s="229"/>
    </row>
    <row r="6" ht="15.75" customHeight="1">
      <c r="A6" s="222"/>
      <c r="B6" s="274" t="s">
        <v>89</v>
      </c>
      <c r="C6" s="274"/>
      <c r="D6" s="274"/>
      <c r="E6" s="274"/>
      <c r="F6" s="279">
        <f t="shared" si="1"/>
        <v>0</v>
      </c>
      <c r="G6" s="281"/>
      <c r="H6" s="229">
        <f t="shared" si="2"/>
        <v>0</v>
      </c>
      <c r="I6" s="229">
        <f t="shared" si="3"/>
        <v>0</v>
      </c>
      <c r="J6" s="229">
        <f t="shared" si="4"/>
        <v>0</v>
      </c>
      <c r="K6" s="229">
        <f t="shared" si="5"/>
        <v>0</v>
      </c>
      <c r="L6" s="229">
        <f t="shared" si="6"/>
        <v>0</v>
      </c>
      <c r="M6" s="229">
        <f t="shared" si="7"/>
        <v>0</v>
      </c>
      <c r="N6" s="187"/>
      <c r="O6" s="187"/>
      <c r="P6" s="187"/>
      <c r="Q6" s="187"/>
      <c r="R6" s="187"/>
      <c r="S6" s="187"/>
      <c r="T6" s="187"/>
      <c r="U6" s="187"/>
      <c r="V6" s="187"/>
      <c r="W6" s="187"/>
      <c r="X6" s="187"/>
      <c r="Y6" s="187"/>
      <c r="Z6" s="187"/>
      <c r="AA6" s="187"/>
      <c r="AB6" s="187"/>
      <c r="AC6" s="187"/>
      <c r="AD6" s="187"/>
      <c r="AE6" s="187"/>
      <c r="AF6" s="281"/>
      <c r="AG6" s="281"/>
      <c r="AH6" s="281"/>
      <c r="AI6" s="281"/>
      <c r="AJ6" s="281"/>
    </row>
    <row r="7" ht="15.75" customHeight="1">
      <c r="A7" s="288"/>
      <c r="B7" s="290" t="s">
        <v>141</v>
      </c>
      <c r="C7" s="290"/>
      <c r="D7" s="290"/>
      <c r="E7" s="292"/>
      <c r="F7" s="295">
        <f>COUNTIFS($B$14:$B$132,"&lt;&gt;",$C$14:$C$132,"P1")</f>
        <v>7</v>
      </c>
      <c r="G7" s="298"/>
      <c r="H7" s="302" t="s">
        <v>176</v>
      </c>
      <c r="I7" s="229"/>
      <c r="J7" s="229"/>
      <c r="K7" s="229"/>
      <c r="L7" s="229"/>
      <c r="M7" s="229"/>
      <c r="N7" s="229"/>
      <c r="O7" s="229"/>
      <c r="P7" s="229"/>
      <c r="Q7" s="229"/>
      <c r="R7" s="229"/>
      <c r="S7" s="229"/>
      <c r="T7" s="229"/>
      <c r="U7" s="229"/>
      <c r="V7" s="229"/>
      <c r="W7" s="229"/>
      <c r="X7" s="229"/>
      <c r="Y7" s="187"/>
      <c r="Z7" s="187"/>
      <c r="AA7" s="187"/>
      <c r="AB7" s="187"/>
      <c r="AC7" s="187"/>
      <c r="AD7" s="187"/>
      <c r="AE7" s="187"/>
      <c r="AF7" s="229"/>
      <c r="AG7" s="229"/>
      <c r="AH7" s="229"/>
      <c r="AI7" s="229"/>
      <c r="AJ7" s="229"/>
    </row>
    <row r="8" ht="15.75" customHeight="1">
      <c r="A8" s="222"/>
      <c r="B8" s="224" t="s">
        <v>142</v>
      </c>
      <c r="C8" s="224"/>
      <c r="D8" s="224"/>
      <c r="E8" s="309"/>
      <c r="F8" s="314">
        <f>COUNTIFS($B$14:$B$132,"&lt;&gt;",$C$14:$C$132,"P2")</f>
        <v>18</v>
      </c>
      <c r="G8" s="298"/>
      <c r="H8" s="316" t="s">
        <v>191</v>
      </c>
      <c r="I8" s="320" t="s">
        <v>193</v>
      </c>
      <c r="J8" s="229"/>
      <c r="K8" s="229"/>
      <c r="L8" s="229"/>
      <c r="M8" s="229"/>
      <c r="N8" s="229"/>
      <c r="O8" s="229"/>
      <c r="P8" s="229"/>
      <c r="Q8" s="229"/>
      <c r="R8" s="229"/>
      <c r="S8" s="229"/>
      <c r="T8" s="229"/>
      <c r="U8" s="229"/>
      <c r="V8" s="229"/>
      <c r="W8" s="229"/>
      <c r="X8" s="229"/>
      <c r="Y8" s="187"/>
      <c r="Z8" s="187"/>
      <c r="AA8" s="187"/>
      <c r="AB8" s="187"/>
      <c r="AC8" s="187"/>
      <c r="AD8" s="187"/>
      <c r="AE8" s="187"/>
      <c r="AF8" s="229"/>
      <c r="AG8" s="229"/>
      <c r="AH8" s="229"/>
      <c r="AI8" s="229"/>
      <c r="AJ8" s="229"/>
    </row>
    <row r="9" ht="15.75" customHeight="1">
      <c r="A9" s="222"/>
      <c r="B9" s="224" t="s">
        <v>143</v>
      </c>
      <c r="C9" s="224"/>
      <c r="D9" s="224"/>
      <c r="E9" s="309"/>
      <c r="F9" s="331" t="str">
        <f>IFERROR(AVERAGEIFS($D$14:$D$132,$B$14:$B$132,"&lt;&gt;"),"")</f>
        <v/>
      </c>
      <c r="G9" s="298"/>
      <c r="H9" s="332" t="s">
        <v>201</v>
      </c>
      <c r="I9" s="335" t="str">
        <f t="array" ref="I9">IF($I$8="","",XLOOKUP("*"&amp;$I$8&amp;"*",'Lớp 3 - Công việc chính'!$B$14:$B$73,'Lớp 3 - Công việc chính'!$B$14:$B$73,"Không tìm thấy",2))</f>
        <v>KHKD 2027&amp; HT lập KH theo tham số KD (bán tự động)</v>
      </c>
      <c r="J9" s="337"/>
      <c r="K9" s="337"/>
      <c r="L9" s="337"/>
      <c r="M9" s="337"/>
      <c r="N9" s="337"/>
      <c r="O9" s="229"/>
      <c r="P9" s="229"/>
      <c r="Q9" s="229"/>
      <c r="R9" s="229"/>
      <c r="S9" s="229"/>
      <c r="T9" s="229"/>
      <c r="U9" s="229"/>
      <c r="V9" s="229"/>
      <c r="W9" s="229"/>
      <c r="X9" s="229"/>
      <c r="Y9" s="187"/>
      <c r="Z9" s="187"/>
      <c r="AA9" s="187"/>
      <c r="AB9" s="187"/>
      <c r="AC9" s="187"/>
      <c r="AD9" s="187"/>
      <c r="AE9" s="187"/>
      <c r="AF9" s="229"/>
      <c r="AG9" s="229"/>
      <c r="AH9" s="229"/>
      <c r="AI9" s="229"/>
      <c r="AJ9" s="229"/>
    </row>
    <row r="10" ht="15.75" customHeight="1">
      <c r="A10" s="222"/>
      <c r="B10" s="224" t="s">
        <v>144</v>
      </c>
      <c r="C10" s="224"/>
      <c r="D10" s="224"/>
      <c r="E10" s="309"/>
      <c r="F10" s="346">
        <f>COUNTIFS($B$14:$B$132,"&lt;&gt;",$E$14:$E$132,"&lt;0")</f>
        <v>4</v>
      </c>
      <c r="G10" s="298"/>
      <c r="H10" s="347" t="s">
        <v>209</v>
      </c>
      <c r="I10" s="353" t="str">
        <f t="array" ref="I10">IF($I$8="","",XLOOKUP("*"&amp;$I$8&amp;"*",'Lớp 3 - Công việc chính'!$B$14:$B$73,'Lớp 3 - Công việc chính'!$I$14:$I$73,"",2))</f>
        <v>HHL3CT03</v>
      </c>
      <c r="J10" s="229"/>
      <c r="K10" s="229"/>
      <c r="L10" s="229"/>
      <c r="M10" s="229"/>
      <c r="N10" s="229"/>
      <c r="O10" s="229"/>
      <c r="P10" s="229"/>
      <c r="Q10" s="229"/>
      <c r="R10" s="229"/>
      <c r="S10" s="229"/>
      <c r="T10" s="229"/>
      <c r="U10" s="229"/>
      <c r="V10" s="229"/>
      <c r="W10" s="229"/>
      <c r="X10" s="229"/>
      <c r="Y10" s="187"/>
      <c r="Z10" s="187"/>
      <c r="AA10" s="187"/>
      <c r="AB10" s="187"/>
      <c r="AC10" s="187"/>
      <c r="AD10" s="187"/>
      <c r="AE10" s="187"/>
      <c r="AF10" s="229"/>
      <c r="AG10" s="229"/>
      <c r="AH10" s="229"/>
      <c r="AI10" s="229"/>
      <c r="AJ10" s="229"/>
    </row>
    <row r="11" ht="3.0" customHeight="1">
      <c r="A11" s="261"/>
      <c r="B11" s="261"/>
      <c r="C11" s="261"/>
      <c r="D11" s="261"/>
      <c r="E11" s="261"/>
      <c r="F11" s="261"/>
      <c r="G11" s="261"/>
      <c r="H11" s="261"/>
      <c r="I11" s="359"/>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I11" s="363"/>
      <c r="AJ11" s="365"/>
      <c r="AK11" s="366"/>
      <c r="AL11" s="368"/>
      <c r="AM11" s="366"/>
      <c r="AN11" s="366"/>
      <c r="AO11" s="366"/>
      <c r="AP11" s="366"/>
      <c r="AQ11" s="366"/>
      <c r="AR11" s="366"/>
      <c r="AS11" s="366"/>
      <c r="AT11" s="366"/>
      <c r="AU11" s="366"/>
      <c r="AV11" s="366"/>
      <c r="AW11" s="366"/>
    </row>
    <row r="12" ht="15.75" customHeight="1">
      <c r="A12" s="272" t="s">
        <v>157</v>
      </c>
      <c r="B12" s="272"/>
      <c r="C12" s="272"/>
      <c r="D12" s="272"/>
      <c r="E12" s="272"/>
      <c r="F12" s="272"/>
      <c r="G12" s="272"/>
      <c r="H12" s="272"/>
      <c r="I12" s="275" t="s">
        <v>161</v>
      </c>
      <c r="J12" s="374"/>
      <c r="K12" s="377"/>
      <c r="L12" s="379"/>
      <c r="M12" s="379"/>
      <c r="N12" s="374"/>
      <c r="O12" s="377"/>
      <c r="P12" s="379"/>
      <c r="Q12" s="379"/>
      <c r="R12" s="379"/>
      <c r="S12" s="379"/>
      <c r="T12" s="379"/>
      <c r="U12" s="379"/>
      <c r="V12" s="379"/>
      <c r="W12" s="379"/>
      <c r="X12" s="379"/>
      <c r="Y12" s="379"/>
      <c r="Z12" s="379"/>
      <c r="AA12" s="379"/>
      <c r="AB12" s="382"/>
      <c r="AC12" s="275"/>
      <c r="AD12" s="379"/>
      <c r="AE12" s="379"/>
      <c r="AF12" s="379"/>
      <c r="AG12" s="379"/>
      <c r="AH12" s="379"/>
      <c r="AI12" s="379"/>
      <c r="AJ12" s="374"/>
      <c r="AK12" s="280"/>
      <c r="AL12" s="280"/>
      <c r="AM12" s="280"/>
      <c r="AN12" s="280"/>
      <c r="AO12" s="280"/>
      <c r="AP12" s="280"/>
      <c r="AQ12" s="280"/>
      <c r="AR12" s="280"/>
      <c r="AS12" s="280"/>
      <c r="AT12" s="280"/>
      <c r="AU12" s="280"/>
      <c r="AV12" s="280"/>
      <c r="AW12" s="280"/>
    </row>
    <row r="13" ht="15.75" customHeight="1">
      <c r="A13" s="293" t="s">
        <v>163</v>
      </c>
      <c r="B13" s="385" t="s">
        <v>247</v>
      </c>
      <c r="C13" s="305" t="s">
        <v>175</v>
      </c>
      <c r="D13" s="305" t="s">
        <v>177</v>
      </c>
      <c r="E13" s="305" t="s">
        <v>178</v>
      </c>
      <c r="F13" s="305" t="s">
        <v>179</v>
      </c>
      <c r="G13" s="305" t="s">
        <v>180</v>
      </c>
      <c r="H13" s="305" t="s">
        <v>187</v>
      </c>
      <c r="I13" s="312" t="s">
        <v>249</v>
      </c>
      <c r="J13" s="312" t="s">
        <v>190</v>
      </c>
      <c r="K13" s="313" t="s">
        <v>167</v>
      </c>
      <c r="L13" s="312" t="s">
        <v>37</v>
      </c>
      <c r="M13" s="312" t="s">
        <v>45</v>
      </c>
      <c r="N13" s="312" t="s">
        <v>174</v>
      </c>
      <c r="O13" s="312" t="s">
        <v>251</v>
      </c>
      <c r="P13" s="312" t="s">
        <v>195</v>
      </c>
      <c r="Q13" s="326" t="s">
        <v>196</v>
      </c>
      <c r="R13" s="326" t="s">
        <v>197</v>
      </c>
      <c r="S13" s="313" t="s">
        <v>198</v>
      </c>
      <c r="T13" s="410" t="s">
        <v>199</v>
      </c>
      <c r="U13" s="313" t="s">
        <v>200</v>
      </c>
      <c r="V13" s="312" t="s">
        <v>169</v>
      </c>
      <c r="W13" s="312" t="s">
        <v>170</v>
      </c>
      <c r="X13" s="312" t="s">
        <v>171</v>
      </c>
      <c r="Y13" s="312" t="s">
        <v>172</v>
      </c>
      <c r="Z13" s="312" t="s">
        <v>82</v>
      </c>
      <c r="AA13" s="312" t="s">
        <v>173</v>
      </c>
      <c r="AB13" s="312" t="s">
        <v>202</v>
      </c>
      <c r="AC13" s="326" t="s">
        <v>203</v>
      </c>
      <c r="AD13" s="326" t="s">
        <v>204</v>
      </c>
      <c r="AE13" s="313" t="s">
        <v>205</v>
      </c>
      <c r="AF13" s="410" t="s">
        <v>206</v>
      </c>
      <c r="AG13" s="313" t="s">
        <v>207</v>
      </c>
      <c r="AH13" s="417" t="s">
        <v>210</v>
      </c>
      <c r="AI13" s="352" t="s">
        <v>211</v>
      </c>
      <c r="AJ13" s="355" t="s">
        <v>212</v>
      </c>
      <c r="AK13" s="357" t="s">
        <v>213</v>
      </c>
      <c r="AL13" s="361" t="s">
        <v>58</v>
      </c>
      <c r="AM13" s="361" t="s">
        <v>61</v>
      </c>
      <c r="AN13" s="361" t="s">
        <v>181</v>
      </c>
      <c r="AO13" s="361" t="s">
        <v>214</v>
      </c>
      <c r="AP13" s="361" t="s">
        <v>215</v>
      </c>
      <c r="AQ13" s="367" t="s">
        <v>219</v>
      </c>
      <c r="AR13" s="352" t="s">
        <v>184</v>
      </c>
      <c r="AS13" s="352" t="s">
        <v>185</v>
      </c>
      <c r="AT13" s="352" t="s">
        <v>236</v>
      </c>
      <c r="AU13" s="376" t="s">
        <v>241</v>
      </c>
      <c r="AV13" s="380" t="s">
        <v>245</v>
      </c>
      <c r="AW13" s="381" t="s">
        <v>246</v>
      </c>
    </row>
    <row r="14" ht="15.75" customHeight="1">
      <c r="A14" s="424">
        <f t="shared" ref="A14:A53" si="11">IF(B14="","",COUNTIF($B$14:B14,"&lt;&gt;"))</f>
        <v>1</v>
      </c>
      <c r="B14" s="425" t="str">
        <f>'Trung tâm nhập liệu'!F115</f>
        <v>Xác nhận công thức &amp; tạo HT tham số cho KH GT</v>
      </c>
      <c r="C14" s="427" t="str">
        <f>'Trung tâm nhập liệu'!M115</f>
        <v>P1</v>
      </c>
      <c r="D14" s="428">
        <f t="shared" ref="D14:E14" si="8">AF14</f>
        <v>0</v>
      </c>
      <c r="E14" s="429">
        <f t="shared" si="8"/>
        <v>50</v>
      </c>
      <c r="F14" s="431">
        <f t="shared" ref="F14:G14" si="9">S14</f>
        <v>46305</v>
      </c>
      <c r="G14" s="431">
        <f t="shared" si="9"/>
        <v>46237</v>
      </c>
      <c r="H14" s="432" t="str">
        <f>IF(B14="","",IF(COUNTIF('Lớp 5 - Phân công'!$J$14:$J$262,I14)&gt;0,"Có","Không"))</f>
        <v>Có</v>
      </c>
      <c r="I14" s="434" t="str">
        <f>'Trung tâm nhập liệu'!B115</f>
        <v>HHL4DL01</v>
      </c>
      <c r="J14" s="432" t="str">
        <f>'Trung tâm nhập liệu'!D115</f>
        <v>HHL3CT03</v>
      </c>
      <c r="K14" s="436">
        <f t="array" ref="K14">IFERROR(INDEX('Lớp 3 - Công việc chính'!$J$14:$J$73,MATCH(J14,'Lớp 3 - Công việc chính'!$I$14:$I$73,0)),"")</f>
        <v>2026</v>
      </c>
      <c r="L14" s="438" t="str">
        <f t="array" ref="L14">IFERROR(INDEX('Lớp 3 - Công việc chính'!$K$14:$K$73,MATCH(J14,'Lớp 3 - Công việc chính'!$I$14:$I$73,0)),"")</f>
        <v>Cấp công ty</v>
      </c>
      <c r="M14" s="439" t="str">
        <f t="array" ref="M14">IFERROR(INDEX('Lớp 3 - Công việc chính'!$L$14:$L$73,MATCH(J14,'Lớp 3 - Công việc chính'!$I$14:$I$73,0)),"")</f>
        <v>Chiến lược/sống còn</v>
      </c>
      <c r="N14" s="439" t="str">
        <f t="array" ref="N14">IFERROR(INDEX('Lớp 3 - Công việc chính'!$M$14:$M$73,MATCH(J14,'Lớp 3 - Công việc chính'!$I$14:$I$73,0)),"")</f>
        <v>KHKD 2027&amp; HT lập KH theo tham số KD (bán tự động)</v>
      </c>
      <c r="O14" s="440" t="str">
        <f t="shared" ref="O14:R14" si="10">B14</f>
        <v>Xác nhận công thức &amp; tạo HT tham số cho KH GT</v>
      </c>
      <c r="P14" s="441" t="str">
        <f t="shared" si="10"/>
        <v>P1</v>
      </c>
      <c r="Q14" s="442">
        <f t="shared" si="10"/>
        <v>0</v>
      </c>
      <c r="R14" s="443">
        <f t="shared" si="10"/>
        <v>50</v>
      </c>
      <c r="S14" s="445">
        <f>IF($I14="","",LET(n,COUNTIFS('Lớp 5 - Phân công'!$J$14:$J$262,$I14,'Lớp 5 - Phân công'!$AB$14:$AB$262,"&lt;&gt;Hủy"),child,IFERROR(MAXIFS('Lớp 5 - Phân công'!$AE$14:$AE$262,'Lớp 5 - Phân công'!$J$14:$J$262,$I14,'Lớp 5 - Phân công'!$AB$14:$AB$262,"&lt;&gt;Hủy",'Lớp 5 - Phân công'!$AE$14:$AE$262,"&gt;0"),0),plan,'Trung tâm nhập liệu'!Q115,emergent,LOWER(TRIM('Trung tâm nhập liệu'!O115))="khi phát sinh",IF(n=0,IF(emergent,"",plan),IF(child=0,IF(emergent,"",plan),IF(OR(emergent,plan=""),child,MAX(plan,child))))))</f>
        <v>46305</v>
      </c>
      <c r="T14" s="447">
        <f>IF($I14="","",LET(n,COUNTIFS('Lớp 5 - Phân công'!$J$14:$J$262,$I14,'Lớp 5 - Phân công'!$AB$14:$AB$262,"&lt;&gt;Hủy"),child,IFERROR(MINIFS('Lớp 5 - Phân công'!$AD$14:$AD$262,'Lớp 5 - Phân công'!$J$14:$J$262,$I14,'Lớp 5 - Phân công'!$AB$14:$AB$262,"&lt;&gt;Hủy",'Lớp 5 - Phân công'!$AD$14:$AD$262,"&gt;0"),0),plan,'Trung tâm nhập liệu'!R115,emergent,LOWER(TRIM('Trung tâm nhập liệu'!O115))="khi phát sinh",IF(n=0,IF(emergent,"",plan),IF(child=0,IF(emergent,"",plan),IF(OR(emergent,plan=""),child,MIN(plan,child))))))</f>
        <v>46237</v>
      </c>
      <c r="U14" s="432" t="str">
        <f t="shared" ref="U14:U53" si="15">H14</f>
        <v>Có</v>
      </c>
      <c r="V14" s="432" t="str">
        <f>'Trung tâm nhập liệu'!G115</f>
        <v>Công thức và hệ thống tham số kế hoạch GT được xác nhận và phê duyệt</v>
      </c>
      <c r="W14" s="432" t="str">
        <f>'Trung tâm nhập liệu'!H115</f>
        <v/>
      </c>
      <c r="X14" s="450" t="str">
        <f t="array" ref="X14">IFERROR(INDEX('Lớp 3 - Công việc chính'!$W$14:$W$73,MATCH(J14,'Lớp 3 - Công việc chính'!$I$14:$I$73,0)),"")</f>
        <v>Dữ liệu điều hành</v>
      </c>
      <c r="Y14" s="432" t="str">
        <f>'Trung tâm nhập liệu'!J115</f>
        <v>GĐ BOC</v>
      </c>
      <c r="Z14" s="432" t="str">
        <f>'Trung tâm nhập liệu'!K115</f>
        <v>Em Đại</v>
      </c>
      <c r="AA14" s="425" t="str">
        <f>'Trung tâm nhập liệu'!L115</f>
        <v>Chưa bắt đầu</v>
      </c>
      <c r="AB14" s="441" t="str">
        <f>'Trung tâm nhập liệu'!M115</f>
        <v>P1</v>
      </c>
      <c r="AC14" s="447">
        <f t="shared" ref="AC14:AC53" si="16">T14</f>
        <v>46237</v>
      </c>
      <c r="AD14" s="445">
        <f t="shared" ref="AD14:AD53" si="17">S14</f>
        <v>46305</v>
      </c>
      <c r="AE14" s="457">
        <f>IF(AL14&lt;&gt;"Có thời hạn","",IF(OR(AC14="",AD14=""),"",IF(AD14&lt;AC14,"",_xlfn.NETWORKDAYS.INTL(AC14,AD14,11,'Ngày nghỉ lễ'!$A$5:$A$80))))</f>
        <v>58</v>
      </c>
      <c r="AF14" s="458">
        <f>IF(I14="","",IF(L14="Công việc khác","",IF(OR(AA14="Chưa lên lịch",AA14="Đã lên lịch",AA14="Hủy"),"",IF(COUNTIFS('Lớp 5 - Phân công'!$J$14:$J$262,I14,'Lớp 5 - Phân công'!$AB$14:$AB$262,"&lt;&gt;",'Lớp 5 - Phân công'!$AB$14:$AB$262,"&lt;&gt;Hủy",'Lớp 5 - Phân công'!$AB$14:$AB$262,"&lt;&gt;Chưa lên lịch",'Lớp 5 - Phân công'!$AB$14:$AB$262,"&lt;&gt;Đã lên lịch")&gt;0,SUMIFS('Lớp 5 - Phân công'!$AG$14:$AG$262,'Lớp 5 - Phân công'!$J$14:$J$262,I14,'Lớp 5 - Phân công'!$AB$14:$AB$262,"&lt;&gt;",'Lớp 5 - Phân công'!$AB$14:$AB$262,"&lt;&gt;Hủy",'Lớp 5 - Phân công'!$AB$14:$AB$262,"&lt;&gt;Chưa lên lịch",'Lớp 5 - Phân công'!$AB$14:$AB$262,"&lt;&gt;Đã lên lịch")/COUNTIFS('Lớp 5 - Phân công'!$J$14:$J$262,I14,'Lớp 5 - Phân công'!$AB$14:$AB$262,"&lt;&gt;",'Lớp 5 - Phân công'!$AB$14:$AB$262,"&lt;&gt;Hủy",'Lớp 5 - Phân công'!$AB$14:$AB$262,"&lt;&gt;Chưa lên lịch",'Lớp 5 - Phân công'!$AB$14:$AB$262,"&lt;&gt;Đã lên lịch"),IF(AA14="Hoàn thành",1,0)))))</f>
        <v>0</v>
      </c>
      <c r="AG14" s="461">
        <f>IF(AL14&lt;&gt;"Có thời hạn","",IF(OR(I14="",AC14="",AD14=""),"",IF(OR(AA14="Hoàn thành",AA14="Hủy"),0,IF(AD14&lt;TODAY(),-_xlfn.NETWORKDAYS.INTL(AD14,TODAY()-1,11,'Ngày nghỉ lễ'!$A$5:$A$80),MAX(0,_xlfn.NETWORKDAYS.INTL(MAX(TODAY()+1,AC14),AD14,11,'Ngày nghỉ lễ'!$A$5:$A$80))))))</f>
        <v>50</v>
      </c>
      <c r="AH14" s="466">
        <f>IF($I14="","",LET(n,COUNTIFS('Lớp 5 - Phân công'!$J$14:$J$262,$I14,'Lớp 5 - Phân công'!$AB$14:$AB$262,"&lt;&gt;Hủy"),du,COUNTIFS('Lớp 5 - Phân công'!$J$14:$J$262,$I14,'Lớp 5 - Phân công'!$AB$14:$AB$262,"&lt;&gt;Hủy",'Lớp 5 - Phân công'!$AI$14:$AI$262,"&lt;&gt;"),IF(n=0,'Trung tâm nhập liệu'!T115,IF(du&lt;n,"",SUMIFS('Lớp 5 - Phân công'!$AI$14:$AI$262,'Lớp 5 - Phân công'!$J$14:$J$262,$I14,'Lớp 5 - Phân công'!$AB$14:$AB$262,"&lt;&gt;Hủy")))))</f>
        <v>140</v>
      </c>
      <c r="AI14" s="468" t="str">
        <f>IF(I14="","",IF(OR(AA14="Hoàn thành",AA14="Hủy"),"",IF(COUNTIFS('Lớp 5 - Phân công'!$J$14:$J$262,I14,'Lớp 5 - Phân công'!$AB$14:$AB$262,"&lt;&gt;Hủy")&gt;0,"",IF(AR14="Ngày",AS14,IF(AR14="Tuần",AS14/5,"")))))</f>
        <v/>
      </c>
      <c r="AJ14" s="477" t="str">
        <f>IF(AL14="Chưa xếp lịch","Chưa xếp lịch",IF(AL14="Định kỳ",IF(AM14="","Thiếu chu kỳ","Theo chu kỳ"),IF(AL14="Khi phát sinh",IF(COUNTIFS('Lớp 5 - Phân công'!$J$14:$J$262,$I14,'Lớp 5 - Phân công'!$AB$14:$AB$262,"&lt;&gt;Hủy")=0,"Khi phát sinh – chờ việc con","Khi phát sinh – theo ngày con"),IF(I14="","",LET(n,COUNTIFS('Lớp 5 - Phân công'!$J$14:$J$262,$I14,'Lớp 5 - Phân công'!$AB$14:$AB$262,"&lt;&gt;Hủy"),cs,IFERROR(MINIFS('Lớp 5 - Phân công'!$AD$14:$AD$262,'Lớp 5 - Phân công'!$J$14:$J$262,$I14,'Lớp 5 - Phân công'!$AB$14:$AB$262,"&lt;&gt;Hủy",'Lớp 5 - Phân công'!$AD$14:$AD$262,"&gt;0"),0),ce,IFERROR(MAXIFS('Lớp 5 - Phân công'!$AE$14:$AE$262,'Lớp 5 - Phân công'!$J$14:$J$262,$I14,'Lớp 5 - Phân công'!$AB$14:$AB$262,"&lt;&gt;Hủy",'Lớp 5 - Phân công'!$AE$14:$AE$262,"&gt;0"),0),ps,'Trung tâm nhập liệu'!R115,pe,'Trung tâm nhập liệu'!Q115,IF(OR(AC14="",AD14=""),"Thiếu ngày L4",IF(n=0,"Chưa có L5",IF(OR(cs=0,ce=0),"Thiếu ngày L5",IF(OR(ps="",pe=""),"Thiếu ngày kế hoạch gốc L4",IF(OR(cs&lt;ps,ce&gt;pe),"Cảnh báo: Con vượt khung kế hoạch gốc","L5 đúng khung kế hoạch gốc"))))))))))</f>
        <v>Cảnh báo: Con vượt khung kế hoạch gốc</v>
      </c>
      <c r="AK14" s="465" t="str">
        <f>IF(OR(AU14="Thiếu tham số phân bổ",AU14="Phân bổ phải &gt; 0"),AU14,SWITCH(AL14,"Chưa xếp lịch","Chưa tính tải","Định kỳ","Theo chu kỳ","Khi phát sinh","Khi phát sinh",IF(I14="","",IF(OR(AA14="Hoàn thành",AA14="Hủy"),AA14,IF(COUNTIFS('Lớp 5 - Phân công'!$J$14:$J$262,I14,'Lớp 5 - Phân công'!$AB$14:$AB$262,"&lt;&gt;Hủy")&gt;0,"Theo dõi tải tại Lớp 5",IF(AH14="","Chưa nhập khối lượng",IF(Z14="","Thiếu người thực hiện",IF(OR(AC14="",AD14=""),"Chưa nhập đủ thời gian",IF(AG14&lt;0,"Quá hạn – còn "&amp;TEXT(MAX(0,AH14*(1-AF14)),"0.0")&amp;" giờ",LET(bd,MAX(TODAY(),AC14),kt,AD14,nguoi,Z14,tai,SUMIFS('Lớp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5</v>
      </c>
      <c r="AL14" s="467" t="str">
        <f>'Trung tâm nhập liệu'!O115</f>
        <v>Có thời hạn</v>
      </c>
      <c r="AM14" s="469" t="str">
        <f>'Trung tâm nhập liệu'!P115</f>
        <v/>
      </c>
      <c r="AN14" s="470" t="str">
        <f>'Trung tâm nhập liệu'!S115</f>
        <v/>
      </c>
      <c r="AO14" s="470" t="str">
        <f>'Trung tâm nhập liệu'!X115</f>
        <v/>
      </c>
      <c r="AP14" s="471" t="str">
        <f t="shared" ref="AP14:AP53" si="18">IF(AO14="","",TEXT(AO14,"yyyy-mm"))</f>
        <v/>
      </c>
      <c r="AQ14" s="469" t="str">
        <f t="shared" ref="AQ14:AQ53" si="19">AW14</f>
        <v/>
      </c>
      <c r="AR14" s="475" t="str">
        <f>'Trung tâm nhập liệu'!V115</f>
        <v>Tuần</v>
      </c>
      <c r="AS14" s="476">
        <f>'Trung tâm nhập liệu'!W115</f>
        <v>8</v>
      </c>
      <c r="AT14" s="478" t="str">
        <f>IF(AL14&lt;&gt;"Có thời hạn","",IF(OR(I14="",AH14="",AA14="Hoàn thành",AA14="Hủy",COUNTIFS('Lớp 5 - Phân công'!$J$14:$J$262,I14,'Lớp 5 - Phân công'!$AB$14:$AB$262,"&lt;&gt;Hủy")&gt;0),"",LET(canNgay,MAX(0,AH14*(1-AF14))/MAX(1,AG14),IF(AR14="Ngày",canNgay,IF(AR14="Tuần",canNgay*5,"")))))</f>
        <v/>
      </c>
      <c r="AU14" s="465" t="str">
        <f>IF(I14="","",IF(COUNTIFS('Lớp 5 - Phân công'!$J$14:$J$262,I14,'Lớp 5 - Phân công'!$AB$14:$AB$262,"&lt;&gt;Hủy")&gt;0,"Theo dõi phân bổ tại Lớp 5",IF(OR(AA14="Hoàn thành",AA14="Hủy"),AA14,IF(AH14="","Thiếu tổng giờ",IF(OR(AR14="",AS14=""),"Thiếu tham số phân bổ",IF(AS14&lt;=0,"Phân bổ phải &gt; 0",IF(AL14&lt;&gt;"Có thời hạn","Đã có phân bổ",IF(AT14="","Chưa đủ dữ liệu hạn",IF(AS14&gt;=AT14,"Đủ phân bổ theo "&amp;LOWER(AR14),"Thiếu "&amp;TEXT(AT14-AS14,"0.0")&amp;" giờ/"&amp;LOWER(AR14))))))))))</f>
        <v>Theo dõi phân bổ tại Lớp 5</v>
      </c>
      <c r="AV14" s="465" t="str">
        <f t="shared" ref="AV14:AV53" si="20">IF(I14="","",LET(tt,AA14,bd,AC14,kt,AD14,td,AF14,ht,AO14,lk,AQ14,loai,AL14,IF(tt="","Thiếu trạng thái",IFS(tt="Hủy","OK",AND(tt="Hoàn thành",ht=""),"Thiếu ngày hoàn thành thực tế",AND(tt="Hoàn thành",td&lt;1),"Hoàn thành nhưng tiến độ chưa 100%",AND(tt="Hoàn thành",lk=""),"Thiếu đường link kết quả",AND(tt&lt;&gt;"Hoàn thành",ht&lt;&gt;""),"Có ngày hoàn thành nhưng chưa Hoàn thành",AND(tt="Chưa lên lịch",OR(bd&lt;&gt;"",kt&lt;&gt;"")),"Chưa lên lịch nhưng đã có ngày",tt="Chưa lên lịch","OK",loai&lt;&gt;"Có thời hạn","OK",OR(bd="",kt=""),"Thiếu ngày bắt đầu/kết thúc",kt&lt;bd,"Ngày kết thúc trước ngày bắt đầu",AND(tt="Đã lên lịch",bd&lt;=TODAY()),"Đã đến ngày bắt đầu – cập nhật trạng thái",tt="Đã lên lịch","OK",AND(tt="Chưa bắt đầu",bd&gt;TODAY()),"Chưa đến ngày bắt đầu – nên Đã lên lịch",AND(tt="Chưa bắt đầu",kt&lt;TODAY()),"Quá hạn nhưng chưa bắt đầu",tt="Chưa bắt đầu","OK",AND(tt="Đang thực hiện",bd&gt;TODAY()),"Chưa đến ngày bắt đầu – nên Đã lên lịch",AND(tt="Đang thực hiện",td&gt;=1),"Tiến độ 100% – chuyển Hoàn thành",tt="Đang thực hiện","OK",TRUE,"Kiểm tra trạng thái"))))</f>
        <v>OK</v>
      </c>
      <c r="AW14" s="479" t="str">
        <f>'Trung tâm nhập liệu'!Y115</f>
        <v/>
      </c>
    </row>
    <row r="15" ht="15.75" customHeight="1">
      <c r="A15" s="424">
        <f t="shared" si="11"/>
        <v>2</v>
      </c>
      <c r="B15" s="425" t="str">
        <f>'Trung tâm nhập liệu'!F116</f>
        <v>Xây dựng công thức &amp; tạo HT tham số cho KH MT</v>
      </c>
      <c r="C15" s="427" t="str">
        <f>'Trung tâm nhập liệu'!M116</f>
        <v>P1</v>
      </c>
      <c r="D15" s="499">
        <f t="shared" ref="D15:E15" si="12">AF15</f>
        <v>0</v>
      </c>
      <c r="E15" s="501">
        <f t="shared" si="12"/>
        <v>54</v>
      </c>
      <c r="F15" s="431">
        <f t="shared" ref="F15:G15" si="13">S15</f>
        <v>46310</v>
      </c>
      <c r="G15" s="431">
        <f t="shared" si="13"/>
        <v>46237</v>
      </c>
      <c r="H15" s="432" t="str">
        <f>IF(B15="","",IF(COUNTIF('Lớp 5 - Phân công'!$J$14:$J$262,I15)&gt;0,"Có","Không"))</f>
        <v>Có</v>
      </c>
      <c r="I15" s="434" t="str">
        <f>'Trung tâm nhập liệu'!B116</f>
        <v>HHL4DL02</v>
      </c>
      <c r="J15" s="432" t="str">
        <f>'Trung tâm nhập liệu'!D116</f>
        <v>HHL3CT03</v>
      </c>
      <c r="K15" s="436">
        <f t="array" ref="K15">IFERROR(INDEX('Lớp 3 - Công việc chính'!$J$14:$J$73,MATCH(J15,'Lớp 3 - Công việc chính'!$I$14:$I$73,0)),"")</f>
        <v>2026</v>
      </c>
      <c r="L15" s="438" t="str">
        <f t="array" ref="L15">IFERROR(INDEX('Lớp 3 - Công việc chính'!$K$14:$K$73,MATCH(J15,'Lớp 3 - Công việc chính'!$I$14:$I$73,0)),"")</f>
        <v>Cấp công ty</v>
      </c>
      <c r="M15" s="439" t="str">
        <f t="array" ref="M15">IFERROR(INDEX('Lớp 3 - Công việc chính'!$L$14:$L$73,MATCH(J15,'Lớp 3 - Công việc chính'!$I$14:$I$73,0)),"")</f>
        <v>Chiến lược/sống còn</v>
      </c>
      <c r="N15" s="439" t="str">
        <f t="array" ref="N15">IFERROR(INDEX('Lớp 3 - Công việc chính'!$M$14:$M$73,MATCH(J15,'Lớp 3 - Công việc chính'!$I$14:$I$73,0)),"")</f>
        <v>KHKD 2027&amp; HT lập KH theo tham số KD (bán tự động)</v>
      </c>
      <c r="O15" s="440" t="str">
        <f t="shared" ref="O15:R15" si="14">B15</f>
        <v>Xây dựng công thức &amp; tạo HT tham số cho KH MT</v>
      </c>
      <c r="P15" s="441" t="str">
        <f t="shared" si="14"/>
        <v>P1</v>
      </c>
      <c r="Q15" s="442">
        <f t="shared" si="14"/>
        <v>0</v>
      </c>
      <c r="R15" s="443">
        <f t="shared" si="14"/>
        <v>54</v>
      </c>
      <c r="S15" s="445">
        <f>IF($I15="","",LET(n,COUNTIFS('Lớp 5 - Phân công'!$J$14:$J$262,$I15,'Lớp 5 - Phân công'!$AB$14:$AB$262,"&lt;&gt;Hủy"),child,IFERROR(MAXIFS('Lớp 5 - Phân công'!$AE$14:$AE$262,'Lớp 5 - Phân công'!$J$14:$J$262,$I15,'Lớp 5 - Phân công'!$AB$14:$AB$262,"&lt;&gt;Hủy",'Lớp 5 - Phân công'!$AE$14:$AE$262,"&gt;0"),0),plan,'Trung tâm nhập liệu'!Q116,emergent,LOWER(TRIM('Trung tâm nhập liệu'!O116))="khi phát sinh",IF(n=0,IF(emergent,"",plan),IF(child=0,IF(emergent,"",plan),IF(OR(emergent,plan=""),child,MAX(plan,child))))))</f>
        <v>46310</v>
      </c>
      <c r="T15" s="447">
        <f>IF($I15="","",LET(n,COUNTIFS('Lớp 5 - Phân công'!$J$14:$J$262,$I15,'Lớp 5 - Phân công'!$AB$14:$AB$262,"&lt;&gt;Hủy"),child,IFERROR(MINIFS('Lớp 5 - Phân công'!$AD$14:$AD$262,'Lớp 5 - Phân công'!$J$14:$J$262,$I15,'Lớp 5 - Phân công'!$AB$14:$AB$262,"&lt;&gt;Hủy",'Lớp 5 - Phân công'!$AD$14:$AD$262,"&gt;0"),0),plan,'Trung tâm nhập liệu'!R116,emergent,LOWER(TRIM('Trung tâm nhập liệu'!O116))="khi phát sinh",IF(n=0,IF(emergent,"",plan),IF(child=0,IF(emergent,"",plan),IF(OR(emergent,plan=""),child,MIN(plan,child))))))</f>
        <v>46237</v>
      </c>
      <c r="U15" s="432" t="str">
        <f t="shared" si="15"/>
        <v>Có</v>
      </c>
      <c r="V15" s="432" t="str">
        <f>'Trung tâm nhập liệu'!G116</f>
        <v>Công thức và hệ thống tham số kế hoạch MT được phê duyệt, vận hành.</v>
      </c>
      <c r="W15" s="432" t="str">
        <f>'Trung tâm nhập liệu'!H116</f>
        <v/>
      </c>
      <c r="X15" s="450" t="str">
        <f t="array" ref="X15">IFERROR(INDEX('Lớp 3 - Công việc chính'!$W$14:$W$73,MATCH(J15,'Lớp 3 - Công việc chính'!$I$14:$I$73,0)),"")</f>
        <v>Dữ liệu điều hành</v>
      </c>
      <c r="Y15" s="432" t="str">
        <f>'Trung tâm nhập liệu'!J116</f>
        <v>GĐ BOC</v>
      </c>
      <c r="Z15" s="432" t="str">
        <f>'Trung tâm nhập liệu'!K116</f>
        <v>Em Đại</v>
      </c>
      <c r="AA15" s="425" t="str">
        <f>'Trung tâm nhập liệu'!L116</f>
        <v>Chưa bắt đầu</v>
      </c>
      <c r="AB15" s="441" t="str">
        <f>'Trung tâm nhập liệu'!M116</f>
        <v>P1</v>
      </c>
      <c r="AC15" s="447">
        <f t="shared" si="16"/>
        <v>46237</v>
      </c>
      <c r="AD15" s="445">
        <f t="shared" si="17"/>
        <v>46310</v>
      </c>
      <c r="AE15" s="457">
        <f>IF(AL15&lt;&gt;"Có thời hạn","",IF(OR(AC15="",AD15=""),"",IF(AD15&lt;AC15,"",_xlfn.NETWORKDAYS.INTL(AC15,AD15,11,'Ngày nghỉ lễ'!$A$5:$A$80))))</f>
        <v>62</v>
      </c>
      <c r="AF15" s="458">
        <f>IF(I15="","",IF(L15="Công việc khác","",IF(OR(AA15="Chưa lên lịch",AA15="Đã lên lịch",AA15="Hủy"),"",IF(COUNTIFS('Lớp 5 - Phân công'!$J$14:$J$262,I15,'Lớp 5 - Phân công'!$AB$14:$AB$262,"&lt;&gt;",'Lớp 5 - Phân công'!$AB$14:$AB$262,"&lt;&gt;Hủy",'Lớp 5 - Phân công'!$AB$14:$AB$262,"&lt;&gt;Chưa lên lịch",'Lớp 5 - Phân công'!$AB$14:$AB$262,"&lt;&gt;Đã lên lịch")&gt;0,SUMIFS('Lớp 5 - Phân công'!$AG$14:$AG$262,'Lớp 5 - Phân công'!$J$14:$J$262,I15,'Lớp 5 - Phân công'!$AB$14:$AB$262,"&lt;&gt;",'Lớp 5 - Phân công'!$AB$14:$AB$262,"&lt;&gt;Hủy",'Lớp 5 - Phân công'!$AB$14:$AB$262,"&lt;&gt;Chưa lên lịch",'Lớp 5 - Phân công'!$AB$14:$AB$262,"&lt;&gt;Đã lên lịch")/COUNTIFS('Lớp 5 - Phân công'!$J$14:$J$262,I15,'Lớp 5 - Phân công'!$AB$14:$AB$262,"&lt;&gt;",'Lớp 5 - Phân công'!$AB$14:$AB$262,"&lt;&gt;Hủy",'Lớp 5 - Phân công'!$AB$14:$AB$262,"&lt;&gt;Chưa lên lịch",'Lớp 5 - Phân công'!$AB$14:$AB$262,"&lt;&gt;Đã lên lịch"),IF(AA15="Hoàn thành",1,0)))))</f>
        <v>0</v>
      </c>
      <c r="AG15" s="461">
        <f>IF(AL15&lt;&gt;"Có thời hạn","",IF(OR(I15="",AC15="",AD15=""),"",IF(OR(AA15="Hoàn thành",AA15="Hủy"),0,IF(AD15&lt;TODAY(),-_xlfn.NETWORKDAYS.INTL(AD15,TODAY()-1,11,'Ngày nghỉ lễ'!$A$5:$A$80),MAX(0,_xlfn.NETWORKDAYS.INTL(MAX(TODAY()+1,AC15),AD15,11,'Ngày nghỉ lễ'!$A$5:$A$80))))))</f>
        <v>54</v>
      </c>
      <c r="AH15" s="466">
        <f>IF($I15="","",LET(n,COUNTIFS('Lớp 5 - Phân công'!$J$14:$J$262,$I15,'Lớp 5 - Phân công'!$AB$14:$AB$262,"&lt;&gt;Hủy"),du,COUNTIFS('Lớp 5 - Phân công'!$J$14:$J$262,$I15,'Lớp 5 - Phân công'!$AB$14:$AB$262,"&lt;&gt;Hủy",'Lớp 5 - Phân công'!$AI$14:$AI$262,"&lt;&gt;"),IF(n=0,'Trung tâm nhập liệu'!T116,IF(du&lt;n,"",SUMIFS('Lớp 5 - Phân công'!$AI$14:$AI$262,'Lớp 5 - Phân công'!$J$14:$J$262,$I15,'Lớp 5 - Phân công'!$AB$14:$AB$262,"&lt;&gt;Hủy")))))</f>
        <v>80</v>
      </c>
      <c r="AI15" s="468" t="str">
        <f>IF(I15="","",IF(OR(AA15="Hoàn thành",AA15="Hủy"),"",IF(COUNTIFS('Lớp 5 - Phân công'!$J$14:$J$262,I15,'Lớp 5 - Phân công'!$AB$14:$AB$262,"&lt;&gt;Hủy")&gt;0,"",IF(AR15="Ngày",AS15,IF(AR15="Tuần",AS15/5,"")))))</f>
        <v/>
      </c>
      <c r="AJ15" s="477" t="str">
        <f>IF(AL15="Chưa xếp lịch","Chưa xếp lịch",IF(AL15="Định kỳ",IF(AM15="","Thiếu chu kỳ","Theo chu kỳ"),IF(AL15="Khi phát sinh",IF(COUNTIFS('Lớp 5 - Phân công'!$J$14:$J$262,$I15,'Lớp 5 - Phân công'!$AB$14:$AB$262,"&lt;&gt;Hủy")=0,"Khi phát sinh – chờ việc con","Khi phát sinh – theo ngày con"),IF(I15="","",LET(n,COUNTIFS('Lớp 5 - Phân công'!$J$14:$J$262,$I15,'Lớp 5 - Phân công'!$AB$14:$AB$262,"&lt;&gt;Hủy"),cs,IFERROR(MINIFS('Lớp 5 - Phân công'!$AD$14:$AD$262,'Lớp 5 - Phân công'!$J$14:$J$262,$I15,'Lớp 5 - Phân công'!$AB$14:$AB$262,"&lt;&gt;Hủy",'Lớp 5 - Phân công'!$AD$14:$AD$262,"&gt;0"),0),ce,IFERROR(MAXIFS('Lớp 5 - Phân công'!$AE$14:$AE$262,'Lớp 5 - Phân công'!$J$14:$J$262,$I15,'Lớp 5 - Phân công'!$AB$14:$AB$262,"&lt;&gt;Hủy",'Lớp 5 - Phân công'!$AE$14:$AE$262,"&gt;0"),0),ps,'Trung tâm nhập liệu'!R116,pe,'Trung tâm nhập liệu'!Q116,IF(OR(AC15="",AD15=""),"Thiếu ngày L4",IF(n=0,"Chưa có L5",IF(OR(cs=0,ce=0),"Thiếu ngày L5",IF(OR(ps="",pe=""),"Thiếu ngày kế hoạch gốc L4",IF(OR(cs&lt;ps,ce&gt;pe),"Cảnh báo: Con vượt khung kế hoạch gốc","L5 đúng khung kế hoạch gốc"))))))))))</f>
        <v>Cảnh báo: Con vượt khung kế hoạch gốc</v>
      </c>
      <c r="AK15" s="465" t="str">
        <f>IF(OR(AU15="Thiếu tham số phân bổ",AU15="Phân bổ phải &gt; 0"),AU15,SWITCH(AL15,"Chưa xếp lịch","Chưa tính tải","Định kỳ","Theo chu kỳ","Khi phát sinh","Khi phát sinh",IF(I15="","",IF(OR(AA15="Hoàn thành",AA15="Hủy"),AA15,IF(COUNTIFS('Lớp 5 - Phân công'!$J$14:$J$262,I15,'Lớp 5 - Phân công'!$AB$14:$AB$262,"&lt;&gt;Hủy")&gt;0,"Theo dõi tải tại Lớp 5",IF(AH15="","Chưa nhập khối lượng",IF(Z15="","Thiếu người thực hiện",IF(OR(AC15="",AD15=""),"Chưa nhập đủ thời gian",IF(AG15&lt;0,"Quá hạn – còn "&amp;TEXT(MAX(0,AH15*(1-AF15)),"0.0")&amp;" giờ",LET(bd,MAX(TODAY(),AC15),kt,AD15,nguoi,Z15,tai,SUMIFS('Lớp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5</v>
      </c>
      <c r="AL15" s="467" t="str">
        <f>'Trung tâm nhập liệu'!O116</f>
        <v>Có thời hạn</v>
      </c>
      <c r="AM15" s="469" t="str">
        <f>'Trung tâm nhập liệu'!P116</f>
        <v/>
      </c>
      <c r="AN15" s="470" t="str">
        <f>'Trung tâm nhập liệu'!S116</f>
        <v/>
      </c>
      <c r="AO15" s="470" t="str">
        <f>'Trung tâm nhập liệu'!X116</f>
        <v/>
      </c>
      <c r="AP15" s="471" t="str">
        <f t="shared" si="18"/>
        <v/>
      </c>
      <c r="AQ15" s="469" t="str">
        <f t="shared" si="19"/>
        <v/>
      </c>
      <c r="AR15" s="475" t="str">
        <f>'Trung tâm nhập liệu'!V116</f>
        <v>Tuần</v>
      </c>
      <c r="AS15" s="476">
        <f>'Trung tâm nhập liệu'!W116</f>
        <v>8</v>
      </c>
      <c r="AT15" s="478" t="str">
        <f>IF(AL15&lt;&gt;"Có thời hạn","",IF(OR(I15="",AH15="",AA15="Hoàn thành",AA15="Hủy",COUNTIFS('Lớp 5 - Phân công'!$J$14:$J$262,I15,'Lớp 5 - Phân công'!$AB$14:$AB$262,"&lt;&gt;Hủy")&gt;0),"",LET(canNgay,MAX(0,AH15*(1-AF15))/MAX(1,AG15),IF(AR15="Ngày",canNgay,IF(AR15="Tuần",canNgay*5,"")))))</f>
        <v/>
      </c>
      <c r="AU15" s="465" t="str">
        <f>IF(I15="","",IF(COUNTIFS('Lớp 5 - Phân công'!$J$14:$J$262,I15,'Lớp 5 - Phân công'!$AB$14:$AB$262,"&lt;&gt;Hủy")&gt;0,"Theo dõi phân bổ tại Lớp 5",IF(OR(AA15="Hoàn thành",AA15="Hủy"),AA15,IF(AH15="","Thiếu tổng giờ",IF(OR(AR15="",AS15=""),"Thiếu tham số phân bổ",IF(AS15&lt;=0,"Phân bổ phải &gt; 0",IF(AL15&lt;&gt;"Có thời hạn","Đã có phân bổ",IF(AT15="","Chưa đủ dữ liệu hạn",IF(AS15&gt;=AT15,"Đủ phân bổ theo "&amp;LOWER(AR15),"Thiếu "&amp;TEXT(AT15-AS15,"0.0")&amp;" giờ/"&amp;LOWER(AR15))))))))))</f>
        <v>Theo dõi phân bổ tại Lớp 5</v>
      </c>
      <c r="AV15" s="465" t="str">
        <f t="shared" si="20"/>
        <v>OK</v>
      </c>
      <c r="AW15" s="479" t="str">
        <f>'Trung tâm nhập liệu'!Y116</f>
        <v/>
      </c>
    </row>
    <row r="16" ht="15.75" customHeight="1">
      <c r="A16" s="424">
        <f t="shared" si="11"/>
        <v>3</v>
      </c>
      <c r="B16" s="425" t="str">
        <f>'Trung tâm nhập liệu'!F117</f>
        <v>Xây dựng công thức &amp; tạo HT tham số cho KH B2B</v>
      </c>
      <c r="C16" s="427" t="str">
        <f>'Trung tâm nhập liệu'!M117</f>
        <v>P1</v>
      </c>
      <c r="D16" s="499">
        <f t="shared" ref="D16:E16" si="21">AF16</f>
        <v>0</v>
      </c>
      <c r="E16" s="501">
        <f t="shared" si="21"/>
        <v>62</v>
      </c>
      <c r="F16" s="431">
        <f t="shared" ref="F16:G16" si="22">S16</f>
        <v>46320</v>
      </c>
      <c r="G16" s="431">
        <f t="shared" si="22"/>
        <v>46237</v>
      </c>
      <c r="H16" s="432" t="str">
        <f>IF(B16="","",IF(COUNTIF('Lớp 5 - Phân công'!$J$14:$J$262,I16)&gt;0,"Có","Không"))</f>
        <v>Có</v>
      </c>
      <c r="I16" s="434" t="str">
        <f>'Trung tâm nhập liệu'!B117</f>
        <v>HHL4DL03</v>
      </c>
      <c r="J16" s="432" t="str">
        <f>'Trung tâm nhập liệu'!D117</f>
        <v>HHL3CT03</v>
      </c>
      <c r="K16" s="436">
        <f t="array" ref="K16">IFERROR(INDEX('Lớp 3 - Công việc chính'!$J$14:$J$73,MATCH(J16,'Lớp 3 - Công việc chính'!$I$14:$I$73,0)),"")</f>
        <v>2026</v>
      </c>
      <c r="L16" s="438" t="str">
        <f t="array" ref="L16">IFERROR(INDEX('Lớp 3 - Công việc chính'!$K$14:$K$73,MATCH(J16,'Lớp 3 - Công việc chính'!$I$14:$I$73,0)),"")</f>
        <v>Cấp công ty</v>
      </c>
      <c r="M16" s="439" t="str">
        <f t="array" ref="M16">IFERROR(INDEX('Lớp 3 - Công việc chính'!$L$14:$L$73,MATCH(J16,'Lớp 3 - Công việc chính'!$I$14:$I$73,0)),"")</f>
        <v>Chiến lược/sống còn</v>
      </c>
      <c r="N16" s="439" t="str">
        <f t="array" ref="N16">IFERROR(INDEX('Lớp 3 - Công việc chính'!$M$14:$M$73,MATCH(J16,'Lớp 3 - Công việc chính'!$I$14:$I$73,0)),"")</f>
        <v>KHKD 2027&amp; HT lập KH theo tham số KD (bán tự động)</v>
      </c>
      <c r="O16" s="440" t="str">
        <f t="shared" ref="O16:R16" si="23">B16</f>
        <v>Xây dựng công thức &amp; tạo HT tham số cho KH B2B</v>
      </c>
      <c r="P16" s="441" t="str">
        <f t="shared" si="23"/>
        <v>P1</v>
      </c>
      <c r="Q16" s="442">
        <f t="shared" si="23"/>
        <v>0</v>
      </c>
      <c r="R16" s="443">
        <f t="shared" si="23"/>
        <v>62</v>
      </c>
      <c r="S16" s="445">
        <f>IF($I16="","",LET(n,COUNTIFS('Lớp 5 - Phân công'!$J$14:$J$262,$I16,'Lớp 5 - Phân công'!$AB$14:$AB$262,"&lt;&gt;Hủy"),child,IFERROR(MAXIFS('Lớp 5 - Phân công'!$AE$14:$AE$262,'Lớp 5 - Phân công'!$J$14:$J$262,$I16,'Lớp 5 - Phân công'!$AB$14:$AB$262,"&lt;&gt;Hủy",'Lớp 5 - Phân công'!$AE$14:$AE$262,"&gt;0"),0),plan,'Trung tâm nhập liệu'!Q117,emergent,LOWER(TRIM('Trung tâm nhập liệu'!O117))="khi phát sinh",IF(n=0,IF(emergent,"",plan),IF(child=0,IF(emergent,"",plan),IF(OR(emergent,plan=""),child,MAX(plan,child))))))</f>
        <v>46320</v>
      </c>
      <c r="T16" s="447">
        <f>IF($I16="","",LET(n,COUNTIFS('Lớp 5 - Phân công'!$J$14:$J$262,$I16,'Lớp 5 - Phân công'!$AB$14:$AB$262,"&lt;&gt;Hủy"),child,IFERROR(MINIFS('Lớp 5 - Phân công'!$AD$14:$AD$262,'Lớp 5 - Phân công'!$J$14:$J$262,$I16,'Lớp 5 - Phân công'!$AB$14:$AB$262,"&lt;&gt;Hủy",'Lớp 5 - Phân công'!$AD$14:$AD$262,"&gt;0"),0),plan,'Trung tâm nhập liệu'!R117,emergent,LOWER(TRIM('Trung tâm nhập liệu'!O117))="khi phát sinh",IF(n=0,IF(emergent,"",plan),IF(child=0,IF(emergent,"",plan),IF(OR(emergent,plan=""),child,MIN(plan,child))))))</f>
        <v>46237</v>
      </c>
      <c r="U16" s="432" t="str">
        <f t="shared" si="15"/>
        <v>Có</v>
      </c>
      <c r="V16" s="432" t="str">
        <f>'Trung tâm nhập liệu'!G117</f>
        <v>Công thức và hệ thống tham số kế hoạch B2B được phê duyệt, vận hành.</v>
      </c>
      <c r="W16" s="432" t="str">
        <f>'Trung tâm nhập liệu'!H117</f>
        <v/>
      </c>
      <c r="X16" s="450" t="str">
        <f t="array" ref="X16">IFERROR(INDEX('Lớp 3 - Công việc chính'!$W$14:$W$73,MATCH(J16,'Lớp 3 - Công việc chính'!$I$14:$I$73,0)),"")</f>
        <v>Dữ liệu điều hành</v>
      </c>
      <c r="Y16" s="432" t="str">
        <f>'Trung tâm nhập liệu'!J117</f>
        <v>GĐ BOC</v>
      </c>
      <c r="Z16" s="432" t="str">
        <f>'Trung tâm nhập liệu'!K117</f>
        <v>Em Đại</v>
      </c>
      <c r="AA16" s="425" t="str">
        <f>'Trung tâm nhập liệu'!L117</f>
        <v>Chưa bắt đầu</v>
      </c>
      <c r="AB16" s="441" t="str">
        <f>'Trung tâm nhập liệu'!M117</f>
        <v>P1</v>
      </c>
      <c r="AC16" s="447">
        <f t="shared" si="16"/>
        <v>46237</v>
      </c>
      <c r="AD16" s="445">
        <f t="shared" si="17"/>
        <v>46320</v>
      </c>
      <c r="AE16" s="457">
        <f>IF(AL16&lt;&gt;"Có thời hạn","",IF(OR(AC16="",AD16=""),"",IF(AD16&lt;AC16,"",_xlfn.NETWORKDAYS.INTL(AC16,AD16,11,'Ngày nghỉ lễ'!$A$5:$A$80))))</f>
        <v>70</v>
      </c>
      <c r="AF16" s="458">
        <f>IF(I16="","",IF(L16="Công việc khác","",IF(OR(AA16="Chưa lên lịch",AA16="Đã lên lịch",AA16="Hủy"),"",IF(COUNTIFS('Lớp 5 - Phân công'!$J$14:$J$262,I16,'Lớp 5 - Phân công'!$AB$14:$AB$262,"&lt;&gt;",'Lớp 5 - Phân công'!$AB$14:$AB$262,"&lt;&gt;Hủy",'Lớp 5 - Phân công'!$AB$14:$AB$262,"&lt;&gt;Chưa lên lịch",'Lớp 5 - Phân công'!$AB$14:$AB$262,"&lt;&gt;Đã lên lịch")&gt;0,SUMIFS('Lớp 5 - Phân công'!$AG$14:$AG$262,'Lớp 5 - Phân công'!$J$14:$J$262,I16,'Lớp 5 - Phân công'!$AB$14:$AB$262,"&lt;&gt;",'Lớp 5 - Phân công'!$AB$14:$AB$262,"&lt;&gt;Hủy",'Lớp 5 - Phân công'!$AB$14:$AB$262,"&lt;&gt;Chưa lên lịch",'Lớp 5 - Phân công'!$AB$14:$AB$262,"&lt;&gt;Đã lên lịch")/COUNTIFS('Lớp 5 - Phân công'!$J$14:$J$262,I16,'Lớp 5 - Phân công'!$AB$14:$AB$262,"&lt;&gt;",'Lớp 5 - Phân công'!$AB$14:$AB$262,"&lt;&gt;Hủy",'Lớp 5 - Phân công'!$AB$14:$AB$262,"&lt;&gt;Chưa lên lịch",'Lớp 5 - Phân công'!$AB$14:$AB$262,"&lt;&gt;Đã lên lịch"),IF(AA16="Hoàn thành",1,0)))))</f>
        <v>0</v>
      </c>
      <c r="AG16" s="461">
        <f>IF(AL16&lt;&gt;"Có thời hạn","",IF(OR(I16="",AC16="",AD16=""),"",IF(OR(AA16="Hoàn thành",AA16="Hủy"),0,IF(AD16&lt;TODAY(),-_xlfn.NETWORKDAYS.INTL(AD16,TODAY()-1,11,'Ngày nghỉ lễ'!$A$5:$A$80),MAX(0,_xlfn.NETWORKDAYS.INTL(MAX(TODAY()+1,AC16),AD16,11,'Ngày nghỉ lễ'!$A$5:$A$80))))))</f>
        <v>62</v>
      </c>
      <c r="AH16" s="466">
        <f>IF($I16="","",LET(n,COUNTIFS('Lớp 5 - Phân công'!$J$14:$J$262,$I16,'Lớp 5 - Phân công'!$AB$14:$AB$262,"&lt;&gt;Hủy"),du,COUNTIFS('Lớp 5 - Phân công'!$J$14:$J$262,$I16,'Lớp 5 - Phân công'!$AB$14:$AB$262,"&lt;&gt;Hủy",'Lớp 5 - Phân công'!$AI$14:$AI$262,"&lt;&gt;"),IF(n=0,'Trung tâm nhập liệu'!T117,IF(du&lt;n,"",SUMIFS('Lớp 5 - Phân công'!$AI$14:$AI$262,'Lớp 5 - Phân công'!$J$14:$J$262,$I16,'Lớp 5 - Phân công'!$AB$14:$AB$262,"&lt;&gt;Hủy")))))</f>
        <v>80</v>
      </c>
      <c r="AI16" s="468" t="str">
        <f>IF(I16="","",IF(OR(AA16="Hoàn thành",AA16="Hủy"),"",IF(COUNTIFS('Lớp 5 - Phân công'!$J$14:$J$262,I16,'Lớp 5 - Phân công'!$AB$14:$AB$262,"&lt;&gt;Hủy")&gt;0,"",IF(AR16="Ngày",AS16,IF(AR16="Tuần",AS16/5,"")))))</f>
        <v/>
      </c>
      <c r="AJ16" s="477" t="str">
        <f>IF(AL16="Chưa xếp lịch","Chưa xếp lịch",IF(AL16="Định kỳ",IF(AM16="","Thiếu chu kỳ","Theo chu kỳ"),IF(AL16="Khi phát sinh",IF(COUNTIFS('Lớp 5 - Phân công'!$J$14:$J$262,$I16,'Lớp 5 - Phân công'!$AB$14:$AB$262,"&lt;&gt;Hủy")=0,"Khi phát sinh – chờ việc con","Khi phát sinh – theo ngày con"),IF(I16="","",LET(n,COUNTIFS('Lớp 5 - Phân công'!$J$14:$J$262,$I16,'Lớp 5 - Phân công'!$AB$14:$AB$262,"&lt;&gt;Hủy"),cs,IFERROR(MINIFS('Lớp 5 - Phân công'!$AD$14:$AD$262,'Lớp 5 - Phân công'!$J$14:$J$262,$I16,'Lớp 5 - Phân công'!$AB$14:$AB$262,"&lt;&gt;Hủy",'Lớp 5 - Phân công'!$AD$14:$AD$262,"&gt;0"),0),ce,IFERROR(MAXIFS('Lớp 5 - Phân công'!$AE$14:$AE$262,'Lớp 5 - Phân công'!$J$14:$J$262,$I16,'Lớp 5 - Phân công'!$AB$14:$AB$262,"&lt;&gt;Hủy",'Lớp 5 - Phân công'!$AE$14:$AE$262,"&gt;0"),0),ps,'Trung tâm nhập liệu'!R117,pe,'Trung tâm nhập liệu'!Q117,IF(OR(AC16="",AD16=""),"Thiếu ngày L4",IF(n=0,"Chưa có L5",IF(OR(cs=0,ce=0),"Thiếu ngày L5",IF(OR(ps="",pe=""),"Thiếu ngày kế hoạch gốc L4",IF(OR(cs&lt;ps,ce&gt;pe),"Cảnh báo: Con vượt khung kế hoạch gốc","L5 đúng khung kế hoạch gốc"))))))))))</f>
        <v>Cảnh báo: Con vượt khung kế hoạch gốc</v>
      </c>
      <c r="AK16" s="465" t="str">
        <f>IF(OR(AU16="Thiếu tham số phân bổ",AU16="Phân bổ phải &gt; 0"),AU16,SWITCH(AL16,"Chưa xếp lịch","Chưa tính tải","Định kỳ","Theo chu kỳ","Khi phát sinh","Khi phát sinh",IF(I16="","",IF(OR(AA16="Hoàn thành",AA16="Hủy"),AA16,IF(COUNTIFS('Lớp 5 - Phân công'!$J$14:$J$262,I16,'Lớp 5 - Phân công'!$AB$14:$AB$262,"&lt;&gt;Hủy")&gt;0,"Theo dõi tải tại Lớp 5",IF(AH16="","Chưa nhập khối lượng",IF(Z16="","Thiếu người thực hiện",IF(OR(AC16="",AD16=""),"Chưa nhập đủ thời gian",IF(AG16&lt;0,"Quá hạn – còn "&amp;TEXT(MAX(0,AH16*(1-AF16)),"0.0")&amp;" giờ",LET(bd,MAX(TODAY(),AC16),kt,AD16,nguoi,Z16,tai,SUMIFS('Lớp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5</v>
      </c>
      <c r="AL16" s="467" t="str">
        <f>'Trung tâm nhập liệu'!O117</f>
        <v>Có thời hạn</v>
      </c>
      <c r="AM16" s="469" t="str">
        <f>'Trung tâm nhập liệu'!P117</f>
        <v/>
      </c>
      <c r="AN16" s="470" t="str">
        <f>'Trung tâm nhập liệu'!S117</f>
        <v/>
      </c>
      <c r="AO16" s="470" t="str">
        <f>'Trung tâm nhập liệu'!X117</f>
        <v/>
      </c>
      <c r="AP16" s="471" t="str">
        <f t="shared" si="18"/>
        <v/>
      </c>
      <c r="AQ16" s="469" t="str">
        <f t="shared" si="19"/>
        <v/>
      </c>
      <c r="AR16" s="475" t="str">
        <f>'Trung tâm nhập liệu'!V117</f>
        <v>Tuần</v>
      </c>
      <c r="AS16" s="476">
        <f>'Trung tâm nhập liệu'!W117</f>
        <v>8</v>
      </c>
      <c r="AT16" s="478" t="str">
        <f>IF(AL16&lt;&gt;"Có thời hạn","",IF(OR(I16="",AH16="",AA16="Hoàn thành",AA16="Hủy",COUNTIFS('Lớp 5 - Phân công'!$J$14:$J$262,I16,'Lớp 5 - Phân công'!$AB$14:$AB$262,"&lt;&gt;Hủy")&gt;0),"",LET(canNgay,MAX(0,AH16*(1-AF16))/MAX(1,AG16),IF(AR16="Ngày",canNgay,IF(AR16="Tuần",canNgay*5,"")))))</f>
        <v/>
      </c>
      <c r="AU16" s="465" t="str">
        <f>IF(I16="","",IF(COUNTIFS('Lớp 5 - Phân công'!$J$14:$J$262,I16,'Lớp 5 - Phân công'!$AB$14:$AB$262,"&lt;&gt;Hủy")&gt;0,"Theo dõi phân bổ tại Lớp 5",IF(OR(AA16="Hoàn thành",AA16="Hủy"),AA16,IF(AH16="","Thiếu tổng giờ",IF(OR(AR16="",AS16=""),"Thiếu tham số phân bổ",IF(AS16&lt;=0,"Phân bổ phải &gt; 0",IF(AL16&lt;&gt;"Có thời hạn","Đã có phân bổ",IF(AT16="","Chưa đủ dữ liệu hạn",IF(AS16&gt;=AT16,"Đủ phân bổ theo "&amp;LOWER(AR16),"Thiếu "&amp;TEXT(AT16-AS16,"0.0")&amp;" giờ/"&amp;LOWER(AR16))))))))))</f>
        <v>Theo dõi phân bổ tại Lớp 5</v>
      </c>
      <c r="AV16" s="465" t="str">
        <f t="shared" si="20"/>
        <v>OK</v>
      </c>
      <c r="AW16" s="479" t="str">
        <f>'Trung tâm nhập liệu'!Y117</f>
        <v/>
      </c>
    </row>
    <row r="17" ht="15.75" customHeight="1">
      <c r="A17" s="424">
        <f t="shared" si="11"/>
        <v>4</v>
      </c>
      <c r="B17" s="425" t="str">
        <f>'Trung tâm nhập liệu'!F118</f>
        <v>Xây dựng công thức &amp; tạo HT tham số cho KH Online</v>
      </c>
      <c r="C17" s="427" t="str">
        <f>'Trung tâm nhập liệu'!M118</f>
        <v>P1</v>
      </c>
      <c r="D17" s="499">
        <f t="shared" ref="D17:E17" si="24">AF17</f>
        <v>0</v>
      </c>
      <c r="E17" s="501">
        <f t="shared" si="24"/>
        <v>62</v>
      </c>
      <c r="F17" s="431">
        <f t="shared" ref="F17:G17" si="25">S17</f>
        <v>46320</v>
      </c>
      <c r="G17" s="431">
        <f t="shared" si="25"/>
        <v>46237</v>
      </c>
      <c r="H17" s="432" t="str">
        <f>IF(B17="","",IF(COUNTIF('Lớp 5 - Phân công'!$J$14:$J$262,I17)&gt;0,"Có","Không"))</f>
        <v>Có</v>
      </c>
      <c r="I17" s="434" t="str">
        <f>'Trung tâm nhập liệu'!B118</f>
        <v>HHL4DL04</v>
      </c>
      <c r="J17" s="432" t="str">
        <f>'Trung tâm nhập liệu'!D118</f>
        <v>HHL3CT03</v>
      </c>
      <c r="K17" s="436">
        <f t="array" ref="K17">IFERROR(INDEX('Lớp 3 - Công việc chính'!$J$14:$J$73,MATCH(J17,'Lớp 3 - Công việc chính'!$I$14:$I$73,0)),"")</f>
        <v>2026</v>
      </c>
      <c r="L17" s="438" t="str">
        <f t="array" ref="L17">IFERROR(INDEX('Lớp 3 - Công việc chính'!$K$14:$K$73,MATCH(J17,'Lớp 3 - Công việc chính'!$I$14:$I$73,0)),"")</f>
        <v>Cấp công ty</v>
      </c>
      <c r="M17" s="439" t="str">
        <f t="array" ref="M17">IFERROR(INDEX('Lớp 3 - Công việc chính'!$L$14:$L$73,MATCH(J17,'Lớp 3 - Công việc chính'!$I$14:$I$73,0)),"")</f>
        <v>Chiến lược/sống còn</v>
      </c>
      <c r="N17" s="439" t="str">
        <f t="array" ref="N17">IFERROR(INDEX('Lớp 3 - Công việc chính'!$M$14:$M$73,MATCH(J17,'Lớp 3 - Công việc chính'!$I$14:$I$73,0)),"")</f>
        <v>KHKD 2027&amp; HT lập KH theo tham số KD (bán tự động)</v>
      </c>
      <c r="O17" s="440" t="str">
        <f t="shared" ref="O17:R17" si="26">B17</f>
        <v>Xây dựng công thức &amp; tạo HT tham số cho KH Online</v>
      </c>
      <c r="P17" s="441" t="str">
        <f t="shared" si="26"/>
        <v>P1</v>
      </c>
      <c r="Q17" s="442">
        <f t="shared" si="26"/>
        <v>0</v>
      </c>
      <c r="R17" s="443">
        <f t="shared" si="26"/>
        <v>62</v>
      </c>
      <c r="S17" s="445">
        <f>IF($I17="","",LET(n,COUNTIFS('Lớp 5 - Phân công'!$J$14:$J$262,$I17,'Lớp 5 - Phân công'!$AB$14:$AB$262,"&lt;&gt;Hủy"),child,IFERROR(MAXIFS('Lớp 5 - Phân công'!$AE$14:$AE$262,'Lớp 5 - Phân công'!$J$14:$J$262,$I17,'Lớp 5 - Phân công'!$AB$14:$AB$262,"&lt;&gt;Hủy",'Lớp 5 - Phân công'!$AE$14:$AE$262,"&gt;0"),0),plan,'Trung tâm nhập liệu'!Q118,emergent,LOWER(TRIM('Trung tâm nhập liệu'!O118))="khi phát sinh",IF(n=0,IF(emergent,"",plan),IF(child=0,IF(emergent,"",plan),IF(OR(emergent,plan=""),child,MAX(plan,child))))))</f>
        <v>46320</v>
      </c>
      <c r="T17" s="447">
        <f>IF($I17="","",LET(n,COUNTIFS('Lớp 5 - Phân công'!$J$14:$J$262,$I17,'Lớp 5 - Phân công'!$AB$14:$AB$262,"&lt;&gt;Hủy"),child,IFERROR(MINIFS('Lớp 5 - Phân công'!$AD$14:$AD$262,'Lớp 5 - Phân công'!$J$14:$J$262,$I17,'Lớp 5 - Phân công'!$AB$14:$AB$262,"&lt;&gt;Hủy",'Lớp 5 - Phân công'!$AD$14:$AD$262,"&gt;0"),0),plan,'Trung tâm nhập liệu'!R118,emergent,LOWER(TRIM('Trung tâm nhập liệu'!O118))="khi phát sinh",IF(n=0,IF(emergent,"",plan),IF(child=0,IF(emergent,"",plan),IF(OR(emergent,plan=""),child,MIN(plan,child))))))</f>
        <v>46237</v>
      </c>
      <c r="U17" s="432" t="str">
        <f t="shared" si="15"/>
        <v>Có</v>
      </c>
      <c r="V17" s="432" t="str">
        <f>'Trung tâm nhập liệu'!G118</f>
        <v>Công thức và hệ thống tham số kế hoạch Online được phê duyệt, vận hành.</v>
      </c>
      <c r="W17" s="432" t="str">
        <f>'Trung tâm nhập liệu'!H118</f>
        <v/>
      </c>
      <c r="X17" s="450" t="str">
        <f t="array" ref="X17">IFERROR(INDEX('Lớp 3 - Công việc chính'!$W$14:$W$73,MATCH(J17,'Lớp 3 - Công việc chính'!$I$14:$I$73,0)),"")</f>
        <v>Dữ liệu điều hành</v>
      </c>
      <c r="Y17" s="432" t="str">
        <f>'Trung tâm nhập liệu'!J118</f>
        <v>GĐ BOC</v>
      </c>
      <c r="Z17" s="432" t="str">
        <f>'Trung tâm nhập liệu'!K118</f>
        <v>Em Đại</v>
      </c>
      <c r="AA17" s="425" t="str">
        <f>'Trung tâm nhập liệu'!L118</f>
        <v>Chưa bắt đầu</v>
      </c>
      <c r="AB17" s="441" t="str">
        <f>'Trung tâm nhập liệu'!M118</f>
        <v>P1</v>
      </c>
      <c r="AC17" s="447">
        <f t="shared" si="16"/>
        <v>46237</v>
      </c>
      <c r="AD17" s="445">
        <f t="shared" si="17"/>
        <v>46320</v>
      </c>
      <c r="AE17" s="457">
        <f>IF(AL17&lt;&gt;"Có thời hạn","",IF(OR(AC17="",AD17=""),"",IF(AD17&lt;AC17,"",_xlfn.NETWORKDAYS.INTL(AC17,AD17,11,'Ngày nghỉ lễ'!$A$5:$A$80))))</f>
        <v>70</v>
      </c>
      <c r="AF17" s="458">
        <f>IF(I17="","",IF(L17="Công việc khác","",IF(OR(AA17="Chưa lên lịch",AA17="Đã lên lịch",AA17="Hủy"),"",IF(COUNTIFS('Lớp 5 - Phân công'!$J$14:$J$262,I17,'Lớp 5 - Phân công'!$AB$14:$AB$262,"&lt;&gt;",'Lớp 5 - Phân công'!$AB$14:$AB$262,"&lt;&gt;Hủy",'Lớp 5 - Phân công'!$AB$14:$AB$262,"&lt;&gt;Chưa lên lịch",'Lớp 5 - Phân công'!$AB$14:$AB$262,"&lt;&gt;Đã lên lịch")&gt;0,SUMIFS('Lớp 5 - Phân công'!$AG$14:$AG$262,'Lớp 5 - Phân công'!$J$14:$J$262,I17,'Lớp 5 - Phân công'!$AB$14:$AB$262,"&lt;&gt;",'Lớp 5 - Phân công'!$AB$14:$AB$262,"&lt;&gt;Hủy",'Lớp 5 - Phân công'!$AB$14:$AB$262,"&lt;&gt;Chưa lên lịch",'Lớp 5 - Phân công'!$AB$14:$AB$262,"&lt;&gt;Đã lên lịch")/COUNTIFS('Lớp 5 - Phân công'!$J$14:$J$262,I17,'Lớp 5 - Phân công'!$AB$14:$AB$262,"&lt;&gt;",'Lớp 5 - Phân công'!$AB$14:$AB$262,"&lt;&gt;Hủy",'Lớp 5 - Phân công'!$AB$14:$AB$262,"&lt;&gt;Chưa lên lịch",'Lớp 5 - Phân công'!$AB$14:$AB$262,"&lt;&gt;Đã lên lịch"),IF(AA17="Hoàn thành",1,0)))))</f>
        <v>0</v>
      </c>
      <c r="AG17" s="461">
        <f>IF(AL17&lt;&gt;"Có thời hạn","",IF(OR(I17="",AC17="",AD17=""),"",IF(OR(AA17="Hoàn thành",AA17="Hủy"),0,IF(AD17&lt;TODAY(),-_xlfn.NETWORKDAYS.INTL(AD17,TODAY()-1,11,'Ngày nghỉ lễ'!$A$5:$A$80),MAX(0,_xlfn.NETWORKDAYS.INTL(MAX(TODAY()+1,AC17),AD17,11,'Ngày nghỉ lễ'!$A$5:$A$80))))))</f>
        <v>62</v>
      </c>
      <c r="AH17" s="466">
        <f>IF($I17="","",LET(n,COUNTIFS('Lớp 5 - Phân công'!$J$14:$J$262,$I17,'Lớp 5 - Phân công'!$AB$14:$AB$262,"&lt;&gt;Hủy"),du,COUNTIFS('Lớp 5 - Phân công'!$J$14:$J$262,$I17,'Lớp 5 - Phân công'!$AB$14:$AB$262,"&lt;&gt;Hủy",'Lớp 5 - Phân công'!$AI$14:$AI$262,"&lt;&gt;"),IF(n=0,'Trung tâm nhập liệu'!T118,IF(du&lt;n,"",SUMIFS('Lớp 5 - Phân công'!$AI$14:$AI$262,'Lớp 5 - Phân công'!$J$14:$J$262,$I17,'Lớp 5 - Phân công'!$AB$14:$AB$262,"&lt;&gt;Hủy")))))</f>
        <v>80</v>
      </c>
      <c r="AI17" s="468" t="str">
        <f>IF(I17="","",IF(OR(AA17="Hoàn thành",AA17="Hủy"),"",IF(COUNTIFS('Lớp 5 - Phân công'!$J$14:$J$262,I17,'Lớp 5 - Phân công'!$AB$14:$AB$262,"&lt;&gt;Hủy")&gt;0,"",IF(AR17="Ngày",AS17,IF(AR17="Tuần",AS17/5,"")))))</f>
        <v/>
      </c>
      <c r="AJ17" s="477" t="str">
        <f>IF(AL17="Chưa xếp lịch","Chưa xếp lịch",IF(AL17="Định kỳ",IF(AM17="","Thiếu chu kỳ","Theo chu kỳ"),IF(AL17="Khi phát sinh",IF(COUNTIFS('Lớp 5 - Phân công'!$J$14:$J$262,$I17,'Lớp 5 - Phân công'!$AB$14:$AB$262,"&lt;&gt;Hủy")=0,"Khi phát sinh – chờ việc con","Khi phát sinh – theo ngày con"),IF(I17="","",LET(n,COUNTIFS('Lớp 5 - Phân công'!$J$14:$J$262,$I17,'Lớp 5 - Phân công'!$AB$14:$AB$262,"&lt;&gt;Hủy"),cs,IFERROR(MINIFS('Lớp 5 - Phân công'!$AD$14:$AD$262,'Lớp 5 - Phân công'!$J$14:$J$262,$I17,'Lớp 5 - Phân công'!$AB$14:$AB$262,"&lt;&gt;Hủy",'Lớp 5 - Phân công'!$AD$14:$AD$262,"&gt;0"),0),ce,IFERROR(MAXIFS('Lớp 5 - Phân công'!$AE$14:$AE$262,'Lớp 5 - Phân công'!$J$14:$J$262,$I17,'Lớp 5 - Phân công'!$AB$14:$AB$262,"&lt;&gt;Hủy",'Lớp 5 - Phân công'!$AE$14:$AE$262,"&gt;0"),0),ps,'Trung tâm nhập liệu'!R118,pe,'Trung tâm nhập liệu'!Q118,IF(OR(AC17="",AD17=""),"Thiếu ngày L4",IF(n=0,"Chưa có L5",IF(OR(cs=0,ce=0),"Thiếu ngày L5",IF(OR(ps="",pe=""),"Thiếu ngày kế hoạch gốc L4",IF(OR(cs&lt;ps,ce&gt;pe),"Cảnh báo: Con vượt khung kế hoạch gốc","L5 đúng khung kế hoạch gốc"))))))))))</f>
        <v>Cảnh báo: Con vượt khung kế hoạch gốc</v>
      </c>
      <c r="AK17" s="465" t="str">
        <f>IF(OR(AU17="Thiếu tham số phân bổ",AU17="Phân bổ phải &gt; 0"),AU17,SWITCH(AL17,"Chưa xếp lịch","Chưa tính tải","Định kỳ","Theo chu kỳ","Khi phát sinh","Khi phát sinh",IF(I17="","",IF(OR(AA17="Hoàn thành",AA17="Hủy"),AA17,IF(COUNTIFS('Lớp 5 - Phân công'!$J$14:$J$262,I17,'Lớp 5 - Phân công'!$AB$14:$AB$262,"&lt;&gt;Hủy")&gt;0,"Theo dõi tải tại Lớp 5",IF(AH17="","Chưa nhập khối lượng",IF(Z17="","Thiếu người thực hiện",IF(OR(AC17="",AD17=""),"Chưa nhập đủ thời gian",IF(AG17&lt;0,"Quá hạn – còn "&amp;TEXT(MAX(0,AH17*(1-AF17)),"0.0")&amp;" giờ",LET(bd,MAX(TODAY(),AC17),kt,AD17,nguoi,Z17,tai,SUMIFS('Lớp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5</v>
      </c>
      <c r="AL17" s="467" t="str">
        <f>'Trung tâm nhập liệu'!O118</f>
        <v>Có thời hạn</v>
      </c>
      <c r="AM17" s="469" t="str">
        <f>'Trung tâm nhập liệu'!P118</f>
        <v/>
      </c>
      <c r="AN17" s="470" t="str">
        <f>'Trung tâm nhập liệu'!S118</f>
        <v/>
      </c>
      <c r="AO17" s="470" t="str">
        <f>'Trung tâm nhập liệu'!X118</f>
        <v/>
      </c>
      <c r="AP17" s="471" t="str">
        <f t="shared" si="18"/>
        <v/>
      </c>
      <c r="AQ17" s="469" t="str">
        <f t="shared" si="19"/>
        <v/>
      </c>
      <c r="AR17" s="475" t="str">
        <f>'Trung tâm nhập liệu'!V118</f>
        <v>Tuần</v>
      </c>
      <c r="AS17" s="476">
        <f>'Trung tâm nhập liệu'!W118</f>
        <v>8</v>
      </c>
      <c r="AT17" s="478" t="str">
        <f>IF(AL17&lt;&gt;"Có thời hạn","",IF(OR(I17="",AH17="",AA17="Hoàn thành",AA17="Hủy",COUNTIFS('Lớp 5 - Phân công'!$J$14:$J$262,I17,'Lớp 5 - Phân công'!$AB$14:$AB$262,"&lt;&gt;Hủy")&gt;0),"",LET(canNgay,MAX(0,AH17*(1-AF17))/MAX(1,AG17),IF(AR17="Ngày",canNgay,IF(AR17="Tuần",canNgay*5,"")))))</f>
        <v/>
      </c>
      <c r="AU17" s="465" t="str">
        <f>IF(I17="","",IF(COUNTIFS('Lớp 5 - Phân công'!$J$14:$J$262,I17,'Lớp 5 - Phân công'!$AB$14:$AB$262,"&lt;&gt;Hủy")&gt;0,"Theo dõi phân bổ tại Lớp 5",IF(OR(AA17="Hoàn thành",AA17="Hủy"),AA17,IF(AH17="","Thiếu tổng giờ",IF(OR(AR17="",AS17=""),"Thiếu tham số phân bổ",IF(AS17&lt;=0,"Phân bổ phải &gt; 0",IF(AL17&lt;&gt;"Có thời hạn","Đã có phân bổ",IF(AT17="","Chưa đủ dữ liệu hạn",IF(AS17&gt;=AT17,"Đủ phân bổ theo "&amp;LOWER(AR17),"Thiếu "&amp;TEXT(AT17-AS17,"0.0")&amp;" giờ/"&amp;LOWER(AR17))))))))))</f>
        <v>Theo dõi phân bổ tại Lớp 5</v>
      </c>
      <c r="AV17" s="465" t="str">
        <f t="shared" si="20"/>
        <v>OK</v>
      </c>
      <c r="AW17" s="479" t="str">
        <f>'Trung tâm nhập liệu'!Y118</f>
        <v/>
      </c>
    </row>
    <row r="18" ht="15.75" customHeight="1">
      <c r="A18" s="424">
        <f t="shared" si="11"/>
        <v>5</v>
      </c>
      <c r="B18" s="425" t="str">
        <f>'Trung tâm nhập liệu'!F119</f>
        <v>Xây dựng công thức &amp; tạo HT tham số cho KH XK</v>
      </c>
      <c r="C18" s="427" t="str">
        <f>'Trung tâm nhập liệu'!M119</f>
        <v>P1</v>
      </c>
      <c r="D18" s="499">
        <f t="shared" ref="D18:E18" si="27">AF18</f>
        <v>0</v>
      </c>
      <c r="E18" s="501">
        <f t="shared" si="27"/>
        <v>62</v>
      </c>
      <c r="F18" s="431">
        <f t="shared" ref="F18:G18" si="28">S18</f>
        <v>46320</v>
      </c>
      <c r="G18" s="431">
        <f t="shared" si="28"/>
        <v>46237</v>
      </c>
      <c r="H18" s="432" t="str">
        <f>IF(B18="","",IF(COUNTIF('Lớp 5 - Phân công'!$J$14:$J$262,I18)&gt;0,"Có","Không"))</f>
        <v>Có</v>
      </c>
      <c r="I18" s="434" t="str">
        <f>'Trung tâm nhập liệu'!B119</f>
        <v>HHL4DL05</v>
      </c>
      <c r="J18" s="432" t="str">
        <f>'Trung tâm nhập liệu'!D119</f>
        <v>HHL3CT03</v>
      </c>
      <c r="K18" s="436">
        <f t="array" ref="K18">IFERROR(INDEX('Lớp 3 - Công việc chính'!$J$14:$J$73,MATCH(J18,'Lớp 3 - Công việc chính'!$I$14:$I$73,0)),"")</f>
        <v>2026</v>
      </c>
      <c r="L18" s="438" t="str">
        <f t="array" ref="L18">IFERROR(INDEX('Lớp 3 - Công việc chính'!$K$14:$K$73,MATCH(J18,'Lớp 3 - Công việc chính'!$I$14:$I$73,0)),"")</f>
        <v>Cấp công ty</v>
      </c>
      <c r="M18" s="439" t="str">
        <f t="array" ref="M18">IFERROR(INDEX('Lớp 3 - Công việc chính'!$L$14:$L$73,MATCH(J18,'Lớp 3 - Công việc chính'!$I$14:$I$73,0)),"")</f>
        <v>Chiến lược/sống còn</v>
      </c>
      <c r="N18" s="439" t="str">
        <f t="array" ref="N18">IFERROR(INDEX('Lớp 3 - Công việc chính'!$M$14:$M$73,MATCH(J18,'Lớp 3 - Công việc chính'!$I$14:$I$73,0)),"")</f>
        <v>KHKD 2027&amp; HT lập KH theo tham số KD (bán tự động)</v>
      </c>
      <c r="O18" s="440" t="str">
        <f t="shared" ref="O18:R18" si="29">B18</f>
        <v>Xây dựng công thức &amp; tạo HT tham số cho KH XK</v>
      </c>
      <c r="P18" s="441" t="str">
        <f t="shared" si="29"/>
        <v>P1</v>
      </c>
      <c r="Q18" s="442">
        <f t="shared" si="29"/>
        <v>0</v>
      </c>
      <c r="R18" s="443">
        <f t="shared" si="29"/>
        <v>62</v>
      </c>
      <c r="S18" s="445">
        <f>IF($I18="","",LET(n,COUNTIFS('Lớp 5 - Phân công'!$J$14:$J$262,$I18,'Lớp 5 - Phân công'!$AB$14:$AB$262,"&lt;&gt;Hủy"),child,IFERROR(MAXIFS('Lớp 5 - Phân công'!$AE$14:$AE$262,'Lớp 5 - Phân công'!$J$14:$J$262,$I18,'Lớp 5 - Phân công'!$AB$14:$AB$262,"&lt;&gt;Hủy",'Lớp 5 - Phân công'!$AE$14:$AE$262,"&gt;0"),0),plan,'Trung tâm nhập liệu'!Q119,emergent,LOWER(TRIM('Trung tâm nhập liệu'!O119))="khi phát sinh",IF(n=0,IF(emergent,"",plan),IF(child=0,IF(emergent,"",plan),IF(OR(emergent,plan=""),child,MAX(plan,child))))))</f>
        <v>46320</v>
      </c>
      <c r="T18" s="447">
        <f>IF($I18="","",LET(n,COUNTIFS('Lớp 5 - Phân công'!$J$14:$J$262,$I18,'Lớp 5 - Phân công'!$AB$14:$AB$262,"&lt;&gt;Hủy"),child,IFERROR(MINIFS('Lớp 5 - Phân công'!$AD$14:$AD$262,'Lớp 5 - Phân công'!$J$14:$J$262,$I18,'Lớp 5 - Phân công'!$AB$14:$AB$262,"&lt;&gt;Hủy",'Lớp 5 - Phân công'!$AD$14:$AD$262,"&gt;0"),0),plan,'Trung tâm nhập liệu'!R119,emergent,LOWER(TRIM('Trung tâm nhập liệu'!O119))="khi phát sinh",IF(n=0,IF(emergent,"",plan),IF(child=0,IF(emergent,"",plan),IF(OR(emergent,plan=""),child,MIN(plan,child))))))</f>
        <v>46237</v>
      </c>
      <c r="U18" s="432" t="str">
        <f t="shared" si="15"/>
        <v>Có</v>
      </c>
      <c r="V18" s="432" t="str">
        <f>'Trung tâm nhập liệu'!G119</f>
        <v>Công thức và hệ thống tham số kế hoạch xuất khẩu được phê duyệt, vận hành.</v>
      </c>
      <c r="W18" s="432" t="str">
        <f>'Trung tâm nhập liệu'!H119</f>
        <v/>
      </c>
      <c r="X18" s="450" t="str">
        <f t="array" ref="X18">IFERROR(INDEX('Lớp 3 - Công việc chính'!$W$14:$W$73,MATCH(J18,'Lớp 3 - Công việc chính'!$I$14:$I$73,0)),"")</f>
        <v>Dữ liệu điều hành</v>
      </c>
      <c r="Y18" s="432" t="str">
        <f>'Trung tâm nhập liệu'!J119</f>
        <v>GĐ BOC</v>
      </c>
      <c r="Z18" s="432" t="str">
        <f>'Trung tâm nhập liệu'!K119</f>
        <v>Em Đại</v>
      </c>
      <c r="AA18" s="425" t="str">
        <f>'Trung tâm nhập liệu'!L119</f>
        <v>Chưa bắt đầu</v>
      </c>
      <c r="AB18" s="441" t="str">
        <f>'Trung tâm nhập liệu'!M119</f>
        <v>P1</v>
      </c>
      <c r="AC18" s="447">
        <f t="shared" si="16"/>
        <v>46237</v>
      </c>
      <c r="AD18" s="445">
        <f t="shared" si="17"/>
        <v>46320</v>
      </c>
      <c r="AE18" s="457">
        <f>IF(AL18&lt;&gt;"Có thời hạn","",IF(OR(AC18="",AD18=""),"",IF(AD18&lt;AC18,"",_xlfn.NETWORKDAYS.INTL(AC18,AD18,11,'Ngày nghỉ lễ'!$A$5:$A$80))))</f>
        <v>70</v>
      </c>
      <c r="AF18" s="458">
        <f>IF(I18="","",IF(L18="Công việc khác","",IF(OR(AA18="Chưa lên lịch",AA18="Đã lên lịch",AA18="Hủy"),"",IF(COUNTIFS('Lớp 5 - Phân công'!$J$14:$J$262,I18,'Lớp 5 - Phân công'!$AB$14:$AB$262,"&lt;&gt;",'Lớp 5 - Phân công'!$AB$14:$AB$262,"&lt;&gt;Hủy",'Lớp 5 - Phân công'!$AB$14:$AB$262,"&lt;&gt;Chưa lên lịch",'Lớp 5 - Phân công'!$AB$14:$AB$262,"&lt;&gt;Đã lên lịch")&gt;0,SUMIFS('Lớp 5 - Phân công'!$AG$14:$AG$262,'Lớp 5 - Phân công'!$J$14:$J$262,I18,'Lớp 5 - Phân công'!$AB$14:$AB$262,"&lt;&gt;",'Lớp 5 - Phân công'!$AB$14:$AB$262,"&lt;&gt;Hủy",'Lớp 5 - Phân công'!$AB$14:$AB$262,"&lt;&gt;Chưa lên lịch",'Lớp 5 - Phân công'!$AB$14:$AB$262,"&lt;&gt;Đã lên lịch")/COUNTIFS('Lớp 5 - Phân công'!$J$14:$J$262,I18,'Lớp 5 - Phân công'!$AB$14:$AB$262,"&lt;&gt;",'Lớp 5 - Phân công'!$AB$14:$AB$262,"&lt;&gt;Hủy",'Lớp 5 - Phân công'!$AB$14:$AB$262,"&lt;&gt;Chưa lên lịch",'Lớp 5 - Phân công'!$AB$14:$AB$262,"&lt;&gt;Đã lên lịch"),IF(AA18="Hoàn thành",1,0)))))</f>
        <v>0</v>
      </c>
      <c r="AG18" s="461">
        <f>IF(AL18&lt;&gt;"Có thời hạn","",IF(OR(I18="",AC18="",AD18=""),"",IF(OR(AA18="Hoàn thành",AA18="Hủy"),0,IF(AD18&lt;TODAY(),-_xlfn.NETWORKDAYS.INTL(AD18,TODAY()-1,11,'Ngày nghỉ lễ'!$A$5:$A$80),MAX(0,_xlfn.NETWORKDAYS.INTL(MAX(TODAY()+1,AC18),AD18,11,'Ngày nghỉ lễ'!$A$5:$A$80))))))</f>
        <v>62</v>
      </c>
      <c r="AH18" s="466">
        <f>IF($I18="","",LET(n,COUNTIFS('Lớp 5 - Phân công'!$J$14:$J$262,$I18,'Lớp 5 - Phân công'!$AB$14:$AB$262,"&lt;&gt;Hủy"),du,COUNTIFS('Lớp 5 - Phân công'!$J$14:$J$262,$I18,'Lớp 5 - Phân công'!$AB$14:$AB$262,"&lt;&gt;Hủy",'Lớp 5 - Phân công'!$AI$14:$AI$262,"&lt;&gt;"),IF(n=0,'Trung tâm nhập liệu'!T119,IF(du&lt;n,"",SUMIFS('Lớp 5 - Phân công'!$AI$14:$AI$262,'Lớp 5 - Phân công'!$J$14:$J$262,$I18,'Lớp 5 - Phân công'!$AB$14:$AB$262,"&lt;&gt;Hủy")))))</f>
        <v>80</v>
      </c>
      <c r="AI18" s="468" t="str">
        <f>IF(I18="","",IF(OR(AA18="Hoàn thành",AA18="Hủy"),"",IF(COUNTIFS('Lớp 5 - Phân công'!$J$14:$J$262,I18,'Lớp 5 - Phân công'!$AB$14:$AB$262,"&lt;&gt;Hủy")&gt;0,"",IF(AR18="Ngày",AS18,IF(AR18="Tuần",AS18/5,"")))))</f>
        <v/>
      </c>
      <c r="AJ18" s="477" t="str">
        <f>IF(AL18="Chưa xếp lịch","Chưa xếp lịch",IF(AL18="Định kỳ",IF(AM18="","Thiếu chu kỳ","Theo chu kỳ"),IF(AL18="Khi phát sinh",IF(COUNTIFS('Lớp 5 - Phân công'!$J$14:$J$262,$I18,'Lớp 5 - Phân công'!$AB$14:$AB$262,"&lt;&gt;Hủy")=0,"Khi phát sinh – chờ việc con","Khi phát sinh – theo ngày con"),IF(I18="","",LET(n,COUNTIFS('Lớp 5 - Phân công'!$J$14:$J$262,$I18,'Lớp 5 - Phân công'!$AB$14:$AB$262,"&lt;&gt;Hủy"),cs,IFERROR(MINIFS('Lớp 5 - Phân công'!$AD$14:$AD$262,'Lớp 5 - Phân công'!$J$14:$J$262,$I18,'Lớp 5 - Phân công'!$AB$14:$AB$262,"&lt;&gt;Hủy",'Lớp 5 - Phân công'!$AD$14:$AD$262,"&gt;0"),0),ce,IFERROR(MAXIFS('Lớp 5 - Phân công'!$AE$14:$AE$262,'Lớp 5 - Phân công'!$J$14:$J$262,$I18,'Lớp 5 - Phân công'!$AB$14:$AB$262,"&lt;&gt;Hủy",'Lớp 5 - Phân công'!$AE$14:$AE$262,"&gt;0"),0),ps,'Trung tâm nhập liệu'!R119,pe,'Trung tâm nhập liệu'!Q119,IF(OR(AC18="",AD18=""),"Thiếu ngày L4",IF(n=0,"Chưa có L5",IF(OR(cs=0,ce=0),"Thiếu ngày L5",IF(OR(ps="",pe=""),"Thiếu ngày kế hoạch gốc L4",IF(OR(cs&lt;ps,ce&gt;pe),"Cảnh báo: Con vượt khung kế hoạch gốc","L5 đúng khung kế hoạch gốc"))))))))))</f>
        <v>Cảnh báo: Con vượt khung kế hoạch gốc</v>
      </c>
      <c r="AK18" s="465" t="str">
        <f>IF(OR(AU18="Thiếu tham số phân bổ",AU18="Phân bổ phải &gt; 0"),AU18,SWITCH(AL18,"Chưa xếp lịch","Chưa tính tải","Định kỳ","Theo chu kỳ","Khi phát sinh","Khi phát sinh",IF(I18="","",IF(OR(AA18="Hoàn thành",AA18="Hủy"),AA18,IF(COUNTIFS('Lớp 5 - Phân công'!$J$14:$J$262,I18,'Lớp 5 - Phân công'!$AB$14:$AB$262,"&lt;&gt;Hủy")&gt;0,"Theo dõi tải tại Lớp 5",IF(AH18="","Chưa nhập khối lượng",IF(Z18="","Thiếu người thực hiện",IF(OR(AC18="",AD18=""),"Chưa nhập đủ thời gian",IF(AG18&lt;0,"Quá hạn – còn "&amp;TEXT(MAX(0,AH18*(1-AF18)),"0.0")&amp;" giờ",LET(bd,MAX(TODAY(),AC18),kt,AD18,nguoi,Z18,tai,SUMIFS('Lớp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5</v>
      </c>
      <c r="AL18" s="467" t="str">
        <f>'Trung tâm nhập liệu'!O119</f>
        <v>Có thời hạn</v>
      </c>
      <c r="AM18" s="469" t="str">
        <f>'Trung tâm nhập liệu'!P119</f>
        <v/>
      </c>
      <c r="AN18" s="470" t="str">
        <f>'Trung tâm nhập liệu'!S119</f>
        <v/>
      </c>
      <c r="AO18" s="470" t="str">
        <f>'Trung tâm nhập liệu'!X119</f>
        <v/>
      </c>
      <c r="AP18" s="471" t="str">
        <f t="shared" si="18"/>
        <v/>
      </c>
      <c r="AQ18" s="469" t="str">
        <f t="shared" si="19"/>
        <v/>
      </c>
      <c r="AR18" s="475" t="str">
        <f>'Trung tâm nhập liệu'!V119</f>
        <v>Tuần</v>
      </c>
      <c r="AS18" s="476">
        <f>'Trung tâm nhập liệu'!W119</f>
        <v>8</v>
      </c>
      <c r="AT18" s="478" t="str">
        <f>IF(AL18&lt;&gt;"Có thời hạn","",IF(OR(I18="",AH18="",AA18="Hoàn thành",AA18="Hủy",COUNTIFS('Lớp 5 - Phân công'!$J$14:$J$262,I18,'Lớp 5 - Phân công'!$AB$14:$AB$262,"&lt;&gt;Hủy")&gt;0),"",LET(canNgay,MAX(0,AH18*(1-AF18))/MAX(1,AG18),IF(AR18="Ngày",canNgay,IF(AR18="Tuần",canNgay*5,"")))))</f>
        <v/>
      </c>
      <c r="AU18" s="465" t="str">
        <f>IF(I18="","",IF(COUNTIFS('Lớp 5 - Phân công'!$J$14:$J$262,I18,'Lớp 5 - Phân công'!$AB$14:$AB$262,"&lt;&gt;Hủy")&gt;0,"Theo dõi phân bổ tại Lớp 5",IF(OR(AA18="Hoàn thành",AA18="Hủy"),AA18,IF(AH18="","Thiếu tổng giờ",IF(OR(AR18="",AS18=""),"Thiếu tham số phân bổ",IF(AS18&lt;=0,"Phân bổ phải &gt; 0",IF(AL18&lt;&gt;"Có thời hạn","Đã có phân bổ",IF(AT18="","Chưa đủ dữ liệu hạn",IF(AS18&gt;=AT18,"Đủ phân bổ theo "&amp;LOWER(AR18),"Thiếu "&amp;TEXT(AT18-AS18,"0.0")&amp;" giờ/"&amp;LOWER(AR18))))))))))</f>
        <v>Theo dõi phân bổ tại Lớp 5</v>
      </c>
      <c r="AV18" s="465" t="str">
        <f t="shared" si="20"/>
        <v>OK</v>
      </c>
      <c r="AW18" s="479" t="str">
        <f>'Trung tâm nhập liệu'!Y119</f>
        <v/>
      </c>
    </row>
    <row r="19" ht="15.75" customHeight="1">
      <c r="A19" s="424">
        <f t="shared" si="11"/>
        <v>6</v>
      </c>
      <c r="B19" s="425" t="str">
        <f>'Trung tâm nhập liệu'!F120</f>
        <v>Xây dựng công thức &amp; tạo HT tham số cho KH Showroom</v>
      </c>
      <c r="C19" s="427" t="str">
        <f>'Trung tâm nhập liệu'!M120</f>
        <v>P1</v>
      </c>
      <c r="D19" s="528">
        <f t="shared" ref="D19:E19" si="30">AF19</f>
        <v>0</v>
      </c>
      <c r="E19" s="501">
        <f t="shared" si="30"/>
        <v>62</v>
      </c>
      <c r="F19" s="431">
        <f t="shared" ref="F19:G19" si="31">S19</f>
        <v>46320</v>
      </c>
      <c r="G19" s="431">
        <f t="shared" si="31"/>
        <v>46237</v>
      </c>
      <c r="H19" s="432" t="str">
        <f>IF(B19="","",IF(COUNTIF('Lớp 5 - Phân công'!$J$14:$J$262,I19)&gt;0,"Có","Không"))</f>
        <v>Có</v>
      </c>
      <c r="I19" s="434" t="str">
        <f>'Trung tâm nhập liệu'!B120</f>
        <v>HHL4DL06</v>
      </c>
      <c r="J19" s="432" t="str">
        <f>'Trung tâm nhập liệu'!D120</f>
        <v>HHL3CT03</v>
      </c>
      <c r="K19" s="436">
        <f t="array" ref="K19">IFERROR(INDEX('Lớp 3 - Công việc chính'!$J$14:$J$73,MATCH(J19,'Lớp 3 - Công việc chính'!$I$14:$I$73,0)),"")</f>
        <v>2026</v>
      </c>
      <c r="L19" s="438" t="str">
        <f t="array" ref="L19">IFERROR(INDEX('Lớp 3 - Công việc chính'!$K$14:$K$73,MATCH(J19,'Lớp 3 - Công việc chính'!$I$14:$I$73,0)),"")</f>
        <v>Cấp công ty</v>
      </c>
      <c r="M19" s="439" t="str">
        <f t="array" ref="M19">IFERROR(INDEX('Lớp 3 - Công việc chính'!$L$14:$L$73,MATCH(J19,'Lớp 3 - Công việc chính'!$I$14:$I$73,0)),"")</f>
        <v>Chiến lược/sống còn</v>
      </c>
      <c r="N19" s="439" t="str">
        <f t="array" ref="N19">IFERROR(INDEX('Lớp 3 - Công việc chính'!$M$14:$M$73,MATCH(J19,'Lớp 3 - Công việc chính'!$I$14:$I$73,0)),"")</f>
        <v>KHKD 2027&amp; HT lập KH theo tham số KD (bán tự động)</v>
      </c>
      <c r="O19" s="440" t="str">
        <f t="shared" ref="O19:R19" si="32">B19</f>
        <v>Xây dựng công thức &amp; tạo HT tham số cho KH Showroom</v>
      </c>
      <c r="P19" s="441" t="str">
        <f t="shared" si="32"/>
        <v>P1</v>
      </c>
      <c r="Q19" s="442">
        <f t="shared" si="32"/>
        <v>0</v>
      </c>
      <c r="R19" s="443">
        <f t="shared" si="32"/>
        <v>62</v>
      </c>
      <c r="S19" s="445">
        <f>IF($I19="","",LET(n,COUNTIFS('Lớp 5 - Phân công'!$J$14:$J$262,$I19,'Lớp 5 - Phân công'!$AB$14:$AB$262,"&lt;&gt;Hủy"),child,IFERROR(MAXIFS('Lớp 5 - Phân công'!$AE$14:$AE$262,'Lớp 5 - Phân công'!$J$14:$J$262,$I19,'Lớp 5 - Phân công'!$AB$14:$AB$262,"&lt;&gt;Hủy",'Lớp 5 - Phân công'!$AE$14:$AE$262,"&gt;0"),0),plan,'Trung tâm nhập liệu'!Q120,emergent,LOWER(TRIM('Trung tâm nhập liệu'!O120))="khi phát sinh",IF(n=0,IF(emergent,"",plan),IF(child=0,IF(emergent,"",plan),IF(OR(emergent,plan=""),child,MAX(plan,child))))))</f>
        <v>46320</v>
      </c>
      <c r="T19" s="447">
        <f>IF($I19="","",LET(n,COUNTIFS('Lớp 5 - Phân công'!$J$14:$J$262,$I19,'Lớp 5 - Phân công'!$AB$14:$AB$262,"&lt;&gt;Hủy"),child,IFERROR(MINIFS('Lớp 5 - Phân công'!$AD$14:$AD$262,'Lớp 5 - Phân công'!$J$14:$J$262,$I19,'Lớp 5 - Phân công'!$AB$14:$AB$262,"&lt;&gt;Hủy",'Lớp 5 - Phân công'!$AD$14:$AD$262,"&gt;0"),0),plan,'Trung tâm nhập liệu'!R120,emergent,LOWER(TRIM('Trung tâm nhập liệu'!O120))="khi phát sinh",IF(n=0,IF(emergent,"",plan),IF(child=0,IF(emergent,"",plan),IF(OR(emergent,plan=""),child,MIN(plan,child))))))</f>
        <v>46237</v>
      </c>
      <c r="U19" s="432" t="str">
        <f t="shared" si="15"/>
        <v>Có</v>
      </c>
      <c r="V19" s="432" t="str">
        <f>'Trung tâm nhập liệu'!G120</f>
        <v>Công thức và hệ thống tham số kế hoạch Showroom được phê duyệt, vận hành.</v>
      </c>
      <c r="W19" s="432" t="str">
        <f>'Trung tâm nhập liệu'!H120</f>
        <v/>
      </c>
      <c r="X19" s="450" t="str">
        <f t="array" ref="X19">IFERROR(INDEX('Lớp 3 - Công việc chính'!$W$14:$W$73,MATCH(J19,'Lớp 3 - Công việc chính'!$I$14:$I$73,0)),"")</f>
        <v>Dữ liệu điều hành</v>
      </c>
      <c r="Y19" s="432" t="str">
        <f>'Trung tâm nhập liệu'!J120</f>
        <v>GĐ BOC</v>
      </c>
      <c r="Z19" s="432" t="str">
        <f>'Trung tâm nhập liệu'!K120</f>
        <v>Em Đại</v>
      </c>
      <c r="AA19" s="425" t="str">
        <f>'Trung tâm nhập liệu'!L120</f>
        <v>Chưa bắt đầu</v>
      </c>
      <c r="AB19" s="441" t="str">
        <f>'Trung tâm nhập liệu'!M120</f>
        <v>P1</v>
      </c>
      <c r="AC19" s="447">
        <f t="shared" si="16"/>
        <v>46237</v>
      </c>
      <c r="AD19" s="445">
        <f t="shared" si="17"/>
        <v>46320</v>
      </c>
      <c r="AE19" s="457">
        <f>IF(AL19&lt;&gt;"Có thời hạn","",IF(OR(AC19="",AD19=""),"",IF(AD19&lt;AC19,"",_xlfn.NETWORKDAYS.INTL(AC19,AD19,11,'Ngày nghỉ lễ'!$A$5:$A$80))))</f>
        <v>70</v>
      </c>
      <c r="AF19" s="458">
        <f>IF(I19="","",IF(L19="Công việc khác","",IF(OR(AA19="Chưa lên lịch",AA19="Đã lên lịch",AA19="Hủy"),"",IF(COUNTIFS('Lớp 5 - Phân công'!$J$14:$J$262,I19,'Lớp 5 - Phân công'!$AB$14:$AB$262,"&lt;&gt;",'Lớp 5 - Phân công'!$AB$14:$AB$262,"&lt;&gt;Hủy",'Lớp 5 - Phân công'!$AB$14:$AB$262,"&lt;&gt;Chưa lên lịch",'Lớp 5 - Phân công'!$AB$14:$AB$262,"&lt;&gt;Đã lên lịch")&gt;0,SUMIFS('Lớp 5 - Phân công'!$AG$14:$AG$262,'Lớp 5 - Phân công'!$J$14:$J$262,I19,'Lớp 5 - Phân công'!$AB$14:$AB$262,"&lt;&gt;",'Lớp 5 - Phân công'!$AB$14:$AB$262,"&lt;&gt;Hủy",'Lớp 5 - Phân công'!$AB$14:$AB$262,"&lt;&gt;Chưa lên lịch",'Lớp 5 - Phân công'!$AB$14:$AB$262,"&lt;&gt;Đã lên lịch")/COUNTIFS('Lớp 5 - Phân công'!$J$14:$J$262,I19,'Lớp 5 - Phân công'!$AB$14:$AB$262,"&lt;&gt;",'Lớp 5 - Phân công'!$AB$14:$AB$262,"&lt;&gt;Hủy",'Lớp 5 - Phân công'!$AB$14:$AB$262,"&lt;&gt;Chưa lên lịch",'Lớp 5 - Phân công'!$AB$14:$AB$262,"&lt;&gt;Đã lên lịch"),IF(AA19="Hoàn thành",1,0)))))</f>
        <v>0</v>
      </c>
      <c r="AG19" s="461">
        <f>IF(AL19&lt;&gt;"Có thời hạn","",IF(OR(I19="",AC19="",AD19=""),"",IF(OR(AA19="Hoàn thành",AA19="Hủy"),0,IF(AD19&lt;TODAY(),-_xlfn.NETWORKDAYS.INTL(AD19,TODAY()-1,11,'Ngày nghỉ lễ'!$A$5:$A$80),MAX(0,_xlfn.NETWORKDAYS.INTL(MAX(TODAY()+1,AC19),AD19,11,'Ngày nghỉ lễ'!$A$5:$A$80))))))</f>
        <v>62</v>
      </c>
      <c r="AH19" s="466">
        <f>IF($I19="","",LET(n,COUNTIFS('Lớp 5 - Phân công'!$J$14:$J$262,$I19,'Lớp 5 - Phân công'!$AB$14:$AB$262,"&lt;&gt;Hủy"),du,COUNTIFS('Lớp 5 - Phân công'!$J$14:$J$262,$I19,'Lớp 5 - Phân công'!$AB$14:$AB$262,"&lt;&gt;Hủy",'Lớp 5 - Phân công'!$AI$14:$AI$262,"&lt;&gt;"),IF(n=0,'Trung tâm nhập liệu'!T120,IF(du&lt;n,"",SUMIFS('Lớp 5 - Phân công'!$AI$14:$AI$262,'Lớp 5 - Phân công'!$J$14:$J$262,$I19,'Lớp 5 - Phân công'!$AB$14:$AB$262,"&lt;&gt;Hủy")))))</f>
        <v>80</v>
      </c>
      <c r="AI19" s="468" t="str">
        <f>IF(I19="","",IF(OR(AA19="Hoàn thành",AA19="Hủy"),"",IF(COUNTIFS('Lớp 5 - Phân công'!$J$14:$J$262,I19,'Lớp 5 - Phân công'!$AB$14:$AB$262,"&lt;&gt;Hủy")&gt;0,"",IF(AR19="Ngày",AS19,IF(AR19="Tuần",AS19/5,"")))))</f>
        <v/>
      </c>
      <c r="AJ19" s="477" t="str">
        <f>IF(AL19="Chưa xếp lịch","Chưa xếp lịch",IF(AL19="Định kỳ",IF(AM19="","Thiếu chu kỳ","Theo chu kỳ"),IF(AL19="Khi phát sinh",IF(COUNTIFS('Lớp 5 - Phân công'!$J$14:$J$262,$I19,'Lớp 5 - Phân công'!$AB$14:$AB$262,"&lt;&gt;Hủy")=0,"Khi phát sinh – chờ việc con","Khi phát sinh – theo ngày con"),IF(I19="","",LET(n,COUNTIFS('Lớp 5 - Phân công'!$J$14:$J$262,$I19,'Lớp 5 - Phân công'!$AB$14:$AB$262,"&lt;&gt;Hủy"),cs,IFERROR(MINIFS('Lớp 5 - Phân công'!$AD$14:$AD$262,'Lớp 5 - Phân công'!$J$14:$J$262,$I19,'Lớp 5 - Phân công'!$AB$14:$AB$262,"&lt;&gt;Hủy",'Lớp 5 - Phân công'!$AD$14:$AD$262,"&gt;0"),0),ce,IFERROR(MAXIFS('Lớp 5 - Phân công'!$AE$14:$AE$262,'Lớp 5 - Phân công'!$J$14:$J$262,$I19,'Lớp 5 - Phân công'!$AB$14:$AB$262,"&lt;&gt;Hủy",'Lớp 5 - Phân công'!$AE$14:$AE$262,"&gt;0"),0),ps,'Trung tâm nhập liệu'!R120,pe,'Trung tâm nhập liệu'!Q120,IF(OR(AC19="",AD19=""),"Thiếu ngày L4",IF(n=0,"Chưa có L5",IF(OR(cs=0,ce=0),"Thiếu ngày L5",IF(OR(ps="",pe=""),"Thiếu ngày kế hoạch gốc L4",IF(OR(cs&lt;ps,ce&gt;pe),"Cảnh báo: Con vượt khung kế hoạch gốc","L5 đúng khung kế hoạch gốc"))))))))))</f>
        <v>Cảnh báo: Con vượt khung kế hoạch gốc</v>
      </c>
      <c r="AK19" s="465" t="str">
        <f>IF(OR(AU19="Thiếu tham số phân bổ",AU19="Phân bổ phải &gt; 0"),AU19,SWITCH(AL19,"Chưa xếp lịch","Chưa tính tải","Định kỳ","Theo chu kỳ","Khi phát sinh","Khi phát sinh",IF(I19="","",IF(OR(AA19="Hoàn thành",AA19="Hủy"),AA19,IF(COUNTIFS('Lớp 5 - Phân công'!$J$14:$J$262,I19,'Lớp 5 - Phân công'!$AB$14:$AB$262,"&lt;&gt;Hủy")&gt;0,"Theo dõi tải tại Lớp 5",IF(AH19="","Chưa nhập khối lượng",IF(Z19="","Thiếu người thực hiện",IF(OR(AC19="",AD19=""),"Chưa nhập đủ thời gian",IF(AG19&lt;0,"Quá hạn – còn "&amp;TEXT(MAX(0,AH19*(1-AF19)),"0.0")&amp;" giờ",LET(bd,MAX(TODAY(),AC19),kt,AD19,nguoi,Z19,tai,SUMIFS('Lớp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5</v>
      </c>
      <c r="AL19" s="467" t="str">
        <f>'Trung tâm nhập liệu'!O120</f>
        <v>Có thời hạn</v>
      </c>
      <c r="AM19" s="469" t="str">
        <f>'Trung tâm nhập liệu'!P120</f>
        <v/>
      </c>
      <c r="AN19" s="470" t="str">
        <f>'Trung tâm nhập liệu'!S120</f>
        <v/>
      </c>
      <c r="AO19" s="470" t="str">
        <f>'Trung tâm nhập liệu'!X120</f>
        <v/>
      </c>
      <c r="AP19" s="471" t="str">
        <f t="shared" si="18"/>
        <v/>
      </c>
      <c r="AQ19" s="469" t="str">
        <f t="shared" si="19"/>
        <v/>
      </c>
      <c r="AR19" s="475" t="str">
        <f>'Trung tâm nhập liệu'!V120</f>
        <v>Tuần</v>
      </c>
      <c r="AS19" s="476">
        <f>'Trung tâm nhập liệu'!W120</f>
        <v>8</v>
      </c>
      <c r="AT19" s="478" t="str">
        <f>IF(AL19&lt;&gt;"Có thời hạn","",IF(OR(I19="",AH19="",AA19="Hoàn thành",AA19="Hủy",COUNTIFS('Lớp 5 - Phân công'!$J$14:$J$262,I19,'Lớp 5 - Phân công'!$AB$14:$AB$262,"&lt;&gt;Hủy")&gt;0),"",LET(canNgay,MAX(0,AH19*(1-AF19))/MAX(1,AG19),IF(AR19="Ngày",canNgay,IF(AR19="Tuần",canNgay*5,"")))))</f>
        <v/>
      </c>
      <c r="AU19" s="465" t="str">
        <f>IF(I19="","",IF(COUNTIFS('Lớp 5 - Phân công'!$J$14:$J$262,I19,'Lớp 5 - Phân công'!$AB$14:$AB$262,"&lt;&gt;Hủy")&gt;0,"Theo dõi phân bổ tại Lớp 5",IF(OR(AA19="Hoàn thành",AA19="Hủy"),AA19,IF(AH19="","Thiếu tổng giờ",IF(OR(AR19="",AS19=""),"Thiếu tham số phân bổ",IF(AS19&lt;=0,"Phân bổ phải &gt; 0",IF(AL19&lt;&gt;"Có thời hạn","Đã có phân bổ",IF(AT19="","Chưa đủ dữ liệu hạn",IF(AS19&gt;=AT19,"Đủ phân bổ theo "&amp;LOWER(AR19),"Thiếu "&amp;TEXT(AT19-AS19,"0.0")&amp;" giờ/"&amp;LOWER(AR19))))))))))</f>
        <v>Theo dõi phân bổ tại Lớp 5</v>
      </c>
      <c r="AV19" s="465" t="str">
        <f t="shared" si="20"/>
        <v>OK</v>
      </c>
      <c r="AW19" s="479" t="str">
        <f>'Trung tâm nhập liệu'!Y120</f>
        <v/>
      </c>
    </row>
    <row r="20" ht="15.75" customHeight="1">
      <c r="A20" s="424">
        <f t="shared" si="11"/>
        <v>7</v>
      </c>
      <c r="B20" s="425" t="str">
        <f>'Trung tâm nhập liệu'!F121</f>
        <v>Xây dựng phần mềm &amp; Chạy Topdown thử nghiệm</v>
      </c>
      <c r="C20" s="427" t="str">
        <f>'Trung tâm nhập liệu'!M121</f>
        <v>P1</v>
      </c>
      <c r="D20" s="566">
        <f t="shared" ref="D20:E20" si="33">AF20</f>
        <v>0</v>
      </c>
      <c r="E20" s="567">
        <f t="shared" si="33"/>
        <v>72</v>
      </c>
      <c r="F20" s="431">
        <f t="shared" ref="F20:G20" si="34">S20</f>
        <v>46331</v>
      </c>
      <c r="G20" s="431">
        <f t="shared" si="34"/>
        <v>46237</v>
      </c>
      <c r="H20" s="432" t="str">
        <f>IF(B20="","",IF(COUNTIF('Lớp 5 - Phân công'!$J$14:$J$262,I20)&gt;0,"Có","Không"))</f>
        <v>Có</v>
      </c>
      <c r="I20" s="434" t="str">
        <f>'Trung tâm nhập liệu'!B121</f>
        <v>HHL4DL07</v>
      </c>
      <c r="J20" s="432" t="str">
        <f>'Trung tâm nhập liệu'!D121</f>
        <v>HHL3CT03</v>
      </c>
      <c r="K20" s="436">
        <f t="array" ref="K20">IFERROR(INDEX('Lớp 3 - Công việc chính'!$J$14:$J$73,MATCH(J20,'Lớp 3 - Công việc chính'!$I$14:$I$73,0)),"")</f>
        <v>2026</v>
      </c>
      <c r="L20" s="438" t="str">
        <f t="array" ref="L20">IFERROR(INDEX('Lớp 3 - Công việc chính'!$K$14:$K$73,MATCH(J20,'Lớp 3 - Công việc chính'!$I$14:$I$73,0)),"")</f>
        <v>Cấp công ty</v>
      </c>
      <c r="M20" s="439" t="str">
        <f t="array" ref="M20">IFERROR(INDEX('Lớp 3 - Công việc chính'!$L$14:$L$73,MATCH(J20,'Lớp 3 - Công việc chính'!$I$14:$I$73,0)),"")</f>
        <v>Chiến lược/sống còn</v>
      </c>
      <c r="N20" s="439" t="str">
        <f t="array" ref="N20">IFERROR(INDEX('Lớp 3 - Công việc chính'!$M$14:$M$73,MATCH(J20,'Lớp 3 - Công việc chính'!$I$14:$I$73,0)),"")</f>
        <v>KHKD 2027&amp; HT lập KH theo tham số KD (bán tự động)</v>
      </c>
      <c r="O20" s="440" t="str">
        <f t="shared" ref="O20:R20" si="35">B20</f>
        <v>Xây dựng phần mềm &amp; Chạy Topdown thử nghiệm</v>
      </c>
      <c r="P20" s="441" t="str">
        <f t="shared" si="35"/>
        <v>P1</v>
      </c>
      <c r="Q20" s="442">
        <f t="shared" si="35"/>
        <v>0</v>
      </c>
      <c r="R20" s="443">
        <f t="shared" si="35"/>
        <v>72</v>
      </c>
      <c r="S20" s="445">
        <f>IF($I20="","",LET(n,COUNTIFS('Lớp 5 - Phân công'!$J$14:$J$262,$I20,'Lớp 5 - Phân công'!$AB$14:$AB$262,"&lt;&gt;Hủy"),child,IFERROR(MAXIFS('Lớp 5 - Phân công'!$AE$14:$AE$262,'Lớp 5 - Phân công'!$J$14:$J$262,$I20,'Lớp 5 - Phân công'!$AB$14:$AB$262,"&lt;&gt;Hủy",'Lớp 5 - Phân công'!$AE$14:$AE$262,"&gt;0"),0),plan,'Trung tâm nhập liệu'!Q121,emergent,LOWER(TRIM('Trung tâm nhập liệu'!O121))="khi phát sinh",IF(n=0,IF(emergent,"",plan),IF(child=0,IF(emergent,"",plan),IF(OR(emergent,plan=""),child,MAX(plan,child))))))</f>
        <v>46331</v>
      </c>
      <c r="T20" s="447">
        <f>IF($I20="","",LET(n,COUNTIFS('Lớp 5 - Phân công'!$J$14:$J$262,$I20,'Lớp 5 - Phân công'!$AB$14:$AB$262,"&lt;&gt;Hủy"),child,IFERROR(MINIFS('Lớp 5 - Phân công'!$AD$14:$AD$262,'Lớp 5 - Phân công'!$J$14:$J$262,$I20,'Lớp 5 - Phân công'!$AB$14:$AB$262,"&lt;&gt;Hủy",'Lớp 5 - Phân công'!$AD$14:$AD$262,"&gt;0"),0),plan,'Trung tâm nhập liệu'!R121,emergent,LOWER(TRIM('Trung tâm nhập liệu'!O121))="khi phát sinh",IF(n=0,IF(emergent,"",plan),IF(child=0,IF(emergent,"",plan),IF(OR(emergent,plan=""),child,MIN(plan,child))))))</f>
        <v>46237</v>
      </c>
      <c r="U20" s="432" t="str">
        <f t="shared" si="15"/>
        <v>Có</v>
      </c>
      <c r="V20" s="432" t="str">
        <f>'Trung tâm nhập liệu'!G121</f>
        <v>Kết quả chạy topdown doanh thu kế hoạch toàn công ty</v>
      </c>
      <c r="W20" s="432" t="str">
        <f>'Trung tâm nhập liệu'!H121</f>
        <v/>
      </c>
      <c r="X20" s="450" t="str">
        <f t="array" ref="X20">IFERROR(INDEX('Lớp 3 - Công việc chính'!$W$14:$W$73,MATCH(J20,'Lớp 3 - Công việc chính'!$I$14:$I$73,0)),"")</f>
        <v>Dữ liệu điều hành</v>
      </c>
      <c r="Y20" s="432" t="str">
        <f>'Trung tâm nhập liệu'!J121</f>
        <v>GĐ BOC</v>
      </c>
      <c r="Z20" s="432" t="str">
        <f>'Trung tâm nhập liệu'!K121</f>
        <v>Em Đại</v>
      </c>
      <c r="AA20" s="425" t="str">
        <f>'Trung tâm nhập liệu'!L121</f>
        <v>Chưa bắt đầu</v>
      </c>
      <c r="AB20" s="441" t="str">
        <f>'Trung tâm nhập liệu'!M121</f>
        <v>P1</v>
      </c>
      <c r="AC20" s="447">
        <f t="shared" si="16"/>
        <v>46237</v>
      </c>
      <c r="AD20" s="445">
        <f t="shared" si="17"/>
        <v>46331</v>
      </c>
      <c r="AE20" s="457">
        <f>IF(AL20&lt;&gt;"Có thời hạn","",IF(OR(AC20="",AD20=""),"",IF(AD20&lt;AC20,"",_xlfn.NETWORKDAYS.INTL(AC20,AD20,11,'Ngày nghỉ lễ'!$A$5:$A$80))))</f>
        <v>80</v>
      </c>
      <c r="AF20" s="458">
        <f>IF(I20="","",IF(L20="Công việc khác","",IF(OR(AA20="Chưa lên lịch",AA20="Đã lên lịch",AA20="Hủy"),"",IF(COUNTIFS('Lớp 5 - Phân công'!$J$14:$J$262,I20,'Lớp 5 - Phân công'!$AB$14:$AB$262,"&lt;&gt;",'Lớp 5 - Phân công'!$AB$14:$AB$262,"&lt;&gt;Hủy",'Lớp 5 - Phân công'!$AB$14:$AB$262,"&lt;&gt;Chưa lên lịch",'Lớp 5 - Phân công'!$AB$14:$AB$262,"&lt;&gt;Đã lên lịch")&gt;0,SUMIFS('Lớp 5 - Phân công'!$AG$14:$AG$262,'Lớp 5 - Phân công'!$J$14:$J$262,I20,'Lớp 5 - Phân công'!$AB$14:$AB$262,"&lt;&gt;",'Lớp 5 - Phân công'!$AB$14:$AB$262,"&lt;&gt;Hủy",'Lớp 5 - Phân công'!$AB$14:$AB$262,"&lt;&gt;Chưa lên lịch",'Lớp 5 - Phân công'!$AB$14:$AB$262,"&lt;&gt;Đã lên lịch")/COUNTIFS('Lớp 5 - Phân công'!$J$14:$J$262,I20,'Lớp 5 - Phân công'!$AB$14:$AB$262,"&lt;&gt;",'Lớp 5 - Phân công'!$AB$14:$AB$262,"&lt;&gt;Hủy",'Lớp 5 - Phân công'!$AB$14:$AB$262,"&lt;&gt;Chưa lên lịch",'Lớp 5 - Phân công'!$AB$14:$AB$262,"&lt;&gt;Đã lên lịch"),IF(AA20="Hoàn thành",1,0)))))</f>
        <v>0</v>
      </c>
      <c r="AG20" s="461">
        <f>IF(AL20&lt;&gt;"Có thời hạn","",IF(OR(I20="",AC20="",AD20=""),"",IF(OR(AA20="Hoàn thành",AA20="Hủy"),0,IF(AD20&lt;TODAY(),-_xlfn.NETWORKDAYS.INTL(AD20,TODAY()-1,11,'Ngày nghỉ lễ'!$A$5:$A$80),MAX(0,_xlfn.NETWORKDAYS.INTL(MAX(TODAY()+1,AC20),AD20,11,'Ngày nghỉ lễ'!$A$5:$A$80))))))</f>
        <v>72</v>
      </c>
      <c r="AH20" s="466">
        <f>IF($I20="","",LET(n,COUNTIFS('Lớp 5 - Phân công'!$J$14:$J$262,$I20,'Lớp 5 - Phân công'!$AB$14:$AB$262,"&lt;&gt;Hủy"),du,COUNTIFS('Lớp 5 - Phân công'!$J$14:$J$262,$I20,'Lớp 5 - Phân công'!$AB$14:$AB$262,"&lt;&gt;Hủy",'Lớp 5 - Phân công'!$AI$14:$AI$262,"&lt;&gt;"),IF(n=0,'Trung tâm nhập liệu'!T121,IF(du&lt;n,"",SUMIFS('Lớp 5 - Phân công'!$AI$14:$AI$262,'Lớp 5 - Phân công'!$J$14:$J$262,$I20,'Lớp 5 - Phân công'!$AB$14:$AB$262,"&lt;&gt;Hủy")))))</f>
        <v>80</v>
      </c>
      <c r="AI20" s="468" t="str">
        <f>IF(I20="","",IF(OR(AA20="Hoàn thành",AA20="Hủy"),"",IF(COUNTIFS('Lớp 5 - Phân công'!$J$14:$J$262,I20,'Lớp 5 - Phân công'!$AB$14:$AB$262,"&lt;&gt;Hủy")&gt;0,"",IF(AR20="Ngày",AS20,IF(AR20="Tuần",AS20/5,"")))))</f>
        <v/>
      </c>
      <c r="AJ20" s="477" t="str">
        <f>IF(AL20="Chưa xếp lịch","Chưa xếp lịch",IF(AL20="Định kỳ",IF(AM20="","Thiếu chu kỳ","Theo chu kỳ"),IF(AL20="Khi phát sinh",IF(COUNTIFS('Lớp 5 - Phân công'!$J$14:$J$262,$I20,'Lớp 5 - Phân công'!$AB$14:$AB$262,"&lt;&gt;Hủy")=0,"Khi phát sinh – chờ việc con","Khi phát sinh – theo ngày con"),IF(I20="","",LET(n,COUNTIFS('Lớp 5 - Phân công'!$J$14:$J$262,$I20,'Lớp 5 - Phân công'!$AB$14:$AB$262,"&lt;&gt;Hủy"),cs,IFERROR(MINIFS('Lớp 5 - Phân công'!$AD$14:$AD$262,'Lớp 5 - Phân công'!$J$14:$J$262,$I20,'Lớp 5 - Phân công'!$AB$14:$AB$262,"&lt;&gt;Hủy",'Lớp 5 - Phân công'!$AD$14:$AD$262,"&gt;0"),0),ce,IFERROR(MAXIFS('Lớp 5 - Phân công'!$AE$14:$AE$262,'Lớp 5 - Phân công'!$J$14:$J$262,$I20,'Lớp 5 - Phân công'!$AB$14:$AB$262,"&lt;&gt;Hủy",'Lớp 5 - Phân công'!$AE$14:$AE$262,"&gt;0"),0),ps,'Trung tâm nhập liệu'!R121,pe,'Trung tâm nhập liệu'!Q121,IF(OR(AC20="",AD20=""),"Thiếu ngày L4",IF(n=0,"Chưa có L5",IF(OR(cs=0,ce=0),"Thiếu ngày L5",IF(OR(ps="",pe=""),"Thiếu ngày kế hoạch gốc L4",IF(OR(cs&lt;ps,ce&gt;pe),"Cảnh báo: Con vượt khung kế hoạch gốc","L5 đúng khung kế hoạch gốc"))))))))))</f>
        <v>Cảnh báo: Con vượt khung kế hoạch gốc</v>
      </c>
      <c r="AK20" s="465" t="str">
        <f>IF(OR(AU20="Thiếu tham số phân bổ",AU20="Phân bổ phải &gt; 0"),AU20,SWITCH(AL20,"Chưa xếp lịch","Chưa tính tải","Định kỳ","Theo chu kỳ","Khi phát sinh","Khi phát sinh",IF(I20="","",IF(OR(AA20="Hoàn thành",AA20="Hủy"),AA20,IF(COUNTIFS('Lớp 5 - Phân công'!$J$14:$J$262,I20,'Lớp 5 - Phân công'!$AB$14:$AB$262,"&lt;&gt;Hủy")&gt;0,"Theo dõi tải tại Lớp 5",IF(AH20="","Chưa nhập khối lượng",IF(Z20="","Thiếu người thực hiện",IF(OR(AC20="",AD20=""),"Chưa nhập đủ thời gian",IF(AG20&lt;0,"Quá hạn – còn "&amp;TEXT(MAX(0,AH20*(1-AF20)),"0.0")&amp;" giờ",LET(bd,MAX(TODAY(),AC20),kt,AD20,nguoi,Z20,tai,SUMIFS('Lớp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Theo dõi tải tại Lớp 5</v>
      </c>
      <c r="AL20" s="467" t="str">
        <f>'Trung tâm nhập liệu'!O121</f>
        <v>Có thời hạn</v>
      </c>
      <c r="AM20" s="469" t="str">
        <f>'Trung tâm nhập liệu'!P121</f>
        <v/>
      </c>
      <c r="AN20" s="470" t="str">
        <f>'Trung tâm nhập liệu'!S121</f>
        <v/>
      </c>
      <c r="AO20" s="470" t="str">
        <f>'Trung tâm nhập liệu'!X121</f>
        <v/>
      </c>
      <c r="AP20" s="471" t="str">
        <f t="shared" si="18"/>
        <v/>
      </c>
      <c r="AQ20" s="469" t="str">
        <f t="shared" si="19"/>
        <v/>
      </c>
      <c r="AR20" s="475" t="str">
        <f>'Trung tâm nhập liệu'!V121</f>
        <v>Tuần</v>
      </c>
      <c r="AS20" s="476">
        <f>'Trung tâm nhập liệu'!W121</f>
        <v>24</v>
      </c>
      <c r="AT20" s="452" t="s">
        <v>614</v>
      </c>
      <c r="AU20" s="465" t="str">
        <f>IF(I20="","",IF(COUNTIFS('Lớp 5 - Phân công'!$J$14:$J$262,I20,'Lớp 5 - Phân công'!$AB$14:$AB$262,"&lt;&gt;Hủy")&gt;0,"Theo dõi phân bổ tại Lớp 5",IF(OR(AA20="Hoàn thành",AA20="Hủy"),AA20,IF(AH20="","Thiếu tổng giờ",IF(OR(AR20="",AS20=""),"Thiếu tham số phân bổ",IF(AS20&lt;=0,"Phân bổ phải &gt; 0",IF(AL20&lt;&gt;"Có thời hạn","Đã có phân bổ",IF(AT20="","Chưa đủ dữ liệu hạn",IF(AS20&gt;=AT20,"Đủ phân bổ theo "&amp;LOWER(AR20),"Thiếu "&amp;TEXT(AT20-AS20,"0.0")&amp;" giờ/"&amp;LOWER(AR20))))))))))</f>
        <v>Theo dõi phân bổ tại Lớp 5</v>
      </c>
      <c r="AV20" s="465" t="str">
        <f t="shared" si="20"/>
        <v>OK</v>
      </c>
      <c r="AW20" s="479" t="str">
        <f>'Trung tâm nhập liệu'!Y121</f>
        <v/>
      </c>
    </row>
    <row r="21" ht="15.75" customHeight="1">
      <c r="A21" s="424">
        <f t="shared" si="11"/>
        <v>8</v>
      </c>
      <c r="B21" s="425" t="str">
        <f>'Trung tâm nhập liệu'!F122</f>
        <v>Chuẩn hóa Guideline thiết kế SP &amp; bao bì</v>
      </c>
      <c r="C21" s="427" t="str">
        <f>'Trung tâm nhập liệu'!M122</f>
        <v>P2</v>
      </c>
      <c r="D21" s="428">
        <f t="shared" ref="D21:E21" si="36">AF21</f>
        <v>0</v>
      </c>
      <c r="E21" s="501">
        <f t="shared" si="36"/>
        <v>6</v>
      </c>
      <c r="F21" s="431">
        <f t="shared" ref="F21:G21" si="37">S21</f>
        <v>46252</v>
      </c>
      <c r="G21" s="431">
        <f t="shared" si="37"/>
        <v>46235</v>
      </c>
      <c r="H21" s="432" t="str">
        <f>IF(B21="","",IF(COUNTIF('Lớp 5 - Phân công'!$J$14:$J$262,I21)&gt;0,"Có","Không"))</f>
        <v>Không</v>
      </c>
      <c r="I21" s="434" t="str">
        <f>'Trung tâm nhập liệu'!B122</f>
        <v>HHL4RD08</v>
      </c>
      <c r="J21" s="432" t="str">
        <f>'Trung tâm nhập liệu'!D122</f>
        <v>HHL3RD12</v>
      </c>
      <c r="K21" s="436">
        <f t="array" ref="K21">IFERROR(INDEX('Lớp 3 - Công việc chính'!$J$14:$J$73,MATCH(J21,'Lớp 3 - Công việc chính'!$I$14:$I$73,0)),"")</f>
        <v>2026</v>
      </c>
      <c r="L21" s="438" t="str">
        <f t="array" ref="L21">IFERROR(INDEX('Lớp 3 - Công việc chính'!$K$14:$K$73,MATCH(J21,'Lớp 3 - Công việc chính'!$I$14:$I$73,0)),"")</f>
        <v>Cấp phòng ban</v>
      </c>
      <c r="M21" s="439" t="str">
        <f t="array" ref="M21">IFERROR(INDEX('Lớp 3 - Công việc chính'!$L$14:$L$73,MATCH(J21,'Lớp 3 - Công việc chính'!$I$14:$I$73,0)),"")</f>
        <v>Hệ thống/Vận hành</v>
      </c>
      <c r="N21" s="439" t="str">
        <f t="array" ref="N21">IFERROR(INDEX('Lớp 3 - Công việc chính'!$M$14:$M$73,MATCH(J21,'Lớp 3 - Công việc chính'!$I$14:$I$73,0)),"")</f>
        <v>Xây dựng quy trình và hệ thống quản trị sản phẩm theo phân loại</v>
      </c>
      <c r="O21" s="440" t="str">
        <f t="shared" ref="O21:R21" si="38">B21</f>
        <v>Chuẩn hóa Guideline thiết kế SP &amp; bao bì</v>
      </c>
      <c r="P21" s="441" t="str">
        <f t="shared" si="38"/>
        <v>P2</v>
      </c>
      <c r="Q21" s="442">
        <f t="shared" si="38"/>
        <v>0</v>
      </c>
      <c r="R21" s="443">
        <f t="shared" si="38"/>
        <v>6</v>
      </c>
      <c r="S21" s="445">
        <f>IF($I21="","",LET(n,COUNTIFS('Lớp 5 - Phân công'!$J$14:$J$262,$I21,'Lớp 5 - Phân công'!$AB$14:$AB$262,"&lt;&gt;Hủy"),child,IFERROR(MAXIFS('Lớp 5 - Phân công'!$AE$14:$AE$262,'Lớp 5 - Phân công'!$J$14:$J$262,$I21,'Lớp 5 - Phân công'!$AB$14:$AB$262,"&lt;&gt;Hủy",'Lớp 5 - Phân công'!$AE$14:$AE$262,"&gt;0"),0),plan,'Trung tâm nhập liệu'!Q122,emergent,LOWER(TRIM('Trung tâm nhập liệu'!O122))="khi phát sinh",IF(n=0,IF(emergent,"",plan),IF(child=0,IF(emergent,"",plan),IF(OR(emergent,plan=""),child,MAX(plan,child))))))</f>
        <v>46252</v>
      </c>
      <c r="T21" s="447">
        <f>IF($I21="","",LET(n,COUNTIFS('Lớp 5 - Phân công'!$J$14:$J$262,$I21,'Lớp 5 - Phân công'!$AB$14:$AB$262,"&lt;&gt;Hủy"),child,IFERROR(MINIFS('Lớp 5 - Phân công'!$AD$14:$AD$262,'Lớp 5 - Phân công'!$J$14:$J$262,$I21,'Lớp 5 - Phân công'!$AB$14:$AB$262,"&lt;&gt;Hủy",'Lớp 5 - Phân công'!$AD$14:$AD$262,"&gt;0"),0),plan,'Trung tâm nhập liệu'!R122,emergent,LOWER(TRIM('Trung tâm nhập liệu'!O122))="khi phát sinh",IF(n=0,IF(emergent,"",plan),IF(child=0,IF(emergent,"",plan),IF(OR(emergent,plan=""),child,MIN(plan,child))))))</f>
        <v>46235</v>
      </c>
      <c r="U21" s="432" t="str">
        <f t="shared" si="15"/>
        <v>Không</v>
      </c>
      <c r="V21" s="432" t="str">
        <f>'Trung tâm nhập liệu'!G122</f>
        <v>Bộ guideline thiết kế sản phẩm và bao bì được ban hành.</v>
      </c>
      <c r="W21" s="432" t="str">
        <f>'Trung tâm nhập liệu'!H122</f>
        <v/>
      </c>
      <c r="X21" s="450" t="str">
        <f t="array" ref="X21">IFERROR(INDEX('Lớp 3 - Công việc chính'!$W$14:$W$73,MATCH(J21,'Lớp 3 - Công việc chính'!$I$14:$I$73,0)),"")</f>
        <v>R&amp;D</v>
      </c>
      <c r="Y21" s="432" t="str">
        <f>'Trung tâm nhập liệu'!J122</f>
        <v>GĐ BOC</v>
      </c>
      <c r="Z21" s="432" t="str">
        <f>'Trung tâm nhập liệu'!K122</f>
        <v>Ms Trang</v>
      </c>
      <c r="AA21" s="425" t="str">
        <f>'Trung tâm nhập liệu'!L122</f>
        <v>Đang thực hiện</v>
      </c>
      <c r="AB21" s="441" t="str">
        <f>'Trung tâm nhập liệu'!M122</f>
        <v>P2</v>
      </c>
      <c r="AC21" s="447">
        <f t="shared" si="16"/>
        <v>46235</v>
      </c>
      <c r="AD21" s="445">
        <f t="shared" si="17"/>
        <v>46252</v>
      </c>
      <c r="AE21" s="457">
        <f>IF(AL21&lt;&gt;"Có thời hạn","",IF(OR(AC21="",AD21=""),"",IF(AD21&lt;AC21,"",_xlfn.NETWORKDAYS.INTL(AC21,AD21,11,'Ngày nghỉ lễ'!$A$5:$A$80))))</f>
        <v>15</v>
      </c>
      <c r="AF21" s="458">
        <f>IF(I21="","",IF(L21="Công việc khác","",IF(OR(AA21="Chưa lên lịch",AA21="Đã lên lịch",AA21="Hủy"),"",IF(COUNTIFS('Lớp 5 - Phân công'!$J$14:$J$262,I21,'Lớp 5 - Phân công'!$AB$14:$AB$262,"&lt;&gt;",'Lớp 5 - Phân công'!$AB$14:$AB$262,"&lt;&gt;Hủy",'Lớp 5 - Phân công'!$AB$14:$AB$262,"&lt;&gt;Chưa lên lịch",'Lớp 5 - Phân công'!$AB$14:$AB$262,"&lt;&gt;Đã lên lịch")&gt;0,SUMIFS('Lớp 5 - Phân công'!$AG$14:$AG$262,'Lớp 5 - Phân công'!$J$14:$J$262,I21,'Lớp 5 - Phân công'!$AB$14:$AB$262,"&lt;&gt;",'Lớp 5 - Phân công'!$AB$14:$AB$262,"&lt;&gt;Hủy",'Lớp 5 - Phân công'!$AB$14:$AB$262,"&lt;&gt;Chưa lên lịch",'Lớp 5 - Phân công'!$AB$14:$AB$262,"&lt;&gt;Đã lên lịch")/COUNTIFS('Lớp 5 - Phân công'!$J$14:$J$262,I21,'Lớp 5 - Phân công'!$AB$14:$AB$262,"&lt;&gt;",'Lớp 5 - Phân công'!$AB$14:$AB$262,"&lt;&gt;Hủy",'Lớp 5 - Phân công'!$AB$14:$AB$262,"&lt;&gt;Chưa lên lịch",'Lớp 5 - Phân công'!$AB$14:$AB$262,"&lt;&gt;Đã lên lịch"),IF(AA21="Hoàn thành",1,0)))))</f>
        <v>0</v>
      </c>
      <c r="AG21" s="461">
        <f>IF(AL21&lt;&gt;"Có thời hạn","",IF(OR(I21="",AC21="",AD21=""),"",IF(OR(AA21="Hoàn thành",AA21="Hủy"),0,IF(AD21&lt;TODAY(),-_xlfn.NETWORKDAYS.INTL(AD21,TODAY()-1,11,'Ngày nghỉ lễ'!$A$5:$A$80),MAX(0,_xlfn.NETWORKDAYS.INTL(MAX(TODAY()+1,AC21),AD21,11,'Ngày nghỉ lễ'!$A$5:$A$80))))))</f>
        <v>6</v>
      </c>
      <c r="AH21" s="466">
        <f>IF($I21="","",LET(n,COUNTIFS('Lớp 5 - Phân công'!$J$14:$J$262,$I21,'Lớp 5 - Phân công'!$AB$14:$AB$262,"&lt;&gt;Hủy"),du,COUNTIFS('Lớp 5 - Phân công'!$J$14:$J$262,$I21,'Lớp 5 - Phân công'!$AB$14:$AB$262,"&lt;&gt;Hủy",'Lớp 5 - Phân công'!$AI$14:$AI$262,"&lt;&gt;"),IF(n=0,'Trung tâm nhập liệu'!T122,IF(du&lt;n,"",SUMIFS('Lớp 5 - Phân công'!$AI$14:$AI$262,'Lớp 5 - Phân công'!$J$14:$J$262,$I21,'Lớp 5 - Phân công'!$AB$14:$AB$262,"&lt;&gt;Hủy")))))</f>
        <v>40</v>
      </c>
      <c r="AI21" s="468" t="str">
        <f>IF(I21="","",IF(OR(AA21="Hoàn thành",AA21="Hủy"),"",IF(COUNTIFS('Lớp 5 - Phân công'!$J$14:$J$262,I21,'Lớp 5 - Phân công'!$AB$14:$AB$262,"&lt;&gt;Hủy")&gt;0,"",IF(AR21="Ngày",AS21,IF(AR21="Tuần",AS21/5,"")))))</f>
        <v/>
      </c>
      <c r="AJ21" s="477" t="str">
        <f>IF(AL21="Chưa xếp lịch","Chưa xếp lịch",IF(AL21="Định kỳ",IF(AM21="","Thiếu chu kỳ","Theo chu kỳ"),IF(AL21="Khi phát sinh",IF(COUNTIFS('Lớp 5 - Phân công'!$J$14:$J$262,$I21,'Lớp 5 - Phân công'!$AB$14:$AB$262,"&lt;&gt;Hủy")=0,"Khi phát sinh – chờ việc con","Khi phát sinh – theo ngày con"),IF(I21="","",LET(n,COUNTIFS('Lớp 5 - Phân công'!$J$14:$J$262,$I21,'Lớp 5 - Phân công'!$AB$14:$AB$262,"&lt;&gt;Hủy"),cs,IFERROR(MINIFS('Lớp 5 - Phân công'!$AD$14:$AD$262,'Lớp 5 - Phân công'!$J$14:$J$262,$I21,'Lớp 5 - Phân công'!$AB$14:$AB$262,"&lt;&gt;Hủy",'Lớp 5 - Phân công'!$AD$14:$AD$262,"&gt;0"),0),ce,IFERROR(MAXIFS('Lớp 5 - Phân công'!$AE$14:$AE$262,'Lớp 5 - Phân công'!$J$14:$J$262,$I21,'Lớp 5 - Phân công'!$AB$14:$AB$262,"&lt;&gt;Hủy",'Lớp 5 - Phân công'!$AE$14:$AE$262,"&gt;0"),0),ps,'Trung tâm nhập liệu'!R122,pe,'Trung tâm nhập liệu'!Q122,IF(OR(AC21="",AD21=""),"Thiếu ngày L4",IF(n=0,"Chưa có L5",IF(OR(cs=0,ce=0),"Thiếu ngày L5",IF(OR(ps="",pe=""),"Thiếu ngày kế hoạch gốc L4",IF(OR(cs&lt;ps,ce&gt;pe),"Cảnh báo: Con vượt khung kế hoạch gốc","L5 đúng khung kế hoạch gốc"))))))))))</f>
        <v>Chưa có L5</v>
      </c>
      <c r="AK21" s="465" t="str">
        <f>IF(OR(AU21="Thiếu tham số phân bổ",AU21="Phân bổ phải &gt; 0"),AU21,SWITCH(AL21,"Chưa xếp lịch","Chưa tính tải","Định kỳ","Theo chu kỳ","Khi phát sinh","Khi phát sinh",IF(I21="","",IF(OR(AA21="Hoàn thành",AA21="Hủy"),AA21,IF(COUNTIFS('Lớp 5 - Phân công'!$J$14:$J$262,I21,'Lớp 5 - Phân công'!$AB$14:$AB$262,"&lt;&gt;Hủy")&gt;0,"Theo dõi tải tại Lớp 5",IF(AH21="","Chưa nhập khối lượng",IF(Z21="","Thiếu người thực hiện",IF(OR(AC21="",AD21=""),"Chưa nhập đủ thời gian",IF(AG21&lt;0,"Quá hạn – còn "&amp;TEXT(MAX(0,AH21*(1-AF21)),"0.0")&amp;" giờ",LET(bd,MAX(TODAY(),AC21),kt,AD21,nguoi,Z21,tai,SUMIFS('Lớp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1" s="467" t="str">
        <f>'Trung tâm nhập liệu'!O122</f>
        <v>Có thời hạn</v>
      </c>
      <c r="AM21" s="469" t="str">
        <f>'Trung tâm nhập liệu'!P122</f>
        <v/>
      </c>
      <c r="AN21" s="470" t="str">
        <f>'Trung tâm nhập liệu'!S122</f>
        <v/>
      </c>
      <c r="AO21" s="470" t="str">
        <f>'Trung tâm nhập liệu'!X122</f>
        <v/>
      </c>
      <c r="AP21" s="471" t="str">
        <f t="shared" si="18"/>
        <v/>
      </c>
      <c r="AQ21" s="469" t="str">
        <f t="shared" si="19"/>
        <v/>
      </c>
      <c r="AR21" s="475" t="str">
        <f>'Trung tâm nhập liệu'!V122</f>
        <v/>
      </c>
      <c r="AS21" s="476" t="str">
        <f>'Trung tâm nhập liệu'!W122</f>
        <v/>
      </c>
      <c r="AT21" s="478" t="str">
        <f>IF(AL21&lt;&gt;"Có thời hạn","",IF(OR(I21="",AH21="",AA21="Hoàn thành",AA21="Hủy",COUNTIFS('Lớp 5 - Phân công'!$J$14:$J$262,I21,'Lớp 5 - Phân công'!$AB$14:$AB$262,"&lt;&gt;Hủy")&gt;0),"",LET(canNgay,MAX(0,AH21*(1-AF21))/MAX(1,AG21),IF(AR21="Ngày",canNgay,IF(AR21="Tuần",canNgay*5,"")))))</f>
        <v/>
      </c>
      <c r="AU21" s="465" t="str">
        <f>IF(I21="","",IF(COUNTIFS('Lớp 5 - Phân công'!$J$14:$J$262,I21,'Lớp 5 - Phân công'!$AB$14:$AB$262,"&lt;&gt;Hủy")&gt;0,"Theo dõi phân bổ tại Lớp 5",IF(OR(AA21="Hoàn thành",AA21="Hủy"),AA21,IF(AH21="","Thiếu tổng giờ",IF(OR(AR21="",AS21=""),"Thiếu tham số phân bổ",IF(AS21&lt;=0,"Phân bổ phải &gt; 0",IF(AL21&lt;&gt;"Có thời hạn","Đã có phân bổ",IF(AT21="","Chưa đủ dữ liệu hạn",IF(AS21&gt;=AT21,"Đủ phân bổ theo "&amp;LOWER(AR21),"Thiếu "&amp;TEXT(AT21-AS21,"0.0")&amp;" giờ/"&amp;LOWER(AR21))))))))))</f>
        <v>Thiếu tham số phân bổ</v>
      </c>
      <c r="AV21" s="465" t="str">
        <f t="shared" si="20"/>
        <v>OK</v>
      </c>
      <c r="AW21" s="479" t="str">
        <f>'Trung tâm nhập liệu'!Y122</f>
        <v/>
      </c>
    </row>
    <row r="22" ht="15.75" customHeight="1">
      <c r="A22" s="424">
        <f t="shared" si="11"/>
        <v>9</v>
      </c>
      <c r="B22" s="425" t="str">
        <f>'Trung tâm nhập liệu'!F123</f>
        <v>XD phương án Quản trị đặt hàng OEM</v>
      </c>
      <c r="C22" s="427" t="str">
        <f>'Trung tâm nhập liệu'!M123</f>
        <v>P2</v>
      </c>
      <c r="D22" s="499">
        <f t="shared" ref="D22:E22" si="39">AF22</f>
        <v>0</v>
      </c>
      <c r="E22" s="501">
        <f t="shared" si="39"/>
        <v>68</v>
      </c>
      <c r="F22" s="431">
        <f t="shared" ref="F22:G22" si="40">S22</f>
        <v>46326</v>
      </c>
      <c r="G22" s="431">
        <f t="shared" si="40"/>
        <v>46235</v>
      </c>
      <c r="H22" s="432" t="str">
        <f>IF(B22="","",IF(COUNTIF('Lớp 5 - Phân công'!$J$14:$J$262,I22)&gt;0,"Có","Không"))</f>
        <v>Không</v>
      </c>
      <c r="I22" s="434" t="str">
        <f>'Trung tâm nhập liệu'!B123</f>
        <v>HHL4RD09</v>
      </c>
      <c r="J22" s="432" t="str">
        <f>'Trung tâm nhập liệu'!D123</f>
        <v>HHL3RD12</v>
      </c>
      <c r="K22" s="436">
        <f t="array" ref="K22">IFERROR(INDEX('Lớp 3 - Công việc chính'!$J$14:$J$73,MATCH(J22,'Lớp 3 - Công việc chính'!$I$14:$I$73,0)),"")</f>
        <v>2026</v>
      </c>
      <c r="L22" s="438" t="str">
        <f t="array" ref="L22">IFERROR(INDEX('Lớp 3 - Công việc chính'!$K$14:$K$73,MATCH(J22,'Lớp 3 - Công việc chính'!$I$14:$I$73,0)),"")</f>
        <v>Cấp phòng ban</v>
      </c>
      <c r="M22" s="439" t="str">
        <f t="array" ref="M22">IFERROR(INDEX('Lớp 3 - Công việc chính'!$L$14:$L$73,MATCH(J22,'Lớp 3 - Công việc chính'!$I$14:$I$73,0)),"")</f>
        <v>Hệ thống/Vận hành</v>
      </c>
      <c r="N22" s="439" t="str">
        <f t="array" ref="N22">IFERROR(INDEX('Lớp 3 - Công việc chính'!$M$14:$M$73,MATCH(J22,'Lớp 3 - Công việc chính'!$I$14:$I$73,0)),"")</f>
        <v>Xây dựng quy trình và hệ thống quản trị sản phẩm theo phân loại</v>
      </c>
      <c r="O22" s="440" t="str">
        <f t="shared" ref="O22:R22" si="41">B22</f>
        <v>XD phương án Quản trị đặt hàng OEM</v>
      </c>
      <c r="P22" s="441" t="str">
        <f t="shared" si="41"/>
        <v>P2</v>
      </c>
      <c r="Q22" s="442">
        <f t="shared" si="41"/>
        <v>0</v>
      </c>
      <c r="R22" s="443">
        <f t="shared" si="41"/>
        <v>68</v>
      </c>
      <c r="S22" s="445">
        <f>IF($I22="","",LET(n,COUNTIFS('Lớp 5 - Phân công'!$J$14:$J$262,$I22,'Lớp 5 - Phân công'!$AB$14:$AB$262,"&lt;&gt;Hủy"),child,IFERROR(MAXIFS('Lớp 5 - Phân công'!$AE$14:$AE$262,'Lớp 5 - Phân công'!$J$14:$J$262,$I22,'Lớp 5 - Phân công'!$AB$14:$AB$262,"&lt;&gt;Hủy",'Lớp 5 - Phân công'!$AE$14:$AE$262,"&gt;0"),0),plan,'Trung tâm nhập liệu'!Q123,emergent,LOWER(TRIM('Trung tâm nhập liệu'!O123))="khi phát sinh",IF(n=0,IF(emergent,"",plan),IF(child=0,IF(emergent,"",plan),IF(OR(emergent,plan=""),child,MAX(plan,child))))))</f>
        <v>46326</v>
      </c>
      <c r="T22" s="447">
        <f>IF($I22="","",LET(n,COUNTIFS('Lớp 5 - Phân công'!$J$14:$J$262,$I22,'Lớp 5 - Phân công'!$AB$14:$AB$262,"&lt;&gt;Hủy"),child,IFERROR(MINIFS('Lớp 5 - Phân công'!$AD$14:$AD$262,'Lớp 5 - Phân công'!$J$14:$J$262,$I22,'Lớp 5 - Phân công'!$AB$14:$AB$262,"&lt;&gt;Hủy",'Lớp 5 - Phân công'!$AD$14:$AD$262,"&gt;0"),0),plan,'Trung tâm nhập liệu'!R123,emergent,LOWER(TRIM('Trung tâm nhập liệu'!O123))="khi phát sinh",IF(n=0,IF(emergent,"",plan),IF(child=0,IF(emergent,"",plan),IF(OR(emergent,plan=""),child,MIN(plan,child))))))</f>
        <v>46235</v>
      </c>
      <c r="U22" s="432" t="str">
        <f t="shared" si="15"/>
        <v>Không</v>
      </c>
      <c r="V22" s="432" t="str">
        <f>'Trung tâm nhập liệu'!G123</f>
        <v>Phương án quản trị đặt hàng OEM được phê duyệt và áp dụng.</v>
      </c>
      <c r="W22" s="432" t="str">
        <f>'Trung tâm nhập liệu'!H123</f>
        <v/>
      </c>
      <c r="X22" s="450" t="str">
        <f t="array" ref="X22">IFERROR(INDEX('Lớp 3 - Công việc chính'!$W$14:$W$73,MATCH(J22,'Lớp 3 - Công việc chính'!$I$14:$I$73,0)),"")</f>
        <v>R&amp;D</v>
      </c>
      <c r="Y22" s="432" t="str">
        <f>'Trung tâm nhập liệu'!J123</f>
        <v>GĐ BOC</v>
      </c>
      <c r="Z22" s="432" t="str">
        <f>'Trung tâm nhập liệu'!K123</f>
        <v>Ms Trang</v>
      </c>
      <c r="AA22" s="425" t="str">
        <f>'Trung tâm nhập liệu'!L123</f>
        <v>Đang thực hiện</v>
      </c>
      <c r="AB22" s="441" t="str">
        <f>'Trung tâm nhập liệu'!M123</f>
        <v>P2</v>
      </c>
      <c r="AC22" s="447">
        <f t="shared" si="16"/>
        <v>46235</v>
      </c>
      <c r="AD22" s="445">
        <f t="shared" si="17"/>
        <v>46326</v>
      </c>
      <c r="AE22" s="457">
        <f>IF(AL22&lt;&gt;"Có thời hạn","",IF(OR(AC22="",AD22=""),"",IF(AD22&lt;AC22,"",_xlfn.NETWORKDAYS.INTL(AC22,AD22,11,'Ngày nghỉ lễ'!$A$5:$A$80))))</f>
        <v>77</v>
      </c>
      <c r="AF22" s="458">
        <f>IF(I22="","",IF(L22="Công việc khác","",IF(OR(AA22="Chưa lên lịch",AA22="Đã lên lịch",AA22="Hủy"),"",IF(COUNTIFS('Lớp 5 - Phân công'!$J$14:$J$262,I22,'Lớp 5 - Phân công'!$AB$14:$AB$262,"&lt;&gt;",'Lớp 5 - Phân công'!$AB$14:$AB$262,"&lt;&gt;Hủy",'Lớp 5 - Phân công'!$AB$14:$AB$262,"&lt;&gt;Chưa lên lịch",'Lớp 5 - Phân công'!$AB$14:$AB$262,"&lt;&gt;Đã lên lịch")&gt;0,SUMIFS('Lớp 5 - Phân công'!$AG$14:$AG$262,'Lớp 5 - Phân công'!$J$14:$J$262,I22,'Lớp 5 - Phân công'!$AB$14:$AB$262,"&lt;&gt;",'Lớp 5 - Phân công'!$AB$14:$AB$262,"&lt;&gt;Hủy",'Lớp 5 - Phân công'!$AB$14:$AB$262,"&lt;&gt;Chưa lên lịch",'Lớp 5 - Phân công'!$AB$14:$AB$262,"&lt;&gt;Đã lên lịch")/COUNTIFS('Lớp 5 - Phân công'!$J$14:$J$262,I22,'Lớp 5 - Phân công'!$AB$14:$AB$262,"&lt;&gt;",'Lớp 5 - Phân công'!$AB$14:$AB$262,"&lt;&gt;Hủy",'Lớp 5 - Phân công'!$AB$14:$AB$262,"&lt;&gt;Chưa lên lịch",'Lớp 5 - Phân công'!$AB$14:$AB$262,"&lt;&gt;Đã lên lịch"),IF(AA22="Hoàn thành",1,0)))))</f>
        <v>0</v>
      </c>
      <c r="AG22" s="461">
        <f>IF(AL22&lt;&gt;"Có thời hạn","",IF(OR(I22="",AC22="",AD22=""),"",IF(OR(AA22="Hoàn thành",AA22="Hủy"),0,IF(AD22&lt;TODAY(),-_xlfn.NETWORKDAYS.INTL(AD22,TODAY()-1,11,'Ngày nghỉ lễ'!$A$5:$A$80),MAX(0,_xlfn.NETWORKDAYS.INTL(MAX(TODAY()+1,AC22),AD22,11,'Ngày nghỉ lễ'!$A$5:$A$80))))))</f>
        <v>68</v>
      </c>
      <c r="AH22" s="466">
        <f>IF($I22="","",LET(n,COUNTIFS('Lớp 5 - Phân công'!$J$14:$J$262,$I22,'Lớp 5 - Phân công'!$AB$14:$AB$262,"&lt;&gt;Hủy"),du,COUNTIFS('Lớp 5 - Phân công'!$J$14:$J$262,$I22,'Lớp 5 - Phân công'!$AB$14:$AB$262,"&lt;&gt;Hủy",'Lớp 5 - Phân công'!$AI$14:$AI$262,"&lt;&gt;"),IF(n=0,'Trung tâm nhập liệu'!T123,IF(du&lt;n,"",SUMIFS('Lớp 5 - Phân công'!$AI$14:$AI$262,'Lớp 5 - Phân công'!$J$14:$J$262,$I22,'Lớp 5 - Phân công'!$AB$14:$AB$262,"&lt;&gt;Hủy")))))</f>
        <v>40</v>
      </c>
      <c r="AI22" s="468" t="str">
        <f>IF(I22="","",IF(OR(AA22="Hoàn thành",AA22="Hủy"),"",IF(COUNTIFS('Lớp 5 - Phân công'!$J$14:$J$262,I22,'Lớp 5 - Phân công'!$AB$14:$AB$262,"&lt;&gt;Hủy")&gt;0,"",IF(AR22="Ngày",AS22,IF(AR22="Tuần",AS22/5,"")))))</f>
        <v/>
      </c>
      <c r="AJ22" s="477" t="str">
        <f>IF(AL22="Chưa xếp lịch","Chưa xếp lịch",IF(AL22="Định kỳ",IF(AM22="","Thiếu chu kỳ","Theo chu kỳ"),IF(AL22="Khi phát sinh",IF(COUNTIFS('Lớp 5 - Phân công'!$J$14:$J$262,$I22,'Lớp 5 - Phân công'!$AB$14:$AB$262,"&lt;&gt;Hủy")=0,"Khi phát sinh – chờ việc con","Khi phát sinh – theo ngày con"),IF(I22="","",LET(n,COUNTIFS('Lớp 5 - Phân công'!$J$14:$J$262,$I22,'Lớp 5 - Phân công'!$AB$14:$AB$262,"&lt;&gt;Hủy"),cs,IFERROR(MINIFS('Lớp 5 - Phân công'!$AD$14:$AD$262,'Lớp 5 - Phân công'!$J$14:$J$262,$I22,'Lớp 5 - Phân công'!$AB$14:$AB$262,"&lt;&gt;Hủy",'Lớp 5 - Phân công'!$AD$14:$AD$262,"&gt;0"),0),ce,IFERROR(MAXIFS('Lớp 5 - Phân công'!$AE$14:$AE$262,'Lớp 5 - Phân công'!$J$14:$J$262,$I22,'Lớp 5 - Phân công'!$AB$14:$AB$262,"&lt;&gt;Hủy",'Lớp 5 - Phân công'!$AE$14:$AE$262,"&gt;0"),0),ps,'Trung tâm nhập liệu'!R123,pe,'Trung tâm nhập liệu'!Q123,IF(OR(AC22="",AD22=""),"Thiếu ngày L4",IF(n=0,"Chưa có L5",IF(OR(cs=0,ce=0),"Thiếu ngày L5",IF(OR(ps="",pe=""),"Thiếu ngày kế hoạch gốc L4",IF(OR(cs&lt;ps,ce&gt;pe),"Cảnh báo: Con vượt khung kế hoạch gốc","L5 đúng khung kế hoạch gốc"))))))))))</f>
        <v>Chưa có L5</v>
      </c>
      <c r="AK22" s="465" t="str">
        <f>IF(OR(AU22="Thiếu tham số phân bổ",AU22="Phân bổ phải &gt; 0"),AU22,SWITCH(AL22,"Chưa xếp lịch","Chưa tính tải","Định kỳ","Theo chu kỳ","Khi phát sinh","Khi phát sinh",IF(I22="","",IF(OR(AA22="Hoàn thành",AA22="Hủy"),AA22,IF(COUNTIFS('Lớp 5 - Phân công'!$J$14:$J$262,I22,'Lớp 5 - Phân công'!$AB$14:$AB$262,"&lt;&gt;Hủy")&gt;0,"Theo dõi tải tại Lớp 5",IF(AH22="","Chưa nhập khối lượng",IF(Z22="","Thiếu người thực hiện",IF(OR(AC22="",AD22=""),"Chưa nhập đủ thời gian",IF(AG22&lt;0,"Quá hạn – còn "&amp;TEXT(MAX(0,AH22*(1-AF22)),"0.0")&amp;" giờ",LET(bd,MAX(TODAY(),AC22),kt,AD22,nguoi,Z22,tai,SUMIFS('Lớp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2" s="467" t="str">
        <f>'Trung tâm nhập liệu'!O123</f>
        <v>Có thời hạn</v>
      </c>
      <c r="AM22" s="469" t="str">
        <f>'Trung tâm nhập liệu'!P123</f>
        <v/>
      </c>
      <c r="AN22" s="470" t="str">
        <f>'Trung tâm nhập liệu'!S123</f>
        <v/>
      </c>
      <c r="AO22" s="470" t="str">
        <f>'Trung tâm nhập liệu'!X123</f>
        <v/>
      </c>
      <c r="AP22" s="471" t="str">
        <f t="shared" si="18"/>
        <v/>
      </c>
      <c r="AQ22" s="469" t="str">
        <f t="shared" si="19"/>
        <v/>
      </c>
      <c r="AR22" s="475" t="str">
        <f>'Trung tâm nhập liệu'!V123</f>
        <v/>
      </c>
      <c r="AS22" s="476" t="str">
        <f>'Trung tâm nhập liệu'!W123</f>
        <v/>
      </c>
      <c r="AT22" s="478" t="str">
        <f>IF(AL22&lt;&gt;"Có thời hạn","",IF(OR(I22="",AH22="",AA22="Hoàn thành",AA22="Hủy",COUNTIFS('Lớp 5 - Phân công'!$J$14:$J$262,I22,'Lớp 5 - Phân công'!$AB$14:$AB$262,"&lt;&gt;Hủy")&gt;0),"",LET(canNgay,MAX(0,AH22*(1-AF22))/MAX(1,AG22),IF(AR22="Ngày",canNgay,IF(AR22="Tuần",canNgay*5,"")))))</f>
        <v/>
      </c>
      <c r="AU22" s="465" t="str">
        <f>IF(I22="","",IF(COUNTIFS('Lớp 5 - Phân công'!$J$14:$J$262,I22,'Lớp 5 - Phân công'!$AB$14:$AB$262,"&lt;&gt;Hủy")&gt;0,"Theo dõi phân bổ tại Lớp 5",IF(OR(AA22="Hoàn thành",AA22="Hủy"),AA22,IF(AH22="","Thiếu tổng giờ",IF(OR(AR22="",AS22=""),"Thiếu tham số phân bổ",IF(AS22&lt;=0,"Phân bổ phải &gt; 0",IF(AL22&lt;&gt;"Có thời hạn","Đã có phân bổ",IF(AT22="","Chưa đủ dữ liệu hạn",IF(AS22&gt;=AT22,"Đủ phân bổ theo "&amp;LOWER(AR22),"Thiếu "&amp;TEXT(AT22-AS22,"0.0")&amp;" giờ/"&amp;LOWER(AR22))))))))))</f>
        <v>Thiếu tham số phân bổ</v>
      </c>
      <c r="AV22" s="465" t="str">
        <f t="shared" si="20"/>
        <v>OK</v>
      </c>
      <c r="AW22" s="479" t="str">
        <f>'Trung tâm nhập liệu'!Y123</f>
        <v/>
      </c>
    </row>
    <row r="23" ht="15.75" customHeight="1">
      <c r="A23" s="424">
        <f t="shared" si="11"/>
        <v>10</v>
      </c>
      <c r="B23" s="425" t="str">
        <f>'Trung tâm nhập liệu'!F124</f>
        <v>Phương án quản trị chất lược sản phẩm</v>
      </c>
      <c r="C23" s="427" t="str">
        <f>'Trung tâm nhập liệu'!M124</f>
        <v>P2</v>
      </c>
      <c r="D23" s="499">
        <f t="shared" ref="D23:E23" si="42">AF23</f>
        <v>0</v>
      </c>
      <c r="E23" s="501">
        <f t="shared" si="42"/>
        <v>80</v>
      </c>
      <c r="F23" s="431">
        <f t="shared" ref="F23:G23" si="43">S23</f>
        <v>46341</v>
      </c>
      <c r="G23" s="431">
        <f t="shared" si="43"/>
        <v>46235</v>
      </c>
      <c r="H23" s="432" t="str">
        <f>IF(B23="","",IF(COUNTIF('Lớp 5 - Phân công'!$J$14:$J$262,I23)&gt;0,"Có","Không"))</f>
        <v>Không</v>
      </c>
      <c r="I23" s="434" t="str">
        <f>'Trung tâm nhập liệu'!B124</f>
        <v>HHL4RD10</v>
      </c>
      <c r="J23" s="432" t="str">
        <f>'Trung tâm nhập liệu'!D124</f>
        <v>HHL3RD12</v>
      </c>
      <c r="K23" s="436">
        <f t="array" ref="K23">IFERROR(INDEX('Lớp 3 - Công việc chính'!$J$14:$J$73,MATCH(J23,'Lớp 3 - Công việc chính'!$I$14:$I$73,0)),"")</f>
        <v>2026</v>
      </c>
      <c r="L23" s="438" t="str">
        <f t="array" ref="L23">IFERROR(INDEX('Lớp 3 - Công việc chính'!$K$14:$K$73,MATCH(J23,'Lớp 3 - Công việc chính'!$I$14:$I$73,0)),"")</f>
        <v>Cấp phòng ban</v>
      </c>
      <c r="M23" s="439" t="str">
        <f t="array" ref="M23">IFERROR(INDEX('Lớp 3 - Công việc chính'!$L$14:$L$73,MATCH(J23,'Lớp 3 - Công việc chính'!$I$14:$I$73,0)),"")</f>
        <v>Hệ thống/Vận hành</v>
      </c>
      <c r="N23" s="439" t="str">
        <f t="array" ref="N23">IFERROR(INDEX('Lớp 3 - Công việc chính'!$M$14:$M$73,MATCH(J23,'Lớp 3 - Công việc chính'!$I$14:$I$73,0)),"")</f>
        <v>Xây dựng quy trình và hệ thống quản trị sản phẩm theo phân loại</v>
      </c>
      <c r="O23" s="440" t="str">
        <f t="shared" ref="O23:R23" si="44">B23</f>
        <v>Phương án quản trị chất lược sản phẩm</v>
      </c>
      <c r="P23" s="441" t="str">
        <f t="shared" si="44"/>
        <v>P2</v>
      </c>
      <c r="Q23" s="442">
        <f t="shared" si="44"/>
        <v>0</v>
      </c>
      <c r="R23" s="443">
        <f t="shared" si="44"/>
        <v>80</v>
      </c>
      <c r="S23" s="445">
        <f>IF($I23="","",LET(n,COUNTIFS('Lớp 5 - Phân công'!$J$14:$J$262,$I23,'Lớp 5 - Phân công'!$AB$14:$AB$262,"&lt;&gt;Hủy"),child,IFERROR(MAXIFS('Lớp 5 - Phân công'!$AE$14:$AE$262,'Lớp 5 - Phân công'!$J$14:$J$262,$I23,'Lớp 5 - Phân công'!$AB$14:$AB$262,"&lt;&gt;Hủy",'Lớp 5 - Phân công'!$AE$14:$AE$262,"&gt;0"),0),plan,'Trung tâm nhập liệu'!Q124,emergent,LOWER(TRIM('Trung tâm nhập liệu'!O124))="khi phát sinh",IF(n=0,IF(emergent,"",plan),IF(child=0,IF(emergent,"",plan),IF(OR(emergent,plan=""),child,MAX(plan,child))))))</f>
        <v>46341</v>
      </c>
      <c r="T23" s="447">
        <f>IF($I23="","",LET(n,COUNTIFS('Lớp 5 - Phân công'!$J$14:$J$262,$I23,'Lớp 5 - Phân công'!$AB$14:$AB$262,"&lt;&gt;Hủy"),child,IFERROR(MINIFS('Lớp 5 - Phân công'!$AD$14:$AD$262,'Lớp 5 - Phân công'!$J$14:$J$262,$I23,'Lớp 5 - Phân công'!$AB$14:$AB$262,"&lt;&gt;Hủy",'Lớp 5 - Phân công'!$AD$14:$AD$262,"&gt;0"),0),plan,'Trung tâm nhập liệu'!R124,emergent,LOWER(TRIM('Trung tâm nhập liệu'!O124))="khi phát sinh",IF(n=0,IF(emergent,"",plan),IF(child=0,IF(emergent,"",plan),IF(OR(emergent,plan=""),child,MIN(plan,child))))))</f>
        <v>46235</v>
      </c>
      <c r="U23" s="432" t="str">
        <f t="shared" si="15"/>
        <v>Không</v>
      </c>
      <c r="V23" s="432" t="str">
        <f>'Trung tâm nhập liệu'!G124</f>
        <v>Phương án quản trị chất lượng sản phẩm được phê duyệt.</v>
      </c>
      <c r="W23" s="432" t="str">
        <f>'Trung tâm nhập liệu'!H124</f>
        <v/>
      </c>
      <c r="X23" s="450" t="str">
        <f t="array" ref="X23">IFERROR(INDEX('Lớp 3 - Công việc chính'!$W$14:$W$73,MATCH(J23,'Lớp 3 - Công việc chính'!$I$14:$I$73,0)),"")</f>
        <v>R&amp;D</v>
      </c>
      <c r="Y23" s="432" t="str">
        <f>'Trung tâm nhập liệu'!J124</f>
        <v>GĐ BOC</v>
      </c>
      <c r="Z23" s="432" t="str">
        <f>'Trung tâm nhập liệu'!K124</f>
        <v>Ms Trang</v>
      </c>
      <c r="AA23" s="425" t="str">
        <f>'Trung tâm nhập liệu'!L124</f>
        <v>Đang thực hiện</v>
      </c>
      <c r="AB23" s="441" t="str">
        <f>'Trung tâm nhập liệu'!M124</f>
        <v>P2</v>
      </c>
      <c r="AC23" s="447">
        <f t="shared" si="16"/>
        <v>46235</v>
      </c>
      <c r="AD23" s="445">
        <f t="shared" si="17"/>
        <v>46341</v>
      </c>
      <c r="AE23" s="457">
        <f>IF(AL23&lt;&gt;"Có thời hạn","",IF(OR(AC23="",AD23=""),"",IF(AD23&lt;AC23,"",_xlfn.NETWORKDAYS.INTL(AC23,AD23,11,'Ngày nghỉ lễ'!$A$5:$A$80))))</f>
        <v>89</v>
      </c>
      <c r="AF23" s="458">
        <f>IF(I23="","",IF(L23="Công việc khác","",IF(OR(AA23="Chưa lên lịch",AA23="Đã lên lịch",AA23="Hủy"),"",IF(COUNTIFS('Lớp 5 - Phân công'!$J$14:$J$262,I23,'Lớp 5 - Phân công'!$AB$14:$AB$262,"&lt;&gt;",'Lớp 5 - Phân công'!$AB$14:$AB$262,"&lt;&gt;Hủy",'Lớp 5 - Phân công'!$AB$14:$AB$262,"&lt;&gt;Chưa lên lịch",'Lớp 5 - Phân công'!$AB$14:$AB$262,"&lt;&gt;Đã lên lịch")&gt;0,SUMIFS('Lớp 5 - Phân công'!$AG$14:$AG$262,'Lớp 5 - Phân công'!$J$14:$J$262,I23,'Lớp 5 - Phân công'!$AB$14:$AB$262,"&lt;&gt;",'Lớp 5 - Phân công'!$AB$14:$AB$262,"&lt;&gt;Hủy",'Lớp 5 - Phân công'!$AB$14:$AB$262,"&lt;&gt;Chưa lên lịch",'Lớp 5 - Phân công'!$AB$14:$AB$262,"&lt;&gt;Đã lên lịch")/COUNTIFS('Lớp 5 - Phân công'!$J$14:$J$262,I23,'Lớp 5 - Phân công'!$AB$14:$AB$262,"&lt;&gt;",'Lớp 5 - Phân công'!$AB$14:$AB$262,"&lt;&gt;Hủy",'Lớp 5 - Phân công'!$AB$14:$AB$262,"&lt;&gt;Chưa lên lịch",'Lớp 5 - Phân công'!$AB$14:$AB$262,"&lt;&gt;Đã lên lịch"),IF(AA23="Hoàn thành",1,0)))))</f>
        <v>0</v>
      </c>
      <c r="AG23" s="461">
        <f>IF(AL23&lt;&gt;"Có thời hạn","",IF(OR(I23="",AC23="",AD23=""),"",IF(OR(AA23="Hoàn thành",AA23="Hủy"),0,IF(AD23&lt;TODAY(),-_xlfn.NETWORKDAYS.INTL(AD23,TODAY()-1,11,'Ngày nghỉ lễ'!$A$5:$A$80),MAX(0,_xlfn.NETWORKDAYS.INTL(MAX(TODAY()+1,AC23),AD23,11,'Ngày nghỉ lễ'!$A$5:$A$80))))))</f>
        <v>80</v>
      </c>
      <c r="AH23" s="466">
        <f>IF($I23="","",LET(n,COUNTIFS('Lớp 5 - Phân công'!$J$14:$J$262,$I23,'Lớp 5 - Phân công'!$AB$14:$AB$262,"&lt;&gt;Hủy"),du,COUNTIFS('Lớp 5 - Phân công'!$J$14:$J$262,$I23,'Lớp 5 - Phân công'!$AB$14:$AB$262,"&lt;&gt;Hủy",'Lớp 5 - Phân công'!$AI$14:$AI$262,"&lt;&gt;"),IF(n=0,'Trung tâm nhập liệu'!T124,IF(du&lt;n,"",SUMIFS('Lớp 5 - Phân công'!$AI$14:$AI$262,'Lớp 5 - Phân công'!$J$14:$J$262,$I23,'Lớp 5 - Phân công'!$AB$14:$AB$262,"&lt;&gt;Hủy")))))</f>
        <v>40</v>
      </c>
      <c r="AI23" s="468" t="str">
        <f>IF(I23="","",IF(OR(AA23="Hoàn thành",AA23="Hủy"),"",IF(COUNTIFS('Lớp 5 - Phân công'!$J$14:$J$262,I23,'Lớp 5 - Phân công'!$AB$14:$AB$262,"&lt;&gt;Hủy")&gt;0,"",IF(AR23="Ngày",AS23,IF(AR23="Tuần",AS23/5,"")))))</f>
        <v/>
      </c>
      <c r="AJ23" s="477" t="str">
        <f>IF(AL23="Chưa xếp lịch","Chưa xếp lịch",IF(AL23="Định kỳ",IF(AM23="","Thiếu chu kỳ","Theo chu kỳ"),IF(AL23="Khi phát sinh",IF(COUNTIFS('Lớp 5 - Phân công'!$J$14:$J$262,$I23,'Lớp 5 - Phân công'!$AB$14:$AB$262,"&lt;&gt;Hủy")=0,"Khi phát sinh – chờ việc con","Khi phát sinh – theo ngày con"),IF(I23="","",LET(n,COUNTIFS('Lớp 5 - Phân công'!$J$14:$J$262,$I23,'Lớp 5 - Phân công'!$AB$14:$AB$262,"&lt;&gt;Hủy"),cs,IFERROR(MINIFS('Lớp 5 - Phân công'!$AD$14:$AD$262,'Lớp 5 - Phân công'!$J$14:$J$262,$I23,'Lớp 5 - Phân công'!$AB$14:$AB$262,"&lt;&gt;Hủy",'Lớp 5 - Phân công'!$AD$14:$AD$262,"&gt;0"),0),ce,IFERROR(MAXIFS('Lớp 5 - Phân công'!$AE$14:$AE$262,'Lớp 5 - Phân công'!$J$14:$J$262,$I23,'Lớp 5 - Phân công'!$AB$14:$AB$262,"&lt;&gt;Hủy",'Lớp 5 - Phân công'!$AE$14:$AE$262,"&gt;0"),0),ps,'Trung tâm nhập liệu'!R124,pe,'Trung tâm nhập liệu'!Q124,IF(OR(AC23="",AD23=""),"Thiếu ngày L4",IF(n=0,"Chưa có L5",IF(OR(cs=0,ce=0),"Thiếu ngày L5",IF(OR(ps="",pe=""),"Thiếu ngày kế hoạch gốc L4",IF(OR(cs&lt;ps,ce&gt;pe),"Cảnh báo: Con vượt khung kế hoạch gốc","L5 đúng khung kế hoạch gốc"))))))))))</f>
        <v>Chưa có L5</v>
      </c>
      <c r="AK23" s="465" t="str">
        <f>IF(OR(AU23="Thiếu tham số phân bổ",AU23="Phân bổ phải &gt; 0"),AU23,SWITCH(AL23,"Chưa xếp lịch","Chưa tính tải","Định kỳ","Theo chu kỳ","Khi phát sinh","Khi phát sinh",IF(I23="","",IF(OR(AA23="Hoàn thành",AA23="Hủy"),AA23,IF(COUNTIFS('Lớp 5 - Phân công'!$J$14:$J$262,I23,'Lớp 5 - Phân công'!$AB$14:$AB$262,"&lt;&gt;Hủy")&gt;0,"Theo dõi tải tại Lớp 5",IF(AH23="","Chưa nhập khối lượng",IF(Z23="","Thiếu người thực hiện",IF(OR(AC23="",AD23=""),"Chưa nhập đủ thời gian",IF(AG23&lt;0,"Quá hạn – còn "&amp;TEXT(MAX(0,AH23*(1-AF23)),"0.0")&amp;" giờ",LET(bd,MAX(TODAY(),AC23),kt,AD23,nguoi,Z23,tai,SUMIFS('Lớp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3" s="467" t="str">
        <f>'Trung tâm nhập liệu'!O124</f>
        <v>Có thời hạn</v>
      </c>
      <c r="AM23" s="469" t="str">
        <f>'Trung tâm nhập liệu'!P124</f>
        <v/>
      </c>
      <c r="AN23" s="470" t="str">
        <f>'Trung tâm nhập liệu'!S124</f>
        <v/>
      </c>
      <c r="AO23" s="470" t="str">
        <f>'Trung tâm nhập liệu'!X124</f>
        <v/>
      </c>
      <c r="AP23" s="471" t="str">
        <f t="shared" si="18"/>
        <v/>
      </c>
      <c r="AQ23" s="469" t="str">
        <f t="shared" si="19"/>
        <v/>
      </c>
      <c r="AR23" s="475" t="str">
        <f>'Trung tâm nhập liệu'!V124</f>
        <v/>
      </c>
      <c r="AS23" s="476" t="str">
        <f>'Trung tâm nhập liệu'!W124</f>
        <v/>
      </c>
      <c r="AT23" s="478" t="str">
        <f>IF(AL23&lt;&gt;"Có thời hạn","",IF(OR(I23="",AH23="",AA23="Hoàn thành",AA23="Hủy",COUNTIFS('Lớp 5 - Phân công'!$J$14:$J$262,I23,'Lớp 5 - Phân công'!$AB$14:$AB$262,"&lt;&gt;Hủy")&gt;0),"",LET(canNgay,MAX(0,AH23*(1-AF23))/MAX(1,AG23),IF(AR23="Ngày",canNgay,IF(AR23="Tuần",canNgay*5,"")))))</f>
        <v/>
      </c>
      <c r="AU23" s="465" t="str">
        <f>IF(I23="","",IF(COUNTIFS('Lớp 5 - Phân công'!$J$14:$J$262,I23,'Lớp 5 - Phân công'!$AB$14:$AB$262,"&lt;&gt;Hủy")&gt;0,"Theo dõi phân bổ tại Lớp 5",IF(OR(AA23="Hoàn thành",AA23="Hủy"),AA23,IF(AH23="","Thiếu tổng giờ",IF(OR(AR23="",AS23=""),"Thiếu tham số phân bổ",IF(AS23&lt;=0,"Phân bổ phải &gt; 0",IF(AL23&lt;&gt;"Có thời hạn","Đã có phân bổ",IF(AT23="","Chưa đủ dữ liệu hạn",IF(AS23&gt;=AT23,"Đủ phân bổ theo "&amp;LOWER(AR23),"Thiếu "&amp;TEXT(AT23-AS23,"0.0")&amp;" giờ/"&amp;LOWER(AR23))))))))))</f>
        <v>Thiếu tham số phân bổ</v>
      </c>
      <c r="AV23" s="465" t="str">
        <f t="shared" si="20"/>
        <v>OK</v>
      </c>
      <c r="AW23" s="479" t="str">
        <f>'Trung tâm nhập liệu'!Y124</f>
        <v/>
      </c>
    </row>
    <row r="24" ht="15.75" customHeight="1">
      <c r="A24" s="424">
        <f t="shared" si="11"/>
        <v>11</v>
      </c>
      <c r="B24" s="425" t="str">
        <f>'Trung tâm nhập liệu'!F125</f>
        <v>Thành lập ban CLSP &amp; cơ chế vận hành</v>
      </c>
      <c r="C24" s="427" t="str">
        <f>'Trung tâm nhập liệu'!M125</f>
        <v>P2</v>
      </c>
      <c r="D24" s="499">
        <f t="shared" ref="D24:E24" si="45">AF24</f>
        <v>0</v>
      </c>
      <c r="E24" s="501">
        <f t="shared" si="45"/>
        <v>41</v>
      </c>
      <c r="F24" s="431">
        <f t="shared" ref="F24:G24" si="46">S24</f>
        <v>46295</v>
      </c>
      <c r="G24" s="431">
        <f t="shared" si="46"/>
        <v>46235</v>
      </c>
      <c r="H24" s="432" t="str">
        <f>IF(B24="","",IF(COUNTIF('Lớp 5 - Phân công'!$J$14:$J$262,I24)&gt;0,"Có","Không"))</f>
        <v>Không</v>
      </c>
      <c r="I24" s="434" t="str">
        <f>'Trung tâm nhập liệu'!B125</f>
        <v>HHL4RD11</v>
      </c>
      <c r="J24" s="432" t="str">
        <f>'Trung tâm nhập liệu'!D125</f>
        <v>HHL3RD12</v>
      </c>
      <c r="K24" s="436">
        <f t="array" ref="K24">IFERROR(INDEX('Lớp 3 - Công việc chính'!$J$14:$J$73,MATCH(J24,'Lớp 3 - Công việc chính'!$I$14:$I$73,0)),"")</f>
        <v>2026</v>
      </c>
      <c r="L24" s="438" t="str">
        <f t="array" ref="L24">IFERROR(INDEX('Lớp 3 - Công việc chính'!$K$14:$K$73,MATCH(J24,'Lớp 3 - Công việc chính'!$I$14:$I$73,0)),"")</f>
        <v>Cấp phòng ban</v>
      </c>
      <c r="M24" s="439" t="str">
        <f t="array" ref="M24">IFERROR(INDEX('Lớp 3 - Công việc chính'!$L$14:$L$73,MATCH(J24,'Lớp 3 - Công việc chính'!$I$14:$I$73,0)),"")</f>
        <v>Hệ thống/Vận hành</v>
      </c>
      <c r="N24" s="439" t="str">
        <f t="array" ref="N24">IFERROR(INDEX('Lớp 3 - Công việc chính'!$M$14:$M$73,MATCH(J24,'Lớp 3 - Công việc chính'!$I$14:$I$73,0)),"")</f>
        <v>Xây dựng quy trình và hệ thống quản trị sản phẩm theo phân loại</v>
      </c>
      <c r="O24" s="440" t="str">
        <f t="shared" ref="O24:R24" si="47">B24</f>
        <v>Thành lập ban CLSP &amp; cơ chế vận hành</v>
      </c>
      <c r="P24" s="441" t="str">
        <f t="shared" si="47"/>
        <v>P2</v>
      </c>
      <c r="Q24" s="442">
        <f t="shared" si="47"/>
        <v>0</v>
      </c>
      <c r="R24" s="443">
        <f t="shared" si="47"/>
        <v>41</v>
      </c>
      <c r="S24" s="445">
        <f>IF($I24="","",LET(n,COUNTIFS('Lớp 5 - Phân công'!$J$14:$J$262,$I24,'Lớp 5 - Phân công'!$AB$14:$AB$262,"&lt;&gt;Hủy"),child,IFERROR(MAXIFS('Lớp 5 - Phân công'!$AE$14:$AE$262,'Lớp 5 - Phân công'!$J$14:$J$262,$I24,'Lớp 5 - Phân công'!$AB$14:$AB$262,"&lt;&gt;Hủy",'Lớp 5 - Phân công'!$AE$14:$AE$262,"&gt;0"),0),plan,'Trung tâm nhập liệu'!Q125,emergent,LOWER(TRIM('Trung tâm nhập liệu'!O125))="khi phát sinh",IF(n=0,IF(emergent,"",plan),IF(child=0,IF(emergent,"",plan),IF(OR(emergent,plan=""),child,MAX(plan,child))))))</f>
        <v>46295</v>
      </c>
      <c r="T24" s="447">
        <f>IF($I24="","",LET(n,COUNTIFS('Lớp 5 - Phân công'!$J$14:$J$262,$I24,'Lớp 5 - Phân công'!$AB$14:$AB$262,"&lt;&gt;Hủy"),child,IFERROR(MINIFS('Lớp 5 - Phân công'!$AD$14:$AD$262,'Lớp 5 - Phân công'!$J$14:$J$262,$I24,'Lớp 5 - Phân công'!$AB$14:$AB$262,"&lt;&gt;Hủy",'Lớp 5 - Phân công'!$AD$14:$AD$262,"&gt;0"),0),plan,'Trung tâm nhập liệu'!R125,emergent,LOWER(TRIM('Trung tâm nhập liệu'!O125))="khi phát sinh",IF(n=0,IF(emergent,"",plan),IF(child=0,IF(emergent,"",plan),IF(OR(emergent,plan=""),child,MIN(plan,child))))))</f>
        <v>46235</v>
      </c>
      <c r="U24" s="432" t="str">
        <f t="shared" si="15"/>
        <v>Không</v>
      </c>
      <c r="V24" s="432" t="str">
        <f>'Trung tâm nhập liệu'!G125</f>
        <v>Ban CLSP được thành lập, có quy chế và cơ chế vận hành.</v>
      </c>
      <c r="W24" s="432" t="str">
        <f>'Trung tâm nhập liệu'!H125</f>
        <v/>
      </c>
      <c r="X24" s="450" t="str">
        <f t="array" ref="X24">IFERROR(INDEX('Lớp 3 - Công việc chính'!$W$14:$W$73,MATCH(J24,'Lớp 3 - Công việc chính'!$I$14:$I$73,0)),"")</f>
        <v>R&amp;D</v>
      </c>
      <c r="Y24" s="432" t="str">
        <f>'Trung tâm nhập liệu'!J125</f>
        <v>GĐ BOC</v>
      </c>
      <c r="Z24" s="432" t="str">
        <f>'Trung tâm nhập liệu'!K125</f>
        <v>Ms Trang</v>
      </c>
      <c r="AA24" s="425" t="str">
        <f>'Trung tâm nhập liệu'!L125</f>
        <v>Đang thực hiện</v>
      </c>
      <c r="AB24" s="441" t="str">
        <f>'Trung tâm nhập liệu'!M125</f>
        <v>P2</v>
      </c>
      <c r="AC24" s="447">
        <f t="shared" si="16"/>
        <v>46235</v>
      </c>
      <c r="AD24" s="445">
        <f t="shared" si="17"/>
        <v>46295</v>
      </c>
      <c r="AE24" s="457">
        <f>IF(AL24&lt;&gt;"Có thời hạn","",IF(OR(AC24="",AD24=""),"",IF(AD24&lt;AC24,"",_xlfn.NETWORKDAYS.INTL(AC24,AD24,11,'Ngày nghỉ lễ'!$A$5:$A$80))))</f>
        <v>50</v>
      </c>
      <c r="AF24" s="458">
        <f>IF(I24="","",IF(L24="Công việc khác","",IF(OR(AA24="Chưa lên lịch",AA24="Đã lên lịch",AA24="Hủy"),"",IF(COUNTIFS('Lớp 5 - Phân công'!$J$14:$J$262,I24,'Lớp 5 - Phân công'!$AB$14:$AB$262,"&lt;&gt;",'Lớp 5 - Phân công'!$AB$14:$AB$262,"&lt;&gt;Hủy",'Lớp 5 - Phân công'!$AB$14:$AB$262,"&lt;&gt;Chưa lên lịch",'Lớp 5 - Phân công'!$AB$14:$AB$262,"&lt;&gt;Đã lên lịch")&gt;0,SUMIFS('Lớp 5 - Phân công'!$AG$14:$AG$262,'Lớp 5 - Phân công'!$J$14:$J$262,I24,'Lớp 5 - Phân công'!$AB$14:$AB$262,"&lt;&gt;",'Lớp 5 - Phân công'!$AB$14:$AB$262,"&lt;&gt;Hủy",'Lớp 5 - Phân công'!$AB$14:$AB$262,"&lt;&gt;Chưa lên lịch",'Lớp 5 - Phân công'!$AB$14:$AB$262,"&lt;&gt;Đã lên lịch")/COUNTIFS('Lớp 5 - Phân công'!$J$14:$J$262,I24,'Lớp 5 - Phân công'!$AB$14:$AB$262,"&lt;&gt;",'Lớp 5 - Phân công'!$AB$14:$AB$262,"&lt;&gt;Hủy",'Lớp 5 - Phân công'!$AB$14:$AB$262,"&lt;&gt;Chưa lên lịch",'Lớp 5 - Phân công'!$AB$14:$AB$262,"&lt;&gt;Đã lên lịch"),IF(AA24="Hoàn thành",1,0)))))</f>
        <v>0</v>
      </c>
      <c r="AG24" s="461">
        <f>IF(AL24&lt;&gt;"Có thời hạn","",IF(OR(I24="",AC24="",AD24=""),"",IF(OR(AA24="Hoàn thành",AA24="Hủy"),0,IF(AD24&lt;TODAY(),-_xlfn.NETWORKDAYS.INTL(AD24,TODAY()-1,11,'Ngày nghỉ lễ'!$A$5:$A$80),MAX(0,_xlfn.NETWORKDAYS.INTL(MAX(TODAY()+1,AC24),AD24,11,'Ngày nghỉ lễ'!$A$5:$A$80))))))</f>
        <v>41</v>
      </c>
      <c r="AH24" s="466">
        <f>IF($I24="","",LET(n,COUNTIFS('Lớp 5 - Phân công'!$J$14:$J$262,$I24,'Lớp 5 - Phân công'!$AB$14:$AB$262,"&lt;&gt;Hủy"),du,COUNTIFS('Lớp 5 - Phân công'!$J$14:$J$262,$I24,'Lớp 5 - Phân công'!$AB$14:$AB$262,"&lt;&gt;Hủy",'Lớp 5 - Phân công'!$AI$14:$AI$262,"&lt;&gt;"),IF(n=0,'Trung tâm nhập liệu'!T125,IF(du&lt;n,"",SUMIFS('Lớp 5 - Phân công'!$AI$14:$AI$262,'Lớp 5 - Phân công'!$J$14:$J$262,$I24,'Lớp 5 - Phân công'!$AB$14:$AB$262,"&lt;&gt;Hủy")))))</f>
        <v>40</v>
      </c>
      <c r="AI24" s="468" t="str">
        <f>IF(I24="","",IF(OR(AA24="Hoàn thành",AA24="Hủy"),"",IF(COUNTIFS('Lớp 5 - Phân công'!$J$14:$J$262,I24,'Lớp 5 - Phân công'!$AB$14:$AB$262,"&lt;&gt;Hủy")&gt;0,"",IF(AR24="Ngày",AS24,IF(AR24="Tuần",AS24/5,"")))))</f>
        <v/>
      </c>
      <c r="AJ24" s="477" t="str">
        <f>IF(AL24="Chưa xếp lịch","Chưa xếp lịch",IF(AL24="Định kỳ",IF(AM24="","Thiếu chu kỳ","Theo chu kỳ"),IF(AL24="Khi phát sinh",IF(COUNTIFS('Lớp 5 - Phân công'!$J$14:$J$262,$I24,'Lớp 5 - Phân công'!$AB$14:$AB$262,"&lt;&gt;Hủy")=0,"Khi phát sinh – chờ việc con","Khi phát sinh – theo ngày con"),IF(I24="","",LET(n,COUNTIFS('Lớp 5 - Phân công'!$J$14:$J$262,$I24,'Lớp 5 - Phân công'!$AB$14:$AB$262,"&lt;&gt;Hủy"),cs,IFERROR(MINIFS('Lớp 5 - Phân công'!$AD$14:$AD$262,'Lớp 5 - Phân công'!$J$14:$J$262,$I24,'Lớp 5 - Phân công'!$AB$14:$AB$262,"&lt;&gt;Hủy",'Lớp 5 - Phân công'!$AD$14:$AD$262,"&gt;0"),0),ce,IFERROR(MAXIFS('Lớp 5 - Phân công'!$AE$14:$AE$262,'Lớp 5 - Phân công'!$J$14:$J$262,$I24,'Lớp 5 - Phân công'!$AB$14:$AB$262,"&lt;&gt;Hủy",'Lớp 5 - Phân công'!$AE$14:$AE$262,"&gt;0"),0),ps,'Trung tâm nhập liệu'!R125,pe,'Trung tâm nhập liệu'!Q125,IF(OR(AC24="",AD24=""),"Thiếu ngày L4",IF(n=0,"Chưa có L5",IF(OR(cs=0,ce=0),"Thiếu ngày L5",IF(OR(ps="",pe=""),"Thiếu ngày kế hoạch gốc L4",IF(OR(cs&lt;ps,ce&gt;pe),"Cảnh báo: Con vượt khung kế hoạch gốc","L5 đúng khung kế hoạch gốc"))))))))))</f>
        <v>Chưa có L5</v>
      </c>
      <c r="AK24" s="465" t="str">
        <f>IF(OR(AU24="Thiếu tham số phân bổ",AU24="Phân bổ phải &gt; 0"),AU24,SWITCH(AL24,"Chưa xếp lịch","Chưa tính tải","Định kỳ","Theo chu kỳ","Khi phát sinh","Khi phát sinh",IF(I24="","",IF(OR(AA24="Hoàn thành",AA24="Hủy"),AA24,IF(COUNTIFS('Lớp 5 - Phân công'!$J$14:$J$262,I24,'Lớp 5 - Phân công'!$AB$14:$AB$262,"&lt;&gt;Hủy")&gt;0,"Theo dõi tải tại Lớp 5",IF(AH24="","Chưa nhập khối lượng",IF(Z24="","Thiếu người thực hiện",IF(OR(AC24="",AD24=""),"Chưa nhập đủ thời gian",IF(AG24&lt;0,"Quá hạn – còn "&amp;TEXT(MAX(0,AH24*(1-AF24)),"0.0")&amp;" giờ",LET(bd,MAX(TODAY(),AC24),kt,AD24,nguoi,Z24,tai,SUMIFS('Lớp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4" s="467" t="str">
        <f>'Trung tâm nhập liệu'!O125</f>
        <v>Có thời hạn</v>
      </c>
      <c r="AM24" s="469" t="str">
        <f>'Trung tâm nhập liệu'!P125</f>
        <v/>
      </c>
      <c r="AN24" s="470" t="str">
        <f>'Trung tâm nhập liệu'!S125</f>
        <v/>
      </c>
      <c r="AO24" s="470" t="str">
        <f>'Trung tâm nhập liệu'!X125</f>
        <v/>
      </c>
      <c r="AP24" s="471" t="str">
        <f t="shared" si="18"/>
        <v/>
      </c>
      <c r="AQ24" s="469" t="str">
        <f t="shared" si="19"/>
        <v/>
      </c>
      <c r="AR24" s="475" t="str">
        <f>'Trung tâm nhập liệu'!V125</f>
        <v/>
      </c>
      <c r="AS24" s="476" t="str">
        <f>'Trung tâm nhập liệu'!W125</f>
        <v/>
      </c>
      <c r="AT24" s="478" t="str">
        <f>IF(AL24&lt;&gt;"Có thời hạn","",IF(OR(I24="",AH24="",AA24="Hoàn thành",AA24="Hủy",COUNTIFS('Lớp 5 - Phân công'!$J$14:$J$262,I24,'Lớp 5 - Phân công'!$AB$14:$AB$262,"&lt;&gt;Hủy")&gt;0),"",LET(canNgay,MAX(0,AH24*(1-AF24))/MAX(1,AG24),IF(AR24="Ngày",canNgay,IF(AR24="Tuần",canNgay*5,"")))))</f>
        <v/>
      </c>
      <c r="AU24" s="465" t="str">
        <f>IF(I24="","",IF(COUNTIFS('Lớp 5 - Phân công'!$J$14:$J$262,I24,'Lớp 5 - Phân công'!$AB$14:$AB$262,"&lt;&gt;Hủy")&gt;0,"Theo dõi phân bổ tại Lớp 5",IF(OR(AA24="Hoàn thành",AA24="Hủy"),AA24,IF(AH24="","Thiếu tổng giờ",IF(OR(AR24="",AS24=""),"Thiếu tham số phân bổ",IF(AS24&lt;=0,"Phân bổ phải &gt; 0",IF(AL24&lt;&gt;"Có thời hạn","Đã có phân bổ",IF(AT24="","Chưa đủ dữ liệu hạn",IF(AS24&gt;=AT24,"Đủ phân bổ theo "&amp;LOWER(AR24),"Thiếu "&amp;TEXT(AT24-AS24,"0.0")&amp;" giờ/"&amp;LOWER(AR24))))))))))</f>
        <v>Thiếu tham số phân bổ</v>
      </c>
      <c r="AV24" s="465" t="str">
        <f t="shared" si="20"/>
        <v>OK</v>
      </c>
      <c r="AW24" s="479" t="str">
        <f>'Trung tâm nhập liệu'!Y125</f>
        <v/>
      </c>
    </row>
    <row r="25" ht="15.75" customHeight="1">
      <c r="A25" s="424">
        <f t="shared" si="11"/>
        <v>12</v>
      </c>
      <c r="B25" s="425" t="str">
        <f>'Trung tâm nhập liệu'!F126</f>
        <v>Quy hoạch thông tin SP &amp; truy xuất thông tin</v>
      </c>
      <c r="C25" s="427" t="str">
        <f>'Trung tâm nhập liệu'!M126</f>
        <v>P2</v>
      </c>
      <c r="D25" s="499">
        <f t="shared" ref="D25:E25" si="48">AF25</f>
        <v>0</v>
      </c>
      <c r="E25" s="501">
        <f t="shared" si="48"/>
        <v>68</v>
      </c>
      <c r="F25" s="431">
        <f t="shared" ref="F25:G25" si="49">S25</f>
        <v>46326</v>
      </c>
      <c r="G25" s="431">
        <f t="shared" si="49"/>
        <v>46235</v>
      </c>
      <c r="H25" s="432" t="str">
        <f>IF(B25="","",IF(COUNTIF('Lớp 5 - Phân công'!$J$14:$J$262,I25)&gt;0,"Có","Không"))</f>
        <v>Không</v>
      </c>
      <c r="I25" s="434" t="str">
        <f>'Trung tâm nhập liệu'!B126</f>
        <v>HHL4RD12</v>
      </c>
      <c r="J25" s="432" t="str">
        <f>'Trung tâm nhập liệu'!D126</f>
        <v>HHL3RD12</v>
      </c>
      <c r="K25" s="436">
        <f t="array" ref="K25">IFERROR(INDEX('Lớp 3 - Công việc chính'!$J$14:$J$73,MATCH(J25,'Lớp 3 - Công việc chính'!$I$14:$I$73,0)),"")</f>
        <v>2026</v>
      </c>
      <c r="L25" s="438" t="str">
        <f t="array" ref="L25">IFERROR(INDEX('Lớp 3 - Công việc chính'!$K$14:$K$73,MATCH(J25,'Lớp 3 - Công việc chính'!$I$14:$I$73,0)),"")</f>
        <v>Cấp phòng ban</v>
      </c>
      <c r="M25" s="439" t="str">
        <f t="array" ref="M25">IFERROR(INDEX('Lớp 3 - Công việc chính'!$L$14:$L$73,MATCH(J25,'Lớp 3 - Công việc chính'!$I$14:$I$73,0)),"")</f>
        <v>Hệ thống/Vận hành</v>
      </c>
      <c r="N25" s="439" t="str">
        <f t="array" ref="N25">IFERROR(INDEX('Lớp 3 - Công việc chính'!$M$14:$M$73,MATCH(J25,'Lớp 3 - Công việc chính'!$I$14:$I$73,0)),"")</f>
        <v>Xây dựng quy trình và hệ thống quản trị sản phẩm theo phân loại</v>
      </c>
      <c r="O25" s="440" t="str">
        <f t="shared" ref="O25:R25" si="50">B25</f>
        <v>Quy hoạch thông tin SP &amp; truy xuất thông tin</v>
      </c>
      <c r="P25" s="441" t="str">
        <f t="shared" si="50"/>
        <v>P2</v>
      </c>
      <c r="Q25" s="442">
        <f t="shared" si="50"/>
        <v>0</v>
      </c>
      <c r="R25" s="443">
        <f t="shared" si="50"/>
        <v>68</v>
      </c>
      <c r="S25" s="445">
        <f>IF($I25="","",LET(n,COUNTIFS('Lớp 5 - Phân công'!$J$14:$J$262,$I25,'Lớp 5 - Phân công'!$AB$14:$AB$262,"&lt;&gt;Hủy"),child,IFERROR(MAXIFS('Lớp 5 - Phân công'!$AE$14:$AE$262,'Lớp 5 - Phân công'!$J$14:$J$262,$I25,'Lớp 5 - Phân công'!$AB$14:$AB$262,"&lt;&gt;Hủy",'Lớp 5 - Phân công'!$AE$14:$AE$262,"&gt;0"),0),plan,'Trung tâm nhập liệu'!Q126,emergent,LOWER(TRIM('Trung tâm nhập liệu'!O126))="khi phát sinh",IF(n=0,IF(emergent,"",plan),IF(child=0,IF(emergent,"",plan),IF(OR(emergent,plan=""),child,MAX(plan,child))))))</f>
        <v>46326</v>
      </c>
      <c r="T25" s="447">
        <f>IF($I25="","",LET(n,COUNTIFS('Lớp 5 - Phân công'!$J$14:$J$262,$I25,'Lớp 5 - Phân công'!$AB$14:$AB$262,"&lt;&gt;Hủy"),child,IFERROR(MINIFS('Lớp 5 - Phân công'!$AD$14:$AD$262,'Lớp 5 - Phân công'!$J$14:$J$262,$I25,'Lớp 5 - Phân công'!$AB$14:$AB$262,"&lt;&gt;Hủy",'Lớp 5 - Phân công'!$AD$14:$AD$262,"&gt;0"),0),plan,'Trung tâm nhập liệu'!R126,emergent,LOWER(TRIM('Trung tâm nhập liệu'!O126))="khi phát sinh",IF(n=0,IF(emergent,"",plan),IF(child=0,IF(emergent,"",plan),IF(OR(emergent,plan=""),child,MIN(plan,child))))))</f>
        <v>46235</v>
      </c>
      <c r="U25" s="432" t="str">
        <f t="shared" si="15"/>
        <v>Không</v>
      </c>
      <c r="V25" s="432" t="str">
        <f>'Trung tâm nhập liệu'!G126</f>
        <v>Hệ thống thông tin sản phẩm và cơ chế truy xuất được chuẩn hóa.</v>
      </c>
      <c r="W25" s="432" t="str">
        <f>'Trung tâm nhập liệu'!H126</f>
        <v/>
      </c>
      <c r="X25" s="450" t="str">
        <f t="array" ref="X25">IFERROR(INDEX('Lớp 3 - Công việc chính'!$W$14:$W$73,MATCH(J25,'Lớp 3 - Công việc chính'!$I$14:$I$73,0)),"")</f>
        <v>R&amp;D</v>
      </c>
      <c r="Y25" s="432" t="str">
        <f>'Trung tâm nhập liệu'!J126</f>
        <v>GĐ BOC</v>
      </c>
      <c r="Z25" s="432" t="str">
        <f>'Trung tâm nhập liệu'!K126</f>
        <v>Ms Trang</v>
      </c>
      <c r="AA25" s="425" t="str">
        <f>'Trung tâm nhập liệu'!L126</f>
        <v>Đang thực hiện</v>
      </c>
      <c r="AB25" s="441" t="str">
        <f>'Trung tâm nhập liệu'!M126</f>
        <v>P2</v>
      </c>
      <c r="AC25" s="447">
        <f t="shared" si="16"/>
        <v>46235</v>
      </c>
      <c r="AD25" s="445">
        <f t="shared" si="17"/>
        <v>46326</v>
      </c>
      <c r="AE25" s="457">
        <f>IF(AL25&lt;&gt;"Có thời hạn","",IF(OR(AC25="",AD25=""),"",IF(AD25&lt;AC25,"",_xlfn.NETWORKDAYS.INTL(AC25,AD25,11,'Ngày nghỉ lễ'!$A$5:$A$80))))</f>
        <v>77</v>
      </c>
      <c r="AF25" s="458">
        <f>IF(I25="","",IF(L25="Công việc khác","",IF(OR(AA25="Chưa lên lịch",AA25="Đã lên lịch",AA25="Hủy"),"",IF(COUNTIFS('Lớp 5 - Phân công'!$J$14:$J$262,I25,'Lớp 5 - Phân công'!$AB$14:$AB$262,"&lt;&gt;",'Lớp 5 - Phân công'!$AB$14:$AB$262,"&lt;&gt;Hủy",'Lớp 5 - Phân công'!$AB$14:$AB$262,"&lt;&gt;Chưa lên lịch",'Lớp 5 - Phân công'!$AB$14:$AB$262,"&lt;&gt;Đã lên lịch")&gt;0,SUMIFS('Lớp 5 - Phân công'!$AG$14:$AG$262,'Lớp 5 - Phân công'!$J$14:$J$262,I25,'Lớp 5 - Phân công'!$AB$14:$AB$262,"&lt;&gt;",'Lớp 5 - Phân công'!$AB$14:$AB$262,"&lt;&gt;Hủy",'Lớp 5 - Phân công'!$AB$14:$AB$262,"&lt;&gt;Chưa lên lịch",'Lớp 5 - Phân công'!$AB$14:$AB$262,"&lt;&gt;Đã lên lịch")/COUNTIFS('Lớp 5 - Phân công'!$J$14:$J$262,I25,'Lớp 5 - Phân công'!$AB$14:$AB$262,"&lt;&gt;",'Lớp 5 - Phân công'!$AB$14:$AB$262,"&lt;&gt;Hủy",'Lớp 5 - Phân công'!$AB$14:$AB$262,"&lt;&gt;Chưa lên lịch",'Lớp 5 - Phân công'!$AB$14:$AB$262,"&lt;&gt;Đã lên lịch"),IF(AA25="Hoàn thành",1,0)))))</f>
        <v>0</v>
      </c>
      <c r="AG25" s="461">
        <f>IF(AL25&lt;&gt;"Có thời hạn","",IF(OR(I25="",AC25="",AD25=""),"",IF(OR(AA25="Hoàn thành",AA25="Hủy"),0,IF(AD25&lt;TODAY(),-_xlfn.NETWORKDAYS.INTL(AD25,TODAY()-1,11,'Ngày nghỉ lễ'!$A$5:$A$80),MAX(0,_xlfn.NETWORKDAYS.INTL(MAX(TODAY()+1,AC25),AD25,11,'Ngày nghỉ lễ'!$A$5:$A$80))))))</f>
        <v>68</v>
      </c>
      <c r="AH25" s="466">
        <f>IF($I25="","",LET(n,COUNTIFS('Lớp 5 - Phân công'!$J$14:$J$262,$I25,'Lớp 5 - Phân công'!$AB$14:$AB$262,"&lt;&gt;Hủy"),du,COUNTIFS('Lớp 5 - Phân công'!$J$14:$J$262,$I25,'Lớp 5 - Phân công'!$AB$14:$AB$262,"&lt;&gt;Hủy",'Lớp 5 - Phân công'!$AI$14:$AI$262,"&lt;&gt;"),IF(n=0,'Trung tâm nhập liệu'!T126,IF(du&lt;n,"",SUMIFS('Lớp 5 - Phân công'!$AI$14:$AI$262,'Lớp 5 - Phân công'!$J$14:$J$262,$I25,'Lớp 5 - Phân công'!$AB$14:$AB$262,"&lt;&gt;Hủy")))))</f>
        <v>40</v>
      </c>
      <c r="AI25" s="468" t="str">
        <f>IF(I25="","",IF(OR(AA25="Hoàn thành",AA25="Hủy"),"",IF(COUNTIFS('Lớp 5 - Phân công'!$J$14:$J$262,I25,'Lớp 5 - Phân công'!$AB$14:$AB$262,"&lt;&gt;Hủy")&gt;0,"",IF(AR25="Ngày",AS25,IF(AR25="Tuần",AS25/5,"")))))</f>
        <v/>
      </c>
      <c r="AJ25" s="477" t="str">
        <f>IF(AL25="Chưa xếp lịch","Chưa xếp lịch",IF(AL25="Định kỳ",IF(AM25="","Thiếu chu kỳ","Theo chu kỳ"),IF(AL25="Khi phát sinh",IF(COUNTIFS('Lớp 5 - Phân công'!$J$14:$J$262,$I25,'Lớp 5 - Phân công'!$AB$14:$AB$262,"&lt;&gt;Hủy")=0,"Khi phát sinh – chờ việc con","Khi phát sinh – theo ngày con"),IF(I25="","",LET(n,COUNTIFS('Lớp 5 - Phân công'!$J$14:$J$262,$I25,'Lớp 5 - Phân công'!$AB$14:$AB$262,"&lt;&gt;Hủy"),cs,IFERROR(MINIFS('Lớp 5 - Phân công'!$AD$14:$AD$262,'Lớp 5 - Phân công'!$J$14:$J$262,$I25,'Lớp 5 - Phân công'!$AB$14:$AB$262,"&lt;&gt;Hủy",'Lớp 5 - Phân công'!$AD$14:$AD$262,"&gt;0"),0),ce,IFERROR(MAXIFS('Lớp 5 - Phân công'!$AE$14:$AE$262,'Lớp 5 - Phân công'!$J$14:$J$262,$I25,'Lớp 5 - Phân công'!$AB$14:$AB$262,"&lt;&gt;Hủy",'Lớp 5 - Phân công'!$AE$14:$AE$262,"&gt;0"),0),ps,'Trung tâm nhập liệu'!R126,pe,'Trung tâm nhập liệu'!Q126,IF(OR(AC25="",AD25=""),"Thiếu ngày L4",IF(n=0,"Chưa có L5",IF(OR(cs=0,ce=0),"Thiếu ngày L5",IF(OR(ps="",pe=""),"Thiếu ngày kế hoạch gốc L4",IF(OR(cs&lt;ps,ce&gt;pe),"Cảnh báo: Con vượt khung kế hoạch gốc","L5 đúng khung kế hoạch gốc"))))))))))</f>
        <v>Chưa có L5</v>
      </c>
      <c r="AK25" s="465" t="str">
        <f>IF(OR(AU25="Thiếu tham số phân bổ",AU25="Phân bổ phải &gt; 0"),AU25,SWITCH(AL25,"Chưa xếp lịch","Chưa tính tải","Định kỳ","Theo chu kỳ","Khi phát sinh","Khi phát sinh",IF(I25="","",IF(OR(AA25="Hoàn thành",AA25="Hủy"),AA25,IF(COUNTIFS('Lớp 5 - Phân công'!$J$14:$J$262,I25,'Lớp 5 - Phân công'!$AB$14:$AB$262,"&lt;&gt;Hủy")&gt;0,"Theo dõi tải tại Lớp 5",IF(AH25="","Chưa nhập khối lượng",IF(Z25="","Thiếu người thực hiện",IF(OR(AC25="",AD25=""),"Chưa nhập đủ thời gian",IF(AG25&lt;0,"Quá hạn – còn "&amp;TEXT(MAX(0,AH25*(1-AF25)),"0.0")&amp;" giờ",LET(bd,MAX(TODAY(),AC25),kt,AD25,nguoi,Z25,tai,SUMIFS('Lớp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5" s="467" t="str">
        <f>'Trung tâm nhập liệu'!O126</f>
        <v>Có thời hạn</v>
      </c>
      <c r="AM25" s="469" t="str">
        <f>'Trung tâm nhập liệu'!P126</f>
        <v/>
      </c>
      <c r="AN25" s="470" t="str">
        <f>'Trung tâm nhập liệu'!S126</f>
        <v/>
      </c>
      <c r="AO25" s="470" t="str">
        <f>'Trung tâm nhập liệu'!X126</f>
        <v/>
      </c>
      <c r="AP25" s="471" t="str">
        <f t="shared" si="18"/>
        <v/>
      </c>
      <c r="AQ25" s="469" t="str">
        <f t="shared" si="19"/>
        <v/>
      </c>
      <c r="AR25" s="475" t="str">
        <f>'Trung tâm nhập liệu'!V126</f>
        <v/>
      </c>
      <c r="AS25" s="476" t="str">
        <f>'Trung tâm nhập liệu'!W126</f>
        <v/>
      </c>
      <c r="AT25" s="478" t="str">
        <f>IF(AL25&lt;&gt;"Có thời hạn","",IF(OR(I25="",AH25="",AA25="Hoàn thành",AA25="Hủy",COUNTIFS('Lớp 5 - Phân công'!$J$14:$J$262,I25,'Lớp 5 - Phân công'!$AB$14:$AB$262,"&lt;&gt;Hủy")&gt;0),"",LET(canNgay,MAX(0,AH25*(1-AF25))/MAX(1,AG25),IF(AR25="Ngày",canNgay,IF(AR25="Tuần",canNgay*5,"")))))</f>
        <v/>
      </c>
      <c r="AU25" s="465" t="str">
        <f>IF(I25="","",IF(COUNTIFS('Lớp 5 - Phân công'!$J$14:$J$262,I25,'Lớp 5 - Phân công'!$AB$14:$AB$262,"&lt;&gt;Hủy")&gt;0,"Theo dõi phân bổ tại Lớp 5",IF(OR(AA25="Hoàn thành",AA25="Hủy"),AA25,IF(AH25="","Thiếu tổng giờ",IF(OR(AR25="",AS25=""),"Thiếu tham số phân bổ",IF(AS25&lt;=0,"Phân bổ phải &gt; 0",IF(AL25&lt;&gt;"Có thời hạn","Đã có phân bổ",IF(AT25="","Chưa đủ dữ liệu hạn",IF(AS25&gt;=AT25,"Đủ phân bổ theo "&amp;LOWER(AR25),"Thiếu "&amp;TEXT(AT25-AS25,"0.0")&amp;" giờ/"&amp;LOWER(AR25))))))))))</f>
        <v>Thiếu tham số phân bổ</v>
      </c>
      <c r="AV25" s="465" t="str">
        <f t="shared" si="20"/>
        <v>OK</v>
      </c>
      <c r="AW25" s="479" t="str">
        <f>'Trung tâm nhập liệu'!Y126</f>
        <v/>
      </c>
    </row>
    <row r="26" ht="15.75" customHeight="1">
      <c r="A26" s="424">
        <f t="shared" si="11"/>
        <v>13</v>
      </c>
      <c r="B26" s="425" t="str">
        <f>'Trung tâm nhập liệu'!F127</f>
        <v>XD Tool quét xu hướng &amp; thị trường</v>
      </c>
      <c r="C26" s="427" t="str">
        <f>'Trung tâm nhập liệu'!M127</f>
        <v>P2</v>
      </c>
      <c r="D26" s="499">
        <f t="shared" ref="D26:E26" si="51">AF26</f>
        <v>0</v>
      </c>
      <c r="E26" s="501">
        <f t="shared" si="51"/>
        <v>28</v>
      </c>
      <c r="F26" s="431">
        <f t="shared" ref="F26:G26" si="52">S26</f>
        <v>46280</v>
      </c>
      <c r="G26" s="431">
        <f t="shared" si="52"/>
        <v>46235</v>
      </c>
      <c r="H26" s="432" t="str">
        <f>IF(B26="","",IF(COUNTIF('Lớp 5 - Phân công'!$J$14:$J$262,I26)&gt;0,"Có","Không"))</f>
        <v>Không</v>
      </c>
      <c r="I26" s="434" t="str">
        <f>'Trung tâm nhập liệu'!B127</f>
        <v>HHL4RD13</v>
      </c>
      <c r="J26" s="432" t="str">
        <f>'Trung tâm nhập liệu'!D127</f>
        <v>HHL3RD09</v>
      </c>
      <c r="K26" s="436">
        <f t="array" ref="K26">IFERROR(INDEX('Lớp 3 - Công việc chính'!$J$14:$J$73,MATCH(J26,'Lớp 3 - Công việc chính'!$I$14:$I$73,0)),"")</f>
        <v>2026</v>
      </c>
      <c r="L26" s="438" t="str">
        <f t="array" ref="L26">IFERROR(INDEX('Lớp 3 - Công việc chính'!$K$14:$K$73,MATCH(J26,'Lớp 3 - Công việc chính'!$I$14:$I$73,0)),"")</f>
        <v>Cấp phòng ban</v>
      </c>
      <c r="M26" s="439" t="str">
        <f t="array" ref="M26">IFERROR(INDEX('Lớp 3 - Công việc chính'!$L$14:$L$73,MATCH(J26,'Lớp 3 - Công việc chính'!$I$14:$I$73,0)),"")</f>
        <v>Hệ thống/Vận hành</v>
      </c>
      <c r="N26" s="439" t="str">
        <f t="array" ref="N26">IFERROR(INDEX('Lớp 3 - Công việc chính'!$M$14:$M$73,MATCH(J26,'Lớp 3 - Công việc chính'!$I$14:$I$73,0)),"")</f>
        <v>XD phương án Market Research &amp; Cơ chế thu thập thông tin TT</v>
      </c>
      <c r="O26" s="440" t="str">
        <f t="shared" ref="O26:R26" si="53">B26</f>
        <v>XD Tool quét xu hướng &amp; thị trường</v>
      </c>
      <c r="P26" s="441" t="str">
        <f t="shared" si="53"/>
        <v>P2</v>
      </c>
      <c r="Q26" s="442">
        <f t="shared" si="53"/>
        <v>0</v>
      </c>
      <c r="R26" s="443">
        <f t="shared" si="53"/>
        <v>28</v>
      </c>
      <c r="S26" s="445">
        <f>IF($I26="","",LET(n,COUNTIFS('Lớp 5 - Phân công'!$J$14:$J$262,$I26,'Lớp 5 - Phân công'!$AB$14:$AB$262,"&lt;&gt;Hủy"),child,IFERROR(MAXIFS('Lớp 5 - Phân công'!$AE$14:$AE$262,'Lớp 5 - Phân công'!$J$14:$J$262,$I26,'Lớp 5 - Phân công'!$AB$14:$AB$262,"&lt;&gt;Hủy",'Lớp 5 - Phân công'!$AE$14:$AE$262,"&gt;0"),0),plan,'Trung tâm nhập liệu'!Q127,emergent,LOWER(TRIM('Trung tâm nhập liệu'!O127))="khi phát sinh",IF(n=0,IF(emergent,"",plan),IF(child=0,IF(emergent,"",plan),IF(OR(emergent,plan=""),child,MAX(plan,child))))))</f>
        <v>46280</v>
      </c>
      <c r="T26" s="447">
        <f>IF($I26="","",LET(n,COUNTIFS('Lớp 5 - Phân công'!$J$14:$J$262,$I26,'Lớp 5 - Phân công'!$AB$14:$AB$262,"&lt;&gt;Hủy"),child,IFERROR(MINIFS('Lớp 5 - Phân công'!$AD$14:$AD$262,'Lớp 5 - Phân công'!$J$14:$J$262,$I26,'Lớp 5 - Phân công'!$AB$14:$AB$262,"&lt;&gt;Hủy",'Lớp 5 - Phân công'!$AD$14:$AD$262,"&gt;0"),0),plan,'Trung tâm nhập liệu'!R127,emergent,LOWER(TRIM('Trung tâm nhập liệu'!O127))="khi phát sinh",IF(n=0,IF(emergent,"",plan),IF(child=0,IF(emergent,"",plan),IF(OR(emergent,plan=""),child,MIN(plan,child))))))</f>
        <v>46235</v>
      </c>
      <c r="U26" s="432" t="str">
        <f t="shared" si="15"/>
        <v>Không</v>
      </c>
      <c r="V26" s="432" t="str">
        <f>'Trung tâm nhập liệu'!G127</f>
        <v>Tool quét xu hướng và thị trường vận hành, có dữ liệu đầu ra kiểm chứng.</v>
      </c>
      <c r="W26" s="432" t="str">
        <f>'Trung tâm nhập liệu'!H127</f>
        <v/>
      </c>
      <c r="X26" s="450" t="str">
        <f t="array" ref="X26">IFERROR(INDEX('Lớp 3 - Công việc chính'!$W$14:$W$73,MATCH(J26,'Lớp 3 - Công việc chính'!$I$14:$I$73,0)),"")</f>
        <v>R&amp;D</v>
      </c>
      <c r="Y26" s="432" t="str">
        <f>'Trung tâm nhập liệu'!J127</f>
        <v>GĐ BOC</v>
      </c>
      <c r="Z26" s="432" t="str">
        <f>'Trung tâm nhập liệu'!K127</f>
        <v>Ms Trang</v>
      </c>
      <c r="AA26" s="425" t="str">
        <f>'Trung tâm nhập liệu'!L127</f>
        <v>Đang thực hiện</v>
      </c>
      <c r="AB26" s="441" t="str">
        <f>'Trung tâm nhập liệu'!M127</f>
        <v>P2</v>
      </c>
      <c r="AC26" s="447">
        <f t="shared" si="16"/>
        <v>46235</v>
      </c>
      <c r="AD26" s="445">
        <f t="shared" si="17"/>
        <v>46280</v>
      </c>
      <c r="AE26" s="457">
        <f>IF(AL26&lt;&gt;"Có thời hạn","",IF(OR(AC26="",AD26=""),"",IF(AD26&lt;AC26,"",_xlfn.NETWORKDAYS.INTL(AC26,AD26,11,'Ngày nghỉ lễ'!$A$5:$A$80))))</f>
        <v>37</v>
      </c>
      <c r="AF26" s="458">
        <f>IF(I26="","",IF(L26="Công việc khác","",IF(OR(AA26="Chưa lên lịch",AA26="Đã lên lịch",AA26="Hủy"),"",IF(COUNTIFS('Lớp 5 - Phân công'!$J$14:$J$262,I26,'Lớp 5 - Phân công'!$AB$14:$AB$262,"&lt;&gt;",'Lớp 5 - Phân công'!$AB$14:$AB$262,"&lt;&gt;Hủy",'Lớp 5 - Phân công'!$AB$14:$AB$262,"&lt;&gt;Chưa lên lịch",'Lớp 5 - Phân công'!$AB$14:$AB$262,"&lt;&gt;Đã lên lịch")&gt;0,SUMIFS('Lớp 5 - Phân công'!$AG$14:$AG$262,'Lớp 5 - Phân công'!$J$14:$J$262,I26,'Lớp 5 - Phân công'!$AB$14:$AB$262,"&lt;&gt;",'Lớp 5 - Phân công'!$AB$14:$AB$262,"&lt;&gt;Hủy",'Lớp 5 - Phân công'!$AB$14:$AB$262,"&lt;&gt;Chưa lên lịch",'Lớp 5 - Phân công'!$AB$14:$AB$262,"&lt;&gt;Đã lên lịch")/COUNTIFS('Lớp 5 - Phân công'!$J$14:$J$262,I26,'Lớp 5 - Phân công'!$AB$14:$AB$262,"&lt;&gt;",'Lớp 5 - Phân công'!$AB$14:$AB$262,"&lt;&gt;Hủy",'Lớp 5 - Phân công'!$AB$14:$AB$262,"&lt;&gt;Chưa lên lịch",'Lớp 5 - Phân công'!$AB$14:$AB$262,"&lt;&gt;Đã lên lịch"),IF(AA26="Hoàn thành",1,0)))))</f>
        <v>0</v>
      </c>
      <c r="AG26" s="461">
        <f>IF(AL26&lt;&gt;"Có thời hạn","",IF(OR(I26="",AC26="",AD26=""),"",IF(OR(AA26="Hoàn thành",AA26="Hủy"),0,IF(AD26&lt;TODAY(),-_xlfn.NETWORKDAYS.INTL(AD26,TODAY()-1,11,'Ngày nghỉ lễ'!$A$5:$A$80),MAX(0,_xlfn.NETWORKDAYS.INTL(MAX(TODAY()+1,AC26),AD26,11,'Ngày nghỉ lễ'!$A$5:$A$80))))))</f>
        <v>28</v>
      </c>
      <c r="AH26" s="466">
        <f>IF($I26="","",LET(n,COUNTIFS('Lớp 5 - Phân công'!$J$14:$J$262,$I26,'Lớp 5 - Phân công'!$AB$14:$AB$262,"&lt;&gt;Hủy"),du,COUNTIFS('Lớp 5 - Phân công'!$J$14:$J$262,$I26,'Lớp 5 - Phân công'!$AB$14:$AB$262,"&lt;&gt;Hủy",'Lớp 5 - Phân công'!$AI$14:$AI$262,"&lt;&gt;"),IF(n=0,'Trung tâm nhập liệu'!T127,IF(du&lt;n,"",SUMIFS('Lớp 5 - Phân công'!$AI$14:$AI$262,'Lớp 5 - Phân công'!$J$14:$J$262,$I26,'Lớp 5 - Phân công'!$AB$14:$AB$262,"&lt;&gt;Hủy")))))</f>
        <v>160</v>
      </c>
      <c r="AI26" s="468" t="str">
        <f>IF(I26="","",IF(OR(AA26="Hoàn thành",AA26="Hủy"),"",IF(COUNTIFS('Lớp 5 - Phân công'!$J$14:$J$262,I26,'Lớp 5 - Phân công'!$AB$14:$AB$262,"&lt;&gt;Hủy")&gt;0,"",IF(AR26="Ngày",AS26,IF(AR26="Tuần",AS26/5,"")))))</f>
        <v/>
      </c>
      <c r="AJ26" s="477" t="str">
        <f>IF(AL26="Chưa xếp lịch","Chưa xếp lịch",IF(AL26="Định kỳ",IF(AM26="","Thiếu chu kỳ","Theo chu kỳ"),IF(AL26="Khi phát sinh",IF(COUNTIFS('Lớp 5 - Phân công'!$J$14:$J$262,$I26,'Lớp 5 - Phân công'!$AB$14:$AB$262,"&lt;&gt;Hủy")=0,"Khi phát sinh – chờ việc con","Khi phát sinh – theo ngày con"),IF(I26="","",LET(n,COUNTIFS('Lớp 5 - Phân công'!$J$14:$J$262,$I26,'Lớp 5 - Phân công'!$AB$14:$AB$262,"&lt;&gt;Hủy"),cs,IFERROR(MINIFS('Lớp 5 - Phân công'!$AD$14:$AD$262,'Lớp 5 - Phân công'!$J$14:$J$262,$I26,'Lớp 5 - Phân công'!$AB$14:$AB$262,"&lt;&gt;Hủy",'Lớp 5 - Phân công'!$AD$14:$AD$262,"&gt;0"),0),ce,IFERROR(MAXIFS('Lớp 5 - Phân công'!$AE$14:$AE$262,'Lớp 5 - Phân công'!$J$14:$J$262,$I26,'Lớp 5 - Phân công'!$AB$14:$AB$262,"&lt;&gt;Hủy",'Lớp 5 - Phân công'!$AE$14:$AE$262,"&gt;0"),0),ps,'Trung tâm nhập liệu'!R127,pe,'Trung tâm nhập liệu'!Q127,IF(OR(AC26="",AD26=""),"Thiếu ngày L4",IF(n=0,"Chưa có L5",IF(OR(cs=0,ce=0),"Thiếu ngày L5",IF(OR(ps="",pe=""),"Thiếu ngày kế hoạch gốc L4",IF(OR(cs&lt;ps,ce&gt;pe),"Cảnh báo: Con vượt khung kế hoạch gốc","L5 đúng khung kế hoạch gốc"))))))))))</f>
        <v>Chưa có L5</v>
      </c>
      <c r="AK26" s="465" t="str">
        <f>IF(OR(AU26="Thiếu tham số phân bổ",AU26="Phân bổ phải &gt; 0"),AU26,SWITCH(AL26,"Chưa xếp lịch","Chưa tính tải","Định kỳ","Theo chu kỳ","Khi phát sinh","Khi phát sinh",IF(I26="","",IF(OR(AA26="Hoàn thành",AA26="Hủy"),AA26,IF(COUNTIFS('Lớp 5 - Phân công'!$J$14:$J$262,I26,'Lớp 5 - Phân công'!$AB$14:$AB$262,"&lt;&gt;Hủy")&gt;0,"Theo dõi tải tại Lớp 5",IF(AH26="","Chưa nhập khối lượng",IF(Z26="","Thiếu người thực hiện",IF(OR(AC26="",AD26=""),"Chưa nhập đủ thời gian",IF(AG26&lt;0,"Quá hạn – còn "&amp;TEXT(MAX(0,AH26*(1-AF26)),"0.0")&amp;" giờ",LET(bd,MAX(TODAY(),AC26),kt,AD26,nguoi,Z26,tai,SUMIFS('Lớp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6" s="467" t="str">
        <f>'Trung tâm nhập liệu'!O127</f>
        <v>Có thời hạn</v>
      </c>
      <c r="AM26" s="469" t="str">
        <f>'Trung tâm nhập liệu'!P127</f>
        <v/>
      </c>
      <c r="AN26" s="470" t="str">
        <f>'Trung tâm nhập liệu'!S127</f>
        <v/>
      </c>
      <c r="AO26" s="470" t="str">
        <f>'Trung tâm nhập liệu'!X127</f>
        <v/>
      </c>
      <c r="AP26" s="471" t="str">
        <f t="shared" si="18"/>
        <v/>
      </c>
      <c r="AQ26" s="469" t="str">
        <f t="shared" si="19"/>
        <v/>
      </c>
      <c r="AR26" s="475" t="str">
        <f>'Trung tâm nhập liệu'!V127</f>
        <v/>
      </c>
      <c r="AS26" s="476" t="str">
        <f>'Trung tâm nhập liệu'!W127</f>
        <v/>
      </c>
      <c r="AT26" s="478" t="str">
        <f>IF(AL26&lt;&gt;"Có thời hạn","",IF(OR(I26="",AH26="",AA26="Hoàn thành",AA26="Hủy",COUNTIFS('Lớp 5 - Phân công'!$J$14:$J$262,I26,'Lớp 5 - Phân công'!$AB$14:$AB$262,"&lt;&gt;Hủy")&gt;0),"",LET(canNgay,MAX(0,AH26*(1-AF26))/MAX(1,AG26),IF(AR26="Ngày",canNgay,IF(AR26="Tuần",canNgay*5,"")))))</f>
        <v/>
      </c>
      <c r="AU26" s="465" t="str">
        <f>IF(I26="","",IF(COUNTIFS('Lớp 5 - Phân công'!$J$14:$J$262,I26,'Lớp 5 - Phân công'!$AB$14:$AB$262,"&lt;&gt;Hủy")&gt;0,"Theo dõi phân bổ tại Lớp 5",IF(OR(AA26="Hoàn thành",AA26="Hủy"),AA26,IF(AH26="","Thiếu tổng giờ",IF(OR(AR26="",AS26=""),"Thiếu tham số phân bổ",IF(AS26&lt;=0,"Phân bổ phải &gt; 0",IF(AL26&lt;&gt;"Có thời hạn","Đã có phân bổ",IF(AT26="","Chưa đủ dữ liệu hạn",IF(AS26&gt;=AT26,"Đủ phân bổ theo "&amp;LOWER(AR26),"Thiếu "&amp;TEXT(AT26-AS26,"0.0")&amp;" giờ/"&amp;LOWER(AR26))))))))))</f>
        <v>Thiếu tham số phân bổ</v>
      </c>
      <c r="AV26" s="465" t="str">
        <f t="shared" si="20"/>
        <v>OK</v>
      </c>
      <c r="AW26" s="479" t="str">
        <f>'Trung tâm nhập liệu'!Y127</f>
        <v/>
      </c>
    </row>
    <row r="27" ht="15.75" customHeight="1">
      <c r="A27" s="424">
        <f t="shared" si="11"/>
        <v>14</v>
      </c>
      <c r="B27" s="425" t="str">
        <f>'Trung tâm nhập liệu'!F128</f>
        <v>XĐ căn cứ &amp; QH nhân quả giữa NC với QT&amp;PTSP hàng năm</v>
      </c>
      <c r="C27" s="427" t="str">
        <f>'Trung tâm nhập liệu'!M128</f>
        <v>P2</v>
      </c>
      <c r="D27" s="528">
        <f t="shared" ref="D27:E27" si="54">AF27</f>
        <v>0</v>
      </c>
      <c r="E27" s="501">
        <f t="shared" si="54"/>
        <v>32</v>
      </c>
      <c r="F27" s="431">
        <f t="shared" ref="F27:G27" si="55">S27</f>
        <v>46285</v>
      </c>
      <c r="G27" s="431">
        <f t="shared" si="55"/>
        <v>46235</v>
      </c>
      <c r="H27" s="432" t="str">
        <f>IF(B27="","",IF(COUNTIF('Lớp 5 - Phân công'!$J$14:$J$262,I27)&gt;0,"Có","Không"))</f>
        <v>Không</v>
      </c>
      <c r="I27" s="434" t="str">
        <f>'Trung tâm nhập liệu'!B128</f>
        <v>HHL4RD14</v>
      </c>
      <c r="J27" s="432" t="str">
        <f>'Trung tâm nhập liệu'!D128</f>
        <v>HHL3RD01</v>
      </c>
      <c r="K27" s="436">
        <f t="array" ref="K27">IFERROR(INDEX('Lớp 3 - Công việc chính'!$J$14:$J$73,MATCH(J27,'Lớp 3 - Công việc chính'!$I$14:$I$73,0)),"")</f>
        <v>2026</v>
      </c>
      <c r="L27" s="438" t="str">
        <f t="array" ref="L27">IFERROR(INDEX('Lớp 3 - Công việc chính'!$K$14:$K$73,MATCH(J27,'Lớp 3 - Công việc chính'!$I$14:$I$73,0)),"")</f>
        <v>Cấp phòng ban</v>
      </c>
      <c r="M27" s="439" t="str">
        <f t="array" ref="M27">IFERROR(INDEX('Lớp 3 - Công việc chính'!$L$14:$L$73,MATCH(J27,'Lớp 3 - Công việc chính'!$I$14:$I$73,0)),"")</f>
        <v>Chiến lược/sống còn</v>
      </c>
      <c r="N27" s="439" t="str">
        <f t="array" ref="N27">IFERROR(INDEX('Lớp 3 - Công việc chính'!$M$14:$M$73,MATCH(J27,'Lớp 3 - Công việc chính'!$I$14:$I$73,0)),"")</f>
        <v>KH sản phẩm 2027-2030</v>
      </c>
      <c r="O27" s="440" t="str">
        <f t="shared" ref="O27:R27" si="56">B27</f>
        <v>XĐ căn cứ &amp; QH nhân quả giữa NC với QT&amp;PTSP hàng năm</v>
      </c>
      <c r="P27" s="441" t="str">
        <f t="shared" si="56"/>
        <v>P2</v>
      </c>
      <c r="Q27" s="442">
        <f t="shared" si="56"/>
        <v>0</v>
      </c>
      <c r="R27" s="443">
        <f t="shared" si="56"/>
        <v>32</v>
      </c>
      <c r="S27" s="445">
        <f>IF($I27="","",LET(n,COUNTIFS('Lớp 5 - Phân công'!$J$14:$J$262,$I27,'Lớp 5 - Phân công'!$AB$14:$AB$262,"&lt;&gt;Hủy"),child,IFERROR(MAXIFS('Lớp 5 - Phân công'!$AE$14:$AE$262,'Lớp 5 - Phân công'!$J$14:$J$262,$I27,'Lớp 5 - Phân công'!$AB$14:$AB$262,"&lt;&gt;Hủy",'Lớp 5 - Phân công'!$AE$14:$AE$262,"&gt;0"),0),plan,'Trung tâm nhập liệu'!Q128,emergent,LOWER(TRIM('Trung tâm nhập liệu'!O128))="khi phát sinh",IF(n=0,IF(emergent,"",plan),IF(child=0,IF(emergent,"",plan),IF(OR(emergent,plan=""),child,MAX(plan,child))))))</f>
        <v>46285</v>
      </c>
      <c r="T27" s="447">
        <f>IF($I27="","",LET(n,COUNTIFS('Lớp 5 - Phân công'!$J$14:$J$262,$I27,'Lớp 5 - Phân công'!$AB$14:$AB$262,"&lt;&gt;Hủy"),child,IFERROR(MINIFS('Lớp 5 - Phân công'!$AD$14:$AD$262,'Lớp 5 - Phân công'!$J$14:$J$262,$I27,'Lớp 5 - Phân công'!$AB$14:$AB$262,"&lt;&gt;Hủy",'Lớp 5 - Phân công'!$AD$14:$AD$262,"&gt;0"),0),plan,'Trung tâm nhập liệu'!R128,emergent,LOWER(TRIM('Trung tâm nhập liệu'!O128))="khi phát sinh",IF(n=0,IF(emergent,"",plan),IF(child=0,IF(emergent,"",plan),IF(OR(emergent,plan=""),child,MIN(plan,child))))))</f>
        <v>46235</v>
      </c>
      <c r="U27" s="432" t="str">
        <f t="shared" si="15"/>
        <v>Không</v>
      </c>
      <c r="V27" s="432" t="str">
        <f>'Trung tâm nhập liệu'!G128</f>
        <v>Báo cáo xác định căn cứ và quan hệ nhân quả phục vụ quản trị, phát triển sản phẩm.</v>
      </c>
      <c r="W27" s="432" t="str">
        <f>'Trung tâm nhập liệu'!H128</f>
        <v/>
      </c>
      <c r="X27" s="450" t="str">
        <f t="array" ref="X27">IFERROR(INDEX('Lớp 3 - Công việc chính'!$W$14:$W$73,MATCH(J27,'Lớp 3 - Công việc chính'!$I$14:$I$73,0)),"")</f>
        <v>R&amp;D</v>
      </c>
      <c r="Y27" s="432" t="str">
        <f>'Trung tâm nhập liệu'!J128</f>
        <v>GĐ BOC</v>
      </c>
      <c r="Z27" s="432" t="str">
        <f>'Trung tâm nhập liệu'!K128</f>
        <v>Ms Trang</v>
      </c>
      <c r="AA27" s="425" t="str">
        <f>'Trung tâm nhập liệu'!L128</f>
        <v>Đang thực hiện</v>
      </c>
      <c r="AB27" s="441" t="str">
        <f>'Trung tâm nhập liệu'!M128</f>
        <v>P2</v>
      </c>
      <c r="AC27" s="447">
        <f t="shared" si="16"/>
        <v>46235</v>
      </c>
      <c r="AD27" s="445">
        <f t="shared" si="17"/>
        <v>46285</v>
      </c>
      <c r="AE27" s="457">
        <f>IF(AL27&lt;&gt;"Có thời hạn","",IF(OR(AC27="",AD27=""),"",IF(AD27&lt;AC27,"",_xlfn.NETWORKDAYS.INTL(AC27,AD27,11,'Ngày nghỉ lễ'!$A$5:$A$80))))</f>
        <v>41</v>
      </c>
      <c r="AF27" s="458">
        <f>IF(I27="","",IF(L27="Công việc khác","",IF(OR(AA27="Chưa lên lịch",AA27="Đã lên lịch",AA27="Hủy"),"",IF(COUNTIFS('Lớp 5 - Phân công'!$J$14:$J$262,I27,'Lớp 5 - Phân công'!$AB$14:$AB$262,"&lt;&gt;",'Lớp 5 - Phân công'!$AB$14:$AB$262,"&lt;&gt;Hủy",'Lớp 5 - Phân công'!$AB$14:$AB$262,"&lt;&gt;Chưa lên lịch",'Lớp 5 - Phân công'!$AB$14:$AB$262,"&lt;&gt;Đã lên lịch")&gt;0,SUMIFS('Lớp 5 - Phân công'!$AG$14:$AG$262,'Lớp 5 - Phân công'!$J$14:$J$262,I27,'Lớp 5 - Phân công'!$AB$14:$AB$262,"&lt;&gt;",'Lớp 5 - Phân công'!$AB$14:$AB$262,"&lt;&gt;Hủy",'Lớp 5 - Phân công'!$AB$14:$AB$262,"&lt;&gt;Chưa lên lịch",'Lớp 5 - Phân công'!$AB$14:$AB$262,"&lt;&gt;Đã lên lịch")/COUNTIFS('Lớp 5 - Phân công'!$J$14:$J$262,I27,'Lớp 5 - Phân công'!$AB$14:$AB$262,"&lt;&gt;",'Lớp 5 - Phân công'!$AB$14:$AB$262,"&lt;&gt;Hủy",'Lớp 5 - Phân công'!$AB$14:$AB$262,"&lt;&gt;Chưa lên lịch",'Lớp 5 - Phân công'!$AB$14:$AB$262,"&lt;&gt;Đã lên lịch"),IF(AA27="Hoàn thành",1,0)))))</f>
        <v>0</v>
      </c>
      <c r="AG27" s="461">
        <f>IF(AL27&lt;&gt;"Có thời hạn","",IF(OR(I27="",AC27="",AD27=""),"",IF(OR(AA27="Hoàn thành",AA27="Hủy"),0,IF(AD27&lt;TODAY(),-_xlfn.NETWORKDAYS.INTL(AD27,TODAY()-1,11,'Ngày nghỉ lễ'!$A$5:$A$80),MAX(0,_xlfn.NETWORKDAYS.INTL(MAX(TODAY()+1,AC27),AD27,11,'Ngày nghỉ lễ'!$A$5:$A$80))))))</f>
        <v>32</v>
      </c>
      <c r="AH27" s="466">
        <f>IF($I27="","",LET(n,COUNTIFS('Lớp 5 - Phân công'!$J$14:$J$262,$I27,'Lớp 5 - Phân công'!$AB$14:$AB$262,"&lt;&gt;Hủy"),du,COUNTIFS('Lớp 5 - Phân công'!$J$14:$J$262,$I27,'Lớp 5 - Phân công'!$AB$14:$AB$262,"&lt;&gt;Hủy",'Lớp 5 - Phân công'!$AI$14:$AI$262,"&lt;&gt;"),IF(n=0,'Trung tâm nhập liệu'!T128,IF(du&lt;n,"",SUMIFS('Lớp 5 - Phân công'!$AI$14:$AI$262,'Lớp 5 - Phân công'!$J$14:$J$262,$I27,'Lớp 5 - Phân công'!$AB$14:$AB$262,"&lt;&gt;Hủy")))))</f>
        <v>40</v>
      </c>
      <c r="AI27" s="468" t="str">
        <f>IF(I27="","",IF(OR(AA27="Hoàn thành",AA27="Hủy"),"",IF(COUNTIFS('Lớp 5 - Phân công'!$J$14:$J$262,I27,'Lớp 5 - Phân công'!$AB$14:$AB$262,"&lt;&gt;Hủy")&gt;0,"",IF(AR27="Ngày",AS27,IF(AR27="Tuần",AS27/5,"")))))</f>
        <v/>
      </c>
      <c r="AJ27" s="477" t="str">
        <f>IF(AL27="Chưa xếp lịch","Chưa xếp lịch",IF(AL27="Định kỳ",IF(AM27="","Thiếu chu kỳ","Theo chu kỳ"),IF(AL27="Khi phát sinh",IF(COUNTIFS('Lớp 5 - Phân công'!$J$14:$J$262,$I27,'Lớp 5 - Phân công'!$AB$14:$AB$262,"&lt;&gt;Hủy")=0,"Khi phát sinh – chờ việc con","Khi phát sinh – theo ngày con"),IF(I27="","",LET(n,COUNTIFS('Lớp 5 - Phân công'!$J$14:$J$262,$I27,'Lớp 5 - Phân công'!$AB$14:$AB$262,"&lt;&gt;Hủy"),cs,IFERROR(MINIFS('Lớp 5 - Phân công'!$AD$14:$AD$262,'Lớp 5 - Phân công'!$J$14:$J$262,$I27,'Lớp 5 - Phân công'!$AB$14:$AB$262,"&lt;&gt;Hủy",'Lớp 5 - Phân công'!$AD$14:$AD$262,"&gt;0"),0),ce,IFERROR(MAXIFS('Lớp 5 - Phân công'!$AE$14:$AE$262,'Lớp 5 - Phân công'!$J$14:$J$262,$I27,'Lớp 5 - Phân công'!$AB$14:$AB$262,"&lt;&gt;Hủy",'Lớp 5 - Phân công'!$AE$14:$AE$262,"&gt;0"),0),ps,'Trung tâm nhập liệu'!R128,pe,'Trung tâm nhập liệu'!Q128,IF(OR(AC27="",AD27=""),"Thiếu ngày L4",IF(n=0,"Chưa có L5",IF(OR(cs=0,ce=0),"Thiếu ngày L5",IF(OR(ps="",pe=""),"Thiếu ngày kế hoạch gốc L4",IF(OR(cs&lt;ps,ce&gt;pe),"Cảnh báo: Con vượt khung kế hoạch gốc","L5 đúng khung kế hoạch gốc"))))))))))</f>
        <v>Chưa có L5</v>
      </c>
      <c r="AK27" s="465" t="str">
        <f>IF(OR(AU27="Thiếu tham số phân bổ",AU27="Phân bổ phải &gt; 0"),AU27,SWITCH(AL27,"Chưa xếp lịch","Chưa tính tải","Định kỳ","Theo chu kỳ","Khi phát sinh","Khi phát sinh",IF(I27="","",IF(OR(AA27="Hoàn thành",AA27="Hủy"),AA27,IF(COUNTIFS('Lớp 5 - Phân công'!$J$14:$J$262,I27,'Lớp 5 - Phân công'!$AB$14:$AB$262,"&lt;&gt;Hủy")&gt;0,"Theo dõi tải tại Lớp 5",IF(AH27="","Chưa nhập khối lượng",IF(Z27="","Thiếu người thực hiện",IF(OR(AC27="",AD27=""),"Chưa nhập đủ thời gian",IF(AG27&lt;0,"Quá hạn – còn "&amp;TEXT(MAX(0,AH27*(1-AF27)),"0.0")&amp;" giờ",LET(bd,MAX(TODAY(),AC27),kt,AD27,nguoi,Z27,tai,SUMIFS('Lớp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7" s="467" t="str">
        <f>'Trung tâm nhập liệu'!O128</f>
        <v>Có thời hạn</v>
      </c>
      <c r="AM27" s="469" t="str">
        <f>'Trung tâm nhập liệu'!P128</f>
        <v/>
      </c>
      <c r="AN27" s="470" t="str">
        <f>'Trung tâm nhập liệu'!S128</f>
        <v/>
      </c>
      <c r="AO27" s="470" t="str">
        <f>'Trung tâm nhập liệu'!X128</f>
        <v/>
      </c>
      <c r="AP27" s="471" t="str">
        <f t="shared" si="18"/>
        <v/>
      </c>
      <c r="AQ27" s="469" t="str">
        <f t="shared" si="19"/>
        <v/>
      </c>
      <c r="AR27" s="475" t="str">
        <f>'Trung tâm nhập liệu'!V128</f>
        <v/>
      </c>
      <c r="AS27" s="476" t="str">
        <f>'Trung tâm nhập liệu'!W128</f>
        <v/>
      </c>
      <c r="AT27" s="478" t="str">
        <f>IF(AL27&lt;&gt;"Có thời hạn","",IF(OR(I27="",AH27="",AA27="Hoàn thành",AA27="Hủy",COUNTIFS('Lớp 5 - Phân công'!$J$14:$J$262,I27,'Lớp 5 - Phân công'!$AB$14:$AB$262,"&lt;&gt;Hủy")&gt;0),"",LET(canNgay,MAX(0,AH27*(1-AF27))/MAX(1,AG27),IF(AR27="Ngày",canNgay,IF(AR27="Tuần",canNgay*5,"")))))</f>
        <v/>
      </c>
      <c r="AU27" s="465" t="str">
        <f>IF(I27="","",IF(COUNTIFS('Lớp 5 - Phân công'!$J$14:$J$262,I27,'Lớp 5 - Phân công'!$AB$14:$AB$262,"&lt;&gt;Hủy")&gt;0,"Theo dõi phân bổ tại Lớp 5",IF(OR(AA27="Hoàn thành",AA27="Hủy"),AA27,IF(AH27="","Thiếu tổng giờ",IF(OR(AR27="",AS27=""),"Thiếu tham số phân bổ",IF(AS27&lt;=0,"Phân bổ phải &gt; 0",IF(AL27&lt;&gt;"Có thời hạn","Đã có phân bổ",IF(AT27="","Chưa đủ dữ liệu hạn",IF(AS27&gt;=AT27,"Đủ phân bổ theo "&amp;LOWER(AR27),"Thiếu "&amp;TEXT(AT27-AS27,"0.0")&amp;" giờ/"&amp;LOWER(AR27))))))))))</f>
        <v>Thiếu tham số phân bổ</v>
      </c>
      <c r="AV27" s="465" t="str">
        <f t="shared" si="20"/>
        <v>OK</v>
      </c>
      <c r="AW27" s="479" t="str">
        <f>'Trung tâm nhập liệu'!Y128</f>
        <v/>
      </c>
    </row>
    <row r="28" ht="15.75" customHeight="1">
      <c r="A28" s="424">
        <f t="shared" si="11"/>
        <v>15</v>
      </c>
      <c r="B28" s="425" t="str">
        <f>'Trung tâm nhập liệu'!F129</f>
        <v>Phân tích bộ câu hỏi KS Insight 2024, 2025</v>
      </c>
      <c r="C28" s="427" t="str">
        <f>'Trung tâm nhập liệu'!M129</f>
        <v>P4</v>
      </c>
      <c r="D28" s="566">
        <f t="shared" ref="D28:E28" si="57">AF28</f>
        <v>0</v>
      </c>
      <c r="E28" s="567">
        <f t="shared" si="57"/>
        <v>-1</v>
      </c>
      <c r="F28" s="431">
        <f t="shared" ref="F28:G28" si="58">S28</f>
        <v>46244</v>
      </c>
      <c r="G28" s="431">
        <f t="shared" si="58"/>
        <v>46235</v>
      </c>
      <c r="H28" s="432" t="str">
        <f>IF(B28="","",IF(COUNTIF('Lớp 5 - Phân công'!$J$14:$J$262,I28)&gt;0,"Có","Không"))</f>
        <v>Không</v>
      </c>
      <c r="I28" s="434" t="str">
        <f>'Trung tâm nhập liệu'!B129</f>
        <v>HHL4RD15</v>
      </c>
      <c r="J28" s="432" t="str">
        <f>'Trung tâm nhập liệu'!D129</f>
        <v>HHL3RD01</v>
      </c>
      <c r="K28" s="436">
        <f t="array" ref="K28">IFERROR(INDEX('Lớp 3 - Công việc chính'!$J$14:$J$73,MATCH(J28,'Lớp 3 - Công việc chính'!$I$14:$I$73,0)),"")</f>
        <v>2026</v>
      </c>
      <c r="L28" s="438" t="str">
        <f t="array" ref="L28">IFERROR(INDEX('Lớp 3 - Công việc chính'!$K$14:$K$73,MATCH(J28,'Lớp 3 - Công việc chính'!$I$14:$I$73,0)),"")</f>
        <v>Cấp phòng ban</v>
      </c>
      <c r="M28" s="439" t="str">
        <f t="array" ref="M28">IFERROR(INDEX('Lớp 3 - Công việc chính'!$L$14:$L$73,MATCH(J28,'Lớp 3 - Công việc chính'!$I$14:$I$73,0)),"")</f>
        <v>Chiến lược/sống còn</v>
      </c>
      <c r="N28" s="439" t="str">
        <f t="array" ref="N28">IFERROR(INDEX('Lớp 3 - Công việc chính'!$M$14:$M$73,MATCH(J28,'Lớp 3 - Công việc chính'!$I$14:$I$73,0)),"")</f>
        <v>KH sản phẩm 2027-2030</v>
      </c>
      <c r="O28" s="440" t="str">
        <f t="shared" ref="O28:R28" si="59">B28</f>
        <v>Phân tích bộ câu hỏi KS Insight 2024, 2025</v>
      </c>
      <c r="P28" s="441" t="str">
        <f t="shared" si="59"/>
        <v>P4</v>
      </c>
      <c r="Q28" s="442">
        <f t="shared" si="59"/>
        <v>0</v>
      </c>
      <c r="R28" s="443">
        <f t="shared" si="59"/>
        <v>-1</v>
      </c>
      <c r="S28" s="445">
        <f>IF($I28="","",LET(n,COUNTIFS('Lớp 5 - Phân công'!$J$14:$J$262,$I28,'Lớp 5 - Phân công'!$AB$14:$AB$262,"&lt;&gt;Hủy"),child,IFERROR(MAXIFS('Lớp 5 - Phân công'!$AE$14:$AE$262,'Lớp 5 - Phân công'!$J$14:$J$262,$I28,'Lớp 5 - Phân công'!$AB$14:$AB$262,"&lt;&gt;Hủy",'Lớp 5 - Phân công'!$AE$14:$AE$262,"&gt;0"),0),plan,'Trung tâm nhập liệu'!Q129,emergent,LOWER(TRIM('Trung tâm nhập liệu'!O129))="khi phát sinh",IF(n=0,IF(emergent,"",plan),IF(child=0,IF(emergent,"",plan),IF(OR(emergent,plan=""),child,MAX(plan,child))))))</f>
        <v>46244</v>
      </c>
      <c r="T28" s="447">
        <f>IF($I28="","",LET(n,COUNTIFS('Lớp 5 - Phân công'!$J$14:$J$262,$I28,'Lớp 5 - Phân công'!$AB$14:$AB$262,"&lt;&gt;Hủy"),child,IFERROR(MINIFS('Lớp 5 - Phân công'!$AD$14:$AD$262,'Lớp 5 - Phân công'!$J$14:$J$262,$I28,'Lớp 5 - Phân công'!$AB$14:$AB$262,"&lt;&gt;Hủy",'Lớp 5 - Phân công'!$AD$14:$AD$262,"&gt;0"),0),plan,'Trung tâm nhập liệu'!R129,emergent,LOWER(TRIM('Trung tâm nhập liệu'!O129))="khi phát sinh",IF(n=0,IF(emergent,"",plan),IF(child=0,IF(emergent,"",plan),IF(OR(emergent,plan=""),child,MIN(plan,child))))))</f>
        <v>46235</v>
      </c>
      <c r="U28" s="432" t="str">
        <f t="shared" si="15"/>
        <v>Không</v>
      </c>
      <c r="V28" s="432" t="str">
        <f>'Trung tâm nhập liệu'!G129</f>
        <v>Báo cáo phân tích bộ câu hỏi Customer Insight 2024–2025 và khuyến nghị cải tiến.</v>
      </c>
      <c r="W28" s="432" t="str">
        <f>'Trung tâm nhập liệu'!H129</f>
        <v/>
      </c>
      <c r="X28" s="450" t="str">
        <f t="array" ref="X28">IFERROR(INDEX('Lớp 3 - Công việc chính'!$W$14:$W$73,MATCH(J28,'Lớp 3 - Công việc chính'!$I$14:$I$73,0)),"")</f>
        <v>R&amp;D</v>
      </c>
      <c r="Y28" s="432" t="str">
        <f>'Trung tâm nhập liệu'!J129</f>
        <v>GĐ BOC</v>
      </c>
      <c r="Z28" s="432" t="str">
        <f>'Trung tâm nhập liệu'!K129</f>
        <v>Ms Trang</v>
      </c>
      <c r="AA28" s="425" t="str">
        <f>'Trung tâm nhập liệu'!L129</f>
        <v>Đang thực hiện</v>
      </c>
      <c r="AB28" s="441" t="str">
        <f>'Trung tâm nhập liệu'!M129</f>
        <v>P4</v>
      </c>
      <c r="AC28" s="447">
        <f t="shared" si="16"/>
        <v>46235</v>
      </c>
      <c r="AD28" s="445">
        <f t="shared" si="17"/>
        <v>46244</v>
      </c>
      <c r="AE28" s="457">
        <f>IF(AL28&lt;&gt;"Có thời hạn","",IF(OR(AC28="",AD28=""),"",IF(AD28&lt;AC28,"",_xlfn.NETWORKDAYS.INTL(AC28,AD28,11,'Ngày nghỉ lễ'!$A$5:$A$80))))</f>
        <v>8</v>
      </c>
      <c r="AF28" s="458">
        <f>IF(I28="","",IF(L28="Công việc khác","",IF(OR(AA28="Chưa lên lịch",AA28="Đã lên lịch",AA28="Hủy"),"",IF(COUNTIFS('Lớp 5 - Phân công'!$J$14:$J$262,I28,'Lớp 5 - Phân công'!$AB$14:$AB$262,"&lt;&gt;",'Lớp 5 - Phân công'!$AB$14:$AB$262,"&lt;&gt;Hủy",'Lớp 5 - Phân công'!$AB$14:$AB$262,"&lt;&gt;Chưa lên lịch",'Lớp 5 - Phân công'!$AB$14:$AB$262,"&lt;&gt;Đã lên lịch")&gt;0,SUMIFS('Lớp 5 - Phân công'!$AG$14:$AG$262,'Lớp 5 - Phân công'!$J$14:$J$262,I28,'Lớp 5 - Phân công'!$AB$14:$AB$262,"&lt;&gt;",'Lớp 5 - Phân công'!$AB$14:$AB$262,"&lt;&gt;Hủy",'Lớp 5 - Phân công'!$AB$14:$AB$262,"&lt;&gt;Chưa lên lịch",'Lớp 5 - Phân công'!$AB$14:$AB$262,"&lt;&gt;Đã lên lịch")/COUNTIFS('Lớp 5 - Phân công'!$J$14:$J$262,I28,'Lớp 5 - Phân công'!$AB$14:$AB$262,"&lt;&gt;",'Lớp 5 - Phân công'!$AB$14:$AB$262,"&lt;&gt;Hủy",'Lớp 5 - Phân công'!$AB$14:$AB$262,"&lt;&gt;Chưa lên lịch",'Lớp 5 - Phân công'!$AB$14:$AB$262,"&lt;&gt;Đã lên lịch"),IF(AA28="Hoàn thành",1,0)))))</f>
        <v>0</v>
      </c>
      <c r="AG28" s="461">
        <f>IF(AL28&lt;&gt;"Có thời hạn","",IF(OR(I28="",AC28="",AD28=""),"",IF(OR(AA28="Hoàn thành",AA28="Hủy"),0,IF(AD28&lt;TODAY(),-_xlfn.NETWORKDAYS.INTL(AD28,TODAY()-1,11,'Ngày nghỉ lễ'!$A$5:$A$80),MAX(0,_xlfn.NETWORKDAYS.INTL(MAX(TODAY()+1,AC28),AD28,11,'Ngày nghỉ lễ'!$A$5:$A$80))))))</f>
        <v>-1</v>
      </c>
      <c r="AH28" s="466">
        <f>IF($I28="","",LET(n,COUNTIFS('Lớp 5 - Phân công'!$J$14:$J$262,$I28,'Lớp 5 - Phân công'!$AB$14:$AB$262,"&lt;&gt;Hủy"),du,COUNTIFS('Lớp 5 - Phân công'!$J$14:$J$262,$I28,'Lớp 5 - Phân công'!$AB$14:$AB$262,"&lt;&gt;Hủy",'Lớp 5 - Phân công'!$AI$14:$AI$262,"&lt;&gt;"),IF(n=0,'Trung tâm nhập liệu'!T129,IF(du&lt;n,"",SUMIFS('Lớp 5 - Phân công'!$AI$14:$AI$262,'Lớp 5 - Phân công'!$J$14:$J$262,$I28,'Lớp 5 - Phân công'!$AB$14:$AB$262,"&lt;&gt;Hủy")))))</f>
        <v>24</v>
      </c>
      <c r="AI28" s="468" t="str">
        <f>IF(I28="","",IF(OR(AA28="Hoàn thành",AA28="Hủy"),"",IF(COUNTIFS('Lớp 5 - Phân công'!$J$14:$J$262,I28,'Lớp 5 - Phân công'!$AB$14:$AB$262,"&lt;&gt;Hủy")&gt;0,"",IF(AR28="Ngày",AS28,IF(AR28="Tuần",AS28/5,"")))))</f>
        <v/>
      </c>
      <c r="AJ28" s="477" t="str">
        <f>IF(AL28="Chưa xếp lịch","Chưa xếp lịch",IF(AL28="Định kỳ",IF(AM28="","Thiếu chu kỳ","Theo chu kỳ"),IF(AL28="Khi phát sinh",IF(COUNTIFS('Lớp 5 - Phân công'!$J$14:$J$262,$I28,'Lớp 5 - Phân công'!$AB$14:$AB$262,"&lt;&gt;Hủy")=0,"Khi phát sinh – chờ việc con","Khi phát sinh – theo ngày con"),IF(I28="","",LET(n,COUNTIFS('Lớp 5 - Phân công'!$J$14:$J$262,$I28,'Lớp 5 - Phân công'!$AB$14:$AB$262,"&lt;&gt;Hủy"),cs,IFERROR(MINIFS('Lớp 5 - Phân công'!$AD$14:$AD$262,'Lớp 5 - Phân công'!$J$14:$J$262,$I28,'Lớp 5 - Phân công'!$AB$14:$AB$262,"&lt;&gt;Hủy",'Lớp 5 - Phân công'!$AD$14:$AD$262,"&gt;0"),0),ce,IFERROR(MAXIFS('Lớp 5 - Phân công'!$AE$14:$AE$262,'Lớp 5 - Phân công'!$J$14:$J$262,$I28,'Lớp 5 - Phân công'!$AB$14:$AB$262,"&lt;&gt;Hủy",'Lớp 5 - Phân công'!$AE$14:$AE$262,"&gt;0"),0),ps,'Trung tâm nhập liệu'!R129,pe,'Trung tâm nhập liệu'!Q129,IF(OR(AC28="",AD28=""),"Thiếu ngày L4",IF(n=0,"Chưa có L5",IF(OR(cs=0,ce=0),"Thiếu ngày L5",IF(OR(ps="",pe=""),"Thiếu ngày kế hoạch gốc L4",IF(OR(cs&lt;ps,ce&gt;pe),"Cảnh báo: Con vượt khung kế hoạch gốc","L5 đúng khung kế hoạch gốc"))))))))))</f>
        <v>Chưa có L5</v>
      </c>
      <c r="AK28" s="465" t="str">
        <f>IF(OR(AU28="Thiếu tham số phân bổ",AU28="Phân bổ phải &gt; 0"),AU28,SWITCH(AL28,"Chưa xếp lịch","Chưa tính tải","Định kỳ","Theo chu kỳ","Khi phát sinh","Khi phát sinh",IF(I28="","",IF(OR(AA28="Hoàn thành",AA28="Hủy"),AA28,IF(COUNTIFS('Lớp 5 - Phân công'!$J$14:$J$262,I28,'Lớp 5 - Phân công'!$AB$14:$AB$262,"&lt;&gt;Hủy")&gt;0,"Theo dõi tải tại Lớp 5",IF(AH28="","Chưa nhập khối lượng",IF(Z28="","Thiếu người thực hiện",IF(OR(AC28="",AD28=""),"Chưa nhập đủ thời gian",IF(AG28&lt;0,"Quá hạn – còn "&amp;TEXT(MAX(0,AH28*(1-AF28)),"0.0")&amp;" giờ",LET(bd,MAX(TODAY(),AC28),kt,AD28,nguoi,Z28,tai,SUMIFS('Lớp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8" s="467" t="str">
        <f>'Trung tâm nhập liệu'!O129</f>
        <v>Có thời hạn</v>
      </c>
      <c r="AM28" s="469" t="str">
        <f>'Trung tâm nhập liệu'!P129</f>
        <v/>
      </c>
      <c r="AN28" s="470" t="str">
        <f>'Trung tâm nhập liệu'!S129</f>
        <v/>
      </c>
      <c r="AO28" s="470" t="str">
        <f>'Trung tâm nhập liệu'!X129</f>
        <v/>
      </c>
      <c r="AP28" s="471" t="str">
        <f t="shared" si="18"/>
        <v/>
      </c>
      <c r="AQ28" s="469" t="str">
        <f t="shared" si="19"/>
        <v/>
      </c>
      <c r="AR28" s="475" t="str">
        <f>'Trung tâm nhập liệu'!V129</f>
        <v/>
      </c>
      <c r="AS28" s="476" t="str">
        <f>'Trung tâm nhập liệu'!W129</f>
        <v/>
      </c>
      <c r="AT28" s="478" t="str">
        <f>IF(AL28&lt;&gt;"Có thời hạn","",IF(OR(I28="",AH28="",AA28="Hoàn thành",AA28="Hủy",COUNTIFS('Lớp 5 - Phân công'!$J$14:$J$262,I28,'Lớp 5 - Phân công'!$AB$14:$AB$262,"&lt;&gt;Hủy")&gt;0),"",LET(canNgay,MAX(0,AH28*(1-AF28))/MAX(1,AG28),IF(AR28="Ngày",canNgay,IF(AR28="Tuần",canNgay*5,"")))))</f>
        <v/>
      </c>
      <c r="AU28" s="465" t="str">
        <f>IF(I28="","",IF(COUNTIFS('Lớp 5 - Phân công'!$J$14:$J$262,I28,'Lớp 5 - Phân công'!$AB$14:$AB$262,"&lt;&gt;Hủy")&gt;0,"Theo dõi phân bổ tại Lớp 5",IF(OR(AA28="Hoàn thành",AA28="Hủy"),AA28,IF(AH28="","Thiếu tổng giờ",IF(OR(AR28="",AS28=""),"Thiếu tham số phân bổ",IF(AS28&lt;=0,"Phân bổ phải &gt; 0",IF(AL28&lt;&gt;"Có thời hạn","Đã có phân bổ",IF(AT28="","Chưa đủ dữ liệu hạn",IF(AS28&gt;=AT28,"Đủ phân bổ theo "&amp;LOWER(AR28),"Thiếu "&amp;TEXT(AT28-AS28,"0.0")&amp;" giờ/"&amp;LOWER(AR28))))))))))</f>
        <v>Thiếu tham số phân bổ</v>
      </c>
      <c r="AV28" s="465" t="str">
        <f t="shared" si="20"/>
        <v>OK</v>
      </c>
      <c r="AW28" s="479" t="str">
        <f>'Trung tâm nhập liệu'!Y129</f>
        <v/>
      </c>
    </row>
    <row r="29" ht="15.75" customHeight="1">
      <c r="A29" s="424">
        <f t="shared" si="11"/>
        <v>16</v>
      </c>
      <c r="B29" s="425" t="str">
        <f>'Trung tâm nhập liệu'!F130</f>
        <v>Final BCCL xét từ hai yếu tố bên trong &amp; bên ngoài</v>
      </c>
      <c r="C29" s="427" t="str">
        <f>'Trung tâm nhập liệu'!M130</f>
        <v>P2</v>
      </c>
      <c r="D29" s="428">
        <f t="shared" ref="D29:E29" si="60">AF29</f>
        <v>0</v>
      </c>
      <c r="E29" s="501">
        <f t="shared" si="60"/>
        <v>50</v>
      </c>
      <c r="F29" s="431">
        <f t="shared" ref="F29:G29" si="61">S29</f>
        <v>46305</v>
      </c>
      <c r="G29" s="431">
        <f t="shared" si="61"/>
        <v>46235</v>
      </c>
      <c r="H29" s="432" t="str">
        <f>IF(B29="","",IF(COUNTIF('Lớp 5 - Phân công'!$J$14:$J$262,I29)&gt;0,"Có","Không"))</f>
        <v>Không</v>
      </c>
      <c r="I29" s="434" t="str">
        <f>'Trung tâm nhập liệu'!B130</f>
        <v>HHL4RD16</v>
      </c>
      <c r="J29" s="432" t="str">
        <f>'Trung tâm nhập liệu'!D130</f>
        <v>HHL3RD01</v>
      </c>
      <c r="K29" s="436">
        <f t="array" ref="K29">IFERROR(INDEX('Lớp 3 - Công việc chính'!$J$14:$J$73,MATCH(J29,'Lớp 3 - Công việc chính'!$I$14:$I$73,0)),"")</f>
        <v>2026</v>
      </c>
      <c r="L29" s="438" t="str">
        <f t="array" ref="L29">IFERROR(INDEX('Lớp 3 - Công việc chính'!$K$14:$K$73,MATCH(J29,'Lớp 3 - Công việc chính'!$I$14:$I$73,0)),"")</f>
        <v>Cấp phòng ban</v>
      </c>
      <c r="M29" s="439" t="str">
        <f t="array" ref="M29">IFERROR(INDEX('Lớp 3 - Công việc chính'!$L$14:$L$73,MATCH(J29,'Lớp 3 - Công việc chính'!$I$14:$I$73,0)),"")</f>
        <v>Chiến lược/sống còn</v>
      </c>
      <c r="N29" s="439" t="str">
        <f t="array" ref="N29">IFERROR(INDEX('Lớp 3 - Công việc chính'!$M$14:$M$73,MATCH(J29,'Lớp 3 - Công việc chính'!$I$14:$I$73,0)),"")</f>
        <v>KH sản phẩm 2027-2030</v>
      </c>
      <c r="O29" s="440" t="str">
        <f t="shared" ref="O29:R29" si="62">B29</f>
        <v>Final BCCL xét từ hai yếu tố bên trong &amp; bên ngoài</v>
      </c>
      <c r="P29" s="441" t="str">
        <f t="shared" si="62"/>
        <v>P2</v>
      </c>
      <c r="Q29" s="442">
        <f t="shared" si="62"/>
        <v>0</v>
      </c>
      <c r="R29" s="443">
        <f t="shared" si="62"/>
        <v>50</v>
      </c>
      <c r="S29" s="445">
        <f>IF($I29="","",LET(n,COUNTIFS('Lớp 5 - Phân công'!$J$14:$J$262,$I29,'Lớp 5 - Phân công'!$AB$14:$AB$262,"&lt;&gt;Hủy"),child,IFERROR(MAXIFS('Lớp 5 - Phân công'!$AE$14:$AE$262,'Lớp 5 - Phân công'!$J$14:$J$262,$I29,'Lớp 5 - Phân công'!$AB$14:$AB$262,"&lt;&gt;Hủy",'Lớp 5 - Phân công'!$AE$14:$AE$262,"&gt;0"),0),plan,'Trung tâm nhập liệu'!Q130,emergent,LOWER(TRIM('Trung tâm nhập liệu'!O130))="khi phát sinh",IF(n=0,IF(emergent,"",plan),IF(child=0,IF(emergent,"",plan),IF(OR(emergent,plan=""),child,MAX(plan,child))))))</f>
        <v>46305</v>
      </c>
      <c r="T29" s="447">
        <f>IF($I29="","",LET(n,COUNTIFS('Lớp 5 - Phân công'!$J$14:$J$262,$I29,'Lớp 5 - Phân công'!$AB$14:$AB$262,"&lt;&gt;Hủy"),child,IFERROR(MINIFS('Lớp 5 - Phân công'!$AD$14:$AD$262,'Lớp 5 - Phân công'!$J$14:$J$262,$I29,'Lớp 5 - Phân công'!$AB$14:$AB$262,"&lt;&gt;Hủy",'Lớp 5 - Phân công'!$AD$14:$AD$262,"&gt;0"),0),plan,'Trung tâm nhập liệu'!R130,emergent,LOWER(TRIM('Trung tâm nhập liệu'!O130))="khi phát sinh",IF(n=0,IF(emergent,"",plan),IF(child=0,IF(emergent,"",plan),IF(OR(emergent,plan=""),child,MIN(plan,child))))))</f>
        <v>46235</v>
      </c>
      <c r="U29" s="432" t="str">
        <f t="shared" si="15"/>
        <v>Không</v>
      </c>
      <c r="V29" s="432" t="str">
        <f>'Trung tâm nhập liệu'!G130</f>
        <v>Báo cáo chiến lược sản phẩm tổng hợp yếu tố bên trong và bên ngoài được phê duyệt.</v>
      </c>
      <c r="W29" s="432" t="str">
        <f>'Trung tâm nhập liệu'!H130</f>
        <v/>
      </c>
      <c r="X29" s="450" t="str">
        <f t="array" ref="X29">IFERROR(INDEX('Lớp 3 - Công việc chính'!$W$14:$W$73,MATCH(J29,'Lớp 3 - Công việc chính'!$I$14:$I$73,0)),"")</f>
        <v>R&amp;D</v>
      </c>
      <c r="Y29" s="432" t="str">
        <f>'Trung tâm nhập liệu'!J130</f>
        <v>GĐ BOC</v>
      </c>
      <c r="Z29" s="432" t="str">
        <f>'Trung tâm nhập liệu'!K130</f>
        <v>Ms Trang</v>
      </c>
      <c r="AA29" s="425" t="str">
        <f>'Trung tâm nhập liệu'!L130</f>
        <v>Đang thực hiện</v>
      </c>
      <c r="AB29" s="441" t="str">
        <f>'Trung tâm nhập liệu'!M130</f>
        <v>P2</v>
      </c>
      <c r="AC29" s="447">
        <f t="shared" si="16"/>
        <v>46235</v>
      </c>
      <c r="AD29" s="445">
        <f t="shared" si="17"/>
        <v>46305</v>
      </c>
      <c r="AE29" s="457">
        <f>IF(AL29&lt;&gt;"Có thời hạn","",IF(OR(AC29="",AD29=""),"",IF(AD29&lt;AC29,"",_xlfn.NETWORKDAYS.INTL(AC29,AD29,11,'Ngày nghỉ lễ'!$A$5:$A$80))))</f>
        <v>59</v>
      </c>
      <c r="AF29" s="458">
        <f>IF(I29="","",IF(L29="Công việc khác","",IF(OR(AA29="Chưa lên lịch",AA29="Đã lên lịch",AA29="Hủy"),"",IF(COUNTIFS('Lớp 5 - Phân công'!$J$14:$J$262,I29,'Lớp 5 - Phân công'!$AB$14:$AB$262,"&lt;&gt;",'Lớp 5 - Phân công'!$AB$14:$AB$262,"&lt;&gt;Hủy",'Lớp 5 - Phân công'!$AB$14:$AB$262,"&lt;&gt;Chưa lên lịch",'Lớp 5 - Phân công'!$AB$14:$AB$262,"&lt;&gt;Đã lên lịch")&gt;0,SUMIFS('Lớp 5 - Phân công'!$AG$14:$AG$262,'Lớp 5 - Phân công'!$J$14:$J$262,I29,'Lớp 5 - Phân công'!$AB$14:$AB$262,"&lt;&gt;",'Lớp 5 - Phân công'!$AB$14:$AB$262,"&lt;&gt;Hủy",'Lớp 5 - Phân công'!$AB$14:$AB$262,"&lt;&gt;Chưa lên lịch",'Lớp 5 - Phân công'!$AB$14:$AB$262,"&lt;&gt;Đã lên lịch")/COUNTIFS('Lớp 5 - Phân công'!$J$14:$J$262,I29,'Lớp 5 - Phân công'!$AB$14:$AB$262,"&lt;&gt;",'Lớp 5 - Phân công'!$AB$14:$AB$262,"&lt;&gt;Hủy",'Lớp 5 - Phân công'!$AB$14:$AB$262,"&lt;&gt;Chưa lên lịch",'Lớp 5 - Phân công'!$AB$14:$AB$262,"&lt;&gt;Đã lên lịch"),IF(AA29="Hoàn thành",1,0)))))</f>
        <v>0</v>
      </c>
      <c r="AG29" s="461">
        <f>IF(AL29&lt;&gt;"Có thời hạn","",IF(OR(I29="",AC29="",AD29=""),"",IF(OR(AA29="Hoàn thành",AA29="Hủy"),0,IF(AD29&lt;TODAY(),-_xlfn.NETWORKDAYS.INTL(AD29,TODAY()-1,11,'Ngày nghỉ lễ'!$A$5:$A$80),MAX(0,_xlfn.NETWORKDAYS.INTL(MAX(TODAY()+1,AC29),AD29,11,'Ngày nghỉ lễ'!$A$5:$A$80))))))</f>
        <v>50</v>
      </c>
      <c r="AH29" s="466">
        <f>IF($I29="","",LET(n,COUNTIFS('Lớp 5 - Phân công'!$J$14:$J$262,$I29,'Lớp 5 - Phân công'!$AB$14:$AB$262,"&lt;&gt;Hủy"),du,COUNTIFS('Lớp 5 - Phân công'!$J$14:$J$262,$I29,'Lớp 5 - Phân công'!$AB$14:$AB$262,"&lt;&gt;Hủy",'Lớp 5 - Phân công'!$AI$14:$AI$262,"&lt;&gt;"),IF(n=0,'Trung tâm nhập liệu'!T130,IF(du&lt;n,"",SUMIFS('Lớp 5 - Phân công'!$AI$14:$AI$262,'Lớp 5 - Phân công'!$J$14:$J$262,$I29,'Lớp 5 - Phân công'!$AB$14:$AB$262,"&lt;&gt;Hủy")))))</f>
        <v>48</v>
      </c>
      <c r="AI29" s="468" t="str">
        <f>IF(I29="","",IF(OR(AA29="Hoàn thành",AA29="Hủy"),"",IF(COUNTIFS('Lớp 5 - Phân công'!$J$14:$J$262,I29,'Lớp 5 - Phân công'!$AB$14:$AB$262,"&lt;&gt;Hủy")&gt;0,"",IF(AR29="Ngày",AS29,IF(AR29="Tuần",AS29/5,"")))))</f>
        <v/>
      </c>
      <c r="AJ29" s="477" t="str">
        <f>IF(AL29="Chưa xếp lịch","Chưa xếp lịch",IF(AL29="Định kỳ",IF(AM29="","Thiếu chu kỳ","Theo chu kỳ"),IF(AL29="Khi phát sinh",IF(COUNTIFS('Lớp 5 - Phân công'!$J$14:$J$262,$I29,'Lớp 5 - Phân công'!$AB$14:$AB$262,"&lt;&gt;Hủy")=0,"Khi phát sinh – chờ việc con","Khi phát sinh – theo ngày con"),IF(I29="","",LET(n,COUNTIFS('Lớp 5 - Phân công'!$J$14:$J$262,$I29,'Lớp 5 - Phân công'!$AB$14:$AB$262,"&lt;&gt;Hủy"),cs,IFERROR(MINIFS('Lớp 5 - Phân công'!$AD$14:$AD$262,'Lớp 5 - Phân công'!$J$14:$J$262,$I29,'Lớp 5 - Phân công'!$AB$14:$AB$262,"&lt;&gt;Hủy",'Lớp 5 - Phân công'!$AD$14:$AD$262,"&gt;0"),0),ce,IFERROR(MAXIFS('Lớp 5 - Phân công'!$AE$14:$AE$262,'Lớp 5 - Phân công'!$J$14:$J$262,$I29,'Lớp 5 - Phân công'!$AB$14:$AB$262,"&lt;&gt;Hủy",'Lớp 5 - Phân công'!$AE$14:$AE$262,"&gt;0"),0),ps,'Trung tâm nhập liệu'!R130,pe,'Trung tâm nhập liệu'!Q130,IF(OR(AC29="",AD29=""),"Thiếu ngày L4",IF(n=0,"Chưa có L5",IF(OR(cs=0,ce=0),"Thiếu ngày L5",IF(OR(ps="",pe=""),"Thiếu ngày kế hoạch gốc L4",IF(OR(cs&lt;ps,ce&gt;pe),"Cảnh báo: Con vượt khung kế hoạch gốc","L5 đúng khung kế hoạch gốc"))))))))))</f>
        <v>Chưa có L5</v>
      </c>
      <c r="AK29" s="465" t="str">
        <f>IF(OR(AU29="Thiếu tham số phân bổ",AU29="Phân bổ phải &gt; 0"),AU29,SWITCH(AL29,"Chưa xếp lịch","Chưa tính tải","Định kỳ","Theo chu kỳ","Khi phát sinh","Khi phát sinh",IF(I29="","",IF(OR(AA29="Hoàn thành",AA29="Hủy"),AA29,IF(COUNTIFS('Lớp 5 - Phân công'!$J$14:$J$262,I29,'Lớp 5 - Phân công'!$AB$14:$AB$262,"&lt;&gt;Hủy")&gt;0,"Theo dõi tải tại Lớp 5",IF(AH29="","Chưa nhập khối lượng",IF(Z29="","Thiếu người thực hiện",IF(OR(AC29="",AD29=""),"Chưa nhập đủ thời gian",IF(AG29&lt;0,"Quá hạn – còn "&amp;TEXT(MAX(0,AH29*(1-AF29)),"0.0")&amp;" giờ",LET(bd,MAX(TODAY(),AC29),kt,AD29,nguoi,Z29,tai,SUMIFS('Lớp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29" s="467" t="str">
        <f>'Trung tâm nhập liệu'!O130</f>
        <v>Có thời hạn</v>
      </c>
      <c r="AM29" s="469" t="str">
        <f>'Trung tâm nhập liệu'!P130</f>
        <v/>
      </c>
      <c r="AN29" s="470" t="str">
        <f>'Trung tâm nhập liệu'!S130</f>
        <v/>
      </c>
      <c r="AO29" s="470" t="str">
        <f>'Trung tâm nhập liệu'!X130</f>
        <v/>
      </c>
      <c r="AP29" s="471" t="str">
        <f t="shared" si="18"/>
        <v/>
      </c>
      <c r="AQ29" s="469" t="str">
        <f t="shared" si="19"/>
        <v/>
      </c>
      <c r="AR29" s="475" t="str">
        <f>'Trung tâm nhập liệu'!V130</f>
        <v/>
      </c>
      <c r="AS29" s="476" t="str">
        <f>'Trung tâm nhập liệu'!W130</f>
        <v/>
      </c>
      <c r="AT29" s="478" t="str">
        <f>IF(AL29&lt;&gt;"Có thời hạn","",IF(OR(I29="",AH29="",AA29="Hoàn thành",AA29="Hủy",COUNTIFS('Lớp 5 - Phân công'!$J$14:$J$262,I29,'Lớp 5 - Phân công'!$AB$14:$AB$262,"&lt;&gt;Hủy")&gt;0),"",LET(canNgay,MAX(0,AH29*(1-AF29))/MAX(1,AG29),IF(AR29="Ngày",canNgay,IF(AR29="Tuần",canNgay*5,"")))))</f>
        <v/>
      </c>
      <c r="AU29" s="465" t="str">
        <f>IF(I29="","",IF(COUNTIFS('Lớp 5 - Phân công'!$J$14:$J$262,I29,'Lớp 5 - Phân công'!$AB$14:$AB$262,"&lt;&gt;Hủy")&gt;0,"Theo dõi phân bổ tại Lớp 5",IF(OR(AA29="Hoàn thành",AA29="Hủy"),AA29,IF(AH29="","Thiếu tổng giờ",IF(OR(AR29="",AS29=""),"Thiếu tham số phân bổ",IF(AS29&lt;=0,"Phân bổ phải &gt; 0",IF(AL29&lt;&gt;"Có thời hạn","Đã có phân bổ",IF(AT29="","Chưa đủ dữ liệu hạn",IF(AS29&gt;=AT29,"Đủ phân bổ theo "&amp;LOWER(AR29),"Thiếu "&amp;TEXT(AT29-AS29,"0.0")&amp;" giờ/"&amp;LOWER(AR29))))))))))</f>
        <v>Thiếu tham số phân bổ</v>
      </c>
      <c r="AV29" s="465" t="str">
        <f t="shared" si="20"/>
        <v>OK</v>
      </c>
      <c r="AW29" s="479" t="str">
        <f>'Trung tâm nhập liệu'!Y130</f>
        <v/>
      </c>
    </row>
    <row r="30" ht="15.75" customHeight="1">
      <c r="A30" s="424">
        <f t="shared" si="11"/>
        <v>17</v>
      </c>
      <c r="B30" s="425" t="str">
        <f>'Trung tâm nhập liệu'!F131</f>
        <v>Tổng hợp TT SP OEM theo NCC (đầy đủ trường dữ liệu)</v>
      </c>
      <c r="C30" s="427" t="str">
        <f>'Trung tâm nhập liệu'!M131</f>
        <v>P2</v>
      </c>
      <c r="D30" s="499">
        <f t="shared" ref="D30:E30" si="63">AF30</f>
        <v>0</v>
      </c>
      <c r="E30" s="501">
        <f t="shared" si="63"/>
        <v>8</v>
      </c>
      <c r="F30" s="431">
        <f t="shared" ref="F30:G30" si="64">S30</f>
        <v>46254</v>
      </c>
      <c r="G30" s="431">
        <f t="shared" si="64"/>
        <v>46235</v>
      </c>
      <c r="H30" s="432" t="str">
        <f>IF(B30="","",IF(COUNTIF('Lớp 5 - Phân công'!$J$14:$J$262,I30)&gt;0,"Có","Không"))</f>
        <v>Không</v>
      </c>
      <c r="I30" s="434" t="str">
        <f>'Trung tâm nhập liệu'!B131</f>
        <v>HHL4RD17</v>
      </c>
      <c r="J30" s="432" t="str">
        <f>'Trung tâm nhập liệu'!D131</f>
        <v>HHL3RD02</v>
      </c>
      <c r="K30" s="436">
        <f t="array" ref="K30">IFERROR(INDEX('Lớp 3 - Công việc chính'!$J$14:$J$73,MATCH(J30,'Lớp 3 - Công việc chính'!$I$14:$I$73,0)),"")</f>
        <v>2026</v>
      </c>
      <c r="L30" s="438" t="str">
        <f t="array" ref="L30">IFERROR(INDEX('Lớp 3 - Công việc chính'!$K$14:$K$73,MATCH(J30,'Lớp 3 - Công việc chính'!$I$14:$I$73,0)),"")</f>
        <v>Cấp phòng ban</v>
      </c>
      <c r="M30" s="439" t="str">
        <f t="array" ref="M30">IFERROR(INDEX('Lớp 3 - Công việc chính'!$L$14:$L$73,MATCH(J30,'Lớp 3 - Công việc chính'!$I$14:$I$73,0)),"")</f>
        <v>Chiến lược/sống còn</v>
      </c>
      <c r="N30" s="439" t="str">
        <f t="array" ref="N30">IFERROR(INDEX('Lớp 3 - Công việc chính'!$M$14:$M$73,MATCH(J30,'Lớp 3 - Công việc chính'!$I$14:$I$73,0)),"")</f>
        <v>Danh mục SP OEM đề xuất</v>
      </c>
      <c r="O30" s="440" t="str">
        <f t="shared" ref="O30:R30" si="65">B30</f>
        <v>Tổng hợp TT SP OEM theo NCC (đầy đủ trường dữ liệu)</v>
      </c>
      <c r="P30" s="441" t="str">
        <f t="shared" si="65"/>
        <v>P2</v>
      </c>
      <c r="Q30" s="442">
        <f t="shared" si="65"/>
        <v>0</v>
      </c>
      <c r="R30" s="443">
        <f t="shared" si="65"/>
        <v>8</v>
      </c>
      <c r="S30" s="445">
        <f>IF($I30="","",LET(n,COUNTIFS('Lớp 5 - Phân công'!$J$14:$J$262,$I30,'Lớp 5 - Phân công'!$AB$14:$AB$262,"&lt;&gt;Hủy"),child,IFERROR(MAXIFS('Lớp 5 - Phân công'!$AE$14:$AE$262,'Lớp 5 - Phân công'!$J$14:$J$262,$I30,'Lớp 5 - Phân công'!$AB$14:$AB$262,"&lt;&gt;Hủy",'Lớp 5 - Phân công'!$AE$14:$AE$262,"&gt;0"),0),plan,'Trung tâm nhập liệu'!Q131,emergent,LOWER(TRIM('Trung tâm nhập liệu'!O131))="khi phát sinh",IF(n=0,IF(emergent,"",plan),IF(child=0,IF(emergent,"",plan),IF(OR(emergent,plan=""),child,MAX(plan,child))))))</f>
        <v>46254</v>
      </c>
      <c r="T30" s="447">
        <f>IF($I30="","",LET(n,COUNTIFS('Lớp 5 - Phân công'!$J$14:$J$262,$I30,'Lớp 5 - Phân công'!$AB$14:$AB$262,"&lt;&gt;Hủy"),child,IFERROR(MINIFS('Lớp 5 - Phân công'!$AD$14:$AD$262,'Lớp 5 - Phân công'!$J$14:$J$262,$I30,'Lớp 5 - Phân công'!$AB$14:$AB$262,"&lt;&gt;Hủy",'Lớp 5 - Phân công'!$AD$14:$AD$262,"&gt;0"),0),plan,'Trung tâm nhập liệu'!R131,emergent,LOWER(TRIM('Trung tâm nhập liệu'!O131))="khi phát sinh",IF(n=0,IF(emergent,"",plan),IF(child=0,IF(emergent,"",plan),IF(OR(emergent,plan=""),child,MIN(plan,child))))))</f>
        <v>46235</v>
      </c>
      <c r="U30" s="432" t="str">
        <f t="shared" si="15"/>
        <v>Không</v>
      </c>
      <c r="V30" s="432" t="str">
        <f>'Trung tâm nhập liệu'!G131</f>
        <v>Cơ sở dữ liệu sản phẩm OEM theo nhà cung cấp đầy đủ trường dữ liệu.</v>
      </c>
      <c r="W30" s="432" t="str">
        <f>'Trung tâm nhập liệu'!H131</f>
        <v/>
      </c>
      <c r="X30" s="450" t="str">
        <f t="array" ref="X30">IFERROR(INDEX('Lớp 3 - Công việc chính'!$W$14:$W$73,MATCH(J30,'Lớp 3 - Công việc chính'!$I$14:$I$73,0)),"")</f>
        <v>R&amp;D</v>
      </c>
      <c r="Y30" s="432" t="str">
        <f>'Trung tâm nhập liệu'!J131</f>
        <v>GĐ BOC</v>
      </c>
      <c r="Z30" s="432" t="str">
        <f>'Trung tâm nhập liệu'!K131</f>
        <v>Ms Trang</v>
      </c>
      <c r="AA30" s="425" t="str">
        <f>'Trung tâm nhập liệu'!L131</f>
        <v>Đang thực hiện</v>
      </c>
      <c r="AB30" s="441" t="str">
        <f>'Trung tâm nhập liệu'!M131</f>
        <v>P2</v>
      </c>
      <c r="AC30" s="447">
        <f t="shared" si="16"/>
        <v>46235</v>
      </c>
      <c r="AD30" s="445">
        <f t="shared" si="17"/>
        <v>46254</v>
      </c>
      <c r="AE30" s="457">
        <f>IF(AL30&lt;&gt;"Có thời hạn","",IF(OR(AC30="",AD30=""),"",IF(AD30&lt;AC30,"",_xlfn.NETWORKDAYS.INTL(AC30,AD30,11,'Ngày nghỉ lễ'!$A$5:$A$80))))</f>
        <v>17</v>
      </c>
      <c r="AF30" s="458">
        <f>IF(I30="","",IF(L30="Công việc khác","",IF(OR(AA30="Chưa lên lịch",AA30="Đã lên lịch",AA30="Hủy"),"",IF(COUNTIFS('Lớp 5 - Phân công'!$J$14:$J$262,I30,'Lớp 5 - Phân công'!$AB$14:$AB$262,"&lt;&gt;",'Lớp 5 - Phân công'!$AB$14:$AB$262,"&lt;&gt;Hủy",'Lớp 5 - Phân công'!$AB$14:$AB$262,"&lt;&gt;Chưa lên lịch",'Lớp 5 - Phân công'!$AB$14:$AB$262,"&lt;&gt;Đã lên lịch")&gt;0,SUMIFS('Lớp 5 - Phân công'!$AG$14:$AG$262,'Lớp 5 - Phân công'!$J$14:$J$262,I30,'Lớp 5 - Phân công'!$AB$14:$AB$262,"&lt;&gt;",'Lớp 5 - Phân công'!$AB$14:$AB$262,"&lt;&gt;Hủy",'Lớp 5 - Phân công'!$AB$14:$AB$262,"&lt;&gt;Chưa lên lịch",'Lớp 5 - Phân công'!$AB$14:$AB$262,"&lt;&gt;Đã lên lịch")/COUNTIFS('Lớp 5 - Phân công'!$J$14:$J$262,I30,'Lớp 5 - Phân công'!$AB$14:$AB$262,"&lt;&gt;",'Lớp 5 - Phân công'!$AB$14:$AB$262,"&lt;&gt;Hủy",'Lớp 5 - Phân công'!$AB$14:$AB$262,"&lt;&gt;Chưa lên lịch",'Lớp 5 - Phân công'!$AB$14:$AB$262,"&lt;&gt;Đã lên lịch"),IF(AA30="Hoàn thành",1,0)))))</f>
        <v>0</v>
      </c>
      <c r="AG30" s="461">
        <f>IF(AL30&lt;&gt;"Có thời hạn","",IF(OR(I30="",AC30="",AD30=""),"",IF(OR(AA30="Hoàn thành",AA30="Hủy"),0,IF(AD30&lt;TODAY(),-_xlfn.NETWORKDAYS.INTL(AD30,TODAY()-1,11,'Ngày nghỉ lễ'!$A$5:$A$80),MAX(0,_xlfn.NETWORKDAYS.INTL(MAX(TODAY()+1,AC30),AD30,11,'Ngày nghỉ lễ'!$A$5:$A$80))))))</f>
        <v>8</v>
      </c>
      <c r="AH30" s="466">
        <f>IF($I30="","",LET(n,COUNTIFS('Lớp 5 - Phân công'!$J$14:$J$262,$I30,'Lớp 5 - Phân công'!$AB$14:$AB$262,"&lt;&gt;Hủy"),du,COUNTIFS('Lớp 5 - Phân công'!$J$14:$J$262,$I30,'Lớp 5 - Phân công'!$AB$14:$AB$262,"&lt;&gt;Hủy",'Lớp 5 - Phân công'!$AI$14:$AI$262,"&lt;&gt;"),IF(n=0,'Trung tâm nhập liệu'!T131,IF(du&lt;n,"",SUMIFS('Lớp 5 - Phân công'!$AI$14:$AI$262,'Lớp 5 - Phân công'!$J$14:$J$262,$I30,'Lớp 5 - Phân công'!$AB$14:$AB$262,"&lt;&gt;Hủy")))))</f>
        <v>40</v>
      </c>
      <c r="AI30" s="468" t="str">
        <f>IF(I30="","",IF(OR(AA30="Hoàn thành",AA30="Hủy"),"",IF(COUNTIFS('Lớp 5 - Phân công'!$J$14:$J$262,I30,'Lớp 5 - Phân công'!$AB$14:$AB$262,"&lt;&gt;Hủy")&gt;0,"",IF(AR30="Ngày",AS30,IF(AR30="Tuần",AS30/5,"")))))</f>
        <v/>
      </c>
      <c r="AJ30" s="477" t="str">
        <f>IF(AL30="Chưa xếp lịch","Chưa xếp lịch",IF(AL30="Định kỳ",IF(AM30="","Thiếu chu kỳ","Theo chu kỳ"),IF(AL30="Khi phát sinh",IF(COUNTIFS('Lớp 5 - Phân công'!$J$14:$J$262,$I30,'Lớp 5 - Phân công'!$AB$14:$AB$262,"&lt;&gt;Hủy")=0,"Khi phát sinh – chờ việc con","Khi phát sinh – theo ngày con"),IF(I30="","",LET(n,COUNTIFS('Lớp 5 - Phân công'!$J$14:$J$262,$I30,'Lớp 5 - Phân công'!$AB$14:$AB$262,"&lt;&gt;Hủy"),cs,IFERROR(MINIFS('Lớp 5 - Phân công'!$AD$14:$AD$262,'Lớp 5 - Phân công'!$J$14:$J$262,$I30,'Lớp 5 - Phân công'!$AB$14:$AB$262,"&lt;&gt;Hủy",'Lớp 5 - Phân công'!$AD$14:$AD$262,"&gt;0"),0),ce,IFERROR(MAXIFS('Lớp 5 - Phân công'!$AE$14:$AE$262,'Lớp 5 - Phân công'!$J$14:$J$262,$I30,'Lớp 5 - Phân công'!$AB$14:$AB$262,"&lt;&gt;Hủy",'Lớp 5 - Phân công'!$AE$14:$AE$262,"&gt;0"),0),ps,'Trung tâm nhập liệu'!R131,pe,'Trung tâm nhập liệu'!Q131,IF(OR(AC30="",AD30=""),"Thiếu ngày L4",IF(n=0,"Chưa có L5",IF(OR(cs=0,ce=0),"Thiếu ngày L5",IF(OR(ps="",pe=""),"Thiếu ngày kế hoạch gốc L4",IF(OR(cs&lt;ps,ce&gt;pe),"Cảnh báo: Con vượt khung kế hoạch gốc","L5 đúng khung kế hoạch gốc"))))))))))</f>
        <v>Chưa có L5</v>
      </c>
      <c r="AK30" s="465" t="str">
        <f>IF(OR(AU30="Thiếu tham số phân bổ",AU30="Phân bổ phải &gt; 0"),AU30,SWITCH(AL30,"Chưa xếp lịch","Chưa tính tải","Định kỳ","Theo chu kỳ","Khi phát sinh","Khi phát sinh",IF(I30="","",IF(OR(AA30="Hoàn thành",AA30="Hủy"),AA30,IF(COUNTIFS('Lớp 5 - Phân công'!$J$14:$J$262,I30,'Lớp 5 - Phân công'!$AB$14:$AB$262,"&lt;&gt;Hủy")&gt;0,"Theo dõi tải tại Lớp 5",IF(AH30="","Chưa nhập khối lượng",IF(Z30="","Thiếu người thực hiện",IF(OR(AC30="",AD30=""),"Chưa nhập đủ thời gian",IF(AG30&lt;0,"Quá hạn – còn "&amp;TEXT(MAX(0,AH30*(1-AF30)),"0.0")&amp;" giờ",LET(bd,MAX(TODAY(),AC30),kt,AD30,nguoi,Z30,tai,SUMIFS('Lớp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0" s="467" t="str">
        <f>'Trung tâm nhập liệu'!O131</f>
        <v>Có thời hạn</v>
      </c>
      <c r="AM30" s="469" t="str">
        <f>'Trung tâm nhập liệu'!P131</f>
        <v/>
      </c>
      <c r="AN30" s="470" t="str">
        <f>'Trung tâm nhập liệu'!S131</f>
        <v/>
      </c>
      <c r="AO30" s="470" t="str">
        <f>'Trung tâm nhập liệu'!X131</f>
        <v/>
      </c>
      <c r="AP30" s="471" t="str">
        <f t="shared" si="18"/>
        <v/>
      </c>
      <c r="AQ30" s="469" t="str">
        <f t="shared" si="19"/>
        <v/>
      </c>
      <c r="AR30" s="475" t="str">
        <f>'Trung tâm nhập liệu'!V131</f>
        <v/>
      </c>
      <c r="AS30" s="476" t="str">
        <f>'Trung tâm nhập liệu'!W131</f>
        <v/>
      </c>
      <c r="AT30" s="478" t="str">
        <f>IF(AL30&lt;&gt;"Có thời hạn","",IF(OR(I30="",AH30="",AA30="Hoàn thành",AA30="Hủy",COUNTIFS('Lớp 5 - Phân công'!$J$14:$J$262,I30,'Lớp 5 - Phân công'!$AB$14:$AB$262,"&lt;&gt;Hủy")&gt;0),"",LET(canNgay,MAX(0,AH30*(1-AF30))/MAX(1,AG30),IF(AR30="Ngày",canNgay,IF(AR30="Tuần",canNgay*5,"")))))</f>
        <v/>
      </c>
      <c r="AU30" s="465" t="str">
        <f>IF(I30="","",IF(COUNTIFS('Lớp 5 - Phân công'!$J$14:$J$262,I30,'Lớp 5 - Phân công'!$AB$14:$AB$262,"&lt;&gt;Hủy")&gt;0,"Theo dõi phân bổ tại Lớp 5",IF(OR(AA30="Hoàn thành",AA30="Hủy"),AA30,IF(AH30="","Thiếu tổng giờ",IF(OR(AR30="",AS30=""),"Thiếu tham số phân bổ",IF(AS30&lt;=0,"Phân bổ phải &gt; 0",IF(AL30&lt;&gt;"Có thời hạn","Đã có phân bổ",IF(AT30="","Chưa đủ dữ liệu hạn",IF(AS30&gt;=AT30,"Đủ phân bổ theo "&amp;LOWER(AR30),"Thiếu "&amp;TEXT(AT30-AS30,"0.0")&amp;" giờ/"&amp;LOWER(AR30))))))))))</f>
        <v>Thiếu tham số phân bổ</v>
      </c>
      <c r="AV30" s="465" t="str">
        <f t="shared" si="20"/>
        <v>OK</v>
      </c>
      <c r="AW30" s="479" t="str">
        <f>'Trung tâm nhập liệu'!Y131</f>
        <v/>
      </c>
    </row>
    <row r="31" ht="15.75" customHeight="1">
      <c r="A31" s="424">
        <f t="shared" si="11"/>
        <v>18</v>
      </c>
      <c r="B31" s="425" t="str">
        <f>'Trung tâm nhập liệu'!F132</f>
        <v>Chốt kế hoạch KSTT &amp; KH</v>
      </c>
      <c r="C31" s="427" t="str">
        <f>'Trung tâm nhập liệu'!M132</f>
        <v>P2</v>
      </c>
      <c r="D31" s="499">
        <f t="shared" ref="D31:E31" si="66">AF31</f>
        <v>0</v>
      </c>
      <c r="E31" s="501">
        <f t="shared" si="66"/>
        <v>41</v>
      </c>
      <c r="F31" s="431">
        <f t="shared" ref="F31:G31" si="67">S31</f>
        <v>46295</v>
      </c>
      <c r="G31" s="431">
        <f t="shared" si="67"/>
        <v>46235</v>
      </c>
      <c r="H31" s="432" t="str">
        <f>IF(B31="","",IF(COUNTIF('Lớp 5 - Phân công'!$J$14:$J$262,I31)&gt;0,"Có","Không"))</f>
        <v>Không</v>
      </c>
      <c r="I31" s="434" t="str">
        <f>'Trung tâm nhập liệu'!B132</f>
        <v>HHL4RD18</v>
      </c>
      <c r="J31" s="432" t="str">
        <f>'Trung tâm nhập liệu'!D132</f>
        <v>HHL3RD01</v>
      </c>
      <c r="K31" s="436">
        <f t="array" ref="K31">IFERROR(INDEX('Lớp 3 - Công việc chính'!$J$14:$J$73,MATCH(J31,'Lớp 3 - Công việc chính'!$I$14:$I$73,0)),"")</f>
        <v>2026</v>
      </c>
      <c r="L31" s="438" t="str">
        <f t="array" ref="L31">IFERROR(INDEX('Lớp 3 - Công việc chính'!$K$14:$K$73,MATCH(J31,'Lớp 3 - Công việc chính'!$I$14:$I$73,0)),"")</f>
        <v>Cấp phòng ban</v>
      </c>
      <c r="M31" s="439" t="str">
        <f t="array" ref="M31">IFERROR(INDEX('Lớp 3 - Công việc chính'!$L$14:$L$73,MATCH(J31,'Lớp 3 - Công việc chính'!$I$14:$I$73,0)),"")</f>
        <v>Chiến lược/sống còn</v>
      </c>
      <c r="N31" s="439" t="str">
        <f t="array" ref="N31">IFERROR(INDEX('Lớp 3 - Công việc chính'!$M$14:$M$73,MATCH(J31,'Lớp 3 - Công việc chính'!$I$14:$I$73,0)),"")</f>
        <v>KH sản phẩm 2027-2030</v>
      </c>
      <c r="O31" s="440" t="str">
        <f t="shared" ref="O31:R31" si="68">B31</f>
        <v>Chốt kế hoạch KSTT &amp; KH</v>
      </c>
      <c r="P31" s="441" t="str">
        <f t="shared" si="68"/>
        <v>P2</v>
      </c>
      <c r="Q31" s="442">
        <f t="shared" si="68"/>
        <v>0</v>
      </c>
      <c r="R31" s="443">
        <f t="shared" si="68"/>
        <v>41</v>
      </c>
      <c r="S31" s="445">
        <f>IF($I31="","",LET(n,COUNTIFS('Lớp 5 - Phân công'!$J$14:$J$262,$I31,'Lớp 5 - Phân công'!$AB$14:$AB$262,"&lt;&gt;Hủy"),child,IFERROR(MAXIFS('Lớp 5 - Phân công'!$AE$14:$AE$262,'Lớp 5 - Phân công'!$J$14:$J$262,$I31,'Lớp 5 - Phân công'!$AB$14:$AB$262,"&lt;&gt;Hủy",'Lớp 5 - Phân công'!$AE$14:$AE$262,"&gt;0"),0),plan,'Trung tâm nhập liệu'!Q132,emergent,LOWER(TRIM('Trung tâm nhập liệu'!O132))="khi phát sinh",IF(n=0,IF(emergent,"",plan),IF(child=0,IF(emergent,"",plan),IF(OR(emergent,plan=""),child,MAX(plan,child))))))</f>
        <v>46295</v>
      </c>
      <c r="T31" s="447">
        <f>IF($I31="","",LET(n,COUNTIFS('Lớp 5 - Phân công'!$J$14:$J$262,$I31,'Lớp 5 - Phân công'!$AB$14:$AB$262,"&lt;&gt;Hủy"),child,IFERROR(MINIFS('Lớp 5 - Phân công'!$AD$14:$AD$262,'Lớp 5 - Phân công'!$J$14:$J$262,$I31,'Lớp 5 - Phân công'!$AB$14:$AB$262,"&lt;&gt;Hủy",'Lớp 5 - Phân công'!$AD$14:$AD$262,"&gt;0"),0),plan,'Trung tâm nhập liệu'!R132,emergent,LOWER(TRIM('Trung tâm nhập liệu'!O132))="khi phát sinh",IF(n=0,IF(emergent,"",plan),IF(child=0,IF(emergent,"",plan),IF(OR(emergent,plan=""),child,MIN(plan,child))))))</f>
        <v>46235</v>
      </c>
      <c r="U31" s="432" t="str">
        <f t="shared" si="15"/>
        <v>Không</v>
      </c>
      <c r="V31" s="432" t="str">
        <f>'Trung tâm nhập liệu'!G132</f>
        <v>Kế hoạch khảo sát thị trường và kế hoạch triển khai được chốt.</v>
      </c>
      <c r="W31" s="432" t="str">
        <f>'Trung tâm nhập liệu'!H132</f>
        <v/>
      </c>
      <c r="X31" s="450" t="str">
        <f t="array" ref="X31">IFERROR(INDEX('Lớp 3 - Công việc chính'!$W$14:$W$73,MATCH(J31,'Lớp 3 - Công việc chính'!$I$14:$I$73,0)),"")</f>
        <v>R&amp;D</v>
      </c>
      <c r="Y31" s="432" t="str">
        <f>'Trung tâm nhập liệu'!J132</f>
        <v>GĐ BOC</v>
      </c>
      <c r="Z31" s="432" t="str">
        <f>'Trung tâm nhập liệu'!K132</f>
        <v>Ms Trang</v>
      </c>
      <c r="AA31" s="425" t="str">
        <f>'Trung tâm nhập liệu'!L132</f>
        <v>Đang thực hiện</v>
      </c>
      <c r="AB31" s="441" t="str">
        <f>'Trung tâm nhập liệu'!M132</f>
        <v>P2</v>
      </c>
      <c r="AC31" s="447">
        <f t="shared" si="16"/>
        <v>46235</v>
      </c>
      <c r="AD31" s="445">
        <f t="shared" si="17"/>
        <v>46295</v>
      </c>
      <c r="AE31" s="457">
        <f>IF(AL31&lt;&gt;"Có thời hạn","",IF(OR(AC31="",AD31=""),"",IF(AD31&lt;AC31,"",_xlfn.NETWORKDAYS.INTL(AC31,AD31,11,'Ngày nghỉ lễ'!$A$5:$A$80))))</f>
        <v>50</v>
      </c>
      <c r="AF31" s="458">
        <f>IF(I31="","",IF(L31="Công việc khác","",IF(OR(AA31="Chưa lên lịch",AA31="Đã lên lịch",AA31="Hủy"),"",IF(COUNTIFS('Lớp 5 - Phân công'!$J$14:$J$262,I31,'Lớp 5 - Phân công'!$AB$14:$AB$262,"&lt;&gt;",'Lớp 5 - Phân công'!$AB$14:$AB$262,"&lt;&gt;Hủy",'Lớp 5 - Phân công'!$AB$14:$AB$262,"&lt;&gt;Chưa lên lịch",'Lớp 5 - Phân công'!$AB$14:$AB$262,"&lt;&gt;Đã lên lịch")&gt;0,SUMIFS('Lớp 5 - Phân công'!$AG$14:$AG$262,'Lớp 5 - Phân công'!$J$14:$J$262,I31,'Lớp 5 - Phân công'!$AB$14:$AB$262,"&lt;&gt;",'Lớp 5 - Phân công'!$AB$14:$AB$262,"&lt;&gt;Hủy",'Lớp 5 - Phân công'!$AB$14:$AB$262,"&lt;&gt;Chưa lên lịch",'Lớp 5 - Phân công'!$AB$14:$AB$262,"&lt;&gt;Đã lên lịch")/COUNTIFS('Lớp 5 - Phân công'!$J$14:$J$262,I31,'Lớp 5 - Phân công'!$AB$14:$AB$262,"&lt;&gt;",'Lớp 5 - Phân công'!$AB$14:$AB$262,"&lt;&gt;Hủy",'Lớp 5 - Phân công'!$AB$14:$AB$262,"&lt;&gt;Chưa lên lịch",'Lớp 5 - Phân công'!$AB$14:$AB$262,"&lt;&gt;Đã lên lịch"),IF(AA31="Hoàn thành",1,0)))))</f>
        <v>0</v>
      </c>
      <c r="AG31" s="461">
        <f>IF(AL31&lt;&gt;"Có thời hạn","",IF(OR(I31="",AC31="",AD31=""),"",IF(OR(AA31="Hoàn thành",AA31="Hủy"),0,IF(AD31&lt;TODAY(),-_xlfn.NETWORKDAYS.INTL(AD31,TODAY()-1,11,'Ngày nghỉ lễ'!$A$5:$A$80),MAX(0,_xlfn.NETWORKDAYS.INTL(MAX(TODAY()+1,AC31),AD31,11,'Ngày nghỉ lễ'!$A$5:$A$80))))))</f>
        <v>41</v>
      </c>
      <c r="AH31" s="466">
        <f>IF($I31="","",LET(n,COUNTIFS('Lớp 5 - Phân công'!$J$14:$J$262,$I31,'Lớp 5 - Phân công'!$AB$14:$AB$262,"&lt;&gt;Hủy"),du,COUNTIFS('Lớp 5 - Phân công'!$J$14:$J$262,$I31,'Lớp 5 - Phân công'!$AB$14:$AB$262,"&lt;&gt;Hủy",'Lớp 5 - Phân công'!$AI$14:$AI$262,"&lt;&gt;"),IF(n=0,'Trung tâm nhập liệu'!T132,IF(du&lt;n,"",SUMIFS('Lớp 5 - Phân công'!$AI$14:$AI$262,'Lớp 5 - Phân công'!$J$14:$J$262,$I31,'Lớp 5 - Phân công'!$AB$14:$AB$262,"&lt;&gt;Hủy")))))</f>
        <v>32</v>
      </c>
      <c r="AI31" s="468" t="str">
        <f>IF(I31="","",IF(OR(AA31="Hoàn thành",AA31="Hủy"),"",IF(COUNTIFS('Lớp 5 - Phân công'!$J$14:$J$262,I31,'Lớp 5 - Phân công'!$AB$14:$AB$262,"&lt;&gt;Hủy")&gt;0,"",IF(AR31="Ngày",AS31,IF(AR31="Tuần",AS31/5,"")))))</f>
        <v/>
      </c>
      <c r="AJ31" s="477" t="str">
        <f>IF(AL31="Chưa xếp lịch","Chưa xếp lịch",IF(AL31="Định kỳ",IF(AM31="","Thiếu chu kỳ","Theo chu kỳ"),IF(AL31="Khi phát sinh",IF(COUNTIFS('Lớp 5 - Phân công'!$J$14:$J$262,$I31,'Lớp 5 - Phân công'!$AB$14:$AB$262,"&lt;&gt;Hủy")=0,"Khi phát sinh – chờ việc con","Khi phát sinh – theo ngày con"),IF(I31="","",LET(n,COUNTIFS('Lớp 5 - Phân công'!$J$14:$J$262,$I31,'Lớp 5 - Phân công'!$AB$14:$AB$262,"&lt;&gt;Hủy"),cs,IFERROR(MINIFS('Lớp 5 - Phân công'!$AD$14:$AD$262,'Lớp 5 - Phân công'!$J$14:$J$262,$I31,'Lớp 5 - Phân công'!$AB$14:$AB$262,"&lt;&gt;Hủy",'Lớp 5 - Phân công'!$AD$14:$AD$262,"&gt;0"),0),ce,IFERROR(MAXIFS('Lớp 5 - Phân công'!$AE$14:$AE$262,'Lớp 5 - Phân công'!$J$14:$J$262,$I31,'Lớp 5 - Phân công'!$AB$14:$AB$262,"&lt;&gt;Hủy",'Lớp 5 - Phân công'!$AE$14:$AE$262,"&gt;0"),0),ps,'Trung tâm nhập liệu'!R132,pe,'Trung tâm nhập liệu'!Q132,IF(OR(AC31="",AD31=""),"Thiếu ngày L4",IF(n=0,"Chưa có L5",IF(OR(cs=0,ce=0),"Thiếu ngày L5",IF(OR(ps="",pe=""),"Thiếu ngày kế hoạch gốc L4",IF(OR(cs&lt;ps,ce&gt;pe),"Cảnh báo: Con vượt khung kế hoạch gốc","L5 đúng khung kế hoạch gốc"))))))))))</f>
        <v>Chưa có L5</v>
      </c>
      <c r="AK31" s="465" t="str">
        <f>IF(OR(AU31="Thiếu tham số phân bổ",AU31="Phân bổ phải &gt; 0"),AU31,SWITCH(AL31,"Chưa xếp lịch","Chưa tính tải","Định kỳ","Theo chu kỳ","Khi phát sinh","Khi phát sinh",IF(I31="","",IF(OR(AA31="Hoàn thành",AA31="Hủy"),AA31,IF(COUNTIFS('Lớp 5 - Phân công'!$J$14:$J$262,I31,'Lớp 5 - Phân công'!$AB$14:$AB$262,"&lt;&gt;Hủy")&gt;0,"Theo dõi tải tại Lớp 5",IF(AH31="","Chưa nhập khối lượng",IF(Z31="","Thiếu người thực hiện",IF(OR(AC31="",AD31=""),"Chưa nhập đủ thời gian",IF(AG31&lt;0,"Quá hạn – còn "&amp;TEXT(MAX(0,AH31*(1-AF31)),"0.0")&amp;" giờ",LET(bd,MAX(TODAY(),AC31),kt,AD31,nguoi,Z31,tai,SUMIFS('Lớp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1" s="467" t="str">
        <f>'Trung tâm nhập liệu'!O132</f>
        <v>Có thời hạn</v>
      </c>
      <c r="AM31" s="469" t="str">
        <f>'Trung tâm nhập liệu'!P132</f>
        <v/>
      </c>
      <c r="AN31" s="470" t="str">
        <f>'Trung tâm nhập liệu'!S132</f>
        <v/>
      </c>
      <c r="AO31" s="470" t="str">
        <f>'Trung tâm nhập liệu'!X132</f>
        <v/>
      </c>
      <c r="AP31" s="471" t="str">
        <f t="shared" si="18"/>
        <v/>
      </c>
      <c r="AQ31" s="469" t="str">
        <f t="shared" si="19"/>
        <v/>
      </c>
      <c r="AR31" s="475" t="str">
        <f>'Trung tâm nhập liệu'!V132</f>
        <v/>
      </c>
      <c r="AS31" s="476" t="str">
        <f>'Trung tâm nhập liệu'!W132</f>
        <v/>
      </c>
      <c r="AT31" s="478" t="str">
        <f>IF(AL31&lt;&gt;"Có thời hạn","",IF(OR(I31="",AH31="",AA31="Hoàn thành",AA31="Hủy",COUNTIFS('Lớp 5 - Phân công'!$J$14:$J$262,I31,'Lớp 5 - Phân công'!$AB$14:$AB$262,"&lt;&gt;Hủy")&gt;0),"",LET(canNgay,MAX(0,AH31*(1-AF31))/MAX(1,AG31),IF(AR31="Ngày",canNgay,IF(AR31="Tuần",canNgay*5,"")))))</f>
        <v/>
      </c>
      <c r="AU31" s="465" t="str">
        <f>IF(I31="","",IF(COUNTIFS('Lớp 5 - Phân công'!$J$14:$J$262,I31,'Lớp 5 - Phân công'!$AB$14:$AB$262,"&lt;&gt;Hủy")&gt;0,"Theo dõi phân bổ tại Lớp 5",IF(OR(AA31="Hoàn thành",AA31="Hủy"),AA31,IF(AH31="","Thiếu tổng giờ",IF(OR(AR31="",AS31=""),"Thiếu tham số phân bổ",IF(AS31&lt;=0,"Phân bổ phải &gt; 0",IF(AL31&lt;&gt;"Có thời hạn","Đã có phân bổ",IF(AT31="","Chưa đủ dữ liệu hạn",IF(AS31&gt;=AT31,"Đủ phân bổ theo "&amp;LOWER(AR31),"Thiếu "&amp;TEXT(AT31-AS31,"0.0")&amp;" giờ/"&amp;LOWER(AR31))))))))))</f>
        <v>Thiếu tham số phân bổ</v>
      </c>
      <c r="AV31" s="465" t="str">
        <f t="shared" si="20"/>
        <v>OK</v>
      </c>
      <c r="AW31" s="479" t="str">
        <f>'Trung tâm nhập liệu'!Y132</f>
        <v/>
      </c>
    </row>
    <row r="32" ht="15.75" customHeight="1">
      <c r="A32" s="424">
        <f t="shared" si="11"/>
        <v>19</v>
      </c>
      <c r="B32" s="425" t="str">
        <f>'Trung tâm nhập liệu'!F133</f>
        <v>TH &amp; BC đánh giá hiệu quả của SP OEM từ 2022 đến nay</v>
      </c>
      <c r="C32" s="427" t="str">
        <f>'Trung tâm nhập liệu'!M133</f>
        <v>P2</v>
      </c>
      <c r="D32" s="528">
        <f t="shared" ref="D32:E32" si="69">AF32</f>
        <v>0</v>
      </c>
      <c r="E32" s="501">
        <f t="shared" si="69"/>
        <v>-1</v>
      </c>
      <c r="F32" s="431">
        <f t="shared" ref="F32:G32" si="70">S32</f>
        <v>46244</v>
      </c>
      <c r="G32" s="431">
        <f t="shared" si="70"/>
        <v>46235</v>
      </c>
      <c r="H32" s="432" t="str">
        <f>IF(B32="","",IF(COUNTIF('Lớp 5 - Phân công'!$J$14:$J$262,I32)&gt;0,"Có","Không"))</f>
        <v>Không</v>
      </c>
      <c r="I32" s="434" t="str">
        <f>'Trung tâm nhập liệu'!B133</f>
        <v>HHL4RD19</v>
      </c>
      <c r="J32" s="432" t="str">
        <f>'Trung tâm nhập liệu'!D133</f>
        <v>HHL3RD02</v>
      </c>
      <c r="K32" s="436">
        <f t="array" ref="K32">IFERROR(INDEX('Lớp 3 - Công việc chính'!$J$14:$J$73,MATCH(J32,'Lớp 3 - Công việc chính'!$I$14:$I$73,0)),"")</f>
        <v>2026</v>
      </c>
      <c r="L32" s="438" t="str">
        <f t="array" ref="L32">IFERROR(INDEX('Lớp 3 - Công việc chính'!$K$14:$K$73,MATCH(J32,'Lớp 3 - Công việc chính'!$I$14:$I$73,0)),"")</f>
        <v>Cấp phòng ban</v>
      </c>
      <c r="M32" s="439" t="str">
        <f t="array" ref="M32">IFERROR(INDEX('Lớp 3 - Công việc chính'!$L$14:$L$73,MATCH(J32,'Lớp 3 - Công việc chính'!$I$14:$I$73,0)),"")</f>
        <v>Chiến lược/sống còn</v>
      </c>
      <c r="N32" s="439" t="str">
        <f t="array" ref="N32">IFERROR(INDEX('Lớp 3 - Công việc chính'!$M$14:$M$73,MATCH(J32,'Lớp 3 - Công việc chính'!$I$14:$I$73,0)),"")</f>
        <v>Danh mục SP OEM đề xuất</v>
      </c>
      <c r="O32" s="440" t="str">
        <f t="shared" ref="O32:R32" si="71">B32</f>
        <v>TH &amp; BC đánh giá hiệu quả của SP OEM từ 2022 đến nay</v>
      </c>
      <c r="P32" s="441" t="str">
        <f t="shared" si="71"/>
        <v>P2</v>
      </c>
      <c r="Q32" s="442">
        <f t="shared" si="71"/>
        <v>0</v>
      </c>
      <c r="R32" s="443">
        <f t="shared" si="71"/>
        <v>-1</v>
      </c>
      <c r="S32" s="445">
        <f>IF($I32="","",LET(n,COUNTIFS('Lớp 5 - Phân công'!$J$14:$J$262,$I32,'Lớp 5 - Phân công'!$AB$14:$AB$262,"&lt;&gt;Hủy"),child,IFERROR(MAXIFS('Lớp 5 - Phân công'!$AE$14:$AE$262,'Lớp 5 - Phân công'!$J$14:$J$262,$I32,'Lớp 5 - Phân công'!$AB$14:$AB$262,"&lt;&gt;Hủy",'Lớp 5 - Phân công'!$AE$14:$AE$262,"&gt;0"),0),plan,'Trung tâm nhập liệu'!Q133,emergent,LOWER(TRIM('Trung tâm nhập liệu'!O133))="khi phát sinh",IF(n=0,IF(emergent,"",plan),IF(child=0,IF(emergent,"",plan),IF(OR(emergent,plan=""),child,MAX(plan,child))))))</f>
        <v>46244</v>
      </c>
      <c r="T32" s="447">
        <f>IF($I32="","",LET(n,COUNTIFS('Lớp 5 - Phân công'!$J$14:$J$262,$I32,'Lớp 5 - Phân công'!$AB$14:$AB$262,"&lt;&gt;Hủy"),child,IFERROR(MINIFS('Lớp 5 - Phân công'!$AD$14:$AD$262,'Lớp 5 - Phân công'!$J$14:$J$262,$I32,'Lớp 5 - Phân công'!$AB$14:$AB$262,"&lt;&gt;Hủy",'Lớp 5 - Phân công'!$AD$14:$AD$262,"&gt;0"),0),plan,'Trung tâm nhập liệu'!R133,emergent,LOWER(TRIM('Trung tâm nhập liệu'!O133))="khi phát sinh",IF(n=0,IF(emergent,"",plan),IF(child=0,IF(emergent,"",plan),IF(OR(emergent,plan=""),child,MIN(plan,child))))))</f>
        <v>46235</v>
      </c>
      <c r="U32" s="432" t="str">
        <f t="shared" si="15"/>
        <v>Không</v>
      </c>
      <c r="V32" s="432" t="str">
        <f>'Trung tâm nhập liệu'!G133</f>
        <v>Báo cáo đánh giá hiệu quả sản phẩm OEM từ 2022 đến nay.</v>
      </c>
      <c r="W32" s="432" t="str">
        <f>'Trung tâm nhập liệu'!H133</f>
        <v/>
      </c>
      <c r="X32" s="450" t="str">
        <f t="array" ref="X32">IFERROR(INDEX('Lớp 3 - Công việc chính'!$W$14:$W$73,MATCH(J32,'Lớp 3 - Công việc chính'!$I$14:$I$73,0)),"")</f>
        <v>R&amp;D</v>
      </c>
      <c r="Y32" s="432" t="str">
        <f>'Trung tâm nhập liệu'!J133</f>
        <v>GĐ BOC</v>
      </c>
      <c r="Z32" s="432" t="str">
        <f>'Trung tâm nhập liệu'!K133</f>
        <v>Ms Trang</v>
      </c>
      <c r="AA32" s="425" t="str">
        <f>'Trung tâm nhập liệu'!L133</f>
        <v>Đang thực hiện</v>
      </c>
      <c r="AB32" s="441" t="str">
        <f>'Trung tâm nhập liệu'!M133</f>
        <v>P2</v>
      </c>
      <c r="AC32" s="447">
        <f t="shared" si="16"/>
        <v>46235</v>
      </c>
      <c r="AD32" s="445">
        <f t="shared" si="17"/>
        <v>46244</v>
      </c>
      <c r="AE32" s="457">
        <f>IF(AL32&lt;&gt;"Có thời hạn","",IF(OR(AC32="",AD32=""),"",IF(AD32&lt;AC32,"",_xlfn.NETWORKDAYS.INTL(AC32,AD32,11,'Ngày nghỉ lễ'!$A$5:$A$80))))</f>
        <v>8</v>
      </c>
      <c r="AF32" s="458">
        <f>IF(I32="","",IF(L32="Công việc khác","",IF(OR(AA32="Chưa lên lịch",AA32="Đã lên lịch",AA32="Hủy"),"",IF(COUNTIFS('Lớp 5 - Phân công'!$J$14:$J$262,I32,'Lớp 5 - Phân công'!$AB$14:$AB$262,"&lt;&gt;",'Lớp 5 - Phân công'!$AB$14:$AB$262,"&lt;&gt;Hủy",'Lớp 5 - Phân công'!$AB$14:$AB$262,"&lt;&gt;Chưa lên lịch",'Lớp 5 - Phân công'!$AB$14:$AB$262,"&lt;&gt;Đã lên lịch")&gt;0,SUMIFS('Lớp 5 - Phân công'!$AG$14:$AG$262,'Lớp 5 - Phân công'!$J$14:$J$262,I32,'Lớp 5 - Phân công'!$AB$14:$AB$262,"&lt;&gt;",'Lớp 5 - Phân công'!$AB$14:$AB$262,"&lt;&gt;Hủy",'Lớp 5 - Phân công'!$AB$14:$AB$262,"&lt;&gt;Chưa lên lịch",'Lớp 5 - Phân công'!$AB$14:$AB$262,"&lt;&gt;Đã lên lịch")/COUNTIFS('Lớp 5 - Phân công'!$J$14:$J$262,I32,'Lớp 5 - Phân công'!$AB$14:$AB$262,"&lt;&gt;",'Lớp 5 - Phân công'!$AB$14:$AB$262,"&lt;&gt;Hủy",'Lớp 5 - Phân công'!$AB$14:$AB$262,"&lt;&gt;Chưa lên lịch",'Lớp 5 - Phân công'!$AB$14:$AB$262,"&lt;&gt;Đã lên lịch"),IF(AA32="Hoàn thành",1,0)))))</f>
        <v>0</v>
      </c>
      <c r="AG32" s="461">
        <f>IF(AL32&lt;&gt;"Có thời hạn","",IF(OR(I32="",AC32="",AD32=""),"",IF(OR(AA32="Hoàn thành",AA32="Hủy"),0,IF(AD32&lt;TODAY(),-_xlfn.NETWORKDAYS.INTL(AD32,TODAY()-1,11,'Ngày nghỉ lễ'!$A$5:$A$80),MAX(0,_xlfn.NETWORKDAYS.INTL(MAX(TODAY()+1,AC32),AD32,11,'Ngày nghỉ lễ'!$A$5:$A$80))))))</f>
        <v>-1</v>
      </c>
      <c r="AH32" s="466">
        <f>IF($I32="","",LET(n,COUNTIFS('Lớp 5 - Phân công'!$J$14:$J$262,$I32,'Lớp 5 - Phân công'!$AB$14:$AB$262,"&lt;&gt;Hủy"),du,COUNTIFS('Lớp 5 - Phân công'!$J$14:$J$262,$I32,'Lớp 5 - Phân công'!$AB$14:$AB$262,"&lt;&gt;Hủy",'Lớp 5 - Phân công'!$AI$14:$AI$262,"&lt;&gt;"),IF(n=0,'Trung tâm nhập liệu'!T133,IF(du&lt;n,"",SUMIFS('Lớp 5 - Phân công'!$AI$14:$AI$262,'Lớp 5 - Phân công'!$J$14:$J$262,$I32,'Lớp 5 - Phân công'!$AB$14:$AB$262,"&lt;&gt;Hủy")))))</f>
        <v>40</v>
      </c>
      <c r="AI32" s="468" t="str">
        <f>IF(I32="","",IF(OR(AA32="Hoàn thành",AA32="Hủy"),"",IF(COUNTIFS('Lớp 5 - Phân công'!$J$14:$J$262,I32,'Lớp 5 - Phân công'!$AB$14:$AB$262,"&lt;&gt;Hủy")&gt;0,"",IF(AR32="Ngày",AS32,IF(AR32="Tuần",AS32/5,"")))))</f>
        <v/>
      </c>
      <c r="AJ32" s="477" t="str">
        <f>IF(AL32="Chưa xếp lịch","Chưa xếp lịch",IF(AL32="Định kỳ",IF(AM32="","Thiếu chu kỳ","Theo chu kỳ"),IF(AL32="Khi phát sinh",IF(COUNTIFS('Lớp 5 - Phân công'!$J$14:$J$262,$I32,'Lớp 5 - Phân công'!$AB$14:$AB$262,"&lt;&gt;Hủy")=0,"Khi phát sinh – chờ việc con","Khi phát sinh – theo ngày con"),IF(I32="","",LET(n,COUNTIFS('Lớp 5 - Phân công'!$J$14:$J$262,$I32,'Lớp 5 - Phân công'!$AB$14:$AB$262,"&lt;&gt;Hủy"),cs,IFERROR(MINIFS('Lớp 5 - Phân công'!$AD$14:$AD$262,'Lớp 5 - Phân công'!$J$14:$J$262,$I32,'Lớp 5 - Phân công'!$AB$14:$AB$262,"&lt;&gt;Hủy",'Lớp 5 - Phân công'!$AD$14:$AD$262,"&gt;0"),0),ce,IFERROR(MAXIFS('Lớp 5 - Phân công'!$AE$14:$AE$262,'Lớp 5 - Phân công'!$J$14:$J$262,$I32,'Lớp 5 - Phân công'!$AB$14:$AB$262,"&lt;&gt;Hủy",'Lớp 5 - Phân công'!$AE$14:$AE$262,"&gt;0"),0),ps,'Trung tâm nhập liệu'!R133,pe,'Trung tâm nhập liệu'!Q133,IF(OR(AC32="",AD32=""),"Thiếu ngày L4",IF(n=0,"Chưa có L5",IF(OR(cs=0,ce=0),"Thiếu ngày L5",IF(OR(ps="",pe=""),"Thiếu ngày kế hoạch gốc L4",IF(OR(cs&lt;ps,ce&gt;pe),"Cảnh báo: Con vượt khung kế hoạch gốc","L5 đúng khung kế hoạch gốc"))))))))))</f>
        <v>Chưa có L5</v>
      </c>
      <c r="AK32" s="465" t="str">
        <f>IF(OR(AU32="Thiếu tham số phân bổ",AU32="Phân bổ phải &gt; 0"),AU32,SWITCH(AL32,"Chưa xếp lịch","Chưa tính tải","Định kỳ","Theo chu kỳ","Khi phát sinh","Khi phát sinh",IF(I32="","",IF(OR(AA32="Hoàn thành",AA32="Hủy"),AA32,IF(COUNTIFS('Lớp 5 - Phân công'!$J$14:$J$262,I32,'Lớp 5 - Phân công'!$AB$14:$AB$262,"&lt;&gt;Hủy")&gt;0,"Theo dõi tải tại Lớp 5",IF(AH32="","Chưa nhập khối lượng",IF(Z32="","Thiếu người thực hiện",IF(OR(AC32="",AD32=""),"Chưa nhập đủ thời gian",IF(AG32&lt;0,"Quá hạn – còn "&amp;TEXT(MAX(0,AH32*(1-AF32)),"0.0")&amp;" giờ",LET(bd,MAX(TODAY(),AC32),kt,AD32,nguoi,Z32,tai,SUMIFS('Lớp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2" s="467" t="str">
        <f>'Trung tâm nhập liệu'!O133</f>
        <v>Có thời hạn</v>
      </c>
      <c r="AM32" s="469" t="str">
        <f>'Trung tâm nhập liệu'!P133</f>
        <v/>
      </c>
      <c r="AN32" s="470" t="str">
        <f>'Trung tâm nhập liệu'!S133</f>
        <v/>
      </c>
      <c r="AO32" s="470" t="str">
        <f>'Trung tâm nhập liệu'!X133</f>
        <v/>
      </c>
      <c r="AP32" s="471" t="str">
        <f t="shared" si="18"/>
        <v/>
      </c>
      <c r="AQ32" s="469" t="str">
        <f t="shared" si="19"/>
        <v/>
      </c>
      <c r="AR32" s="475" t="str">
        <f>'Trung tâm nhập liệu'!V133</f>
        <v/>
      </c>
      <c r="AS32" s="476" t="str">
        <f>'Trung tâm nhập liệu'!W133</f>
        <v/>
      </c>
      <c r="AT32" s="478" t="str">
        <f>IF(AL32&lt;&gt;"Có thời hạn","",IF(OR(I32="",AH32="",AA32="Hoàn thành",AA32="Hủy",COUNTIFS('Lớp 5 - Phân công'!$J$14:$J$262,I32,'Lớp 5 - Phân công'!$AB$14:$AB$262,"&lt;&gt;Hủy")&gt;0),"",LET(canNgay,MAX(0,AH32*(1-AF32))/MAX(1,AG32),IF(AR32="Ngày",canNgay,IF(AR32="Tuần",canNgay*5,"")))))</f>
        <v/>
      </c>
      <c r="AU32" s="465" t="str">
        <f>IF(I32="","",IF(COUNTIFS('Lớp 5 - Phân công'!$J$14:$J$262,I32,'Lớp 5 - Phân công'!$AB$14:$AB$262,"&lt;&gt;Hủy")&gt;0,"Theo dõi phân bổ tại Lớp 5",IF(OR(AA32="Hoàn thành",AA32="Hủy"),AA32,IF(AH32="","Thiếu tổng giờ",IF(OR(AR32="",AS32=""),"Thiếu tham số phân bổ",IF(AS32&lt;=0,"Phân bổ phải &gt; 0",IF(AL32&lt;&gt;"Có thời hạn","Đã có phân bổ",IF(AT32="","Chưa đủ dữ liệu hạn",IF(AS32&gt;=AT32,"Đủ phân bổ theo "&amp;LOWER(AR32),"Thiếu "&amp;TEXT(AT32-AS32,"0.0")&amp;" giờ/"&amp;LOWER(AR32))))))))))</f>
        <v>Thiếu tham số phân bổ</v>
      </c>
      <c r="AV32" s="465" t="str">
        <f t="shared" si="20"/>
        <v>OK</v>
      </c>
      <c r="AW32" s="479" t="str">
        <f>'Trung tâm nhập liệu'!Y133</f>
        <v/>
      </c>
    </row>
    <row r="33" ht="15.75" customHeight="1">
      <c r="A33" s="424">
        <f t="shared" si="11"/>
        <v>20</v>
      </c>
      <c r="B33" s="425" t="str">
        <f>'Trung tâm nhập liệu'!F134</f>
        <v>Đánh giá QHSP 2026, các vđ cần khắc phục</v>
      </c>
      <c r="C33" s="427" t="str">
        <f>'Trung tâm nhập liệu'!M134</f>
        <v>P4</v>
      </c>
      <c r="D33" s="566">
        <f t="shared" ref="D33:E33" si="72">AF33</f>
        <v>0</v>
      </c>
      <c r="E33" s="567">
        <f t="shared" si="72"/>
        <v>41</v>
      </c>
      <c r="F33" s="431">
        <f t="shared" ref="F33:G33" si="73">S33</f>
        <v>46295</v>
      </c>
      <c r="G33" s="431">
        <f t="shared" si="73"/>
        <v>46235</v>
      </c>
      <c r="H33" s="432" t="str">
        <f>IF(B33="","",IF(COUNTIF('Lớp 5 - Phân công'!$J$14:$J$262,I33)&gt;0,"Có","Không"))</f>
        <v>Không</v>
      </c>
      <c r="I33" s="434" t="str">
        <f>'Trung tâm nhập liệu'!B134</f>
        <v>HHL4RD20</v>
      </c>
      <c r="J33" s="432" t="str">
        <f>'Trung tâm nhập liệu'!D134</f>
        <v>HHL3RD01</v>
      </c>
      <c r="K33" s="436">
        <f t="array" ref="K33">IFERROR(INDEX('Lớp 3 - Công việc chính'!$J$14:$J$73,MATCH(J33,'Lớp 3 - Công việc chính'!$I$14:$I$73,0)),"")</f>
        <v>2026</v>
      </c>
      <c r="L33" s="438" t="str">
        <f t="array" ref="L33">IFERROR(INDEX('Lớp 3 - Công việc chính'!$K$14:$K$73,MATCH(J33,'Lớp 3 - Công việc chính'!$I$14:$I$73,0)),"")</f>
        <v>Cấp phòng ban</v>
      </c>
      <c r="M33" s="439" t="str">
        <f t="array" ref="M33">IFERROR(INDEX('Lớp 3 - Công việc chính'!$L$14:$L$73,MATCH(J33,'Lớp 3 - Công việc chính'!$I$14:$I$73,0)),"")</f>
        <v>Chiến lược/sống còn</v>
      </c>
      <c r="N33" s="439" t="str">
        <f t="array" ref="N33">IFERROR(INDEX('Lớp 3 - Công việc chính'!$M$14:$M$73,MATCH(J33,'Lớp 3 - Công việc chính'!$I$14:$I$73,0)),"")</f>
        <v>KH sản phẩm 2027-2030</v>
      </c>
      <c r="O33" s="440" t="str">
        <f t="shared" ref="O33:R33" si="74">B33</f>
        <v>Đánh giá QHSP 2026, các vđ cần khắc phục</v>
      </c>
      <c r="P33" s="441" t="str">
        <f t="shared" si="74"/>
        <v>P4</v>
      </c>
      <c r="Q33" s="442">
        <f t="shared" si="74"/>
        <v>0</v>
      </c>
      <c r="R33" s="443">
        <f t="shared" si="74"/>
        <v>41</v>
      </c>
      <c r="S33" s="445">
        <f>IF($I33="","",LET(n,COUNTIFS('Lớp 5 - Phân công'!$J$14:$J$262,$I33,'Lớp 5 - Phân công'!$AB$14:$AB$262,"&lt;&gt;Hủy"),child,IFERROR(MAXIFS('Lớp 5 - Phân công'!$AE$14:$AE$262,'Lớp 5 - Phân công'!$J$14:$J$262,$I33,'Lớp 5 - Phân công'!$AB$14:$AB$262,"&lt;&gt;Hủy",'Lớp 5 - Phân công'!$AE$14:$AE$262,"&gt;0"),0),plan,'Trung tâm nhập liệu'!Q134,emergent,LOWER(TRIM('Trung tâm nhập liệu'!O134))="khi phát sinh",IF(n=0,IF(emergent,"",plan),IF(child=0,IF(emergent,"",plan),IF(OR(emergent,plan=""),child,MAX(plan,child))))))</f>
        <v>46295</v>
      </c>
      <c r="T33" s="447">
        <f>IF($I33="","",LET(n,COUNTIFS('Lớp 5 - Phân công'!$J$14:$J$262,$I33,'Lớp 5 - Phân công'!$AB$14:$AB$262,"&lt;&gt;Hủy"),child,IFERROR(MINIFS('Lớp 5 - Phân công'!$AD$14:$AD$262,'Lớp 5 - Phân công'!$J$14:$J$262,$I33,'Lớp 5 - Phân công'!$AB$14:$AB$262,"&lt;&gt;Hủy",'Lớp 5 - Phân công'!$AD$14:$AD$262,"&gt;0"),0),plan,'Trung tâm nhập liệu'!R134,emergent,LOWER(TRIM('Trung tâm nhập liệu'!O134))="khi phát sinh",IF(n=0,IF(emergent,"",plan),IF(child=0,IF(emergent,"",plan),IF(OR(emergent,plan=""),child,MIN(plan,child))))))</f>
        <v>46235</v>
      </c>
      <c r="U33" s="432" t="str">
        <f t="shared" si="15"/>
        <v>Không</v>
      </c>
      <c r="V33" s="432" t="str">
        <f>'Trung tâm nhập liệu'!G134</f>
        <v>Báo cáo đánh giá quy hoạch sản phẩm 2026 và danh mục vấn đề cần khắc phục.</v>
      </c>
      <c r="W33" s="432" t="str">
        <f>'Trung tâm nhập liệu'!H134</f>
        <v/>
      </c>
      <c r="X33" s="450" t="str">
        <f t="array" ref="X33">IFERROR(INDEX('Lớp 3 - Công việc chính'!$W$14:$W$73,MATCH(J33,'Lớp 3 - Công việc chính'!$I$14:$I$73,0)),"")</f>
        <v>R&amp;D</v>
      </c>
      <c r="Y33" s="432" t="str">
        <f>'Trung tâm nhập liệu'!J134</f>
        <v>GĐ BOC</v>
      </c>
      <c r="Z33" s="432" t="str">
        <f>'Trung tâm nhập liệu'!K134</f>
        <v>Ms Trang</v>
      </c>
      <c r="AA33" s="425" t="str">
        <f>'Trung tâm nhập liệu'!L134</f>
        <v>Đang thực hiện</v>
      </c>
      <c r="AB33" s="441" t="str">
        <f>'Trung tâm nhập liệu'!M134</f>
        <v>P4</v>
      </c>
      <c r="AC33" s="447">
        <f t="shared" si="16"/>
        <v>46235</v>
      </c>
      <c r="AD33" s="445">
        <f t="shared" si="17"/>
        <v>46295</v>
      </c>
      <c r="AE33" s="457">
        <f>IF(AL33&lt;&gt;"Có thời hạn","",IF(OR(AC33="",AD33=""),"",IF(AD33&lt;AC33,"",_xlfn.NETWORKDAYS.INTL(AC33,AD33,11,'Ngày nghỉ lễ'!$A$5:$A$80))))</f>
        <v>50</v>
      </c>
      <c r="AF33" s="458">
        <f>IF(I33="","",IF(L33="Công việc khác","",IF(OR(AA33="Chưa lên lịch",AA33="Đã lên lịch",AA33="Hủy"),"",IF(COUNTIFS('Lớp 5 - Phân công'!$J$14:$J$262,I33,'Lớp 5 - Phân công'!$AB$14:$AB$262,"&lt;&gt;",'Lớp 5 - Phân công'!$AB$14:$AB$262,"&lt;&gt;Hủy",'Lớp 5 - Phân công'!$AB$14:$AB$262,"&lt;&gt;Chưa lên lịch",'Lớp 5 - Phân công'!$AB$14:$AB$262,"&lt;&gt;Đã lên lịch")&gt;0,SUMIFS('Lớp 5 - Phân công'!$AG$14:$AG$262,'Lớp 5 - Phân công'!$J$14:$J$262,I33,'Lớp 5 - Phân công'!$AB$14:$AB$262,"&lt;&gt;",'Lớp 5 - Phân công'!$AB$14:$AB$262,"&lt;&gt;Hủy",'Lớp 5 - Phân công'!$AB$14:$AB$262,"&lt;&gt;Chưa lên lịch",'Lớp 5 - Phân công'!$AB$14:$AB$262,"&lt;&gt;Đã lên lịch")/COUNTIFS('Lớp 5 - Phân công'!$J$14:$J$262,I33,'Lớp 5 - Phân công'!$AB$14:$AB$262,"&lt;&gt;",'Lớp 5 - Phân công'!$AB$14:$AB$262,"&lt;&gt;Hủy",'Lớp 5 - Phân công'!$AB$14:$AB$262,"&lt;&gt;Chưa lên lịch",'Lớp 5 - Phân công'!$AB$14:$AB$262,"&lt;&gt;Đã lên lịch"),IF(AA33="Hoàn thành",1,0)))))</f>
        <v>0</v>
      </c>
      <c r="AG33" s="461">
        <f>IF(AL33&lt;&gt;"Có thời hạn","",IF(OR(I33="",AC33="",AD33=""),"",IF(OR(AA33="Hoàn thành",AA33="Hủy"),0,IF(AD33&lt;TODAY(),-_xlfn.NETWORKDAYS.INTL(AD33,TODAY()-1,11,'Ngày nghỉ lễ'!$A$5:$A$80),MAX(0,_xlfn.NETWORKDAYS.INTL(MAX(TODAY()+1,AC33),AD33,11,'Ngày nghỉ lễ'!$A$5:$A$80))))))</f>
        <v>41</v>
      </c>
      <c r="AH33" s="466">
        <f>IF($I33="","",LET(n,COUNTIFS('Lớp 5 - Phân công'!$J$14:$J$262,$I33,'Lớp 5 - Phân công'!$AB$14:$AB$262,"&lt;&gt;Hủy"),du,COUNTIFS('Lớp 5 - Phân công'!$J$14:$J$262,$I33,'Lớp 5 - Phân công'!$AB$14:$AB$262,"&lt;&gt;Hủy",'Lớp 5 - Phân công'!$AI$14:$AI$262,"&lt;&gt;"),IF(n=0,'Trung tâm nhập liệu'!T134,IF(du&lt;n,"",SUMIFS('Lớp 5 - Phân công'!$AI$14:$AI$262,'Lớp 5 - Phân công'!$J$14:$J$262,$I33,'Lớp 5 - Phân công'!$AB$14:$AB$262,"&lt;&gt;Hủy")))))</f>
        <v>40</v>
      </c>
      <c r="AI33" s="468" t="str">
        <f>IF(I33="","",IF(OR(AA33="Hoàn thành",AA33="Hủy"),"",IF(COUNTIFS('Lớp 5 - Phân công'!$J$14:$J$262,I33,'Lớp 5 - Phân công'!$AB$14:$AB$262,"&lt;&gt;Hủy")&gt;0,"",IF(AR33="Ngày",AS33,IF(AR33="Tuần",AS33/5,"")))))</f>
        <v/>
      </c>
      <c r="AJ33" s="477" t="str">
        <f>IF(AL33="Chưa xếp lịch","Chưa xếp lịch",IF(AL33="Định kỳ",IF(AM33="","Thiếu chu kỳ","Theo chu kỳ"),IF(AL33="Khi phát sinh",IF(COUNTIFS('Lớp 5 - Phân công'!$J$14:$J$262,$I33,'Lớp 5 - Phân công'!$AB$14:$AB$262,"&lt;&gt;Hủy")=0,"Khi phát sinh – chờ việc con","Khi phát sinh – theo ngày con"),IF(I33="","",LET(n,COUNTIFS('Lớp 5 - Phân công'!$J$14:$J$262,$I33,'Lớp 5 - Phân công'!$AB$14:$AB$262,"&lt;&gt;Hủy"),cs,IFERROR(MINIFS('Lớp 5 - Phân công'!$AD$14:$AD$262,'Lớp 5 - Phân công'!$J$14:$J$262,$I33,'Lớp 5 - Phân công'!$AB$14:$AB$262,"&lt;&gt;Hủy",'Lớp 5 - Phân công'!$AD$14:$AD$262,"&gt;0"),0),ce,IFERROR(MAXIFS('Lớp 5 - Phân công'!$AE$14:$AE$262,'Lớp 5 - Phân công'!$J$14:$J$262,$I33,'Lớp 5 - Phân công'!$AB$14:$AB$262,"&lt;&gt;Hủy",'Lớp 5 - Phân công'!$AE$14:$AE$262,"&gt;0"),0),ps,'Trung tâm nhập liệu'!R134,pe,'Trung tâm nhập liệu'!Q134,IF(OR(AC33="",AD33=""),"Thiếu ngày L4",IF(n=0,"Chưa có L5",IF(OR(cs=0,ce=0),"Thiếu ngày L5",IF(OR(ps="",pe=""),"Thiếu ngày kế hoạch gốc L4",IF(OR(cs&lt;ps,ce&gt;pe),"Cảnh báo: Con vượt khung kế hoạch gốc","L5 đúng khung kế hoạch gốc"))))))))))</f>
        <v>Chưa có L5</v>
      </c>
      <c r="AK33" s="465" t="str">
        <f>IF(OR(AU33="Thiếu tham số phân bổ",AU33="Phân bổ phải &gt; 0"),AU33,SWITCH(AL33,"Chưa xếp lịch","Chưa tính tải","Định kỳ","Theo chu kỳ","Khi phát sinh","Khi phát sinh",IF(I33="","",IF(OR(AA33="Hoàn thành",AA33="Hủy"),AA33,IF(COUNTIFS('Lớp 5 - Phân công'!$J$14:$J$262,I33,'Lớp 5 - Phân công'!$AB$14:$AB$262,"&lt;&gt;Hủy")&gt;0,"Theo dõi tải tại Lớp 5",IF(AH33="","Chưa nhập khối lượng",IF(Z33="","Thiếu người thực hiện",IF(OR(AC33="",AD33=""),"Chưa nhập đủ thời gian",IF(AG33&lt;0,"Quá hạn – còn "&amp;TEXT(MAX(0,AH33*(1-AF33)),"0.0")&amp;" giờ",LET(bd,MAX(TODAY(),AC33),kt,AD33,nguoi,Z33,tai,SUMIFS('Lớp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3" s="467" t="str">
        <f>'Trung tâm nhập liệu'!O134</f>
        <v>Có thời hạn</v>
      </c>
      <c r="AM33" s="469" t="str">
        <f>'Trung tâm nhập liệu'!P134</f>
        <v/>
      </c>
      <c r="AN33" s="470" t="str">
        <f>'Trung tâm nhập liệu'!S134</f>
        <v/>
      </c>
      <c r="AO33" s="470" t="str">
        <f>'Trung tâm nhập liệu'!X134</f>
        <v/>
      </c>
      <c r="AP33" s="471" t="str">
        <f t="shared" si="18"/>
        <v/>
      </c>
      <c r="AQ33" s="469" t="str">
        <f t="shared" si="19"/>
        <v/>
      </c>
      <c r="AR33" s="475" t="str">
        <f>'Trung tâm nhập liệu'!V134</f>
        <v/>
      </c>
      <c r="AS33" s="476" t="str">
        <f>'Trung tâm nhập liệu'!W134</f>
        <v/>
      </c>
      <c r="AT33" s="478" t="str">
        <f>IF(AL33&lt;&gt;"Có thời hạn","",IF(OR(I33="",AH33="",AA33="Hoàn thành",AA33="Hủy",COUNTIFS('Lớp 5 - Phân công'!$J$14:$J$262,I33,'Lớp 5 - Phân công'!$AB$14:$AB$262,"&lt;&gt;Hủy")&gt;0),"",LET(canNgay,MAX(0,AH33*(1-AF33))/MAX(1,AG33),IF(AR33="Ngày",canNgay,IF(AR33="Tuần",canNgay*5,"")))))</f>
        <v/>
      </c>
      <c r="AU33" s="465" t="str">
        <f>IF(I33="","",IF(COUNTIFS('Lớp 5 - Phân công'!$J$14:$J$262,I33,'Lớp 5 - Phân công'!$AB$14:$AB$262,"&lt;&gt;Hủy")&gt;0,"Theo dõi phân bổ tại Lớp 5",IF(OR(AA33="Hoàn thành",AA33="Hủy"),AA33,IF(AH33="","Thiếu tổng giờ",IF(OR(AR33="",AS33=""),"Thiếu tham số phân bổ",IF(AS33&lt;=0,"Phân bổ phải &gt; 0",IF(AL33&lt;&gt;"Có thời hạn","Đã có phân bổ",IF(AT33="","Chưa đủ dữ liệu hạn",IF(AS33&gt;=AT33,"Đủ phân bổ theo "&amp;LOWER(AR33),"Thiếu "&amp;TEXT(AT33-AS33,"0.0")&amp;" giờ/"&amp;LOWER(AR33))))))))))</f>
        <v>Thiếu tham số phân bổ</v>
      </c>
      <c r="AV33" s="465" t="str">
        <f t="shared" si="20"/>
        <v>OK</v>
      </c>
      <c r="AW33" s="479" t="str">
        <f>'Trung tâm nhập liệu'!Y134</f>
        <v/>
      </c>
    </row>
    <row r="34" ht="15.75" customHeight="1">
      <c r="A34" s="424">
        <f t="shared" si="11"/>
        <v>21</v>
      </c>
      <c r="B34" s="425" t="str">
        <f>'Trung tâm nhập liệu'!F135</f>
        <v>Đào tạo nội bộ cútomer Insight phục vụ NC &amp; PTSP</v>
      </c>
      <c r="C34" s="427" t="str">
        <f>'Trung tâm nhập liệu'!M135</f>
        <v>P2</v>
      </c>
      <c r="D34" s="428">
        <f t="shared" ref="D34:E34" si="75">AF34</f>
        <v>0</v>
      </c>
      <c r="E34" s="501">
        <f t="shared" si="75"/>
        <v>50</v>
      </c>
      <c r="F34" s="431">
        <f t="shared" ref="F34:G34" si="76">S34</f>
        <v>46305</v>
      </c>
      <c r="G34" s="431">
        <f t="shared" si="76"/>
        <v>46235</v>
      </c>
      <c r="H34" s="432" t="str">
        <f>IF(B34="","",IF(COUNTIF('Lớp 5 - Phân công'!$J$14:$J$262,I34)&gt;0,"Có","Không"))</f>
        <v>Không</v>
      </c>
      <c r="I34" s="434" t="str">
        <f>'Trung tâm nhập liệu'!B135</f>
        <v>HHL4RD21</v>
      </c>
      <c r="J34" s="432" t="str">
        <f>'Trung tâm nhập liệu'!D135</f>
        <v>HHL3RD01</v>
      </c>
      <c r="K34" s="436">
        <f t="array" ref="K34">IFERROR(INDEX('Lớp 3 - Công việc chính'!$J$14:$J$73,MATCH(J34,'Lớp 3 - Công việc chính'!$I$14:$I$73,0)),"")</f>
        <v>2026</v>
      </c>
      <c r="L34" s="438" t="str">
        <f t="array" ref="L34">IFERROR(INDEX('Lớp 3 - Công việc chính'!$K$14:$K$73,MATCH(J34,'Lớp 3 - Công việc chính'!$I$14:$I$73,0)),"")</f>
        <v>Cấp phòng ban</v>
      </c>
      <c r="M34" s="439" t="str">
        <f t="array" ref="M34">IFERROR(INDEX('Lớp 3 - Công việc chính'!$L$14:$L$73,MATCH(J34,'Lớp 3 - Công việc chính'!$I$14:$I$73,0)),"")</f>
        <v>Chiến lược/sống còn</v>
      </c>
      <c r="N34" s="439" t="str">
        <f t="array" ref="N34">IFERROR(INDEX('Lớp 3 - Công việc chính'!$M$14:$M$73,MATCH(J34,'Lớp 3 - Công việc chính'!$I$14:$I$73,0)),"")</f>
        <v>KH sản phẩm 2027-2030</v>
      </c>
      <c r="O34" s="440" t="str">
        <f t="shared" ref="O34:R34" si="77">B34</f>
        <v>Đào tạo nội bộ cútomer Insight phục vụ NC &amp; PTSP</v>
      </c>
      <c r="P34" s="441" t="str">
        <f t="shared" si="77"/>
        <v>P2</v>
      </c>
      <c r="Q34" s="442">
        <f t="shared" si="77"/>
        <v>0</v>
      </c>
      <c r="R34" s="443">
        <f t="shared" si="77"/>
        <v>50</v>
      </c>
      <c r="S34" s="445">
        <f>IF($I34="","",LET(n,COUNTIFS('Lớp 5 - Phân công'!$J$14:$J$262,$I34,'Lớp 5 - Phân công'!$AB$14:$AB$262,"&lt;&gt;Hủy"),child,IFERROR(MAXIFS('Lớp 5 - Phân công'!$AE$14:$AE$262,'Lớp 5 - Phân công'!$J$14:$J$262,$I34,'Lớp 5 - Phân công'!$AB$14:$AB$262,"&lt;&gt;Hủy",'Lớp 5 - Phân công'!$AE$14:$AE$262,"&gt;0"),0),plan,'Trung tâm nhập liệu'!Q135,emergent,LOWER(TRIM('Trung tâm nhập liệu'!O135))="khi phát sinh",IF(n=0,IF(emergent,"",plan),IF(child=0,IF(emergent,"",plan),IF(OR(emergent,plan=""),child,MAX(plan,child))))))</f>
        <v>46305</v>
      </c>
      <c r="T34" s="447">
        <f>IF($I34="","",LET(n,COUNTIFS('Lớp 5 - Phân công'!$J$14:$J$262,$I34,'Lớp 5 - Phân công'!$AB$14:$AB$262,"&lt;&gt;Hủy"),child,IFERROR(MINIFS('Lớp 5 - Phân công'!$AD$14:$AD$262,'Lớp 5 - Phân công'!$J$14:$J$262,$I34,'Lớp 5 - Phân công'!$AB$14:$AB$262,"&lt;&gt;Hủy",'Lớp 5 - Phân công'!$AD$14:$AD$262,"&gt;0"),0),plan,'Trung tâm nhập liệu'!R135,emergent,LOWER(TRIM('Trung tâm nhập liệu'!O135))="khi phát sinh",IF(n=0,IF(emergent,"",plan),IF(child=0,IF(emergent,"",plan),IF(OR(emergent,plan=""),child,MIN(plan,child))))))</f>
        <v>46235</v>
      </c>
      <c r="U34" s="432" t="str">
        <f t="shared" si="15"/>
        <v>Không</v>
      </c>
      <c r="V34" s="432" t="str">
        <f>'Trung tâm nhập liệu'!G135</f>
        <v>Hoàn thành đào tạo nội bộ Customer Insight, có tài liệu và đánh giá sau đào tạo.</v>
      </c>
      <c r="W34" s="432" t="str">
        <f>'Trung tâm nhập liệu'!H135</f>
        <v/>
      </c>
      <c r="X34" s="450" t="str">
        <f t="array" ref="X34">IFERROR(INDEX('Lớp 3 - Công việc chính'!$W$14:$W$73,MATCH(J34,'Lớp 3 - Công việc chính'!$I$14:$I$73,0)),"")</f>
        <v>R&amp;D</v>
      </c>
      <c r="Y34" s="432" t="str">
        <f>'Trung tâm nhập liệu'!J135</f>
        <v>GĐ BOC</v>
      </c>
      <c r="Z34" s="432" t="str">
        <f>'Trung tâm nhập liệu'!K135</f>
        <v>Ms Trang</v>
      </c>
      <c r="AA34" s="425" t="str">
        <f>'Trung tâm nhập liệu'!L135</f>
        <v>Đang thực hiện</v>
      </c>
      <c r="AB34" s="441" t="str">
        <f>'Trung tâm nhập liệu'!M135</f>
        <v>P2</v>
      </c>
      <c r="AC34" s="447">
        <f t="shared" si="16"/>
        <v>46235</v>
      </c>
      <c r="AD34" s="445">
        <f t="shared" si="17"/>
        <v>46305</v>
      </c>
      <c r="AE34" s="457">
        <f>IF(AL34&lt;&gt;"Có thời hạn","",IF(OR(AC34="",AD34=""),"",IF(AD34&lt;AC34,"",_xlfn.NETWORKDAYS.INTL(AC34,AD34,11,'Ngày nghỉ lễ'!$A$5:$A$80))))</f>
        <v>59</v>
      </c>
      <c r="AF34" s="458">
        <f>IF(I34="","",IF(L34="Công việc khác","",IF(OR(AA34="Chưa lên lịch",AA34="Đã lên lịch",AA34="Hủy"),"",IF(COUNTIFS('Lớp 5 - Phân công'!$J$14:$J$262,I34,'Lớp 5 - Phân công'!$AB$14:$AB$262,"&lt;&gt;",'Lớp 5 - Phân công'!$AB$14:$AB$262,"&lt;&gt;Hủy",'Lớp 5 - Phân công'!$AB$14:$AB$262,"&lt;&gt;Chưa lên lịch",'Lớp 5 - Phân công'!$AB$14:$AB$262,"&lt;&gt;Đã lên lịch")&gt;0,SUMIFS('Lớp 5 - Phân công'!$AG$14:$AG$262,'Lớp 5 - Phân công'!$J$14:$J$262,I34,'Lớp 5 - Phân công'!$AB$14:$AB$262,"&lt;&gt;",'Lớp 5 - Phân công'!$AB$14:$AB$262,"&lt;&gt;Hủy",'Lớp 5 - Phân công'!$AB$14:$AB$262,"&lt;&gt;Chưa lên lịch",'Lớp 5 - Phân công'!$AB$14:$AB$262,"&lt;&gt;Đã lên lịch")/COUNTIFS('Lớp 5 - Phân công'!$J$14:$J$262,I34,'Lớp 5 - Phân công'!$AB$14:$AB$262,"&lt;&gt;",'Lớp 5 - Phân công'!$AB$14:$AB$262,"&lt;&gt;Hủy",'Lớp 5 - Phân công'!$AB$14:$AB$262,"&lt;&gt;Chưa lên lịch",'Lớp 5 - Phân công'!$AB$14:$AB$262,"&lt;&gt;Đã lên lịch"),IF(AA34="Hoàn thành",1,0)))))</f>
        <v>0</v>
      </c>
      <c r="AG34" s="461">
        <f>IF(AL34&lt;&gt;"Có thời hạn","",IF(OR(I34="",AC34="",AD34=""),"",IF(OR(AA34="Hoàn thành",AA34="Hủy"),0,IF(AD34&lt;TODAY(),-_xlfn.NETWORKDAYS.INTL(AD34,TODAY()-1,11,'Ngày nghỉ lễ'!$A$5:$A$80),MAX(0,_xlfn.NETWORKDAYS.INTL(MAX(TODAY()+1,AC34),AD34,11,'Ngày nghỉ lễ'!$A$5:$A$80))))))</f>
        <v>50</v>
      </c>
      <c r="AH34" s="466">
        <f>IF($I34="","",LET(n,COUNTIFS('Lớp 5 - Phân công'!$J$14:$J$262,$I34,'Lớp 5 - Phân công'!$AB$14:$AB$262,"&lt;&gt;Hủy"),du,COUNTIFS('Lớp 5 - Phân công'!$J$14:$J$262,$I34,'Lớp 5 - Phân công'!$AB$14:$AB$262,"&lt;&gt;Hủy",'Lớp 5 - Phân công'!$AI$14:$AI$262,"&lt;&gt;"),IF(n=0,'Trung tâm nhập liệu'!T135,IF(du&lt;n,"",SUMIFS('Lớp 5 - Phân công'!$AI$14:$AI$262,'Lớp 5 - Phân công'!$J$14:$J$262,$I34,'Lớp 5 - Phân công'!$AB$14:$AB$262,"&lt;&gt;Hủy")))))</f>
        <v>40</v>
      </c>
      <c r="AI34" s="468" t="str">
        <f>IF(I34="","",IF(OR(AA34="Hoàn thành",AA34="Hủy"),"",IF(COUNTIFS('Lớp 5 - Phân công'!$J$14:$J$262,I34,'Lớp 5 - Phân công'!$AB$14:$AB$262,"&lt;&gt;Hủy")&gt;0,"",IF(AR34="Ngày",AS34,IF(AR34="Tuần",AS34/5,"")))))</f>
        <v/>
      </c>
      <c r="AJ34" s="477" t="str">
        <f>IF(AL34="Chưa xếp lịch","Chưa xếp lịch",IF(AL34="Định kỳ",IF(AM34="","Thiếu chu kỳ","Theo chu kỳ"),IF(AL34="Khi phát sinh",IF(COUNTIFS('Lớp 5 - Phân công'!$J$14:$J$262,$I34,'Lớp 5 - Phân công'!$AB$14:$AB$262,"&lt;&gt;Hủy")=0,"Khi phát sinh – chờ việc con","Khi phát sinh – theo ngày con"),IF(I34="","",LET(n,COUNTIFS('Lớp 5 - Phân công'!$J$14:$J$262,$I34,'Lớp 5 - Phân công'!$AB$14:$AB$262,"&lt;&gt;Hủy"),cs,IFERROR(MINIFS('Lớp 5 - Phân công'!$AD$14:$AD$262,'Lớp 5 - Phân công'!$J$14:$J$262,$I34,'Lớp 5 - Phân công'!$AB$14:$AB$262,"&lt;&gt;Hủy",'Lớp 5 - Phân công'!$AD$14:$AD$262,"&gt;0"),0),ce,IFERROR(MAXIFS('Lớp 5 - Phân công'!$AE$14:$AE$262,'Lớp 5 - Phân công'!$J$14:$J$262,$I34,'Lớp 5 - Phân công'!$AB$14:$AB$262,"&lt;&gt;Hủy",'Lớp 5 - Phân công'!$AE$14:$AE$262,"&gt;0"),0),ps,'Trung tâm nhập liệu'!R135,pe,'Trung tâm nhập liệu'!Q135,IF(OR(AC34="",AD34=""),"Thiếu ngày L4",IF(n=0,"Chưa có L5",IF(OR(cs=0,ce=0),"Thiếu ngày L5",IF(OR(ps="",pe=""),"Thiếu ngày kế hoạch gốc L4",IF(OR(cs&lt;ps,ce&gt;pe),"Cảnh báo: Con vượt khung kế hoạch gốc","L5 đúng khung kế hoạch gốc"))))))))))</f>
        <v>Chưa có L5</v>
      </c>
      <c r="AK34" s="465" t="str">
        <f>IF(OR(AU34="Thiếu tham số phân bổ",AU34="Phân bổ phải &gt; 0"),AU34,SWITCH(AL34,"Chưa xếp lịch","Chưa tính tải","Định kỳ","Theo chu kỳ","Khi phát sinh","Khi phát sinh",IF(I34="","",IF(OR(AA34="Hoàn thành",AA34="Hủy"),AA34,IF(COUNTIFS('Lớp 5 - Phân công'!$J$14:$J$262,I34,'Lớp 5 - Phân công'!$AB$14:$AB$262,"&lt;&gt;Hủy")&gt;0,"Theo dõi tải tại Lớp 5",IF(AH34="","Chưa nhập khối lượng",IF(Z34="","Thiếu người thực hiện",IF(OR(AC34="",AD34=""),"Chưa nhập đủ thời gian",IF(AG34&lt;0,"Quá hạn – còn "&amp;TEXT(MAX(0,AH34*(1-AF34)),"0.0")&amp;" giờ",LET(bd,MAX(TODAY(),AC34),kt,AD34,nguoi,Z34,tai,SUMIFS('Lớp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4" s="467" t="str">
        <f>'Trung tâm nhập liệu'!O135</f>
        <v>Có thời hạn</v>
      </c>
      <c r="AM34" s="469" t="str">
        <f>'Trung tâm nhập liệu'!P135</f>
        <v/>
      </c>
      <c r="AN34" s="470" t="str">
        <f>'Trung tâm nhập liệu'!S135</f>
        <v/>
      </c>
      <c r="AO34" s="470" t="str">
        <f>'Trung tâm nhập liệu'!X135</f>
        <v/>
      </c>
      <c r="AP34" s="471" t="str">
        <f t="shared" si="18"/>
        <v/>
      </c>
      <c r="AQ34" s="469" t="str">
        <f t="shared" si="19"/>
        <v/>
      </c>
      <c r="AR34" s="475" t="str">
        <f>'Trung tâm nhập liệu'!V135</f>
        <v/>
      </c>
      <c r="AS34" s="476" t="str">
        <f>'Trung tâm nhập liệu'!W135</f>
        <v/>
      </c>
      <c r="AT34" s="478" t="str">
        <f>IF(AL34&lt;&gt;"Có thời hạn","",IF(OR(I34="",AH34="",AA34="Hoàn thành",AA34="Hủy",COUNTIFS('Lớp 5 - Phân công'!$J$14:$J$262,I34,'Lớp 5 - Phân công'!$AB$14:$AB$262,"&lt;&gt;Hủy")&gt;0),"",LET(canNgay,MAX(0,AH34*(1-AF34))/MAX(1,AG34),IF(AR34="Ngày",canNgay,IF(AR34="Tuần",canNgay*5,"")))))</f>
        <v/>
      </c>
      <c r="AU34" s="465" t="str">
        <f>IF(I34="","",IF(COUNTIFS('Lớp 5 - Phân công'!$J$14:$J$262,I34,'Lớp 5 - Phân công'!$AB$14:$AB$262,"&lt;&gt;Hủy")&gt;0,"Theo dõi phân bổ tại Lớp 5",IF(OR(AA34="Hoàn thành",AA34="Hủy"),AA34,IF(AH34="","Thiếu tổng giờ",IF(OR(AR34="",AS34=""),"Thiếu tham số phân bổ",IF(AS34&lt;=0,"Phân bổ phải &gt; 0",IF(AL34&lt;&gt;"Có thời hạn","Đã có phân bổ",IF(AT34="","Chưa đủ dữ liệu hạn",IF(AS34&gt;=AT34,"Đủ phân bổ theo "&amp;LOWER(AR34),"Thiếu "&amp;TEXT(AT34-AS34,"0.0")&amp;" giờ/"&amp;LOWER(AR34))))))))))</f>
        <v>Thiếu tham số phân bổ</v>
      </c>
      <c r="AV34" s="465" t="str">
        <f t="shared" si="20"/>
        <v>OK</v>
      </c>
      <c r="AW34" s="479" t="str">
        <f>'Trung tâm nhập liệu'!Y135</f>
        <v/>
      </c>
    </row>
    <row r="35" ht="15.75" customHeight="1">
      <c r="A35" s="424">
        <f t="shared" si="11"/>
        <v>22</v>
      </c>
      <c r="B35" s="425" t="str">
        <f>'Trung tâm nhập liệu'!F136</f>
        <v>Xây dựng Bộ quy tắc &amp; ngưỡng điều tiết cung ứng hàng hóa</v>
      </c>
      <c r="C35" s="427" t="str">
        <f>'Trung tâm nhập liệu'!M136</f>
        <v>P2</v>
      </c>
      <c r="D35" s="499">
        <f t="shared" ref="D35:E35" si="78">AF35</f>
        <v>0</v>
      </c>
      <c r="E35" s="501">
        <f t="shared" si="78"/>
        <v>93</v>
      </c>
      <c r="F35" s="431">
        <f t="shared" ref="F35:G35" si="79">S35</f>
        <v>46356</v>
      </c>
      <c r="G35" s="431">
        <f t="shared" si="79"/>
        <v>46235</v>
      </c>
      <c r="H35" s="432" t="str">
        <f>IF(B35="","",IF(COUNTIF('Lớp 5 - Phân công'!$J$14:$J$262,I35)&gt;0,"Có","Không"))</f>
        <v>Không</v>
      </c>
      <c r="I35" s="434" t="str">
        <f>'Trung tâm nhập liệu'!B136</f>
        <v>HHL4RD22</v>
      </c>
      <c r="J35" s="432" t="str">
        <f>'Trung tâm nhập liệu'!D136</f>
        <v>HHL3RD12</v>
      </c>
      <c r="K35" s="436">
        <f t="array" ref="K35">IFERROR(INDEX('Lớp 3 - Công việc chính'!$J$14:$J$73,MATCH(J35,'Lớp 3 - Công việc chính'!$I$14:$I$73,0)),"")</f>
        <v>2026</v>
      </c>
      <c r="L35" s="438" t="str">
        <f t="array" ref="L35">IFERROR(INDEX('Lớp 3 - Công việc chính'!$K$14:$K$73,MATCH(J35,'Lớp 3 - Công việc chính'!$I$14:$I$73,0)),"")</f>
        <v>Cấp phòng ban</v>
      </c>
      <c r="M35" s="439" t="str">
        <f t="array" ref="M35">IFERROR(INDEX('Lớp 3 - Công việc chính'!$L$14:$L$73,MATCH(J35,'Lớp 3 - Công việc chính'!$I$14:$I$73,0)),"")</f>
        <v>Hệ thống/Vận hành</v>
      </c>
      <c r="N35" s="439" t="str">
        <f t="array" ref="N35">IFERROR(INDEX('Lớp 3 - Công việc chính'!$M$14:$M$73,MATCH(J35,'Lớp 3 - Công việc chính'!$I$14:$I$73,0)),"")</f>
        <v>Xây dựng quy trình và hệ thống quản trị sản phẩm theo phân loại</v>
      </c>
      <c r="O35" s="440" t="str">
        <f t="shared" ref="O35:R35" si="80">B35</f>
        <v>Xây dựng Bộ quy tắc &amp; ngưỡng điều tiết cung ứng hàng hóa</v>
      </c>
      <c r="P35" s="441" t="str">
        <f t="shared" si="80"/>
        <v>P2</v>
      </c>
      <c r="Q35" s="442">
        <f t="shared" si="80"/>
        <v>0</v>
      </c>
      <c r="R35" s="443">
        <f t="shared" si="80"/>
        <v>93</v>
      </c>
      <c r="S35" s="445">
        <f>IF($I35="","",LET(n,COUNTIFS('Lớp 5 - Phân công'!$J$14:$J$262,$I35,'Lớp 5 - Phân công'!$AB$14:$AB$262,"&lt;&gt;Hủy"),child,IFERROR(MAXIFS('Lớp 5 - Phân công'!$AE$14:$AE$262,'Lớp 5 - Phân công'!$J$14:$J$262,$I35,'Lớp 5 - Phân công'!$AB$14:$AB$262,"&lt;&gt;Hủy",'Lớp 5 - Phân công'!$AE$14:$AE$262,"&gt;0"),0),plan,'Trung tâm nhập liệu'!Q136,emergent,LOWER(TRIM('Trung tâm nhập liệu'!O136))="khi phát sinh",IF(n=0,IF(emergent,"",plan),IF(child=0,IF(emergent,"",plan),IF(OR(emergent,plan=""),child,MAX(plan,child))))))</f>
        <v>46356</v>
      </c>
      <c r="T35" s="447">
        <f>IF($I35="","",LET(n,COUNTIFS('Lớp 5 - Phân công'!$J$14:$J$262,$I35,'Lớp 5 - Phân công'!$AB$14:$AB$262,"&lt;&gt;Hủy"),child,IFERROR(MINIFS('Lớp 5 - Phân công'!$AD$14:$AD$262,'Lớp 5 - Phân công'!$J$14:$J$262,$I35,'Lớp 5 - Phân công'!$AB$14:$AB$262,"&lt;&gt;Hủy",'Lớp 5 - Phân công'!$AD$14:$AD$262,"&gt;0"),0),plan,'Trung tâm nhập liệu'!R136,emergent,LOWER(TRIM('Trung tâm nhập liệu'!O136))="khi phát sinh",IF(n=0,IF(emergent,"",plan),IF(child=0,IF(emergent,"",plan),IF(OR(emergent,plan=""),child,MIN(plan,child))))))</f>
        <v>46235</v>
      </c>
      <c r="U35" s="432" t="str">
        <f t="shared" si="15"/>
        <v>Không</v>
      </c>
      <c r="V35" s="432" t="str">
        <f>'Trung tâm nhập liệu'!G136</f>
        <v>Bộ quy tắc và ngưỡng điều tiết cung ứng được phê duyệt, sẵn sàng áp dụng.</v>
      </c>
      <c r="W35" s="432" t="str">
        <f>'Trung tâm nhập liệu'!H136</f>
        <v/>
      </c>
      <c r="X35" s="450" t="str">
        <f t="array" ref="X35">IFERROR(INDEX('Lớp 3 - Công việc chính'!$W$14:$W$73,MATCH(J35,'Lớp 3 - Công việc chính'!$I$14:$I$73,0)),"")</f>
        <v>R&amp;D</v>
      </c>
      <c r="Y35" s="432" t="str">
        <f>'Trung tâm nhập liệu'!J136</f>
        <v>GĐ BOC</v>
      </c>
      <c r="Z35" s="432" t="str">
        <f>'Trung tâm nhập liệu'!K136</f>
        <v>Ms Trang</v>
      </c>
      <c r="AA35" s="425" t="str">
        <f>'Trung tâm nhập liệu'!L136</f>
        <v>Đang thực hiện</v>
      </c>
      <c r="AB35" s="441" t="str">
        <f>'Trung tâm nhập liệu'!M136</f>
        <v>P2</v>
      </c>
      <c r="AC35" s="447">
        <f t="shared" si="16"/>
        <v>46235</v>
      </c>
      <c r="AD35" s="445">
        <f t="shared" si="17"/>
        <v>46356</v>
      </c>
      <c r="AE35" s="457">
        <f>IF(AL35&lt;&gt;"Có thời hạn","",IF(OR(AC35="",AD35=""),"",IF(AD35&lt;AC35,"",_xlfn.NETWORKDAYS.INTL(AC35,AD35,11,'Ngày nghỉ lễ'!$A$5:$A$80))))</f>
        <v>102</v>
      </c>
      <c r="AF35" s="458">
        <f>IF(I35="","",IF(L35="Công việc khác","",IF(OR(AA35="Chưa lên lịch",AA35="Đã lên lịch",AA35="Hủy"),"",IF(COUNTIFS('Lớp 5 - Phân công'!$J$14:$J$262,I35,'Lớp 5 - Phân công'!$AB$14:$AB$262,"&lt;&gt;",'Lớp 5 - Phân công'!$AB$14:$AB$262,"&lt;&gt;Hủy",'Lớp 5 - Phân công'!$AB$14:$AB$262,"&lt;&gt;Chưa lên lịch",'Lớp 5 - Phân công'!$AB$14:$AB$262,"&lt;&gt;Đã lên lịch")&gt;0,SUMIFS('Lớp 5 - Phân công'!$AG$14:$AG$262,'Lớp 5 - Phân công'!$J$14:$J$262,I35,'Lớp 5 - Phân công'!$AB$14:$AB$262,"&lt;&gt;",'Lớp 5 - Phân công'!$AB$14:$AB$262,"&lt;&gt;Hủy",'Lớp 5 - Phân công'!$AB$14:$AB$262,"&lt;&gt;Chưa lên lịch",'Lớp 5 - Phân công'!$AB$14:$AB$262,"&lt;&gt;Đã lên lịch")/COUNTIFS('Lớp 5 - Phân công'!$J$14:$J$262,I35,'Lớp 5 - Phân công'!$AB$14:$AB$262,"&lt;&gt;",'Lớp 5 - Phân công'!$AB$14:$AB$262,"&lt;&gt;Hủy",'Lớp 5 - Phân công'!$AB$14:$AB$262,"&lt;&gt;Chưa lên lịch",'Lớp 5 - Phân công'!$AB$14:$AB$262,"&lt;&gt;Đã lên lịch"),IF(AA35="Hoàn thành",1,0)))))</f>
        <v>0</v>
      </c>
      <c r="AG35" s="461">
        <f>IF(AL35&lt;&gt;"Có thời hạn","",IF(OR(I35="",AC35="",AD35=""),"",IF(OR(AA35="Hoàn thành",AA35="Hủy"),0,IF(AD35&lt;TODAY(),-_xlfn.NETWORKDAYS.INTL(AD35,TODAY()-1,11,'Ngày nghỉ lễ'!$A$5:$A$80),MAX(0,_xlfn.NETWORKDAYS.INTL(MAX(TODAY()+1,AC35),AD35,11,'Ngày nghỉ lễ'!$A$5:$A$80))))))</f>
        <v>93</v>
      </c>
      <c r="AH35" s="466">
        <f>IF($I35="","",LET(n,COUNTIFS('Lớp 5 - Phân công'!$J$14:$J$262,$I35,'Lớp 5 - Phân công'!$AB$14:$AB$262,"&lt;&gt;Hủy"),du,COUNTIFS('Lớp 5 - Phân công'!$J$14:$J$262,$I35,'Lớp 5 - Phân công'!$AB$14:$AB$262,"&lt;&gt;Hủy",'Lớp 5 - Phân công'!$AI$14:$AI$262,"&lt;&gt;"),IF(n=0,'Trung tâm nhập liệu'!T136,IF(du&lt;n,"",SUMIFS('Lớp 5 - Phân công'!$AI$14:$AI$262,'Lớp 5 - Phân công'!$J$14:$J$262,$I35,'Lớp 5 - Phân công'!$AB$14:$AB$262,"&lt;&gt;Hủy")))))</f>
        <v>40</v>
      </c>
      <c r="AI35" s="468" t="str">
        <f>IF(I35="","",IF(OR(AA35="Hoàn thành",AA35="Hủy"),"",IF(COUNTIFS('Lớp 5 - Phân công'!$J$14:$J$262,I35,'Lớp 5 - Phân công'!$AB$14:$AB$262,"&lt;&gt;Hủy")&gt;0,"",IF(AR35="Ngày",AS35,IF(AR35="Tuần",AS35/5,"")))))</f>
        <v/>
      </c>
      <c r="AJ35" s="477" t="str">
        <f>IF(AL35="Chưa xếp lịch","Chưa xếp lịch",IF(AL35="Định kỳ",IF(AM35="","Thiếu chu kỳ","Theo chu kỳ"),IF(AL35="Khi phát sinh",IF(COUNTIFS('Lớp 5 - Phân công'!$J$14:$J$262,$I35,'Lớp 5 - Phân công'!$AB$14:$AB$262,"&lt;&gt;Hủy")=0,"Khi phát sinh – chờ việc con","Khi phát sinh – theo ngày con"),IF(I35="","",LET(n,COUNTIFS('Lớp 5 - Phân công'!$J$14:$J$262,$I35,'Lớp 5 - Phân công'!$AB$14:$AB$262,"&lt;&gt;Hủy"),cs,IFERROR(MINIFS('Lớp 5 - Phân công'!$AD$14:$AD$262,'Lớp 5 - Phân công'!$J$14:$J$262,$I35,'Lớp 5 - Phân công'!$AB$14:$AB$262,"&lt;&gt;Hủy",'Lớp 5 - Phân công'!$AD$14:$AD$262,"&gt;0"),0),ce,IFERROR(MAXIFS('Lớp 5 - Phân công'!$AE$14:$AE$262,'Lớp 5 - Phân công'!$J$14:$J$262,$I35,'Lớp 5 - Phân công'!$AB$14:$AB$262,"&lt;&gt;Hủy",'Lớp 5 - Phân công'!$AE$14:$AE$262,"&gt;0"),0),ps,'Trung tâm nhập liệu'!R136,pe,'Trung tâm nhập liệu'!Q136,IF(OR(AC35="",AD35=""),"Thiếu ngày L4",IF(n=0,"Chưa có L5",IF(OR(cs=0,ce=0),"Thiếu ngày L5",IF(OR(ps="",pe=""),"Thiếu ngày kế hoạch gốc L4",IF(OR(cs&lt;ps,ce&gt;pe),"Cảnh báo: Con vượt khung kế hoạch gốc","L5 đúng khung kế hoạch gốc"))))))))))</f>
        <v>Chưa có L5</v>
      </c>
      <c r="AK35" s="465" t="str">
        <f>IF(OR(AU35="Thiếu tham số phân bổ",AU35="Phân bổ phải &gt; 0"),AU35,SWITCH(AL35,"Chưa xếp lịch","Chưa tính tải","Định kỳ","Theo chu kỳ","Khi phát sinh","Khi phát sinh",IF(I35="","",IF(OR(AA35="Hoàn thành",AA35="Hủy"),AA35,IF(COUNTIFS('Lớp 5 - Phân công'!$J$14:$J$262,I35,'Lớp 5 - Phân công'!$AB$14:$AB$262,"&lt;&gt;Hủy")&gt;0,"Theo dõi tải tại Lớp 5",IF(AH35="","Chưa nhập khối lượng",IF(Z35="","Thiếu người thực hiện",IF(OR(AC35="",AD35=""),"Chưa nhập đủ thời gian",IF(AG35&lt;0,"Quá hạn – còn "&amp;TEXT(MAX(0,AH35*(1-AF35)),"0.0")&amp;" giờ",LET(bd,MAX(TODAY(),AC35),kt,AD35,nguoi,Z35,tai,SUMIFS('Lớp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5" s="467" t="str">
        <f>'Trung tâm nhập liệu'!O136</f>
        <v>Có thời hạn</v>
      </c>
      <c r="AM35" s="469" t="str">
        <f>'Trung tâm nhập liệu'!P136</f>
        <v/>
      </c>
      <c r="AN35" s="470" t="str">
        <f>'Trung tâm nhập liệu'!S136</f>
        <v/>
      </c>
      <c r="AO35" s="470" t="str">
        <f>'Trung tâm nhập liệu'!X136</f>
        <v/>
      </c>
      <c r="AP35" s="471" t="str">
        <f t="shared" si="18"/>
        <v/>
      </c>
      <c r="AQ35" s="469" t="str">
        <f t="shared" si="19"/>
        <v/>
      </c>
      <c r="AR35" s="475" t="str">
        <f>'Trung tâm nhập liệu'!V136</f>
        <v/>
      </c>
      <c r="AS35" s="476" t="str">
        <f>'Trung tâm nhập liệu'!W136</f>
        <v/>
      </c>
      <c r="AT35" s="478" t="str">
        <f>IF(AL35&lt;&gt;"Có thời hạn","",IF(OR(I35="",AH35="",AA35="Hoàn thành",AA35="Hủy",COUNTIFS('Lớp 5 - Phân công'!$J$14:$J$262,I35,'Lớp 5 - Phân công'!$AB$14:$AB$262,"&lt;&gt;Hủy")&gt;0),"",LET(canNgay,MAX(0,AH35*(1-AF35))/MAX(1,AG35),IF(AR35="Ngày",canNgay,IF(AR35="Tuần",canNgay*5,"")))))</f>
        <v/>
      </c>
      <c r="AU35" s="465" t="str">
        <f>IF(I35="","",IF(COUNTIFS('Lớp 5 - Phân công'!$J$14:$J$262,I35,'Lớp 5 - Phân công'!$AB$14:$AB$262,"&lt;&gt;Hủy")&gt;0,"Theo dõi phân bổ tại Lớp 5",IF(OR(AA35="Hoàn thành",AA35="Hủy"),AA35,IF(AH35="","Thiếu tổng giờ",IF(OR(AR35="",AS35=""),"Thiếu tham số phân bổ",IF(AS35&lt;=0,"Phân bổ phải &gt; 0",IF(AL35&lt;&gt;"Có thời hạn","Đã có phân bổ",IF(AT35="","Chưa đủ dữ liệu hạn",IF(AS35&gt;=AT35,"Đủ phân bổ theo "&amp;LOWER(AR35),"Thiếu "&amp;TEXT(AT35-AS35,"0.0")&amp;" giờ/"&amp;LOWER(AR35))))))))))</f>
        <v>Thiếu tham số phân bổ</v>
      </c>
      <c r="AV35" s="465" t="str">
        <f t="shared" si="20"/>
        <v>OK</v>
      </c>
      <c r="AW35" s="479" t="str">
        <f>'Trung tâm nhập liệu'!Y136</f>
        <v/>
      </c>
    </row>
    <row r="36" ht="15.75" customHeight="1">
      <c r="A36" s="424">
        <f t="shared" si="11"/>
        <v>23</v>
      </c>
      <c r="B36" s="425" t="str">
        <f>'Trung tâm nhập liệu'!F137</f>
        <v>Số hoá BC theo dõi SP hàng bán theo kênh</v>
      </c>
      <c r="C36" s="427" t="str">
        <f>'Trung tâm nhập liệu'!M137</f>
        <v>P2</v>
      </c>
      <c r="D36" s="499">
        <f t="shared" ref="D36:E36" si="81">AF36</f>
        <v>0</v>
      </c>
      <c r="E36" s="501">
        <f t="shared" si="81"/>
        <v>106</v>
      </c>
      <c r="F36" s="431">
        <f t="shared" ref="F36:G36" si="82">S36</f>
        <v>46371</v>
      </c>
      <c r="G36" s="431">
        <f t="shared" si="82"/>
        <v>46235</v>
      </c>
      <c r="H36" s="432" t="str">
        <f>IF(B36="","",IF(COUNTIF('Lớp 5 - Phân công'!$J$14:$J$262,I36)&gt;0,"Có","Không"))</f>
        <v>Không</v>
      </c>
      <c r="I36" s="434" t="str">
        <f>'Trung tâm nhập liệu'!B137</f>
        <v>HHL4RD23</v>
      </c>
      <c r="J36" s="432" t="str">
        <f>'Trung tâm nhập liệu'!D137</f>
        <v>HHL3RD12</v>
      </c>
      <c r="K36" s="436">
        <f t="array" ref="K36">IFERROR(INDEX('Lớp 3 - Công việc chính'!$J$14:$J$73,MATCH(J36,'Lớp 3 - Công việc chính'!$I$14:$I$73,0)),"")</f>
        <v>2026</v>
      </c>
      <c r="L36" s="438" t="str">
        <f t="array" ref="L36">IFERROR(INDEX('Lớp 3 - Công việc chính'!$K$14:$K$73,MATCH(J36,'Lớp 3 - Công việc chính'!$I$14:$I$73,0)),"")</f>
        <v>Cấp phòng ban</v>
      </c>
      <c r="M36" s="439" t="str">
        <f t="array" ref="M36">IFERROR(INDEX('Lớp 3 - Công việc chính'!$L$14:$L$73,MATCH(J36,'Lớp 3 - Công việc chính'!$I$14:$I$73,0)),"")</f>
        <v>Hệ thống/Vận hành</v>
      </c>
      <c r="N36" s="439" t="str">
        <f t="array" ref="N36">IFERROR(INDEX('Lớp 3 - Công việc chính'!$M$14:$M$73,MATCH(J36,'Lớp 3 - Công việc chính'!$I$14:$I$73,0)),"")</f>
        <v>Xây dựng quy trình và hệ thống quản trị sản phẩm theo phân loại</v>
      </c>
      <c r="O36" s="440" t="str">
        <f t="shared" ref="O36:R36" si="83">B36</f>
        <v>Số hoá BC theo dõi SP hàng bán theo kênh</v>
      </c>
      <c r="P36" s="441" t="str">
        <f t="shared" si="83"/>
        <v>P2</v>
      </c>
      <c r="Q36" s="442">
        <f t="shared" si="83"/>
        <v>0</v>
      </c>
      <c r="R36" s="443">
        <f t="shared" si="83"/>
        <v>106</v>
      </c>
      <c r="S36" s="445">
        <f>IF($I36="","",LET(n,COUNTIFS('Lớp 5 - Phân công'!$J$14:$J$262,$I36,'Lớp 5 - Phân công'!$AB$14:$AB$262,"&lt;&gt;Hủy"),child,IFERROR(MAXIFS('Lớp 5 - Phân công'!$AE$14:$AE$262,'Lớp 5 - Phân công'!$J$14:$J$262,$I36,'Lớp 5 - Phân công'!$AB$14:$AB$262,"&lt;&gt;Hủy",'Lớp 5 - Phân công'!$AE$14:$AE$262,"&gt;0"),0),plan,'Trung tâm nhập liệu'!Q137,emergent,LOWER(TRIM('Trung tâm nhập liệu'!O137))="khi phát sinh",IF(n=0,IF(emergent,"",plan),IF(child=0,IF(emergent,"",plan),IF(OR(emergent,plan=""),child,MAX(plan,child))))))</f>
        <v>46371</v>
      </c>
      <c r="T36" s="447">
        <f>IF($I36="","",LET(n,COUNTIFS('Lớp 5 - Phân công'!$J$14:$J$262,$I36,'Lớp 5 - Phân công'!$AB$14:$AB$262,"&lt;&gt;Hủy"),child,IFERROR(MINIFS('Lớp 5 - Phân công'!$AD$14:$AD$262,'Lớp 5 - Phân công'!$J$14:$J$262,$I36,'Lớp 5 - Phân công'!$AB$14:$AB$262,"&lt;&gt;Hủy",'Lớp 5 - Phân công'!$AD$14:$AD$262,"&gt;0"),0),plan,'Trung tâm nhập liệu'!R137,emergent,LOWER(TRIM('Trung tâm nhập liệu'!O137))="khi phát sinh",IF(n=0,IF(emergent,"",plan),IF(child=0,IF(emergent,"",plan),IF(OR(emergent,plan=""),child,MIN(plan,child))))))</f>
        <v>46235</v>
      </c>
      <c r="U36" s="432" t="str">
        <f t="shared" si="15"/>
        <v>Không</v>
      </c>
      <c r="V36" s="432" t="str">
        <f>'Trung tâm nhập liệu'!G137</f>
        <v>Báo cáo số hóa theo dõi sản phẩm hàng bán theo kênh vận hành ổn định.</v>
      </c>
      <c r="W36" s="432" t="str">
        <f>'Trung tâm nhập liệu'!H137</f>
        <v/>
      </c>
      <c r="X36" s="450" t="str">
        <f t="array" ref="X36">IFERROR(INDEX('Lớp 3 - Công việc chính'!$W$14:$W$73,MATCH(J36,'Lớp 3 - Công việc chính'!$I$14:$I$73,0)),"")</f>
        <v>R&amp;D</v>
      </c>
      <c r="Y36" s="432" t="str">
        <f>'Trung tâm nhập liệu'!J137</f>
        <v>GĐ BOC</v>
      </c>
      <c r="Z36" s="432" t="str">
        <f>'Trung tâm nhập liệu'!K137</f>
        <v>Ms Trang</v>
      </c>
      <c r="AA36" s="425" t="str">
        <f>'Trung tâm nhập liệu'!L137</f>
        <v>Đang thực hiện</v>
      </c>
      <c r="AB36" s="441" t="str">
        <f>'Trung tâm nhập liệu'!M137</f>
        <v>P2</v>
      </c>
      <c r="AC36" s="447">
        <f t="shared" si="16"/>
        <v>46235</v>
      </c>
      <c r="AD36" s="445">
        <f t="shared" si="17"/>
        <v>46371</v>
      </c>
      <c r="AE36" s="457">
        <f>IF(AL36&lt;&gt;"Có thời hạn","",IF(OR(AC36="",AD36=""),"",IF(AD36&lt;AC36,"",_xlfn.NETWORKDAYS.INTL(AC36,AD36,11,'Ngày nghỉ lễ'!$A$5:$A$80))))</f>
        <v>115</v>
      </c>
      <c r="AF36" s="458">
        <f>IF(I36="","",IF(L36="Công việc khác","",IF(OR(AA36="Chưa lên lịch",AA36="Đã lên lịch",AA36="Hủy"),"",IF(COUNTIFS('Lớp 5 - Phân công'!$J$14:$J$262,I36,'Lớp 5 - Phân công'!$AB$14:$AB$262,"&lt;&gt;",'Lớp 5 - Phân công'!$AB$14:$AB$262,"&lt;&gt;Hủy",'Lớp 5 - Phân công'!$AB$14:$AB$262,"&lt;&gt;Chưa lên lịch",'Lớp 5 - Phân công'!$AB$14:$AB$262,"&lt;&gt;Đã lên lịch")&gt;0,SUMIFS('Lớp 5 - Phân công'!$AG$14:$AG$262,'Lớp 5 - Phân công'!$J$14:$J$262,I36,'Lớp 5 - Phân công'!$AB$14:$AB$262,"&lt;&gt;",'Lớp 5 - Phân công'!$AB$14:$AB$262,"&lt;&gt;Hủy",'Lớp 5 - Phân công'!$AB$14:$AB$262,"&lt;&gt;Chưa lên lịch",'Lớp 5 - Phân công'!$AB$14:$AB$262,"&lt;&gt;Đã lên lịch")/COUNTIFS('Lớp 5 - Phân công'!$J$14:$J$262,I36,'Lớp 5 - Phân công'!$AB$14:$AB$262,"&lt;&gt;",'Lớp 5 - Phân công'!$AB$14:$AB$262,"&lt;&gt;Hủy",'Lớp 5 - Phân công'!$AB$14:$AB$262,"&lt;&gt;Chưa lên lịch",'Lớp 5 - Phân công'!$AB$14:$AB$262,"&lt;&gt;Đã lên lịch"),IF(AA36="Hoàn thành",1,0)))))</f>
        <v>0</v>
      </c>
      <c r="AG36" s="461">
        <f>IF(AL36&lt;&gt;"Có thời hạn","",IF(OR(I36="",AC36="",AD36=""),"",IF(OR(AA36="Hoàn thành",AA36="Hủy"),0,IF(AD36&lt;TODAY(),-_xlfn.NETWORKDAYS.INTL(AD36,TODAY()-1,11,'Ngày nghỉ lễ'!$A$5:$A$80),MAX(0,_xlfn.NETWORKDAYS.INTL(MAX(TODAY()+1,AC36),AD36,11,'Ngày nghỉ lễ'!$A$5:$A$80))))))</f>
        <v>106</v>
      </c>
      <c r="AH36" s="466">
        <f>IF($I36="","",LET(n,COUNTIFS('Lớp 5 - Phân công'!$J$14:$J$262,$I36,'Lớp 5 - Phân công'!$AB$14:$AB$262,"&lt;&gt;Hủy"),du,COUNTIFS('Lớp 5 - Phân công'!$J$14:$J$262,$I36,'Lớp 5 - Phân công'!$AB$14:$AB$262,"&lt;&gt;Hủy",'Lớp 5 - Phân công'!$AI$14:$AI$262,"&lt;&gt;"),IF(n=0,'Trung tâm nhập liệu'!T137,IF(du&lt;n,"",SUMIFS('Lớp 5 - Phân công'!$AI$14:$AI$262,'Lớp 5 - Phân công'!$J$14:$J$262,$I36,'Lớp 5 - Phân công'!$AB$14:$AB$262,"&lt;&gt;Hủy")))))</f>
        <v>40</v>
      </c>
      <c r="AI36" s="468" t="str">
        <f>IF(I36="","",IF(OR(AA36="Hoàn thành",AA36="Hủy"),"",IF(COUNTIFS('Lớp 5 - Phân công'!$J$14:$J$262,I36,'Lớp 5 - Phân công'!$AB$14:$AB$262,"&lt;&gt;Hủy")&gt;0,"",IF(AR36="Ngày",AS36,IF(AR36="Tuần",AS36/5,"")))))</f>
        <v/>
      </c>
      <c r="AJ36" s="477" t="str">
        <f>IF(AL36="Chưa xếp lịch","Chưa xếp lịch",IF(AL36="Định kỳ",IF(AM36="","Thiếu chu kỳ","Theo chu kỳ"),IF(AL36="Khi phát sinh",IF(COUNTIFS('Lớp 5 - Phân công'!$J$14:$J$262,$I36,'Lớp 5 - Phân công'!$AB$14:$AB$262,"&lt;&gt;Hủy")=0,"Khi phát sinh – chờ việc con","Khi phát sinh – theo ngày con"),IF(I36="","",LET(n,COUNTIFS('Lớp 5 - Phân công'!$J$14:$J$262,$I36,'Lớp 5 - Phân công'!$AB$14:$AB$262,"&lt;&gt;Hủy"),cs,IFERROR(MINIFS('Lớp 5 - Phân công'!$AD$14:$AD$262,'Lớp 5 - Phân công'!$J$14:$J$262,$I36,'Lớp 5 - Phân công'!$AB$14:$AB$262,"&lt;&gt;Hủy",'Lớp 5 - Phân công'!$AD$14:$AD$262,"&gt;0"),0),ce,IFERROR(MAXIFS('Lớp 5 - Phân công'!$AE$14:$AE$262,'Lớp 5 - Phân công'!$J$14:$J$262,$I36,'Lớp 5 - Phân công'!$AB$14:$AB$262,"&lt;&gt;Hủy",'Lớp 5 - Phân công'!$AE$14:$AE$262,"&gt;0"),0),ps,'Trung tâm nhập liệu'!R137,pe,'Trung tâm nhập liệu'!Q137,IF(OR(AC36="",AD36=""),"Thiếu ngày L4",IF(n=0,"Chưa có L5",IF(OR(cs=0,ce=0),"Thiếu ngày L5",IF(OR(ps="",pe=""),"Thiếu ngày kế hoạch gốc L4",IF(OR(cs&lt;ps,ce&gt;pe),"Cảnh báo: Con vượt khung kế hoạch gốc","L5 đúng khung kế hoạch gốc"))))))))))</f>
        <v>Chưa có L5</v>
      </c>
      <c r="AK36" s="465" t="str">
        <f>IF(OR(AU36="Thiếu tham số phân bổ",AU36="Phân bổ phải &gt; 0"),AU36,SWITCH(AL36,"Chưa xếp lịch","Chưa tính tải","Định kỳ","Theo chu kỳ","Khi phát sinh","Khi phát sinh",IF(I36="","",IF(OR(AA36="Hoàn thành",AA36="Hủy"),AA36,IF(COUNTIFS('Lớp 5 - Phân công'!$J$14:$J$262,I36,'Lớp 5 - Phân công'!$AB$14:$AB$262,"&lt;&gt;Hủy")&gt;0,"Theo dõi tải tại Lớp 5",IF(AH36="","Chưa nhập khối lượng",IF(Z36="","Thiếu người thực hiện",IF(OR(AC36="",AD36=""),"Chưa nhập đủ thời gian",IF(AG36&lt;0,"Quá hạn – còn "&amp;TEXT(MAX(0,AH36*(1-AF36)),"0.0")&amp;" giờ",LET(bd,MAX(TODAY(),AC36),kt,AD36,nguoi,Z36,tai,SUMIFS('Lớp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6" s="467" t="str">
        <f>'Trung tâm nhập liệu'!O137</f>
        <v>Có thời hạn</v>
      </c>
      <c r="AM36" s="469" t="str">
        <f>'Trung tâm nhập liệu'!P137</f>
        <v/>
      </c>
      <c r="AN36" s="470" t="str">
        <f>'Trung tâm nhập liệu'!S137</f>
        <v/>
      </c>
      <c r="AO36" s="470" t="str">
        <f>'Trung tâm nhập liệu'!X137</f>
        <v/>
      </c>
      <c r="AP36" s="471" t="str">
        <f t="shared" si="18"/>
        <v/>
      </c>
      <c r="AQ36" s="469" t="str">
        <f t="shared" si="19"/>
        <v/>
      </c>
      <c r="AR36" s="475" t="str">
        <f>'Trung tâm nhập liệu'!V137</f>
        <v/>
      </c>
      <c r="AS36" s="476" t="str">
        <f>'Trung tâm nhập liệu'!W137</f>
        <v/>
      </c>
      <c r="AT36" s="478" t="str">
        <f>IF(AL36&lt;&gt;"Có thời hạn","",IF(OR(I36="",AH36="",AA36="Hoàn thành",AA36="Hủy",COUNTIFS('Lớp 5 - Phân công'!$J$14:$J$262,I36,'Lớp 5 - Phân công'!$AB$14:$AB$262,"&lt;&gt;Hủy")&gt;0),"",LET(canNgay,MAX(0,AH36*(1-AF36))/MAX(1,AG36),IF(AR36="Ngày",canNgay,IF(AR36="Tuần",canNgay*5,"")))))</f>
        <v/>
      </c>
      <c r="AU36" s="465" t="str">
        <f>IF(I36="","",IF(COUNTIFS('Lớp 5 - Phân công'!$J$14:$J$262,I36,'Lớp 5 - Phân công'!$AB$14:$AB$262,"&lt;&gt;Hủy")&gt;0,"Theo dõi phân bổ tại Lớp 5",IF(OR(AA36="Hoàn thành",AA36="Hủy"),AA36,IF(AH36="","Thiếu tổng giờ",IF(OR(AR36="",AS36=""),"Thiếu tham số phân bổ",IF(AS36&lt;=0,"Phân bổ phải &gt; 0",IF(AL36&lt;&gt;"Có thời hạn","Đã có phân bổ",IF(AT36="","Chưa đủ dữ liệu hạn",IF(AS36&gt;=AT36,"Đủ phân bổ theo "&amp;LOWER(AR36),"Thiếu "&amp;TEXT(AT36-AS36,"0.0")&amp;" giờ/"&amp;LOWER(AR36))))))))))</f>
        <v>Thiếu tham số phân bổ</v>
      </c>
      <c r="AV36" s="465" t="str">
        <f t="shared" si="20"/>
        <v>OK</v>
      </c>
      <c r="AW36" s="479" t="str">
        <f>'Trung tâm nhập liệu'!Y137</f>
        <v/>
      </c>
    </row>
    <row r="37" ht="15.75" customHeight="1">
      <c r="A37" s="424">
        <f t="shared" si="11"/>
        <v>24</v>
      </c>
      <c r="B37" s="425" t="str">
        <f>'Trung tâm nhập liệu'!F138</f>
        <v>Tổ chức hệ thống Soursing hàng OEM có CO trong nước</v>
      </c>
      <c r="C37" s="427" t="str">
        <f>'Trung tâm nhập liệu'!M138</f>
        <v>P2</v>
      </c>
      <c r="D37" s="528">
        <f t="shared" ref="D37:E37" si="84">AF37</f>
        <v>0</v>
      </c>
      <c r="E37" s="501">
        <f t="shared" si="84"/>
        <v>23</v>
      </c>
      <c r="F37" s="431">
        <f t="shared" ref="F37:G37" si="85">S37</f>
        <v>46274</v>
      </c>
      <c r="G37" s="431">
        <f t="shared" si="85"/>
        <v>46235</v>
      </c>
      <c r="H37" s="432" t="str">
        <f>IF(B37="","",IF(COUNTIF('Lớp 5 - Phân công'!$J$14:$J$262,I37)&gt;0,"Có","Không"))</f>
        <v>Không</v>
      </c>
      <c r="I37" s="434" t="str">
        <f>'Trung tâm nhập liệu'!B138</f>
        <v>HHL4RD24</v>
      </c>
      <c r="J37" s="432" t="str">
        <f>'Trung tâm nhập liệu'!D138</f>
        <v>HHL3RD02</v>
      </c>
      <c r="K37" s="607">
        <f t="array" ref="K37">IFERROR(INDEX('Lớp 3 - Công việc chính'!$J$14:$J$73,MATCH(J37,'Lớp 3 - Công việc chính'!$I$14:$I$73,0)),"")</f>
        <v>2026</v>
      </c>
      <c r="L37" s="438" t="str">
        <f t="array" ref="L37">IFERROR(INDEX('Lớp 3 - Công việc chính'!$K$14:$K$73,MATCH(J37,'Lớp 3 - Công việc chính'!$I$14:$I$73,0)),"")</f>
        <v>Cấp phòng ban</v>
      </c>
      <c r="M37" s="608" t="str">
        <f t="array" ref="M37">IFERROR(INDEX('Lớp 3 - Công việc chính'!$L$14:$L$73,MATCH(J37,'Lớp 3 - Công việc chính'!$I$14:$I$73,0)),"")</f>
        <v>Chiến lược/sống còn</v>
      </c>
      <c r="N37" s="608" t="str">
        <f t="array" ref="N37">IFERROR(INDEX('Lớp 3 - Công việc chính'!$M$14:$M$73,MATCH(J37,'Lớp 3 - Công việc chính'!$I$14:$I$73,0)),"")</f>
        <v>Danh mục SP OEM đề xuất</v>
      </c>
      <c r="O37" s="440" t="str">
        <f t="shared" ref="O37:R37" si="86">B37</f>
        <v>Tổ chức hệ thống Soursing hàng OEM có CO trong nước</v>
      </c>
      <c r="P37" s="441" t="str">
        <f t="shared" si="86"/>
        <v>P2</v>
      </c>
      <c r="Q37" s="442">
        <f t="shared" si="86"/>
        <v>0</v>
      </c>
      <c r="R37" s="443">
        <f t="shared" si="86"/>
        <v>23</v>
      </c>
      <c r="S37" s="445">
        <f>IF($I37="","",LET(n,COUNTIFS('Lớp 5 - Phân công'!$J$14:$J$262,$I37,'Lớp 5 - Phân công'!$AB$14:$AB$262,"&lt;&gt;Hủy"),child,IFERROR(MAXIFS('Lớp 5 - Phân công'!$AE$14:$AE$262,'Lớp 5 - Phân công'!$J$14:$J$262,$I37,'Lớp 5 - Phân công'!$AB$14:$AB$262,"&lt;&gt;Hủy",'Lớp 5 - Phân công'!$AE$14:$AE$262,"&gt;0"),0),plan,'Trung tâm nhập liệu'!Q138,emergent,LOWER(TRIM('Trung tâm nhập liệu'!O138))="khi phát sinh",IF(n=0,IF(emergent,"",plan),IF(child=0,IF(emergent,"",plan),IF(OR(emergent,plan=""),child,MAX(plan,child))))))</f>
        <v>46274</v>
      </c>
      <c r="T37" s="447">
        <f>IF($I37="","",LET(n,COUNTIFS('Lớp 5 - Phân công'!$J$14:$J$262,$I37,'Lớp 5 - Phân công'!$AB$14:$AB$262,"&lt;&gt;Hủy"),child,IFERROR(MINIFS('Lớp 5 - Phân công'!$AD$14:$AD$262,'Lớp 5 - Phân công'!$J$14:$J$262,$I37,'Lớp 5 - Phân công'!$AB$14:$AB$262,"&lt;&gt;Hủy",'Lớp 5 - Phân công'!$AD$14:$AD$262,"&gt;0"),0),plan,'Trung tâm nhập liệu'!R138,emergent,LOWER(TRIM('Trung tâm nhập liệu'!O138))="khi phát sinh",IF(n=0,IF(emergent,"",plan),IF(child=0,IF(emergent,"",plan),IF(OR(emergent,plan=""),child,MIN(plan,child))))))</f>
        <v>46235</v>
      </c>
      <c r="U37" s="432" t="str">
        <f t="shared" si="15"/>
        <v>Không</v>
      </c>
      <c r="V37" s="432" t="str">
        <f>'Trung tâm nhập liệu'!G138</f>
        <v>Hệ thống sourcing hàng OEM có CO trong nước được thiết lập và vận hành.</v>
      </c>
      <c r="W37" s="432" t="str">
        <f>'Trung tâm nhập liệu'!H138</f>
        <v/>
      </c>
      <c r="X37" s="450" t="str">
        <f t="array" ref="X37">IFERROR(INDEX('Lớp 3 - Công việc chính'!$W$14:$W$73,MATCH(J37,'Lớp 3 - Công việc chính'!$I$14:$I$73,0)),"")</f>
        <v>R&amp;D</v>
      </c>
      <c r="Y37" s="432" t="str">
        <f>'Trung tâm nhập liệu'!J138</f>
        <v>GĐ BOC</v>
      </c>
      <c r="Z37" s="432" t="str">
        <f>'Trung tâm nhập liệu'!K138</f>
        <v>Ms Trang</v>
      </c>
      <c r="AA37" s="425" t="str">
        <f>'Trung tâm nhập liệu'!L138</f>
        <v>Đang thực hiện</v>
      </c>
      <c r="AB37" s="441" t="str">
        <f>'Trung tâm nhập liệu'!M138</f>
        <v>P2</v>
      </c>
      <c r="AC37" s="447">
        <f t="shared" si="16"/>
        <v>46235</v>
      </c>
      <c r="AD37" s="445">
        <f t="shared" si="17"/>
        <v>46274</v>
      </c>
      <c r="AE37" s="457">
        <f>IF(AL37&lt;&gt;"Có thời hạn","",IF(OR(AC37="",AD37=""),"",IF(AD37&lt;AC37,"",_xlfn.NETWORKDAYS.INTL(AC37,AD37,11,'Ngày nghỉ lễ'!$A$5:$A$80))))</f>
        <v>32</v>
      </c>
      <c r="AF37" s="458">
        <f>IF(I37="","",IF(L37="Công việc khác","",IF(OR(AA37="Chưa lên lịch",AA37="Đã lên lịch",AA37="Hủy"),"",IF(COUNTIFS('Lớp 5 - Phân công'!$J$14:$J$262,I37,'Lớp 5 - Phân công'!$AB$14:$AB$262,"&lt;&gt;",'Lớp 5 - Phân công'!$AB$14:$AB$262,"&lt;&gt;Hủy",'Lớp 5 - Phân công'!$AB$14:$AB$262,"&lt;&gt;Chưa lên lịch",'Lớp 5 - Phân công'!$AB$14:$AB$262,"&lt;&gt;Đã lên lịch")&gt;0,SUMIFS('Lớp 5 - Phân công'!$AG$14:$AG$262,'Lớp 5 - Phân công'!$J$14:$J$262,I37,'Lớp 5 - Phân công'!$AB$14:$AB$262,"&lt;&gt;",'Lớp 5 - Phân công'!$AB$14:$AB$262,"&lt;&gt;Hủy",'Lớp 5 - Phân công'!$AB$14:$AB$262,"&lt;&gt;Chưa lên lịch",'Lớp 5 - Phân công'!$AB$14:$AB$262,"&lt;&gt;Đã lên lịch")/COUNTIFS('Lớp 5 - Phân công'!$J$14:$J$262,I37,'Lớp 5 - Phân công'!$AB$14:$AB$262,"&lt;&gt;",'Lớp 5 - Phân công'!$AB$14:$AB$262,"&lt;&gt;Hủy",'Lớp 5 - Phân công'!$AB$14:$AB$262,"&lt;&gt;Chưa lên lịch",'Lớp 5 - Phân công'!$AB$14:$AB$262,"&lt;&gt;Đã lên lịch"),IF(AA37="Hoàn thành",1,0)))))</f>
        <v>0</v>
      </c>
      <c r="AG37" s="461">
        <f>IF(AL37&lt;&gt;"Có thời hạn","",IF(OR(I37="",AC37="",AD37=""),"",IF(OR(AA37="Hoàn thành",AA37="Hủy"),0,IF(AD37&lt;TODAY(),-_xlfn.NETWORKDAYS.INTL(AD37,TODAY()-1,11,'Ngày nghỉ lễ'!$A$5:$A$80),MAX(0,_xlfn.NETWORKDAYS.INTL(MAX(TODAY()+1,AC37),AD37,11,'Ngày nghỉ lễ'!$A$5:$A$80))))))</f>
        <v>23</v>
      </c>
      <c r="AH37" s="466">
        <f>IF($I37="","",LET(n,COUNTIFS('Lớp 5 - Phân công'!$J$14:$J$262,$I37,'Lớp 5 - Phân công'!$AB$14:$AB$262,"&lt;&gt;Hủy"),du,COUNTIFS('Lớp 5 - Phân công'!$J$14:$J$262,$I37,'Lớp 5 - Phân công'!$AB$14:$AB$262,"&lt;&gt;Hủy",'Lớp 5 - Phân công'!$AI$14:$AI$262,"&lt;&gt;"),IF(n=0,'Trung tâm nhập liệu'!T138,IF(du&lt;n,"",SUMIFS('Lớp 5 - Phân công'!$AI$14:$AI$262,'Lớp 5 - Phân công'!$J$14:$J$262,$I37,'Lớp 5 - Phân công'!$AB$14:$AB$262,"&lt;&gt;Hủy")))))</f>
        <v>40</v>
      </c>
      <c r="AI37" s="468" t="str">
        <f>IF(I37="","",IF(OR(AA37="Hoàn thành",AA37="Hủy"),"",IF(COUNTIFS('Lớp 5 - Phân công'!$J$14:$J$262,I37,'Lớp 5 - Phân công'!$AB$14:$AB$262,"&lt;&gt;Hủy")&gt;0,"",IF(AR37="Ngày",AS37,IF(AR37="Tuần",AS37/5,"")))))</f>
        <v/>
      </c>
      <c r="AJ37" s="477" t="str">
        <f>IF(AL37="Chưa xếp lịch","Chưa xếp lịch",IF(AL37="Định kỳ",IF(AM37="","Thiếu chu kỳ","Theo chu kỳ"),IF(AL37="Khi phát sinh",IF(COUNTIFS('Lớp 5 - Phân công'!$J$14:$J$262,$I37,'Lớp 5 - Phân công'!$AB$14:$AB$262,"&lt;&gt;Hủy")=0,"Khi phát sinh – chờ việc con","Khi phát sinh – theo ngày con"),IF(I37="","",LET(n,COUNTIFS('Lớp 5 - Phân công'!$J$14:$J$262,$I37,'Lớp 5 - Phân công'!$AB$14:$AB$262,"&lt;&gt;Hủy"),cs,IFERROR(MINIFS('Lớp 5 - Phân công'!$AD$14:$AD$262,'Lớp 5 - Phân công'!$J$14:$J$262,$I37,'Lớp 5 - Phân công'!$AB$14:$AB$262,"&lt;&gt;Hủy",'Lớp 5 - Phân công'!$AD$14:$AD$262,"&gt;0"),0),ce,IFERROR(MAXIFS('Lớp 5 - Phân công'!$AE$14:$AE$262,'Lớp 5 - Phân công'!$J$14:$J$262,$I37,'Lớp 5 - Phân công'!$AB$14:$AB$262,"&lt;&gt;Hủy",'Lớp 5 - Phân công'!$AE$14:$AE$262,"&gt;0"),0),ps,'Trung tâm nhập liệu'!R138,pe,'Trung tâm nhập liệu'!Q138,IF(OR(AC37="",AD37=""),"Thiếu ngày L4",IF(n=0,"Chưa có L5",IF(OR(cs=0,ce=0),"Thiếu ngày L5",IF(OR(ps="",pe=""),"Thiếu ngày kế hoạch gốc L4",IF(OR(cs&lt;ps,ce&gt;pe),"Cảnh báo: Con vượt khung kế hoạch gốc","L5 đúng khung kế hoạch gốc"))))))))))</f>
        <v>Chưa có L5</v>
      </c>
      <c r="AK37" s="465" t="str">
        <f>IF(OR(AU37="Thiếu tham số phân bổ",AU37="Phân bổ phải &gt; 0"),AU37,SWITCH(AL37,"Chưa xếp lịch","Chưa tính tải","Định kỳ","Theo chu kỳ","Khi phát sinh","Khi phát sinh",IF(I37="","",IF(OR(AA37="Hoàn thành",AA37="Hủy"),AA37,IF(COUNTIFS('Lớp 5 - Phân công'!$J$14:$J$262,I37,'Lớp 5 - Phân công'!$AB$14:$AB$262,"&lt;&gt;Hủy")&gt;0,"Theo dõi tải tại Lớp 5",IF(AH37="","Chưa nhập khối lượng",IF(Z37="","Thiếu người thực hiện",IF(OR(AC37="",AD37=""),"Chưa nhập đủ thời gian",IF(AG37&lt;0,"Quá hạn – còn "&amp;TEXT(MAX(0,AH37*(1-AF37)),"0.0")&amp;" giờ",LET(bd,MAX(TODAY(),AC37),kt,AD37,nguoi,Z37,tai,SUMIFS('Lớp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7" s="467" t="str">
        <f>'Trung tâm nhập liệu'!O138</f>
        <v>Có thời hạn</v>
      </c>
      <c r="AM37" s="469" t="str">
        <f>'Trung tâm nhập liệu'!P138</f>
        <v/>
      </c>
      <c r="AN37" s="470" t="str">
        <f>'Trung tâm nhập liệu'!S138</f>
        <v/>
      </c>
      <c r="AO37" s="470" t="str">
        <f>'Trung tâm nhập liệu'!X138</f>
        <v/>
      </c>
      <c r="AP37" s="471" t="str">
        <f t="shared" si="18"/>
        <v/>
      </c>
      <c r="AQ37" s="469" t="str">
        <f t="shared" si="19"/>
        <v/>
      </c>
      <c r="AR37" s="475" t="str">
        <f>'Trung tâm nhập liệu'!V138</f>
        <v/>
      </c>
      <c r="AS37" s="476" t="str">
        <f>'Trung tâm nhập liệu'!W138</f>
        <v/>
      </c>
      <c r="AT37" s="478" t="str">
        <f>IF(AL37&lt;&gt;"Có thời hạn","",IF(OR(I37="",AH37="",AA37="Hoàn thành",AA37="Hủy",COUNTIFS('Lớp 5 - Phân công'!$J$14:$J$262,I37,'Lớp 5 - Phân công'!$AB$14:$AB$262,"&lt;&gt;Hủy")&gt;0),"",LET(canNgay,MAX(0,AH37*(1-AF37))/MAX(1,AG37),IF(AR37="Ngày",canNgay,IF(AR37="Tuần",canNgay*5,"")))))</f>
        <v/>
      </c>
      <c r="AU37" s="465" t="str">
        <f>IF(I37="","",IF(COUNTIFS('Lớp 5 - Phân công'!$J$14:$J$262,I37,'Lớp 5 - Phân công'!$AB$14:$AB$262,"&lt;&gt;Hủy")&gt;0,"Theo dõi phân bổ tại Lớp 5",IF(OR(AA37="Hoàn thành",AA37="Hủy"),AA37,IF(AH37="","Thiếu tổng giờ",IF(OR(AR37="",AS37=""),"Thiếu tham số phân bổ",IF(AS37&lt;=0,"Phân bổ phải &gt; 0",IF(AL37&lt;&gt;"Có thời hạn","Đã có phân bổ",IF(AT37="","Chưa đủ dữ liệu hạn",IF(AS37&gt;=AT37,"Đủ phân bổ theo "&amp;LOWER(AR37),"Thiếu "&amp;TEXT(AT37-AS37,"0.0")&amp;" giờ/"&amp;LOWER(AR37))))))))))</f>
        <v>Thiếu tham số phân bổ</v>
      </c>
      <c r="AV37" s="465" t="str">
        <f t="shared" si="20"/>
        <v>OK</v>
      </c>
      <c r="AW37" s="479" t="str">
        <f>'Trung tâm nhập liệu'!Y138</f>
        <v/>
      </c>
    </row>
    <row r="38" ht="15.75" customHeight="1">
      <c r="A38" s="424">
        <f t="shared" si="11"/>
        <v>25</v>
      </c>
      <c r="B38" s="425" t="str">
        <f>'Trung tâm nhập liệu'!F139</f>
        <v>XD phần mềm tính contenr hàng hoá xuất khẩu </v>
      </c>
      <c r="C38" s="427" t="str">
        <f>'Trung tâm nhập liệu'!M139</f>
        <v>P3</v>
      </c>
      <c r="D38" s="609">
        <f t="shared" ref="D38:E38" si="87">AF38</f>
        <v>0</v>
      </c>
      <c r="E38" s="501">
        <f t="shared" si="87"/>
        <v>-7</v>
      </c>
      <c r="F38" s="431">
        <f t="shared" ref="F38:G38" si="88">S38</f>
        <v>46236</v>
      </c>
      <c r="G38" s="431">
        <f t="shared" si="88"/>
        <v>46232</v>
      </c>
      <c r="H38" s="432" t="str">
        <f>IF(B38="","",IF(COUNTIF('Lớp 5 - Phân công'!$J$14:$J$262,I38)&gt;0,"Có","Không"))</f>
        <v>Không</v>
      </c>
      <c r="I38" s="434" t="str">
        <f>'Trung tâm nhập liệu'!B139</f>
        <v>HHL4DL08</v>
      </c>
      <c r="J38" s="432" t="str">
        <f>'Trung tâm nhập liệu'!D139</f>
        <v>HHL3DL08</v>
      </c>
      <c r="K38" s="610">
        <f t="array" ref="K38">IFERROR(INDEX('Lớp 3 - Công việc chính'!$J$14:$J$73,MATCH(J38,'Lớp 3 - Công việc chính'!$I$14:$I$73,0)),"")</f>
        <v>2026</v>
      </c>
      <c r="L38" s="580" t="str">
        <f t="array" ref="L38">IFERROR(INDEX('Lớp 3 - Công việc chính'!$K$14:$K$73,MATCH(J38,'Lớp 3 - Công việc chính'!$I$14:$I$73,0)),"")</f>
        <v>Cấp phòng ban</v>
      </c>
      <c r="M38" s="450" t="str">
        <f t="array" ref="M38">IFERROR(INDEX('Lớp 3 - Công việc chính'!$L$14:$L$73,MATCH(J38,'Lớp 3 - Công việc chính'!$I$14:$I$73,0)),"")</f>
        <v>Hệ thống/Vận hành</v>
      </c>
      <c r="N38" s="450" t="str">
        <f t="array" ref="N38">IFERROR(INDEX('Lớp 3 - Công việc chính'!$M$14:$M$73,MATCH(J38,'Lớp 3 - Công việc chính'!$I$14:$I$73,0)),"")</f>
        <v>XDHT xếp hàng lên container phục vụ XK</v>
      </c>
      <c r="O38" s="440" t="str">
        <f t="shared" ref="O38:R38" si="89">B38</f>
        <v>XD phần mềm tính contenr hàng hoá xuất khẩu </v>
      </c>
      <c r="P38" s="441" t="str">
        <f t="shared" si="89"/>
        <v>P3</v>
      </c>
      <c r="Q38" s="442">
        <f t="shared" si="89"/>
        <v>0</v>
      </c>
      <c r="R38" s="443">
        <f t="shared" si="89"/>
        <v>-7</v>
      </c>
      <c r="S38" s="445">
        <f>IF($I38="","",LET(n,COUNTIFS('Lớp 5 - Phân công'!$J$14:$J$262,$I38,'Lớp 5 - Phân công'!$AB$14:$AB$262,"&lt;&gt;Hủy"),child,IFERROR(MAXIFS('Lớp 5 - Phân công'!$AE$14:$AE$262,'Lớp 5 - Phân công'!$J$14:$J$262,$I38,'Lớp 5 - Phân công'!$AB$14:$AB$262,"&lt;&gt;Hủy",'Lớp 5 - Phân công'!$AE$14:$AE$262,"&gt;0"),0),plan,'Trung tâm nhập liệu'!Q139,emergent,LOWER(TRIM('Trung tâm nhập liệu'!O139))="khi phát sinh",IF(n=0,IF(emergent,"",plan),IF(child=0,IF(emergent,"",plan),IF(OR(emergent,plan=""),child,MAX(plan,child))))))</f>
        <v>46236</v>
      </c>
      <c r="T38" s="447">
        <f>IF($I38="","",LET(n,COUNTIFS('Lớp 5 - Phân công'!$J$14:$J$262,$I38,'Lớp 5 - Phân công'!$AB$14:$AB$262,"&lt;&gt;Hủy"),child,IFERROR(MINIFS('Lớp 5 - Phân công'!$AD$14:$AD$262,'Lớp 5 - Phân công'!$J$14:$J$262,$I38,'Lớp 5 - Phân công'!$AB$14:$AB$262,"&lt;&gt;Hủy",'Lớp 5 - Phân công'!$AD$14:$AD$262,"&gt;0"),0),plan,'Trung tâm nhập liệu'!R139,emergent,LOWER(TRIM('Trung tâm nhập liệu'!O139))="khi phát sinh",IF(n=0,IF(emergent,"",plan),IF(child=0,IF(emergent,"",plan),IF(OR(emergent,plan=""),child,MIN(plan,child))))))</f>
        <v>46232</v>
      </c>
      <c r="U38" s="432" t="str">
        <f t="shared" si="15"/>
        <v>Không</v>
      </c>
      <c r="V38" s="432" t="str">
        <f>'Trung tâm nhập liệu'!G139</f>
        <v>Phần mềm tính container hàng xuất khẩu chạy đúng, có kiểm thử và hướng dẫn.</v>
      </c>
      <c r="W38" s="432" t="str">
        <f>'Trung tâm nhập liệu'!H139</f>
        <v/>
      </c>
      <c r="X38" s="450" t="str">
        <f t="array" ref="X38">IFERROR(INDEX('Lớp 3 - Công việc chính'!$W$14:$W$73,MATCH(J38,'Lớp 3 - Công việc chính'!$I$14:$I$73,0)),"")</f>
        <v>Dữ liệu điều hành</v>
      </c>
      <c r="Y38" s="432" t="str">
        <f>'Trung tâm nhập liệu'!J139</f>
        <v>GĐ BOC</v>
      </c>
      <c r="Z38" s="432" t="str">
        <f>'Trung tâm nhập liệu'!K139</f>
        <v>Em Đại</v>
      </c>
      <c r="AA38" s="425" t="str">
        <f>'Trung tâm nhập liệu'!L139</f>
        <v>Chưa bắt đầu</v>
      </c>
      <c r="AB38" s="441" t="str">
        <f>'Trung tâm nhập liệu'!M139</f>
        <v>P3</v>
      </c>
      <c r="AC38" s="447">
        <f t="shared" si="16"/>
        <v>46232</v>
      </c>
      <c r="AD38" s="445">
        <f t="shared" si="17"/>
        <v>46236</v>
      </c>
      <c r="AE38" s="457">
        <f>IF(AL38&lt;&gt;"Có thời hạn","",IF(OR(AC38="",AD38=""),"",IF(AD38&lt;AC38,"",_xlfn.NETWORKDAYS.INTL(AC38,AD38,11,'Ngày nghỉ lễ'!$A$5:$A$80))))</f>
        <v>4</v>
      </c>
      <c r="AF38" s="458">
        <f>IF(I38="","",IF(L38="Công việc khác","",IF(OR(AA38="Chưa lên lịch",AA38="Đã lên lịch",AA38="Hủy"),"",IF(COUNTIFS('Lớp 5 - Phân công'!$J$14:$J$262,I38,'Lớp 5 - Phân công'!$AB$14:$AB$262,"&lt;&gt;",'Lớp 5 - Phân công'!$AB$14:$AB$262,"&lt;&gt;Hủy",'Lớp 5 - Phân công'!$AB$14:$AB$262,"&lt;&gt;Chưa lên lịch",'Lớp 5 - Phân công'!$AB$14:$AB$262,"&lt;&gt;Đã lên lịch")&gt;0,SUMIFS('Lớp 5 - Phân công'!$AG$14:$AG$262,'Lớp 5 - Phân công'!$J$14:$J$262,I38,'Lớp 5 - Phân công'!$AB$14:$AB$262,"&lt;&gt;",'Lớp 5 - Phân công'!$AB$14:$AB$262,"&lt;&gt;Hủy",'Lớp 5 - Phân công'!$AB$14:$AB$262,"&lt;&gt;Chưa lên lịch",'Lớp 5 - Phân công'!$AB$14:$AB$262,"&lt;&gt;Đã lên lịch")/COUNTIFS('Lớp 5 - Phân công'!$J$14:$J$262,I38,'Lớp 5 - Phân công'!$AB$14:$AB$262,"&lt;&gt;",'Lớp 5 - Phân công'!$AB$14:$AB$262,"&lt;&gt;Hủy",'Lớp 5 - Phân công'!$AB$14:$AB$262,"&lt;&gt;Chưa lên lịch",'Lớp 5 - Phân công'!$AB$14:$AB$262,"&lt;&gt;Đã lên lịch"),IF(AA38="Hoàn thành",1,0)))))</f>
        <v>0</v>
      </c>
      <c r="AG38" s="461">
        <f>IF(AL38&lt;&gt;"Có thời hạn","",IF(OR(I38="",AC38="",AD38=""),"",IF(OR(AA38="Hoàn thành",AA38="Hủy"),0,IF(AD38&lt;TODAY(),-_xlfn.NETWORKDAYS.INTL(AD38,TODAY()-1,11,'Ngày nghỉ lễ'!$A$5:$A$80),MAX(0,_xlfn.NETWORKDAYS.INTL(MAX(TODAY()+1,AC38),AD38,11,'Ngày nghỉ lễ'!$A$5:$A$80))))))</f>
        <v>-7</v>
      </c>
      <c r="AH38" s="466">
        <f>IF($I38="","",LET(n,COUNTIFS('Lớp 5 - Phân công'!$J$14:$J$262,$I38,'Lớp 5 - Phân công'!$AB$14:$AB$262,"&lt;&gt;Hủy"),du,COUNTIFS('Lớp 5 - Phân công'!$J$14:$J$262,$I38,'Lớp 5 - Phân công'!$AB$14:$AB$262,"&lt;&gt;Hủy",'Lớp 5 - Phân công'!$AI$14:$AI$262,"&lt;&gt;"),IF(n=0,'Trung tâm nhập liệu'!T139,IF(du&lt;n,"",SUMIFS('Lớp 5 - Phân công'!$AI$14:$AI$262,'Lớp 5 - Phân công'!$J$14:$J$262,$I38,'Lớp 5 - Phân công'!$AB$14:$AB$262,"&lt;&gt;Hủy")))))</f>
        <v>120</v>
      </c>
      <c r="AI38" s="468" t="str">
        <f>IF(I38="","",IF(OR(AA38="Hoàn thành",AA38="Hủy"),"",IF(COUNTIFS('Lớp 5 - Phân công'!$J$14:$J$262,I38,'Lớp 5 - Phân công'!$AB$14:$AB$262,"&lt;&gt;Hủy")&gt;0,"",IF(AR38="Ngày",AS38,IF(AR38="Tuần",AS38/5,"")))))</f>
        <v/>
      </c>
      <c r="AJ38" s="477" t="str">
        <f>IF(AL38="Chưa xếp lịch","Chưa xếp lịch",IF(AL38="Định kỳ",IF(AM38="","Thiếu chu kỳ","Theo chu kỳ"),IF(AL38="Khi phát sinh",IF(COUNTIFS('Lớp 5 - Phân công'!$J$14:$J$262,$I38,'Lớp 5 - Phân công'!$AB$14:$AB$262,"&lt;&gt;Hủy")=0,"Khi phát sinh – chờ việc con","Khi phát sinh – theo ngày con"),IF(I38="","",LET(n,COUNTIFS('Lớp 5 - Phân công'!$J$14:$J$262,$I38,'Lớp 5 - Phân công'!$AB$14:$AB$262,"&lt;&gt;Hủy"),cs,IFERROR(MINIFS('Lớp 5 - Phân công'!$AD$14:$AD$262,'Lớp 5 - Phân công'!$J$14:$J$262,$I38,'Lớp 5 - Phân công'!$AB$14:$AB$262,"&lt;&gt;Hủy",'Lớp 5 - Phân công'!$AD$14:$AD$262,"&gt;0"),0),ce,IFERROR(MAXIFS('Lớp 5 - Phân công'!$AE$14:$AE$262,'Lớp 5 - Phân công'!$J$14:$J$262,$I38,'Lớp 5 - Phân công'!$AB$14:$AB$262,"&lt;&gt;Hủy",'Lớp 5 - Phân công'!$AE$14:$AE$262,"&gt;0"),0),ps,'Trung tâm nhập liệu'!R139,pe,'Trung tâm nhập liệu'!Q139,IF(OR(AC38="",AD38=""),"Thiếu ngày L4",IF(n=0,"Chưa có L5",IF(OR(cs=0,ce=0),"Thiếu ngày L5",IF(OR(ps="",pe=""),"Thiếu ngày kế hoạch gốc L4",IF(OR(cs&lt;ps,ce&gt;pe),"Cảnh báo: Con vượt khung kế hoạch gốc","L5 đúng khung kế hoạch gốc"))))))))))</f>
        <v>Chưa có L5</v>
      </c>
      <c r="AK38" s="465" t="str">
        <f>IF(OR(AU38="Thiếu tham số phân bổ",AU38="Phân bổ phải &gt; 0"),AU38,SWITCH(AL38,"Chưa xếp lịch","Chưa tính tải","Định kỳ","Theo chu kỳ","Khi phát sinh","Khi phát sinh",IF(I38="","",IF(OR(AA38="Hoàn thành",AA38="Hủy"),AA38,IF(COUNTIFS('Lớp 5 - Phân công'!$J$14:$J$262,I38,'Lớp 5 - Phân công'!$AB$14:$AB$262,"&lt;&gt;Hủy")&gt;0,"Theo dõi tải tại Lớp 5",IF(AH38="","Chưa nhập khối lượng",IF(Z38="","Thiếu người thực hiện",IF(OR(AC38="",AD38=""),"Chưa nhập đủ thời gian",IF(AG38&lt;0,"Quá hạn – còn "&amp;TEXT(MAX(0,AH38*(1-AF38)),"0.0")&amp;" giờ",LET(bd,MAX(TODAY(),AC38),kt,AD38,nguoi,Z38,tai,SUMIFS('Lớp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8" s="467" t="str">
        <f>'Trung tâm nhập liệu'!O139</f>
        <v>Có thời hạn</v>
      </c>
      <c r="AM38" s="469" t="str">
        <f>'Trung tâm nhập liệu'!P139</f>
        <v/>
      </c>
      <c r="AN38" s="470" t="str">
        <f>'Trung tâm nhập liệu'!S139</f>
        <v/>
      </c>
      <c r="AO38" s="470" t="str">
        <f>'Trung tâm nhập liệu'!X139</f>
        <v/>
      </c>
      <c r="AP38" s="471" t="str">
        <f t="shared" si="18"/>
        <v/>
      </c>
      <c r="AQ38" s="469" t="str">
        <f t="shared" si="19"/>
        <v/>
      </c>
      <c r="AR38" s="475" t="str">
        <f>'Trung tâm nhập liệu'!V139</f>
        <v/>
      </c>
      <c r="AS38" s="476" t="str">
        <f>'Trung tâm nhập liệu'!W139</f>
        <v/>
      </c>
      <c r="AT38" s="478" t="str">
        <f>IF(AL38&lt;&gt;"Có thời hạn","",IF(OR(I38="",AH38="",AA38="Hoàn thành",AA38="Hủy",COUNTIFS('Lớp 5 - Phân công'!$J$14:$J$262,I38,'Lớp 5 - Phân công'!$AB$14:$AB$262,"&lt;&gt;Hủy")&gt;0),"",LET(canNgay,MAX(0,AH38*(1-AF38))/MAX(1,AG38),IF(AR38="Ngày",canNgay,IF(AR38="Tuần",canNgay*5,"")))))</f>
        <v/>
      </c>
      <c r="AU38" s="465" t="str">
        <f>IF(I38="","",IF(COUNTIFS('Lớp 5 - Phân công'!$J$14:$J$262,I38,'Lớp 5 - Phân công'!$AB$14:$AB$262,"&lt;&gt;Hủy")&gt;0,"Theo dõi phân bổ tại Lớp 5",IF(OR(AA38="Hoàn thành",AA38="Hủy"),AA38,IF(AH38="","Thiếu tổng giờ",IF(OR(AR38="",AS38=""),"Thiếu tham số phân bổ",IF(AS38&lt;=0,"Phân bổ phải &gt; 0",IF(AL38&lt;&gt;"Có thời hạn","Đã có phân bổ",IF(AT38="","Chưa đủ dữ liệu hạn",IF(AS38&gt;=AT38,"Đủ phân bổ theo "&amp;LOWER(AR38),"Thiếu "&amp;TEXT(AT38-AS38,"0.0")&amp;" giờ/"&amp;LOWER(AR38))))))))))</f>
        <v>Thiếu tham số phân bổ</v>
      </c>
      <c r="AV38" s="465" t="str">
        <f t="shared" si="20"/>
        <v>Quá hạn nhưng chưa bắt đầu</v>
      </c>
      <c r="AW38" s="479" t="str">
        <f>'Trung tâm nhập liệu'!Y139</f>
        <v/>
      </c>
    </row>
    <row r="39" ht="15.75" customHeight="1">
      <c r="A39" s="424">
        <f t="shared" si="11"/>
        <v>26</v>
      </c>
      <c r="B39" s="425" t="str">
        <f>'Trung tâm nhập liệu'!F140</f>
        <v>Hỗ trợ phòng KT  ( ct, tính lương, ....) </v>
      </c>
      <c r="C39" s="427" t="str">
        <f>'Trung tâm nhập liệu'!M140</f>
        <v>P3</v>
      </c>
      <c r="D39" s="611">
        <f t="shared" ref="D39:E39" si="90">AF39</f>
        <v>0</v>
      </c>
      <c r="E39" s="501" t="str">
        <f t="shared" si="90"/>
        <v/>
      </c>
      <c r="F39" s="431" t="str">
        <f t="shared" ref="F39:G39" si="91">S39</f>
        <v/>
      </c>
      <c r="G39" s="431" t="str">
        <f t="shared" si="91"/>
        <v/>
      </c>
      <c r="H39" s="432" t="str">
        <f>IF(B39="","",IF(COUNTIF('Lớp 5 - Phân công'!$J$14:$J$262,I39)&gt;0,"Có","Không"))</f>
        <v>Không</v>
      </c>
      <c r="I39" s="434" t="str">
        <f>'Trung tâm nhập liệu'!B140</f>
        <v>HHL4DL09</v>
      </c>
      <c r="J39" s="432" t="str">
        <f>'Trung tâm nhập liệu'!D140</f>
        <v>HHL3DL09</v>
      </c>
      <c r="K39" s="436">
        <f t="array" ref="K39">IFERROR(INDEX('Lớp 3 - Công việc chính'!$J$14:$J$73,MATCH(J39,'Lớp 3 - Công việc chính'!$I$14:$I$73,0)),"")</f>
        <v>2026</v>
      </c>
      <c r="L39" s="438" t="str">
        <f t="array" ref="L39">IFERROR(INDEX('Lớp 3 - Công việc chính'!$K$14:$K$73,MATCH(J39,'Lớp 3 - Công việc chính'!$I$14:$I$73,0)),"")</f>
        <v>Cấp phòng ban</v>
      </c>
      <c r="M39" s="439" t="str">
        <f t="array" ref="M39">IFERROR(INDEX('Lớp 3 - Công việc chính'!$L$14:$L$73,MATCH(J39,'Lớp 3 - Công việc chính'!$I$14:$I$73,0)),"")</f>
        <v>Hệ thống/Vận hành</v>
      </c>
      <c r="N39" s="439" t="str">
        <f t="array" ref="N39">IFERROR(INDEX('Lớp 3 - Công việc chính'!$M$14:$M$73,MATCH(J39,'Lớp 3 - Công việc chính'!$I$14:$I$73,0)),"")</f>
        <v>Các CV hỗ trợ khác (cho LĐ &amp; PB khác)</v>
      </c>
      <c r="O39" s="440" t="str">
        <f t="shared" ref="O39:R39" si="92">B39</f>
        <v>Hỗ trợ phòng KT  ( ct, tính lương, ....) </v>
      </c>
      <c r="P39" s="441" t="str">
        <f t="shared" si="92"/>
        <v>P3</v>
      </c>
      <c r="Q39" s="442">
        <f t="shared" si="92"/>
        <v>0</v>
      </c>
      <c r="R39" s="443" t="str">
        <f t="shared" si="92"/>
        <v/>
      </c>
      <c r="S39" s="445" t="str">
        <f>IF($I39="","",LET(n,COUNTIFS('Lớp 5 - Phân công'!$J$14:$J$262,$I39,'Lớp 5 - Phân công'!$AB$14:$AB$262,"&lt;&gt;Hủy"),child,IFERROR(MAXIFS('Lớp 5 - Phân công'!$AE$14:$AE$262,'Lớp 5 - Phân công'!$J$14:$J$262,$I39,'Lớp 5 - Phân công'!$AB$14:$AB$262,"&lt;&gt;Hủy",'Lớp 5 - Phân công'!$AE$14:$AE$262,"&gt;0"),0),plan,'Trung tâm nhập liệu'!Q140,emergent,LOWER(TRIM('Trung tâm nhập liệu'!O140))="khi phát sinh",IF(n=0,IF(emergent,"",plan),IF(child=0,IF(emergent,"",plan),IF(OR(emergent,plan=""),child,MAX(plan,child))))))</f>
        <v/>
      </c>
      <c r="T39" s="447" t="str">
        <f>IF($I39="","",LET(n,COUNTIFS('Lớp 5 - Phân công'!$J$14:$J$262,$I39,'Lớp 5 - Phân công'!$AB$14:$AB$262,"&lt;&gt;Hủy"),child,IFERROR(MINIFS('Lớp 5 - Phân công'!$AD$14:$AD$262,'Lớp 5 - Phân công'!$J$14:$J$262,$I39,'Lớp 5 - Phân công'!$AB$14:$AB$262,"&lt;&gt;Hủy",'Lớp 5 - Phân công'!$AD$14:$AD$262,"&gt;0"),0),plan,'Trung tâm nhập liệu'!R140,emergent,LOWER(TRIM('Trung tâm nhập liệu'!O140))="khi phát sinh",IF(n=0,IF(emergent,"",plan),IF(child=0,IF(emergent,"",plan),IF(OR(emergent,plan=""),child,MIN(plan,child))))))</f>
        <v/>
      </c>
      <c r="U39" s="432" t="str">
        <f t="shared" si="15"/>
        <v>Không</v>
      </c>
      <c r="V39" s="432" t="str">
        <f>'Trung tâm nhập liệu'!G140</f>
        <v>Yêu cầu hỗ trợ phòng Kế toán được xử lý, đối soát và xác nhận.</v>
      </c>
      <c r="W39" s="432" t="str">
        <f>'Trung tâm nhập liệu'!H140</f>
        <v/>
      </c>
      <c r="X39" s="450" t="str">
        <f t="array" ref="X39">IFERROR(INDEX('Lớp 3 - Công việc chính'!$W$14:$W$73,MATCH(J39,'Lớp 3 - Công việc chính'!$I$14:$I$73,0)),"")</f>
        <v>Dữ liệu điều hành</v>
      </c>
      <c r="Y39" s="432" t="str">
        <f>'Trung tâm nhập liệu'!J140</f>
        <v>GĐ BOC</v>
      </c>
      <c r="Z39" s="432" t="str">
        <f>'Trung tâm nhập liệu'!K140</f>
        <v>Em Đại</v>
      </c>
      <c r="AA39" s="425" t="str">
        <f>'Trung tâm nhập liệu'!L140</f>
        <v>Chưa bắt đầu</v>
      </c>
      <c r="AB39" s="441" t="str">
        <f>'Trung tâm nhập liệu'!M140</f>
        <v>P3</v>
      </c>
      <c r="AC39" s="447" t="str">
        <f t="shared" si="16"/>
        <v/>
      </c>
      <c r="AD39" s="445" t="str">
        <f t="shared" si="17"/>
        <v/>
      </c>
      <c r="AE39" s="457" t="str">
        <f>IF(AL39&lt;&gt;"Có thời hạn","",IF(OR(AC39="",AD39=""),"",IF(AD39&lt;AC39,"",_xlfn.NETWORKDAYS.INTL(AC39,AD39,11,'Ngày nghỉ lễ'!$A$5:$A$80))))</f>
        <v/>
      </c>
      <c r="AF39" s="458">
        <f>IF(I39="","",IF(L39="Công việc khác","",IF(OR(AA39="Chưa lên lịch",AA39="Đã lên lịch",AA39="Hủy"),"",IF(COUNTIFS('Lớp 5 - Phân công'!$J$14:$J$262,I39,'Lớp 5 - Phân công'!$AB$14:$AB$262,"&lt;&gt;",'Lớp 5 - Phân công'!$AB$14:$AB$262,"&lt;&gt;Hủy",'Lớp 5 - Phân công'!$AB$14:$AB$262,"&lt;&gt;Chưa lên lịch",'Lớp 5 - Phân công'!$AB$14:$AB$262,"&lt;&gt;Đã lên lịch")&gt;0,SUMIFS('Lớp 5 - Phân công'!$AG$14:$AG$262,'Lớp 5 - Phân công'!$J$14:$J$262,I39,'Lớp 5 - Phân công'!$AB$14:$AB$262,"&lt;&gt;",'Lớp 5 - Phân công'!$AB$14:$AB$262,"&lt;&gt;Hủy",'Lớp 5 - Phân công'!$AB$14:$AB$262,"&lt;&gt;Chưa lên lịch",'Lớp 5 - Phân công'!$AB$14:$AB$262,"&lt;&gt;Đã lên lịch")/COUNTIFS('Lớp 5 - Phân công'!$J$14:$J$262,I39,'Lớp 5 - Phân công'!$AB$14:$AB$262,"&lt;&gt;",'Lớp 5 - Phân công'!$AB$14:$AB$262,"&lt;&gt;Hủy",'Lớp 5 - Phân công'!$AB$14:$AB$262,"&lt;&gt;Chưa lên lịch",'Lớp 5 - Phân công'!$AB$14:$AB$262,"&lt;&gt;Đã lên lịch"),IF(AA39="Hoàn thành",1,0)))))</f>
        <v>0</v>
      </c>
      <c r="AG39" s="461" t="str">
        <f>IF(AL39&lt;&gt;"Có thời hạn","",IF(OR(I39="",AC39="",AD39=""),"",IF(OR(AA39="Hoàn thành",AA39="Hủy"),0,IF(AD39&lt;TODAY(),-_xlfn.NETWORKDAYS.INTL(AD39,TODAY()-1,11,'Ngày nghỉ lễ'!$A$5:$A$80),MAX(0,_xlfn.NETWORKDAYS.INTL(MAX(TODAY()+1,AC39),AD39,11,'Ngày nghỉ lễ'!$A$5:$A$80))))))</f>
        <v/>
      </c>
      <c r="AH39" s="466">
        <f>IF($I39="","",LET(n,COUNTIFS('Lớp 5 - Phân công'!$J$14:$J$262,$I39,'Lớp 5 - Phân công'!$AB$14:$AB$262,"&lt;&gt;Hủy"),du,COUNTIFS('Lớp 5 - Phân công'!$J$14:$J$262,$I39,'Lớp 5 - Phân công'!$AB$14:$AB$262,"&lt;&gt;Hủy",'Lớp 5 - Phân công'!$AI$14:$AI$262,"&lt;&gt;"),IF(n=0,'Trung tâm nhập liệu'!T140,IF(du&lt;n,"",SUMIFS('Lớp 5 - Phân công'!$AI$14:$AI$262,'Lớp 5 - Phân công'!$J$14:$J$262,$I39,'Lớp 5 - Phân công'!$AB$14:$AB$262,"&lt;&gt;Hủy")))))</f>
        <v>60</v>
      </c>
      <c r="AI39" s="468" t="str">
        <f>IF(I39="","",IF(OR(AA39="Hoàn thành",AA39="Hủy"),"",IF(COUNTIFS('Lớp 5 - Phân công'!$J$14:$J$262,I39,'Lớp 5 - Phân công'!$AB$14:$AB$262,"&lt;&gt;Hủy")&gt;0,"",IF(AR39="Ngày",AS39,IF(AR39="Tuần",AS39/5,"")))))</f>
        <v/>
      </c>
      <c r="AJ39" s="477" t="str">
        <f>IF(AL39="Chưa xếp lịch","Chưa xếp lịch",IF(AL39="Định kỳ",IF(AM39="","Thiếu chu kỳ","Theo chu kỳ"),IF(AL39="Khi phát sinh",IF(COUNTIFS('Lớp 5 - Phân công'!$J$14:$J$262,$I39,'Lớp 5 - Phân công'!$AB$14:$AB$262,"&lt;&gt;Hủy")=0,"Khi phát sinh – chờ việc con","Khi phát sinh – theo ngày con"),IF(I39="","",LET(n,COUNTIFS('Lớp 5 - Phân công'!$J$14:$J$262,$I39,'Lớp 5 - Phân công'!$AB$14:$AB$262,"&lt;&gt;Hủy"),cs,IFERROR(MINIFS('Lớp 5 - Phân công'!$AD$14:$AD$262,'Lớp 5 - Phân công'!$J$14:$J$262,$I39,'Lớp 5 - Phân công'!$AB$14:$AB$262,"&lt;&gt;Hủy",'Lớp 5 - Phân công'!$AD$14:$AD$262,"&gt;0"),0),ce,IFERROR(MAXIFS('Lớp 5 - Phân công'!$AE$14:$AE$262,'Lớp 5 - Phân công'!$J$14:$J$262,$I39,'Lớp 5 - Phân công'!$AB$14:$AB$262,"&lt;&gt;Hủy",'Lớp 5 - Phân công'!$AE$14:$AE$262,"&gt;0"),0),ps,'Trung tâm nhập liệu'!R140,pe,'Trung tâm nhập liệu'!Q140,IF(OR(AC39="",AD39=""),"Thiếu ngày L4",IF(n=0,"Chưa có L5",IF(OR(cs=0,ce=0),"Thiếu ngày L5",IF(OR(ps="",pe=""),"Thiếu ngày kế hoạch gốc L4",IF(OR(cs&lt;ps,ce&gt;pe),"Cảnh báo: Con vượt khung kế hoạch gốc","L5 đúng khung kế hoạch gốc"))))))))))</f>
        <v>Chưa xếp lịch</v>
      </c>
      <c r="AK39" s="465" t="str">
        <f>IF(OR(AU39="Thiếu tham số phân bổ",AU39="Phân bổ phải &gt; 0"),AU39,SWITCH(AL39,"Chưa xếp lịch","Chưa tính tải","Định kỳ","Theo chu kỳ","Khi phát sinh","Khi phát sinh",IF(I39="","",IF(OR(AA39="Hoàn thành",AA39="Hủy"),AA39,IF(COUNTIFS('Lớp 5 - Phân công'!$J$14:$J$262,I39,'Lớp 5 - Phân công'!$AB$14:$AB$262,"&lt;&gt;Hủy")&gt;0,"Theo dõi tải tại Lớp 5",IF(AH39="","Chưa nhập khối lượng",IF(Z39="","Thiếu người thực hiện",IF(OR(AC39="",AD39=""),"Chưa nhập đủ thời gian",IF(AG39&lt;0,"Quá hạn – còn "&amp;TEXT(MAX(0,AH39*(1-AF39)),"0.0")&amp;" giờ",LET(bd,MAX(TODAY(),AC39),kt,AD39,nguoi,Z39,tai,SUMIFS('Lớp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39" s="467" t="str">
        <f>'Trung tâm nhập liệu'!O140</f>
        <v>Chưa xếp lịch</v>
      </c>
      <c r="AM39" s="469" t="str">
        <f>'Trung tâm nhập liệu'!P140</f>
        <v/>
      </c>
      <c r="AN39" s="470" t="str">
        <f>'Trung tâm nhập liệu'!S140</f>
        <v/>
      </c>
      <c r="AO39" s="470" t="str">
        <f>'Trung tâm nhập liệu'!X140</f>
        <v/>
      </c>
      <c r="AP39" s="471" t="str">
        <f t="shared" si="18"/>
        <v/>
      </c>
      <c r="AQ39" s="469" t="str">
        <f t="shared" si="19"/>
        <v/>
      </c>
      <c r="AR39" s="475" t="str">
        <f>'Trung tâm nhập liệu'!V140</f>
        <v/>
      </c>
      <c r="AS39" s="476" t="str">
        <f>'Trung tâm nhập liệu'!W140</f>
        <v/>
      </c>
      <c r="AT39" s="478" t="str">
        <f>IF(AL39&lt;&gt;"Có thời hạn","",IF(OR(I39="",AH39="",AA39="Hoàn thành",AA39="Hủy",COUNTIFS('Lớp 5 - Phân công'!$J$14:$J$262,I39,'Lớp 5 - Phân công'!$AB$14:$AB$262,"&lt;&gt;Hủy")&gt;0),"",LET(canNgay,MAX(0,AH39*(1-AF39))/MAX(1,AG39),IF(AR39="Ngày",canNgay,IF(AR39="Tuần",canNgay*5,"")))))</f>
        <v/>
      </c>
      <c r="AU39" s="465" t="str">
        <f>IF(I39="","",IF(COUNTIFS('Lớp 5 - Phân công'!$J$14:$J$262,I39,'Lớp 5 - Phân công'!$AB$14:$AB$262,"&lt;&gt;Hủy")&gt;0,"Theo dõi phân bổ tại Lớp 5",IF(OR(AA39="Hoàn thành",AA39="Hủy"),AA39,IF(AH39="","Thiếu tổng giờ",IF(OR(AR39="",AS39=""),"Thiếu tham số phân bổ",IF(AS39&lt;=0,"Phân bổ phải &gt; 0",IF(AL39&lt;&gt;"Có thời hạn","Đã có phân bổ",IF(AT39="","Chưa đủ dữ liệu hạn",IF(AS39&gt;=AT39,"Đủ phân bổ theo "&amp;LOWER(AR39),"Thiếu "&amp;TEXT(AT39-AS39,"0.0")&amp;" giờ/"&amp;LOWER(AR39))))))))))</f>
        <v>Thiếu tham số phân bổ</v>
      </c>
      <c r="AV39" s="465" t="str">
        <f t="shared" si="20"/>
        <v>OK</v>
      </c>
      <c r="AW39" s="479" t="str">
        <f>'Trung tâm nhập liệu'!Y140</f>
        <v/>
      </c>
    </row>
    <row r="40" ht="15.75" customHeight="1">
      <c r="A40" s="424">
        <f t="shared" si="11"/>
        <v>27</v>
      </c>
      <c r="B40" s="425" t="str">
        <f>'Trung tâm nhập liệu'!F141</f>
        <v>Đối chiếu truy xuất DL DMS với anh Mạnh </v>
      </c>
      <c r="C40" s="427" t="str">
        <f>'Trung tâm nhập liệu'!M141</f>
        <v>P3</v>
      </c>
      <c r="D40" s="612">
        <f t="shared" ref="D40:E40" si="93">AF40</f>
        <v>0</v>
      </c>
      <c r="E40" s="501">
        <f t="shared" si="93"/>
        <v>28</v>
      </c>
      <c r="F40" s="431">
        <f t="shared" ref="F40:G40" si="94">S40</f>
        <v>46280</v>
      </c>
      <c r="G40" s="431">
        <f t="shared" si="94"/>
        <v>46237</v>
      </c>
      <c r="H40" s="432" t="str">
        <f>IF(B40="","",IF(COUNTIF('Lớp 5 - Phân công'!$J$14:$J$262,I40)&gt;0,"Có","Không"))</f>
        <v>Không</v>
      </c>
      <c r="I40" s="434" t="str">
        <f>'Trung tâm nhập liệu'!B141</f>
        <v>HHL4DL10</v>
      </c>
      <c r="J40" s="432" t="str">
        <f>'Trung tâm nhập liệu'!D141</f>
        <v>HHL3DL09</v>
      </c>
      <c r="K40" s="436">
        <f t="array" ref="K40">IFERROR(INDEX('Lớp 3 - Công việc chính'!$J$14:$J$73,MATCH(J40,'Lớp 3 - Công việc chính'!$I$14:$I$73,0)),"")</f>
        <v>2026</v>
      </c>
      <c r="L40" s="438" t="str">
        <f t="array" ref="L40">IFERROR(INDEX('Lớp 3 - Công việc chính'!$K$14:$K$73,MATCH(J40,'Lớp 3 - Công việc chính'!$I$14:$I$73,0)),"")</f>
        <v>Cấp phòng ban</v>
      </c>
      <c r="M40" s="439" t="str">
        <f t="array" ref="M40">IFERROR(INDEX('Lớp 3 - Công việc chính'!$L$14:$L$73,MATCH(J40,'Lớp 3 - Công việc chính'!$I$14:$I$73,0)),"")</f>
        <v>Hệ thống/Vận hành</v>
      </c>
      <c r="N40" s="439" t="str">
        <f t="array" ref="N40">IFERROR(INDEX('Lớp 3 - Công việc chính'!$M$14:$M$73,MATCH(J40,'Lớp 3 - Công việc chính'!$I$14:$I$73,0)),"")</f>
        <v>Các CV hỗ trợ khác (cho LĐ &amp; PB khác)</v>
      </c>
      <c r="O40" s="440" t="str">
        <f t="shared" ref="O40:R40" si="95">B40</f>
        <v>Đối chiếu truy xuất DL DMS với anh Mạnh </v>
      </c>
      <c r="P40" s="441" t="str">
        <f t="shared" si="95"/>
        <v>P3</v>
      </c>
      <c r="Q40" s="442">
        <f t="shared" si="95"/>
        <v>0</v>
      </c>
      <c r="R40" s="443">
        <f t="shared" si="95"/>
        <v>28</v>
      </c>
      <c r="S40" s="445">
        <f>IF($I40="","",LET(n,COUNTIFS('Lớp 5 - Phân công'!$J$14:$J$262,$I40,'Lớp 5 - Phân công'!$AB$14:$AB$262,"&lt;&gt;Hủy"),child,IFERROR(MAXIFS('Lớp 5 - Phân công'!$AE$14:$AE$262,'Lớp 5 - Phân công'!$J$14:$J$262,$I40,'Lớp 5 - Phân công'!$AB$14:$AB$262,"&lt;&gt;Hủy",'Lớp 5 - Phân công'!$AE$14:$AE$262,"&gt;0"),0),plan,'Trung tâm nhập liệu'!Q141,emergent,LOWER(TRIM('Trung tâm nhập liệu'!O141))="khi phát sinh",IF(n=0,IF(emergent,"",plan),IF(child=0,IF(emergent,"",plan),IF(OR(emergent,plan=""),child,MAX(plan,child))))))</f>
        <v>46280</v>
      </c>
      <c r="T40" s="447">
        <f>IF($I40="","",LET(n,COUNTIFS('Lớp 5 - Phân công'!$J$14:$J$262,$I40,'Lớp 5 - Phân công'!$AB$14:$AB$262,"&lt;&gt;Hủy"),child,IFERROR(MINIFS('Lớp 5 - Phân công'!$AD$14:$AD$262,'Lớp 5 - Phân công'!$J$14:$J$262,$I40,'Lớp 5 - Phân công'!$AB$14:$AB$262,"&lt;&gt;Hủy",'Lớp 5 - Phân công'!$AD$14:$AD$262,"&gt;0"),0),plan,'Trung tâm nhập liệu'!R141,emergent,LOWER(TRIM('Trung tâm nhập liệu'!O141))="khi phát sinh",IF(n=0,IF(emergent,"",plan),IF(child=0,IF(emergent,"",plan),IF(OR(emergent,plan=""),child,MIN(plan,child))))))</f>
        <v>46237</v>
      </c>
      <c r="U40" s="432" t="str">
        <f t="shared" si="15"/>
        <v>Không</v>
      </c>
      <c r="V40" s="432" t="str">
        <f>'Trung tâm nhập liệu'!G141</f>
        <v>Dữ liệu DMS được đối chiếu, truy xuất và xác nhận chênh lệch.</v>
      </c>
      <c r="W40" s="432" t="str">
        <f>'Trung tâm nhập liệu'!H141</f>
        <v/>
      </c>
      <c r="X40" s="450" t="str">
        <f t="array" ref="X40">IFERROR(INDEX('Lớp 3 - Công việc chính'!$W$14:$W$73,MATCH(J40,'Lớp 3 - Công việc chính'!$I$14:$I$73,0)),"")</f>
        <v>Dữ liệu điều hành</v>
      </c>
      <c r="Y40" s="432" t="str">
        <f>'Trung tâm nhập liệu'!J141</f>
        <v>GĐ BOC</v>
      </c>
      <c r="Z40" s="432" t="str">
        <f>'Trung tâm nhập liệu'!K141</f>
        <v>Em Đại</v>
      </c>
      <c r="AA40" s="425" t="str">
        <f>'Trung tâm nhập liệu'!L141</f>
        <v>Chưa bắt đầu</v>
      </c>
      <c r="AB40" s="441" t="str">
        <f>'Trung tâm nhập liệu'!M141</f>
        <v>P3</v>
      </c>
      <c r="AC40" s="447">
        <f t="shared" si="16"/>
        <v>46237</v>
      </c>
      <c r="AD40" s="445">
        <f t="shared" si="17"/>
        <v>46280</v>
      </c>
      <c r="AE40" s="457">
        <f>IF(AL40&lt;&gt;"Có thời hạn","",IF(OR(AC40="",AD40=""),"",IF(AD40&lt;AC40,"",_xlfn.NETWORKDAYS.INTL(AC40,AD40,11,'Ngày nghỉ lễ'!$A$5:$A$80))))</f>
        <v>36</v>
      </c>
      <c r="AF40" s="458">
        <f>IF(I40="","",IF(L40="Công việc khác","",IF(OR(AA40="Chưa lên lịch",AA40="Đã lên lịch",AA40="Hủy"),"",IF(COUNTIFS('Lớp 5 - Phân công'!$J$14:$J$262,I40,'Lớp 5 - Phân công'!$AB$14:$AB$262,"&lt;&gt;",'Lớp 5 - Phân công'!$AB$14:$AB$262,"&lt;&gt;Hủy",'Lớp 5 - Phân công'!$AB$14:$AB$262,"&lt;&gt;Chưa lên lịch",'Lớp 5 - Phân công'!$AB$14:$AB$262,"&lt;&gt;Đã lên lịch")&gt;0,SUMIFS('Lớp 5 - Phân công'!$AG$14:$AG$262,'Lớp 5 - Phân công'!$J$14:$J$262,I40,'Lớp 5 - Phân công'!$AB$14:$AB$262,"&lt;&gt;",'Lớp 5 - Phân công'!$AB$14:$AB$262,"&lt;&gt;Hủy",'Lớp 5 - Phân công'!$AB$14:$AB$262,"&lt;&gt;Chưa lên lịch",'Lớp 5 - Phân công'!$AB$14:$AB$262,"&lt;&gt;Đã lên lịch")/COUNTIFS('Lớp 5 - Phân công'!$J$14:$J$262,I40,'Lớp 5 - Phân công'!$AB$14:$AB$262,"&lt;&gt;",'Lớp 5 - Phân công'!$AB$14:$AB$262,"&lt;&gt;Hủy",'Lớp 5 - Phân công'!$AB$14:$AB$262,"&lt;&gt;Chưa lên lịch",'Lớp 5 - Phân công'!$AB$14:$AB$262,"&lt;&gt;Đã lên lịch"),IF(AA40="Hoàn thành",1,0)))))</f>
        <v>0</v>
      </c>
      <c r="AG40" s="461">
        <f>IF(AL40&lt;&gt;"Có thời hạn","",IF(OR(I40="",AC40="",AD40=""),"",IF(OR(AA40="Hoàn thành",AA40="Hủy"),0,IF(AD40&lt;TODAY(),-_xlfn.NETWORKDAYS.INTL(AD40,TODAY()-1,11,'Ngày nghỉ lễ'!$A$5:$A$80),MAX(0,_xlfn.NETWORKDAYS.INTL(MAX(TODAY()+1,AC40),AD40,11,'Ngày nghỉ lễ'!$A$5:$A$80))))))</f>
        <v>28</v>
      </c>
      <c r="AH40" s="466">
        <f>IF($I40="","",LET(n,COUNTIFS('Lớp 5 - Phân công'!$J$14:$J$262,$I40,'Lớp 5 - Phân công'!$AB$14:$AB$262,"&lt;&gt;Hủy"),du,COUNTIFS('Lớp 5 - Phân công'!$J$14:$J$262,$I40,'Lớp 5 - Phân công'!$AB$14:$AB$262,"&lt;&gt;Hủy",'Lớp 5 - Phân công'!$AI$14:$AI$262,"&lt;&gt;"),IF(n=0,'Trung tâm nhập liệu'!T141,IF(du&lt;n,"",SUMIFS('Lớp 5 - Phân công'!$AI$14:$AI$262,'Lớp 5 - Phân công'!$J$14:$J$262,$I40,'Lớp 5 - Phân công'!$AB$14:$AB$262,"&lt;&gt;Hủy")))))</f>
        <v>60</v>
      </c>
      <c r="AI40" s="468" t="str">
        <f>IF(I40="","",IF(OR(AA40="Hoàn thành",AA40="Hủy"),"",IF(COUNTIFS('Lớp 5 - Phân công'!$J$14:$J$262,I40,'Lớp 5 - Phân công'!$AB$14:$AB$262,"&lt;&gt;Hủy")&gt;0,"",IF(AR40="Ngày",AS40,IF(AR40="Tuần",AS40/5,"")))))</f>
        <v/>
      </c>
      <c r="AJ40" s="477" t="str">
        <f>IF(AL40="Chưa xếp lịch","Chưa xếp lịch",IF(AL40="Định kỳ",IF(AM40="","Thiếu chu kỳ","Theo chu kỳ"),IF(AL40="Khi phát sinh",IF(COUNTIFS('Lớp 5 - Phân công'!$J$14:$J$262,$I40,'Lớp 5 - Phân công'!$AB$14:$AB$262,"&lt;&gt;Hủy")=0,"Khi phát sinh – chờ việc con","Khi phát sinh – theo ngày con"),IF(I40="","",LET(n,COUNTIFS('Lớp 5 - Phân công'!$J$14:$J$262,$I40,'Lớp 5 - Phân công'!$AB$14:$AB$262,"&lt;&gt;Hủy"),cs,IFERROR(MINIFS('Lớp 5 - Phân công'!$AD$14:$AD$262,'Lớp 5 - Phân công'!$J$14:$J$262,$I40,'Lớp 5 - Phân công'!$AB$14:$AB$262,"&lt;&gt;Hủy",'Lớp 5 - Phân công'!$AD$14:$AD$262,"&gt;0"),0),ce,IFERROR(MAXIFS('Lớp 5 - Phân công'!$AE$14:$AE$262,'Lớp 5 - Phân công'!$J$14:$J$262,$I40,'Lớp 5 - Phân công'!$AB$14:$AB$262,"&lt;&gt;Hủy",'Lớp 5 - Phân công'!$AE$14:$AE$262,"&gt;0"),0),ps,'Trung tâm nhập liệu'!R141,pe,'Trung tâm nhập liệu'!Q141,IF(OR(AC40="",AD40=""),"Thiếu ngày L4",IF(n=0,"Chưa có L5",IF(OR(cs=0,ce=0),"Thiếu ngày L5",IF(OR(ps="",pe=""),"Thiếu ngày kế hoạch gốc L4",IF(OR(cs&lt;ps,ce&gt;pe),"Cảnh báo: Con vượt khung kế hoạch gốc","L5 đúng khung kế hoạch gốc"))))))))))</f>
        <v>Chưa có L5</v>
      </c>
      <c r="AK40" s="465" t="str">
        <f>IF(OR(AU40="Thiếu tham số phân bổ",AU40="Phân bổ phải &gt; 0"),AU40,SWITCH(AL40,"Chưa xếp lịch","Chưa tính tải","Định kỳ","Theo chu kỳ","Khi phát sinh","Khi phát sinh",IF(I40="","",IF(OR(AA40="Hoàn thành",AA40="Hủy"),AA40,IF(COUNTIFS('Lớp 5 - Phân công'!$J$14:$J$262,I40,'Lớp 5 - Phân công'!$AB$14:$AB$262,"&lt;&gt;Hủy")&gt;0,"Theo dõi tải tại Lớp 5",IF(AH40="","Chưa nhập khối lượng",IF(Z40="","Thiếu người thực hiện",IF(OR(AC40="",AD40=""),"Chưa nhập đủ thời gian",IF(AG40&lt;0,"Quá hạn – còn "&amp;TEXT(MAX(0,AH40*(1-AF40)),"0.0")&amp;" giờ",LET(bd,MAX(TODAY(),AC40),kt,AD40,nguoi,Z40,tai,SUMIFS('Lớp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40" s="467" t="str">
        <f>'Trung tâm nhập liệu'!O141</f>
        <v>Có thời hạn</v>
      </c>
      <c r="AM40" s="469" t="str">
        <f>'Trung tâm nhập liệu'!P141</f>
        <v/>
      </c>
      <c r="AN40" s="470" t="str">
        <f>'Trung tâm nhập liệu'!S141</f>
        <v/>
      </c>
      <c r="AO40" s="470" t="str">
        <f>'Trung tâm nhập liệu'!X141</f>
        <v/>
      </c>
      <c r="AP40" s="471" t="str">
        <f t="shared" si="18"/>
        <v/>
      </c>
      <c r="AQ40" s="469" t="str">
        <f t="shared" si="19"/>
        <v/>
      </c>
      <c r="AR40" s="475" t="str">
        <f>'Trung tâm nhập liệu'!V141</f>
        <v/>
      </c>
      <c r="AS40" s="476" t="str">
        <f>'Trung tâm nhập liệu'!W141</f>
        <v/>
      </c>
      <c r="AT40" s="478" t="str">
        <f>IF(AL40&lt;&gt;"Có thời hạn","",IF(OR(I40="",AH40="",AA40="Hoàn thành",AA40="Hủy",COUNTIFS('Lớp 5 - Phân công'!$J$14:$J$262,I40,'Lớp 5 - Phân công'!$AB$14:$AB$262,"&lt;&gt;Hủy")&gt;0),"",LET(canNgay,MAX(0,AH40*(1-AF40))/MAX(1,AG40),IF(AR40="Ngày",canNgay,IF(AR40="Tuần",canNgay*5,"")))))</f>
        <v/>
      </c>
      <c r="AU40" s="465" t="str">
        <f>IF(I40="","",IF(COUNTIFS('Lớp 5 - Phân công'!$J$14:$J$262,I40,'Lớp 5 - Phân công'!$AB$14:$AB$262,"&lt;&gt;Hủy")&gt;0,"Theo dõi phân bổ tại Lớp 5",IF(OR(AA40="Hoàn thành",AA40="Hủy"),AA40,IF(AH40="","Thiếu tổng giờ",IF(OR(AR40="",AS40=""),"Thiếu tham số phân bổ",IF(AS40&lt;=0,"Phân bổ phải &gt; 0",IF(AL40&lt;&gt;"Có thời hạn","Đã có phân bổ",IF(AT40="","Chưa đủ dữ liệu hạn",IF(AS40&gt;=AT40,"Đủ phân bổ theo "&amp;LOWER(AR40),"Thiếu "&amp;TEXT(AT40-AS40,"0.0")&amp;" giờ/"&amp;LOWER(AR40))))))))))</f>
        <v>Thiếu tham số phân bổ</v>
      </c>
      <c r="AV40" s="465" t="str">
        <f t="shared" si="20"/>
        <v>OK</v>
      </c>
      <c r="AW40" s="479" t="str">
        <f>'Trung tâm nhập liệu'!Y141</f>
        <v/>
      </c>
    </row>
    <row r="41" ht="15.75" customHeight="1">
      <c r="A41" s="424">
        <f t="shared" si="11"/>
        <v>28</v>
      </c>
      <c r="B41" s="425" t="str">
        <f>'Trung tâm nhập liệu'!F142</f>
        <v>XDHT cảnh báo </v>
      </c>
      <c r="C41" s="427" t="str">
        <f>'Trung tâm nhập liệu'!M142</f>
        <v>P2</v>
      </c>
      <c r="D41" s="428">
        <f t="shared" ref="D41:E41" si="96">AF41</f>
        <v>0</v>
      </c>
      <c r="E41" s="501">
        <f t="shared" si="96"/>
        <v>-7</v>
      </c>
      <c r="F41" s="431">
        <f t="shared" ref="F41:G41" si="97">S41</f>
        <v>46237</v>
      </c>
      <c r="G41" s="431">
        <f t="shared" si="97"/>
        <v>46233</v>
      </c>
      <c r="H41" s="432" t="str">
        <f>IF(B41="","",IF(COUNTIF('Lớp 5 - Phân công'!$J$14:$J$262,I41)&gt;0,"Có","Không"))</f>
        <v>Không</v>
      </c>
      <c r="I41" s="434" t="str">
        <f>'Trung tâm nhập liệu'!B142</f>
        <v>HHL4DL11</v>
      </c>
      <c r="J41" s="432" t="str">
        <f>'Trung tâm nhập liệu'!D142</f>
        <v>HHL3DL09</v>
      </c>
      <c r="K41" s="436">
        <f t="array" ref="K41">IFERROR(INDEX('Lớp 3 - Công việc chính'!$J$14:$J$73,MATCH(J41,'Lớp 3 - Công việc chính'!$I$14:$I$73,0)),"")</f>
        <v>2026</v>
      </c>
      <c r="L41" s="438" t="str">
        <f t="array" ref="L41">IFERROR(INDEX('Lớp 3 - Công việc chính'!$K$14:$K$73,MATCH(J41,'Lớp 3 - Công việc chính'!$I$14:$I$73,0)),"")</f>
        <v>Cấp phòng ban</v>
      </c>
      <c r="M41" s="439" t="str">
        <f t="array" ref="M41">IFERROR(INDEX('Lớp 3 - Công việc chính'!$L$14:$L$73,MATCH(J41,'Lớp 3 - Công việc chính'!$I$14:$I$73,0)),"")</f>
        <v>Hệ thống/Vận hành</v>
      </c>
      <c r="N41" s="439" t="str">
        <f t="array" ref="N41">IFERROR(INDEX('Lớp 3 - Công việc chính'!$M$14:$M$73,MATCH(J41,'Lớp 3 - Công việc chính'!$I$14:$I$73,0)),"")</f>
        <v>Các CV hỗ trợ khác (cho LĐ &amp; PB khác)</v>
      </c>
      <c r="O41" s="440" t="str">
        <f t="shared" ref="O41:R41" si="98">B41</f>
        <v>XDHT cảnh báo </v>
      </c>
      <c r="P41" s="441" t="str">
        <f t="shared" si="98"/>
        <v>P2</v>
      </c>
      <c r="Q41" s="442">
        <f t="shared" si="98"/>
        <v>0</v>
      </c>
      <c r="R41" s="443">
        <f t="shared" si="98"/>
        <v>-7</v>
      </c>
      <c r="S41" s="445">
        <f>IF($I41="","",LET(n,COUNTIFS('Lớp 5 - Phân công'!$J$14:$J$262,$I41,'Lớp 5 - Phân công'!$AB$14:$AB$262,"&lt;&gt;Hủy"),child,IFERROR(MAXIFS('Lớp 5 - Phân công'!$AE$14:$AE$262,'Lớp 5 - Phân công'!$J$14:$J$262,$I41,'Lớp 5 - Phân công'!$AB$14:$AB$262,"&lt;&gt;Hủy",'Lớp 5 - Phân công'!$AE$14:$AE$262,"&gt;0"),0),plan,'Trung tâm nhập liệu'!Q142,emergent,LOWER(TRIM('Trung tâm nhập liệu'!O142))="khi phát sinh",IF(n=0,IF(emergent,"",plan),IF(child=0,IF(emergent,"",plan),IF(OR(emergent,plan=""),child,MAX(plan,child))))))</f>
        <v>46237</v>
      </c>
      <c r="T41" s="447">
        <f>IF($I41="","",LET(n,COUNTIFS('Lớp 5 - Phân công'!$J$14:$J$262,$I41,'Lớp 5 - Phân công'!$AB$14:$AB$262,"&lt;&gt;Hủy"),child,IFERROR(MINIFS('Lớp 5 - Phân công'!$AD$14:$AD$262,'Lớp 5 - Phân công'!$J$14:$J$262,$I41,'Lớp 5 - Phân công'!$AB$14:$AB$262,"&lt;&gt;Hủy",'Lớp 5 - Phân công'!$AD$14:$AD$262,"&gt;0"),0),plan,'Trung tâm nhập liệu'!R142,emergent,LOWER(TRIM('Trung tâm nhập liệu'!O142))="khi phát sinh",IF(n=0,IF(emergent,"",plan),IF(child=0,IF(emergent,"",plan),IF(OR(emergent,plan=""),child,MIN(plan,child))))))</f>
        <v>46233</v>
      </c>
      <c r="U41" s="432" t="str">
        <f t="shared" si="15"/>
        <v>Không</v>
      </c>
      <c r="V41" s="432" t="str">
        <f>'Trung tâm nhập liệu'!G142</f>
        <v>Hệ thống cảnh báo vận hành đúng ngưỡng, có kiểm thử và bàn giao.</v>
      </c>
      <c r="W41" s="432" t="str">
        <f>'Trung tâm nhập liệu'!H142</f>
        <v/>
      </c>
      <c r="X41" s="450" t="str">
        <f t="array" ref="X41">IFERROR(INDEX('Lớp 3 - Công việc chính'!$W$14:$W$73,MATCH(J41,'Lớp 3 - Công việc chính'!$I$14:$I$73,0)),"")</f>
        <v>Dữ liệu điều hành</v>
      </c>
      <c r="Y41" s="432" t="str">
        <f>'Trung tâm nhập liệu'!J142</f>
        <v>GĐ BOC</v>
      </c>
      <c r="Z41" s="432" t="str">
        <f>'Trung tâm nhập liệu'!K142</f>
        <v>Em Đại</v>
      </c>
      <c r="AA41" s="425" t="str">
        <f>'Trung tâm nhập liệu'!L142</f>
        <v>Chưa bắt đầu</v>
      </c>
      <c r="AB41" s="441" t="str">
        <f>'Trung tâm nhập liệu'!M142</f>
        <v>P2</v>
      </c>
      <c r="AC41" s="447">
        <f t="shared" si="16"/>
        <v>46233</v>
      </c>
      <c r="AD41" s="445">
        <f t="shared" si="17"/>
        <v>46237</v>
      </c>
      <c r="AE41" s="457">
        <f>IF(AL41&lt;&gt;"Có thời hạn","",IF(OR(AC41="",AD41=""),"",IF(AD41&lt;AC41,"",_xlfn.NETWORKDAYS.INTL(AC41,AD41,11,'Ngày nghỉ lễ'!$A$5:$A$80))))</f>
        <v>4</v>
      </c>
      <c r="AF41" s="458">
        <f>IF(I41="","",IF(L41="Công việc khác","",IF(OR(AA41="Chưa lên lịch",AA41="Đã lên lịch",AA41="Hủy"),"",IF(COUNTIFS('Lớp 5 - Phân công'!$J$14:$J$262,I41,'Lớp 5 - Phân công'!$AB$14:$AB$262,"&lt;&gt;",'Lớp 5 - Phân công'!$AB$14:$AB$262,"&lt;&gt;Hủy",'Lớp 5 - Phân công'!$AB$14:$AB$262,"&lt;&gt;Chưa lên lịch",'Lớp 5 - Phân công'!$AB$14:$AB$262,"&lt;&gt;Đã lên lịch")&gt;0,SUMIFS('Lớp 5 - Phân công'!$AG$14:$AG$262,'Lớp 5 - Phân công'!$J$14:$J$262,I41,'Lớp 5 - Phân công'!$AB$14:$AB$262,"&lt;&gt;",'Lớp 5 - Phân công'!$AB$14:$AB$262,"&lt;&gt;Hủy",'Lớp 5 - Phân công'!$AB$14:$AB$262,"&lt;&gt;Chưa lên lịch",'Lớp 5 - Phân công'!$AB$14:$AB$262,"&lt;&gt;Đã lên lịch")/COUNTIFS('Lớp 5 - Phân công'!$J$14:$J$262,I41,'Lớp 5 - Phân công'!$AB$14:$AB$262,"&lt;&gt;",'Lớp 5 - Phân công'!$AB$14:$AB$262,"&lt;&gt;Hủy",'Lớp 5 - Phân công'!$AB$14:$AB$262,"&lt;&gt;Chưa lên lịch",'Lớp 5 - Phân công'!$AB$14:$AB$262,"&lt;&gt;Đã lên lịch"),IF(AA41="Hoàn thành",1,0)))))</f>
        <v>0</v>
      </c>
      <c r="AG41" s="461">
        <f>IF(AL41&lt;&gt;"Có thời hạn","",IF(OR(I41="",AC41="",AD41=""),"",IF(OR(AA41="Hoàn thành",AA41="Hủy"),0,IF(AD41&lt;TODAY(),-_xlfn.NETWORKDAYS.INTL(AD41,TODAY()-1,11,'Ngày nghỉ lễ'!$A$5:$A$80),MAX(0,_xlfn.NETWORKDAYS.INTL(MAX(TODAY()+1,AC41),AD41,11,'Ngày nghỉ lễ'!$A$5:$A$80))))))</f>
        <v>-7</v>
      </c>
      <c r="AH41" s="466">
        <f>IF($I41="","",LET(n,COUNTIFS('Lớp 5 - Phân công'!$J$14:$J$262,$I41,'Lớp 5 - Phân công'!$AB$14:$AB$262,"&lt;&gt;Hủy"),du,COUNTIFS('Lớp 5 - Phân công'!$J$14:$J$262,$I41,'Lớp 5 - Phân công'!$AB$14:$AB$262,"&lt;&gt;Hủy",'Lớp 5 - Phân công'!$AI$14:$AI$262,"&lt;&gt;"),IF(n=0,'Trung tâm nhập liệu'!T142,IF(du&lt;n,"",SUMIFS('Lớp 5 - Phân công'!$AI$14:$AI$262,'Lớp 5 - Phân công'!$J$14:$J$262,$I41,'Lớp 5 - Phân công'!$AB$14:$AB$262,"&lt;&gt;Hủy")))))</f>
        <v>240</v>
      </c>
      <c r="AI41" s="468" t="str">
        <f>IF(I41="","",IF(OR(AA41="Hoàn thành",AA41="Hủy"),"",IF(COUNTIFS('Lớp 5 - Phân công'!$J$14:$J$262,I41,'Lớp 5 - Phân công'!$AB$14:$AB$262,"&lt;&gt;Hủy")&gt;0,"",IF(AR41="Ngày",AS41,IF(AR41="Tuần",AS41/5,"")))))</f>
        <v/>
      </c>
      <c r="AJ41" s="477" t="str">
        <f>IF(AL41="Chưa xếp lịch","Chưa xếp lịch",IF(AL41="Định kỳ",IF(AM41="","Thiếu chu kỳ","Theo chu kỳ"),IF(AL41="Khi phát sinh",IF(COUNTIFS('Lớp 5 - Phân công'!$J$14:$J$262,$I41,'Lớp 5 - Phân công'!$AB$14:$AB$262,"&lt;&gt;Hủy")=0,"Khi phát sinh – chờ việc con","Khi phát sinh – theo ngày con"),IF(I41="","",LET(n,COUNTIFS('Lớp 5 - Phân công'!$J$14:$J$262,$I41,'Lớp 5 - Phân công'!$AB$14:$AB$262,"&lt;&gt;Hủy"),cs,IFERROR(MINIFS('Lớp 5 - Phân công'!$AD$14:$AD$262,'Lớp 5 - Phân công'!$J$14:$J$262,$I41,'Lớp 5 - Phân công'!$AB$14:$AB$262,"&lt;&gt;Hủy",'Lớp 5 - Phân công'!$AD$14:$AD$262,"&gt;0"),0),ce,IFERROR(MAXIFS('Lớp 5 - Phân công'!$AE$14:$AE$262,'Lớp 5 - Phân công'!$J$14:$J$262,$I41,'Lớp 5 - Phân công'!$AB$14:$AB$262,"&lt;&gt;Hủy",'Lớp 5 - Phân công'!$AE$14:$AE$262,"&gt;0"),0),ps,'Trung tâm nhập liệu'!R142,pe,'Trung tâm nhập liệu'!Q142,IF(OR(AC41="",AD41=""),"Thiếu ngày L4",IF(n=0,"Chưa có L5",IF(OR(cs=0,ce=0),"Thiếu ngày L5",IF(OR(ps="",pe=""),"Thiếu ngày kế hoạch gốc L4",IF(OR(cs&lt;ps,ce&gt;pe),"Cảnh báo: Con vượt khung kế hoạch gốc","L5 đúng khung kế hoạch gốc"))))))))))</f>
        <v>Chưa có L5</v>
      </c>
      <c r="AK41" s="465" t="str">
        <f>IF(OR(AU41="Thiếu tham số phân bổ",AU41="Phân bổ phải &gt; 0"),AU41,SWITCH(AL41,"Chưa xếp lịch","Chưa tính tải","Định kỳ","Theo chu kỳ","Khi phát sinh","Khi phát sinh",IF(I41="","",IF(OR(AA41="Hoàn thành",AA41="Hủy"),AA41,IF(COUNTIFS('Lớp 5 - Phân công'!$J$14:$J$262,I41,'Lớp 5 - Phân công'!$AB$14:$AB$262,"&lt;&gt;Hủy")&gt;0,"Theo dõi tải tại Lớp 5",IF(AH41="","Chưa nhập khối lượng",IF(Z41="","Thiếu người thực hiện",IF(OR(AC41="",AD41=""),"Chưa nhập đủ thời gian",IF(AG41&lt;0,"Quá hạn – còn "&amp;TEXT(MAX(0,AH41*(1-AF41)),"0.0")&amp;" giờ",LET(bd,MAX(TODAY(),AC41),kt,AD41,nguoi,Z41,tai,SUMIFS('Lớp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41" s="467" t="str">
        <f>'Trung tâm nhập liệu'!O142</f>
        <v>Có thời hạn</v>
      </c>
      <c r="AM41" s="469" t="str">
        <f>'Trung tâm nhập liệu'!P142</f>
        <v/>
      </c>
      <c r="AN41" s="470" t="str">
        <f>'Trung tâm nhập liệu'!S142</f>
        <v/>
      </c>
      <c r="AO41" s="470" t="str">
        <f>'Trung tâm nhập liệu'!X142</f>
        <v/>
      </c>
      <c r="AP41" s="471" t="str">
        <f t="shared" si="18"/>
        <v/>
      </c>
      <c r="AQ41" s="469" t="str">
        <f t="shared" si="19"/>
        <v/>
      </c>
      <c r="AR41" s="475" t="str">
        <f>'Trung tâm nhập liệu'!V142</f>
        <v/>
      </c>
      <c r="AS41" s="476" t="str">
        <f>'Trung tâm nhập liệu'!W142</f>
        <v/>
      </c>
      <c r="AT41" s="478" t="str">
        <f>IF(AL41&lt;&gt;"Có thời hạn","",IF(OR(I41="",AH41="",AA41="Hoàn thành",AA41="Hủy",COUNTIFS('Lớp 5 - Phân công'!$J$14:$J$262,I41,'Lớp 5 - Phân công'!$AB$14:$AB$262,"&lt;&gt;Hủy")&gt;0),"",LET(canNgay,MAX(0,AH41*(1-AF41))/MAX(1,AG41),IF(AR41="Ngày",canNgay,IF(AR41="Tuần",canNgay*5,"")))))</f>
        <v/>
      </c>
      <c r="AU41" s="465" t="str">
        <f>IF(I41="","",IF(COUNTIFS('Lớp 5 - Phân công'!$J$14:$J$262,I41,'Lớp 5 - Phân công'!$AB$14:$AB$262,"&lt;&gt;Hủy")&gt;0,"Theo dõi phân bổ tại Lớp 5",IF(OR(AA41="Hoàn thành",AA41="Hủy"),AA41,IF(AH41="","Thiếu tổng giờ",IF(OR(AR41="",AS41=""),"Thiếu tham số phân bổ",IF(AS41&lt;=0,"Phân bổ phải &gt; 0",IF(AL41&lt;&gt;"Có thời hạn","Đã có phân bổ",IF(AT41="","Chưa đủ dữ liệu hạn",IF(AS41&gt;=AT41,"Đủ phân bổ theo "&amp;LOWER(AR41),"Thiếu "&amp;TEXT(AT41-AS41,"0.0")&amp;" giờ/"&amp;LOWER(AR41))))))))))</f>
        <v>Thiếu tham số phân bổ</v>
      </c>
      <c r="AV41" s="465" t="str">
        <f t="shared" si="20"/>
        <v>Quá hạn nhưng chưa bắt đầu</v>
      </c>
      <c r="AW41" s="479" t="str">
        <f>'Trung tâm nhập liệu'!Y142</f>
        <v/>
      </c>
    </row>
    <row r="42" ht="15.75" customHeight="1">
      <c r="A42" s="424">
        <f t="shared" si="11"/>
        <v>29</v>
      </c>
      <c r="B42" s="425" t="str">
        <f>'Trung tâm nhập liệu'!F143</f>
        <v>Xây dựng hệ thống quản lý nhà cung cấp</v>
      </c>
      <c r="C42" s="427" t="str">
        <f>'Trung tâm nhập liệu'!M143</f>
        <v>P2</v>
      </c>
      <c r="D42" s="499">
        <f t="shared" ref="D42:E42" si="99">AF42</f>
        <v>0</v>
      </c>
      <c r="E42" s="501">
        <f t="shared" si="99"/>
        <v>16</v>
      </c>
      <c r="F42" s="431">
        <f t="shared" ref="F42:G42" si="100">S42</f>
        <v>46264</v>
      </c>
      <c r="G42" s="431">
        <f t="shared" si="100"/>
        <v>46235</v>
      </c>
      <c r="H42" s="432" t="str">
        <f>IF(B42="","",IF(COUNTIF('Lớp 5 - Phân công'!$J$14:$J$262,I42)&gt;0,"Có","Không"))</f>
        <v>Không</v>
      </c>
      <c r="I42" s="434" t="str">
        <f>'Trung tâm nhập liệu'!B143</f>
        <v>HHL4DL14</v>
      </c>
      <c r="J42" s="432" t="str">
        <f>'Trung tâm nhập liệu'!D143</f>
        <v>HHL3DL06</v>
      </c>
      <c r="K42" s="436">
        <f t="array" ref="K42">IFERROR(INDEX('Lớp 3 - Công việc chính'!$J$14:$J$73,MATCH(J42,'Lớp 3 - Công việc chính'!$I$14:$I$73,0)),"")</f>
        <v>2026</v>
      </c>
      <c r="L42" s="438" t="str">
        <f t="array" ref="L42">IFERROR(INDEX('Lớp 3 - Công việc chính'!$K$14:$K$73,MATCH(J42,'Lớp 3 - Công việc chính'!$I$14:$I$73,0)),"")</f>
        <v>Cấp phòng ban</v>
      </c>
      <c r="M42" s="439" t="str">
        <f t="array" ref="M42">IFERROR(INDEX('Lớp 3 - Công việc chính'!$L$14:$L$73,MATCH(J42,'Lớp 3 - Công việc chính'!$I$14:$I$73,0)),"")</f>
        <v>Hệ thống/Vận hành</v>
      </c>
      <c r="N42" s="439" t="str">
        <f t="array" ref="N42">IFERROR(INDEX('Lớp 3 - Công việc chính'!$M$14:$M$73,MATCH(J42,'Lớp 3 - Công việc chính'!$I$14:$I$73,0)),"")</f>
        <v>XDHT quản lý NCC</v>
      </c>
      <c r="O42" s="440" t="str">
        <f t="shared" ref="O42:R42" si="101">B42</f>
        <v>Xây dựng hệ thống quản lý nhà cung cấp</v>
      </c>
      <c r="P42" s="441" t="str">
        <f t="shared" si="101"/>
        <v>P2</v>
      </c>
      <c r="Q42" s="442">
        <f t="shared" si="101"/>
        <v>0</v>
      </c>
      <c r="R42" s="443">
        <f t="shared" si="101"/>
        <v>16</v>
      </c>
      <c r="S42" s="445">
        <f>IF($I42="","",LET(n,COUNTIFS('Lớp 5 - Phân công'!$J$14:$J$262,$I42,'Lớp 5 - Phân công'!$AB$14:$AB$262,"&lt;&gt;Hủy"),child,IFERROR(MAXIFS('Lớp 5 - Phân công'!$AE$14:$AE$262,'Lớp 5 - Phân công'!$J$14:$J$262,$I42,'Lớp 5 - Phân công'!$AB$14:$AB$262,"&lt;&gt;Hủy",'Lớp 5 - Phân công'!$AE$14:$AE$262,"&gt;0"),0),plan,'Trung tâm nhập liệu'!Q143,emergent,LOWER(TRIM('Trung tâm nhập liệu'!O143))="khi phát sinh",IF(n=0,IF(emergent,"",plan),IF(child=0,IF(emergent,"",plan),IF(OR(emergent,plan=""),child,MAX(plan,child))))))</f>
        <v>46264</v>
      </c>
      <c r="T42" s="447">
        <f>IF($I42="","",LET(n,COUNTIFS('Lớp 5 - Phân công'!$J$14:$J$262,$I42,'Lớp 5 - Phân công'!$AB$14:$AB$262,"&lt;&gt;Hủy"),child,IFERROR(MINIFS('Lớp 5 - Phân công'!$AD$14:$AD$262,'Lớp 5 - Phân công'!$J$14:$J$262,$I42,'Lớp 5 - Phân công'!$AB$14:$AB$262,"&lt;&gt;Hủy",'Lớp 5 - Phân công'!$AD$14:$AD$262,"&gt;0"),0),plan,'Trung tâm nhập liệu'!R143,emergent,LOWER(TRIM('Trung tâm nhập liệu'!O143))="khi phát sinh",IF(n=0,IF(emergent,"",plan),IF(child=0,IF(emergent,"",plan),IF(OR(emergent,plan=""),child,MIN(plan,child))))))</f>
        <v>46235</v>
      </c>
      <c r="U42" s="432" t="str">
        <f t="shared" si="15"/>
        <v>Không</v>
      </c>
      <c r="V42" s="432" t="str">
        <f>'Trung tâm nhập liệu'!G143</f>
        <v>Hệ thống quản lý nhà cung cấp có dữ liệu, tiêu chí đánh giá và cảnh báo.</v>
      </c>
      <c r="W42" s="432" t="str">
        <f>'Trung tâm nhập liệu'!H143</f>
        <v/>
      </c>
      <c r="X42" s="450" t="str">
        <f t="array" ref="X42">IFERROR(INDEX('Lớp 3 - Công việc chính'!$W$14:$W$73,MATCH(J42,'Lớp 3 - Công việc chính'!$I$14:$I$73,0)),"")</f>
        <v>Dữ liệu điều hành</v>
      </c>
      <c r="Y42" s="432" t="str">
        <f>'Trung tâm nhập liệu'!J143</f>
        <v>GĐ BOC</v>
      </c>
      <c r="Z42" s="432" t="str">
        <f>'Trung tâm nhập liệu'!K143</f>
        <v>Em Đại</v>
      </c>
      <c r="AA42" s="425" t="str">
        <f>'Trung tâm nhập liệu'!L143</f>
        <v>Chưa bắt đầu</v>
      </c>
      <c r="AB42" s="441" t="str">
        <f>'Trung tâm nhập liệu'!M143</f>
        <v>P2</v>
      </c>
      <c r="AC42" s="447">
        <f t="shared" si="16"/>
        <v>46235</v>
      </c>
      <c r="AD42" s="445">
        <f t="shared" si="17"/>
        <v>46264</v>
      </c>
      <c r="AE42" s="457">
        <f>IF(AL42&lt;&gt;"Có thời hạn","",IF(OR(AC42="",AD42=""),"",IF(AD42&lt;AC42,"",_xlfn.NETWORKDAYS.INTL(AC42,AD42,11,'Ngày nghỉ lễ'!$A$5:$A$80))))</f>
        <v>25</v>
      </c>
      <c r="AF42" s="458">
        <f>IF(I42="","",IF(L42="Công việc khác","",IF(OR(AA42="Chưa lên lịch",AA42="Đã lên lịch",AA42="Hủy"),"",IF(COUNTIFS('Lớp 5 - Phân công'!$J$14:$J$262,I42,'Lớp 5 - Phân công'!$AB$14:$AB$262,"&lt;&gt;",'Lớp 5 - Phân công'!$AB$14:$AB$262,"&lt;&gt;Hủy",'Lớp 5 - Phân công'!$AB$14:$AB$262,"&lt;&gt;Chưa lên lịch",'Lớp 5 - Phân công'!$AB$14:$AB$262,"&lt;&gt;Đã lên lịch")&gt;0,SUMIFS('Lớp 5 - Phân công'!$AG$14:$AG$262,'Lớp 5 - Phân công'!$J$14:$J$262,I42,'Lớp 5 - Phân công'!$AB$14:$AB$262,"&lt;&gt;",'Lớp 5 - Phân công'!$AB$14:$AB$262,"&lt;&gt;Hủy",'Lớp 5 - Phân công'!$AB$14:$AB$262,"&lt;&gt;Chưa lên lịch",'Lớp 5 - Phân công'!$AB$14:$AB$262,"&lt;&gt;Đã lên lịch")/COUNTIFS('Lớp 5 - Phân công'!$J$14:$J$262,I42,'Lớp 5 - Phân công'!$AB$14:$AB$262,"&lt;&gt;",'Lớp 5 - Phân công'!$AB$14:$AB$262,"&lt;&gt;Hủy",'Lớp 5 - Phân công'!$AB$14:$AB$262,"&lt;&gt;Chưa lên lịch",'Lớp 5 - Phân công'!$AB$14:$AB$262,"&lt;&gt;Đã lên lịch"),IF(AA42="Hoàn thành",1,0)))))</f>
        <v>0</v>
      </c>
      <c r="AG42" s="461">
        <f>IF(AL42&lt;&gt;"Có thời hạn","",IF(OR(I42="",AC42="",AD42=""),"",IF(OR(AA42="Hoàn thành",AA42="Hủy"),0,IF(AD42&lt;TODAY(),-_xlfn.NETWORKDAYS.INTL(AD42,TODAY()-1,11,'Ngày nghỉ lễ'!$A$5:$A$80),MAX(0,_xlfn.NETWORKDAYS.INTL(MAX(TODAY()+1,AC42),AD42,11,'Ngày nghỉ lễ'!$A$5:$A$80))))))</f>
        <v>16</v>
      </c>
      <c r="AH42" s="466">
        <f>IF($I42="","",LET(n,COUNTIFS('Lớp 5 - Phân công'!$J$14:$J$262,$I42,'Lớp 5 - Phân công'!$AB$14:$AB$262,"&lt;&gt;Hủy"),du,COUNTIFS('Lớp 5 - Phân công'!$J$14:$J$262,$I42,'Lớp 5 - Phân công'!$AB$14:$AB$262,"&lt;&gt;Hủy",'Lớp 5 - Phân công'!$AI$14:$AI$262,"&lt;&gt;"),IF(n=0,'Trung tâm nhập liệu'!T143,IF(du&lt;n,"",SUMIFS('Lớp 5 - Phân công'!$AI$14:$AI$262,'Lớp 5 - Phân công'!$J$14:$J$262,$I42,'Lớp 5 - Phân công'!$AB$14:$AB$262,"&lt;&gt;Hủy")))))</f>
        <v>240</v>
      </c>
      <c r="AI42" s="468" t="str">
        <f>IF(I42="","",IF(OR(AA42="Hoàn thành",AA42="Hủy"),"",IF(COUNTIFS('Lớp 5 - Phân công'!$J$14:$J$262,I42,'Lớp 5 - Phân công'!$AB$14:$AB$262,"&lt;&gt;Hủy")&gt;0,"",IF(AR42="Ngày",AS42,IF(AR42="Tuần",AS42/5,"")))))</f>
        <v/>
      </c>
      <c r="AJ42" s="477" t="str">
        <f>IF(AL42="Chưa xếp lịch","Chưa xếp lịch",IF(AL42="Định kỳ",IF(AM42="","Thiếu chu kỳ","Theo chu kỳ"),IF(AL42="Khi phát sinh",IF(COUNTIFS('Lớp 5 - Phân công'!$J$14:$J$262,$I42,'Lớp 5 - Phân công'!$AB$14:$AB$262,"&lt;&gt;Hủy")=0,"Khi phát sinh – chờ việc con","Khi phát sinh – theo ngày con"),IF(I42="","",LET(n,COUNTIFS('Lớp 5 - Phân công'!$J$14:$J$262,$I42,'Lớp 5 - Phân công'!$AB$14:$AB$262,"&lt;&gt;Hủy"),cs,IFERROR(MINIFS('Lớp 5 - Phân công'!$AD$14:$AD$262,'Lớp 5 - Phân công'!$J$14:$J$262,$I42,'Lớp 5 - Phân công'!$AB$14:$AB$262,"&lt;&gt;Hủy",'Lớp 5 - Phân công'!$AD$14:$AD$262,"&gt;0"),0),ce,IFERROR(MAXIFS('Lớp 5 - Phân công'!$AE$14:$AE$262,'Lớp 5 - Phân công'!$J$14:$J$262,$I42,'Lớp 5 - Phân công'!$AB$14:$AB$262,"&lt;&gt;Hủy",'Lớp 5 - Phân công'!$AE$14:$AE$262,"&gt;0"),0),ps,'Trung tâm nhập liệu'!R143,pe,'Trung tâm nhập liệu'!Q143,IF(OR(AC42="",AD42=""),"Thiếu ngày L4",IF(n=0,"Chưa có L5",IF(OR(cs=0,ce=0),"Thiếu ngày L5",IF(OR(ps="",pe=""),"Thiếu ngày kế hoạch gốc L4",IF(OR(cs&lt;ps,ce&gt;pe),"Cảnh báo: Con vượt khung kế hoạch gốc","L5 đúng khung kế hoạch gốc"))))))))))</f>
        <v>Chưa có L5</v>
      </c>
      <c r="AK42" s="465" t="str">
        <f>IF(OR(AU42="Thiếu tham số phân bổ",AU42="Phân bổ phải &gt; 0"),AU42,SWITCH(AL42,"Chưa xếp lịch","Chưa tính tải","Định kỳ","Theo chu kỳ","Khi phát sinh","Khi phát sinh",IF(I42="","",IF(OR(AA42="Hoàn thành",AA42="Hủy"),AA42,IF(COUNTIFS('Lớp 5 - Phân công'!$J$14:$J$262,I42,'Lớp 5 - Phân công'!$AB$14:$AB$262,"&lt;&gt;Hủy")&gt;0,"Theo dõi tải tại Lớp 5",IF(AH42="","Chưa nhập khối lượng",IF(Z42="","Thiếu người thực hiện",IF(OR(AC42="",AD42=""),"Chưa nhập đủ thời gian",IF(AG42&lt;0,"Quá hạn – còn "&amp;TEXT(MAX(0,AH42*(1-AF42)),"0.0")&amp;" giờ",LET(bd,MAX(TODAY(),AC42),kt,AD42,nguoi,Z42,tai,SUMIFS('Lớp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42" s="467" t="str">
        <f>'Trung tâm nhập liệu'!O143</f>
        <v>Có thời hạn</v>
      </c>
      <c r="AM42" s="469" t="str">
        <f>'Trung tâm nhập liệu'!P143</f>
        <v/>
      </c>
      <c r="AN42" s="470" t="str">
        <f>'Trung tâm nhập liệu'!S143</f>
        <v/>
      </c>
      <c r="AO42" s="470" t="str">
        <f>'Trung tâm nhập liệu'!X143</f>
        <v/>
      </c>
      <c r="AP42" s="471" t="str">
        <f t="shared" si="18"/>
        <v/>
      </c>
      <c r="AQ42" s="469" t="str">
        <f t="shared" si="19"/>
        <v/>
      </c>
      <c r="AR42" s="475" t="str">
        <f>'Trung tâm nhập liệu'!V143</f>
        <v/>
      </c>
      <c r="AS42" s="476" t="str">
        <f>'Trung tâm nhập liệu'!W143</f>
        <v/>
      </c>
      <c r="AT42" s="478" t="str">
        <f>IF(AL42&lt;&gt;"Có thời hạn","",IF(OR(I42="",AH42="",AA42="Hoàn thành",AA42="Hủy",COUNTIFS('Lớp 5 - Phân công'!$J$14:$J$262,I42,'Lớp 5 - Phân công'!$AB$14:$AB$262,"&lt;&gt;Hủy")&gt;0),"",LET(canNgay,MAX(0,AH42*(1-AF42))/MAX(1,AG42),IF(AR42="Ngày",canNgay,IF(AR42="Tuần",canNgay*5,"")))))</f>
        <v/>
      </c>
      <c r="AU42" s="465" t="str">
        <f>IF(I42="","",IF(COUNTIFS('Lớp 5 - Phân công'!$J$14:$J$262,I42,'Lớp 5 - Phân công'!$AB$14:$AB$262,"&lt;&gt;Hủy")&gt;0,"Theo dõi phân bổ tại Lớp 5",IF(OR(AA42="Hoàn thành",AA42="Hủy"),AA42,IF(AH42="","Thiếu tổng giờ",IF(OR(AR42="",AS42=""),"Thiếu tham số phân bổ",IF(AS42&lt;=0,"Phân bổ phải &gt; 0",IF(AL42&lt;&gt;"Có thời hạn","Đã có phân bổ",IF(AT42="","Chưa đủ dữ liệu hạn",IF(AS42&gt;=AT42,"Đủ phân bổ theo "&amp;LOWER(AR42),"Thiếu "&amp;TEXT(AT42-AS42,"0.0")&amp;" giờ/"&amp;LOWER(AR42))))))))))</f>
        <v>Thiếu tham số phân bổ</v>
      </c>
      <c r="AV42" s="465" t="str">
        <f t="shared" si="20"/>
        <v>OK</v>
      </c>
      <c r="AW42" s="479" t="str">
        <f>'Trung tâm nhập liệu'!Y143</f>
        <v/>
      </c>
    </row>
    <row r="43" ht="15.75" customHeight="1">
      <c r="A43" s="424" t="str">
        <f t="shared" si="11"/>
        <v>#REF!</v>
      </c>
      <c r="B43" s="425" t="str">
        <f t="shared" ref="B43:C43" si="102">#REF!</f>
        <v>#REF!</v>
      </c>
      <c r="C43" s="427" t="str">
        <f t="shared" si="102"/>
        <v>#REF!</v>
      </c>
      <c r="D43" s="499" t="str">
        <f t="shared" ref="D43:E43" si="103">AF43</f>
        <v>#REF!</v>
      </c>
      <c r="E43" s="501" t="str">
        <f t="shared" si="103"/>
        <v>#REF!</v>
      </c>
      <c r="F43" s="431" t="str">
        <f t="shared" ref="F43:G43" si="104">S43</f>
        <v>#REF!</v>
      </c>
      <c r="G43" s="431" t="str">
        <f t="shared" si="104"/>
        <v>#REF!</v>
      </c>
      <c r="H43" s="432" t="str">
        <f>IF(B43="","",IF(COUNTIF('Lớp 5 - Phân công'!$J$14:$J$262,I43)&gt;0,"Có","Không"))</f>
        <v>#REF!</v>
      </c>
      <c r="I43" s="434" t="str">
        <f t="shared" ref="I43:J43" si="105">#REF!</f>
        <v>#REF!</v>
      </c>
      <c r="J43" s="432" t="str">
        <f t="shared" si="105"/>
        <v>#REF!</v>
      </c>
      <c r="K43" s="436" t="str">
        <f t="array" ref="K43">IFERROR(INDEX('Lớp 3 - Công việc chính'!$J$14:$J$73,MATCH(J43,'Lớp 3 - Công việc chính'!$I$14:$I$73,0)),"")</f>
        <v/>
      </c>
      <c r="L43" s="438" t="str">
        <f t="array" ref="L43">IFERROR(INDEX('Lớp 3 - Công việc chính'!$K$14:$K$73,MATCH(J43,'Lớp 3 - Công việc chính'!$I$14:$I$73,0)),"")</f>
        <v/>
      </c>
      <c r="M43" s="439" t="str">
        <f t="array" ref="M43">IFERROR(INDEX('Lớp 3 - Công việc chính'!$L$14:$L$73,MATCH(J43,'Lớp 3 - Công việc chính'!$I$14:$I$73,0)),"")</f>
        <v/>
      </c>
      <c r="N43" s="439" t="str">
        <f t="array" ref="N43">IFERROR(INDEX('Lớp 3 - Công việc chính'!$M$14:$M$73,MATCH(J43,'Lớp 3 - Công việc chính'!$I$14:$I$73,0)),"")</f>
        <v/>
      </c>
      <c r="O43" s="440" t="str">
        <f t="shared" ref="O43:R43" si="106">B43</f>
        <v>#REF!</v>
      </c>
      <c r="P43" s="441" t="str">
        <f t="shared" si="106"/>
        <v>#REF!</v>
      </c>
      <c r="Q43" s="442" t="str">
        <f t="shared" si="106"/>
        <v>#REF!</v>
      </c>
      <c r="R43" s="443" t="str">
        <f t="shared" si="106"/>
        <v>#REF!</v>
      </c>
      <c r="S43" s="445" t="str">
        <f>IF($I43="","",LET(n,COUNTIFS('Lớp 5 - Phân công'!$J$14:$J$262,$I43,'Lớp 5 - Phân công'!$AB$14:$AB$262,"&lt;&gt;Hủy"),child,IFERROR(MAXIFS('Lớp 5 - Phân công'!$AE$14:$AE$262,'Lớp 5 - Phân công'!$J$14:$J$262,$I43,'Lớp 5 - Phân công'!$AB$14:$AB$262,"&lt;&gt;Hủy",'Lớp 5 - Phân công'!$AE$14:$AE$262,"&gt;0"),0),plan,#REF!,emergent,LOWER(TRIM(#REF!))="khi phát sinh",IF(n=0,IF(emergent,"",plan),IF(child=0,IF(emergent,"",plan),IF(OR(emergent,plan=""),child,MAX(plan,child))))))</f>
        <v>#REF!</v>
      </c>
      <c r="T43" s="447" t="str">
        <f>IF($I43="","",LET(n,COUNTIFS('Lớp 5 - Phân công'!$J$14:$J$262,$I43,'Lớp 5 - Phân công'!$AB$14:$AB$262,"&lt;&gt;Hủy"),child,IFERROR(MINIFS('Lớp 5 - Phân công'!$AD$14:$AD$262,'Lớp 5 - Phân công'!$J$14:$J$262,$I43,'Lớp 5 - Phân công'!$AB$14:$AB$262,"&lt;&gt;Hủy",'Lớp 5 - Phân công'!$AD$14:$AD$262,"&gt;0"),0),plan,#REF!,emergent,LOWER(TRIM(#REF!))="khi phát sinh",IF(n=0,IF(emergent,"",plan),IF(child=0,IF(emergent,"",plan),IF(OR(emergent,plan=""),child,MIN(plan,child))))))</f>
        <v>#REF!</v>
      </c>
      <c r="U43" s="432" t="str">
        <f t="shared" si="15"/>
        <v>#REF!</v>
      </c>
      <c r="V43" s="432" t="str">
        <f t="shared" ref="V43:W43" si="107">#REF!</f>
        <v>#REF!</v>
      </c>
      <c r="W43" s="432" t="str">
        <f t="shared" si="107"/>
        <v>#REF!</v>
      </c>
      <c r="X43" s="450" t="str">
        <f t="array" ref="X43">IFERROR(INDEX('Lớp 3 - Công việc chính'!$W$14:$W$73,MATCH(J43,'Lớp 3 - Công việc chính'!$I$14:$I$73,0)),"")</f>
        <v/>
      </c>
      <c r="Y43" s="432" t="str">
        <f t="shared" ref="Y43:AB43" si="108">#REF!</f>
        <v>#REF!</v>
      </c>
      <c r="Z43" s="432" t="str">
        <f t="shared" si="108"/>
        <v>#REF!</v>
      </c>
      <c r="AA43" s="425" t="str">
        <f t="shared" si="108"/>
        <v>#REF!</v>
      </c>
      <c r="AB43" s="441" t="str">
        <f t="shared" si="108"/>
        <v>#REF!</v>
      </c>
      <c r="AC43" s="447" t="str">
        <f t="shared" si="16"/>
        <v>#REF!</v>
      </c>
      <c r="AD43" s="445" t="str">
        <f t="shared" si="17"/>
        <v>#REF!</v>
      </c>
      <c r="AE43" s="457" t="str">
        <f>IF(AL43&lt;&gt;"Có thời hạn","",IF(OR(AC43="",AD43=""),"",IF(AD43&lt;AC43,"",_xlfn.NETWORKDAYS.INTL(AC43,AD43,11,'Ngày nghỉ lễ'!$A$5:$A$80))))</f>
        <v>#REF!</v>
      </c>
      <c r="AF43" s="458" t="str">
        <f>IF(I43="","",IF(L43="Công việc khác","",IF(OR(AA43="Chưa lên lịch",AA43="Đã lên lịch",AA43="Hủy"),"",IF(COUNTIFS('Lớp 5 - Phân công'!$J$14:$J$262,I43,'Lớp 5 - Phân công'!$AB$14:$AB$262,"&lt;&gt;",'Lớp 5 - Phân công'!$AB$14:$AB$262,"&lt;&gt;Hủy",'Lớp 5 - Phân công'!$AB$14:$AB$262,"&lt;&gt;Chưa lên lịch",'Lớp 5 - Phân công'!$AB$14:$AB$262,"&lt;&gt;Đã lên lịch")&gt;0,SUMIFS('Lớp 5 - Phân công'!$AG$14:$AG$262,'Lớp 5 - Phân công'!$J$14:$J$262,I43,'Lớp 5 - Phân công'!$AB$14:$AB$262,"&lt;&gt;",'Lớp 5 - Phân công'!$AB$14:$AB$262,"&lt;&gt;Hủy",'Lớp 5 - Phân công'!$AB$14:$AB$262,"&lt;&gt;Chưa lên lịch",'Lớp 5 - Phân công'!$AB$14:$AB$262,"&lt;&gt;Đã lên lịch")/COUNTIFS('Lớp 5 - Phân công'!$J$14:$J$262,I43,'Lớp 5 - Phân công'!$AB$14:$AB$262,"&lt;&gt;",'Lớp 5 - Phân công'!$AB$14:$AB$262,"&lt;&gt;Hủy",'Lớp 5 - Phân công'!$AB$14:$AB$262,"&lt;&gt;Chưa lên lịch",'Lớp 5 - Phân công'!$AB$14:$AB$262,"&lt;&gt;Đã lên lịch"),IF(AA43="Hoàn thành",1,0)))))</f>
        <v>#REF!</v>
      </c>
      <c r="AG43" s="461" t="str">
        <f>IF(AL43&lt;&gt;"Có thời hạn","",IF(OR(I43="",AC43="",AD43=""),"",IF(OR(AA43="Hoàn thành",AA43="Hủy"),0,IF(AD43&lt;TODAY(),-_xlfn.NETWORKDAYS.INTL(AD43,TODAY()-1,11,'Ngày nghỉ lễ'!$A$5:$A$80),MAX(0,_xlfn.NETWORKDAYS.INTL(MAX(TODAY()+1,AC43),AD43,11,'Ngày nghỉ lễ'!$A$5:$A$80))))))</f>
        <v>#REF!</v>
      </c>
      <c r="AH43" s="466" t="str">
        <f>IF($I43="","",LET(n,COUNTIFS('Lớp 5 - Phân công'!$J$14:$J$262,$I43,'Lớp 5 - Phân công'!$AB$14:$AB$262,"&lt;&gt;Hủy"),du,COUNTIFS('Lớp 5 - Phân công'!$J$14:$J$262,$I43,'Lớp 5 - Phân công'!$AB$14:$AB$262,"&lt;&gt;Hủy",'Lớp 5 - Phân công'!$AI$14:$AI$262,"&lt;&gt;"),IF(n=0,#REF!,IF(du&lt;n,"",SUMIFS('Lớp 5 - Phân công'!$AI$14:$AI$262,'Lớp 5 - Phân công'!$J$14:$J$262,$I43,'Lớp 5 - Phân công'!$AB$14:$AB$262,"&lt;&gt;Hủy")))))</f>
        <v>#REF!</v>
      </c>
      <c r="AI43" s="468" t="str">
        <f>IF(I43="","",IF(OR(AA43="Hoàn thành",AA43="Hủy"),"",IF(COUNTIFS('Lớp 5 - Phân công'!$J$14:$J$262,I43,'Lớp 5 - Phân công'!$AB$14:$AB$262,"&lt;&gt;Hủy")&gt;0,"",IF(AR43="Ngày",AS43,IF(AR43="Tuần",AS43/5,"")))))</f>
        <v>#REF!</v>
      </c>
      <c r="AJ43" s="477" t="str">
        <f>IF(AL43="Chưa xếp lịch","Chưa xếp lịch",IF(AL43="Định kỳ",IF(AM43="","Thiếu chu kỳ","Theo chu kỳ"),IF(AL43="Khi phát sinh",IF(COUNTIFS('Lớp 5 - Phân công'!$J$14:$J$262,$I43,'Lớp 5 - Phân công'!$AB$14:$AB$262,"&lt;&gt;Hủy")=0,"Khi phát sinh – chờ việc con","Khi phát sinh – theo ngày con"),IF(I43="","",LET(n,COUNTIFS('Lớp 5 - Phân công'!$J$14:$J$262,$I43,'Lớp 5 - Phân công'!$AB$14:$AB$262,"&lt;&gt;Hủy"),cs,IFERROR(MINIFS('Lớp 5 - Phân công'!$AD$14:$AD$262,'Lớp 5 - Phân công'!$J$14:$J$262,$I43,'Lớp 5 - Phân công'!$AB$14:$AB$262,"&lt;&gt;Hủy",'Lớp 5 - Phân công'!$AD$14:$AD$262,"&gt;0"),0),ce,IFERROR(MAXIFS('Lớp 5 - Phân công'!$AE$14:$AE$262,'Lớp 5 - Phân công'!$J$14:$J$262,$I43,'Lớp 5 - Phân công'!$AB$14:$AB$262,"&lt;&gt;Hủy",'Lớp 5 - Phân công'!$AE$14:$AE$262,"&gt;0"),0),ps,#REF!,pe,#REF!,IF(OR(AC43="",AD43=""),"Thiếu ngày L4",IF(n=0,"Chưa có L5",IF(OR(cs=0,ce=0),"Thiếu ngày L5",IF(OR(ps="",pe=""),"Thiếu ngày kế hoạch gốc L4",IF(OR(cs&lt;ps,ce&gt;pe),"Cảnh báo: Con vượt khung kế hoạch gốc","L5 đúng khung kế hoạch gốc"))))))))))</f>
        <v>#REF!</v>
      </c>
      <c r="AK43" s="465" t="str">
        <f>IF(OR(AU43="Thiếu tham số phân bổ",AU43="Phân bổ phải &gt; 0"),AU43,SWITCH(AL43,"Chưa xếp lịch","Chưa tính tải","Định kỳ","Theo chu kỳ","Khi phát sinh","Khi phát sinh",IF(I43="","",IF(OR(AA43="Hoàn thành",AA43="Hủy"),AA43,IF(COUNTIFS('Lớp 5 - Phân công'!$J$14:$J$262,I43,'Lớp 5 - Phân công'!$AB$14:$AB$262,"&lt;&gt;Hủy")&gt;0,"Theo dõi tải tại Lớp 5",IF(AH43="","Chưa nhập khối lượng",IF(Z43="","Thiếu người thực hiện",IF(OR(AC43="",AD43=""),"Chưa nhập đủ thời gian",IF(AG43&lt;0,"Quá hạn – còn "&amp;TEXT(MAX(0,AH43*(1-AF43)),"0.0")&amp;" giờ",LET(bd,MAX(TODAY(),AC43),kt,AD43,nguoi,Z43,tai,SUMIFS('Lớp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#REF!</v>
      </c>
      <c r="AL43" s="467" t="str">
        <f t="shared" ref="AL43:AO43" si="109">#REF!</f>
        <v>#REF!</v>
      </c>
      <c r="AM43" s="469" t="str">
        <f t="shared" si="109"/>
        <v>#REF!</v>
      </c>
      <c r="AN43" s="470" t="str">
        <f t="shared" si="109"/>
        <v>#REF!</v>
      </c>
      <c r="AO43" s="470" t="str">
        <f t="shared" si="109"/>
        <v>#REF!</v>
      </c>
      <c r="AP43" s="471" t="str">
        <f t="shared" si="18"/>
        <v>#REF!</v>
      </c>
      <c r="AQ43" s="469" t="str">
        <f t="shared" si="19"/>
        <v>#REF!</v>
      </c>
      <c r="AR43" s="475" t="str">
        <f t="shared" ref="AR43:AS43" si="110">#REF!</f>
        <v>#REF!</v>
      </c>
      <c r="AS43" s="476" t="str">
        <f t="shared" si="110"/>
        <v>#REF!</v>
      </c>
      <c r="AT43" s="478" t="str">
        <f>IF(AL43&lt;&gt;"Có thời hạn","",IF(OR(I43="",AH43="",AA43="Hoàn thành",AA43="Hủy",COUNTIFS('Lớp 5 - Phân công'!$J$14:$J$262,I43,'Lớp 5 - Phân công'!$AB$14:$AB$262,"&lt;&gt;Hủy")&gt;0),"",LET(canNgay,MAX(0,AH43*(1-AF43))/MAX(1,AG43),IF(AR43="Ngày",canNgay,IF(AR43="Tuần",canNgay*5,"")))))</f>
        <v>#REF!</v>
      </c>
      <c r="AU43" s="465" t="str">
        <f>IF(I43="","",IF(COUNTIFS('Lớp 5 - Phân công'!$J$14:$J$262,I43,'Lớp 5 - Phân công'!$AB$14:$AB$262,"&lt;&gt;Hủy")&gt;0,"Theo dõi phân bổ tại Lớp 5",IF(OR(AA43="Hoàn thành",AA43="Hủy"),AA43,IF(AH43="","Thiếu tổng giờ",IF(OR(AR43="",AS43=""),"Thiếu tham số phân bổ",IF(AS43&lt;=0,"Phân bổ phải &gt; 0",IF(AL43&lt;&gt;"Có thời hạn","Đã có phân bổ",IF(AT43="","Chưa đủ dữ liệu hạn",IF(AS43&gt;=AT43,"Đủ phân bổ theo "&amp;LOWER(AR43),"Thiếu "&amp;TEXT(AT43-AS43,"0.0")&amp;" giờ/"&amp;LOWER(AR43))))))))))</f>
        <v>#REF!</v>
      </c>
      <c r="AV43" s="465" t="str">
        <f t="shared" si="20"/>
        <v>#REF!</v>
      </c>
      <c r="AW43" s="479" t="str">
        <f t="shared" ref="AW43:AW45" si="120">#REF!</f>
        <v>#REF!</v>
      </c>
    </row>
    <row r="44" ht="15.75" customHeight="1">
      <c r="A44" s="424" t="str">
        <f t="shared" si="11"/>
        <v>#REF!</v>
      </c>
      <c r="B44" s="425" t="str">
        <f t="shared" ref="B44:C44" si="111">#REF!</f>
        <v>#REF!</v>
      </c>
      <c r="C44" s="427" t="str">
        <f t="shared" si="111"/>
        <v>#REF!</v>
      </c>
      <c r="D44" s="499" t="str">
        <f t="shared" ref="D44:E44" si="112">AF44</f>
        <v>#REF!</v>
      </c>
      <c r="E44" s="501" t="str">
        <f t="shared" si="112"/>
        <v>#REF!</v>
      </c>
      <c r="F44" s="431" t="str">
        <f t="shared" ref="F44:G44" si="113">S44</f>
        <v>#REF!</v>
      </c>
      <c r="G44" s="431" t="str">
        <f t="shared" si="113"/>
        <v>#REF!</v>
      </c>
      <c r="H44" s="432" t="str">
        <f>IF(B44="","",IF(COUNTIF('Lớp 5 - Phân công'!$J$14:$J$262,I44)&gt;0,"Có","Không"))</f>
        <v>#REF!</v>
      </c>
      <c r="I44" s="434" t="str">
        <f t="shared" ref="I44:J44" si="114">#REF!</f>
        <v>#REF!</v>
      </c>
      <c r="J44" s="432" t="str">
        <f t="shared" si="114"/>
        <v>#REF!</v>
      </c>
      <c r="K44" s="436" t="str">
        <f t="array" ref="K44">IFERROR(INDEX('Lớp 3 - Công việc chính'!$J$14:$J$73,MATCH(J44,'Lớp 3 - Công việc chính'!$I$14:$I$73,0)),"")</f>
        <v/>
      </c>
      <c r="L44" s="438" t="str">
        <f t="array" ref="L44">IFERROR(INDEX('Lớp 3 - Công việc chính'!$K$14:$K$73,MATCH(J44,'Lớp 3 - Công việc chính'!$I$14:$I$73,0)),"")</f>
        <v/>
      </c>
      <c r="M44" s="439" t="str">
        <f t="array" ref="M44">IFERROR(INDEX('Lớp 3 - Công việc chính'!$L$14:$L$73,MATCH(J44,'Lớp 3 - Công việc chính'!$I$14:$I$73,0)),"")</f>
        <v/>
      </c>
      <c r="N44" s="439" t="str">
        <f t="array" ref="N44">IFERROR(INDEX('Lớp 3 - Công việc chính'!$M$14:$M$73,MATCH(J44,'Lớp 3 - Công việc chính'!$I$14:$I$73,0)),"")</f>
        <v/>
      </c>
      <c r="O44" s="440" t="str">
        <f t="shared" ref="O44:R44" si="115">B44</f>
        <v>#REF!</v>
      </c>
      <c r="P44" s="441" t="str">
        <f t="shared" si="115"/>
        <v>#REF!</v>
      </c>
      <c r="Q44" s="442" t="str">
        <f t="shared" si="115"/>
        <v>#REF!</v>
      </c>
      <c r="R44" s="443" t="str">
        <f t="shared" si="115"/>
        <v>#REF!</v>
      </c>
      <c r="S44" s="445" t="str">
        <f>IF($I44="","",LET(n,COUNTIFS('Lớp 5 - Phân công'!$J$14:$J$262,$I44,'Lớp 5 - Phân công'!$AB$14:$AB$262,"&lt;&gt;Hủy"),child,IFERROR(MAXIFS('Lớp 5 - Phân công'!$AE$14:$AE$262,'Lớp 5 - Phân công'!$J$14:$J$262,$I44,'Lớp 5 - Phân công'!$AB$14:$AB$262,"&lt;&gt;Hủy",'Lớp 5 - Phân công'!$AE$14:$AE$262,"&gt;0"),0),plan,#REF!,emergent,LOWER(TRIM(#REF!))="khi phát sinh",IF(n=0,IF(emergent,"",plan),IF(child=0,IF(emergent,"",plan),IF(OR(emergent,plan=""),child,MAX(plan,child))))))</f>
        <v>#REF!</v>
      </c>
      <c r="T44" s="447" t="str">
        <f>IF($I44="","",LET(n,COUNTIFS('Lớp 5 - Phân công'!$J$14:$J$262,$I44,'Lớp 5 - Phân công'!$AB$14:$AB$262,"&lt;&gt;Hủy"),child,IFERROR(MINIFS('Lớp 5 - Phân công'!$AD$14:$AD$262,'Lớp 5 - Phân công'!$J$14:$J$262,$I44,'Lớp 5 - Phân công'!$AB$14:$AB$262,"&lt;&gt;Hủy",'Lớp 5 - Phân công'!$AD$14:$AD$262,"&gt;0"),0),plan,#REF!,emergent,LOWER(TRIM(#REF!))="khi phát sinh",IF(n=0,IF(emergent,"",plan),IF(child=0,IF(emergent,"",plan),IF(OR(emergent,plan=""),child,MIN(plan,child))))))</f>
        <v>#REF!</v>
      </c>
      <c r="U44" s="432" t="str">
        <f t="shared" si="15"/>
        <v>#REF!</v>
      </c>
      <c r="V44" s="432" t="str">
        <f t="shared" ref="V44:W44" si="116">#REF!</f>
        <v>#REF!</v>
      </c>
      <c r="W44" s="432" t="str">
        <f t="shared" si="116"/>
        <v>#REF!</v>
      </c>
      <c r="X44" s="450" t="str">
        <f t="array" ref="X44">IFERROR(INDEX('Lớp 3 - Công việc chính'!$W$14:$W$73,MATCH(J44,'Lớp 3 - Công việc chính'!$I$14:$I$73,0)),"")</f>
        <v/>
      </c>
      <c r="Y44" s="432" t="str">
        <f t="shared" ref="Y44:AB44" si="117">#REF!</f>
        <v>#REF!</v>
      </c>
      <c r="Z44" s="432" t="str">
        <f t="shared" si="117"/>
        <v>#REF!</v>
      </c>
      <c r="AA44" s="425" t="str">
        <f t="shared" si="117"/>
        <v>#REF!</v>
      </c>
      <c r="AB44" s="441" t="str">
        <f t="shared" si="117"/>
        <v>#REF!</v>
      </c>
      <c r="AC44" s="447" t="str">
        <f t="shared" si="16"/>
        <v>#REF!</v>
      </c>
      <c r="AD44" s="445" t="str">
        <f t="shared" si="17"/>
        <v>#REF!</v>
      </c>
      <c r="AE44" s="457" t="str">
        <f>IF(AL44&lt;&gt;"Có thời hạn","",IF(OR(AC44="",AD44=""),"",IF(AD44&lt;AC44,"",_xlfn.NETWORKDAYS.INTL(AC44,AD44,11,'Ngày nghỉ lễ'!$A$5:$A$80))))</f>
        <v>#REF!</v>
      </c>
      <c r="AF44" s="458" t="str">
        <f>IF(I44="","",IF(L44="Công việc khác","",IF(OR(AA44="Chưa lên lịch",AA44="Đã lên lịch",AA44="Hủy"),"",IF(COUNTIFS('Lớp 5 - Phân công'!$J$14:$J$262,I44,'Lớp 5 - Phân công'!$AB$14:$AB$262,"&lt;&gt;",'Lớp 5 - Phân công'!$AB$14:$AB$262,"&lt;&gt;Hủy",'Lớp 5 - Phân công'!$AB$14:$AB$262,"&lt;&gt;Chưa lên lịch",'Lớp 5 - Phân công'!$AB$14:$AB$262,"&lt;&gt;Đã lên lịch")&gt;0,SUMIFS('Lớp 5 - Phân công'!$AG$14:$AG$262,'Lớp 5 - Phân công'!$J$14:$J$262,I44,'Lớp 5 - Phân công'!$AB$14:$AB$262,"&lt;&gt;",'Lớp 5 - Phân công'!$AB$14:$AB$262,"&lt;&gt;Hủy",'Lớp 5 - Phân công'!$AB$14:$AB$262,"&lt;&gt;Chưa lên lịch",'Lớp 5 - Phân công'!$AB$14:$AB$262,"&lt;&gt;Đã lên lịch")/COUNTIFS('Lớp 5 - Phân công'!$J$14:$J$262,I44,'Lớp 5 - Phân công'!$AB$14:$AB$262,"&lt;&gt;",'Lớp 5 - Phân công'!$AB$14:$AB$262,"&lt;&gt;Hủy",'Lớp 5 - Phân công'!$AB$14:$AB$262,"&lt;&gt;Chưa lên lịch",'Lớp 5 - Phân công'!$AB$14:$AB$262,"&lt;&gt;Đã lên lịch"),IF(AA44="Hoàn thành",1,0)))))</f>
        <v>#REF!</v>
      </c>
      <c r="AG44" s="461" t="str">
        <f>IF(AL44&lt;&gt;"Có thời hạn","",IF(OR(I44="",AC44="",AD44=""),"",IF(OR(AA44="Hoàn thành",AA44="Hủy"),0,IF(AD44&lt;TODAY(),-_xlfn.NETWORKDAYS.INTL(AD44,TODAY()-1,11,'Ngày nghỉ lễ'!$A$5:$A$80),MAX(0,_xlfn.NETWORKDAYS.INTL(MAX(TODAY()+1,AC44),AD44,11,'Ngày nghỉ lễ'!$A$5:$A$80))))))</f>
        <v>#REF!</v>
      </c>
      <c r="AH44" s="466" t="str">
        <f>IF($I44="","",LET(n,COUNTIFS('Lớp 5 - Phân công'!$J$14:$J$262,$I44,'Lớp 5 - Phân công'!$AB$14:$AB$262,"&lt;&gt;Hủy"),du,COUNTIFS('Lớp 5 - Phân công'!$J$14:$J$262,$I44,'Lớp 5 - Phân công'!$AB$14:$AB$262,"&lt;&gt;Hủy",'Lớp 5 - Phân công'!$AI$14:$AI$262,"&lt;&gt;"),IF(n=0,#REF!,IF(du&lt;n,"",SUMIFS('Lớp 5 - Phân công'!$AI$14:$AI$262,'Lớp 5 - Phân công'!$J$14:$J$262,$I44,'Lớp 5 - Phân công'!$AB$14:$AB$262,"&lt;&gt;Hủy")))))</f>
        <v>#REF!</v>
      </c>
      <c r="AI44" s="468" t="str">
        <f>IF(I44="","",IF(OR(AA44="Hoàn thành",AA44="Hủy"),"",IF(COUNTIFS('Lớp 5 - Phân công'!$J$14:$J$262,I44,'Lớp 5 - Phân công'!$AB$14:$AB$262,"&lt;&gt;Hủy")&gt;0,"",IF(AR44="Ngày",AS44,IF(AR44="Tuần",AS44/5,"")))))</f>
        <v>#REF!</v>
      </c>
      <c r="AJ44" s="477" t="str">
        <f>IF(AL44="Chưa xếp lịch","Chưa xếp lịch",IF(AL44="Định kỳ",IF(AM44="","Thiếu chu kỳ","Theo chu kỳ"),IF(AL44="Khi phát sinh",IF(COUNTIFS('Lớp 5 - Phân công'!$J$14:$J$262,$I44,'Lớp 5 - Phân công'!$AB$14:$AB$262,"&lt;&gt;Hủy")=0,"Khi phát sinh – chờ việc con","Khi phát sinh – theo ngày con"),IF(I44="","",LET(n,COUNTIFS('Lớp 5 - Phân công'!$J$14:$J$262,$I44,'Lớp 5 - Phân công'!$AB$14:$AB$262,"&lt;&gt;Hủy"),cs,IFERROR(MINIFS('Lớp 5 - Phân công'!$AD$14:$AD$262,'Lớp 5 - Phân công'!$J$14:$J$262,$I44,'Lớp 5 - Phân công'!$AB$14:$AB$262,"&lt;&gt;Hủy",'Lớp 5 - Phân công'!$AD$14:$AD$262,"&gt;0"),0),ce,IFERROR(MAXIFS('Lớp 5 - Phân công'!$AE$14:$AE$262,'Lớp 5 - Phân công'!$J$14:$J$262,$I44,'Lớp 5 - Phân công'!$AB$14:$AB$262,"&lt;&gt;Hủy",'Lớp 5 - Phân công'!$AE$14:$AE$262,"&gt;0"),0),ps,#REF!,pe,#REF!,IF(OR(AC44="",AD44=""),"Thiếu ngày L4",IF(n=0,"Chưa có L5",IF(OR(cs=0,ce=0),"Thiếu ngày L5",IF(OR(ps="",pe=""),"Thiếu ngày kế hoạch gốc L4",IF(OR(cs&lt;ps,ce&gt;pe),"Cảnh báo: Con vượt khung kế hoạch gốc","L5 đúng khung kế hoạch gốc"))))))))))</f>
        <v>#REF!</v>
      </c>
      <c r="AK44" s="465" t="str">
        <f>IF(OR(AU44="Thiếu tham số phân bổ",AU44="Phân bổ phải &gt; 0"),AU44,SWITCH(AL44,"Chưa xếp lịch","Chưa tính tải","Định kỳ","Theo chu kỳ","Khi phát sinh","Khi phát sinh",IF(I44="","",IF(OR(AA44="Hoàn thành",AA44="Hủy"),AA44,IF(COUNTIFS('Lớp 5 - Phân công'!$J$14:$J$262,I44,'Lớp 5 - Phân công'!$AB$14:$AB$262,"&lt;&gt;Hủy")&gt;0,"Theo dõi tải tại Lớp 5",IF(AH44="","Chưa nhập khối lượng",IF(Z44="","Thiếu người thực hiện",IF(OR(AC44="",AD44=""),"Chưa nhập đủ thời gian",IF(AG44&lt;0,"Quá hạn – còn "&amp;TEXT(MAX(0,AH44*(1-AF44)),"0.0")&amp;" giờ",LET(bd,MAX(TODAY(),AC44),kt,AD44,nguoi,Z44,tai,SUMIFS('Lớp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#REF!</v>
      </c>
      <c r="AL44" s="467" t="str">
        <f t="shared" ref="AL44:AO44" si="118">#REF!</f>
        <v>#REF!</v>
      </c>
      <c r="AM44" s="469" t="str">
        <f t="shared" si="118"/>
        <v>#REF!</v>
      </c>
      <c r="AN44" s="470" t="str">
        <f t="shared" si="118"/>
        <v>#REF!</v>
      </c>
      <c r="AO44" s="470" t="str">
        <f t="shared" si="118"/>
        <v>#REF!</v>
      </c>
      <c r="AP44" s="471" t="str">
        <f t="shared" si="18"/>
        <v>#REF!</v>
      </c>
      <c r="AQ44" s="469" t="str">
        <f t="shared" si="19"/>
        <v>#REF!</v>
      </c>
      <c r="AR44" s="475" t="str">
        <f t="shared" ref="AR44:AS44" si="119">#REF!</f>
        <v>#REF!</v>
      </c>
      <c r="AS44" s="476" t="str">
        <f t="shared" si="119"/>
        <v>#REF!</v>
      </c>
      <c r="AT44" s="478" t="str">
        <f>IF(AL44&lt;&gt;"Có thời hạn","",IF(OR(I44="",AH44="",AA44="Hoàn thành",AA44="Hủy",COUNTIFS('Lớp 5 - Phân công'!$J$14:$J$262,I44,'Lớp 5 - Phân công'!$AB$14:$AB$262,"&lt;&gt;Hủy")&gt;0),"",LET(canNgay,MAX(0,AH44*(1-AF44))/MAX(1,AG44),IF(AR44="Ngày",canNgay,IF(AR44="Tuần",canNgay*5,"")))))</f>
        <v>#REF!</v>
      </c>
      <c r="AU44" s="465" t="str">
        <f>IF(I44="","",IF(COUNTIFS('Lớp 5 - Phân công'!$J$14:$J$262,I44,'Lớp 5 - Phân công'!$AB$14:$AB$262,"&lt;&gt;Hủy")&gt;0,"Theo dõi phân bổ tại Lớp 5",IF(OR(AA44="Hoàn thành",AA44="Hủy"),AA44,IF(AH44="","Thiếu tổng giờ",IF(OR(AR44="",AS44=""),"Thiếu tham số phân bổ",IF(AS44&lt;=0,"Phân bổ phải &gt; 0",IF(AL44&lt;&gt;"Có thời hạn","Đã có phân bổ",IF(AT44="","Chưa đủ dữ liệu hạn",IF(AS44&gt;=AT44,"Đủ phân bổ theo "&amp;LOWER(AR44),"Thiếu "&amp;TEXT(AT44-AS44,"0.0")&amp;" giờ/"&amp;LOWER(AR44))))))))))</f>
        <v>#REF!</v>
      </c>
      <c r="AV44" s="465" t="str">
        <f t="shared" si="20"/>
        <v>#REF!</v>
      </c>
      <c r="AW44" s="479" t="str">
        <f t="shared" si="120"/>
        <v>#REF!</v>
      </c>
    </row>
    <row r="45" ht="15.75" customHeight="1">
      <c r="A45" s="424" t="str">
        <f t="shared" si="11"/>
        <v>#REF!</v>
      </c>
      <c r="B45" s="425" t="str">
        <f t="shared" ref="B45:C45" si="121">#REF!</f>
        <v>#REF!</v>
      </c>
      <c r="C45" s="427" t="str">
        <f t="shared" si="121"/>
        <v>#REF!</v>
      </c>
      <c r="D45" s="499" t="str">
        <f t="shared" ref="D45:E45" si="122">AF45</f>
        <v>#REF!</v>
      </c>
      <c r="E45" s="501" t="str">
        <f t="shared" si="122"/>
        <v>#REF!</v>
      </c>
      <c r="F45" s="431" t="str">
        <f t="shared" ref="F45:G45" si="123">S45</f>
        <v>#REF!</v>
      </c>
      <c r="G45" s="431" t="str">
        <f t="shared" si="123"/>
        <v>#REF!</v>
      </c>
      <c r="H45" s="432" t="str">
        <f>IF(B45="","",IF(COUNTIF('Lớp 5 - Phân công'!$J$14:$J$262,I45)&gt;0,"Có","Không"))</f>
        <v>#REF!</v>
      </c>
      <c r="I45" s="434" t="str">
        <f t="shared" ref="I45:J45" si="124">#REF!</f>
        <v>#REF!</v>
      </c>
      <c r="J45" s="432" t="str">
        <f t="shared" si="124"/>
        <v>#REF!</v>
      </c>
      <c r="K45" s="436" t="str">
        <f t="array" ref="K45">IFERROR(INDEX('Lớp 3 - Công việc chính'!$J$14:$J$73,MATCH(J45,'Lớp 3 - Công việc chính'!$I$14:$I$73,0)),"")</f>
        <v/>
      </c>
      <c r="L45" s="438" t="str">
        <f t="array" ref="L45">IFERROR(INDEX('Lớp 3 - Công việc chính'!$K$14:$K$73,MATCH(J45,'Lớp 3 - Công việc chính'!$I$14:$I$73,0)),"")</f>
        <v/>
      </c>
      <c r="M45" s="439" t="str">
        <f t="array" ref="M45">IFERROR(INDEX('Lớp 3 - Công việc chính'!$L$14:$L$73,MATCH(J45,'Lớp 3 - Công việc chính'!$I$14:$I$73,0)),"")</f>
        <v/>
      </c>
      <c r="N45" s="439" t="str">
        <f t="array" ref="N45">IFERROR(INDEX('Lớp 3 - Công việc chính'!$M$14:$M$73,MATCH(J45,'Lớp 3 - Công việc chính'!$I$14:$I$73,0)),"")</f>
        <v/>
      </c>
      <c r="O45" s="440" t="str">
        <f t="shared" ref="O45:R45" si="125">B45</f>
        <v>#REF!</v>
      </c>
      <c r="P45" s="441" t="str">
        <f t="shared" si="125"/>
        <v>#REF!</v>
      </c>
      <c r="Q45" s="442" t="str">
        <f t="shared" si="125"/>
        <v>#REF!</v>
      </c>
      <c r="R45" s="443" t="str">
        <f t="shared" si="125"/>
        <v>#REF!</v>
      </c>
      <c r="S45" s="445" t="str">
        <f>IF($I45="","",LET(n,COUNTIFS('Lớp 5 - Phân công'!$J$14:$J$262,$I45,'Lớp 5 - Phân công'!$AB$14:$AB$262,"&lt;&gt;Hủy"),child,IFERROR(MAXIFS('Lớp 5 - Phân công'!$AE$14:$AE$262,'Lớp 5 - Phân công'!$J$14:$J$262,$I45,'Lớp 5 - Phân công'!$AB$14:$AB$262,"&lt;&gt;Hủy",'Lớp 5 - Phân công'!$AE$14:$AE$262,"&gt;0"),0),plan,#REF!,emergent,LOWER(TRIM(#REF!))="khi phát sinh",IF(n=0,IF(emergent,"",plan),IF(child=0,IF(emergent,"",plan),IF(OR(emergent,plan=""),child,MAX(plan,child))))))</f>
        <v>#REF!</v>
      </c>
      <c r="T45" s="447" t="str">
        <f>IF($I45="","",LET(n,COUNTIFS('Lớp 5 - Phân công'!$J$14:$J$262,$I45,'Lớp 5 - Phân công'!$AB$14:$AB$262,"&lt;&gt;Hủy"),child,IFERROR(MINIFS('Lớp 5 - Phân công'!$AD$14:$AD$262,'Lớp 5 - Phân công'!$J$14:$J$262,$I45,'Lớp 5 - Phân công'!$AB$14:$AB$262,"&lt;&gt;Hủy",'Lớp 5 - Phân công'!$AD$14:$AD$262,"&gt;0"),0),plan,#REF!,emergent,LOWER(TRIM(#REF!))="khi phát sinh",IF(n=0,IF(emergent,"",plan),IF(child=0,IF(emergent,"",plan),IF(OR(emergent,plan=""),child,MIN(plan,child))))))</f>
        <v>#REF!</v>
      </c>
      <c r="U45" s="432" t="str">
        <f t="shared" si="15"/>
        <v>#REF!</v>
      </c>
      <c r="V45" s="432" t="str">
        <f t="shared" ref="V45:W45" si="126">#REF!</f>
        <v>#REF!</v>
      </c>
      <c r="W45" s="432" t="str">
        <f t="shared" si="126"/>
        <v>#REF!</v>
      </c>
      <c r="X45" s="450" t="str">
        <f t="array" ref="X45">IFERROR(INDEX('Lớp 3 - Công việc chính'!$W$14:$W$73,MATCH(J45,'Lớp 3 - Công việc chính'!$I$14:$I$73,0)),"")</f>
        <v/>
      </c>
      <c r="Y45" s="432" t="str">
        <f t="shared" ref="Y45:AB45" si="127">#REF!</f>
        <v>#REF!</v>
      </c>
      <c r="Z45" s="432" t="str">
        <f t="shared" si="127"/>
        <v>#REF!</v>
      </c>
      <c r="AA45" s="425" t="str">
        <f t="shared" si="127"/>
        <v>#REF!</v>
      </c>
      <c r="AB45" s="441" t="str">
        <f t="shared" si="127"/>
        <v>#REF!</v>
      </c>
      <c r="AC45" s="447" t="str">
        <f t="shared" si="16"/>
        <v>#REF!</v>
      </c>
      <c r="AD45" s="445" t="str">
        <f t="shared" si="17"/>
        <v>#REF!</v>
      </c>
      <c r="AE45" s="457" t="str">
        <f>IF(AL45&lt;&gt;"Có thời hạn","",IF(OR(AC45="",AD45=""),"",IF(AD45&lt;AC45,"",_xlfn.NETWORKDAYS.INTL(AC45,AD45,11,'Ngày nghỉ lễ'!$A$5:$A$80))))</f>
        <v>#REF!</v>
      </c>
      <c r="AF45" s="458" t="str">
        <f>IF(I45="","",IF(L45="Công việc khác","",IF(OR(AA45="Chưa lên lịch",AA45="Đã lên lịch",AA45="Hủy"),"",IF(COUNTIFS('Lớp 5 - Phân công'!$J$14:$J$262,I45,'Lớp 5 - Phân công'!$AB$14:$AB$262,"&lt;&gt;",'Lớp 5 - Phân công'!$AB$14:$AB$262,"&lt;&gt;Hủy",'Lớp 5 - Phân công'!$AB$14:$AB$262,"&lt;&gt;Chưa lên lịch",'Lớp 5 - Phân công'!$AB$14:$AB$262,"&lt;&gt;Đã lên lịch")&gt;0,SUMIFS('Lớp 5 - Phân công'!$AG$14:$AG$262,'Lớp 5 - Phân công'!$J$14:$J$262,I45,'Lớp 5 - Phân công'!$AB$14:$AB$262,"&lt;&gt;",'Lớp 5 - Phân công'!$AB$14:$AB$262,"&lt;&gt;Hủy",'Lớp 5 - Phân công'!$AB$14:$AB$262,"&lt;&gt;Chưa lên lịch",'Lớp 5 - Phân công'!$AB$14:$AB$262,"&lt;&gt;Đã lên lịch")/COUNTIFS('Lớp 5 - Phân công'!$J$14:$J$262,I45,'Lớp 5 - Phân công'!$AB$14:$AB$262,"&lt;&gt;",'Lớp 5 - Phân công'!$AB$14:$AB$262,"&lt;&gt;Hủy",'Lớp 5 - Phân công'!$AB$14:$AB$262,"&lt;&gt;Chưa lên lịch",'Lớp 5 - Phân công'!$AB$14:$AB$262,"&lt;&gt;Đã lên lịch"),IF(AA45="Hoàn thành",1,0)))))</f>
        <v>#REF!</v>
      </c>
      <c r="AG45" s="461" t="str">
        <f>IF(AL45&lt;&gt;"Có thời hạn","",IF(OR(I45="",AC45="",AD45=""),"",IF(OR(AA45="Hoàn thành",AA45="Hủy"),0,IF(AD45&lt;TODAY(),-_xlfn.NETWORKDAYS.INTL(AD45,TODAY()-1,11,'Ngày nghỉ lễ'!$A$5:$A$80),MAX(0,_xlfn.NETWORKDAYS.INTL(MAX(TODAY()+1,AC45),AD45,11,'Ngày nghỉ lễ'!$A$5:$A$80))))))</f>
        <v>#REF!</v>
      </c>
      <c r="AH45" s="466" t="str">
        <f>IF($I45="","",LET(n,COUNTIFS('Lớp 5 - Phân công'!$J$14:$J$262,$I45,'Lớp 5 - Phân công'!$AB$14:$AB$262,"&lt;&gt;Hủy"),du,COUNTIFS('Lớp 5 - Phân công'!$J$14:$J$262,$I45,'Lớp 5 - Phân công'!$AB$14:$AB$262,"&lt;&gt;Hủy",'Lớp 5 - Phân công'!$AI$14:$AI$262,"&lt;&gt;"),IF(n=0,#REF!,IF(du&lt;n,"",SUMIFS('Lớp 5 - Phân công'!$AI$14:$AI$262,'Lớp 5 - Phân công'!$J$14:$J$262,$I45,'Lớp 5 - Phân công'!$AB$14:$AB$262,"&lt;&gt;Hủy")))))</f>
        <v>#REF!</v>
      </c>
      <c r="AI45" s="468" t="str">
        <f>IF(I45="","",IF(OR(AA45="Hoàn thành",AA45="Hủy"),"",IF(COUNTIFS('Lớp 5 - Phân công'!$J$14:$J$262,I45,'Lớp 5 - Phân công'!$AB$14:$AB$262,"&lt;&gt;Hủy")&gt;0,"",IF(AR45="Ngày",AS45,IF(AR45="Tuần",AS45/5,"")))))</f>
        <v>#REF!</v>
      </c>
      <c r="AJ45" s="477" t="str">
        <f>IF(AL45="Chưa xếp lịch","Chưa xếp lịch",IF(AL45="Định kỳ",IF(AM45="","Thiếu chu kỳ","Theo chu kỳ"),IF(AL45="Khi phát sinh",IF(COUNTIFS('Lớp 5 - Phân công'!$J$14:$J$262,$I45,'Lớp 5 - Phân công'!$AB$14:$AB$262,"&lt;&gt;Hủy")=0,"Khi phát sinh – chờ việc con","Khi phát sinh – theo ngày con"),IF(I45="","",LET(n,COUNTIFS('Lớp 5 - Phân công'!$J$14:$J$262,$I45,'Lớp 5 - Phân công'!$AB$14:$AB$262,"&lt;&gt;Hủy"),cs,IFERROR(MINIFS('Lớp 5 - Phân công'!$AD$14:$AD$262,'Lớp 5 - Phân công'!$J$14:$J$262,$I45,'Lớp 5 - Phân công'!$AB$14:$AB$262,"&lt;&gt;Hủy",'Lớp 5 - Phân công'!$AD$14:$AD$262,"&gt;0"),0),ce,IFERROR(MAXIFS('Lớp 5 - Phân công'!$AE$14:$AE$262,'Lớp 5 - Phân công'!$J$14:$J$262,$I45,'Lớp 5 - Phân công'!$AB$14:$AB$262,"&lt;&gt;Hủy",'Lớp 5 - Phân công'!$AE$14:$AE$262,"&gt;0"),0),ps,#REF!,pe,#REF!,IF(OR(AC45="",AD45=""),"Thiếu ngày L4",IF(n=0,"Chưa có L5",IF(OR(cs=0,ce=0),"Thiếu ngày L5",IF(OR(ps="",pe=""),"Thiếu ngày kế hoạch gốc L4",IF(OR(cs&lt;ps,ce&gt;pe),"Cảnh báo: Con vượt khung kế hoạch gốc","L5 đúng khung kế hoạch gốc"))))))))))</f>
        <v>#REF!</v>
      </c>
      <c r="AK45" s="465" t="str">
        <f>IF(OR(AU45="Thiếu tham số phân bổ",AU45="Phân bổ phải &gt; 0"),AU45,SWITCH(AL45,"Chưa xếp lịch","Chưa tính tải","Định kỳ","Theo chu kỳ","Khi phát sinh","Khi phát sinh",IF(I45="","",IF(OR(AA45="Hoàn thành",AA45="Hủy"),AA45,IF(COUNTIFS('Lớp 5 - Phân công'!$J$14:$J$262,I45,'Lớp 5 - Phân công'!$AB$14:$AB$262,"&lt;&gt;Hủy")&gt;0,"Theo dõi tải tại Lớp 5",IF(AH45="","Chưa nhập khối lượng",IF(Z45="","Thiếu người thực hiện",IF(OR(AC45="",AD45=""),"Chưa nhập đủ thời gian",IF(AG45&lt;0,"Quá hạn – còn "&amp;TEXT(MAX(0,AH45*(1-AF45)),"0.0")&amp;" giờ",LET(bd,MAX(TODAY(),AC45),kt,AD45,nguoi,Z45,tai,SUMIFS('Lớp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#REF!</v>
      </c>
      <c r="AL45" s="467" t="str">
        <f t="shared" ref="AL45:AO45" si="128">#REF!</f>
        <v>#REF!</v>
      </c>
      <c r="AM45" s="469" t="str">
        <f t="shared" si="128"/>
        <v>#REF!</v>
      </c>
      <c r="AN45" s="470" t="str">
        <f t="shared" si="128"/>
        <v>#REF!</v>
      </c>
      <c r="AO45" s="470" t="str">
        <f t="shared" si="128"/>
        <v>#REF!</v>
      </c>
      <c r="AP45" s="471" t="str">
        <f t="shared" si="18"/>
        <v>#REF!</v>
      </c>
      <c r="AQ45" s="469" t="str">
        <f t="shared" si="19"/>
        <v>#REF!</v>
      </c>
      <c r="AR45" s="475" t="str">
        <f t="shared" ref="AR45:AS45" si="129">#REF!</f>
        <v>#REF!</v>
      </c>
      <c r="AS45" s="476" t="str">
        <f t="shared" si="129"/>
        <v>#REF!</v>
      </c>
      <c r="AT45" s="478" t="str">
        <f>IF(AL45&lt;&gt;"Có thời hạn","",IF(OR(I45="",AH45="",AA45="Hoàn thành",AA45="Hủy",COUNTIFS('Lớp 5 - Phân công'!$J$14:$J$262,I45,'Lớp 5 - Phân công'!$AB$14:$AB$262,"&lt;&gt;Hủy")&gt;0),"",LET(canNgay,MAX(0,AH45*(1-AF45))/MAX(1,AG45),IF(AR45="Ngày",canNgay,IF(AR45="Tuần",canNgay*5,"")))))</f>
        <v>#REF!</v>
      </c>
      <c r="AU45" s="465" t="str">
        <f>IF(I45="","",IF(COUNTIFS('Lớp 5 - Phân công'!$J$14:$J$262,I45,'Lớp 5 - Phân công'!$AB$14:$AB$262,"&lt;&gt;Hủy")&gt;0,"Theo dõi phân bổ tại Lớp 5",IF(OR(AA45="Hoàn thành",AA45="Hủy"),AA45,IF(AH45="","Thiếu tổng giờ",IF(OR(AR45="",AS45=""),"Thiếu tham số phân bổ",IF(AS45&lt;=0,"Phân bổ phải &gt; 0",IF(AL45&lt;&gt;"Có thời hạn","Đã có phân bổ",IF(AT45="","Chưa đủ dữ liệu hạn",IF(AS45&gt;=AT45,"Đủ phân bổ theo "&amp;LOWER(AR45),"Thiếu "&amp;TEXT(AT45-AS45,"0.0")&amp;" giờ/"&amp;LOWER(AR45))))))))))</f>
        <v>#REF!</v>
      </c>
      <c r="AV45" s="465" t="str">
        <f t="shared" si="20"/>
        <v>#REF!</v>
      </c>
      <c r="AW45" s="479" t="str">
        <f t="shared" si="120"/>
        <v>#REF!</v>
      </c>
    </row>
    <row r="46" ht="15.75" customHeight="1">
      <c r="A46" s="424">
        <f t="shared" si="11"/>
        <v>33</v>
      </c>
      <c r="B46" s="425" t="str">
        <f>'Trung tâm nhập liệu'!F144</f>
        <v>BC về NLSX &amp; cung ứng hàng hoá </v>
      </c>
      <c r="C46" s="427" t="str">
        <f>'Trung tâm nhập liệu'!M144</f>
        <v>P2</v>
      </c>
      <c r="D46" s="528">
        <f t="shared" ref="D46:E46" si="130">AF46</f>
        <v>0</v>
      </c>
      <c r="E46" s="501">
        <f t="shared" si="130"/>
        <v>54</v>
      </c>
      <c r="F46" s="431">
        <f t="shared" ref="F46:G46" si="131">S46</f>
        <v>46310</v>
      </c>
      <c r="G46" s="431">
        <f t="shared" si="131"/>
        <v>46237</v>
      </c>
      <c r="H46" s="432" t="str">
        <f>IF(B46="","",IF(COUNTIF('Lớp 5 - Phân công'!$J$14:$J$262,I46)&gt;0,"Có","Không"))</f>
        <v>Không</v>
      </c>
      <c r="I46" s="434" t="str">
        <f>'Trung tâm nhập liệu'!B144</f>
        <v>HHL4DL15</v>
      </c>
      <c r="J46" s="432" t="str">
        <f>'Trung tâm nhập liệu'!D144</f>
        <v>HHL3DL03</v>
      </c>
      <c r="K46" s="436">
        <f t="array" ref="K46">IFERROR(INDEX('Lớp 3 - Công việc chính'!$J$14:$J$73,MATCH(J46,'Lớp 3 - Công việc chính'!$I$14:$I$73,0)),"")</f>
        <v>2026</v>
      </c>
      <c r="L46" s="438" t="str">
        <f t="array" ref="L46">IFERROR(INDEX('Lớp 3 - Công việc chính'!$K$14:$K$73,MATCH(J46,'Lớp 3 - Công việc chính'!$I$14:$I$73,0)),"")</f>
        <v>Cấp phòng ban</v>
      </c>
      <c r="M46" s="439" t="str">
        <f t="array" ref="M46">IFERROR(INDEX('Lớp 3 - Công việc chính'!$L$14:$L$73,MATCH(J46,'Lớp 3 - Công việc chính'!$I$14:$I$73,0)),"")</f>
        <v>Hệ thống/Vận hành</v>
      </c>
      <c r="N46" s="439" t="str">
        <f t="array" ref="N46">IFERROR(INDEX('Lớp 3 - Công việc chính'!$M$14:$M$73,MATCH(J46,'Lớp 3 - Công việc chính'!$I$14:$I$73,0)),"")</f>
        <v>XDHT ngưỡng điều tiết &amp; cung ứng hàng hoá </v>
      </c>
      <c r="O46" s="440" t="str">
        <f t="shared" ref="O46:R46" si="132">B46</f>
        <v>BC về NLSX &amp; cung ứng hàng hoá </v>
      </c>
      <c r="P46" s="441" t="str">
        <f t="shared" si="132"/>
        <v>P2</v>
      </c>
      <c r="Q46" s="442">
        <f t="shared" si="132"/>
        <v>0</v>
      </c>
      <c r="R46" s="443">
        <f t="shared" si="132"/>
        <v>54</v>
      </c>
      <c r="S46" s="445">
        <f>IF($I46="","",LET(n,COUNTIFS('Lớp 5 - Phân công'!$J$14:$J$262,$I46,'Lớp 5 - Phân công'!$AB$14:$AB$262,"&lt;&gt;Hủy"),child,IFERROR(MAXIFS('Lớp 5 - Phân công'!$AE$14:$AE$262,'Lớp 5 - Phân công'!$J$14:$J$262,$I46,'Lớp 5 - Phân công'!$AB$14:$AB$262,"&lt;&gt;Hủy",'Lớp 5 - Phân công'!$AE$14:$AE$262,"&gt;0"),0),plan,'Trung tâm nhập liệu'!Q144,emergent,LOWER(TRIM('Trung tâm nhập liệu'!O144))="khi phát sinh",IF(n=0,IF(emergent,"",plan),IF(child=0,IF(emergent,"",plan),IF(OR(emergent,plan=""),child,MAX(plan,child))))))</f>
        <v>46310</v>
      </c>
      <c r="T46" s="447">
        <f>IF($I46="","",LET(n,COUNTIFS('Lớp 5 - Phân công'!$J$14:$J$262,$I46,'Lớp 5 - Phân công'!$AB$14:$AB$262,"&lt;&gt;Hủy"),child,IFERROR(MINIFS('Lớp 5 - Phân công'!$AD$14:$AD$262,'Lớp 5 - Phân công'!$J$14:$J$262,$I46,'Lớp 5 - Phân công'!$AB$14:$AB$262,"&lt;&gt;Hủy",'Lớp 5 - Phân công'!$AD$14:$AD$262,"&gt;0"),0),plan,'Trung tâm nhập liệu'!R144,emergent,LOWER(TRIM('Trung tâm nhập liệu'!O144))="khi phát sinh",IF(n=0,IF(emergent,"",plan),IF(child=0,IF(emergent,"",plan),IF(OR(emergent,plan=""),child,MIN(plan,child))))))</f>
        <v>46237</v>
      </c>
      <c r="U46" s="432" t="str">
        <f t="shared" si="15"/>
        <v>Không</v>
      </c>
      <c r="V46" s="432" t="str">
        <f>'Trung tâm nhập liệu'!G144</f>
        <v>Báo cáo năng lực sản xuất và cung ứng hàng hóa được chuẩn hóa, cập nhật.</v>
      </c>
      <c r="W46" s="432" t="str">
        <f>'Trung tâm nhập liệu'!H144</f>
        <v/>
      </c>
      <c r="X46" s="450" t="str">
        <f t="array" ref="X46">IFERROR(INDEX('Lớp 3 - Công việc chính'!$W$14:$W$73,MATCH(J46,'Lớp 3 - Công việc chính'!$I$14:$I$73,0)),"")</f>
        <v>Dữ liệu điều hành</v>
      </c>
      <c r="Y46" s="432" t="str">
        <f>'Trung tâm nhập liệu'!J144</f>
        <v>GĐ BOC</v>
      </c>
      <c r="Z46" s="432" t="str">
        <f>'Trung tâm nhập liệu'!K144</f>
        <v>Em Đại</v>
      </c>
      <c r="AA46" s="425" t="str">
        <f>'Trung tâm nhập liệu'!L144</f>
        <v>Chưa bắt đầu</v>
      </c>
      <c r="AB46" s="441" t="str">
        <f>'Trung tâm nhập liệu'!M144</f>
        <v>P2</v>
      </c>
      <c r="AC46" s="447">
        <f t="shared" si="16"/>
        <v>46237</v>
      </c>
      <c r="AD46" s="445">
        <f t="shared" si="17"/>
        <v>46310</v>
      </c>
      <c r="AE46" s="457">
        <f>IF(AL46&lt;&gt;"Có thời hạn","",IF(OR(AC46="",AD46=""),"",IF(AD46&lt;AC46,"",_xlfn.NETWORKDAYS.INTL(AC46,AD46,11,'Ngày nghỉ lễ'!$A$5:$A$80))))</f>
        <v>62</v>
      </c>
      <c r="AF46" s="458">
        <f>IF(I46="","",IF(L46="Công việc khác","",IF(OR(AA46="Chưa lên lịch",AA46="Đã lên lịch",AA46="Hủy"),"",IF(COUNTIFS('Lớp 5 - Phân công'!$J$14:$J$262,I46,'Lớp 5 - Phân công'!$AB$14:$AB$262,"&lt;&gt;",'Lớp 5 - Phân công'!$AB$14:$AB$262,"&lt;&gt;Hủy",'Lớp 5 - Phân công'!$AB$14:$AB$262,"&lt;&gt;Chưa lên lịch",'Lớp 5 - Phân công'!$AB$14:$AB$262,"&lt;&gt;Đã lên lịch")&gt;0,SUMIFS('Lớp 5 - Phân công'!$AG$14:$AG$262,'Lớp 5 - Phân công'!$J$14:$J$262,I46,'Lớp 5 - Phân công'!$AB$14:$AB$262,"&lt;&gt;",'Lớp 5 - Phân công'!$AB$14:$AB$262,"&lt;&gt;Hủy",'Lớp 5 - Phân công'!$AB$14:$AB$262,"&lt;&gt;Chưa lên lịch",'Lớp 5 - Phân công'!$AB$14:$AB$262,"&lt;&gt;Đã lên lịch")/COUNTIFS('Lớp 5 - Phân công'!$J$14:$J$262,I46,'Lớp 5 - Phân công'!$AB$14:$AB$262,"&lt;&gt;",'Lớp 5 - Phân công'!$AB$14:$AB$262,"&lt;&gt;Hủy",'Lớp 5 - Phân công'!$AB$14:$AB$262,"&lt;&gt;Chưa lên lịch",'Lớp 5 - Phân công'!$AB$14:$AB$262,"&lt;&gt;Đã lên lịch"),IF(AA46="Hoàn thành",1,0)))))</f>
        <v>0</v>
      </c>
      <c r="AG46" s="461">
        <f>IF(AL46&lt;&gt;"Có thời hạn","",IF(OR(I46="",AC46="",AD46=""),"",IF(OR(AA46="Hoàn thành",AA46="Hủy"),0,IF(AD46&lt;TODAY(),-_xlfn.NETWORKDAYS.INTL(AD46,TODAY()-1,11,'Ngày nghỉ lễ'!$A$5:$A$80),MAX(0,_xlfn.NETWORKDAYS.INTL(MAX(TODAY()+1,AC46),AD46,11,'Ngày nghỉ lễ'!$A$5:$A$80))))))</f>
        <v>54</v>
      </c>
      <c r="AH46" s="466">
        <f>IF($I46="","",LET(n,COUNTIFS('Lớp 5 - Phân công'!$J$14:$J$262,$I46,'Lớp 5 - Phân công'!$AB$14:$AB$262,"&lt;&gt;Hủy"),du,COUNTIFS('Lớp 5 - Phân công'!$J$14:$J$262,$I46,'Lớp 5 - Phân công'!$AB$14:$AB$262,"&lt;&gt;Hủy",'Lớp 5 - Phân công'!$AI$14:$AI$262,"&lt;&gt;"),IF(n=0,'Trung tâm nhập liệu'!T144,IF(du&lt;n,"",SUMIFS('Lớp 5 - Phân công'!$AI$14:$AI$262,'Lớp 5 - Phân công'!$J$14:$J$262,$I46,'Lớp 5 - Phân công'!$AB$14:$AB$262,"&lt;&gt;Hủy")))))</f>
        <v>160</v>
      </c>
      <c r="AI46" s="468" t="str">
        <f>IF(I46="","",IF(OR(AA46="Hoàn thành",AA46="Hủy"),"",IF(COUNTIFS('Lớp 5 - Phân công'!$J$14:$J$262,I46,'Lớp 5 - Phân công'!$AB$14:$AB$262,"&lt;&gt;Hủy")&gt;0,"",IF(AR46="Ngày",AS46,IF(AR46="Tuần",AS46/5,"")))))</f>
        <v/>
      </c>
      <c r="AJ46" s="477" t="str">
        <f>IF(AL46="Chưa xếp lịch","Chưa xếp lịch",IF(AL46="Định kỳ",IF(AM46="","Thiếu chu kỳ","Theo chu kỳ"),IF(AL46="Khi phát sinh",IF(COUNTIFS('Lớp 5 - Phân công'!$J$14:$J$262,$I46,'Lớp 5 - Phân công'!$AB$14:$AB$262,"&lt;&gt;Hủy")=0,"Khi phát sinh – chờ việc con","Khi phát sinh – theo ngày con"),IF(I46="","",LET(n,COUNTIFS('Lớp 5 - Phân công'!$J$14:$J$262,$I46,'Lớp 5 - Phân công'!$AB$14:$AB$262,"&lt;&gt;Hủy"),cs,IFERROR(MINIFS('Lớp 5 - Phân công'!$AD$14:$AD$262,'Lớp 5 - Phân công'!$J$14:$J$262,$I46,'Lớp 5 - Phân công'!$AB$14:$AB$262,"&lt;&gt;Hủy",'Lớp 5 - Phân công'!$AD$14:$AD$262,"&gt;0"),0),ce,IFERROR(MAXIFS('Lớp 5 - Phân công'!$AE$14:$AE$262,'Lớp 5 - Phân công'!$J$14:$J$262,$I46,'Lớp 5 - Phân công'!$AB$14:$AB$262,"&lt;&gt;Hủy",'Lớp 5 - Phân công'!$AE$14:$AE$262,"&gt;0"),0),ps,'Trung tâm nhập liệu'!R144,pe,'Trung tâm nhập liệu'!Q144,IF(OR(AC46="",AD46=""),"Thiếu ngày L4",IF(n=0,"Chưa có L5",IF(OR(cs=0,ce=0),"Thiếu ngày L5",IF(OR(ps="",pe=""),"Thiếu ngày kế hoạch gốc L4",IF(OR(cs&lt;ps,ce&gt;pe),"Cảnh báo: Con vượt khung kế hoạch gốc","L5 đúng khung kế hoạch gốc"))))))))))</f>
        <v>Chưa có L5</v>
      </c>
      <c r="AK46" s="465" t="str">
        <f>IF(OR(AU46="Thiếu tham số phân bổ",AU46="Phân bổ phải &gt; 0"),AU46,SWITCH(AL46,"Chưa xếp lịch","Chưa tính tải","Định kỳ","Theo chu kỳ","Khi phát sinh","Khi phát sinh",IF(I46="","",IF(OR(AA46="Hoàn thành",AA46="Hủy"),AA46,IF(COUNTIFS('Lớp 5 - Phân công'!$J$14:$J$262,I46,'Lớp 5 - Phân công'!$AB$14:$AB$262,"&lt;&gt;Hủy")&gt;0,"Theo dõi tải tại Lớp 5",IF(AH46="","Chưa nhập khối lượng",IF(Z46="","Thiếu người thực hiện",IF(OR(AC46="",AD46=""),"Chưa nhập đủ thời gian",IF(AG46&lt;0,"Quá hạn – còn "&amp;TEXT(MAX(0,AH46*(1-AF46)),"0.0")&amp;" giờ",LET(bd,MAX(TODAY(),AC46),kt,AD46,nguoi,Z46,tai,SUMIFS('Lớp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Thiếu tham số phân bổ</v>
      </c>
      <c r="AL46" s="467" t="str">
        <f>'Trung tâm nhập liệu'!O144</f>
        <v>Có thời hạn</v>
      </c>
      <c r="AM46" s="469" t="str">
        <f>'Trung tâm nhập liệu'!P144</f>
        <v/>
      </c>
      <c r="AN46" s="470" t="str">
        <f>'Trung tâm nhập liệu'!S144</f>
        <v/>
      </c>
      <c r="AO46" s="470" t="str">
        <f>'Trung tâm nhập liệu'!X144</f>
        <v/>
      </c>
      <c r="AP46" s="471" t="str">
        <f t="shared" si="18"/>
        <v/>
      </c>
      <c r="AQ46" s="469" t="str">
        <f t="shared" si="19"/>
        <v/>
      </c>
      <c r="AR46" s="475" t="str">
        <f>'Trung tâm nhập liệu'!V144</f>
        <v/>
      </c>
      <c r="AS46" s="476" t="str">
        <f>'Trung tâm nhập liệu'!W144</f>
        <v/>
      </c>
      <c r="AT46" s="478" t="str">
        <f>IF(AL46&lt;&gt;"Có thời hạn","",IF(OR(I46="",AH46="",AA46="Hoàn thành",AA46="Hủy",COUNTIFS('Lớp 5 - Phân công'!$J$14:$J$262,I46,'Lớp 5 - Phân công'!$AB$14:$AB$262,"&lt;&gt;Hủy")&gt;0),"",LET(canNgay,MAX(0,AH46*(1-AF46))/MAX(1,AG46),IF(AR46="Ngày",canNgay,IF(AR46="Tuần",canNgay*5,"")))))</f>
        <v/>
      </c>
      <c r="AU46" s="465" t="str">
        <f>IF(I46="","",IF(COUNTIFS('Lớp 5 - Phân công'!$J$14:$J$262,I46,'Lớp 5 - Phân công'!$AB$14:$AB$262,"&lt;&gt;Hủy")&gt;0,"Theo dõi phân bổ tại Lớp 5",IF(OR(AA46="Hoàn thành",AA46="Hủy"),AA46,IF(AH46="","Thiếu tổng giờ",IF(OR(AR46="",AS46=""),"Thiếu tham số phân bổ",IF(AS46&lt;=0,"Phân bổ phải &gt; 0",IF(AL46&lt;&gt;"Có thời hạn","Đã có phân bổ",IF(AT46="","Chưa đủ dữ liệu hạn",IF(AS46&gt;=AT46,"Đủ phân bổ theo "&amp;LOWER(AR46),"Thiếu "&amp;TEXT(AT46-AS46,"0.0")&amp;" giờ/"&amp;LOWER(AR46))))))))))</f>
        <v>Thiếu tham số phân bổ</v>
      </c>
      <c r="AV46" s="465" t="str">
        <f t="shared" si="20"/>
        <v>OK</v>
      </c>
      <c r="AW46" s="479" t="str">
        <f>'Trung tâm nhập liệu'!Y144</f>
        <v/>
      </c>
    </row>
    <row r="47" ht="15.75" customHeight="1">
      <c r="A47" s="424">
        <f t="shared" si="11"/>
        <v>34</v>
      </c>
      <c r="B47" s="425" t="str">
        <f>'Trung tâm nhập liệu'!F145</f>
        <v>Dự án CĐS SP hiện hữu &amp; bao bì SP(QRvalueADDon)</v>
      </c>
      <c r="C47" s="427" t="str">
        <f>'Trung tâm nhập liệu'!M145</f>
        <v/>
      </c>
      <c r="D47" s="528">
        <f t="shared" ref="D47:E47" si="133">AF47</f>
        <v>0</v>
      </c>
      <c r="E47" s="501" t="str">
        <f t="shared" si="133"/>
        <v/>
      </c>
      <c r="F47" s="431" t="str">
        <f t="shared" ref="F47:G47" si="134">S47</f>
        <v/>
      </c>
      <c r="G47" s="431" t="str">
        <f t="shared" si="134"/>
        <v/>
      </c>
      <c r="H47" s="432" t="str">
        <f>IF(B47="","",IF(COUNTIF('Lớp 5 - Phân công'!$J$14:$J$262,I47)&gt;0,"Có","Không"))</f>
        <v>Không</v>
      </c>
      <c r="I47" s="434" t="str">
        <f>'Trung tâm nhập liệu'!B145</f>
        <v>HHL4DL16</v>
      </c>
      <c r="J47" s="432" t="str">
        <f>'Trung tâm nhập liệu'!D145</f>
        <v>HHL3DL12</v>
      </c>
      <c r="K47" s="436">
        <f t="array" ref="K47">IFERROR(INDEX('Lớp 3 - Công việc chính'!$J$14:$J$73,MATCH(J47,'Lớp 3 - Công việc chính'!$I$14:$I$73,0)),"")</f>
        <v>2026</v>
      </c>
      <c r="L47" s="438" t="str">
        <f t="array" ref="L47">IFERROR(INDEX('Lớp 3 - Công việc chính'!$K$14:$K$73,MATCH(J47,'Lớp 3 - Công việc chính'!$I$14:$I$73,0)),"")</f>
        <v/>
      </c>
      <c r="M47" s="439" t="str">
        <f t="array" ref="M47">IFERROR(INDEX('Lớp 3 - Công việc chính'!$L$14:$L$73,MATCH(J47,'Lớp 3 - Công việc chính'!$I$14:$I$73,0)),"")</f>
        <v/>
      </c>
      <c r="N47" s="439" t="str">
        <f t="array" ref="N47">IFERROR(INDEX('Lớp 3 - Công việc chính'!$M$14:$M$73,MATCH(J47,'Lớp 3 - Công việc chính'!$I$14:$I$73,0)),"")</f>
        <v>CĐS &amp; AI các hoạt động của BOC</v>
      </c>
      <c r="O47" s="440" t="str">
        <f t="shared" ref="O47:R47" si="135">B47</f>
        <v>Dự án CĐS SP hiện hữu &amp; bao bì SP(QRvalueADDon)</v>
      </c>
      <c r="P47" s="441" t="str">
        <f t="shared" si="135"/>
        <v/>
      </c>
      <c r="Q47" s="442">
        <f t="shared" si="135"/>
        <v>0</v>
      </c>
      <c r="R47" s="443" t="str">
        <f t="shared" si="135"/>
        <v/>
      </c>
      <c r="S47" s="445" t="str">
        <f>IF($I47="","",LET(n,COUNTIFS('Lớp 5 - Phân công'!$J$14:$J$262,$I47,'Lớp 5 - Phân công'!$AB$14:$AB$262,"&lt;&gt;Hủy"),child,IFERROR(MAXIFS('Lớp 5 - Phân công'!$AE$14:$AE$262,'Lớp 5 - Phân công'!$J$14:$J$262,$I47,'Lớp 5 - Phân công'!$AB$14:$AB$262,"&lt;&gt;Hủy",'Lớp 5 - Phân công'!$AE$14:$AE$262,"&gt;0"),0),plan,'Trung tâm nhập liệu'!Q145,emergent,LOWER(TRIM('Trung tâm nhập liệu'!O145))="khi phát sinh",IF(n=0,IF(emergent,"",plan),IF(child=0,IF(emergent,"",plan),IF(OR(emergent,plan=""),child,MAX(plan,child))))))</f>
        <v/>
      </c>
      <c r="T47" s="447" t="str">
        <f>IF($I47="","",LET(n,COUNTIFS('Lớp 5 - Phân công'!$J$14:$J$262,$I47,'Lớp 5 - Phân công'!$AB$14:$AB$262,"&lt;&gt;Hủy"),child,IFERROR(MINIFS('Lớp 5 - Phân công'!$AD$14:$AD$262,'Lớp 5 - Phân công'!$J$14:$J$262,$I47,'Lớp 5 - Phân công'!$AB$14:$AB$262,"&lt;&gt;Hủy",'Lớp 5 - Phân công'!$AD$14:$AD$262,"&gt;0"),0),plan,'Trung tâm nhập liệu'!R145,emergent,LOWER(TRIM('Trung tâm nhập liệu'!O145))="khi phát sinh",IF(n=0,IF(emergent,"",plan),IF(child=0,IF(emergent,"",plan),IF(OR(emergent,plan=""),child,MIN(plan,child))))))</f>
        <v/>
      </c>
      <c r="U47" s="432" t="str">
        <f t="shared" si="15"/>
        <v>Không</v>
      </c>
      <c r="V47" s="432" t="str">
        <f>'Trung tâm nhập liệu'!G145</f>
        <v/>
      </c>
      <c r="W47" s="432" t="str">
        <f>'Trung tâm nhập liệu'!H145</f>
        <v/>
      </c>
      <c r="X47" s="450" t="str">
        <f t="array" ref="X47">IFERROR(INDEX('Lớp 3 - Công việc chính'!$W$14:$W$73,MATCH(J47,'Lớp 3 - Công việc chính'!$I$14:$I$73,0)),"")</f>
        <v>Dữ liệu điều hành</v>
      </c>
      <c r="Y47" s="432" t="str">
        <f>'Trung tâm nhập liệu'!J145</f>
        <v>GĐ BOC</v>
      </c>
      <c r="Z47" s="432" t="str">
        <f>'Trung tâm nhập liệu'!K145</f>
        <v>Em Đại</v>
      </c>
      <c r="AA47" s="425" t="str">
        <f>'Trung tâm nhập liệu'!L145</f>
        <v/>
      </c>
      <c r="AB47" s="441" t="str">
        <f>'Trung tâm nhập liệu'!M145</f>
        <v/>
      </c>
      <c r="AC47" s="447" t="str">
        <f t="shared" si="16"/>
        <v/>
      </c>
      <c r="AD47" s="445" t="str">
        <f t="shared" si="17"/>
        <v/>
      </c>
      <c r="AE47" s="457" t="str">
        <f>IF(AL47&lt;&gt;"Có thời hạn","",IF(OR(AC47="",AD47=""),"",IF(AD47&lt;AC47,"",_xlfn.NETWORKDAYS.INTL(AC47,AD47,11,'Ngày nghỉ lễ'!$A$5:$A$80))))</f>
        <v/>
      </c>
      <c r="AF47" s="458">
        <f>IF(I47="","",IF(L47="Công việc khác","",IF(OR(AA47="Chưa lên lịch",AA47="Đã lên lịch",AA47="Hủy"),"",IF(COUNTIFS('Lớp 5 - Phân công'!$J$14:$J$262,I47,'Lớp 5 - Phân công'!$AB$14:$AB$262,"&lt;&gt;",'Lớp 5 - Phân công'!$AB$14:$AB$262,"&lt;&gt;Hủy",'Lớp 5 - Phân công'!$AB$14:$AB$262,"&lt;&gt;Chưa lên lịch",'Lớp 5 - Phân công'!$AB$14:$AB$262,"&lt;&gt;Đã lên lịch")&gt;0,SUMIFS('Lớp 5 - Phân công'!$AG$14:$AG$262,'Lớp 5 - Phân công'!$J$14:$J$262,I47,'Lớp 5 - Phân công'!$AB$14:$AB$262,"&lt;&gt;",'Lớp 5 - Phân công'!$AB$14:$AB$262,"&lt;&gt;Hủy",'Lớp 5 - Phân công'!$AB$14:$AB$262,"&lt;&gt;Chưa lên lịch",'Lớp 5 - Phân công'!$AB$14:$AB$262,"&lt;&gt;Đã lên lịch")/COUNTIFS('Lớp 5 - Phân công'!$J$14:$J$262,I47,'Lớp 5 - Phân công'!$AB$14:$AB$262,"&lt;&gt;",'Lớp 5 - Phân công'!$AB$14:$AB$262,"&lt;&gt;Hủy",'Lớp 5 - Phân công'!$AB$14:$AB$262,"&lt;&gt;Chưa lên lịch",'Lớp 5 - Phân công'!$AB$14:$AB$262,"&lt;&gt;Đã lên lịch"),IF(AA47="Hoàn thành",1,0)))))</f>
        <v>0</v>
      </c>
      <c r="AG47" s="461" t="str">
        <f>IF(AL47&lt;&gt;"Có thời hạn","",IF(OR(I47="",AC47="",AD47=""),"",IF(OR(AA47="Hoàn thành",AA47="Hủy"),0,IF(AD47&lt;TODAY(),-_xlfn.NETWORKDAYS.INTL(AD47,TODAY()-1,11,'Ngày nghỉ lễ'!$A$5:$A$80),MAX(0,_xlfn.NETWORKDAYS.INTL(MAX(TODAY()+1,AC47),AD47,11,'Ngày nghỉ lễ'!$A$5:$A$80))))))</f>
        <v/>
      </c>
      <c r="AH47" s="466" t="str">
        <f>IF($I47="","",LET(n,COUNTIFS('Lớp 5 - Phân công'!$J$14:$J$262,$I47,'Lớp 5 - Phân công'!$AB$14:$AB$262,"&lt;&gt;Hủy"),du,COUNTIFS('Lớp 5 - Phân công'!$J$14:$J$262,$I47,'Lớp 5 - Phân công'!$AB$14:$AB$262,"&lt;&gt;Hủy",'Lớp 5 - Phân công'!$AI$14:$AI$262,"&lt;&gt;"),IF(n=0,'Trung tâm nhập liệu'!T145,IF(du&lt;n,"",SUMIFS('Lớp 5 - Phân công'!$AI$14:$AI$262,'Lớp 5 - Phân công'!$J$14:$J$262,$I47,'Lớp 5 - Phân công'!$AB$14:$AB$262,"&lt;&gt;Hủy")))))</f>
        <v/>
      </c>
      <c r="AI47" s="468" t="str">
        <f>IF(I47="","",IF(OR(AA47="Hoàn thành",AA47="Hủy"),"",IF(COUNTIFS('Lớp 5 - Phân công'!$J$14:$J$262,I47,'Lớp 5 - Phân công'!$AB$14:$AB$262,"&lt;&gt;Hủy")&gt;0,"",IF(AR47="Ngày",AS47,IF(AR47="Tuần",AS47/5,"")))))</f>
        <v/>
      </c>
      <c r="AJ47" s="477" t="str">
        <f>IF(AL47="Chưa xếp lịch","Chưa xếp lịch",IF(AL47="Định kỳ",IF(AM47="","Thiếu chu kỳ","Theo chu kỳ"),IF(AL47="Khi phát sinh",IF(COUNTIFS('Lớp 5 - Phân công'!$J$14:$J$262,$I47,'Lớp 5 - Phân công'!$AB$14:$AB$262,"&lt;&gt;Hủy")=0,"Khi phát sinh – chờ việc con","Khi phát sinh – theo ngày con"),IF(I47="","",LET(n,COUNTIFS('Lớp 5 - Phân công'!$J$14:$J$262,$I47,'Lớp 5 - Phân công'!$AB$14:$AB$262,"&lt;&gt;Hủy"),cs,IFERROR(MINIFS('Lớp 5 - Phân công'!$AD$14:$AD$262,'Lớp 5 - Phân công'!$J$14:$J$262,$I47,'Lớp 5 - Phân công'!$AB$14:$AB$262,"&lt;&gt;Hủy",'Lớp 5 - Phân công'!$AD$14:$AD$262,"&gt;0"),0),ce,IFERROR(MAXIFS('Lớp 5 - Phân công'!$AE$14:$AE$262,'Lớp 5 - Phân công'!$J$14:$J$262,$I47,'Lớp 5 - Phân công'!$AB$14:$AB$262,"&lt;&gt;Hủy",'Lớp 5 - Phân công'!$AE$14:$AE$262,"&gt;0"),0),ps,'Trung tâm nhập liệu'!R145,pe,'Trung tâm nhập liệu'!Q145,IF(OR(AC47="",AD47=""),"Thiếu ngày L4",IF(n=0,"Chưa có L5",IF(OR(cs=0,ce=0),"Thiếu ngày L5",IF(OR(ps="",pe=""),"Thiếu ngày kế hoạch gốc L4",IF(OR(cs&lt;ps,ce&gt;pe),"Cảnh báo: Con vượt khung kế hoạch gốc","L5 đúng khung kế hoạch gốc"))))))))))</f>
        <v>Thiếu ngày L4</v>
      </c>
      <c r="AK47" s="465" t="str">
        <f>IF(OR(AU47="Thiếu tham số phân bổ",AU47="Phân bổ phải &gt; 0"),AU47,SWITCH(AL47,"Chưa xếp lịch","Chưa tính tải","Định kỳ","Theo chu kỳ","Khi phát sinh","Khi phát sinh",IF(I47="","",IF(OR(AA47="Hoàn thành",AA47="Hủy"),AA47,IF(COUNTIFS('Lớp 5 - Phân công'!$J$14:$J$262,I47,'Lớp 5 - Phân công'!$AB$14:$AB$262,"&lt;&gt;Hủy")&gt;0,"Theo dõi tải tại Lớp 5",IF(AH47="","Chưa nhập khối lượng",IF(Z47="","Thiếu người thực hiện",IF(OR(AC47="",AD47=""),"Chưa nhập đủ thời gian",IF(AG47&lt;0,"Quá hạn – còn "&amp;TEXT(MAX(0,AH47*(1-AF47)),"0.0")&amp;" giờ",LET(bd,MAX(TODAY(),AC47),kt,AD47,nguoi,Z47,tai,SUMIFS('Lớp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L47" s="467" t="str">
        <f>'Trung tâm nhập liệu'!O145</f>
        <v/>
      </c>
      <c r="AM47" s="469" t="str">
        <f>'Trung tâm nhập liệu'!P145</f>
        <v/>
      </c>
      <c r="AN47" s="470" t="str">
        <f>'Trung tâm nhập liệu'!S145</f>
        <v/>
      </c>
      <c r="AO47" s="470" t="str">
        <f>'Trung tâm nhập liệu'!X145</f>
        <v/>
      </c>
      <c r="AP47" s="471" t="str">
        <f t="shared" si="18"/>
        <v/>
      </c>
      <c r="AQ47" s="469" t="str">
        <f t="shared" si="19"/>
        <v/>
      </c>
      <c r="AR47" s="475" t="str">
        <f>'Trung tâm nhập liệu'!V145</f>
        <v/>
      </c>
      <c r="AS47" s="476" t="str">
        <f>'Trung tâm nhập liệu'!W145</f>
        <v/>
      </c>
      <c r="AT47" s="478" t="str">
        <f>IF(AL47&lt;&gt;"Có thời hạn","",IF(OR(I47="",AH47="",AA47="Hoàn thành",AA47="Hủy",COUNTIFS('Lớp 5 - Phân công'!$J$14:$J$262,I47,'Lớp 5 - Phân công'!$AB$14:$AB$262,"&lt;&gt;Hủy")&gt;0),"",LET(canNgay,MAX(0,AH47*(1-AF47))/MAX(1,AG47),IF(AR47="Ngày",canNgay,IF(AR47="Tuần",canNgay*5,"")))))</f>
        <v/>
      </c>
      <c r="AU47" s="465" t="str">
        <f>IF(I47="","",IF(COUNTIFS('Lớp 5 - Phân công'!$J$14:$J$262,I47,'Lớp 5 - Phân công'!$AB$14:$AB$262,"&lt;&gt;Hủy")&gt;0,"Theo dõi phân bổ tại Lớp 5",IF(OR(AA47="Hoàn thành",AA47="Hủy"),AA47,IF(AH47="","Thiếu tổng giờ",IF(OR(AR47="",AS47=""),"Thiếu tham số phân bổ",IF(AS47&lt;=0,"Phân bổ phải &gt; 0",IF(AL47&lt;&gt;"Có thời hạn","Đã có phân bổ",IF(AT47="","Chưa đủ dữ liệu hạn",IF(AS47&gt;=AT47,"Đủ phân bổ theo "&amp;LOWER(AR47),"Thiếu "&amp;TEXT(AT47-AS47,"0.0")&amp;" giờ/"&amp;LOWER(AR47))))))))))</f>
        <v>Thiếu tổng giờ</v>
      </c>
      <c r="AV47" s="465" t="str">
        <f t="shared" si="20"/>
        <v>Thiếu trạng thái</v>
      </c>
      <c r="AW47" s="479" t="str">
        <f>'Trung tâm nhập liệu'!Y145</f>
        <v/>
      </c>
    </row>
    <row r="48" ht="15.75" customHeight="1">
      <c r="A48" s="424">
        <f t="shared" si="11"/>
        <v>35</v>
      </c>
      <c r="B48" s="425" t="str">
        <f>'Trung tâm nhập liệu'!F146</f>
        <v>Số hoá DL quản trị all BOC &amp; all PB</v>
      </c>
      <c r="C48" s="427" t="str">
        <f>'Trung tâm nhập liệu'!M146</f>
        <v/>
      </c>
      <c r="D48" s="528">
        <f t="shared" ref="D48:E48" si="136">AF48</f>
        <v>0</v>
      </c>
      <c r="E48" s="501" t="str">
        <f t="shared" si="136"/>
        <v/>
      </c>
      <c r="F48" s="431" t="str">
        <f t="shared" ref="F48:G48" si="137">S48</f>
        <v/>
      </c>
      <c r="G48" s="431" t="str">
        <f t="shared" si="137"/>
        <v/>
      </c>
      <c r="H48" s="432" t="str">
        <f>IF(B48="","",IF(COUNTIF('Lớp 5 - Phân công'!$J$14:$J$262,I48)&gt;0,"Có","Không"))</f>
        <v>Không</v>
      </c>
      <c r="I48" s="434" t="str">
        <f>'Trung tâm nhập liệu'!B146</f>
        <v>HHL4DL17</v>
      </c>
      <c r="J48" s="432" t="str">
        <f>'Trung tâm nhập liệu'!D146</f>
        <v>HHL3DL12</v>
      </c>
      <c r="K48" s="436">
        <f t="array" ref="K48">IFERROR(INDEX('Lớp 3 - Công việc chính'!$J$14:$J$73,MATCH(J48,'Lớp 3 - Công việc chính'!$I$14:$I$73,0)),"")</f>
        <v>2026</v>
      </c>
      <c r="L48" s="438" t="str">
        <f t="array" ref="L48">IFERROR(INDEX('Lớp 3 - Công việc chính'!$K$14:$K$73,MATCH(J48,'Lớp 3 - Công việc chính'!$I$14:$I$73,0)),"")</f>
        <v/>
      </c>
      <c r="M48" s="439" t="str">
        <f t="array" ref="M48">IFERROR(INDEX('Lớp 3 - Công việc chính'!$L$14:$L$73,MATCH(J48,'Lớp 3 - Công việc chính'!$I$14:$I$73,0)),"")</f>
        <v/>
      </c>
      <c r="N48" s="439" t="str">
        <f t="array" ref="N48">IFERROR(INDEX('Lớp 3 - Công việc chính'!$M$14:$M$73,MATCH(J48,'Lớp 3 - Công việc chính'!$I$14:$I$73,0)),"")</f>
        <v>CĐS &amp; AI các hoạt động của BOC</v>
      </c>
      <c r="O48" s="440" t="str">
        <f t="shared" ref="O48:R48" si="138">B48</f>
        <v>Số hoá DL quản trị all BOC &amp; all PB</v>
      </c>
      <c r="P48" s="441" t="str">
        <f t="shared" si="138"/>
        <v/>
      </c>
      <c r="Q48" s="442">
        <f t="shared" si="138"/>
        <v>0</v>
      </c>
      <c r="R48" s="443" t="str">
        <f t="shared" si="138"/>
        <v/>
      </c>
      <c r="S48" s="445" t="str">
        <f>IF($I48="","",LET(n,COUNTIFS('Lớp 5 - Phân công'!$J$14:$J$262,$I48,'Lớp 5 - Phân công'!$AB$14:$AB$262,"&lt;&gt;Hủy"),child,IFERROR(MAXIFS('Lớp 5 - Phân công'!$AE$14:$AE$262,'Lớp 5 - Phân công'!$J$14:$J$262,$I48,'Lớp 5 - Phân công'!$AB$14:$AB$262,"&lt;&gt;Hủy",'Lớp 5 - Phân công'!$AE$14:$AE$262,"&gt;0"),0),plan,'Trung tâm nhập liệu'!Q146,emergent,LOWER(TRIM('Trung tâm nhập liệu'!O146))="khi phát sinh",IF(n=0,IF(emergent,"",plan),IF(child=0,IF(emergent,"",plan),IF(OR(emergent,plan=""),child,MAX(plan,child))))))</f>
        <v/>
      </c>
      <c r="T48" s="447" t="str">
        <f>IF($I48="","",LET(n,COUNTIFS('Lớp 5 - Phân công'!$J$14:$J$262,$I48,'Lớp 5 - Phân công'!$AB$14:$AB$262,"&lt;&gt;Hủy"),child,IFERROR(MINIFS('Lớp 5 - Phân công'!$AD$14:$AD$262,'Lớp 5 - Phân công'!$J$14:$J$262,$I48,'Lớp 5 - Phân công'!$AB$14:$AB$262,"&lt;&gt;Hủy",'Lớp 5 - Phân công'!$AD$14:$AD$262,"&gt;0"),0),plan,'Trung tâm nhập liệu'!R146,emergent,LOWER(TRIM('Trung tâm nhập liệu'!O146))="khi phát sinh",IF(n=0,IF(emergent,"",plan),IF(child=0,IF(emergent,"",plan),IF(OR(emergent,plan=""),child,MIN(plan,child))))))</f>
        <v/>
      </c>
      <c r="U48" s="432" t="str">
        <f t="shared" si="15"/>
        <v>Không</v>
      </c>
      <c r="V48" s="432" t="str">
        <f>'Trung tâm nhập liệu'!G146</f>
        <v/>
      </c>
      <c r="W48" s="432" t="str">
        <f>'Trung tâm nhập liệu'!H146</f>
        <v/>
      </c>
      <c r="X48" s="450" t="str">
        <f t="array" ref="X48">IFERROR(INDEX('Lớp 3 - Công việc chính'!$W$14:$W$73,MATCH(J48,'Lớp 3 - Công việc chính'!$I$14:$I$73,0)),"")</f>
        <v>Dữ liệu điều hành</v>
      </c>
      <c r="Y48" s="432" t="str">
        <f>'Trung tâm nhập liệu'!J146</f>
        <v>GĐ BOC</v>
      </c>
      <c r="Z48" s="432" t="str">
        <f>'Trung tâm nhập liệu'!K146</f>
        <v>Em Đại</v>
      </c>
      <c r="AA48" s="425" t="str">
        <f>'Trung tâm nhập liệu'!L146</f>
        <v/>
      </c>
      <c r="AB48" s="441" t="str">
        <f>'Trung tâm nhập liệu'!M146</f>
        <v/>
      </c>
      <c r="AC48" s="447" t="str">
        <f t="shared" si="16"/>
        <v/>
      </c>
      <c r="AD48" s="445" t="str">
        <f t="shared" si="17"/>
        <v/>
      </c>
      <c r="AE48" s="457" t="str">
        <f>IF(AL48&lt;&gt;"Có thời hạn","",IF(OR(AC48="",AD48=""),"",IF(AD48&lt;AC48,"",_xlfn.NETWORKDAYS.INTL(AC48,AD48,11,'Ngày nghỉ lễ'!$A$5:$A$80))))</f>
        <v/>
      </c>
      <c r="AF48" s="458">
        <f>IF(I48="","",IF(L48="Công việc khác","",IF(OR(AA48="Chưa lên lịch",AA48="Đã lên lịch",AA48="Hủy"),"",IF(COUNTIFS('Lớp 5 - Phân công'!$J$14:$J$262,I48,'Lớp 5 - Phân công'!$AB$14:$AB$262,"&lt;&gt;",'Lớp 5 - Phân công'!$AB$14:$AB$262,"&lt;&gt;Hủy",'Lớp 5 - Phân công'!$AB$14:$AB$262,"&lt;&gt;Chưa lên lịch",'Lớp 5 - Phân công'!$AB$14:$AB$262,"&lt;&gt;Đã lên lịch")&gt;0,SUMIFS('Lớp 5 - Phân công'!$AG$14:$AG$262,'Lớp 5 - Phân công'!$J$14:$J$262,I48,'Lớp 5 - Phân công'!$AB$14:$AB$262,"&lt;&gt;",'Lớp 5 - Phân công'!$AB$14:$AB$262,"&lt;&gt;Hủy",'Lớp 5 - Phân công'!$AB$14:$AB$262,"&lt;&gt;Chưa lên lịch",'Lớp 5 - Phân công'!$AB$14:$AB$262,"&lt;&gt;Đã lên lịch")/COUNTIFS('Lớp 5 - Phân công'!$J$14:$J$262,I48,'Lớp 5 - Phân công'!$AB$14:$AB$262,"&lt;&gt;",'Lớp 5 - Phân công'!$AB$14:$AB$262,"&lt;&gt;Hủy",'Lớp 5 - Phân công'!$AB$14:$AB$262,"&lt;&gt;Chưa lên lịch",'Lớp 5 - Phân công'!$AB$14:$AB$262,"&lt;&gt;Đã lên lịch"),IF(AA48="Hoàn thành",1,0)))))</f>
        <v>0</v>
      </c>
      <c r="AG48" s="461" t="str">
        <f>IF(AL48&lt;&gt;"Có thời hạn","",IF(OR(I48="",AC48="",AD48=""),"",IF(OR(AA48="Hoàn thành",AA48="Hủy"),0,IF(AD48&lt;TODAY(),-_xlfn.NETWORKDAYS.INTL(AD48,TODAY()-1,11,'Ngày nghỉ lễ'!$A$5:$A$80),MAX(0,_xlfn.NETWORKDAYS.INTL(MAX(TODAY()+1,AC48),AD48,11,'Ngày nghỉ lễ'!$A$5:$A$80))))))</f>
        <v/>
      </c>
      <c r="AH48" s="466" t="str">
        <f>IF($I48="","",LET(n,COUNTIFS('Lớp 5 - Phân công'!$J$14:$J$262,$I48,'Lớp 5 - Phân công'!$AB$14:$AB$262,"&lt;&gt;Hủy"),du,COUNTIFS('Lớp 5 - Phân công'!$J$14:$J$262,$I48,'Lớp 5 - Phân công'!$AB$14:$AB$262,"&lt;&gt;Hủy",'Lớp 5 - Phân công'!$AI$14:$AI$262,"&lt;&gt;"),IF(n=0,'Trung tâm nhập liệu'!T146,IF(du&lt;n,"",SUMIFS('Lớp 5 - Phân công'!$AI$14:$AI$262,'Lớp 5 - Phân công'!$J$14:$J$262,$I48,'Lớp 5 - Phân công'!$AB$14:$AB$262,"&lt;&gt;Hủy")))))</f>
        <v/>
      </c>
      <c r="AI48" s="468" t="str">
        <f>IF(I48="","",IF(OR(AA48="Hoàn thành",AA48="Hủy"),"",IF(COUNTIFS('Lớp 5 - Phân công'!$J$14:$J$262,I48,'Lớp 5 - Phân công'!$AB$14:$AB$262,"&lt;&gt;Hủy")&gt;0,"",IF(AR48="Ngày",AS48,IF(AR48="Tuần",AS48/5,"")))))</f>
        <v/>
      </c>
      <c r="AJ48" s="477" t="str">
        <f>IF(AL48="Chưa xếp lịch","Chưa xếp lịch",IF(AL48="Định kỳ",IF(AM48="","Thiếu chu kỳ","Theo chu kỳ"),IF(AL48="Khi phát sinh",IF(COUNTIFS('Lớp 5 - Phân công'!$J$14:$J$262,$I48,'Lớp 5 - Phân công'!$AB$14:$AB$262,"&lt;&gt;Hủy")=0,"Khi phát sinh – chờ việc con","Khi phát sinh – theo ngày con"),IF(I48="","",LET(n,COUNTIFS('Lớp 5 - Phân công'!$J$14:$J$262,$I48,'Lớp 5 - Phân công'!$AB$14:$AB$262,"&lt;&gt;Hủy"),cs,IFERROR(MINIFS('Lớp 5 - Phân công'!$AD$14:$AD$262,'Lớp 5 - Phân công'!$J$14:$J$262,$I48,'Lớp 5 - Phân công'!$AB$14:$AB$262,"&lt;&gt;Hủy",'Lớp 5 - Phân công'!$AD$14:$AD$262,"&gt;0"),0),ce,IFERROR(MAXIFS('Lớp 5 - Phân công'!$AE$14:$AE$262,'Lớp 5 - Phân công'!$J$14:$J$262,$I48,'Lớp 5 - Phân công'!$AB$14:$AB$262,"&lt;&gt;Hủy",'Lớp 5 - Phân công'!$AE$14:$AE$262,"&gt;0"),0),ps,'Trung tâm nhập liệu'!R146,pe,'Trung tâm nhập liệu'!Q146,IF(OR(AC48="",AD48=""),"Thiếu ngày L4",IF(n=0,"Chưa có L5",IF(OR(cs=0,ce=0),"Thiếu ngày L5",IF(OR(ps="",pe=""),"Thiếu ngày kế hoạch gốc L4",IF(OR(cs&lt;ps,ce&gt;pe),"Cảnh báo: Con vượt khung kế hoạch gốc","L5 đúng khung kế hoạch gốc"))))))))))</f>
        <v>Thiếu ngày L4</v>
      </c>
      <c r="AK48" s="465" t="str">
        <f>IF(OR(AU48="Thiếu tham số phân bổ",AU48="Phân bổ phải &gt; 0"),AU48,SWITCH(AL48,"Chưa xếp lịch","Chưa tính tải","Định kỳ","Theo chu kỳ","Khi phát sinh","Khi phát sinh",IF(I48="","",IF(OR(AA48="Hoàn thành",AA48="Hủy"),AA48,IF(COUNTIFS('Lớp 5 - Phân công'!$J$14:$J$262,I48,'Lớp 5 - Phân công'!$AB$14:$AB$262,"&lt;&gt;Hủy")&gt;0,"Theo dõi tải tại Lớp 5",IF(AH48="","Chưa nhập khối lượng",IF(Z48="","Thiếu người thực hiện",IF(OR(AC48="",AD48=""),"Chưa nhập đủ thời gian",IF(AG48&lt;0,"Quá hạn – còn "&amp;TEXT(MAX(0,AH48*(1-AF48)),"0.0")&amp;" giờ",LET(bd,MAX(TODAY(),AC48),kt,AD48,nguoi,Z48,tai,SUMIFS('Lớp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L48" s="467" t="str">
        <f>'Trung tâm nhập liệu'!O146</f>
        <v/>
      </c>
      <c r="AM48" s="469" t="str">
        <f>'Trung tâm nhập liệu'!P146</f>
        <v/>
      </c>
      <c r="AN48" s="470" t="str">
        <f>'Trung tâm nhập liệu'!S146</f>
        <v/>
      </c>
      <c r="AO48" s="470" t="str">
        <f>'Trung tâm nhập liệu'!X146</f>
        <v/>
      </c>
      <c r="AP48" s="471" t="str">
        <f t="shared" si="18"/>
        <v/>
      </c>
      <c r="AQ48" s="469" t="str">
        <f t="shared" si="19"/>
        <v/>
      </c>
      <c r="AR48" s="475" t="str">
        <f>'Trung tâm nhập liệu'!V146</f>
        <v/>
      </c>
      <c r="AS48" s="476" t="str">
        <f>'Trung tâm nhập liệu'!W146</f>
        <v/>
      </c>
      <c r="AT48" s="478" t="str">
        <f>IF(AL48&lt;&gt;"Có thời hạn","",IF(OR(I48="",AH48="",AA48="Hoàn thành",AA48="Hủy",COUNTIFS('Lớp 5 - Phân công'!$J$14:$J$262,I48,'Lớp 5 - Phân công'!$AB$14:$AB$262,"&lt;&gt;Hủy")&gt;0),"",LET(canNgay,MAX(0,AH48*(1-AF48))/MAX(1,AG48),IF(AR48="Ngày",canNgay,IF(AR48="Tuần",canNgay*5,"")))))</f>
        <v/>
      </c>
      <c r="AU48" s="465" t="str">
        <f>IF(I48="","",IF(COUNTIFS('Lớp 5 - Phân công'!$J$14:$J$262,I48,'Lớp 5 - Phân công'!$AB$14:$AB$262,"&lt;&gt;Hủy")&gt;0,"Theo dõi phân bổ tại Lớp 5",IF(OR(AA48="Hoàn thành",AA48="Hủy"),AA48,IF(AH48="","Thiếu tổng giờ",IF(OR(AR48="",AS48=""),"Thiếu tham số phân bổ",IF(AS48&lt;=0,"Phân bổ phải &gt; 0",IF(AL48&lt;&gt;"Có thời hạn","Đã có phân bổ",IF(AT48="","Chưa đủ dữ liệu hạn",IF(AS48&gt;=AT48,"Đủ phân bổ theo "&amp;LOWER(AR48),"Thiếu "&amp;TEXT(AT48-AS48,"0.0")&amp;" giờ/"&amp;LOWER(AR48))))))))))</f>
        <v>Thiếu tổng giờ</v>
      </c>
      <c r="AV48" s="465" t="str">
        <f t="shared" si="20"/>
        <v>Thiếu trạng thái</v>
      </c>
      <c r="AW48" s="479" t="str">
        <f>'Trung tâm nhập liệu'!Y146</f>
        <v/>
      </c>
    </row>
    <row r="49" ht="15.75" customHeight="1">
      <c r="A49" s="424">
        <f t="shared" si="11"/>
        <v>36</v>
      </c>
      <c r="B49" s="425" t="str">
        <f>'Trung tâm nhập liệu'!F147</f>
        <v>Khảo sát báo cáo về nhu cầu khách hàng </v>
      </c>
      <c r="C49" s="427" t="str">
        <f>'Trung tâm nhập liệu'!M147</f>
        <v/>
      </c>
      <c r="D49" s="528">
        <f t="shared" ref="D49:E49" si="139">AF49</f>
        <v>0</v>
      </c>
      <c r="E49" s="501" t="str">
        <f t="shared" si="139"/>
        <v/>
      </c>
      <c r="F49" s="431" t="str">
        <f t="shared" ref="F49:G49" si="140">S49</f>
        <v/>
      </c>
      <c r="G49" s="431" t="str">
        <f t="shared" si="140"/>
        <v/>
      </c>
      <c r="H49" s="432" t="str">
        <f>IF(B49="","",IF(COUNTIF('Lớp 5 - Phân công'!$J$14:$J$262,I49)&gt;0,"Có","Không"))</f>
        <v>Không</v>
      </c>
      <c r="I49" s="434" t="str">
        <f>'Trung tâm nhập liệu'!B147</f>
        <v>HHL4RD25</v>
      </c>
      <c r="J49" s="432" t="str">
        <f>'Trung tâm nhập liệu'!D147</f>
        <v>HHL3RD01</v>
      </c>
      <c r="K49" s="436">
        <f t="array" ref="K49">IFERROR(INDEX('Lớp 3 - Công việc chính'!$J$14:$J$73,MATCH(J49,'Lớp 3 - Công việc chính'!$I$14:$I$73,0)),"")</f>
        <v>2026</v>
      </c>
      <c r="L49" s="438" t="str">
        <f t="array" ref="L49">IFERROR(INDEX('Lớp 3 - Công việc chính'!$K$14:$K$73,MATCH(J49,'Lớp 3 - Công việc chính'!$I$14:$I$73,0)),"")</f>
        <v>Cấp phòng ban</v>
      </c>
      <c r="M49" s="439" t="str">
        <f t="array" ref="M49">IFERROR(INDEX('Lớp 3 - Công việc chính'!$L$14:$L$73,MATCH(J49,'Lớp 3 - Công việc chính'!$I$14:$I$73,0)),"")</f>
        <v>Chiến lược/sống còn</v>
      </c>
      <c r="N49" s="439" t="str">
        <f t="array" ref="N49">IFERROR(INDEX('Lớp 3 - Công việc chính'!$M$14:$M$73,MATCH(J49,'Lớp 3 - Công việc chính'!$I$14:$I$73,0)),"")</f>
        <v>KH sản phẩm 2027-2030</v>
      </c>
      <c r="O49" s="440" t="str">
        <f t="shared" ref="O49:R49" si="141">B49</f>
        <v>Khảo sát báo cáo về nhu cầu khách hàng </v>
      </c>
      <c r="P49" s="441" t="str">
        <f t="shared" si="141"/>
        <v/>
      </c>
      <c r="Q49" s="442">
        <f t="shared" si="141"/>
        <v>0</v>
      </c>
      <c r="R49" s="443" t="str">
        <f t="shared" si="141"/>
        <v/>
      </c>
      <c r="S49" s="445" t="str">
        <f>IF($I49="","",LET(n,COUNTIFS('Lớp 5 - Phân công'!$J$14:$J$262,$I49,'Lớp 5 - Phân công'!$AB$14:$AB$262,"&lt;&gt;Hủy"),child,IFERROR(MAXIFS('Lớp 5 - Phân công'!$AE$14:$AE$262,'Lớp 5 - Phân công'!$J$14:$J$262,$I49,'Lớp 5 - Phân công'!$AB$14:$AB$262,"&lt;&gt;Hủy",'Lớp 5 - Phân công'!$AE$14:$AE$262,"&gt;0"),0),plan,'Trung tâm nhập liệu'!Q147,emergent,LOWER(TRIM('Trung tâm nhập liệu'!O147))="khi phát sinh",IF(n=0,IF(emergent,"",plan),IF(child=0,IF(emergent,"",plan),IF(OR(emergent,plan=""),child,MAX(plan,child))))))</f>
        <v/>
      </c>
      <c r="T49" s="447" t="str">
        <f>IF($I49="","",LET(n,COUNTIFS('Lớp 5 - Phân công'!$J$14:$J$262,$I49,'Lớp 5 - Phân công'!$AB$14:$AB$262,"&lt;&gt;Hủy"),child,IFERROR(MINIFS('Lớp 5 - Phân công'!$AD$14:$AD$262,'Lớp 5 - Phân công'!$J$14:$J$262,$I49,'Lớp 5 - Phân công'!$AB$14:$AB$262,"&lt;&gt;Hủy",'Lớp 5 - Phân công'!$AD$14:$AD$262,"&gt;0"),0),plan,'Trung tâm nhập liệu'!R147,emergent,LOWER(TRIM('Trung tâm nhập liệu'!O147))="khi phát sinh",IF(n=0,IF(emergent,"",plan),IF(child=0,IF(emergent,"",plan),IF(OR(emergent,plan=""),child,MIN(plan,child))))))</f>
        <v/>
      </c>
      <c r="U49" s="432" t="str">
        <f t="shared" si="15"/>
        <v>Không</v>
      </c>
      <c r="V49" s="432" t="str">
        <f>'Trung tâm nhập liệu'!G147</f>
        <v/>
      </c>
      <c r="W49" s="432" t="str">
        <f>'Trung tâm nhập liệu'!H147</f>
        <v/>
      </c>
      <c r="X49" s="450" t="str">
        <f t="array" ref="X49">IFERROR(INDEX('Lớp 3 - Công việc chính'!$W$14:$W$73,MATCH(J49,'Lớp 3 - Công việc chính'!$I$14:$I$73,0)),"")</f>
        <v>R&amp;D</v>
      </c>
      <c r="Y49" s="432" t="str">
        <f>'Trung tâm nhập liệu'!J147</f>
        <v>GĐ BOC</v>
      </c>
      <c r="Z49" s="432" t="str">
        <f>'Trung tâm nhập liệu'!K147</f>
        <v>GĐ BOC</v>
      </c>
      <c r="AA49" s="425" t="str">
        <f>'Trung tâm nhập liệu'!L147</f>
        <v/>
      </c>
      <c r="AB49" s="441" t="str">
        <f>'Trung tâm nhập liệu'!M147</f>
        <v/>
      </c>
      <c r="AC49" s="447" t="str">
        <f t="shared" si="16"/>
        <v/>
      </c>
      <c r="AD49" s="445" t="str">
        <f t="shared" si="17"/>
        <v/>
      </c>
      <c r="AE49" s="457" t="str">
        <f>IF(AL49&lt;&gt;"Có thời hạn","",IF(OR(AC49="",AD49=""),"",IF(AD49&lt;AC49,"",_xlfn.NETWORKDAYS.INTL(AC49,AD49,11,'Ngày nghỉ lễ'!$A$5:$A$80))))</f>
        <v/>
      </c>
      <c r="AF49" s="458">
        <f>IF(I49="","",IF(L49="Công việc khác","",IF(OR(AA49="Chưa lên lịch",AA49="Đã lên lịch",AA49="Hủy"),"",IF(COUNTIFS('Lớp 5 - Phân công'!$J$14:$J$262,I49,'Lớp 5 - Phân công'!$AB$14:$AB$262,"&lt;&gt;",'Lớp 5 - Phân công'!$AB$14:$AB$262,"&lt;&gt;Hủy",'Lớp 5 - Phân công'!$AB$14:$AB$262,"&lt;&gt;Chưa lên lịch",'Lớp 5 - Phân công'!$AB$14:$AB$262,"&lt;&gt;Đã lên lịch")&gt;0,SUMIFS('Lớp 5 - Phân công'!$AG$14:$AG$262,'Lớp 5 - Phân công'!$J$14:$J$262,I49,'Lớp 5 - Phân công'!$AB$14:$AB$262,"&lt;&gt;",'Lớp 5 - Phân công'!$AB$14:$AB$262,"&lt;&gt;Hủy",'Lớp 5 - Phân công'!$AB$14:$AB$262,"&lt;&gt;Chưa lên lịch",'Lớp 5 - Phân công'!$AB$14:$AB$262,"&lt;&gt;Đã lên lịch")/COUNTIFS('Lớp 5 - Phân công'!$J$14:$J$262,I49,'Lớp 5 - Phân công'!$AB$14:$AB$262,"&lt;&gt;",'Lớp 5 - Phân công'!$AB$14:$AB$262,"&lt;&gt;Hủy",'Lớp 5 - Phân công'!$AB$14:$AB$262,"&lt;&gt;Chưa lên lịch",'Lớp 5 - Phân công'!$AB$14:$AB$262,"&lt;&gt;Đã lên lịch"),IF(AA49="Hoàn thành",1,0)))))</f>
        <v>0</v>
      </c>
      <c r="AG49" s="461" t="str">
        <f>IF(AL49&lt;&gt;"Có thời hạn","",IF(OR(I49="",AC49="",AD49=""),"",IF(OR(AA49="Hoàn thành",AA49="Hủy"),0,IF(AD49&lt;TODAY(),-_xlfn.NETWORKDAYS.INTL(AD49,TODAY()-1,11,'Ngày nghỉ lễ'!$A$5:$A$80),MAX(0,_xlfn.NETWORKDAYS.INTL(MAX(TODAY()+1,AC49),AD49,11,'Ngày nghỉ lễ'!$A$5:$A$80))))))</f>
        <v/>
      </c>
      <c r="AH49" s="466" t="str">
        <f>IF($I49="","",LET(n,COUNTIFS('Lớp 5 - Phân công'!$J$14:$J$262,$I49,'Lớp 5 - Phân công'!$AB$14:$AB$262,"&lt;&gt;Hủy"),du,COUNTIFS('Lớp 5 - Phân công'!$J$14:$J$262,$I49,'Lớp 5 - Phân công'!$AB$14:$AB$262,"&lt;&gt;Hủy",'Lớp 5 - Phân công'!$AI$14:$AI$262,"&lt;&gt;"),IF(n=0,'Trung tâm nhập liệu'!T147,IF(du&lt;n,"",SUMIFS('Lớp 5 - Phân công'!$AI$14:$AI$262,'Lớp 5 - Phân công'!$J$14:$J$262,$I49,'Lớp 5 - Phân công'!$AB$14:$AB$262,"&lt;&gt;Hủy")))))</f>
        <v/>
      </c>
      <c r="AI49" s="468" t="str">
        <f>IF(I49="","",IF(OR(AA49="Hoàn thành",AA49="Hủy"),"",IF(COUNTIFS('Lớp 5 - Phân công'!$J$14:$J$262,I49,'Lớp 5 - Phân công'!$AB$14:$AB$262,"&lt;&gt;Hủy")&gt;0,"",IF(AR49="Ngày",AS49,IF(AR49="Tuần",AS49/5,"")))))</f>
        <v/>
      </c>
      <c r="AJ49" s="477" t="str">
        <f>IF(AL49="Chưa xếp lịch","Chưa xếp lịch",IF(AL49="Định kỳ",IF(AM49="","Thiếu chu kỳ","Theo chu kỳ"),IF(AL49="Khi phát sinh",IF(COUNTIFS('Lớp 5 - Phân công'!$J$14:$J$262,$I49,'Lớp 5 - Phân công'!$AB$14:$AB$262,"&lt;&gt;Hủy")=0,"Khi phát sinh – chờ việc con","Khi phát sinh – theo ngày con"),IF(I49="","",LET(n,COUNTIFS('Lớp 5 - Phân công'!$J$14:$J$262,$I49,'Lớp 5 - Phân công'!$AB$14:$AB$262,"&lt;&gt;Hủy"),cs,IFERROR(MINIFS('Lớp 5 - Phân công'!$AD$14:$AD$262,'Lớp 5 - Phân công'!$J$14:$J$262,$I49,'Lớp 5 - Phân công'!$AB$14:$AB$262,"&lt;&gt;Hủy",'Lớp 5 - Phân công'!$AD$14:$AD$262,"&gt;0"),0),ce,IFERROR(MAXIFS('Lớp 5 - Phân công'!$AE$14:$AE$262,'Lớp 5 - Phân công'!$J$14:$J$262,$I49,'Lớp 5 - Phân công'!$AB$14:$AB$262,"&lt;&gt;Hủy",'Lớp 5 - Phân công'!$AE$14:$AE$262,"&gt;0"),0),ps,'Trung tâm nhập liệu'!R147,pe,'Trung tâm nhập liệu'!Q147,IF(OR(AC49="",AD49=""),"Thiếu ngày L4",IF(n=0,"Chưa có L5",IF(OR(cs=0,ce=0),"Thiếu ngày L5",IF(OR(ps="",pe=""),"Thiếu ngày kế hoạch gốc L4",IF(OR(cs&lt;ps,ce&gt;pe),"Cảnh báo: Con vượt khung kế hoạch gốc","L5 đúng khung kế hoạch gốc"))))))))))</f>
        <v>Thiếu ngày L4</v>
      </c>
      <c r="AK49" s="465" t="str">
        <f>IF(OR(AU49="Thiếu tham số phân bổ",AU49="Phân bổ phải &gt; 0"),AU49,SWITCH(AL49,"Chưa xếp lịch","Chưa tính tải","Định kỳ","Theo chu kỳ","Khi phát sinh","Khi phát sinh",IF(I49="","",IF(OR(AA49="Hoàn thành",AA49="Hủy"),AA49,IF(COUNTIFS('Lớp 5 - Phân công'!$J$14:$J$262,I49,'Lớp 5 - Phân công'!$AB$14:$AB$262,"&lt;&gt;Hủy")&gt;0,"Theo dõi tải tại Lớp 5",IF(AH49="","Chưa nhập khối lượng",IF(Z49="","Thiếu người thực hiện",IF(OR(AC49="",AD49=""),"Chưa nhập đủ thời gian",IF(AG49&lt;0,"Quá hạn – còn "&amp;TEXT(MAX(0,AH49*(1-AF49)),"0.0")&amp;" giờ",LET(bd,MAX(TODAY(),AC49),kt,AD49,nguoi,Z49,tai,SUMIFS('Lớp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L49" s="467" t="str">
        <f>'Trung tâm nhập liệu'!O147</f>
        <v/>
      </c>
      <c r="AM49" s="469" t="str">
        <f>'Trung tâm nhập liệu'!P147</f>
        <v/>
      </c>
      <c r="AN49" s="470" t="str">
        <f>'Trung tâm nhập liệu'!S147</f>
        <v/>
      </c>
      <c r="AO49" s="470" t="str">
        <f>'Trung tâm nhập liệu'!X147</f>
        <v/>
      </c>
      <c r="AP49" s="471" t="str">
        <f t="shared" si="18"/>
        <v/>
      </c>
      <c r="AQ49" s="469" t="str">
        <f t="shared" si="19"/>
        <v/>
      </c>
      <c r="AR49" s="475" t="str">
        <f>'Trung tâm nhập liệu'!V147</f>
        <v/>
      </c>
      <c r="AS49" s="476" t="str">
        <f>'Trung tâm nhập liệu'!W147</f>
        <v/>
      </c>
      <c r="AT49" s="478" t="str">
        <f>IF(AL49&lt;&gt;"Có thời hạn","",IF(OR(I49="",AH49="",AA49="Hoàn thành",AA49="Hủy",COUNTIFS('Lớp 5 - Phân công'!$J$14:$J$262,I49,'Lớp 5 - Phân công'!$AB$14:$AB$262,"&lt;&gt;Hủy")&gt;0),"",LET(canNgay,MAX(0,AH49*(1-AF49))/MAX(1,AG49),IF(AR49="Ngày",canNgay,IF(AR49="Tuần",canNgay*5,"")))))</f>
        <v/>
      </c>
      <c r="AU49" s="465" t="str">
        <f>IF(I49="","",IF(COUNTIFS('Lớp 5 - Phân công'!$J$14:$J$262,I49,'Lớp 5 - Phân công'!$AB$14:$AB$262,"&lt;&gt;Hủy")&gt;0,"Theo dõi phân bổ tại Lớp 5",IF(OR(AA49="Hoàn thành",AA49="Hủy"),AA49,IF(AH49="","Thiếu tổng giờ",IF(OR(AR49="",AS49=""),"Thiếu tham số phân bổ",IF(AS49&lt;=0,"Phân bổ phải &gt; 0",IF(AL49&lt;&gt;"Có thời hạn","Đã có phân bổ",IF(AT49="","Chưa đủ dữ liệu hạn",IF(AS49&gt;=AT49,"Đủ phân bổ theo "&amp;LOWER(AR49),"Thiếu "&amp;TEXT(AT49-AS49,"0.0")&amp;" giờ/"&amp;LOWER(AR49))))))))))</f>
        <v>Thiếu tổng giờ</v>
      </c>
      <c r="AV49" s="465" t="str">
        <f t="shared" si="20"/>
        <v>Thiếu trạng thái</v>
      </c>
      <c r="AW49" s="479" t="str">
        <f>'Trung tâm nhập liệu'!Y147</f>
        <v/>
      </c>
    </row>
    <row r="50" ht="15.75" customHeight="1">
      <c r="A50" s="424" t="str">
        <f t="shared" si="11"/>
        <v/>
      </c>
      <c r="B50" s="425" t="str">
        <f>'Trung tâm nhập liệu'!F153</f>
        <v/>
      </c>
      <c r="C50" s="427" t="str">
        <f>'Trung tâm nhập liệu'!M153</f>
        <v/>
      </c>
      <c r="D50" s="528" t="str">
        <f t="shared" ref="D50:E50" si="142">AF50</f>
        <v/>
      </c>
      <c r="E50" s="501" t="str">
        <f t="shared" si="142"/>
        <v/>
      </c>
      <c r="F50" s="431" t="str">
        <f t="shared" ref="F50:G50" si="143">S50</f>
        <v/>
      </c>
      <c r="G50" s="431" t="str">
        <f t="shared" si="143"/>
        <v/>
      </c>
      <c r="H50" s="432" t="str">
        <f>IF(B50="","",IF(COUNTIF('Lớp 5 - Phân công'!$J$14:$J$262,I50)&gt;0,"Có","Không"))</f>
        <v/>
      </c>
      <c r="I50" s="434" t="str">
        <f>'Trung tâm nhập liệu'!B153</f>
        <v/>
      </c>
      <c r="J50" s="432" t="str">
        <f>'Trung tâm nhập liệu'!D153</f>
        <v/>
      </c>
      <c r="K50" s="436" t="str">
        <f t="array" ref="K50">IFERROR(INDEX('Lớp 3 - Công việc chính'!$J$14:$J$73,MATCH(J50,'Lớp 3 - Công việc chính'!$I$14:$I$73,0)),"")</f>
        <v/>
      </c>
      <c r="L50" s="438" t="str">
        <f t="array" ref="L50">IFERROR(INDEX('Lớp 3 - Công việc chính'!$K$14:$K$73,MATCH(J50,'Lớp 3 - Công việc chính'!$I$14:$I$73,0)),"")</f>
        <v/>
      </c>
      <c r="M50" s="439" t="str">
        <f t="array" ref="M50">IFERROR(INDEX('Lớp 3 - Công việc chính'!$L$14:$L$73,MATCH(J50,'Lớp 3 - Công việc chính'!$I$14:$I$73,0)),"")</f>
        <v/>
      </c>
      <c r="N50" s="439" t="str">
        <f t="array" ref="N50">IFERROR(INDEX('Lớp 3 - Công việc chính'!$M$14:$M$73,MATCH(J50,'Lớp 3 - Công việc chính'!$I$14:$I$73,0)),"")</f>
        <v/>
      </c>
      <c r="O50" s="440" t="str">
        <f t="shared" ref="O50:R50" si="144">B50</f>
        <v/>
      </c>
      <c r="P50" s="441" t="str">
        <f t="shared" si="144"/>
        <v/>
      </c>
      <c r="Q50" s="442" t="str">
        <f t="shared" si="144"/>
        <v/>
      </c>
      <c r="R50" s="443" t="str">
        <f t="shared" si="144"/>
        <v/>
      </c>
      <c r="S50" s="445" t="str">
        <f>IF($I50="","",LET(n,COUNTIFS('Lớp 5 - Phân công'!$J$14:$J$262,$I50,'Lớp 5 - Phân công'!$AB$14:$AB$262,"&lt;&gt;Hủy"),child,IFERROR(MAXIFS('Lớp 5 - Phân công'!$AE$14:$AE$262,'Lớp 5 - Phân công'!$J$14:$J$262,$I50,'Lớp 5 - Phân công'!$AB$14:$AB$262,"&lt;&gt;Hủy",'Lớp 5 - Phân công'!$AE$14:$AE$262,"&gt;0"),0),plan,'Trung tâm nhập liệu'!Q153,emergent,LOWER(TRIM('Trung tâm nhập liệu'!O153))="khi phát sinh",IF(n=0,IF(emergent,"",plan),IF(child=0,IF(emergent,"",plan),IF(OR(emergent,plan=""),child,MAX(plan,child))))))</f>
        <v/>
      </c>
      <c r="T50" s="447" t="str">
        <f>IF($I50="","",LET(n,COUNTIFS('Lớp 5 - Phân công'!$J$14:$J$262,$I50,'Lớp 5 - Phân công'!$AB$14:$AB$262,"&lt;&gt;Hủy"),child,IFERROR(MINIFS('Lớp 5 - Phân công'!$AD$14:$AD$262,'Lớp 5 - Phân công'!$J$14:$J$262,$I50,'Lớp 5 - Phân công'!$AB$14:$AB$262,"&lt;&gt;Hủy",'Lớp 5 - Phân công'!$AD$14:$AD$262,"&gt;0"),0),plan,'Trung tâm nhập liệu'!R153,emergent,LOWER(TRIM('Trung tâm nhập liệu'!O153))="khi phát sinh",IF(n=0,IF(emergent,"",plan),IF(child=0,IF(emergent,"",plan),IF(OR(emergent,plan=""),child,MIN(plan,child))))))</f>
        <v/>
      </c>
      <c r="U50" s="432" t="str">
        <f t="shared" si="15"/>
        <v/>
      </c>
      <c r="V50" s="432" t="str">
        <f>'Trung tâm nhập liệu'!G153</f>
        <v/>
      </c>
      <c r="W50" s="432" t="str">
        <f>'Trung tâm nhập liệu'!H153</f>
        <v/>
      </c>
      <c r="X50" s="450" t="str">
        <f t="array" ref="X50">IFERROR(INDEX('Lớp 3 - Công việc chính'!$W$14:$W$73,MATCH(J50,'Lớp 3 - Công việc chính'!$I$14:$I$73,0)),"")</f>
        <v/>
      </c>
      <c r="Y50" s="432" t="str">
        <f>'Trung tâm nhập liệu'!J153</f>
        <v/>
      </c>
      <c r="Z50" s="432" t="str">
        <f>'Trung tâm nhập liệu'!K153</f>
        <v/>
      </c>
      <c r="AA50" s="425" t="str">
        <f>'Trung tâm nhập liệu'!L153</f>
        <v/>
      </c>
      <c r="AB50" s="441" t="str">
        <f>'Trung tâm nhập liệu'!M153</f>
        <v/>
      </c>
      <c r="AC50" s="447" t="str">
        <f t="shared" si="16"/>
        <v/>
      </c>
      <c r="AD50" s="445" t="str">
        <f t="shared" si="17"/>
        <v/>
      </c>
      <c r="AE50" s="457" t="str">
        <f>IF(AL50&lt;&gt;"Có thời hạn","",IF(OR(AC50="",AD50=""),"",IF(AD50&lt;AC50,"",_xlfn.NETWORKDAYS.INTL(AC50,AD50,11,'Ngày nghỉ lễ'!$A$5:$A$80))))</f>
        <v/>
      </c>
      <c r="AF50" s="458" t="str">
        <f>IF(I50="","",IF(L50="Công việc khác","",IF(OR(AA50="Chưa lên lịch",AA50="Đã lên lịch",AA50="Hủy"),"",IF(COUNTIFS('Lớp 5 - Phân công'!$J$14:$J$262,I50,'Lớp 5 - Phân công'!$AB$14:$AB$262,"&lt;&gt;",'Lớp 5 - Phân công'!$AB$14:$AB$262,"&lt;&gt;Hủy",'Lớp 5 - Phân công'!$AB$14:$AB$262,"&lt;&gt;Chưa lên lịch",'Lớp 5 - Phân công'!$AB$14:$AB$262,"&lt;&gt;Đã lên lịch")&gt;0,SUMIFS('Lớp 5 - Phân công'!$AG$14:$AG$262,'Lớp 5 - Phân công'!$J$14:$J$262,I50,'Lớp 5 - Phân công'!$AB$14:$AB$262,"&lt;&gt;",'Lớp 5 - Phân công'!$AB$14:$AB$262,"&lt;&gt;Hủy",'Lớp 5 - Phân công'!$AB$14:$AB$262,"&lt;&gt;Chưa lên lịch",'Lớp 5 - Phân công'!$AB$14:$AB$262,"&lt;&gt;Đã lên lịch")/COUNTIFS('Lớp 5 - Phân công'!$J$14:$J$262,I50,'Lớp 5 - Phân công'!$AB$14:$AB$262,"&lt;&gt;",'Lớp 5 - Phân công'!$AB$14:$AB$262,"&lt;&gt;Hủy",'Lớp 5 - Phân công'!$AB$14:$AB$262,"&lt;&gt;Chưa lên lịch",'Lớp 5 - Phân công'!$AB$14:$AB$262,"&lt;&gt;Đã lên lịch"),IF(AA50="Hoàn thành",1,0)))))</f>
        <v/>
      </c>
      <c r="AG50" s="461" t="str">
        <f>IF(AL50&lt;&gt;"Có thời hạn","",IF(OR(I50="",AC50="",AD50=""),"",IF(OR(AA50="Hoàn thành",AA50="Hủy"),0,IF(AD50&lt;TODAY(),-_xlfn.NETWORKDAYS.INTL(AD50,TODAY()-1,11,'Ngày nghỉ lễ'!$A$5:$A$80),MAX(0,_xlfn.NETWORKDAYS.INTL(MAX(TODAY()+1,AC50),AD50,11,'Ngày nghỉ lễ'!$A$5:$A$80))))))</f>
        <v/>
      </c>
      <c r="AH50" s="466" t="str">
        <f>IF($I50="","",LET(n,COUNTIFS('Lớp 5 - Phân công'!$J$14:$J$262,$I50,'Lớp 5 - Phân công'!$AB$14:$AB$262,"&lt;&gt;Hủy"),du,COUNTIFS('Lớp 5 - Phân công'!$J$14:$J$262,$I50,'Lớp 5 - Phân công'!$AB$14:$AB$262,"&lt;&gt;Hủy",'Lớp 5 - Phân công'!$AI$14:$AI$262,"&lt;&gt;"),IF(n=0,'Trung tâm nhập liệu'!T153,IF(du&lt;n,"",SUMIFS('Lớp 5 - Phân công'!$AI$14:$AI$262,'Lớp 5 - Phân công'!$J$14:$J$262,$I50,'Lớp 5 - Phân công'!$AB$14:$AB$262,"&lt;&gt;Hủy")))))</f>
        <v/>
      </c>
      <c r="AI50" s="468" t="str">
        <f>IF(I50="","",IF(OR(AA50="Hoàn thành",AA50="Hủy"),"",IF(COUNTIFS('Lớp 5 - Phân công'!$J$14:$J$262,I50,'Lớp 5 - Phân công'!$AB$14:$AB$262,"&lt;&gt;Hủy")&gt;0,"",IF(AR50="Ngày",AS50,IF(AR50="Tuần",AS50/5,"")))))</f>
        <v/>
      </c>
      <c r="AJ50" s="477" t="str">
        <f>IF(AL50="Chưa xếp lịch","Chưa xếp lịch",IF(AL50="Định kỳ",IF(AM50="","Thiếu chu kỳ","Theo chu kỳ"),IF(AL50="Khi phát sinh",IF(COUNTIFS('Lớp 5 - Phân công'!$J$14:$J$262,$I50,'Lớp 5 - Phân công'!$AB$14:$AB$262,"&lt;&gt;Hủy")=0,"Khi phát sinh – chờ việc con","Khi phát sinh – theo ngày con"),IF(I50="","",LET(n,COUNTIFS('Lớp 5 - Phân công'!$J$14:$J$262,$I50,'Lớp 5 - Phân công'!$AB$14:$AB$262,"&lt;&gt;Hủy"),cs,IFERROR(MINIFS('Lớp 5 - Phân công'!$AD$14:$AD$262,'Lớp 5 - Phân công'!$J$14:$J$262,$I50,'Lớp 5 - Phân công'!$AB$14:$AB$262,"&lt;&gt;Hủy",'Lớp 5 - Phân công'!$AD$14:$AD$262,"&gt;0"),0),ce,IFERROR(MAXIFS('Lớp 5 - Phân công'!$AE$14:$AE$262,'Lớp 5 - Phân công'!$J$14:$J$262,$I50,'Lớp 5 - Phân công'!$AB$14:$AB$262,"&lt;&gt;Hủy",'Lớp 5 - Phân công'!$AE$14:$AE$262,"&gt;0"),0),ps,'Trung tâm nhập liệu'!R153,pe,'Trung tâm nhập liệu'!Q153,IF(OR(AC50="",AD50=""),"Thiếu ngày L4",IF(n=0,"Chưa có L5",IF(OR(cs=0,ce=0),"Thiếu ngày L5",IF(OR(ps="",pe=""),"Thiếu ngày kế hoạch gốc L4",IF(OR(cs&lt;ps,ce&gt;pe),"Cảnh báo: Con vượt khung kế hoạch gốc","L5 đúng khung kế hoạch gốc"))))))))))</f>
        <v/>
      </c>
      <c r="AK50" s="465" t="str">
        <f>IF(OR(AU50="Thiếu tham số phân bổ",AU50="Phân bổ phải &gt; 0"),AU50,SWITCH(AL50,"Chưa xếp lịch","Chưa tính tải","Định kỳ","Theo chu kỳ","Khi phát sinh","Khi phát sinh",IF(I50="","",IF(OR(AA50="Hoàn thành",AA50="Hủy"),AA50,IF(COUNTIFS('Lớp 5 - Phân công'!$J$14:$J$262,I50,'Lớp 5 - Phân công'!$AB$14:$AB$262,"&lt;&gt;Hủy")&gt;0,"Theo dõi tải tại Lớp 5",IF(AH50="","Chưa nhập khối lượng",IF(Z50="","Thiếu người thực hiện",IF(OR(AC50="",AD50=""),"Chưa nhập đủ thời gian",IF(AG50&lt;0,"Quá hạn – còn "&amp;TEXT(MAX(0,AH50*(1-AF50)),"0.0")&amp;" giờ",LET(bd,MAX(TODAY(),AC50),kt,AD50,nguoi,Z50,tai,SUMIFS('Lớp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L50" s="467" t="str">
        <f>'Trung tâm nhập liệu'!O153</f>
        <v/>
      </c>
      <c r="AM50" s="469" t="str">
        <f>'Trung tâm nhập liệu'!P153</f>
        <v/>
      </c>
      <c r="AN50" s="470" t="str">
        <f>'Trung tâm nhập liệu'!S153</f>
        <v/>
      </c>
      <c r="AO50" s="470" t="str">
        <f>'Trung tâm nhập liệu'!X153</f>
        <v/>
      </c>
      <c r="AP50" s="471" t="str">
        <f t="shared" si="18"/>
        <v/>
      </c>
      <c r="AQ50" s="469" t="str">
        <f t="shared" si="19"/>
        <v/>
      </c>
      <c r="AR50" s="475" t="str">
        <f>'Trung tâm nhập liệu'!V153</f>
        <v/>
      </c>
      <c r="AS50" s="476" t="str">
        <f>'Trung tâm nhập liệu'!W153</f>
        <v/>
      </c>
      <c r="AT50" s="478" t="str">
        <f>IF(AL50&lt;&gt;"Có thời hạn","",IF(OR(I50="",AH50="",AA50="Hoàn thành",AA50="Hủy",COUNTIFS('Lớp 5 - Phân công'!$J$14:$J$262,I50,'Lớp 5 - Phân công'!$AB$14:$AB$262,"&lt;&gt;Hủy")&gt;0),"",LET(canNgay,MAX(0,AH50*(1-AF50))/MAX(1,AG50),IF(AR50="Ngày",canNgay,IF(AR50="Tuần",canNgay*5,"")))))</f>
        <v/>
      </c>
      <c r="AU50" s="465" t="str">
        <f>IF(I50="","",IF(COUNTIFS('Lớp 5 - Phân công'!$J$14:$J$262,I50,'Lớp 5 - Phân công'!$AB$14:$AB$262,"&lt;&gt;Hủy")&gt;0,"Theo dõi phân bổ tại Lớp 5",IF(OR(AA50="Hoàn thành",AA50="Hủy"),AA50,IF(AH50="","Thiếu tổng giờ",IF(OR(AR50="",AS50=""),"Thiếu tham số phân bổ",IF(AS50&lt;=0,"Phân bổ phải &gt; 0",IF(AL50&lt;&gt;"Có thời hạn","Đã có phân bổ",IF(AT50="","Chưa đủ dữ liệu hạn",IF(AS50&gt;=AT50,"Đủ phân bổ theo "&amp;LOWER(AR50),"Thiếu "&amp;TEXT(AT50-AS50,"0.0")&amp;" giờ/"&amp;LOWER(AR50))))))))))</f>
        <v/>
      </c>
      <c r="AV50" s="465" t="str">
        <f t="shared" si="20"/>
        <v/>
      </c>
      <c r="AW50" s="479" t="str">
        <f>'Trung tâm nhập liệu'!Y153</f>
        <v/>
      </c>
    </row>
    <row r="51" ht="15.75" customHeight="1">
      <c r="A51" s="424" t="str">
        <f t="shared" si="11"/>
        <v/>
      </c>
      <c r="B51" s="425" t="str">
        <f>'Trung tâm nhập liệu'!F154</f>
        <v/>
      </c>
      <c r="C51" s="427" t="str">
        <f>'Trung tâm nhập liệu'!M154</f>
        <v/>
      </c>
      <c r="D51" s="528" t="str">
        <f t="shared" ref="D51:E51" si="145">AF51</f>
        <v/>
      </c>
      <c r="E51" s="501" t="str">
        <f t="shared" si="145"/>
        <v/>
      </c>
      <c r="F51" s="431" t="str">
        <f t="shared" ref="F51:G51" si="146">S51</f>
        <v/>
      </c>
      <c r="G51" s="431" t="str">
        <f t="shared" si="146"/>
        <v/>
      </c>
      <c r="H51" s="432" t="str">
        <f>IF(B51="","",IF(COUNTIF('Lớp 5 - Phân công'!$J$14:$J$262,I51)&gt;0,"Có","Không"))</f>
        <v/>
      </c>
      <c r="I51" s="434" t="str">
        <f>'Trung tâm nhập liệu'!B154</f>
        <v/>
      </c>
      <c r="J51" s="432" t="str">
        <f>'Trung tâm nhập liệu'!D154</f>
        <v/>
      </c>
      <c r="K51" s="436" t="str">
        <f t="array" ref="K51">IFERROR(INDEX('Lớp 3 - Công việc chính'!$J$14:$J$73,MATCH(J51,'Lớp 3 - Công việc chính'!$I$14:$I$73,0)),"")</f>
        <v/>
      </c>
      <c r="L51" s="438" t="str">
        <f t="array" ref="L51">IFERROR(INDEX('Lớp 3 - Công việc chính'!$K$14:$K$73,MATCH(J51,'Lớp 3 - Công việc chính'!$I$14:$I$73,0)),"")</f>
        <v/>
      </c>
      <c r="M51" s="439" t="str">
        <f t="array" ref="M51">IFERROR(INDEX('Lớp 3 - Công việc chính'!$L$14:$L$73,MATCH(J51,'Lớp 3 - Công việc chính'!$I$14:$I$73,0)),"")</f>
        <v/>
      </c>
      <c r="N51" s="439" t="str">
        <f t="array" ref="N51">IFERROR(INDEX('Lớp 3 - Công việc chính'!$M$14:$M$73,MATCH(J51,'Lớp 3 - Công việc chính'!$I$14:$I$73,0)),"")</f>
        <v/>
      </c>
      <c r="O51" s="440" t="str">
        <f t="shared" ref="O51:R51" si="147">B51</f>
        <v/>
      </c>
      <c r="P51" s="441" t="str">
        <f t="shared" si="147"/>
        <v/>
      </c>
      <c r="Q51" s="442" t="str">
        <f t="shared" si="147"/>
        <v/>
      </c>
      <c r="R51" s="443" t="str">
        <f t="shared" si="147"/>
        <v/>
      </c>
      <c r="S51" s="445" t="str">
        <f>IF($I51="","",LET(n,COUNTIFS('Lớp 5 - Phân công'!$J$14:$J$262,$I51,'Lớp 5 - Phân công'!$AB$14:$AB$262,"&lt;&gt;Hủy"),child,IFERROR(MAXIFS('Lớp 5 - Phân công'!$AE$14:$AE$262,'Lớp 5 - Phân công'!$J$14:$J$262,$I51,'Lớp 5 - Phân công'!$AB$14:$AB$262,"&lt;&gt;Hủy",'Lớp 5 - Phân công'!$AE$14:$AE$262,"&gt;0"),0),plan,'Trung tâm nhập liệu'!Q154,emergent,LOWER(TRIM('Trung tâm nhập liệu'!O154))="khi phát sinh",IF(n=0,IF(emergent,"",plan),IF(child=0,IF(emergent,"",plan),IF(OR(emergent,plan=""),child,MAX(plan,child))))))</f>
        <v/>
      </c>
      <c r="T51" s="447" t="str">
        <f>IF($I51="","",LET(n,COUNTIFS('Lớp 5 - Phân công'!$J$14:$J$262,$I51,'Lớp 5 - Phân công'!$AB$14:$AB$262,"&lt;&gt;Hủy"),child,IFERROR(MINIFS('Lớp 5 - Phân công'!$AD$14:$AD$262,'Lớp 5 - Phân công'!$J$14:$J$262,$I51,'Lớp 5 - Phân công'!$AB$14:$AB$262,"&lt;&gt;Hủy",'Lớp 5 - Phân công'!$AD$14:$AD$262,"&gt;0"),0),plan,'Trung tâm nhập liệu'!R154,emergent,LOWER(TRIM('Trung tâm nhập liệu'!O154))="khi phát sinh",IF(n=0,IF(emergent,"",plan),IF(child=0,IF(emergent,"",plan),IF(OR(emergent,plan=""),child,MIN(plan,child))))))</f>
        <v/>
      </c>
      <c r="U51" s="432" t="str">
        <f t="shared" si="15"/>
        <v/>
      </c>
      <c r="V51" s="432" t="str">
        <f>'Trung tâm nhập liệu'!G154</f>
        <v/>
      </c>
      <c r="W51" s="432" t="str">
        <f>'Trung tâm nhập liệu'!H154</f>
        <v/>
      </c>
      <c r="X51" s="450" t="str">
        <f t="array" ref="X51">IFERROR(INDEX('Lớp 3 - Công việc chính'!$W$14:$W$73,MATCH(J51,'Lớp 3 - Công việc chính'!$I$14:$I$73,0)),"")</f>
        <v/>
      </c>
      <c r="Y51" s="432" t="str">
        <f>'Trung tâm nhập liệu'!J154</f>
        <v/>
      </c>
      <c r="Z51" s="432" t="str">
        <f>'Trung tâm nhập liệu'!K154</f>
        <v/>
      </c>
      <c r="AA51" s="425" t="str">
        <f>'Trung tâm nhập liệu'!L154</f>
        <v/>
      </c>
      <c r="AB51" s="441" t="str">
        <f>'Trung tâm nhập liệu'!M154</f>
        <v/>
      </c>
      <c r="AC51" s="447" t="str">
        <f t="shared" si="16"/>
        <v/>
      </c>
      <c r="AD51" s="445" t="str">
        <f t="shared" si="17"/>
        <v/>
      </c>
      <c r="AE51" s="457" t="str">
        <f>IF(AL51&lt;&gt;"Có thời hạn","",IF(OR(AC51="",AD51=""),"",IF(AD51&lt;AC51,"",_xlfn.NETWORKDAYS.INTL(AC51,AD51,11,'Ngày nghỉ lễ'!$A$5:$A$80))))</f>
        <v/>
      </c>
      <c r="AF51" s="458" t="str">
        <f>IF(I51="","",IF(L51="Công việc khác","",IF(OR(AA51="Chưa lên lịch",AA51="Đã lên lịch",AA51="Hủy"),"",IF(COUNTIFS('Lớp 5 - Phân công'!$J$14:$J$262,I51,'Lớp 5 - Phân công'!$AB$14:$AB$262,"&lt;&gt;",'Lớp 5 - Phân công'!$AB$14:$AB$262,"&lt;&gt;Hủy",'Lớp 5 - Phân công'!$AB$14:$AB$262,"&lt;&gt;Chưa lên lịch",'Lớp 5 - Phân công'!$AB$14:$AB$262,"&lt;&gt;Đã lên lịch")&gt;0,SUMIFS('Lớp 5 - Phân công'!$AG$14:$AG$262,'Lớp 5 - Phân công'!$J$14:$J$262,I51,'Lớp 5 - Phân công'!$AB$14:$AB$262,"&lt;&gt;",'Lớp 5 - Phân công'!$AB$14:$AB$262,"&lt;&gt;Hủy",'Lớp 5 - Phân công'!$AB$14:$AB$262,"&lt;&gt;Chưa lên lịch",'Lớp 5 - Phân công'!$AB$14:$AB$262,"&lt;&gt;Đã lên lịch")/COUNTIFS('Lớp 5 - Phân công'!$J$14:$J$262,I51,'Lớp 5 - Phân công'!$AB$14:$AB$262,"&lt;&gt;",'Lớp 5 - Phân công'!$AB$14:$AB$262,"&lt;&gt;Hủy",'Lớp 5 - Phân công'!$AB$14:$AB$262,"&lt;&gt;Chưa lên lịch",'Lớp 5 - Phân công'!$AB$14:$AB$262,"&lt;&gt;Đã lên lịch"),IF(AA51="Hoàn thành",1,0)))))</f>
        <v/>
      </c>
      <c r="AG51" s="461" t="str">
        <f>IF(AL51&lt;&gt;"Có thời hạn","",IF(OR(I51="",AC51="",AD51=""),"",IF(OR(AA51="Hoàn thành",AA51="Hủy"),0,IF(AD51&lt;TODAY(),-_xlfn.NETWORKDAYS.INTL(AD51,TODAY()-1,11,'Ngày nghỉ lễ'!$A$5:$A$80),MAX(0,_xlfn.NETWORKDAYS.INTL(MAX(TODAY()+1,AC51),AD51,11,'Ngày nghỉ lễ'!$A$5:$A$80))))))</f>
        <v/>
      </c>
      <c r="AH51" s="466" t="str">
        <f>IF($I51="","",LET(n,COUNTIFS('Lớp 5 - Phân công'!$J$14:$J$262,$I51,'Lớp 5 - Phân công'!$AB$14:$AB$262,"&lt;&gt;Hủy"),du,COUNTIFS('Lớp 5 - Phân công'!$J$14:$J$262,$I51,'Lớp 5 - Phân công'!$AB$14:$AB$262,"&lt;&gt;Hủy",'Lớp 5 - Phân công'!$AI$14:$AI$262,"&lt;&gt;"),IF(n=0,'Trung tâm nhập liệu'!T154,IF(du&lt;n,"",SUMIFS('Lớp 5 - Phân công'!$AI$14:$AI$262,'Lớp 5 - Phân công'!$J$14:$J$262,$I51,'Lớp 5 - Phân công'!$AB$14:$AB$262,"&lt;&gt;Hủy")))))</f>
        <v/>
      </c>
      <c r="AI51" s="468" t="str">
        <f>IF(I51="","",IF(OR(AA51="Hoàn thành",AA51="Hủy"),"",IF(COUNTIFS('Lớp 5 - Phân công'!$J$14:$J$262,I51,'Lớp 5 - Phân công'!$AB$14:$AB$262,"&lt;&gt;Hủy")&gt;0,"",IF(AR51="Ngày",AS51,IF(AR51="Tuần",AS51/5,"")))))</f>
        <v/>
      </c>
      <c r="AJ51" s="477" t="str">
        <f>IF(AL51="Chưa xếp lịch","Chưa xếp lịch",IF(AL51="Định kỳ",IF(AM51="","Thiếu chu kỳ","Theo chu kỳ"),IF(AL51="Khi phát sinh",IF(COUNTIFS('Lớp 5 - Phân công'!$J$14:$J$262,$I51,'Lớp 5 - Phân công'!$AB$14:$AB$262,"&lt;&gt;Hủy")=0,"Khi phát sinh – chờ việc con","Khi phát sinh – theo ngày con"),IF(I51="","",LET(n,COUNTIFS('Lớp 5 - Phân công'!$J$14:$J$262,$I51,'Lớp 5 - Phân công'!$AB$14:$AB$262,"&lt;&gt;Hủy"),cs,IFERROR(MINIFS('Lớp 5 - Phân công'!$AD$14:$AD$262,'Lớp 5 - Phân công'!$J$14:$J$262,$I51,'Lớp 5 - Phân công'!$AB$14:$AB$262,"&lt;&gt;Hủy",'Lớp 5 - Phân công'!$AD$14:$AD$262,"&gt;0"),0),ce,IFERROR(MAXIFS('Lớp 5 - Phân công'!$AE$14:$AE$262,'Lớp 5 - Phân công'!$J$14:$J$262,$I51,'Lớp 5 - Phân công'!$AB$14:$AB$262,"&lt;&gt;Hủy",'Lớp 5 - Phân công'!$AE$14:$AE$262,"&gt;0"),0),ps,'Trung tâm nhập liệu'!R154,pe,'Trung tâm nhập liệu'!Q154,IF(OR(AC51="",AD51=""),"Thiếu ngày L4",IF(n=0,"Chưa có L5",IF(OR(cs=0,ce=0),"Thiếu ngày L5",IF(OR(ps="",pe=""),"Thiếu ngày kế hoạch gốc L4",IF(OR(cs&lt;ps,ce&gt;pe),"Cảnh báo: Con vượt khung kế hoạch gốc","L5 đúng khung kế hoạch gốc"))))))))))</f>
        <v/>
      </c>
      <c r="AK51" s="465" t="str">
        <f>IF(OR(AU51="Thiếu tham số phân bổ",AU51="Phân bổ phải &gt; 0"),AU51,SWITCH(AL51,"Chưa xếp lịch","Chưa tính tải","Định kỳ","Theo chu kỳ","Khi phát sinh","Khi phát sinh",IF(I51="","",IF(OR(AA51="Hoàn thành",AA51="Hủy"),AA51,IF(COUNTIFS('Lớp 5 - Phân công'!$J$14:$J$262,I51,'Lớp 5 - Phân công'!$AB$14:$AB$262,"&lt;&gt;Hủy")&gt;0,"Theo dõi tải tại Lớp 5",IF(AH51="","Chưa nhập khối lượng",IF(Z51="","Thiếu người thực hiện",IF(OR(AC51="",AD51=""),"Chưa nhập đủ thời gian",IF(AG51&lt;0,"Quá hạn – còn "&amp;TEXT(MAX(0,AH51*(1-AF51)),"0.0")&amp;" giờ",LET(bd,MAX(TODAY(),AC51),kt,AD51,nguoi,Z51,tai,SUMIFS('Lớp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L51" s="467" t="str">
        <f>'Trung tâm nhập liệu'!O154</f>
        <v/>
      </c>
      <c r="AM51" s="469" t="str">
        <f>'Trung tâm nhập liệu'!P154</f>
        <v/>
      </c>
      <c r="AN51" s="470" t="str">
        <f>'Trung tâm nhập liệu'!S154</f>
        <v/>
      </c>
      <c r="AO51" s="470" t="str">
        <f>'Trung tâm nhập liệu'!X154</f>
        <v/>
      </c>
      <c r="AP51" s="471" t="str">
        <f t="shared" si="18"/>
        <v/>
      </c>
      <c r="AQ51" s="469" t="str">
        <f t="shared" si="19"/>
        <v/>
      </c>
      <c r="AR51" s="475" t="str">
        <f>'Trung tâm nhập liệu'!V154</f>
        <v/>
      </c>
      <c r="AS51" s="476" t="str">
        <f>'Trung tâm nhập liệu'!W154</f>
        <v/>
      </c>
      <c r="AT51" s="478" t="str">
        <f>IF(AL51&lt;&gt;"Có thời hạn","",IF(OR(I51="",AH51="",AA51="Hoàn thành",AA51="Hủy",COUNTIFS('Lớp 5 - Phân công'!$J$14:$J$262,I51,'Lớp 5 - Phân công'!$AB$14:$AB$262,"&lt;&gt;Hủy")&gt;0),"",LET(canNgay,MAX(0,AH51*(1-AF51))/MAX(1,AG51),IF(AR51="Ngày",canNgay,IF(AR51="Tuần",canNgay*5,"")))))</f>
        <v/>
      </c>
      <c r="AU51" s="465" t="str">
        <f>IF(I51="","",IF(COUNTIFS('Lớp 5 - Phân công'!$J$14:$J$262,I51,'Lớp 5 - Phân công'!$AB$14:$AB$262,"&lt;&gt;Hủy")&gt;0,"Theo dõi phân bổ tại Lớp 5",IF(OR(AA51="Hoàn thành",AA51="Hủy"),AA51,IF(AH51="","Thiếu tổng giờ",IF(OR(AR51="",AS51=""),"Thiếu tham số phân bổ",IF(AS51&lt;=0,"Phân bổ phải &gt; 0",IF(AL51&lt;&gt;"Có thời hạn","Đã có phân bổ",IF(AT51="","Chưa đủ dữ liệu hạn",IF(AS51&gt;=AT51,"Đủ phân bổ theo "&amp;LOWER(AR51),"Thiếu "&amp;TEXT(AT51-AS51,"0.0")&amp;" giờ/"&amp;LOWER(AR51))))))))))</f>
        <v/>
      </c>
      <c r="AV51" s="465" t="str">
        <f t="shared" si="20"/>
        <v/>
      </c>
      <c r="AW51" s="479" t="str">
        <f>'Trung tâm nhập liệu'!Y154</f>
        <v/>
      </c>
    </row>
    <row r="52" ht="15.75" customHeight="1">
      <c r="A52" s="424" t="str">
        <f t="shared" si="11"/>
        <v/>
      </c>
      <c r="B52" s="425" t="str">
        <f>'Trung tâm nhập liệu'!F155</f>
        <v/>
      </c>
      <c r="C52" s="427" t="str">
        <f>'Trung tâm nhập liệu'!M155</f>
        <v/>
      </c>
      <c r="D52" s="528" t="str">
        <f t="shared" ref="D52:E52" si="148">AF52</f>
        <v/>
      </c>
      <c r="E52" s="501" t="str">
        <f t="shared" si="148"/>
        <v/>
      </c>
      <c r="F52" s="431" t="str">
        <f t="shared" ref="F52:G52" si="149">S52</f>
        <v/>
      </c>
      <c r="G52" s="431" t="str">
        <f t="shared" si="149"/>
        <v/>
      </c>
      <c r="H52" s="432" t="str">
        <f>IF(B52="","",IF(COUNTIF('Lớp 5 - Phân công'!$J$14:$J$262,I52)&gt;0,"Có","Không"))</f>
        <v/>
      </c>
      <c r="I52" s="434" t="str">
        <f>'Trung tâm nhập liệu'!B155</f>
        <v/>
      </c>
      <c r="J52" s="432" t="str">
        <f>'Trung tâm nhập liệu'!D155</f>
        <v/>
      </c>
      <c r="K52" s="436" t="str">
        <f t="array" ref="K52">IFERROR(INDEX('Lớp 3 - Công việc chính'!$J$14:$J$73,MATCH(J52,'Lớp 3 - Công việc chính'!$I$14:$I$73,0)),"")</f>
        <v/>
      </c>
      <c r="L52" s="438" t="str">
        <f t="array" ref="L52">IFERROR(INDEX('Lớp 3 - Công việc chính'!$K$14:$K$73,MATCH(J52,'Lớp 3 - Công việc chính'!$I$14:$I$73,0)),"")</f>
        <v/>
      </c>
      <c r="M52" s="439" t="str">
        <f t="array" ref="M52">IFERROR(INDEX('Lớp 3 - Công việc chính'!$L$14:$L$73,MATCH(J52,'Lớp 3 - Công việc chính'!$I$14:$I$73,0)),"")</f>
        <v/>
      </c>
      <c r="N52" s="439" t="str">
        <f t="array" ref="N52">IFERROR(INDEX('Lớp 3 - Công việc chính'!$M$14:$M$73,MATCH(J52,'Lớp 3 - Công việc chính'!$I$14:$I$73,0)),"")</f>
        <v/>
      </c>
      <c r="O52" s="440" t="str">
        <f t="shared" ref="O52:R52" si="150">B52</f>
        <v/>
      </c>
      <c r="P52" s="441" t="str">
        <f t="shared" si="150"/>
        <v/>
      </c>
      <c r="Q52" s="442" t="str">
        <f t="shared" si="150"/>
        <v/>
      </c>
      <c r="R52" s="443" t="str">
        <f t="shared" si="150"/>
        <v/>
      </c>
      <c r="S52" s="445" t="str">
        <f>IF($I52="","",LET(n,COUNTIFS('Lớp 5 - Phân công'!$J$14:$J$262,$I52,'Lớp 5 - Phân công'!$AB$14:$AB$262,"&lt;&gt;Hủy"),child,IFERROR(MAXIFS('Lớp 5 - Phân công'!$AE$14:$AE$262,'Lớp 5 - Phân công'!$J$14:$J$262,$I52,'Lớp 5 - Phân công'!$AB$14:$AB$262,"&lt;&gt;Hủy",'Lớp 5 - Phân công'!$AE$14:$AE$262,"&gt;0"),0),plan,'Trung tâm nhập liệu'!Q155,emergent,LOWER(TRIM('Trung tâm nhập liệu'!O155))="khi phát sinh",IF(n=0,IF(emergent,"",plan),IF(child=0,IF(emergent,"",plan),IF(OR(emergent,plan=""),child,MAX(plan,child))))))</f>
        <v/>
      </c>
      <c r="T52" s="447" t="str">
        <f>IF($I52="","",LET(n,COUNTIFS('Lớp 5 - Phân công'!$J$14:$J$262,$I52,'Lớp 5 - Phân công'!$AB$14:$AB$262,"&lt;&gt;Hủy"),child,IFERROR(MINIFS('Lớp 5 - Phân công'!$AD$14:$AD$262,'Lớp 5 - Phân công'!$J$14:$J$262,$I52,'Lớp 5 - Phân công'!$AB$14:$AB$262,"&lt;&gt;Hủy",'Lớp 5 - Phân công'!$AD$14:$AD$262,"&gt;0"),0),plan,'Trung tâm nhập liệu'!R155,emergent,LOWER(TRIM('Trung tâm nhập liệu'!O155))="khi phát sinh",IF(n=0,IF(emergent,"",plan),IF(child=0,IF(emergent,"",plan),IF(OR(emergent,plan=""),child,MIN(plan,child))))))</f>
        <v/>
      </c>
      <c r="U52" s="432" t="str">
        <f t="shared" si="15"/>
        <v/>
      </c>
      <c r="V52" s="432" t="str">
        <f>'Trung tâm nhập liệu'!G155</f>
        <v/>
      </c>
      <c r="W52" s="432" t="str">
        <f>'Trung tâm nhập liệu'!H155</f>
        <v/>
      </c>
      <c r="X52" s="450" t="str">
        <f t="array" ref="X52">IFERROR(INDEX('Lớp 3 - Công việc chính'!$W$14:$W$73,MATCH(J52,'Lớp 3 - Công việc chính'!$I$14:$I$73,0)),"")</f>
        <v/>
      </c>
      <c r="Y52" s="432" t="str">
        <f>'Trung tâm nhập liệu'!J155</f>
        <v/>
      </c>
      <c r="Z52" s="432" t="str">
        <f>'Trung tâm nhập liệu'!K155</f>
        <v/>
      </c>
      <c r="AA52" s="425" t="str">
        <f>'Trung tâm nhập liệu'!L155</f>
        <v/>
      </c>
      <c r="AB52" s="441" t="str">
        <f>'Trung tâm nhập liệu'!M155</f>
        <v/>
      </c>
      <c r="AC52" s="447" t="str">
        <f t="shared" si="16"/>
        <v/>
      </c>
      <c r="AD52" s="445" t="str">
        <f t="shared" si="17"/>
        <v/>
      </c>
      <c r="AE52" s="457" t="str">
        <f>IF(AL52&lt;&gt;"Có thời hạn","",IF(OR(AC52="",AD52=""),"",IF(AD52&lt;AC52,"",_xlfn.NETWORKDAYS.INTL(AC52,AD52,11,'Ngày nghỉ lễ'!$A$5:$A$80))))</f>
        <v/>
      </c>
      <c r="AF52" s="458" t="str">
        <f>IF(I52="","",IF(L52="Công việc khác","",IF(OR(AA52="Chưa lên lịch",AA52="Đã lên lịch",AA52="Hủy"),"",IF(COUNTIFS('Lớp 5 - Phân công'!$J$14:$J$262,I52,'Lớp 5 - Phân công'!$AB$14:$AB$262,"&lt;&gt;",'Lớp 5 - Phân công'!$AB$14:$AB$262,"&lt;&gt;Hủy",'Lớp 5 - Phân công'!$AB$14:$AB$262,"&lt;&gt;Chưa lên lịch",'Lớp 5 - Phân công'!$AB$14:$AB$262,"&lt;&gt;Đã lên lịch")&gt;0,SUMIFS('Lớp 5 - Phân công'!$AG$14:$AG$262,'Lớp 5 - Phân công'!$J$14:$J$262,I52,'Lớp 5 - Phân công'!$AB$14:$AB$262,"&lt;&gt;",'Lớp 5 - Phân công'!$AB$14:$AB$262,"&lt;&gt;Hủy",'Lớp 5 - Phân công'!$AB$14:$AB$262,"&lt;&gt;Chưa lên lịch",'Lớp 5 - Phân công'!$AB$14:$AB$262,"&lt;&gt;Đã lên lịch")/COUNTIFS('Lớp 5 - Phân công'!$J$14:$J$262,I52,'Lớp 5 - Phân công'!$AB$14:$AB$262,"&lt;&gt;",'Lớp 5 - Phân công'!$AB$14:$AB$262,"&lt;&gt;Hủy",'Lớp 5 - Phân công'!$AB$14:$AB$262,"&lt;&gt;Chưa lên lịch",'Lớp 5 - Phân công'!$AB$14:$AB$262,"&lt;&gt;Đã lên lịch"),IF(AA52="Hoàn thành",1,0)))))</f>
        <v/>
      </c>
      <c r="AG52" s="461" t="str">
        <f>IF(AL52&lt;&gt;"Có thời hạn","",IF(OR(I52="",AC52="",AD52=""),"",IF(OR(AA52="Hoàn thành",AA52="Hủy"),0,IF(AD52&lt;TODAY(),-_xlfn.NETWORKDAYS.INTL(AD52,TODAY()-1,11,'Ngày nghỉ lễ'!$A$5:$A$80),MAX(0,_xlfn.NETWORKDAYS.INTL(MAX(TODAY()+1,AC52),AD52,11,'Ngày nghỉ lễ'!$A$5:$A$80))))))</f>
        <v/>
      </c>
      <c r="AH52" s="466" t="str">
        <f>IF($I52="","",LET(n,COUNTIFS('Lớp 5 - Phân công'!$J$14:$J$262,$I52,'Lớp 5 - Phân công'!$AB$14:$AB$262,"&lt;&gt;Hủy"),du,COUNTIFS('Lớp 5 - Phân công'!$J$14:$J$262,$I52,'Lớp 5 - Phân công'!$AB$14:$AB$262,"&lt;&gt;Hủy",'Lớp 5 - Phân công'!$AI$14:$AI$262,"&lt;&gt;"),IF(n=0,'Trung tâm nhập liệu'!T155,IF(du&lt;n,"",SUMIFS('Lớp 5 - Phân công'!$AI$14:$AI$262,'Lớp 5 - Phân công'!$J$14:$J$262,$I52,'Lớp 5 - Phân công'!$AB$14:$AB$262,"&lt;&gt;Hủy")))))</f>
        <v/>
      </c>
      <c r="AI52" s="468" t="str">
        <f>IF(I52="","",IF(OR(AA52="Hoàn thành",AA52="Hủy"),"",IF(COUNTIFS('Lớp 5 - Phân công'!$J$14:$J$262,I52,'Lớp 5 - Phân công'!$AB$14:$AB$262,"&lt;&gt;Hủy")&gt;0,"",IF(AR52="Ngày",AS52,IF(AR52="Tuần",AS52/5,"")))))</f>
        <v/>
      </c>
      <c r="AJ52" s="477" t="str">
        <f>IF(AL52="Chưa xếp lịch","Chưa xếp lịch",IF(AL52="Định kỳ",IF(AM52="","Thiếu chu kỳ","Theo chu kỳ"),IF(AL52="Khi phát sinh",IF(COUNTIFS('Lớp 5 - Phân công'!$J$14:$J$262,$I52,'Lớp 5 - Phân công'!$AB$14:$AB$262,"&lt;&gt;Hủy")=0,"Khi phát sinh – chờ việc con","Khi phát sinh – theo ngày con"),IF(I52="","",LET(n,COUNTIFS('Lớp 5 - Phân công'!$J$14:$J$262,$I52,'Lớp 5 - Phân công'!$AB$14:$AB$262,"&lt;&gt;Hủy"),cs,IFERROR(MINIFS('Lớp 5 - Phân công'!$AD$14:$AD$262,'Lớp 5 - Phân công'!$J$14:$J$262,$I52,'Lớp 5 - Phân công'!$AB$14:$AB$262,"&lt;&gt;Hủy",'Lớp 5 - Phân công'!$AD$14:$AD$262,"&gt;0"),0),ce,IFERROR(MAXIFS('Lớp 5 - Phân công'!$AE$14:$AE$262,'Lớp 5 - Phân công'!$J$14:$J$262,$I52,'Lớp 5 - Phân công'!$AB$14:$AB$262,"&lt;&gt;Hủy",'Lớp 5 - Phân công'!$AE$14:$AE$262,"&gt;0"),0),ps,'Trung tâm nhập liệu'!R155,pe,'Trung tâm nhập liệu'!Q155,IF(OR(AC52="",AD52=""),"Thiếu ngày L4",IF(n=0,"Chưa có L5",IF(OR(cs=0,ce=0),"Thiếu ngày L5",IF(OR(ps="",pe=""),"Thiếu ngày kế hoạch gốc L4",IF(OR(cs&lt;ps,ce&gt;pe),"Cảnh báo: Con vượt khung kế hoạch gốc","L5 đúng khung kế hoạch gốc"))))))))))</f>
        <v/>
      </c>
      <c r="AK52" s="465" t="str">
        <f>IF(OR(AU52="Thiếu tham số phân bổ",AU52="Phân bổ phải &gt; 0"),AU52,SWITCH(AL52,"Chưa xếp lịch","Chưa tính tải","Định kỳ","Theo chu kỳ","Khi phát sinh","Khi phát sinh",IF(I52="","",IF(OR(AA52="Hoàn thành",AA52="Hủy"),AA52,IF(COUNTIFS('Lớp 5 - Phân công'!$J$14:$J$262,I52,'Lớp 5 - Phân công'!$AB$14:$AB$262,"&lt;&gt;Hủy")&gt;0,"Theo dõi tải tại Lớp 5",IF(AH52="","Chưa nhập khối lượng",IF(Z52="","Thiếu người thực hiện",IF(OR(AC52="",AD52=""),"Chưa nhập đủ thời gian",IF(AG52&lt;0,"Quá hạn – còn "&amp;TEXT(MAX(0,AH52*(1-AF52)),"0.0")&amp;" giờ",LET(bd,MAX(TODAY(),AC52),kt,AD52,nguoi,Z52,tai,SUMIFS('Lớp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L52" s="467" t="str">
        <f>'Trung tâm nhập liệu'!O155</f>
        <v/>
      </c>
      <c r="AM52" s="469" t="str">
        <f>'Trung tâm nhập liệu'!P155</f>
        <v/>
      </c>
      <c r="AN52" s="470" t="str">
        <f>'Trung tâm nhập liệu'!S155</f>
        <v/>
      </c>
      <c r="AO52" s="470" t="str">
        <f>'Trung tâm nhập liệu'!X155</f>
        <v/>
      </c>
      <c r="AP52" s="471" t="str">
        <f t="shared" si="18"/>
        <v/>
      </c>
      <c r="AQ52" s="469" t="str">
        <f t="shared" si="19"/>
        <v/>
      </c>
      <c r="AR52" s="475" t="str">
        <f>'Trung tâm nhập liệu'!V155</f>
        <v/>
      </c>
      <c r="AS52" s="476" t="str">
        <f>'Trung tâm nhập liệu'!W155</f>
        <v/>
      </c>
      <c r="AT52" s="478" t="str">
        <f>IF(AL52&lt;&gt;"Có thời hạn","",IF(OR(I52="",AH52="",AA52="Hoàn thành",AA52="Hủy",COUNTIFS('Lớp 5 - Phân công'!$J$14:$J$262,I52,'Lớp 5 - Phân công'!$AB$14:$AB$262,"&lt;&gt;Hủy")&gt;0),"",LET(canNgay,MAX(0,AH52*(1-AF52))/MAX(1,AG52),IF(AR52="Ngày",canNgay,IF(AR52="Tuần",canNgay*5,"")))))</f>
        <v/>
      </c>
      <c r="AU52" s="465" t="str">
        <f>IF(I52="","",IF(COUNTIFS('Lớp 5 - Phân công'!$J$14:$J$262,I52,'Lớp 5 - Phân công'!$AB$14:$AB$262,"&lt;&gt;Hủy")&gt;0,"Theo dõi phân bổ tại Lớp 5",IF(OR(AA52="Hoàn thành",AA52="Hủy"),AA52,IF(AH52="","Thiếu tổng giờ",IF(OR(AR52="",AS52=""),"Thiếu tham số phân bổ",IF(AS52&lt;=0,"Phân bổ phải &gt; 0",IF(AL52&lt;&gt;"Có thời hạn","Đã có phân bổ",IF(AT52="","Chưa đủ dữ liệu hạn",IF(AS52&gt;=AT52,"Đủ phân bổ theo "&amp;LOWER(AR52),"Thiếu "&amp;TEXT(AT52-AS52,"0.0")&amp;" giờ/"&amp;LOWER(AR52))))))))))</f>
        <v/>
      </c>
      <c r="AV52" s="465" t="str">
        <f t="shared" si="20"/>
        <v/>
      </c>
      <c r="AW52" s="479" t="str">
        <f>'Trung tâm nhập liệu'!Y155</f>
        <v/>
      </c>
    </row>
    <row r="53" ht="15.75" customHeight="1">
      <c r="A53" s="424" t="str">
        <f t="shared" si="11"/>
        <v/>
      </c>
      <c r="B53" s="425" t="str">
        <f>'Trung tâm nhập liệu'!F156</f>
        <v/>
      </c>
      <c r="C53" s="427" t="str">
        <f>'Trung tâm nhập liệu'!M156</f>
        <v/>
      </c>
      <c r="D53" s="528" t="str">
        <f t="shared" ref="D53:E53" si="151">AF53</f>
        <v/>
      </c>
      <c r="E53" s="501" t="str">
        <f t="shared" si="151"/>
        <v/>
      </c>
      <c r="F53" s="431" t="str">
        <f t="shared" ref="F53:G53" si="152">S53</f>
        <v/>
      </c>
      <c r="G53" s="431" t="str">
        <f t="shared" si="152"/>
        <v/>
      </c>
      <c r="H53" s="432" t="str">
        <f>IF(B53="","",IF(COUNTIF('Lớp 5 - Phân công'!$J$14:$J$262,I53)&gt;0,"Có","Không"))</f>
        <v/>
      </c>
      <c r="I53" s="434" t="str">
        <f>'Trung tâm nhập liệu'!B156</f>
        <v/>
      </c>
      <c r="J53" s="432" t="str">
        <f>'Trung tâm nhập liệu'!D156</f>
        <v/>
      </c>
      <c r="K53" s="436" t="str">
        <f t="array" ref="K53">IFERROR(INDEX('Lớp 3 - Công việc chính'!$J$14:$J$73,MATCH(J53,'Lớp 3 - Công việc chính'!$I$14:$I$73,0)),"")</f>
        <v/>
      </c>
      <c r="L53" s="438" t="str">
        <f t="array" ref="L53">IFERROR(INDEX('Lớp 3 - Công việc chính'!$K$14:$K$73,MATCH(J53,'Lớp 3 - Công việc chính'!$I$14:$I$73,0)),"")</f>
        <v/>
      </c>
      <c r="M53" s="439" t="str">
        <f t="array" ref="M53">IFERROR(INDEX('Lớp 3 - Công việc chính'!$L$14:$L$73,MATCH(J53,'Lớp 3 - Công việc chính'!$I$14:$I$73,0)),"")</f>
        <v/>
      </c>
      <c r="N53" s="439" t="str">
        <f t="array" ref="N53">IFERROR(INDEX('Lớp 3 - Công việc chính'!$M$14:$M$73,MATCH(J53,'Lớp 3 - Công việc chính'!$I$14:$I$73,0)),"")</f>
        <v/>
      </c>
      <c r="O53" s="440" t="str">
        <f t="shared" ref="O53:R53" si="153">B53</f>
        <v/>
      </c>
      <c r="P53" s="441" t="str">
        <f t="shared" si="153"/>
        <v/>
      </c>
      <c r="Q53" s="442" t="str">
        <f t="shared" si="153"/>
        <v/>
      </c>
      <c r="R53" s="443" t="str">
        <f t="shared" si="153"/>
        <v/>
      </c>
      <c r="S53" s="445" t="str">
        <f>IF($I53="","",LET(n,COUNTIFS('Lớp 5 - Phân công'!$J$14:$J$262,$I53,'Lớp 5 - Phân công'!$AB$14:$AB$262,"&lt;&gt;Hủy"),child,IFERROR(MAXIFS('Lớp 5 - Phân công'!$AE$14:$AE$262,'Lớp 5 - Phân công'!$J$14:$J$262,$I53,'Lớp 5 - Phân công'!$AB$14:$AB$262,"&lt;&gt;Hủy",'Lớp 5 - Phân công'!$AE$14:$AE$262,"&gt;0"),0),plan,'Trung tâm nhập liệu'!Q156,emergent,LOWER(TRIM('Trung tâm nhập liệu'!O156))="khi phát sinh",IF(n=0,IF(emergent,"",plan),IF(child=0,IF(emergent,"",plan),IF(OR(emergent,plan=""),child,MAX(plan,child))))))</f>
        <v/>
      </c>
      <c r="T53" s="447" t="str">
        <f>IF($I53="","",LET(n,COUNTIFS('Lớp 5 - Phân công'!$J$14:$J$262,$I53,'Lớp 5 - Phân công'!$AB$14:$AB$262,"&lt;&gt;Hủy"),child,IFERROR(MINIFS('Lớp 5 - Phân công'!$AD$14:$AD$262,'Lớp 5 - Phân công'!$J$14:$J$262,$I53,'Lớp 5 - Phân công'!$AB$14:$AB$262,"&lt;&gt;Hủy",'Lớp 5 - Phân công'!$AD$14:$AD$262,"&gt;0"),0),plan,'Trung tâm nhập liệu'!R156,emergent,LOWER(TRIM('Trung tâm nhập liệu'!O156))="khi phát sinh",IF(n=0,IF(emergent,"",plan),IF(child=0,IF(emergent,"",plan),IF(OR(emergent,plan=""),child,MIN(plan,child))))))</f>
        <v/>
      </c>
      <c r="U53" s="432" t="str">
        <f t="shared" si="15"/>
        <v/>
      </c>
      <c r="V53" s="432" t="str">
        <f>'Trung tâm nhập liệu'!G156</f>
        <v/>
      </c>
      <c r="W53" s="432" t="str">
        <f>'Trung tâm nhập liệu'!H156</f>
        <v/>
      </c>
      <c r="X53" s="450" t="str">
        <f t="array" ref="X53">IFERROR(INDEX('Lớp 3 - Công việc chính'!$W$14:$W$73,MATCH(J53,'Lớp 3 - Công việc chính'!$I$14:$I$73,0)),"")</f>
        <v/>
      </c>
      <c r="Y53" s="432" t="str">
        <f>'Trung tâm nhập liệu'!J156</f>
        <v/>
      </c>
      <c r="Z53" s="432" t="str">
        <f>'Trung tâm nhập liệu'!K156</f>
        <v/>
      </c>
      <c r="AA53" s="425" t="str">
        <f>'Trung tâm nhập liệu'!L156</f>
        <v/>
      </c>
      <c r="AB53" s="441" t="str">
        <f>'Trung tâm nhập liệu'!M156</f>
        <v/>
      </c>
      <c r="AC53" s="447" t="str">
        <f t="shared" si="16"/>
        <v/>
      </c>
      <c r="AD53" s="445" t="str">
        <f t="shared" si="17"/>
        <v/>
      </c>
      <c r="AE53" s="457" t="str">
        <f>IF(AL53&lt;&gt;"Có thời hạn","",IF(OR(AC53="",AD53=""),"",IF(AD53&lt;AC53,"",_xlfn.NETWORKDAYS.INTL(AC53,AD53,11,'Ngày nghỉ lễ'!$A$5:$A$80))))</f>
        <v/>
      </c>
      <c r="AF53" s="458" t="str">
        <f>IF(I53="","",IF(L53="Công việc khác","",IF(OR(AA53="Chưa lên lịch",AA53="Đã lên lịch",AA53="Hủy"),"",IF(COUNTIFS('Lớp 5 - Phân công'!$J$14:$J$262,I53,'Lớp 5 - Phân công'!$AB$14:$AB$262,"&lt;&gt;",'Lớp 5 - Phân công'!$AB$14:$AB$262,"&lt;&gt;Hủy",'Lớp 5 - Phân công'!$AB$14:$AB$262,"&lt;&gt;Chưa lên lịch",'Lớp 5 - Phân công'!$AB$14:$AB$262,"&lt;&gt;Đã lên lịch")&gt;0,SUMIFS('Lớp 5 - Phân công'!$AG$14:$AG$262,'Lớp 5 - Phân công'!$J$14:$J$262,I53,'Lớp 5 - Phân công'!$AB$14:$AB$262,"&lt;&gt;",'Lớp 5 - Phân công'!$AB$14:$AB$262,"&lt;&gt;Hủy",'Lớp 5 - Phân công'!$AB$14:$AB$262,"&lt;&gt;Chưa lên lịch",'Lớp 5 - Phân công'!$AB$14:$AB$262,"&lt;&gt;Đã lên lịch")/COUNTIFS('Lớp 5 - Phân công'!$J$14:$J$262,I53,'Lớp 5 - Phân công'!$AB$14:$AB$262,"&lt;&gt;",'Lớp 5 - Phân công'!$AB$14:$AB$262,"&lt;&gt;Hủy",'Lớp 5 - Phân công'!$AB$14:$AB$262,"&lt;&gt;Chưa lên lịch",'Lớp 5 - Phân công'!$AB$14:$AB$262,"&lt;&gt;Đã lên lịch"),IF(AA53="Hoàn thành",1,0)))))</f>
        <v/>
      </c>
      <c r="AG53" s="461" t="str">
        <f>IF(AL53&lt;&gt;"Có thời hạn","",IF(OR(I53="",AC53="",AD53=""),"",IF(OR(AA53="Hoàn thành",AA53="Hủy"),0,IF(AD53&lt;TODAY(),-_xlfn.NETWORKDAYS.INTL(AD53,TODAY()-1,11,'Ngày nghỉ lễ'!$A$5:$A$80),MAX(0,_xlfn.NETWORKDAYS.INTL(MAX(TODAY()+1,AC53),AD53,11,'Ngày nghỉ lễ'!$A$5:$A$80))))))</f>
        <v/>
      </c>
      <c r="AH53" s="466" t="str">
        <f>IF($I53="","",LET(n,COUNTIFS('Lớp 5 - Phân công'!$J$14:$J$262,$I53,'Lớp 5 - Phân công'!$AB$14:$AB$262,"&lt;&gt;Hủy"),du,COUNTIFS('Lớp 5 - Phân công'!$J$14:$J$262,$I53,'Lớp 5 - Phân công'!$AB$14:$AB$262,"&lt;&gt;Hủy",'Lớp 5 - Phân công'!$AI$14:$AI$262,"&lt;&gt;"),IF(n=0,'Trung tâm nhập liệu'!T156,IF(du&lt;n,"",SUMIFS('Lớp 5 - Phân công'!$AI$14:$AI$262,'Lớp 5 - Phân công'!$J$14:$J$262,$I53,'Lớp 5 - Phân công'!$AB$14:$AB$262,"&lt;&gt;Hủy")))))</f>
        <v/>
      </c>
      <c r="AI53" s="468" t="str">
        <f>IF(I53="","",IF(OR(AA53="Hoàn thành",AA53="Hủy"),"",IF(COUNTIFS('Lớp 5 - Phân công'!$J$14:$J$262,I53,'Lớp 5 - Phân công'!$AB$14:$AB$262,"&lt;&gt;Hủy")&gt;0,"",IF(AR53="Ngày",AS53,IF(AR53="Tuần",AS53/5,"")))))</f>
        <v/>
      </c>
      <c r="AJ53" s="477" t="str">
        <f>IF(AL53="Chưa xếp lịch","Chưa xếp lịch",IF(AL53="Định kỳ",IF(AM53="","Thiếu chu kỳ","Theo chu kỳ"),IF(AL53="Khi phát sinh",IF(COUNTIFS('Lớp 5 - Phân công'!$J$14:$J$262,$I53,'Lớp 5 - Phân công'!$AB$14:$AB$262,"&lt;&gt;Hủy")=0,"Khi phát sinh – chờ việc con","Khi phát sinh – theo ngày con"),IF(I53="","",LET(n,COUNTIFS('Lớp 5 - Phân công'!$J$14:$J$262,$I53,'Lớp 5 - Phân công'!$AB$14:$AB$262,"&lt;&gt;Hủy"),cs,IFERROR(MINIFS('Lớp 5 - Phân công'!$AD$14:$AD$262,'Lớp 5 - Phân công'!$J$14:$J$262,$I53,'Lớp 5 - Phân công'!$AB$14:$AB$262,"&lt;&gt;Hủy",'Lớp 5 - Phân công'!$AD$14:$AD$262,"&gt;0"),0),ce,IFERROR(MAXIFS('Lớp 5 - Phân công'!$AE$14:$AE$262,'Lớp 5 - Phân công'!$J$14:$J$262,$I53,'Lớp 5 - Phân công'!$AB$14:$AB$262,"&lt;&gt;Hủy",'Lớp 5 - Phân công'!$AE$14:$AE$262,"&gt;0"),0),ps,'Trung tâm nhập liệu'!R156,pe,'Trung tâm nhập liệu'!Q156,IF(OR(AC53="",AD53=""),"Thiếu ngày L4",IF(n=0,"Chưa có L5",IF(OR(cs=0,ce=0),"Thiếu ngày L5",IF(OR(ps="",pe=""),"Thiếu ngày kế hoạch gốc L4",IF(OR(cs&lt;ps,ce&gt;pe),"Cảnh báo: Con vượt khung kế hoạch gốc","L5 đúng khung kế hoạch gốc"))))))))))</f>
        <v/>
      </c>
      <c r="AK53" s="465" t="str">
        <f>IF(OR(AU53="Thiếu tham số phân bổ",AU53="Phân bổ phải &gt; 0"),AU53,SWITCH(AL53,"Chưa xếp lịch","Chưa tính tải","Định kỳ","Theo chu kỳ","Khi phát sinh","Khi phát sinh",IF(I53="","",IF(OR(AA53="Hoàn thành",AA53="Hủy"),AA53,IF(COUNTIFS('Lớp 5 - Phân công'!$J$14:$J$262,I53,'Lớp 5 - Phân công'!$AB$14:$AB$262,"&lt;&gt;Hủy")&gt;0,"Theo dõi tải tại Lớp 5",IF(AH53="","Chưa nhập khối lượng",IF(Z53="","Thiếu người thực hiện",IF(OR(AC53="",AD53=""),"Chưa nhập đủ thời gian",IF(AG53&lt;0,"Quá hạn – còn "&amp;TEXT(MAX(0,AH53*(1-AF53)),"0.0")&amp;" giờ",LET(bd,MAX(TODAY(),AC53),kt,AD53,nguoi,Z53,tai,SUMIFS('Lớp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L53" s="467" t="str">
        <f>'Trung tâm nhập liệu'!O156</f>
        <v/>
      </c>
      <c r="AM53" s="469" t="str">
        <f>'Trung tâm nhập liệu'!P156</f>
        <v/>
      </c>
      <c r="AN53" s="470" t="str">
        <f>'Trung tâm nhập liệu'!S156</f>
        <v/>
      </c>
      <c r="AO53" s="470" t="str">
        <f>'Trung tâm nhập liệu'!X156</f>
        <v/>
      </c>
      <c r="AP53" s="471" t="str">
        <f t="shared" si="18"/>
        <v/>
      </c>
      <c r="AQ53" s="469" t="str">
        <f t="shared" si="19"/>
        <v/>
      </c>
      <c r="AR53" s="475" t="str">
        <f>'Trung tâm nhập liệu'!V156</f>
        <v/>
      </c>
      <c r="AS53" s="476" t="str">
        <f>'Trung tâm nhập liệu'!W156</f>
        <v/>
      </c>
      <c r="AT53" s="478" t="str">
        <f>IF(AL53&lt;&gt;"Có thời hạn","",IF(OR(I53="",AH53="",AA53="Hoàn thành",AA53="Hủy",COUNTIFS('Lớp 5 - Phân công'!$J$14:$J$262,I53,'Lớp 5 - Phân công'!$AB$14:$AB$262,"&lt;&gt;Hủy")&gt;0),"",LET(canNgay,MAX(0,AH53*(1-AF53))/MAX(1,AG53),IF(AR53="Ngày",canNgay,IF(AR53="Tuần",canNgay*5,"")))))</f>
        <v/>
      </c>
      <c r="AU53" s="465" t="str">
        <f>IF(I53="","",IF(COUNTIFS('Lớp 5 - Phân công'!$J$14:$J$262,I53,'Lớp 5 - Phân công'!$AB$14:$AB$262,"&lt;&gt;Hủy")&gt;0,"Theo dõi phân bổ tại Lớp 5",IF(OR(AA53="Hoàn thành",AA53="Hủy"),AA53,IF(AH53="","Thiếu tổng giờ",IF(OR(AR53="",AS53=""),"Thiếu tham số phân bổ",IF(AS53&lt;=0,"Phân bổ phải &gt; 0",IF(AL53&lt;&gt;"Có thời hạn","Đã có phân bổ",IF(AT53="","Chưa đủ dữ liệu hạn",IF(AS53&gt;=AT53,"Đủ phân bổ theo "&amp;LOWER(AR53),"Thiếu "&amp;TEXT(AT53-AS53,"0.0")&amp;" giờ/"&amp;LOWER(AR53))))))))))</f>
        <v/>
      </c>
      <c r="AV53" s="465" t="str">
        <f t="shared" si="20"/>
        <v/>
      </c>
      <c r="AW53" s="479" t="str">
        <f>'Trung tâm nhập liệu'!Y156</f>
        <v/>
      </c>
    </row>
    <row r="54" ht="15.75" customHeight="1">
      <c r="A54" s="424"/>
      <c r="B54" s="425"/>
      <c r="C54" s="427"/>
      <c r="D54" s="616"/>
      <c r="E54" s="567"/>
      <c r="F54" s="431"/>
      <c r="G54" s="431"/>
      <c r="H54" s="432"/>
      <c r="I54" s="434"/>
      <c r="J54" s="432"/>
      <c r="K54" s="436"/>
      <c r="L54" s="438"/>
      <c r="M54" s="439"/>
      <c r="N54" s="439"/>
      <c r="O54" s="440"/>
      <c r="P54" s="441"/>
      <c r="Q54" s="442"/>
      <c r="R54" s="443"/>
      <c r="S54" s="445" t="str">
        <f>IF($I54="","",LET(n,COUNTIFS('Lớp 5 - Phân công'!$J$14:$J$262,$I54,'Lớp 5 - Phân công'!$AB$14:$AB$262,"&lt;&gt;Hủy"),child,IFERROR(MAXIFS('Lớp 5 - Phân công'!$AE$14:$AE$262,'Lớp 5 - Phân công'!$J$14:$J$262,$I54,'Lớp 5 - Phân công'!$AB$14:$AB$262,"&lt;&gt;Hủy",'Lớp 5 - Phân công'!$AE$14:$AE$262,"&gt;0"),0),plan,'Trung tâm nhập liệu'!Q157,emergent,LOWER(TRIM('Trung tâm nhập liệu'!O157))="khi phát sinh",IF(n=0,IF(emergent,"",plan),IF(child=0,IF(emergent,"",plan),IF(OR(emergent,plan=""),child,MAX(plan,child))))))</f>
        <v/>
      </c>
      <c r="T54" s="447" t="str">
        <f>IF($I54="","",LET(n,COUNTIFS('Lớp 5 - Phân công'!$J$14:$J$262,$I54,'Lớp 5 - Phân công'!$AB$14:$AB$262,"&lt;&gt;Hủy"),child,IFERROR(MINIFS('Lớp 5 - Phân công'!$AD$14:$AD$262,'Lớp 5 - Phân công'!$J$14:$J$262,$I54,'Lớp 5 - Phân công'!$AB$14:$AB$262,"&lt;&gt;Hủy",'Lớp 5 - Phân công'!$AD$14:$AD$262,"&gt;0"),0),plan,'Trung tâm nhập liệu'!R157,emergent,LOWER(TRIM('Trung tâm nhập liệu'!O157))="khi phát sinh",IF(n=0,IF(emergent,"",plan),IF(child=0,IF(emergent,"",plan),IF(OR(emergent,plan=""),child,MIN(plan,child))))))</f>
        <v/>
      </c>
      <c r="U54" s="432"/>
      <c r="V54" s="432"/>
      <c r="W54" s="432"/>
      <c r="X54" s="450"/>
      <c r="Y54" s="432"/>
      <c r="Z54" s="432"/>
      <c r="AA54" s="425"/>
      <c r="AB54" s="441"/>
      <c r="AC54" s="447"/>
      <c r="AD54" s="445"/>
      <c r="AE54" s="457"/>
      <c r="AF54" s="458"/>
      <c r="AG54" s="461"/>
      <c r="AH54" s="466"/>
      <c r="AI54" s="468"/>
      <c r="AJ54" s="477" t="str">
        <f>IF(AL54="Chưa xếp lịch","Chưa xếp lịch",IF(AL54="Định kỳ",IF(AM54="","Thiếu chu kỳ","Theo chu kỳ"),IF(AL54="Khi phát sinh",IF(COUNTIFS('Lớp 5 - Phân công'!$J$14:$J$262,$I54,'Lớp 5 - Phân công'!$AB$14:$AB$262,"&lt;&gt;Hủy")=0,"Khi phát sinh – chờ việc con","Khi phát sinh – theo ngày con"),IF(I54="","",LET(n,COUNTIFS('Lớp 5 - Phân công'!$J$14:$J$262,$I54,'Lớp 5 - Phân công'!$AB$14:$AB$262,"&lt;&gt;Hủy"),cs,IFERROR(MINIFS('Lớp 5 - Phân công'!$AD$14:$AD$262,'Lớp 5 - Phân công'!$J$14:$J$262,$I54,'Lớp 5 - Phân công'!$AB$14:$AB$262,"&lt;&gt;Hủy",'Lớp 5 - Phân công'!$AD$14:$AD$262,"&gt;0"),0),ce,IFERROR(MAXIFS('Lớp 5 - Phân công'!$AE$14:$AE$262,'Lớp 5 - Phân công'!$J$14:$J$262,$I54,'Lớp 5 - Phân công'!$AB$14:$AB$262,"&lt;&gt;Hủy",'Lớp 5 - Phân công'!$AE$14:$AE$262,"&gt;0"),0),ps,'Trung tâm nhập liệu'!R157,pe,'Trung tâm nhập liệu'!Q157,IF(OR(AC54="",AD54=""),"Thiếu ngày L4",IF(n=0,"Chưa có L5",IF(OR(cs=0,ce=0),"Thiếu ngày L5",IF(OR(ps="",pe=""),"Thiếu ngày kế hoạch gốc L4",IF(OR(cs&lt;ps,ce&gt;pe),"Cảnh báo: Con vượt khung kế hoạch gốc","L5 đúng khung kế hoạch gốc"))))))))))</f>
        <v/>
      </c>
      <c r="AK54" s="465"/>
      <c r="AL54" s="467"/>
      <c r="AM54" s="469"/>
      <c r="AN54" s="470"/>
      <c r="AO54" s="470"/>
      <c r="AP54" s="471"/>
      <c r="AQ54" s="469"/>
      <c r="AR54" s="475"/>
      <c r="AS54" s="476"/>
      <c r="AT54" s="478"/>
      <c r="AU54" s="465"/>
      <c r="AV54" s="465"/>
      <c r="AW54" s="479"/>
    </row>
    <row r="55" ht="15.75" customHeight="1">
      <c r="A55" s="424"/>
      <c r="B55" s="425"/>
      <c r="C55" s="427"/>
      <c r="D55" s="616"/>
      <c r="E55" s="567"/>
      <c r="F55" s="431"/>
      <c r="G55" s="431"/>
      <c r="H55" s="432"/>
      <c r="I55" s="434"/>
      <c r="J55" s="432"/>
      <c r="K55" s="436"/>
      <c r="L55" s="438"/>
      <c r="M55" s="439"/>
      <c r="N55" s="439"/>
      <c r="O55" s="440"/>
      <c r="P55" s="441"/>
      <c r="Q55" s="442"/>
      <c r="R55" s="443"/>
      <c r="S55" s="445" t="str">
        <f>IF($I55="","",LET(n,COUNTIFS('Lớp 5 - Phân công'!$J$14:$J$262,$I55,'Lớp 5 - Phân công'!$AB$14:$AB$262,"&lt;&gt;Hủy"),child,IFERROR(MAXIFS('Lớp 5 - Phân công'!$AE$14:$AE$262,'Lớp 5 - Phân công'!$J$14:$J$262,$I55,'Lớp 5 - Phân công'!$AB$14:$AB$262,"&lt;&gt;Hủy",'Lớp 5 - Phân công'!$AE$14:$AE$262,"&gt;0"),0),plan,'Trung tâm nhập liệu'!Q158,emergent,LOWER(TRIM('Trung tâm nhập liệu'!O158))="khi phát sinh",IF(n=0,IF(emergent,"",plan),IF(child=0,IF(emergent,"",plan),IF(OR(emergent,plan=""),child,MAX(plan,child))))))</f>
        <v/>
      </c>
      <c r="T55" s="447" t="str">
        <f>IF($I55="","",LET(n,COUNTIFS('Lớp 5 - Phân công'!$J$14:$J$262,$I55,'Lớp 5 - Phân công'!$AB$14:$AB$262,"&lt;&gt;Hủy"),child,IFERROR(MINIFS('Lớp 5 - Phân công'!$AD$14:$AD$262,'Lớp 5 - Phân công'!$J$14:$J$262,$I55,'Lớp 5 - Phân công'!$AB$14:$AB$262,"&lt;&gt;Hủy",'Lớp 5 - Phân công'!$AD$14:$AD$262,"&gt;0"),0),plan,'Trung tâm nhập liệu'!R158,emergent,LOWER(TRIM('Trung tâm nhập liệu'!O158))="khi phát sinh",IF(n=0,IF(emergent,"",plan),IF(child=0,IF(emergent,"",plan),IF(OR(emergent,plan=""),child,MIN(plan,child))))))</f>
        <v/>
      </c>
      <c r="U55" s="432"/>
      <c r="V55" s="432"/>
      <c r="W55" s="432"/>
      <c r="X55" s="450"/>
      <c r="Y55" s="432"/>
      <c r="Z55" s="432"/>
      <c r="AA55" s="425"/>
      <c r="AB55" s="441"/>
      <c r="AC55" s="447"/>
      <c r="AD55" s="445"/>
      <c r="AE55" s="457"/>
      <c r="AF55" s="458"/>
      <c r="AG55" s="461"/>
      <c r="AH55" s="466"/>
      <c r="AI55" s="468"/>
      <c r="AJ55" s="477" t="str">
        <f>IF(AL55="Chưa xếp lịch","Chưa xếp lịch",IF(AL55="Định kỳ",IF(AM55="","Thiếu chu kỳ","Theo chu kỳ"),IF(AL55="Khi phát sinh",IF(COUNTIFS('Lớp 5 - Phân công'!$J$14:$J$262,$I55,'Lớp 5 - Phân công'!$AB$14:$AB$262,"&lt;&gt;Hủy")=0,"Khi phát sinh – chờ việc con","Khi phát sinh – theo ngày con"),IF(I55="","",LET(n,COUNTIFS('Lớp 5 - Phân công'!$J$14:$J$262,$I55,'Lớp 5 - Phân công'!$AB$14:$AB$262,"&lt;&gt;Hủy"),cs,IFERROR(MINIFS('Lớp 5 - Phân công'!$AD$14:$AD$262,'Lớp 5 - Phân công'!$J$14:$J$262,$I55,'Lớp 5 - Phân công'!$AB$14:$AB$262,"&lt;&gt;Hủy",'Lớp 5 - Phân công'!$AD$14:$AD$262,"&gt;0"),0),ce,IFERROR(MAXIFS('Lớp 5 - Phân công'!$AE$14:$AE$262,'Lớp 5 - Phân công'!$J$14:$J$262,$I55,'Lớp 5 - Phân công'!$AB$14:$AB$262,"&lt;&gt;Hủy",'Lớp 5 - Phân công'!$AE$14:$AE$262,"&gt;0"),0),ps,'Trung tâm nhập liệu'!R158,pe,'Trung tâm nhập liệu'!Q158,IF(OR(AC55="",AD55=""),"Thiếu ngày L4",IF(n=0,"Chưa có L5",IF(OR(cs=0,ce=0),"Thiếu ngày L5",IF(OR(ps="",pe=""),"Thiếu ngày kế hoạch gốc L4",IF(OR(cs&lt;ps,ce&gt;pe),"Cảnh báo: Con vượt khung kế hoạch gốc","L5 đúng khung kế hoạch gốc"))))))))))</f>
        <v/>
      </c>
      <c r="AK55" s="465"/>
      <c r="AL55" s="467"/>
      <c r="AM55" s="469"/>
      <c r="AN55" s="470"/>
      <c r="AO55" s="470"/>
      <c r="AP55" s="471"/>
      <c r="AQ55" s="469"/>
      <c r="AR55" s="475"/>
      <c r="AS55" s="476"/>
      <c r="AT55" s="478"/>
      <c r="AU55" s="465"/>
      <c r="AV55" s="465"/>
      <c r="AW55" s="479"/>
    </row>
    <row r="56" ht="15.75" customHeight="1">
      <c r="A56" s="424"/>
      <c r="B56" s="425"/>
      <c r="C56" s="427"/>
      <c r="D56" s="616"/>
      <c r="E56" s="567"/>
      <c r="F56" s="431"/>
      <c r="G56" s="431"/>
      <c r="H56" s="432"/>
      <c r="I56" s="434"/>
      <c r="J56" s="432"/>
      <c r="K56" s="436"/>
      <c r="L56" s="438"/>
      <c r="M56" s="439"/>
      <c r="N56" s="439"/>
      <c r="O56" s="440"/>
      <c r="P56" s="441"/>
      <c r="Q56" s="442"/>
      <c r="R56" s="443"/>
      <c r="S56" s="445" t="str">
        <f>IF($I56="","",LET(n,COUNTIFS('Lớp 5 - Phân công'!$J$14:$J$262,$I56,'Lớp 5 - Phân công'!$AB$14:$AB$262,"&lt;&gt;Hủy"),child,IFERROR(MAXIFS('Lớp 5 - Phân công'!$AE$14:$AE$262,'Lớp 5 - Phân công'!$J$14:$J$262,$I56,'Lớp 5 - Phân công'!$AB$14:$AB$262,"&lt;&gt;Hủy",'Lớp 5 - Phân công'!$AE$14:$AE$262,"&gt;0"),0),plan,'Trung tâm nhập liệu'!Q159,emergent,LOWER(TRIM('Trung tâm nhập liệu'!O159))="khi phát sinh",IF(n=0,IF(emergent,"",plan),IF(child=0,IF(emergent,"",plan),IF(OR(emergent,plan=""),child,MAX(plan,child))))))</f>
        <v/>
      </c>
      <c r="T56" s="447" t="str">
        <f>IF($I56="","",LET(n,COUNTIFS('Lớp 5 - Phân công'!$J$14:$J$262,$I56,'Lớp 5 - Phân công'!$AB$14:$AB$262,"&lt;&gt;Hủy"),child,IFERROR(MINIFS('Lớp 5 - Phân công'!$AD$14:$AD$262,'Lớp 5 - Phân công'!$J$14:$J$262,$I56,'Lớp 5 - Phân công'!$AB$14:$AB$262,"&lt;&gt;Hủy",'Lớp 5 - Phân công'!$AD$14:$AD$262,"&gt;0"),0),plan,'Trung tâm nhập liệu'!R159,emergent,LOWER(TRIM('Trung tâm nhập liệu'!O159))="khi phát sinh",IF(n=0,IF(emergent,"",plan),IF(child=0,IF(emergent,"",plan),IF(OR(emergent,plan=""),child,MIN(plan,child))))))</f>
        <v/>
      </c>
      <c r="U56" s="432"/>
      <c r="V56" s="432"/>
      <c r="W56" s="432"/>
      <c r="X56" s="450"/>
      <c r="Y56" s="432"/>
      <c r="Z56" s="432"/>
      <c r="AA56" s="425"/>
      <c r="AB56" s="441"/>
      <c r="AC56" s="447"/>
      <c r="AD56" s="445"/>
      <c r="AE56" s="457"/>
      <c r="AF56" s="458"/>
      <c r="AG56" s="461"/>
      <c r="AH56" s="466"/>
      <c r="AI56" s="468"/>
      <c r="AJ56" s="477" t="str">
        <f>IF(AL56="Chưa xếp lịch","Chưa xếp lịch",IF(AL56="Định kỳ",IF(AM56="","Thiếu chu kỳ","Theo chu kỳ"),IF(AL56="Khi phát sinh",IF(COUNTIFS('Lớp 5 - Phân công'!$J$14:$J$262,$I56,'Lớp 5 - Phân công'!$AB$14:$AB$262,"&lt;&gt;Hủy")=0,"Khi phát sinh – chờ việc con","Khi phát sinh – theo ngày con"),IF(I56="","",LET(n,COUNTIFS('Lớp 5 - Phân công'!$J$14:$J$262,$I56,'Lớp 5 - Phân công'!$AB$14:$AB$262,"&lt;&gt;Hủy"),cs,IFERROR(MINIFS('Lớp 5 - Phân công'!$AD$14:$AD$262,'Lớp 5 - Phân công'!$J$14:$J$262,$I56,'Lớp 5 - Phân công'!$AB$14:$AB$262,"&lt;&gt;Hủy",'Lớp 5 - Phân công'!$AD$14:$AD$262,"&gt;0"),0),ce,IFERROR(MAXIFS('Lớp 5 - Phân công'!$AE$14:$AE$262,'Lớp 5 - Phân công'!$J$14:$J$262,$I56,'Lớp 5 - Phân công'!$AB$14:$AB$262,"&lt;&gt;Hủy",'Lớp 5 - Phân công'!$AE$14:$AE$262,"&gt;0"),0),ps,'Trung tâm nhập liệu'!R159,pe,'Trung tâm nhập liệu'!Q159,IF(OR(AC56="",AD56=""),"Thiếu ngày L4",IF(n=0,"Chưa có L5",IF(OR(cs=0,ce=0),"Thiếu ngày L5",IF(OR(ps="",pe=""),"Thiếu ngày kế hoạch gốc L4",IF(OR(cs&lt;ps,ce&gt;pe),"Cảnh báo: Con vượt khung kế hoạch gốc","L5 đúng khung kế hoạch gốc"))))))))))</f>
        <v/>
      </c>
      <c r="AK56" s="465"/>
      <c r="AL56" s="467"/>
      <c r="AM56" s="469"/>
      <c r="AN56" s="470"/>
      <c r="AO56" s="470"/>
      <c r="AP56" s="471"/>
      <c r="AQ56" s="469"/>
      <c r="AR56" s="475"/>
      <c r="AS56" s="476"/>
      <c r="AT56" s="478"/>
      <c r="AU56" s="465"/>
      <c r="AV56" s="465"/>
      <c r="AW56" s="479"/>
    </row>
    <row r="57" ht="15.75" customHeight="1">
      <c r="A57" s="424"/>
      <c r="B57" s="425"/>
      <c r="C57" s="427"/>
      <c r="D57" s="616"/>
      <c r="E57" s="567"/>
      <c r="F57" s="431"/>
      <c r="G57" s="431"/>
      <c r="H57" s="432"/>
      <c r="I57" s="434"/>
      <c r="J57" s="432"/>
      <c r="K57" s="436"/>
      <c r="L57" s="438"/>
      <c r="M57" s="439"/>
      <c r="N57" s="439"/>
      <c r="O57" s="440"/>
      <c r="P57" s="441"/>
      <c r="Q57" s="442"/>
      <c r="R57" s="443"/>
      <c r="S57" s="445" t="str">
        <f>IF($I57="","",LET(n,COUNTIFS('Lớp 5 - Phân công'!$J$14:$J$262,$I57,'Lớp 5 - Phân công'!$AB$14:$AB$262,"&lt;&gt;Hủy"),child,IFERROR(MAXIFS('Lớp 5 - Phân công'!$AE$14:$AE$262,'Lớp 5 - Phân công'!$J$14:$J$262,$I57,'Lớp 5 - Phân công'!$AB$14:$AB$262,"&lt;&gt;Hủy",'Lớp 5 - Phân công'!$AE$14:$AE$262,"&gt;0"),0),plan,'Trung tâm nhập liệu'!Q160,emergent,LOWER(TRIM('Trung tâm nhập liệu'!O160))="khi phát sinh",IF(n=0,IF(emergent,"",plan),IF(child=0,IF(emergent,"",plan),IF(OR(emergent,plan=""),child,MAX(plan,child))))))</f>
        <v/>
      </c>
      <c r="T57" s="447" t="str">
        <f>IF($I57="","",LET(n,COUNTIFS('Lớp 5 - Phân công'!$J$14:$J$262,$I57,'Lớp 5 - Phân công'!$AB$14:$AB$262,"&lt;&gt;Hủy"),child,IFERROR(MINIFS('Lớp 5 - Phân công'!$AD$14:$AD$262,'Lớp 5 - Phân công'!$J$14:$J$262,$I57,'Lớp 5 - Phân công'!$AB$14:$AB$262,"&lt;&gt;Hủy",'Lớp 5 - Phân công'!$AD$14:$AD$262,"&gt;0"),0),plan,'Trung tâm nhập liệu'!R160,emergent,LOWER(TRIM('Trung tâm nhập liệu'!O160))="khi phát sinh",IF(n=0,IF(emergent,"",plan),IF(child=0,IF(emergent,"",plan),IF(OR(emergent,plan=""),child,MIN(plan,child))))))</f>
        <v/>
      </c>
      <c r="U57" s="432"/>
      <c r="V57" s="432"/>
      <c r="W57" s="432"/>
      <c r="X57" s="450"/>
      <c r="Y57" s="432"/>
      <c r="Z57" s="432"/>
      <c r="AA57" s="425"/>
      <c r="AB57" s="441"/>
      <c r="AC57" s="447"/>
      <c r="AD57" s="445"/>
      <c r="AE57" s="457"/>
      <c r="AF57" s="458"/>
      <c r="AG57" s="461"/>
      <c r="AH57" s="466"/>
      <c r="AI57" s="468"/>
      <c r="AJ57" s="477" t="str">
        <f>IF(AL57="Chưa xếp lịch","Chưa xếp lịch",IF(AL57="Định kỳ",IF(AM57="","Thiếu chu kỳ","Theo chu kỳ"),IF(AL57="Khi phát sinh",IF(COUNTIFS('Lớp 5 - Phân công'!$J$14:$J$262,$I57,'Lớp 5 - Phân công'!$AB$14:$AB$262,"&lt;&gt;Hủy")=0,"Khi phát sinh – chờ việc con","Khi phát sinh – theo ngày con"),IF(I57="","",LET(n,COUNTIFS('Lớp 5 - Phân công'!$J$14:$J$262,$I57,'Lớp 5 - Phân công'!$AB$14:$AB$262,"&lt;&gt;Hủy"),cs,IFERROR(MINIFS('Lớp 5 - Phân công'!$AD$14:$AD$262,'Lớp 5 - Phân công'!$J$14:$J$262,$I57,'Lớp 5 - Phân công'!$AB$14:$AB$262,"&lt;&gt;Hủy",'Lớp 5 - Phân công'!$AD$14:$AD$262,"&gt;0"),0),ce,IFERROR(MAXIFS('Lớp 5 - Phân công'!$AE$14:$AE$262,'Lớp 5 - Phân công'!$J$14:$J$262,$I57,'Lớp 5 - Phân công'!$AB$14:$AB$262,"&lt;&gt;Hủy",'Lớp 5 - Phân công'!$AE$14:$AE$262,"&gt;0"),0),ps,'Trung tâm nhập liệu'!R160,pe,'Trung tâm nhập liệu'!Q160,IF(OR(AC57="",AD57=""),"Thiếu ngày L4",IF(n=0,"Chưa có L5",IF(OR(cs=0,ce=0),"Thiếu ngày L5",IF(OR(ps="",pe=""),"Thiếu ngày kế hoạch gốc L4",IF(OR(cs&lt;ps,ce&gt;pe),"Cảnh báo: Con vượt khung kế hoạch gốc","L5 đúng khung kế hoạch gốc"))))))))))</f>
        <v/>
      </c>
      <c r="AK57" s="465"/>
      <c r="AL57" s="467"/>
      <c r="AM57" s="469"/>
      <c r="AN57" s="470"/>
      <c r="AO57" s="470"/>
      <c r="AP57" s="471"/>
      <c r="AQ57" s="469"/>
      <c r="AR57" s="475"/>
      <c r="AS57" s="476"/>
      <c r="AT57" s="478"/>
      <c r="AU57" s="465"/>
      <c r="AV57" s="465"/>
      <c r="AW57" s="479"/>
    </row>
    <row r="58" ht="15.75" customHeight="1">
      <c r="A58" s="424"/>
      <c r="B58" s="425"/>
      <c r="C58" s="427"/>
      <c r="D58" s="616"/>
      <c r="E58" s="567"/>
      <c r="F58" s="431"/>
      <c r="G58" s="431"/>
      <c r="H58" s="432"/>
      <c r="I58" s="434"/>
      <c r="J58" s="432"/>
      <c r="K58" s="436"/>
      <c r="L58" s="438"/>
      <c r="M58" s="439"/>
      <c r="N58" s="439"/>
      <c r="O58" s="440"/>
      <c r="P58" s="441"/>
      <c r="Q58" s="442"/>
      <c r="R58" s="443"/>
      <c r="S58" s="445" t="str">
        <f>IF($I58="","",LET(n,COUNTIFS('Lớp 5 - Phân công'!$J$14:$J$262,$I58,'Lớp 5 - Phân công'!$AB$14:$AB$262,"&lt;&gt;Hủy"),child,IFERROR(MAXIFS('Lớp 5 - Phân công'!$AE$14:$AE$262,'Lớp 5 - Phân công'!$J$14:$J$262,$I58,'Lớp 5 - Phân công'!$AB$14:$AB$262,"&lt;&gt;Hủy",'Lớp 5 - Phân công'!$AE$14:$AE$262,"&gt;0"),0),plan,'Trung tâm nhập liệu'!Q161,emergent,LOWER(TRIM('Trung tâm nhập liệu'!O161))="khi phát sinh",IF(n=0,IF(emergent,"",plan),IF(child=0,IF(emergent,"",plan),IF(OR(emergent,plan=""),child,MAX(plan,child))))))</f>
        <v/>
      </c>
      <c r="T58" s="447" t="str">
        <f>IF($I58="","",LET(n,COUNTIFS('Lớp 5 - Phân công'!$J$14:$J$262,$I58,'Lớp 5 - Phân công'!$AB$14:$AB$262,"&lt;&gt;Hủy"),child,IFERROR(MINIFS('Lớp 5 - Phân công'!$AD$14:$AD$262,'Lớp 5 - Phân công'!$J$14:$J$262,$I58,'Lớp 5 - Phân công'!$AB$14:$AB$262,"&lt;&gt;Hủy",'Lớp 5 - Phân công'!$AD$14:$AD$262,"&gt;0"),0),plan,'Trung tâm nhập liệu'!R161,emergent,LOWER(TRIM('Trung tâm nhập liệu'!O161))="khi phát sinh",IF(n=0,IF(emergent,"",plan),IF(child=0,IF(emergent,"",plan),IF(OR(emergent,plan=""),child,MIN(plan,child))))))</f>
        <v/>
      </c>
      <c r="U58" s="432"/>
      <c r="V58" s="432"/>
      <c r="W58" s="432"/>
      <c r="X58" s="450"/>
      <c r="Y58" s="432"/>
      <c r="Z58" s="432"/>
      <c r="AA58" s="425"/>
      <c r="AB58" s="441"/>
      <c r="AC58" s="447"/>
      <c r="AD58" s="445"/>
      <c r="AE58" s="457"/>
      <c r="AF58" s="458"/>
      <c r="AG58" s="461"/>
      <c r="AH58" s="466"/>
      <c r="AI58" s="468"/>
      <c r="AJ58" s="477" t="str">
        <f>IF(AL58="Chưa xếp lịch","Chưa xếp lịch",IF(AL58="Định kỳ",IF(AM58="","Thiếu chu kỳ","Theo chu kỳ"),IF(AL58="Khi phát sinh",IF(COUNTIFS('Lớp 5 - Phân công'!$J$14:$J$262,$I58,'Lớp 5 - Phân công'!$AB$14:$AB$262,"&lt;&gt;Hủy")=0,"Khi phát sinh – chờ việc con","Khi phát sinh – theo ngày con"),IF(I58="","",LET(n,COUNTIFS('Lớp 5 - Phân công'!$J$14:$J$262,$I58,'Lớp 5 - Phân công'!$AB$14:$AB$262,"&lt;&gt;Hủy"),cs,IFERROR(MINIFS('Lớp 5 - Phân công'!$AD$14:$AD$262,'Lớp 5 - Phân công'!$J$14:$J$262,$I58,'Lớp 5 - Phân công'!$AB$14:$AB$262,"&lt;&gt;Hủy",'Lớp 5 - Phân công'!$AD$14:$AD$262,"&gt;0"),0),ce,IFERROR(MAXIFS('Lớp 5 - Phân công'!$AE$14:$AE$262,'Lớp 5 - Phân công'!$J$14:$J$262,$I58,'Lớp 5 - Phân công'!$AB$14:$AB$262,"&lt;&gt;Hủy",'Lớp 5 - Phân công'!$AE$14:$AE$262,"&gt;0"),0),ps,'Trung tâm nhập liệu'!R161,pe,'Trung tâm nhập liệu'!Q161,IF(OR(AC58="",AD58=""),"Thiếu ngày L4",IF(n=0,"Chưa có L5",IF(OR(cs=0,ce=0),"Thiếu ngày L5",IF(OR(ps="",pe=""),"Thiếu ngày kế hoạch gốc L4",IF(OR(cs&lt;ps,ce&gt;pe),"Cảnh báo: Con vượt khung kế hoạch gốc","L5 đúng khung kế hoạch gốc"))))))))))</f>
        <v/>
      </c>
      <c r="AK58" s="465"/>
      <c r="AL58" s="467"/>
      <c r="AM58" s="469"/>
      <c r="AN58" s="470"/>
      <c r="AO58" s="470"/>
      <c r="AP58" s="471"/>
      <c r="AQ58" s="469"/>
      <c r="AR58" s="475"/>
      <c r="AS58" s="476"/>
      <c r="AT58" s="478"/>
      <c r="AU58" s="465"/>
      <c r="AV58" s="465"/>
      <c r="AW58" s="479"/>
    </row>
    <row r="59" ht="15.75" customHeight="1">
      <c r="A59" s="424"/>
      <c r="B59" s="425"/>
      <c r="C59" s="427"/>
      <c r="D59" s="616"/>
      <c r="E59" s="567"/>
      <c r="F59" s="431"/>
      <c r="G59" s="431"/>
      <c r="H59" s="432"/>
      <c r="I59" s="434"/>
      <c r="J59" s="432"/>
      <c r="K59" s="436"/>
      <c r="L59" s="438"/>
      <c r="M59" s="439"/>
      <c r="N59" s="439"/>
      <c r="O59" s="440"/>
      <c r="P59" s="441"/>
      <c r="Q59" s="442"/>
      <c r="R59" s="443"/>
      <c r="S59" s="445" t="str">
        <f>IF($I59="","",LET(n,COUNTIFS('Lớp 5 - Phân công'!$J$14:$J$262,$I59,'Lớp 5 - Phân công'!$AB$14:$AB$262,"&lt;&gt;Hủy"),child,IFERROR(MAXIFS('Lớp 5 - Phân công'!$AE$14:$AE$262,'Lớp 5 - Phân công'!$J$14:$J$262,$I59,'Lớp 5 - Phân công'!$AB$14:$AB$262,"&lt;&gt;Hủy",'Lớp 5 - Phân công'!$AE$14:$AE$262,"&gt;0"),0),plan,'Trung tâm nhập liệu'!Q162,emergent,LOWER(TRIM('Trung tâm nhập liệu'!O162))="khi phát sinh",IF(n=0,IF(emergent,"",plan),IF(child=0,IF(emergent,"",plan),IF(OR(emergent,plan=""),child,MAX(plan,child))))))</f>
        <v/>
      </c>
      <c r="T59" s="447" t="str">
        <f>IF($I59="","",LET(n,COUNTIFS('Lớp 5 - Phân công'!$J$14:$J$262,$I59,'Lớp 5 - Phân công'!$AB$14:$AB$262,"&lt;&gt;Hủy"),child,IFERROR(MINIFS('Lớp 5 - Phân công'!$AD$14:$AD$262,'Lớp 5 - Phân công'!$J$14:$J$262,$I59,'Lớp 5 - Phân công'!$AB$14:$AB$262,"&lt;&gt;Hủy",'Lớp 5 - Phân công'!$AD$14:$AD$262,"&gt;0"),0),plan,'Trung tâm nhập liệu'!R162,emergent,LOWER(TRIM('Trung tâm nhập liệu'!O162))="khi phát sinh",IF(n=0,IF(emergent,"",plan),IF(child=0,IF(emergent,"",plan),IF(OR(emergent,plan=""),child,MIN(plan,child))))))</f>
        <v/>
      </c>
      <c r="U59" s="432"/>
      <c r="V59" s="432"/>
      <c r="W59" s="432"/>
      <c r="X59" s="450"/>
      <c r="Y59" s="432"/>
      <c r="Z59" s="432"/>
      <c r="AA59" s="425"/>
      <c r="AB59" s="441"/>
      <c r="AC59" s="447"/>
      <c r="AD59" s="445"/>
      <c r="AE59" s="457"/>
      <c r="AF59" s="458"/>
      <c r="AG59" s="461"/>
      <c r="AH59" s="466"/>
      <c r="AI59" s="468"/>
      <c r="AJ59" s="477" t="str">
        <f>IF(AL59="Chưa xếp lịch","Chưa xếp lịch",IF(AL59="Định kỳ",IF(AM59="","Thiếu chu kỳ","Theo chu kỳ"),IF(AL59="Khi phát sinh",IF(COUNTIFS('Lớp 5 - Phân công'!$J$14:$J$262,$I59,'Lớp 5 - Phân công'!$AB$14:$AB$262,"&lt;&gt;Hủy")=0,"Khi phát sinh – chờ việc con","Khi phát sinh – theo ngày con"),IF(I59="","",LET(n,COUNTIFS('Lớp 5 - Phân công'!$J$14:$J$262,$I59,'Lớp 5 - Phân công'!$AB$14:$AB$262,"&lt;&gt;Hủy"),cs,IFERROR(MINIFS('Lớp 5 - Phân công'!$AD$14:$AD$262,'Lớp 5 - Phân công'!$J$14:$J$262,$I59,'Lớp 5 - Phân công'!$AB$14:$AB$262,"&lt;&gt;Hủy",'Lớp 5 - Phân công'!$AD$14:$AD$262,"&gt;0"),0),ce,IFERROR(MAXIFS('Lớp 5 - Phân công'!$AE$14:$AE$262,'Lớp 5 - Phân công'!$J$14:$J$262,$I59,'Lớp 5 - Phân công'!$AB$14:$AB$262,"&lt;&gt;Hủy",'Lớp 5 - Phân công'!$AE$14:$AE$262,"&gt;0"),0),ps,'Trung tâm nhập liệu'!R162,pe,'Trung tâm nhập liệu'!Q162,IF(OR(AC59="",AD59=""),"Thiếu ngày L4",IF(n=0,"Chưa có L5",IF(OR(cs=0,ce=0),"Thiếu ngày L5",IF(OR(ps="",pe=""),"Thiếu ngày kế hoạch gốc L4",IF(OR(cs&lt;ps,ce&gt;pe),"Cảnh báo: Con vượt khung kế hoạch gốc","L5 đúng khung kế hoạch gốc"))))))))))</f>
        <v/>
      </c>
      <c r="AK59" s="465"/>
      <c r="AL59" s="467"/>
      <c r="AM59" s="469"/>
      <c r="AN59" s="470"/>
      <c r="AO59" s="470"/>
      <c r="AP59" s="471"/>
      <c r="AQ59" s="469"/>
      <c r="AR59" s="475"/>
      <c r="AS59" s="476"/>
      <c r="AT59" s="478"/>
      <c r="AU59" s="465"/>
      <c r="AV59" s="465"/>
      <c r="AW59" s="479"/>
    </row>
    <row r="60" ht="15.75" customHeight="1">
      <c r="A60" s="424"/>
      <c r="B60" s="425"/>
      <c r="C60" s="427"/>
      <c r="D60" s="616"/>
      <c r="E60" s="567"/>
      <c r="F60" s="431"/>
      <c r="G60" s="431"/>
      <c r="H60" s="432"/>
      <c r="I60" s="434"/>
      <c r="J60" s="432"/>
      <c r="K60" s="436"/>
      <c r="L60" s="438"/>
      <c r="M60" s="439"/>
      <c r="N60" s="439"/>
      <c r="O60" s="440"/>
      <c r="P60" s="441"/>
      <c r="Q60" s="442"/>
      <c r="R60" s="443"/>
      <c r="S60" s="445" t="str">
        <f>IF($I60="","",LET(n,COUNTIFS('Lớp 5 - Phân công'!$J$14:$J$262,$I60,'Lớp 5 - Phân công'!$AB$14:$AB$262,"&lt;&gt;Hủy"),child,IFERROR(MAXIFS('Lớp 5 - Phân công'!$AE$14:$AE$262,'Lớp 5 - Phân công'!$J$14:$J$262,$I60,'Lớp 5 - Phân công'!$AB$14:$AB$262,"&lt;&gt;Hủy",'Lớp 5 - Phân công'!$AE$14:$AE$262,"&gt;0"),0),plan,'Trung tâm nhập liệu'!Q163,emergent,LOWER(TRIM('Trung tâm nhập liệu'!O163))="khi phát sinh",IF(n=0,IF(emergent,"",plan),IF(child=0,IF(emergent,"",plan),IF(OR(emergent,plan=""),child,MAX(plan,child))))))</f>
        <v/>
      </c>
      <c r="T60" s="447" t="str">
        <f>IF($I60="","",LET(n,COUNTIFS('Lớp 5 - Phân công'!$J$14:$J$262,$I60,'Lớp 5 - Phân công'!$AB$14:$AB$262,"&lt;&gt;Hủy"),child,IFERROR(MINIFS('Lớp 5 - Phân công'!$AD$14:$AD$262,'Lớp 5 - Phân công'!$J$14:$J$262,$I60,'Lớp 5 - Phân công'!$AB$14:$AB$262,"&lt;&gt;Hủy",'Lớp 5 - Phân công'!$AD$14:$AD$262,"&gt;0"),0),plan,'Trung tâm nhập liệu'!R163,emergent,LOWER(TRIM('Trung tâm nhập liệu'!O163))="khi phát sinh",IF(n=0,IF(emergent,"",plan),IF(child=0,IF(emergent,"",plan),IF(OR(emergent,plan=""),child,MIN(plan,child))))))</f>
        <v/>
      </c>
      <c r="U60" s="432"/>
      <c r="V60" s="432"/>
      <c r="W60" s="432"/>
      <c r="X60" s="450"/>
      <c r="Y60" s="432"/>
      <c r="Z60" s="432"/>
      <c r="AA60" s="425"/>
      <c r="AB60" s="441"/>
      <c r="AC60" s="447"/>
      <c r="AD60" s="445"/>
      <c r="AE60" s="457"/>
      <c r="AF60" s="458"/>
      <c r="AG60" s="461"/>
      <c r="AH60" s="466"/>
      <c r="AI60" s="468"/>
      <c r="AJ60" s="477" t="str">
        <f>IF(AL60="Chưa xếp lịch","Chưa xếp lịch",IF(AL60="Định kỳ",IF(AM60="","Thiếu chu kỳ","Theo chu kỳ"),IF(AL60="Khi phát sinh",IF(COUNTIFS('Lớp 5 - Phân công'!$J$14:$J$262,$I60,'Lớp 5 - Phân công'!$AB$14:$AB$262,"&lt;&gt;Hủy")=0,"Khi phát sinh – chờ việc con","Khi phát sinh – theo ngày con"),IF(I60="","",LET(n,COUNTIFS('Lớp 5 - Phân công'!$J$14:$J$262,$I60,'Lớp 5 - Phân công'!$AB$14:$AB$262,"&lt;&gt;Hủy"),cs,IFERROR(MINIFS('Lớp 5 - Phân công'!$AD$14:$AD$262,'Lớp 5 - Phân công'!$J$14:$J$262,$I60,'Lớp 5 - Phân công'!$AB$14:$AB$262,"&lt;&gt;Hủy",'Lớp 5 - Phân công'!$AD$14:$AD$262,"&gt;0"),0),ce,IFERROR(MAXIFS('Lớp 5 - Phân công'!$AE$14:$AE$262,'Lớp 5 - Phân công'!$J$14:$J$262,$I60,'Lớp 5 - Phân công'!$AB$14:$AB$262,"&lt;&gt;Hủy",'Lớp 5 - Phân công'!$AE$14:$AE$262,"&gt;0"),0),ps,'Trung tâm nhập liệu'!R163,pe,'Trung tâm nhập liệu'!Q163,IF(OR(AC60="",AD60=""),"Thiếu ngày L4",IF(n=0,"Chưa có L5",IF(OR(cs=0,ce=0),"Thiếu ngày L5",IF(OR(ps="",pe=""),"Thiếu ngày kế hoạch gốc L4",IF(OR(cs&lt;ps,ce&gt;pe),"Cảnh báo: Con vượt khung kế hoạch gốc","L5 đúng khung kế hoạch gốc"))))))))))</f>
        <v/>
      </c>
      <c r="AK60" s="465"/>
      <c r="AL60" s="467"/>
      <c r="AM60" s="469"/>
      <c r="AN60" s="470"/>
      <c r="AO60" s="470"/>
      <c r="AP60" s="471"/>
      <c r="AQ60" s="469"/>
      <c r="AR60" s="475"/>
      <c r="AS60" s="476"/>
      <c r="AT60" s="478"/>
      <c r="AU60" s="465"/>
      <c r="AV60" s="465"/>
      <c r="AW60" s="479"/>
    </row>
    <row r="61" ht="15.75" customHeight="1">
      <c r="A61" s="424"/>
      <c r="B61" s="425"/>
      <c r="C61" s="427"/>
      <c r="D61" s="616"/>
      <c r="E61" s="567"/>
      <c r="F61" s="431"/>
      <c r="G61" s="431"/>
      <c r="H61" s="432"/>
      <c r="I61" s="434"/>
      <c r="J61" s="432"/>
      <c r="K61" s="436"/>
      <c r="L61" s="438"/>
      <c r="M61" s="439"/>
      <c r="N61" s="439"/>
      <c r="O61" s="440"/>
      <c r="P61" s="441"/>
      <c r="Q61" s="442"/>
      <c r="R61" s="443"/>
      <c r="S61" s="445" t="str">
        <f>IF($I61="","",LET(n,COUNTIFS('Lớp 5 - Phân công'!$J$14:$J$262,$I61,'Lớp 5 - Phân công'!$AB$14:$AB$262,"&lt;&gt;Hủy"),child,IFERROR(MAXIFS('Lớp 5 - Phân công'!$AE$14:$AE$262,'Lớp 5 - Phân công'!$J$14:$J$262,$I61,'Lớp 5 - Phân công'!$AB$14:$AB$262,"&lt;&gt;Hủy",'Lớp 5 - Phân công'!$AE$14:$AE$262,"&gt;0"),0),plan,'Trung tâm nhập liệu'!Q164,emergent,LOWER(TRIM('Trung tâm nhập liệu'!O164))="khi phát sinh",IF(n=0,IF(emergent,"",plan),IF(child=0,IF(emergent,"",plan),IF(OR(emergent,plan=""),child,MAX(plan,child))))))</f>
        <v/>
      </c>
      <c r="T61" s="447" t="str">
        <f>IF($I61="","",LET(n,COUNTIFS('Lớp 5 - Phân công'!$J$14:$J$262,$I61,'Lớp 5 - Phân công'!$AB$14:$AB$262,"&lt;&gt;Hủy"),child,IFERROR(MINIFS('Lớp 5 - Phân công'!$AD$14:$AD$262,'Lớp 5 - Phân công'!$J$14:$J$262,$I61,'Lớp 5 - Phân công'!$AB$14:$AB$262,"&lt;&gt;Hủy",'Lớp 5 - Phân công'!$AD$14:$AD$262,"&gt;0"),0),plan,'Trung tâm nhập liệu'!R164,emergent,LOWER(TRIM('Trung tâm nhập liệu'!O164))="khi phát sinh",IF(n=0,IF(emergent,"",plan),IF(child=0,IF(emergent,"",plan),IF(OR(emergent,plan=""),child,MIN(plan,child))))))</f>
        <v/>
      </c>
      <c r="U61" s="432"/>
      <c r="V61" s="432"/>
      <c r="W61" s="432"/>
      <c r="X61" s="450"/>
      <c r="Y61" s="432"/>
      <c r="Z61" s="432"/>
      <c r="AA61" s="425"/>
      <c r="AB61" s="441"/>
      <c r="AC61" s="447"/>
      <c r="AD61" s="445"/>
      <c r="AE61" s="457"/>
      <c r="AF61" s="458"/>
      <c r="AG61" s="461"/>
      <c r="AH61" s="466"/>
      <c r="AI61" s="468"/>
      <c r="AJ61" s="477" t="str">
        <f>IF(AL61="Chưa xếp lịch","Chưa xếp lịch",IF(AL61="Định kỳ",IF(AM61="","Thiếu chu kỳ","Theo chu kỳ"),IF(AL61="Khi phát sinh",IF(COUNTIFS('Lớp 5 - Phân công'!$J$14:$J$262,$I61,'Lớp 5 - Phân công'!$AB$14:$AB$262,"&lt;&gt;Hủy")=0,"Khi phát sinh – chờ việc con","Khi phát sinh – theo ngày con"),IF(I61="","",LET(n,COUNTIFS('Lớp 5 - Phân công'!$J$14:$J$262,$I61,'Lớp 5 - Phân công'!$AB$14:$AB$262,"&lt;&gt;Hủy"),cs,IFERROR(MINIFS('Lớp 5 - Phân công'!$AD$14:$AD$262,'Lớp 5 - Phân công'!$J$14:$J$262,$I61,'Lớp 5 - Phân công'!$AB$14:$AB$262,"&lt;&gt;Hủy",'Lớp 5 - Phân công'!$AD$14:$AD$262,"&gt;0"),0),ce,IFERROR(MAXIFS('Lớp 5 - Phân công'!$AE$14:$AE$262,'Lớp 5 - Phân công'!$J$14:$J$262,$I61,'Lớp 5 - Phân công'!$AB$14:$AB$262,"&lt;&gt;Hủy",'Lớp 5 - Phân công'!$AE$14:$AE$262,"&gt;0"),0),ps,'Trung tâm nhập liệu'!R164,pe,'Trung tâm nhập liệu'!Q164,IF(OR(AC61="",AD61=""),"Thiếu ngày L4",IF(n=0,"Chưa có L5",IF(OR(cs=0,ce=0),"Thiếu ngày L5",IF(OR(ps="",pe=""),"Thiếu ngày kế hoạch gốc L4",IF(OR(cs&lt;ps,ce&gt;pe),"Cảnh báo: Con vượt khung kế hoạch gốc","L5 đúng khung kế hoạch gốc"))))))))))</f>
        <v/>
      </c>
      <c r="AK61" s="465"/>
      <c r="AL61" s="467"/>
      <c r="AM61" s="469"/>
      <c r="AN61" s="470"/>
      <c r="AO61" s="470"/>
      <c r="AP61" s="471"/>
      <c r="AQ61" s="469"/>
      <c r="AR61" s="475"/>
      <c r="AS61" s="476"/>
      <c r="AT61" s="478"/>
      <c r="AU61" s="465"/>
      <c r="AV61" s="465"/>
      <c r="AW61" s="479"/>
    </row>
    <row r="62" ht="15.75" customHeight="1">
      <c r="A62" s="424"/>
      <c r="B62" s="425"/>
      <c r="C62" s="427"/>
      <c r="D62" s="616"/>
      <c r="E62" s="567"/>
      <c r="F62" s="431"/>
      <c r="G62" s="431"/>
      <c r="H62" s="432"/>
      <c r="I62" s="434"/>
      <c r="J62" s="432"/>
      <c r="K62" s="436"/>
      <c r="L62" s="438"/>
      <c r="M62" s="439"/>
      <c r="N62" s="439"/>
      <c r="O62" s="440"/>
      <c r="P62" s="441"/>
      <c r="Q62" s="442"/>
      <c r="R62" s="443"/>
      <c r="S62" s="445" t="str">
        <f>IF($I62="","",LET(n,COUNTIFS('Lớp 5 - Phân công'!$J$14:$J$262,$I62,'Lớp 5 - Phân công'!$AB$14:$AB$262,"&lt;&gt;Hủy"),child,IFERROR(MAXIFS('Lớp 5 - Phân công'!$AE$14:$AE$262,'Lớp 5 - Phân công'!$J$14:$J$262,$I62,'Lớp 5 - Phân công'!$AB$14:$AB$262,"&lt;&gt;Hủy",'Lớp 5 - Phân công'!$AE$14:$AE$262,"&gt;0"),0),plan,'Trung tâm nhập liệu'!Q165,emergent,LOWER(TRIM('Trung tâm nhập liệu'!O165))="khi phát sinh",IF(n=0,IF(emergent,"",plan),IF(child=0,IF(emergent,"",plan),IF(OR(emergent,plan=""),child,MAX(plan,child))))))</f>
        <v/>
      </c>
      <c r="T62" s="447" t="str">
        <f>IF($I62="","",LET(n,COUNTIFS('Lớp 5 - Phân công'!$J$14:$J$262,$I62,'Lớp 5 - Phân công'!$AB$14:$AB$262,"&lt;&gt;Hủy"),child,IFERROR(MINIFS('Lớp 5 - Phân công'!$AD$14:$AD$262,'Lớp 5 - Phân công'!$J$14:$J$262,$I62,'Lớp 5 - Phân công'!$AB$14:$AB$262,"&lt;&gt;Hủy",'Lớp 5 - Phân công'!$AD$14:$AD$262,"&gt;0"),0),plan,'Trung tâm nhập liệu'!R165,emergent,LOWER(TRIM('Trung tâm nhập liệu'!O165))="khi phát sinh",IF(n=0,IF(emergent,"",plan),IF(child=0,IF(emergent,"",plan),IF(OR(emergent,plan=""),child,MIN(plan,child))))))</f>
        <v/>
      </c>
      <c r="U62" s="432"/>
      <c r="V62" s="432"/>
      <c r="W62" s="432"/>
      <c r="X62" s="450"/>
      <c r="Y62" s="432"/>
      <c r="Z62" s="432"/>
      <c r="AA62" s="425"/>
      <c r="AB62" s="441"/>
      <c r="AC62" s="447"/>
      <c r="AD62" s="445"/>
      <c r="AE62" s="457"/>
      <c r="AF62" s="458"/>
      <c r="AG62" s="461"/>
      <c r="AH62" s="466"/>
      <c r="AI62" s="468"/>
      <c r="AJ62" s="477" t="str">
        <f>IF(AL62="Chưa xếp lịch","Chưa xếp lịch",IF(AL62="Định kỳ",IF(AM62="","Thiếu chu kỳ","Theo chu kỳ"),IF(AL62="Khi phát sinh",IF(COUNTIFS('Lớp 5 - Phân công'!$J$14:$J$262,$I62,'Lớp 5 - Phân công'!$AB$14:$AB$262,"&lt;&gt;Hủy")=0,"Khi phát sinh – chờ việc con","Khi phát sinh – theo ngày con"),IF(I62="","",LET(n,COUNTIFS('Lớp 5 - Phân công'!$J$14:$J$262,$I62,'Lớp 5 - Phân công'!$AB$14:$AB$262,"&lt;&gt;Hủy"),cs,IFERROR(MINIFS('Lớp 5 - Phân công'!$AD$14:$AD$262,'Lớp 5 - Phân công'!$J$14:$J$262,$I62,'Lớp 5 - Phân công'!$AB$14:$AB$262,"&lt;&gt;Hủy",'Lớp 5 - Phân công'!$AD$14:$AD$262,"&gt;0"),0),ce,IFERROR(MAXIFS('Lớp 5 - Phân công'!$AE$14:$AE$262,'Lớp 5 - Phân công'!$J$14:$J$262,$I62,'Lớp 5 - Phân công'!$AB$14:$AB$262,"&lt;&gt;Hủy",'Lớp 5 - Phân công'!$AE$14:$AE$262,"&gt;0"),0),ps,'Trung tâm nhập liệu'!R165,pe,'Trung tâm nhập liệu'!Q165,IF(OR(AC62="",AD62=""),"Thiếu ngày L4",IF(n=0,"Chưa có L5",IF(OR(cs=0,ce=0),"Thiếu ngày L5",IF(OR(ps="",pe=""),"Thiếu ngày kế hoạch gốc L4",IF(OR(cs&lt;ps,ce&gt;pe),"Cảnh báo: Con vượt khung kế hoạch gốc","L5 đúng khung kế hoạch gốc"))))))))))</f>
        <v/>
      </c>
      <c r="AK62" s="465"/>
      <c r="AL62" s="467"/>
      <c r="AM62" s="469"/>
      <c r="AN62" s="470"/>
      <c r="AO62" s="470"/>
      <c r="AP62" s="471"/>
      <c r="AQ62" s="469"/>
      <c r="AR62" s="475"/>
      <c r="AS62" s="476"/>
      <c r="AT62" s="478"/>
      <c r="AU62" s="465"/>
      <c r="AV62" s="465"/>
      <c r="AW62" s="479"/>
    </row>
    <row r="63" ht="15.75" customHeight="1">
      <c r="A63" s="424"/>
      <c r="B63" s="425"/>
      <c r="C63" s="427"/>
      <c r="D63" s="616"/>
      <c r="E63" s="567"/>
      <c r="F63" s="431"/>
      <c r="G63" s="431"/>
      <c r="H63" s="432"/>
      <c r="I63" s="434"/>
      <c r="J63" s="432"/>
      <c r="K63" s="436"/>
      <c r="L63" s="438"/>
      <c r="M63" s="439"/>
      <c r="N63" s="439"/>
      <c r="O63" s="440"/>
      <c r="P63" s="441"/>
      <c r="Q63" s="442"/>
      <c r="R63" s="443"/>
      <c r="S63" s="445" t="str">
        <f>IF($I63="","",LET(n,COUNTIFS('Lớp 5 - Phân công'!$J$14:$J$262,$I63,'Lớp 5 - Phân công'!$AB$14:$AB$262,"&lt;&gt;Hủy"),child,IFERROR(MAXIFS('Lớp 5 - Phân công'!$AE$14:$AE$262,'Lớp 5 - Phân công'!$J$14:$J$262,$I63,'Lớp 5 - Phân công'!$AB$14:$AB$262,"&lt;&gt;Hủy",'Lớp 5 - Phân công'!$AE$14:$AE$262,"&gt;0"),0),plan,'Trung tâm nhập liệu'!Q166,emergent,LOWER(TRIM('Trung tâm nhập liệu'!O166))="khi phát sinh",IF(n=0,IF(emergent,"",plan),IF(child=0,IF(emergent,"",plan),IF(OR(emergent,plan=""),child,MAX(plan,child))))))</f>
        <v/>
      </c>
      <c r="T63" s="447" t="str">
        <f>IF($I63="","",LET(n,COUNTIFS('Lớp 5 - Phân công'!$J$14:$J$262,$I63,'Lớp 5 - Phân công'!$AB$14:$AB$262,"&lt;&gt;Hủy"),child,IFERROR(MINIFS('Lớp 5 - Phân công'!$AD$14:$AD$262,'Lớp 5 - Phân công'!$J$14:$J$262,$I63,'Lớp 5 - Phân công'!$AB$14:$AB$262,"&lt;&gt;Hủy",'Lớp 5 - Phân công'!$AD$14:$AD$262,"&gt;0"),0),plan,'Trung tâm nhập liệu'!R166,emergent,LOWER(TRIM('Trung tâm nhập liệu'!O166))="khi phát sinh",IF(n=0,IF(emergent,"",plan),IF(child=0,IF(emergent,"",plan),IF(OR(emergent,plan=""),child,MIN(plan,child))))))</f>
        <v/>
      </c>
      <c r="U63" s="432"/>
      <c r="V63" s="432"/>
      <c r="W63" s="432"/>
      <c r="X63" s="450"/>
      <c r="Y63" s="432"/>
      <c r="Z63" s="432"/>
      <c r="AA63" s="425"/>
      <c r="AB63" s="441"/>
      <c r="AC63" s="447"/>
      <c r="AD63" s="445"/>
      <c r="AE63" s="457"/>
      <c r="AF63" s="458"/>
      <c r="AG63" s="461"/>
      <c r="AH63" s="466"/>
      <c r="AI63" s="468"/>
      <c r="AJ63" s="477" t="str">
        <f>IF(AL63="Chưa xếp lịch","Chưa xếp lịch",IF(AL63="Định kỳ",IF(AM63="","Thiếu chu kỳ","Theo chu kỳ"),IF(AL63="Khi phát sinh",IF(COUNTIFS('Lớp 5 - Phân công'!$J$14:$J$262,$I63,'Lớp 5 - Phân công'!$AB$14:$AB$262,"&lt;&gt;Hủy")=0,"Khi phát sinh – chờ việc con","Khi phát sinh – theo ngày con"),IF(I63="","",LET(n,COUNTIFS('Lớp 5 - Phân công'!$J$14:$J$262,$I63,'Lớp 5 - Phân công'!$AB$14:$AB$262,"&lt;&gt;Hủy"),cs,IFERROR(MINIFS('Lớp 5 - Phân công'!$AD$14:$AD$262,'Lớp 5 - Phân công'!$J$14:$J$262,$I63,'Lớp 5 - Phân công'!$AB$14:$AB$262,"&lt;&gt;Hủy",'Lớp 5 - Phân công'!$AD$14:$AD$262,"&gt;0"),0),ce,IFERROR(MAXIFS('Lớp 5 - Phân công'!$AE$14:$AE$262,'Lớp 5 - Phân công'!$J$14:$J$262,$I63,'Lớp 5 - Phân công'!$AB$14:$AB$262,"&lt;&gt;Hủy",'Lớp 5 - Phân công'!$AE$14:$AE$262,"&gt;0"),0),ps,'Trung tâm nhập liệu'!R166,pe,'Trung tâm nhập liệu'!Q166,IF(OR(AC63="",AD63=""),"Thiếu ngày L4",IF(n=0,"Chưa có L5",IF(OR(cs=0,ce=0),"Thiếu ngày L5",IF(OR(ps="",pe=""),"Thiếu ngày kế hoạch gốc L4",IF(OR(cs&lt;ps,ce&gt;pe),"Cảnh báo: Con vượt khung kế hoạch gốc","L5 đúng khung kế hoạch gốc"))))))))))</f>
        <v/>
      </c>
      <c r="AK63" s="465"/>
      <c r="AL63" s="467"/>
      <c r="AM63" s="469"/>
      <c r="AN63" s="470"/>
      <c r="AO63" s="470"/>
      <c r="AP63" s="471"/>
      <c r="AQ63" s="469"/>
      <c r="AR63" s="475"/>
      <c r="AS63" s="476"/>
      <c r="AT63" s="478"/>
      <c r="AU63" s="465"/>
      <c r="AV63" s="465"/>
      <c r="AW63" s="479"/>
    </row>
    <row r="64" ht="15.75" customHeight="1">
      <c r="A64" s="424"/>
      <c r="B64" s="425"/>
      <c r="C64" s="427"/>
      <c r="D64" s="616"/>
      <c r="E64" s="567"/>
      <c r="F64" s="431"/>
      <c r="G64" s="431"/>
      <c r="H64" s="432"/>
      <c r="I64" s="434"/>
      <c r="J64" s="432"/>
      <c r="K64" s="436"/>
      <c r="L64" s="438"/>
      <c r="M64" s="439"/>
      <c r="N64" s="439"/>
      <c r="O64" s="440"/>
      <c r="P64" s="441"/>
      <c r="Q64" s="442"/>
      <c r="R64" s="443"/>
      <c r="S64" s="445" t="str">
        <f>IF($I64="","",LET(n,COUNTIFS('Lớp 5 - Phân công'!$J$14:$J$262,$I64,'Lớp 5 - Phân công'!$AB$14:$AB$262,"&lt;&gt;Hủy"),child,IFERROR(MAXIFS('Lớp 5 - Phân công'!$AE$14:$AE$262,'Lớp 5 - Phân công'!$J$14:$J$262,$I64,'Lớp 5 - Phân công'!$AB$14:$AB$262,"&lt;&gt;Hủy",'Lớp 5 - Phân công'!$AE$14:$AE$262,"&gt;0"),0),plan,'Trung tâm nhập liệu'!Q167,emergent,LOWER(TRIM('Trung tâm nhập liệu'!O167))="khi phát sinh",IF(n=0,IF(emergent,"",plan),IF(child=0,IF(emergent,"",plan),IF(OR(emergent,plan=""),child,MAX(plan,child))))))</f>
        <v/>
      </c>
      <c r="T64" s="447" t="str">
        <f>IF($I64="","",LET(n,COUNTIFS('Lớp 5 - Phân công'!$J$14:$J$262,$I64,'Lớp 5 - Phân công'!$AB$14:$AB$262,"&lt;&gt;Hủy"),child,IFERROR(MINIFS('Lớp 5 - Phân công'!$AD$14:$AD$262,'Lớp 5 - Phân công'!$J$14:$J$262,$I64,'Lớp 5 - Phân công'!$AB$14:$AB$262,"&lt;&gt;Hủy",'Lớp 5 - Phân công'!$AD$14:$AD$262,"&gt;0"),0),plan,'Trung tâm nhập liệu'!R167,emergent,LOWER(TRIM('Trung tâm nhập liệu'!O167))="khi phát sinh",IF(n=0,IF(emergent,"",plan),IF(child=0,IF(emergent,"",plan),IF(OR(emergent,plan=""),child,MIN(plan,child))))))</f>
        <v/>
      </c>
      <c r="U64" s="432"/>
      <c r="V64" s="432"/>
      <c r="W64" s="432"/>
      <c r="X64" s="450"/>
      <c r="Y64" s="432"/>
      <c r="Z64" s="432"/>
      <c r="AA64" s="425"/>
      <c r="AB64" s="441"/>
      <c r="AC64" s="447"/>
      <c r="AD64" s="445"/>
      <c r="AE64" s="457"/>
      <c r="AF64" s="458"/>
      <c r="AG64" s="461"/>
      <c r="AH64" s="466"/>
      <c r="AI64" s="468"/>
      <c r="AJ64" s="477" t="str">
        <f>IF(AL64="Chưa xếp lịch","Chưa xếp lịch",IF(AL64="Định kỳ",IF(AM64="","Thiếu chu kỳ","Theo chu kỳ"),IF(AL64="Khi phát sinh",IF(COUNTIFS('Lớp 5 - Phân công'!$J$14:$J$262,$I64,'Lớp 5 - Phân công'!$AB$14:$AB$262,"&lt;&gt;Hủy")=0,"Khi phát sinh – chờ việc con","Khi phát sinh – theo ngày con"),IF(I64="","",LET(n,COUNTIFS('Lớp 5 - Phân công'!$J$14:$J$262,$I64,'Lớp 5 - Phân công'!$AB$14:$AB$262,"&lt;&gt;Hủy"),cs,IFERROR(MINIFS('Lớp 5 - Phân công'!$AD$14:$AD$262,'Lớp 5 - Phân công'!$J$14:$J$262,$I64,'Lớp 5 - Phân công'!$AB$14:$AB$262,"&lt;&gt;Hủy",'Lớp 5 - Phân công'!$AD$14:$AD$262,"&gt;0"),0),ce,IFERROR(MAXIFS('Lớp 5 - Phân công'!$AE$14:$AE$262,'Lớp 5 - Phân công'!$J$14:$J$262,$I64,'Lớp 5 - Phân công'!$AB$14:$AB$262,"&lt;&gt;Hủy",'Lớp 5 - Phân công'!$AE$14:$AE$262,"&gt;0"),0),ps,'Trung tâm nhập liệu'!R167,pe,'Trung tâm nhập liệu'!Q167,IF(OR(AC64="",AD64=""),"Thiếu ngày L4",IF(n=0,"Chưa có L5",IF(OR(cs=0,ce=0),"Thiếu ngày L5",IF(OR(ps="",pe=""),"Thiếu ngày kế hoạch gốc L4",IF(OR(cs&lt;ps,ce&gt;pe),"Cảnh báo: Con vượt khung kế hoạch gốc","L5 đúng khung kế hoạch gốc"))))))))))</f>
        <v/>
      </c>
      <c r="AK64" s="465"/>
      <c r="AL64" s="467"/>
      <c r="AM64" s="469"/>
      <c r="AN64" s="470"/>
      <c r="AO64" s="470"/>
      <c r="AP64" s="471"/>
      <c r="AQ64" s="469"/>
      <c r="AR64" s="475"/>
      <c r="AS64" s="476"/>
      <c r="AT64" s="478"/>
      <c r="AU64" s="465"/>
      <c r="AV64" s="465"/>
      <c r="AW64" s="479"/>
    </row>
    <row r="65" ht="15.75" customHeight="1">
      <c r="A65" s="424"/>
      <c r="B65" s="425"/>
      <c r="C65" s="427"/>
      <c r="D65" s="616"/>
      <c r="E65" s="567"/>
      <c r="F65" s="431"/>
      <c r="G65" s="431"/>
      <c r="H65" s="432"/>
      <c r="I65" s="434"/>
      <c r="J65" s="432"/>
      <c r="K65" s="436"/>
      <c r="L65" s="438"/>
      <c r="M65" s="439"/>
      <c r="N65" s="439"/>
      <c r="O65" s="440"/>
      <c r="P65" s="441"/>
      <c r="Q65" s="442"/>
      <c r="R65" s="443"/>
      <c r="S65" s="445" t="str">
        <f>IF($I65="","",LET(n,COUNTIFS('Lớp 5 - Phân công'!$J$14:$J$262,$I65,'Lớp 5 - Phân công'!$AB$14:$AB$262,"&lt;&gt;Hủy"),child,IFERROR(MAXIFS('Lớp 5 - Phân công'!$AE$14:$AE$262,'Lớp 5 - Phân công'!$J$14:$J$262,$I65,'Lớp 5 - Phân công'!$AB$14:$AB$262,"&lt;&gt;Hủy",'Lớp 5 - Phân công'!$AE$14:$AE$262,"&gt;0"),0),plan,'Trung tâm nhập liệu'!Q168,emergent,LOWER(TRIM('Trung tâm nhập liệu'!O168))="khi phát sinh",IF(n=0,IF(emergent,"",plan),IF(child=0,IF(emergent,"",plan),IF(OR(emergent,plan=""),child,MAX(plan,child))))))</f>
        <v/>
      </c>
      <c r="T65" s="447" t="str">
        <f>IF($I65="","",LET(n,COUNTIFS('Lớp 5 - Phân công'!$J$14:$J$262,$I65,'Lớp 5 - Phân công'!$AB$14:$AB$262,"&lt;&gt;Hủy"),child,IFERROR(MINIFS('Lớp 5 - Phân công'!$AD$14:$AD$262,'Lớp 5 - Phân công'!$J$14:$J$262,$I65,'Lớp 5 - Phân công'!$AB$14:$AB$262,"&lt;&gt;Hủy",'Lớp 5 - Phân công'!$AD$14:$AD$262,"&gt;0"),0),plan,'Trung tâm nhập liệu'!R168,emergent,LOWER(TRIM('Trung tâm nhập liệu'!O168))="khi phát sinh",IF(n=0,IF(emergent,"",plan),IF(child=0,IF(emergent,"",plan),IF(OR(emergent,plan=""),child,MIN(plan,child))))))</f>
        <v/>
      </c>
      <c r="U65" s="432"/>
      <c r="V65" s="432"/>
      <c r="W65" s="432"/>
      <c r="X65" s="450"/>
      <c r="Y65" s="432"/>
      <c r="Z65" s="432"/>
      <c r="AA65" s="425"/>
      <c r="AB65" s="441"/>
      <c r="AC65" s="447"/>
      <c r="AD65" s="445"/>
      <c r="AE65" s="457"/>
      <c r="AF65" s="458"/>
      <c r="AG65" s="461"/>
      <c r="AH65" s="466"/>
      <c r="AI65" s="468"/>
      <c r="AJ65" s="477" t="str">
        <f>IF(AL65="Chưa xếp lịch","Chưa xếp lịch",IF(AL65="Định kỳ",IF(AM65="","Thiếu chu kỳ","Theo chu kỳ"),IF(AL65="Khi phát sinh",IF(COUNTIFS('Lớp 5 - Phân công'!$J$14:$J$262,$I65,'Lớp 5 - Phân công'!$AB$14:$AB$262,"&lt;&gt;Hủy")=0,"Khi phát sinh – chờ việc con","Khi phát sinh – theo ngày con"),IF(I65="","",LET(n,COUNTIFS('Lớp 5 - Phân công'!$J$14:$J$262,$I65,'Lớp 5 - Phân công'!$AB$14:$AB$262,"&lt;&gt;Hủy"),cs,IFERROR(MINIFS('Lớp 5 - Phân công'!$AD$14:$AD$262,'Lớp 5 - Phân công'!$J$14:$J$262,$I65,'Lớp 5 - Phân công'!$AB$14:$AB$262,"&lt;&gt;Hủy",'Lớp 5 - Phân công'!$AD$14:$AD$262,"&gt;0"),0),ce,IFERROR(MAXIFS('Lớp 5 - Phân công'!$AE$14:$AE$262,'Lớp 5 - Phân công'!$J$14:$J$262,$I65,'Lớp 5 - Phân công'!$AB$14:$AB$262,"&lt;&gt;Hủy",'Lớp 5 - Phân công'!$AE$14:$AE$262,"&gt;0"),0),ps,'Trung tâm nhập liệu'!R168,pe,'Trung tâm nhập liệu'!Q168,IF(OR(AC65="",AD65=""),"Thiếu ngày L4",IF(n=0,"Chưa có L5",IF(OR(cs=0,ce=0),"Thiếu ngày L5",IF(OR(ps="",pe=""),"Thiếu ngày kế hoạch gốc L4",IF(OR(cs&lt;ps,ce&gt;pe),"Cảnh báo: Con vượt khung kế hoạch gốc","L5 đúng khung kế hoạch gốc"))))))))))</f>
        <v/>
      </c>
      <c r="AK65" s="465"/>
      <c r="AL65" s="467"/>
      <c r="AM65" s="469"/>
      <c r="AN65" s="470"/>
      <c r="AO65" s="470"/>
      <c r="AP65" s="471"/>
      <c r="AQ65" s="469"/>
      <c r="AR65" s="475"/>
      <c r="AS65" s="476"/>
      <c r="AT65" s="478"/>
      <c r="AU65" s="465"/>
      <c r="AV65" s="465"/>
      <c r="AW65" s="479"/>
    </row>
    <row r="66" ht="15.75" customHeight="1">
      <c r="A66" s="424"/>
      <c r="B66" s="425"/>
      <c r="C66" s="427"/>
      <c r="D66" s="616"/>
      <c r="E66" s="567"/>
      <c r="F66" s="431"/>
      <c r="G66" s="431"/>
      <c r="H66" s="432"/>
      <c r="I66" s="434"/>
      <c r="J66" s="432"/>
      <c r="K66" s="436"/>
      <c r="L66" s="438"/>
      <c r="M66" s="439"/>
      <c r="N66" s="439"/>
      <c r="O66" s="440"/>
      <c r="P66" s="441"/>
      <c r="Q66" s="442"/>
      <c r="R66" s="443"/>
      <c r="S66" s="445" t="str">
        <f>IF($I66="","",LET(n,COUNTIFS('Lớp 5 - Phân công'!$J$14:$J$262,$I66,'Lớp 5 - Phân công'!$AB$14:$AB$262,"&lt;&gt;Hủy"),child,IFERROR(MAXIFS('Lớp 5 - Phân công'!$AE$14:$AE$262,'Lớp 5 - Phân công'!$J$14:$J$262,$I66,'Lớp 5 - Phân công'!$AB$14:$AB$262,"&lt;&gt;Hủy",'Lớp 5 - Phân công'!$AE$14:$AE$262,"&gt;0"),0),plan,'Trung tâm nhập liệu'!Q169,emergent,LOWER(TRIM('Trung tâm nhập liệu'!O169))="khi phát sinh",IF(n=0,IF(emergent,"",plan),IF(child=0,IF(emergent,"",plan),IF(OR(emergent,plan=""),child,MAX(plan,child))))))</f>
        <v/>
      </c>
      <c r="T66" s="447" t="str">
        <f>IF($I66="","",LET(n,COUNTIFS('Lớp 5 - Phân công'!$J$14:$J$262,$I66,'Lớp 5 - Phân công'!$AB$14:$AB$262,"&lt;&gt;Hủy"),child,IFERROR(MINIFS('Lớp 5 - Phân công'!$AD$14:$AD$262,'Lớp 5 - Phân công'!$J$14:$J$262,$I66,'Lớp 5 - Phân công'!$AB$14:$AB$262,"&lt;&gt;Hủy",'Lớp 5 - Phân công'!$AD$14:$AD$262,"&gt;0"),0),plan,'Trung tâm nhập liệu'!R169,emergent,LOWER(TRIM('Trung tâm nhập liệu'!O169))="khi phát sinh",IF(n=0,IF(emergent,"",plan),IF(child=0,IF(emergent,"",plan),IF(OR(emergent,plan=""),child,MIN(plan,child))))))</f>
        <v/>
      </c>
      <c r="U66" s="432"/>
      <c r="V66" s="432"/>
      <c r="W66" s="432"/>
      <c r="X66" s="450"/>
      <c r="Y66" s="432"/>
      <c r="Z66" s="432"/>
      <c r="AA66" s="425"/>
      <c r="AB66" s="441"/>
      <c r="AC66" s="447"/>
      <c r="AD66" s="445"/>
      <c r="AE66" s="457"/>
      <c r="AF66" s="458"/>
      <c r="AG66" s="461"/>
      <c r="AH66" s="466"/>
      <c r="AI66" s="468"/>
      <c r="AJ66" s="477" t="str">
        <f>IF(AL66="Chưa xếp lịch","Chưa xếp lịch",IF(AL66="Định kỳ",IF(AM66="","Thiếu chu kỳ","Theo chu kỳ"),IF(AL66="Khi phát sinh",IF(COUNTIFS('Lớp 5 - Phân công'!$J$14:$J$262,$I66,'Lớp 5 - Phân công'!$AB$14:$AB$262,"&lt;&gt;Hủy")=0,"Khi phát sinh – chờ việc con","Khi phát sinh – theo ngày con"),IF(I66="","",LET(n,COUNTIFS('Lớp 5 - Phân công'!$J$14:$J$262,$I66,'Lớp 5 - Phân công'!$AB$14:$AB$262,"&lt;&gt;Hủy"),cs,IFERROR(MINIFS('Lớp 5 - Phân công'!$AD$14:$AD$262,'Lớp 5 - Phân công'!$J$14:$J$262,$I66,'Lớp 5 - Phân công'!$AB$14:$AB$262,"&lt;&gt;Hủy",'Lớp 5 - Phân công'!$AD$14:$AD$262,"&gt;0"),0),ce,IFERROR(MAXIFS('Lớp 5 - Phân công'!$AE$14:$AE$262,'Lớp 5 - Phân công'!$J$14:$J$262,$I66,'Lớp 5 - Phân công'!$AB$14:$AB$262,"&lt;&gt;Hủy",'Lớp 5 - Phân công'!$AE$14:$AE$262,"&gt;0"),0),ps,'Trung tâm nhập liệu'!R169,pe,'Trung tâm nhập liệu'!Q169,IF(OR(AC66="",AD66=""),"Thiếu ngày L4",IF(n=0,"Chưa có L5",IF(OR(cs=0,ce=0),"Thiếu ngày L5",IF(OR(ps="",pe=""),"Thiếu ngày kế hoạch gốc L4",IF(OR(cs&lt;ps,ce&gt;pe),"Cảnh báo: Con vượt khung kế hoạch gốc","L5 đúng khung kế hoạch gốc"))))))))))</f>
        <v/>
      </c>
      <c r="AK66" s="465"/>
      <c r="AL66" s="467"/>
      <c r="AM66" s="469"/>
      <c r="AN66" s="470"/>
      <c r="AO66" s="470"/>
      <c r="AP66" s="471"/>
      <c r="AQ66" s="469"/>
      <c r="AR66" s="475"/>
      <c r="AS66" s="476"/>
      <c r="AT66" s="478"/>
      <c r="AU66" s="465"/>
      <c r="AV66" s="465"/>
      <c r="AW66" s="479"/>
    </row>
    <row r="67" ht="15.75" customHeight="1">
      <c r="A67" s="424"/>
      <c r="B67" s="425"/>
      <c r="C67" s="427"/>
      <c r="D67" s="616"/>
      <c r="E67" s="567"/>
      <c r="F67" s="431"/>
      <c r="G67" s="431"/>
      <c r="H67" s="432"/>
      <c r="I67" s="434"/>
      <c r="J67" s="432"/>
      <c r="K67" s="436"/>
      <c r="L67" s="438"/>
      <c r="M67" s="439"/>
      <c r="N67" s="439"/>
      <c r="O67" s="440"/>
      <c r="P67" s="441"/>
      <c r="Q67" s="442"/>
      <c r="R67" s="443"/>
      <c r="S67" s="445" t="str">
        <f>IF($I67="","",LET(n,COUNTIFS('Lớp 5 - Phân công'!$J$14:$J$262,$I67,'Lớp 5 - Phân công'!$AB$14:$AB$262,"&lt;&gt;Hủy"),child,IFERROR(MAXIFS('Lớp 5 - Phân công'!$AE$14:$AE$262,'Lớp 5 - Phân công'!$J$14:$J$262,$I67,'Lớp 5 - Phân công'!$AB$14:$AB$262,"&lt;&gt;Hủy",'Lớp 5 - Phân công'!$AE$14:$AE$262,"&gt;0"),0),plan,'Trung tâm nhập liệu'!Q170,emergent,LOWER(TRIM('Trung tâm nhập liệu'!O170))="khi phát sinh",IF(n=0,IF(emergent,"",plan),IF(child=0,IF(emergent,"",plan),IF(OR(emergent,plan=""),child,MAX(plan,child))))))</f>
        <v/>
      </c>
      <c r="T67" s="447" t="str">
        <f>IF($I67="","",LET(n,COUNTIFS('Lớp 5 - Phân công'!$J$14:$J$262,$I67,'Lớp 5 - Phân công'!$AB$14:$AB$262,"&lt;&gt;Hủy"),child,IFERROR(MINIFS('Lớp 5 - Phân công'!$AD$14:$AD$262,'Lớp 5 - Phân công'!$J$14:$J$262,$I67,'Lớp 5 - Phân công'!$AB$14:$AB$262,"&lt;&gt;Hủy",'Lớp 5 - Phân công'!$AD$14:$AD$262,"&gt;0"),0),plan,'Trung tâm nhập liệu'!R170,emergent,LOWER(TRIM('Trung tâm nhập liệu'!O170))="khi phát sinh",IF(n=0,IF(emergent,"",plan),IF(child=0,IF(emergent,"",plan),IF(OR(emergent,plan=""),child,MIN(plan,child))))))</f>
        <v/>
      </c>
      <c r="U67" s="432"/>
      <c r="V67" s="432"/>
      <c r="W67" s="432"/>
      <c r="X67" s="450"/>
      <c r="Y67" s="432"/>
      <c r="Z67" s="432"/>
      <c r="AA67" s="425"/>
      <c r="AB67" s="441"/>
      <c r="AC67" s="447"/>
      <c r="AD67" s="445"/>
      <c r="AE67" s="457"/>
      <c r="AF67" s="458"/>
      <c r="AG67" s="461"/>
      <c r="AH67" s="466"/>
      <c r="AI67" s="468"/>
      <c r="AJ67" s="477" t="str">
        <f>IF(AL67="Chưa xếp lịch","Chưa xếp lịch",IF(AL67="Định kỳ",IF(AM67="","Thiếu chu kỳ","Theo chu kỳ"),IF(AL67="Khi phát sinh",IF(COUNTIFS('Lớp 5 - Phân công'!$J$14:$J$262,$I67,'Lớp 5 - Phân công'!$AB$14:$AB$262,"&lt;&gt;Hủy")=0,"Khi phát sinh – chờ việc con","Khi phát sinh – theo ngày con"),IF(I67="","",LET(n,COUNTIFS('Lớp 5 - Phân công'!$J$14:$J$262,$I67,'Lớp 5 - Phân công'!$AB$14:$AB$262,"&lt;&gt;Hủy"),cs,IFERROR(MINIFS('Lớp 5 - Phân công'!$AD$14:$AD$262,'Lớp 5 - Phân công'!$J$14:$J$262,$I67,'Lớp 5 - Phân công'!$AB$14:$AB$262,"&lt;&gt;Hủy",'Lớp 5 - Phân công'!$AD$14:$AD$262,"&gt;0"),0),ce,IFERROR(MAXIFS('Lớp 5 - Phân công'!$AE$14:$AE$262,'Lớp 5 - Phân công'!$J$14:$J$262,$I67,'Lớp 5 - Phân công'!$AB$14:$AB$262,"&lt;&gt;Hủy",'Lớp 5 - Phân công'!$AE$14:$AE$262,"&gt;0"),0),ps,'Trung tâm nhập liệu'!R170,pe,'Trung tâm nhập liệu'!Q170,IF(OR(AC67="",AD67=""),"Thiếu ngày L4",IF(n=0,"Chưa có L5",IF(OR(cs=0,ce=0),"Thiếu ngày L5",IF(OR(ps="",pe=""),"Thiếu ngày kế hoạch gốc L4",IF(OR(cs&lt;ps,ce&gt;pe),"Cảnh báo: Con vượt khung kế hoạch gốc","L5 đúng khung kế hoạch gốc"))))))))))</f>
        <v/>
      </c>
      <c r="AK67" s="465"/>
      <c r="AL67" s="467"/>
      <c r="AM67" s="469"/>
      <c r="AN67" s="470"/>
      <c r="AO67" s="470"/>
      <c r="AP67" s="471"/>
      <c r="AQ67" s="469"/>
      <c r="AR67" s="475"/>
      <c r="AS67" s="476"/>
      <c r="AT67" s="478"/>
      <c r="AU67" s="465"/>
      <c r="AV67" s="465"/>
      <c r="AW67" s="479"/>
    </row>
    <row r="68" ht="15.75" customHeight="1">
      <c r="A68" s="424"/>
      <c r="B68" s="425"/>
      <c r="C68" s="427"/>
      <c r="D68" s="616"/>
      <c r="E68" s="567"/>
      <c r="F68" s="431"/>
      <c r="G68" s="431"/>
      <c r="H68" s="432"/>
      <c r="I68" s="434"/>
      <c r="J68" s="432"/>
      <c r="K68" s="436"/>
      <c r="L68" s="438"/>
      <c r="M68" s="439"/>
      <c r="N68" s="439"/>
      <c r="O68" s="440"/>
      <c r="P68" s="441"/>
      <c r="Q68" s="442"/>
      <c r="R68" s="443"/>
      <c r="S68" s="445" t="str">
        <f>IF($I68="","",LET(n,COUNTIFS('Lớp 5 - Phân công'!$J$14:$J$262,$I68,'Lớp 5 - Phân công'!$AB$14:$AB$262,"&lt;&gt;Hủy"),child,IFERROR(MAXIFS('Lớp 5 - Phân công'!$AE$14:$AE$262,'Lớp 5 - Phân công'!$J$14:$J$262,$I68,'Lớp 5 - Phân công'!$AB$14:$AB$262,"&lt;&gt;Hủy",'Lớp 5 - Phân công'!$AE$14:$AE$262,"&gt;0"),0),plan,'Trung tâm nhập liệu'!Q171,emergent,LOWER(TRIM('Trung tâm nhập liệu'!O171))="khi phát sinh",IF(n=0,IF(emergent,"",plan),IF(child=0,IF(emergent,"",plan),IF(OR(emergent,plan=""),child,MAX(plan,child))))))</f>
        <v/>
      </c>
      <c r="T68" s="447" t="str">
        <f>IF($I68="","",LET(n,COUNTIFS('Lớp 5 - Phân công'!$J$14:$J$262,$I68,'Lớp 5 - Phân công'!$AB$14:$AB$262,"&lt;&gt;Hủy"),child,IFERROR(MINIFS('Lớp 5 - Phân công'!$AD$14:$AD$262,'Lớp 5 - Phân công'!$J$14:$J$262,$I68,'Lớp 5 - Phân công'!$AB$14:$AB$262,"&lt;&gt;Hủy",'Lớp 5 - Phân công'!$AD$14:$AD$262,"&gt;0"),0),plan,'Trung tâm nhập liệu'!R171,emergent,LOWER(TRIM('Trung tâm nhập liệu'!O171))="khi phát sinh",IF(n=0,IF(emergent,"",plan),IF(child=0,IF(emergent,"",plan),IF(OR(emergent,plan=""),child,MIN(plan,child))))))</f>
        <v/>
      </c>
      <c r="U68" s="432"/>
      <c r="V68" s="432"/>
      <c r="W68" s="432"/>
      <c r="X68" s="450"/>
      <c r="Y68" s="432"/>
      <c r="Z68" s="432"/>
      <c r="AA68" s="425"/>
      <c r="AB68" s="441"/>
      <c r="AC68" s="447"/>
      <c r="AD68" s="445"/>
      <c r="AE68" s="457"/>
      <c r="AF68" s="458"/>
      <c r="AG68" s="461"/>
      <c r="AH68" s="466"/>
      <c r="AI68" s="468"/>
      <c r="AJ68" s="477" t="str">
        <f>IF(AL68="Chưa xếp lịch","Chưa xếp lịch",IF(AL68="Định kỳ",IF(AM68="","Thiếu chu kỳ","Theo chu kỳ"),IF(AL68="Khi phát sinh",IF(COUNTIFS('Lớp 5 - Phân công'!$J$14:$J$262,$I68,'Lớp 5 - Phân công'!$AB$14:$AB$262,"&lt;&gt;Hủy")=0,"Khi phát sinh – chờ việc con","Khi phát sinh – theo ngày con"),IF(I68="","",LET(n,COUNTIFS('Lớp 5 - Phân công'!$J$14:$J$262,$I68,'Lớp 5 - Phân công'!$AB$14:$AB$262,"&lt;&gt;Hủy"),cs,IFERROR(MINIFS('Lớp 5 - Phân công'!$AD$14:$AD$262,'Lớp 5 - Phân công'!$J$14:$J$262,$I68,'Lớp 5 - Phân công'!$AB$14:$AB$262,"&lt;&gt;Hủy",'Lớp 5 - Phân công'!$AD$14:$AD$262,"&gt;0"),0),ce,IFERROR(MAXIFS('Lớp 5 - Phân công'!$AE$14:$AE$262,'Lớp 5 - Phân công'!$J$14:$J$262,$I68,'Lớp 5 - Phân công'!$AB$14:$AB$262,"&lt;&gt;Hủy",'Lớp 5 - Phân công'!$AE$14:$AE$262,"&gt;0"),0),ps,'Trung tâm nhập liệu'!R171,pe,'Trung tâm nhập liệu'!Q171,IF(OR(AC68="",AD68=""),"Thiếu ngày L4",IF(n=0,"Chưa có L5",IF(OR(cs=0,ce=0),"Thiếu ngày L5",IF(OR(ps="",pe=""),"Thiếu ngày kế hoạch gốc L4",IF(OR(cs&lt;ps,ce&gt;pe),"Cảnh báo: Con vượt khung kế hoạch gốc","L5 đúng khung kế hoạch gốc"))))))))))</f>
        <v/>
      </c>
      <c r="AK68" s="465"/>
      <c r="AL68" s="467"/>
      <c r="AM68" s="469"/>
      <c r="AN68" s="470"/>
      <c r="AO68" s="470"/>
      <c r="AP68" s="471"/>
      <c r="AQ68" s="469"/>
      <c r="AR68" s="475"/>
      <c r="AS68" s="476"/>
      <c r="AT68" s="478"/>
      <c r="AU68" s="465"/>
      <c r="AV68" s="465"/>
      <c r="AW68" s="479"/>
    </row>
    <row r="69" ht="15.75" customHeight="1">
      <c r="A69" s="424"/>
      <c r="B69" s="425"/>
      <c r="C69" s="427"/>
      <c r="D69" s="616"/>
      <c r="E69" s="567"/>
      <c r="F69" s="431"/>
      <c r="G69" s="431"/>
      <c r="H69" s="432"/>
      <c r="I69" s="434"/>
      <c r="J69" s="432"/>
      <c r="K69" s="436"/>
      <c r="L69" s="438"/>
      <c r="M69" s="439"/>
      <c r="N69" s="439"/>
      <c r="O69" s="440"/>
      <c r="P69" s="441"/>
      <c r="Q69" s="442"/>
      <c r="R69" s="443"/>
      <c r="S69" s="445" t="str">
        <f>IF($I69="","",LET(n,COUNTIFS('Lớp 5 - Phân công'!$J$14:$J$262,$I69,'Lớp 5 - Phân công'!$AB$14:$AB$262,"&lt;&gt;Hủy"),child,IFERROR(MAXIFS('Lớp 5 - Phân công'!$AE$14:$AE$262,'Lớp 5 - Phân công'!$J$14:$J$262,$I69,'Lớp 5 - Phân công'!$AB$14:$AB$262,"&lt;&gt;Hủy",'Lớp 5 - Phân công'!$AE$14:$AE$262,"&gt;0"),0),plan,'Trung tâm nhập liệu'!Q172,emergent,LOWER(TRIM('Trung tâm nhập liệu'!O172))="khi phát sinh",IF(n=0,IF(emergent,"",plan),IF(child=0,IF(emergent,"",plan),IF(OR(emergent,plan=""),child,MAX(plan,child))))))</f>
        <v/>
      </c>
      <c r="T69" s="447" t="str">
        <f>IF($I69="","",LET(n,COUNTIFS('Lớp 5 - Phân công'!$J$14:$J$262,$I69,'Lớp 5 - Phân công'!$AB$14:$AB$262,"&lt;&gt;Hủy"),child,IFERROR(MINIFS('Lớp 5 - Phân công'!$AD$14:$AD$262,'Lớp 5 - Phân công'!$J$14:$J$262,$I69,'Lớp 5 - Phân công'!$AB$14:$AB$262,"&lt;&gt;Hủy",'Lớp 5 - Phân công'!$AD$14:$AD$262,"&gt;0"),0),plan,'Trung tâm nhập liệu'!R172,emergent,LOWER(TRIM('Trung tâm nhập liệu'!O172))="khi phát sinh",IF(n=0,IF(emergent,"",plan),IF(child=0,IF(emergent,"",plan),IF(OR(emergent,plan=""),child,MIN(plan,child))))))</f>
        <v/>
      </c>
      <c r="U69" s="432"/>
      <c r="V69" s="432"/>
      <c r="W69" s="432"/>
      <c r="X69" s="450"/>
      <c r="Y69" s="432"/>
      <c r="Z69" s="432"/>
      <c r="AA69" s="425"/>
      <c r="AB69" s="441"/>
      <c r="AC69" s="447"/>
      <c r="AD69" s="445"/>
      <c r="AE69" s="457"/>
      <c r="AF69" s="458"/>
      <c r="AG69" s="461"/>
      <c r="AH69" s="466"/>
      <c r="AI69" s="468"/>
      <c r="AJ69" s="477" t="str">
        <f>IF(AL69="Chưa xếp lịch","Chưa xếp lịch",IF(AL69="Định kỳ",IF(AM69="","Thiếu chu kỳ","Theo chu kỳ"),IF(AL69="Khi phát sinh",IF(COUNTIFS('Lớp 5 - Phân công'!$J$14:$J$262,$I69,'Lớp 5 - Phân công'!$AB$14:$AB$262,"&lt;&gt;Hủy")=0,"Khi phát sinh – chờ việc con","Khi phát sinh – theo ngày con"),IF(I69="","",LET(n,COUNTIFS('Lớp 5 - Phân công'!$J$14:$J$262,$I69,'Lớp 5 - Phân công'!$AB$14:$AB$262,"&lt;&gt;Hủy"),cs,IFERROR(MINIFS('Lớp 5 - Phân công'!$AD$14:$AD$262,'Lớp 5 - Phân công'!$J$14:$J$262,$I69,'Lớp 5 - Phân công'!$AB$14:$AB$262,"&lt;&gt;Hủy",'Lớp 5 - Phân công'!$AD$14:$AD$262,"&gt;0"),0),ce,IFERROR(MAXIFS('Lớp 5 - Phân công'!$AE$14:$AE$262,'Lớp 5 - Phân công'!$J$14:$J$262,$I69,'Lớp 5 - Phân công'!$AB$14:$AB$262,"&lt;&gt;Hủy",'Lớp 5 - Phân công'!$AE$14:$AE$262,"&gt;0"),0),ps,'Trung tâm nhập liệu'!R172,pe,'Trung tâm nhập liệu'!Q172,IF(OR(AC69="",AD69=""),"Thiếu ngày L4",IF(n=0,"Chưa có L5",IF(OR(cs=0,ce=0),"Thiếu ngày L5",IF(OR(ps="",pe=""),"Thiếu ngày kế hoạch gốc L4",IF(OR(cs&lt;ps,ce&gt;pe),"Cảnh báo: Con vượt khung kế hoạch gốc","L5 đúng khung kế hoạch gốc"))))))))))</f>
        <v/>
      </c>
      <c r="AK69" s="465"/>
      <c r="AL69" s="467"/>
      <c r="AM69" s="469"/>
      <c r="AN69" s="470"/>
      <c r="AO69" s="470"/>
      <c r="AP69" s="471"/>
      <c r="AQ69" s="469"/>
      <c r="AR69" s="475"/>
      <c r="AS69" s="476"/>
      <c r="AT69" s="478"/>
      <c r="AU69" s="465"/>
      <c r="AV69" s="465"/>
      <c r="AW69" s="479"/>
    </row>
    <row r="70" ht="15.75" customHeight="1">
      <c r="A70" s="424"/>
      <c r="B70" s="425"/>
      <c r="C70" s="427"/>
      <c r="D70" s="616"/>
      <c r="E70" s="567"/>
      <c r="F70" s="431"/>
      <c r="G70" s="431"/>
      <c r="H70" s="432"/>
      <c r="I70" s="434"/>
      <c r="J70" s="432"/>
      <c r="K70" s="436"/>
      <c r="L70" s="438"/>
      <c r="M70" s="439"/>
      <c r="N70" s="439"/>
      <c r="O70" s="440"/>
      <c r="P70" s="441"/>
      <c r="Q70" s="442"/>
      <c r="R70" s="443"/>
      <c r="S70" s="445" t="str">
        <f>IF($I70="","",LET(n,COUNTIFS('Lớp 5 - Phân công'!$J$14:$J$262,$I70,'Lớp 5 - Phân công'!$AB$14:$AB$262,"&lt;&gt;Hủy"),child,IFERROR(MAXIFS('Lớp 5 - Phân công'!$AE$14:$AE$262,'Lớp 5 - Phân công'!$J$14:$J$262,$I70,'Lớp 5 - Phân công'!$AB$14:$AB$262,"&lt;&gt;Hủy",'Lớp 5 - Phân công'!$AE$14:$AE$262,"&gt;0"),0),plan,'Trung tâm nhập liệu'!Q173,emergent,LOWER(TRIM('Trung tâm nhập liệu'!O173))="khi phát sinh",IF(n=0,IF(emergent,"",plan),IF(child=0,IF(emergent,"",plan),IF(OR(emergent,plan=""),child,MAX(plan,child))))))</f>
        <v/>
      </c>
      <c r="T70" s="447" t="str">
        <f>IF($I70="","",LET(n,COUNTIFS('Lớp 5 - Phân công'!$J$14:$J$262,$I70,'Lớp 5 - Phân công'!$AB$14:$AB$262,"&lt;&gt;Hủy"),child,IFERROR(MINIFS('Lớp 5 - Phân công'!$AD$14:$AD$262,'Lớp 5 - Phân công'!$J$14:$J$262,$I70,'Lớp 5 - Phân công'!$AB$14:$AB$262,"&lt;&gt;Hủy",'Lớp 5 - Phân công'!$AD$14:$AD$262,"&gt;0"),0),plan,'Trung tâm nhập liệu'!R173,emergent,LOWER(TRIM('Trung tâm nhập liệu'!O173))="khi phát sinh",IF(n=0,IF(emergent,"",plan),IF(child=0,IF(emergent,"",plan),IF(OR(emergent,plan=""),child,MIN(plan,child))))))</f>
        <v/>
      </c>
      <c r="U70" s="432"/>
      <c r="V70" s="432"/>
      <c r="W70" s="432"/>
      <c r="X70" s="450"/>
      <c r="Y70" s="432"/>
      <c r="Z70" s="432"/>
      <c r="AA70" s="425"/>
      <c r="AB70" s="441"/>
      <c r="AC70" s="447"/>
      <c r="AD70" s="445"/>
      <c r="AE70" s="457"/>
      <c r="AF70" s="458"/>
      <c r="AG70" s="461"/>
      <c r="AH70" s="466"/>
      <c r="AI70" s="468"/>
      <c r="AJ70" s="477" t="str">
        <f>IF(AL70="Chưa xếp lịch","Chưa xếp lịch",IF(AL70="Định kỳ",IF(AM70="","Thiếu chu kỳ","Theo chu kỳ"),IF(AL70="Khi phát sinh",IF(COUNTIFS('Lớp 5 - Phân công'!$J$14:$J$262,$I70,'Lớp 5 - Phân công'!$AB$14:$AB$262,"&lt;&gt;Hủy")=0,"Khi phát sinh – chờ việc con","Khi phát sinh – theo ngày con"),IF(I70="","",LET(n,COUNTIFS('Lớp 5 - Phân công'!$J$14:$J$262,$I70,'Lớp 5 - Phân công'!$AB$14:$AB$262,"&lt;&gt;Hủy"),cs,IFERROR(MINIFS('Lớp 5 - Phân công'!$AD$14:$AD$262,'Lớp 5 - Phân công'!$J$14:$J$262,$I70,'Lớp 5 - Phân công'!$AB$14:$AB$262,"&lt;&gt;Hủy",'Lớp 5 - Phân công'!$AD$14:$AD$262,"&gt;0"),0),ce,IFERROR(MAXIFS('Lớp 5 - Phân công'!$AE$14:$AE$262,'Lớp 5 - Phân công'!$J$14:$J$262,$I70,'Lớp 5 - Phân công'!$AB$14:$AB$262,"&lt;&gt;Hủy",'Lớp 5 - Phân công'!$AE$14:$AE$262,"&gt;0"),0),ps,'Trung tâm nhập liệu'!R173,pe,'Trung tâm nhập liệu'!Q173,IF(OR(AC70="",AD70=""),"Thiếu ngày L4",IF(n=0,"Chưa có L5",IF(OR(cs=0,ce=0),"Thiếu ngày L5",IF(OR(ps="",pe=""),"Thiếu ngày kế hoạch gốc L4",IF(OR(cs&lt;ps,ce&gt;pe),"Cảnh báo: Con vượt khung kế hoạch gốc","L5 đúng khung kế hoạch gốc"))))))))))</f>
        <v/>
      </c>
      <c r="AK70" s="465"/>
      <c r="AL70" s="467"/>
      <c r="AM70" s="469"/>
      <c r="AN70" s="470"/>
      <c r="AO70" s="470"/>
      <c r="AP70" s="471"/>
      <c r="AQ70" s="469"/>
      <c r="AR70" s="475"/>
      <c r="AS70" s="476"/>
      <c r="AT70" s="478"/>
      <c r="AU70" s="465"/>
      <c r="AV70" s="465"/>
      <c r="AW70" s="479"/>
    </row>
    <row r="71" ht="15.75" customHeight="1">
      <c r="A71" s="424"/>
      <c r="B71" s="425"/>
      <c r="C71" s="427"/>
      <c r="D71" s="616"/>
      <c r="E71" s="567"/>
      <c r="F71" s="431"/>
      <c r="G71" s="431"/>
      <c r="H71" s="432"/>
      <c r="I71" s="434"/>
      <c r="J71" s="432"/>
      <c r="K71" s="436"/>
      <c r="L71" s="438"/>
      <c r="M71" s="439"/>
      <c r="N71" s="439"/>
      <c r="O71" s="440"/>
      <c r="P71" s="441"/>
      <c r="Q71" s="442"/>
      <c r="R71" s="443"/>
      <c r="S71" s="445" t="str">
        <f>IF($I71="","",LET(n,COUNTIFS('Lớp 5 - Phân công'!$J$14:$J$262,$I71,'Lớp 5 - Phân công'!$AB$14:$AB$262,"&lt;&gt;Hủy"),child,IFERROR(MAXIFS('Lớp 5 - Phân công'!$AE$14:$AE$262,'Lớp 5 - Phân công'!$J$14:$J$262,$I71,'Lớp 5 - Phân công'!$AB$14:$AB$262,"&lt;&gt;Hủy",'Lớp 5 - Phân công'!$AE$14:$AE$262,"&gt;0"),0),plan,'Trung tâm nhập liệu'!Q174,emergent,LOWER(TRIM('Trung tâm nhập liệu'!O174))="khi phát sinh",IF(n=0,IF(emergent,"",plan),IF(child=0,IF(emergent,"",plan),IF(OR(emergent,plan=""),child,MAX(plan,child))))))</f>
        <v/>
      </c>
      <c r="T71" s="447" t="str">
        <f>IF($I71="","",LET(n,COUNTIFS('Lớp 5 - Phân công'!$J$14:$J$262,$I71,'Lớp 5 - Phân công'!$AB$14:$AB$262,"&lt;&gt;Hủy"),child,IFERROR(MINIFS('Lớp 5 - Phân công'!$AD$14:$AD$262,'Lớp 5 - Phân công'!$J$14:$J$262,$I71,'Lớp 5 - Phân công'!$AB$14:$AB$262,"&lt;&gt;Hủy",'Lớp 5 - Phân công'!$AD$14:$AD$262,"&gt;0"),0),plan,'Trung tâm nhập liệu'!R174,emergent,LOWER(TRIM('Trung tâm nhập liệu'!O174))="khi phát sinh",IF(n=0,IF(emergent,"",plan),IF(child=0,IF(emergent,"",plan),IF(OR(emergent,plan=""),child,MIN(plan,child))))))</f>
        <v/>
      </c>
      <c r="U71" s="432"/>
      <c r="V71" s="432"/>
      <c r="W71" s="432"/>
      <c r="X71" s="450"/>
      <c r="Y71" s="432"/>
      <c r="Z71" s="432"/>
      <c r="AA71" s="425"/>
      <c r="AB71" s="441"/>
      <c r="AC71" s="447"/>
      <c r="AD71" s="445"/>
      <c r="AE71" s="457"/>
      <c r="AF71" s="458"/>
      <c r="AG71" s="461"/>
      <c r="AH71" s="466"/>
      <c r="AI71" s="468"/>
      <c r="AJ71" s="477" t="str">
        <f>IF(AL71="Chưa xếp lịch","Chưa xếp lịch",IF(AL71="Định kỳ",IF(AM71="","Thiếu chu kỳ","Theo chu kỳ"),IF(AL71="Khi phát sinh",IF(COUNTIFS('Lớp 5 - Phân công'!$J$14:$J$262,$I71,'Lớp 5 - Phân công'!$AB$14:$AB$262,"&lt;&gt;Hủy")=0,"Khi phát sinh – chờ việc con","Khi phát sinh – theo ngày con"),IF(I71="","",LET(n,COUNTIFS('Lớp 5 - Phân công'!$J$14:$J$262,$I71,'Lớp 5 - Phân công'!$AB$14:$AB$262,"&lt;&gt;Hủy"),cs,IFERROR(MINIFS('Lớp 5 - Phân công'!$AD$14:$AD$262,'Lớp 5 - Phân công'!$J$14:$J$262,$I71,'Lớp 5 - Phân công'!$AB$14:$AB$262,"&lt;&gt;Hủy",'Lớp 5 - Phân công'!$AD$14:$AD$262,"&gt;0"),0),ce,IFERROR(MAXIFS('Lớp 5 - Phân công'!$AE$14:$AE$262,'Lớp 5 - Phân công'!$J$14:$J$262,$I71,'Lớp 5 - Phân công'!$AB$14:$AB$262,"&lt;&gt;Hủy",'Lớp 5 - Phân công'!$AE$14:$AE$262,"&gt;0"),0),ps,'Trung tâm nhập liệu'!R174,pe,'Trung tâm nhập liệu'!Q174,IF(OR(AC71="",AD71=""),"Thiếu ngày L4",IF(n=0,"Chưa có L5",IF(OR(cs=0,ce=0),"Thiếu ngày L5",IF(OR(ps="",pe=""),"Thiếu ngày kế hoạch gốc L4",IF(OR(cs&lt;ps,ce&gt;pe),"Cảnh báo: Con vượt khung kế hoạch gốc","L5 đúng khung kế hoạch gốc"))))))))))</f>
        <v/>
      </c>
      <c r="AK71" s="465"/>
      <c r="AL71" s="467"/>
      <c r="AM71" s="469"/>
      <c r="AN71" s="470"/>
      <c r="AO71" s="470"/>
      <c r="AP71" s="471"/>
      <c r="AQ71" s="469"/>
      <c r="AR71" s="475"/>
      <c r="AS71" s="476"/>
      <c r="AT71" s="478"/>
      <c r="AU71" s="465"/>
      <c r="AV71" s="465"/>
      <c r="AW71" s="479"/>
    </row>
    <row r="72" ht="15.75" customHeight="1">
      <c r="A72" s="424"/>
      <c r="B72" s="425"/>
      <c r="C72" s="427"/>
      <c r="D72" s="616"/>
      <c r="E72" s="567"/>
      <c r="F72" s="431"/>
      <c r="G72" s="431"/>
      <c r="H72" s="432"/>
      <c r="I72" s="434"/>
      <c r="J72" s="432"/>
      <c r="K72" s="436"/>
      <c r="L72" s="438"/>
      <c r="M72" s="439"/>
      <c r="N72" s="439"/>
      <c r="O72" s="440"/>
      <c r="P72" s="441"/>
      <c r="Q72" s="442"/>
      <c r="R72" s="443"/>
      <c r="S72" s="445" t="str">
        <f>IF($I72="","",LET(n,COUNTIFS('Lớp 5 - Phân công'!$J$14:$J$262,$I72,'Lớp 5 - Phân công'!$AB$14:$AB$262,"&lt;&gt;Hủy"),child,IFERROR(MAXIFS('Lớp 5 - Phân công'!$AE$14:$AE$262,'Lớp 5 - Phân công'!$J$14:$J$262,$I72,'Lớp 5 - Phân công'!$AB$14:$AB$262,"&lt;&gt;Hủy",'Lớp 5 - Phân công'!$AE$14:$AE$262,"&gt;0"),0),plan,'Trung tâm nhập liệu'!Q175,emergent,LOWER(TRIM('Trung tâm nhập liệu'!O175))="khi phát sinh",IF(n=0,IF(emergent,"",plan),IF(child=0,IF(emergent,"",plan),IF(OR(emergent,plan=""),child,MAX(plan,child))))))</f>
        <v/>
      </c>
      <c r="T72" s="447" t="str">
        <f>IF($I72="","",LET(n,COUNTIFS('Lớp 5 - Phân công'!$J$14:$J$262,$I72,'Lớp 5 - Phân công'!$AB$14:$AB$262,"&lt;&gt;Hủy"),child,IFERROR(MINIFS('Lớp 5 - Phân công'!$AD$14:$AD$262,'Lớp 5 - Phân công'!$J$14:$J$262,$I72,'Lớp 5 - Phân công'!$AB$14:$AB$262,"&lt;&gt;Hủy",'Lớp 5 - Phân công'!$AD$14:$AD$262,"&gt;0"),0),plan,'Trung tâm nhập liệu'!R175,emergent,LOWER(TRIM('Trung tâm nhập liệu'!O175))="khi phát sinh",IF(n=0,IF(emergent,"",plan),IF(child=0,IF(emergent,"",plan),IF(OR(emergent,plan=""),child,MIN(plan,child))))))</f>
        <v/>
      </c>
      <c r="U72" s="432"/>
      <c r="V72" s="432"/>
      <c r="W72" s="432"/>
      <c r="X72" s="450"/>
      <c r="Y72" s="432"/>
      <c r="Z72" s="432"/>
      <c r="AA72" s="425"/>
      <c r="AB72" s="441"/>
      <c r="AC72" s="447"/>
      <c r="AD72" s="445"/>
      <c r="AE72" s="457"/>
      <c r="AF72" s="458"/>
      <c r="AG72" s="461"/>
      <c r="AH72" s="466"/>
      <c r="AI72" s="468"/>
      <c r="AJ72" s="477" t="str">
        <f>IF(AL72="Chưa xếp lịch","Chưa xếp lịch",IF(AL72="Định kỳ",IF(AM72="","Thiếu chu kỳ","Theo chu kỳ"),IF(AL72="Khi phát sinh",IF(COUNTIFS('Lớp 5 - Phân công'!$J$14:$J$262,$I72,'Lớp 5 - Phân công'!$AB$14:$AB$262,"&lt;&gt;Hủy")=0,"Khi phát sinh – chờ việc con","Khi phát sinh – theo ngày con"),IF(I72="","",LET(n,COUNTIFS('Lớp 5 - Phân công'!$J$14:$J$262,$I72,'Lớp 5 - Phân công'!$AB$14:$AB$262,"&lt;&gt;Hủy"),cs,IFERROR(MINIFS('Lớp 5 - Phân công'!$AD$14:$AD$262,'Lớp 5 - Phân công'!$J$14:$J$262,$I72,'Lớp 5 - Phân công'!$AB$14:$AB$262,"&lt;&gt;Hủy",'Lớp 5 - Phân công'!$AD$14:$AD$262,"&gt;0"),0),ce,IFERROR(MAXIFS('Lớp 5 - Phân công'!$AE$14:$AE$262,'Lớp 5 - Phân công'!$J$14:$J$262,$I72,'Lớp 5 - Phân công'!$AB$14:$AB$262,"&lt;&gt;Hủy",'Lớp 5 - Phân công'!$AE$14:$AE$262,"&gt;0"),0),ps,'Trung tâm nhập liệu'!R175,pe,'Trung tâm nhập liệu'!Q175,IF(OR(AC72="",AD72=""),"Thiếu ngày L4",IF(n=0,"Chưa có L5",IF(OR(cs=0,ce=0),"Thiếu ngày L5",IF(OR(ps="",pe=""),"Thiếu ngày kế hoạch gốc L4",IF(OR(cs&lt;ps,ce&gt;pe),"Cảnh báo: Con vượt khung kế hoạch gốc","L5 đúng khung kế hoạch gốc"))))))))))</f>
        <v/>
      </c>
      <c r="AK72" s="465"/>
      <c r="AL72" s="467"/>
      <c r="AM72" s="469"/>
      <c r="AN72" s="470"/>
      <c r="AO72" s="470"/>
      <c r="AP72" s="471"/>
      <c r="AQ72" s="469"/>
      <c r="AR72" s="475"/>
      <c r="AS72" s="476"/>
      <c r="AT72" s="478"/>
      <c r="AU72" s="465"/>
      <c r="AV72" s="465"/>
      <c r="AW72" s="479"/>
    </row>
    <row r="73" ht="15.75" customHeight="1">
      <c r="A73" s="424"/>
      <c r="B73" s="425"/>
      <c r="C73" s="427"/>
      <c r="D73" s="616"/>
      <c r="E73" s="567"/>
      <c r="F73" s="431"/>
      <c r="G73" s="431"/>
      <c r="H73" s="432"/>
      <c r="I73" s="434"/>
      <c r="J73" s="432"/>
      <c r="K73" s="436"/>
      <c r="L73" s="438"/>
      <c r="M73" s="439"/>
      <c r="N73" s="439"/>
      <c r="O73" s="440"/>
      <c r="P73" s="441"/>
      <c r="Q73" s="442"/>
      <c r="R73" s="443"/>
      <c r="S73" s="445" t="str">
        <f>IF($I73="","",LET(n,COUNTIFS('Lớp 5 - Phân công'!$J$14:$J$262,$I73,'Lớp 5 - Phân công'!$AB$14:$AB$262,"&lt;&gt;Hủy"),child,IFERROR(MAXIFS('Lớp 5 - Phân công'!$AE$14:$AE$262,'Lớp 5 - Phân công'!$J$14:$J$262,$I73,'Lớp 5 - Phân công'!$AB$14:$AB$262,"&lt;&gt;Hủy",'Lớp 5 - Phân công'!$AE$14:$AE$262,"&gt;0"),0),plan,'Trung tâm nhập liệu'!Q176,emergent,LOWER(TRIM('Trung tâm nhập liệu'!O176))="khi phát sinh",IF(n=0,IF(emergent,"",plan),IF(child=0,IF(emergent,"",plan),IF(OR(emergent,plan=""),child,MAX(plan,child))))))</f>
        <v/>
      </c>
      <c r="T73" s="447" t="str">
        <f>IF($I73="","",LET(n,COUNTIFS('Lớp 5 - Phân công'!$J$14:$J$262,$I73,'Lớp 5 - Phân công'!$AB$14:$AB$262,"&lt;&gt;Hủy"),child,IFERROR(MINIFS('Lớp 5 - Phân công'!$AD$14:$AD$262,'Lớp 5 - Phân công'!$J$14:$J$262,$I73,'Lớp 5 - Phân công'!$AB$14:$AB$262,"&lt;&gt;Hủy",'Lớp 5 - Phân công'!$AD$14:$AD$262,"&gt;0"),0),plan,'Trung tâm nhập liệu'!R176,emergent,LOWER(TRIM('Trung tâm nhập liệu'!O176))="khi phát sinh",IF(n=0,IF(emergent,"",plan),IF(child=0,IF(emergent,"",plan),IF(OR(emergent,plan=""),child,MIN(plan,child))))))</f>
        <v/>
      </c>
      <c r="U73" s="432"/>
      <c r="V73" s="432"/>
      <c r="W73" s="432"/>
      <c r="X73" s="450"/>
      <c r="Y73" s="432"/>
      <c r="Z73" s="432"/>
      <c r="AA73" s="425"/>
      <c r="AB73" s="441"/>
      <c r="AC73" s="447"/>
      <c r="AD73" s="445"/>
      <c r="AE73" s="457"/>
      <c r="AF73" s="458"/>
      <c r="AG73" s="461"/>
      <c r="AH73" s="466"/>
      <c r="AI73" s="468"/>
      <c r="AJ73" s="477" t="str">
        <f>IF(AL73="Chưa xếp lịch","Chưa xếp lịch",IF(AL73="Định kỳ",IF(AM73="","Thiếu chu kỳ","Theo chu kỳ"),IF(AL73="Khi phát sinh",IF(COUNTIFS('Lớp 5 - Phân công'!$J$14:$J$262,$I73,'Lớp 5 - Phân công'!$AB$14:$AB$262,"&lt;&gt;Hủy")=0,"Khi phát sinh – chờ việc con","Khi phát sinh – theo ngày con"),IF(I73="","",LET(n,COUNTIFS('Lớp 5 - Phân công'!$J$14:$J$262,$I73,'Lớp 5 - Phân công'!$AB$14:$AB$262,"&lt;&gt;Hủy"),cs,IFERROR(MINIFS('Lớp 5 - Phân công'!$AD$14:$AD$262,'Lớp 5 - Phân công'!$J$14:$J$262,$I73,'Lớp 5 - Phân công'!$AB$14:$AB$262,"&lt;&gt;Hủy",'Lớp 5 - Phân công'!$AD$14:$AD$262,"&gt;0"),0),ce,IFERROR(MAXIFS('Lớp 5 - Phân công'!$AE$14:$AE$262,'Lớp 5 - Phân công'!$J$14:$J$262,$I73,'Lớp 5 - Phân công'!$AB$14:$AB$262,"&lt;&gt;Hủy",'Lớp 5 - Phân công'!$AE$14:$AE$262,"&gt;0"),0),ps,'Trung tâm nhập liệu'!R176,pe,'Trung tâm nhập liệu'!Q176,IF(OR(AC73="",AD73=""),"Thiếu ngày L4",IF(n=0,"Chưa có L5",IF(OR(cs=0,ce=0),"Thiếu ngày L5",IF(OR(ps="",pe=""),"Thiếu ngày kế hoạch gốc L4",IF(OR(cs&lt;ps,ce&gt;pe),"Cảnh báo: Con vượt khung kế hoạch gốc","L5 đúng khung kế hoạch gốc"))))))))))</f>
        <v/>
      </c>
      <c r="AK73" s="465"/>
      <c r="AL73" s="467"/>
      <c r="AM73" s="469"/>
      <c r="AN73" s="470"/>
      <c r="AO73" s="470"/>
      <c r="AP73" s="471"/>
      <c r="AQ73" s="469"/>
      <c r="AR73" s="475"/>
      <c r="AS73" s="476"/>
      <c r="AT73" s="478"/>
      <c r="AU73" s="465"/>
      <c r="AV73" s="465"/>
      <c r="AW73" s="479"/>
    </row>
    <row r="74" ht="15.75" customHeight="1">
      <c r="A74" s="424"/>
      <c r="B74" s="425"/>
      <c r="C74" s="427"/>
      <c r="D74" s="616"/>
      <c r="E74" s="567"/>
      <c r="F74" s="431"/>
      <c r="G74" s="431"/>
      <c r="H74" s="432"/>
      <c r="I74" s="434"/>
      <c r="J74" s="432"/>
      <c r="K74" s="436"/>
      <c r="L74" s="438"/>
      <c r="M74" s="439"/>
      <c r="N74" s="439"/>
      <c r="O74" s="440"/>
      <c r="P74" s="441"/>
      <c r="Q74" s="442"/>
      <c r="R74" s="443"/>
      <c r="S74" s="445" t="str">
        <f>IF($I74="","",LET(n,COUNTIFS('Lớp 5 - Phân công'!$J$14:$J$262,$I74,'Lớp 5 - Phân công'!$AB$14:$AB$262,"&lt;&gt;Hủy"),child,IFERROR(MAXIFS('Lớp 5 - Phân công'!$AE$14:$AE$262,'Lớp 5 - Phân công'!$J$14:$J$262,$I74,'Lớp 5 - Phân công'!$AB$14:$AB$262,"&lt;&gt;Hủy",'Lớp 5 - Phân công'!$AE$14:$AE$262,"&gt;0"),0),plan,'Trung tâm nhập liệu'!Q177,emergent,LOWER(TRIM('Trung tâm nhập liệu'!O177))="khi phát sinh",IF(n=0,IF(emergent,"",plan),IF(child=0,IF(emergent,"",plan),IF(OR(emergent,plan=""),child,MAX(plan,child))))))</f>
        <v/>
      </c>
      <c r="T74" s="447" t="str">
        <f>IF($I74="","",LET(n,COUNTIFS('Lớp 5 - Phân công'!$J$14:$J$262,$I74,'Lớp 5 - Phân công'!$AB$14:$AB$262,"&lt;&gt;Hủy"),child,IFERROR(MINIFS('Lớp 5 - Phân công'!$AD$14:$AD$262,'Lớp 5 - Phân công'!$J$14:$J$262,$I74,'Lớp 5 - Phân công'!$AB$14:$AB$262,"&lt;&gt;Hủy",'Lớp 5 - Phân công'!$AD$14:$AD$262,"&gt;0"),0),plan,'Trung tâm nhập liệu'!R177,emergent,LOWER(TRIM('Trung tâm nhập liệu'!O177))="khi phát sinh",IF(n=0,IF(emergent,"",plan),IF(child=0,IF(emergent,"",plan),IF(OR(emergent,plan=""),child,MIN(plan,child))))))</f>
        <v/>
      </c>
      <c r="U74" s="432"/>
      <c r="V74" s="432"/>
      <c r="W74" s="432"/>
      <c r="X74" s="450"/>
      <c r="Y74" s="432"/>
      <c r="Z74" s="432"/>
      <c r="AA74" s="425"/>
      <c r="AB74" s="441"/>
      <c r="AC74" s="447"/>
      <c r="AD74" s="445"/>
      <c r="AE74" s="457"/>
      <c r="AF74" s="458"/>
      <c r="AG74" s="461"/>
      <c r="AH74" s="466"/>
      <c r="AI74" s="468"/>
      <c r="AJ74" s="477" t="str">
        <f>IF(AL74="Chưa xếp lịch","Chưa xếp lịch",IF(AL74="Định kỳ",IF(AM74="","Thiếu chu kỳ","Theo chu kỳ"),IF(AL74="Khi phát sinh",IF(COUNTIFS('Lớp 5 - Phân công'!$J$14:$J$262,$I74,'Lớp 5 - Phân công'!$AB$14:$AB$262,"&lt;&gt;Hủy")=0,"Khi phát sinh – chờ việc con","Khi phát sinh – theo ngày con"),IF(I74="","",LET(n,COUNTIFS('Lớp 5 - Phân công'!$J$14:$J$262,$I74,'Lớp 5 - Phân công'!$AB$14:$AB$262,"&lt;&gt;Hủy"),cs,IFERROR(MINIFS('Lớp 5 - Phân công'!$AD$14:$AD$262,'Lớp 5 - Phân công'!$J$14:$J$262,$I74,'Lớp 5 - Phân công'!$AB$14:$AB$262,"&lt;&gt;Hủy",'Lớp 5 - Phân công'!$AD$14:$AD$262,"&gt;0"),0),ce,IFERROR(MAXIFS('Lớp 5 - Phân công'!$AE$14:$AE$262,'Lớp 5 - Phân công'!$J$14:$J$262,$I74,'Lớp 5 - Phân công'!$AB$14:$AB$262,"&lt;&gt;Hủy",'Lớp 5 - Phân công'!$AE$14:$AE$262,"&gt;0"),0),ps,'Trung tâm nhập liệu'!R177,pe,'Trung tâm nhập liệu'!Q177,IF(OR(AC74="",AD74=""),"Thiếu ngày L4",IF(n=0,"Chưa có L5",IF(OR(cs=0,ce=0),"Thiếu ngày L5",IF(OR(ps="",pe=""),"Thiếu ngày kế hoạch gốc L4",IF(OR(cs&lt;ps,ce&gt;pe),"Cảnh báo: Con vượt khung kế hoạch gốc","L5 đúng khung kế hoạch gốc"))))))))))</f>
        <v/>
      </c>
      <c r="AK74" s="465"/>
      <c r="AL74" s="467"/>
      <c r="AM74" s="469"/>
      <c r="AN74" s="470"/>
      <c r="AO74" s="470"/>
      <c r="AP74" s="471"/>
      <c r="AQ74" s="469"/>
      <c r="AR74" s="475"/>
      <c r="AS74" s="476"/>
      <c r="AT74" s="478"/>
      <c r="AU74" s="465"/>
      <c r="AV74" s="465"/>
      <c r="AW74" s="479"/>
    </row>
    <row r="75" ht="15.75" customHeight="1">
      <c r="A75" s="424"/>
      <c r="B75" s="425"/>
      <c r="C75" s="427"/>
      <c r="D75" s="616"/>
      <c r="E75" s="567"/>
      <c r="F75" s="431"/>
      <c r="G75" s="431"/>
      <c r="H75" s="432"/>
      <c r="I75" s="434"/>
      <c r="J75" s="432"/>
      <c r="K75" s="436"/>
      <c r="L75" s="438"/>
      <c r="M75" s="439"/>
      <c r="N75" s="439"/>
      <c r="O75" s="440"/>
      <c r="P75" s="441"/>
      <c r="Q75" s="442"/>
      <c r="R75" s="443"/>
      <c r="S75" s="445" t="str">
        <f>IF($I75="","",LET(n,COUNTIFS('Lớp 5 - Phân công'!$J$14:$J$262,$I75,'Lớp 5 - Phân công'!$AB$14:$AB$262,"&lt;&gt;Hủy"),child,IFERROR(MAXIFS('Lớp 5 - Phân công'!$AE$14:$AE$262,'Lớp 5 - Phân công'!$J$14:$J$262,$I75,'Lớp 5 - Phân công'!$AB$14:$AB$262,"&lt;&gt;Hủy",'Lớp 5 - Phân công'!$AE$14:$AE$262,"&gt;0"),0),plan,'Trung tâm nhập liệu'!Q178,emergent,LOWER(TRIM('Trung tâm nhập liệu'!O178))="khi phát sinh",IF(n=0,IF(emergent,"",plan),IF(child=0,IF(emergent,"",plan),IF(OR(emergent,plan=""),child,MAX(plan,child))))))</f>
        <v/>
      </c>
      <c r="T75" s="447" t="str">
        <f>IF($I75="","",LET(n,COUNTIFS('Lớp 5 - Phân công'!$J$14:$J$262,$I75,'Lớp 5 - Phân công'!$AB$14:$AB$262,"&lt;&gt;Hủy"),child,IFERROR(MINIFS('Lớp 5 - Phân công'!$AD$14:$AD$262,'Lớp 5 - Phân công'!$J$14:$J$262,$I75,'Lớp 5 - Phân công'!$AB$14:$AB$262,"&lt;&gt;Hủy",'Lớp 5 - Phân công'!$AD$14:$AD$262,"&gt;0"),0),plan,'Trung tâm nhập liệu'!R178,emergent,LOWER(TRIM('Trung tâm nhập liệu'!O178))="khi phát sinh",IF(n=0,IF(emergent,"",plan),IF(child=0,IF(emergent,"",plan),IF(OR(emergent,plan=""),child,MIN(plan,child))))))</f>
        <v/>
      </c>
      <c r="U75" s="432"/>
      <c r="V75" s="432"/>
      <c r="W75" s="432"/>
      <c r="X75" s="450"/>
      <c r="Y75" s="432"/>
      <c r="Z75" s="432"/>
      <c r="AA75" s="425"/>
      <c r="AB75" s="441"/>
      <c r="AC75" s="447"/>
      <c r="AD75" s="445"/>
      <c r="AE75" s="457"/>
      <c r="AF75" s="458"/>
      <c r="AG75" s="461"/>
      <c r="AH75" s="466"/>
      <c r="AI75" s="468"/>
      <c r="AJ75" s="477" t="str">
        <f>IF(AL75="Chưa xếp lịch","Chưa xếp lịch",IF(AL75="Định kỳ",IF(AM75="","Thiếu chu kỳ","Theo chu kỳ"),IF(AL75="Khi phát sinh",IF(COUNTIFS('Lớp 5 - Phân công'!$J$14:$J$262,$I75,'Lớp 5 - Phân công'!$AB$14:$AB$262,"&lt;&gt;Hủy")=0,"Khi phát sinh – chờ việc con","Khi phát sinh – theo ngày con"),IF(I75="","",LET(n,COUNTIFS('Lớp 5 - Phân công'!$J$14:$J$262,$I75,'Lớp 5 - Phân công'!$AB$14:$AB$262,"&lt;&gt;Hủy"),cs,IFERROR(MINIFS('Lớp 5 - Phân công'!$AD$14:$AD$262,'Lớp 5 - Phân công'!$J$14:$J$262,$I75,'Lớp 5 - Phân công'!$AB$14:$AB$262,"&lt;&gt;Hủy",'Lớp 5 - Phân công'!$AD$14:$AD$262,"&gt;0"),0),ce,IFERROR(MAXIFS('Lớp 5 - Phân công'!$AE$14:$AE$262,'Lớp 5 - Phân công'!$J$14:$J$262,$I75,'Lớp 5 - Phân công'!$AB$14:$AB$262,"&lt;&gt;Hủy",'Lớp 5 - Phân công'!$AE$14:$AE$262,"&gt;0"),0),ps,'Trung tâm nhập liệu'!R178,pe,'Trung tâm nhập liệu'!Q178,IF(OR(AC75="",AD75=""),"Thiếu ngày L4",IF(n=0,"Chưa có L5",IF(OR(cs=0,ce=0),"Thiếu ngày L5",IF(OR(ps="",pe=""),"Thiếu ngày kế hoạch gốc L4",IF(OR(cs&lt;ps,ce&gt;pe),"Cảnh báo: Con vượt khung kế hoạch gốc","L5 đúng khung kế hoạch gốc"))))))))))</f>
        <v/>
      </c>
      <c r="AK75" s="465"/>
      <c r="AL75" s="467"/>
      <c r="AM75" s="469"/>
      <c r="AN75" s="470"/>
      <c r="AO75" s="470"/>
      <c r="AP75" s="471"/>
      <c r="AQ75" s="469"/>
      <c r="AR75" s="475"/>
      <c r="AS75" s="476"/>
      <c r="AT75" s="478"/>
      <c r="AU75" s="465"/>
      <c r="AV75" s="465"/>
      <c r="AW75" s="479"/>
    </row>
    <row r="76" ht="15.75" customHeight="1">
      <c r="A76" s="424"/>
      <c r="B76" s="425"/>
      <c r="C76" s="427"/>
      <c r="D76" s="616"/>
      <c r="E76" s="567"/>
      <c r="F76" s="431"/>
      <c r="G76" s="431"/>
      <c r="H76" s="432"/>
      <c r="I76" s="434"/>
      <c r="J76" s="432"/>
      <c r="K76" s="436"/>
      <c r="L76" s="438"/>
      <c r="M76" s="439"/>
      <c r="N76" s="439"/>
      <c r="O76" s="440"/>
      <c r="P76" s="441"/>
      <c r="Q76" s="442"/>
      <c r="R76" s="443"/>
      <c r="S76" s="445" t="str">
        <f>IF($I76="","",LET(n,COUNTIFS('Lớp 5 - Phân công'!$J$14:$J$262,$I76,'Lớp 5 - Phân công'!$AB$14:$AB$262,"&lt;&gt;Hủy"),child,IFERROR(MAXIFS('Lớp 5 - Phân công'!$AE$14:$AE$262,'Lớp 5 - Phân công'!$J$14:$J$262,$I76,'Lớp 5 - Phân công'!$AB$14:$AB$262,"&lt;&gt;Hủy",'Lớp 5 - Phân công'!$AE$14:$AE$262,"&gt;0"),0),plan,'Trung tâm nhập liệu'!Q179,emergent,LOWER(TRIM('Trung tâm nhập liệu'!O179))="khi phát sinh",IF(n=0,IF(emergent,"",plan),IF(child=0,IF(emergent,"",plan),IF(OR(emergent,plan=""),child,MAX(plan,child))))))</f>
        <v/>
      </c>
      <c r="T76" s="447" t="str">
        <f>IF($I76="","",LET(n,COUNTIFS('Lớp 5 - Phân công'!$J$14:$J$262,$I76,'Lớp 5 - Phân công'!$AB$14:$AB$262,"&lt;&gt;Hủy"),child,IFERROR(MINIFS('Lớp 5 - Phân công'!$AD$14:$AD$262,'Lớp 5 - Phân công'!$J$14:$J$262,$I76,'Lớp 5 - Phân công'!$AB$14:$AB$262,"&lt;&gt;Hủy",'Lớp 5 - Phân công'!$AD$14:$AD$262,"&gt;0"),0),plan,'Trung tâm nhập liệu'!R179,emergent,LOWER(TRIM('Trung tâm nhập liệu'!O179))="khi phát sinh",IF(n=0,IF(emergent,"",plan),IF(child=0,IF(emergent,"",plan),IF(OR(emergent,plan=""),child,MIN(plan,child))))))</f>
        <v/>
      </c>
      <c r="U76" s="432"/>
      <c r="V76" s="432"/>
      <c r="W76" s="432"/>
      <c r="X76" s="450"/>
      <c r="Y76" s="432"/>
      <c r="Z76" s="432"/>
      <c r="AA76" s="425"/>
      <c r="AB76" s="441"/>
      <c r="AC76" s="447"/>
      <c r="AD76" s="445"/>
      <c r="AE76" s="457"/>
      <c r="AF76" s="458"/>
      <c r="AG76" s="461"/>
      <c r="AH76" s="466"/>
      <c r="AI76" s="468"/>
      <c r="AJ76" s="477" t="str">
        <f>IF(AL76="Chưa xếp lịch","Chưa xếp lịch",IF(AL76="Định kỳ",IF(AM76="","Thiếu chu kỳ","Theo chu kỳ"),IF(AL76="Khi phát sinh",IF(COUNTIFS('Lớp 5 - Phân công'!$J$14:$J$262,$I76,'Lớp 5 - Phân công'!$AB$14:$AB$262,"&lt;&gt;Hủy")=0,"Khi phát sinh – chờ việc con","Khi phát sinh – theo ngày con"),IF(I76="","",LET(n,COUNTIFS('Lớp 5 - Phân công'!$J$14:$J$262,$I76,'Lớp 5 - Phân công'!$AB$14:$AB$262,"&lt;&gt;Hủy"),cs,IFERROR(MINIFS('Lớp 5 - Phân công'!$AD$14:$AD$262,'Lớp 5 - Phân công'!$J$14:$J$262,$I76,'Lớp 5 - Phân công'!$AB$14:$AB$262,"&lt;&gt;Hủy",'Lớp 5 - Phân công'!$AD$14:$AD$262,"&gt;0"),0),ce,IFERROR(MAXIFS('Lớp 5 - Phân công'!$AE$14:$AE$262,'Lớp 5 - Phân công'!$J$14:$J$262,$I76,'Lớp 5 - Phân công'!$AB$14:$AB$262,"&lt;&gt;Hủy",'Lớp 5 - Phân công'!$AE$14:$AE$262,"&gt;0"),0),ps,'Trung tâm nhập liệu'!R179,pe,'Trung tâm nhập liệu'!Q179,IF(OR(AC76="",AD76=""),"Thiếu ngày L4",IF(n=0,"Chưa có L5",IF(OR(cs=0,ce=0),"Thiếu ngày L5",IF(OR(ps="",pe=""),"Thiếu ngày kế hoạch gốc L4",IF(OR(cs&lt;ps,ce&gt;pe),"Cảnh báo: Con vượt khung kế hoạch gốc","L5 đúng khung kế hoạch gốc"))))))))))</f>
        <v/>
      </c>
      <c r="AK76" s="465"/>
      <c r="AL76" s="467"/>
      <c r="AM76" s="469"/>
      <c r="AN76" s="470"/>
      <c r="AO76" s="470"/>
      <c r="AP76" s="471"/>
      <c r="AQ76" s="469"/>
      <c r="AR76" s="475"/>
      <c r="AS76" s="476"/>
      <c r="AT76" s="478"/>
      <c r="AU76" s="465"/>
      <c r="AV76" s="465"/>
      <c r="AW76" s="479"/>
    </row>
    <row r="77" ht="15.75" customHeight="1">
      <c r="A77" s="424"/>
      <c r="B77" s="425"/>
      <c r="C77" s="427"/>
      <c r="D77" s="616"/>
      <c r="E77" s="567"/>
      <c r="F77" s="431"/>
      <c r="G77" s="431"/>
      <c r="H77" s="432"/>
      <c r="I77" s="434"/>
      <c r="J77" s="432"/>
      <c r="K77" s="436"/>
      <c r="L77" s="438"/>
      <c r="M77" s="439"/>
      <c r="N77" s="439"/>
      <c r="O77" s="440"/>
      <c r="P77" s="441"/>
      <c r="Q77" s="442"/>
      <c r="R77" s="443"/>
      <c r="S77" s="445" t="str">
        <f>IF($I77="","",LET(n,COUNTIFS('Lớp 5 - Phân công'!$J$14:$J$262,$I77,'Lớp 5 - Phân công'!$AB$14:$AB$262,"&lt;&gt;Hủy"),child,IFERROR(MAXIFS('Lớp 5 - Phân công'!$AE$14:$AE$262,'Lớp 5 - Phân công'!$J$14:$J$262,$I77,'Lớp 5 - Phân công'!$AB$14:$AB$262,"&lt;&gt;Hủy",'Lớp 5 - Phân công'!$AE$14:$AE$262,"&gt;0"),0),plan,'Trung tâm nhập liệu'!Q180,emergent,LOWER(TRIM('Trung tâm nhập liệu'!O180))="khi phát sinh",IF(n=0,IF(emergent,"",plan),IF(child=0,IF(emergent,"",plan),IF(OR(emergent,plan=""),child,MAX(plan,child))))))</f>
        <v/>
      </c>
      <c r="T77" s="447" t="str">
        <f>IF($I77="","",LET(n,COUNTIFS('Lớp 5 - Phân công'!$J$14:$J$262,$I77,'Lớp 5 - Phân công'!$AB$14:$AB$262,"&lt;&gt;Hủy"),child,IFERROR(MINIFS('Lớp 5 - Phân công'!$AD$14:$AD$262,'Lớp 5 - Phân công'!$J$14:$J$262,$I77,'Lớp 5 - Phân công'!$AB$14:$AB$262,"&lt;&gt;Hủy",'Lớp 5 - Phân công'!$AD$14:$AD$262,"&gt;0"),0),plan,'Trung tâm nhập liệu'!R180,emergent,LOWER(TRIM('Trung tâm nhập liệu'!O180))="khi phát sinh",IF(n=0,IF(emergent,"",plan),IF(child=0,IF(emergent,"",plan),IF(OR(emergent,plan=""),child,MIN(plan,child))))))</f>
        <v/>
      </c>
      <c r="U77" s="432"/>
      <c r="V77" s="432"/>
      <c r="W77" s="432"/>
      <c r="X77" s="450"/>
      <c r="Y77" s="432"/>
      <c r="Z77" s="432"/>
      <c r="AA77" s="425"/>
      <c r="AB77" s="441"/>
      <c r="AC77" s="447"/>
      <c r="AD77" s="445"/>
      <c r="AE77" s="457"/>
      <c r="AF77" s="458"/>
      <c r="AG77" s="461"/>
      <c r="AH77" s="466"/>
      <c r="AI77" s="468"/>
      <c r="AJ77" s="477" t="str">
        <f>IF(AL77="Chưa xếp lịch","Chưa xếp lịch",IF(AL77="Định kỳ",IF(AM77="","Thiếu chu kỳ","Theo chu kỳ"),IF(AL77="Khi phát sinh",IF(COUNTIFS('Lớp 5 - Phân công'!$J$14:$J$262,$I77,'Lớp 5 - Phân công'!$AB$14:$AB$262,"&lt;&gt;Hủy")=0,"Khi phát sinh – chờ việc con","Khi phát sinh – theo ngày con"),IF(I77="","",LET(n,COUNTIFS('Lớp 5 - Phân công'!$J$14:$J$262,$I77,'Lớp 5 - Phân công'!$AB$14:$AB$262,"&lt;&gt;Hủy"),cs,IFERROR(MINIFS('Lớp 5 - Phân công'!$AD$14:$AD$262,'Lớp 5 - Phân công'!$J$14:$J$262,$I77,'Lớp 5 - Phân công'!$AB$14:$AB$262,"&lt;&gt;Hủy",'Lớp 5 - Phân công'!$AD$14:$AD$262,"&gt;0"),0),ce,IFERROR(MAXIFS('Lớp 5 - Phân công'!$AE$14:$AE$262,'Lớp 5 - Phân công'!$J$14:$J$262,$I77,'Lớp 5 - Phân công'!$AB$14:$AB$262,"&lt;&gt;Hủy",'Lớp 5 - Phân công'!$AE$14:$AE$262,"&gt;0"),0),ps,'Trung tâm nhập liệu'!R180,pe,'Trung tâm nhập liệu'!Q180,IF(OR(AC77="",AD77=""),"Thiếu ngày L4",IF(n=0,"Chưa có L5",IF(OR(cs=0,ce=0),"Thiếu ngày L5",IF(OR(ps="",pe=""),"Thiếu ngày kế hoạch gốc L4",IF(OR(cs&lt;ps,ce&gt;pe),"Cảnh báo: Con vượt khung kế hoạch gốc","L5 đúng khung kế hoạch gốc"))))))))))</f>
        <v/>
      </c>
      <c r="AK77" s="465"/>
      <c r="AL77" s="467"/>
      <c r="AM77" s="469"/>
      <c r="AN77" s="470"/>
      <c r="AO77" s="470"/>
      <c r="AP77" s="471"/>
      <c r="AQ77" s="469"/>
      <c r="AR77" s="475"/>
      <c r="AS77" s="476"/>
      <c r="AT77" s="478"/>
      <c r="AU77" s="465"/>
      <c r="AV77" s="465"/>
      <c r="AW77" s="479"/>
    </row>
    <row r="78" ht="15.75" customHeight="1">
      <c r="A78" s="424"/>
      <c r="B78" s="425"/>
      <c r="C78" s="427"/>
      <c r="D78" s="616"/>
      <c r="E78" s="567"/>
      <c r="F78" s="431"/>
      <c r="G78" s="431"/>
      <c r="H78" s="432"/>
      <c r="I78" s="434"/>
      <c r="J78" s="432"/>
      <c r="K78" s="436"/>
      <c r="L78" s="438"/>
      <c r="M78" s="439"/>
      <c r="N78" s="439"/>
      <c r="O78" s="440"/>
      <c r="P78" s="441"/>
      <c r="Q78" s="442"/>
      <c r="R78" s="443"/>
      <c r="S78" s="445" t="str">
        <f>IF($I78="","",LET(n,COUNTIFS('Lớp 5 - Phân công'!$J$14:$J$262,$I78,'Lớp 5 - Phân công'!$AB$14:$AB$262,"&lt;&gt;Hủy"),child,IFERROR(MAXIFS('Lớp 5 - Phân công'!$AE$14:$AE$262,'Lớp 5 - Phân công'!$J$14:$J$262,$I78,'Lớp 5 - Phân công'!$AB$14:$AB$262,"&lt;&gt;Hủy",'Lớp 5 - Phân công'!$AE$14:$AE$262,"&gt;0"),0),plan,'Trung tâm nhập liệu'!Q181,emergent,LOWER(TRIM('Trung tâm nhập liệu'!O181))="khi phát sinh",IF(n=0,IF(emergent,"",plan),IF(child=0,IF(emergent,"",plan),IF(OR(emergent,plan=""),child,MAX(plan,child))))))</f>
        <v/>
      </c>
      <c r="T78" s="447" t="str">
        <f>IF($I78="","",LET(n,COUNTIFS('Lớp 5 - Phân công'!$J$14:$J$262,$I78,'Lớp 5 - Phân công'!$AB$14:$AB$262,"&lt;&gt;Hủy"),child,IFERROR(MINIFS('Lớp 5 - Phân công'!$AD$14:$AD$262,'Lớp 5 - Phân công'!$J$14:$J$262,$I78,'Lớp 5 - Phân công'!$AB$14:$AB$262,"&lt;&gt;Hủy",'Lớp 5 - Phân công'!$AD$14:$AD$262,"&gt;0"),0),plan,'Trung tâm nhập liệu'!R181,emergent,LOWER(TRIM('Trung tâm nhập liệu'!O181))="khi phát sinh",IF(n=0,IF(emergent,"",plan),IF(child=0,IF(emergent,"",plan),IF(OR(emergent,plan=""),child,MIN(plan,child))))))</f>
        <v/>
      </c>
      <c r="U78" s="432"/>
      <c r="V78" s="432"/>
      <c r="W78" s="432"/>
      <c r="X78" s="450"/>
      <c r="Y78" s="432"/>
      <c r="Z78" s="432"/>
      <c r="AA78" s="425"/>
      <c r="AB78" s="441"/>
      <c r="AC78" s="447"/>
      <c r="AD78" s="445"/>
      <c r="AE78" s="457"/>
      <c r="AF78" s="458"/>
      <c r="AG78" s="461"/>
      <c r="AH78" s="466"/>
      <c r="AI78" s="468"/>
      <c r="AJ78" s="477" t="str">
        <f>IF(AL78="Chưa xếp lịch","Chưa xếp lịch",IF(AL78="Định kỳ",IF(AM78="","Thiếu chu kỳ","Theo chu kỳ"),IF(AL78="Khi phát sinh",IF(COUNTIFS('Lớp 5 - Phân công'!$J$14:$J$262,$I78,'Lớp 5 - Phân công'!$AB$14:$AB$262,"&lt;&gt;Hủy")=0,"Khi phát sinh – chờ việc con","Khi phát sinh – theo ngày con"),IF(I78="","",LET(n,COUNTIFS('Lớp 5 - Phân công'!$J$14:$J$262,$I78,'Lớp 5 - Phân công'!$AB$14:$AB$262,"&lt;&gt;Hủy"),cs,IFERROR(MINIFS('Lớp 5 - Phân công'!$AD$14:$AD$262,'Lớp 5 - Phân công'!$J$14:$J$262,$I78,'Lớp 5 - Phân công'!$AB$14:$AB$262,"&lt;&gt;Hủy",'Lớp 5 - Phân công'!$AD$14:$AD$262,"&gt;0"),0),ce,IFERROR(MAXIFS('Lớp 5 - Phân công'!$AE$14:$AE$262,'Lớp 5 - Phân công'!$J$14:$J$262,$I78,'Lớp 5 - Phân công'!$AB$14:$AB$262,"&lt;&gt;Hủy",'Lớp 5 - Phân công'!$AE$14:$AE$262,"&gt;0"),0),ps,'Trung tâm nhập liệu'!R181,pe,'Trung tâm nhập liệu'!Q181,IF(OR(AC78="",AD78=""),"Thiếu ngày L4",IF(n=0,"Chưa có L5",IF(OR(cs=0,ce=0),"Thiếu ngày L5",IF(OR(ps="",pe=""),"Thiếu ngày kế hoạch gốc L4",IF(OR(cs&lt;ps,ce&gt;pe),"Cảnh báo: Con vượt khung kế hoạch gốc","L5 đúng khung kế hoạch gốc"))))))))))</f>
        <v/>
      </c>
      <c r="AK78" s="465"/>
      <c r="AL78" s="467"/>
      <c r="AM78" s="469"/>
      <c r="AN78" s="470"/>
      <c r="AO78" s="470"/>
      <c r="AP78" s="471"/>
      <c r="AQ78" s="469"/>
      <c r="AR78" s="475"/>
      <c r="AS78" s="476"/>
      <c r="AT78" s="478"/>
      <c r="AU78" s="465"/>
      <c r="AV78" s="465"/>
      <c r="AW78" s="479"/>
    </row>
    <row r="79" ht="15.75" customHeight="1">
      <c r="A79" s="424"/>
      <c r="B79" s="425"/>
      <c r="C79" s="427"/>
      <c r="D79" s="616"/>
      <c r="E79" s="567"/>
      <c r="F79" s="431"/>
      <c r="G79" s="431"/>
      <c r="H79" s="432"/>
      <c r="I79" s="434"/>
      <c r="J79" s="432"/>
      <c r="K79" s="436"/>
      <c r="L79" s="438"/>
      <c r="M79" s="439"/>
      <c r="N79" s="439"/>
      <c r="O79" s="440"/>
      <c r="P79" s="441"/>
      <c r="Q79" s="442"/>
      <c r="R79" s="443"/>
      <c r="S79" s="445" t="str">
        <f>IF($I79="","",LET(n,COUNTIFS('Lớp 5 - Phân công'!$J$14:$J$262,$I79,'Lớp 5 - Phân công'!$AB$14:$AB$262,"&lt;&gt;Hủy"),child,IFERROR(MAXIFS('Lớp 5 - Phân công'!$AE$14:$AE$262,'Lớp 5 - Phân công'!$J$14:$J$262,$I79,'Lớp 5 - Phân công'!$AB$14:$AB$262,"&lt;&gt;Hủy",'Lớp 5 - Phân công'!$AE$14:$AE$262,"&gt;0"),0),plan,'Trung tâm nhập liệu'!Q182,emergent,LOWER(TRIM('Trung tâm nhập liệu'!O182))="khi phát sinh",IF(n=0,IF(emergent,"",plan),IF(child=0,IF(emergent,"",plan),IF(OR(emergent,plan=""),child,MAX(plan,child))))))</f>
        <v/>
      </c>
      <c r="T79" s="447" t="str">
        <f>IF($I79="","",LET(n,COUNTIFS('Lớp 5 - Phân công'!$J$14:$J$262,$I79,'Lớp 5 - Phân công'!$AB$14:$AB$262,"&lt;&gt;Hủy"),child,IFERROR(MINIFS('Lớp 5 - Phân công'!$AD$14:$AD$262,'Lớp 5 - Phân công'!$J$14:$J$262,$I79,'Lớp 5 - Phân công'!$AB$14:$AB$262,"&lt;&gt;Hủy",'Lớp 5 - Phân công'!$AD$14:$AD$262,"&gt;0"),0),plan,'Trung tâm nhập liệu'!R182,emergent,LOWER(TRIM('Trung tâm nhập liệu'!O182))="khi phát sinh",IF(n=0,IF(emergent,"",plan),IF(child=0,IF(emergent,"",plan),IF(OR(emergent,plan=""),child,MIN(plan,child))))))</f>
        <v/>
      </c>
      <c r="U79" s="432"/>
      <c r="V79" s="432"/>
      <c r="W79" s="432"/>
      <c r="X79" s="450"/>
      <c r="Y79" s="432"/>
      <c r="Z79" s="432"/>
      <c r="AA79" s="425"/>
      <c r="AB79" s="441"/>
      <c r="AC79" s="447"/>
      <c r="AD79" s="445"/>
      <c r="AE79" s="457"/>
      <c r="AF79" s="458"/>
      <c r="AG79" s="461"/>
      <c r="AH79" s="466"/>
      <c r="AI79" s="468"/>
      <c r="AJ79" s="477" t="str">
        <f>IF(AL79="Chưa xếp lịch","Chưa xếp lịch",IF(AL79="Định kỳ",IF(AM79="","Thiếu chu kỳ","Theo chu kỳ"),IF(AL79="Khi phát sinh",IF(COUNTIFS('Lớp 5 - Phân công'!$J$14:$J$262,$I79,'Lớp 5 - Phân công'!$AB$14:$AB$262,"&lt;&gt;Hủy")=0,"Khi phát sinh – chờ việc con","Khi phát sinh – theo ngày con"),IF(I79="","",LET(n,COUNTIFS('Lớp 5 - Phân công'!$J$14:$J$262,$I79,'Lớp 5 - Phân công'!$AB$14:$AB$262,"&lt;&gt;Hủy"),cs,IFERROR(MINIFS('Lớp 5 - Phân công'!$AD$14:$AD$262,'Lớp 5 - Phân công'!$J$14:$J$262,$I79,'Lớp 5 - Phân công'!$AB$14:$AB$262,"&lt;&gt;Hủy",'Lớp 5 - Phân công'!$AD$14:$AD$262,"&gt;0"),0),ce,IFERROR(MAXIFS('Lớp 5 - Phân công'!$AE$14:$AE$262,'Lớp 5 - Phân công'!$J$14:$J$262,$I79,'Lớp 5 - Phân công'!$AB$14:$AB$262,"&lt;&gt;Hủy",'Lớp 5 - Phân công'!$AE$14:$AE$262,"&gt;0"),0),ps,'Trung tâm nhập liệu'!R182,pe,'Trung tâm nhập liệu'!Q182,IF(OR(AC79="",AD79=""),"Thiếu ngày L4",IF(n=0,"Chưa có L5",IF(OR(cs=0,ce=0),"Thiếu ngày L5",IF(OR(ps="",pe=""),"Thiếu ngày kế hoạch gốc L4",IF(OR(cs&lt;ps,ce&gt;pe),"Cảnh báo: Con vượt khung kế hoạch gốc","L5 đúng khung kế hoạch gốc"))))))))))</f>
        <v/>
      </c>
      <c r="AK79" s="465"/>
      <c r="AL79" s="467"/>
      <c r="AM79" s="469"/>
      <c r="AN79" s="470"/>
      <c r="AO79" s="470"/>
      <c r="AP79" s="471"/>
      <c r="AQ79" s="469"/>
      <c r="AR79" s="475"/>
      <c r="AS79" s="476"/>
      <c r="AT79" s="478"/>
      <c r="AU79" s="465"/>
      <c r="AV79" s="465"/>
      <c r="AW79" s="479"/>
    </row>
    <row r="80" ht="15.75" customHeight="1">
      <c r="A80" s="424"/>
      <c r="B80" s="425"/>
      <c r="C80" s="427"/>
      <c r="D80" s="616"/>
      <c r="E80" s="567"/>
      <c r="F80" s="431"/>
      <c r="G80" s="431"/>
      <c r="H80" s="432"/>
      <c r="I80" s="434"/>
      <c r="J80" s="432"/>
      <c r="K80" s="436"/>
      <c r="L80" s="438"/>
      <c r="M80" s="439"/>
      <c r="N80" s="439"/>
      <c r="O80" s="440"/>
      <c r="P80" s="441"/>
      <c r="Q80" s="442"/>
      <c r="R80" s="443"/>
      <c r="S80" s="445" t="str">
        <f>IF($I80="","",LET(n,COUNTIFS('Lớp 5 - Phân công'!$J$14:$J$262,$I80,'Lớp 5 - Phân công'!$AB$14:$AB$262,"&lt;&gt;Hủy"),child,IFERROR(MAXIFS('Lớp 5 - Phân công'!$AE$14:$AE$262,'Lớp 5 - Phân công'!$J$14:$J$262,$I80,'Lớp 5 - Phân công'!$AB$14:$AB$262,"&lt;&gt;Hủy",'Lớp 5 - Phân công'!$AE$14:$AE$262,"&gt;0"),0),plan,'Trung tâm nhập liệu'!Q183,emergent,LOWER(TRIM('Trung tâm nhập liệu'!O183))="khi phát sinh",IF(n=0,IF(emergent,"",plan),IF(child=0,IF(emergent,"",plan),IF(OR(emergent,plan=""),child,MAX(plan,child))))))</f>
        <v/>
      </c>
      <c r="T80" s="447" t="str">
        <f>IF($I80="","",LET(n,COUNTIFS('Lớp 5 - Phân công'!$J$14:$J$262,$I80,'Lớp 5 - Phân công'!$AB$14:$AB$262,"&lt;&gt;Hủy"),child,IFERROR(MINIFS('Lớp 5 - Phân công'!$AD$14:$AD$262,'Lớp 5 - Phân công'!$J$14:$J$262,$I80,'Lớp 5 - Phân công'!$AB$14:$AB$262,"&lt;&gt;Hủy",'Lớp 5 - Phân công'!$AD$14:$AD$262,"&gt;0"),0),plan,'Trung tâm nhập liệu'!R183,emergent,LOWER(TRIM('Trung tâm nhập liệu'!O183))="khi phát sinh",IF(n=0,IF(emergent,"",plan),IF(child=0,IF(emergent,"",plan),IF(OR(emergent,plan=""),child,MIN(plan,child))))))</f>
        <v/>
      </c>
      <c r="U80" s="432"/>
      <c r="V80" s="432"/>
      <c r="W80" s="432"/>
      <c r="X80" s="450"/>
      <c r="Y80" s="432"/>
      <c r="Z80" s="432"/>
      <c r="AA80" s="425"/>
      <c r="AB80" s="441"/>
      <c r="AC80" s="447"/>
      <c r="AD80" s="445"/>
      <c r="AE80" s="457"/>
      <c r="AF80" s="458"/>
      <c r="AG80" s="461"/>
      <c r="AH80" s="466"/>
      <c r="AI80" s="468"/>
      <c r="AJ80" s="477" t="str">
        <f>IF(AL80="Chưa xếp lịch","Chưa xếp lịch",IF(AL80="Định kỳ",IF(AM80="","Thiếu chu kỳ","Theo chu kỳ"),IF(AL80="Khi phát sinh",IF(COUNTIFS('Lớp 5 - Phân công'!$J$14:$J$262,$I80,'Lớp 5 - Phân công'!$AB$14:$AB$262,"&lt;&gt;Hủy")=0,"Khi phát sinh – chờ việc con","Khi phát sinh – theo ngày con"),IF(I80="","",LET(n,COUNTIFS('Lớp 5 - Phân công'!$J$14:$J$262,$I80,'Lớp 5 - Phân công'!$AB$14:$AB$262,"&lt;&gt;Hủy"),cs,IFERROR(MINIFS('Lớp 5 - Phân công'!$AD$14:$AD$262,'Lớp 5 - Phân công'!$J$14:$J$262,$I80,'Lớp 5 - Phân công'!$AB$14:$AB$262,"&lt;&gt;Hủy",'Lớp 5 - Phân công'!$AD$14:$AD$262,"&gt;0"),0),ce,IFERROR(MAXIFS('Lớp 5 - Phân công'!$AE$14:$AE$262,'Lớp 5 - Phân công'!$J$14:$J$262,$I80,'Lớp 5 - Phân công'!$AB$14:$AB$262,"&lt;&gt;Hủy",'Lớp 5 - Phân công'!$AE$14:$AE$262,"&gt;0"),0),ps,'Trung tâm nhập liệu'!R183,pe,'Trung tâm nhập liệu'!Q183,IF(OR(AC80="",AD80=""),"Thiếu ngày L4",IF(n=0,"Chưa có L5",IF(OR(cs=0,ce=0),"Thiếu ngày L5",IF(OR(ps="",pe=""),"Thiếu ngày kế hoạch gốc L4",IF(OR(cs&lt;ps,ce&gt;pe),"Cảnh báo: Con vượt khung kế hoạch gốc","L5 đúng khung kế hoạch gốc"))))))))))</f>
        <v/>
      </c>
      <c r="AK80" s="465"/>
      <c r="AL80" s="467"/>
      <c r="AM80" s="469"/>
      <c r="AN80" s="470"/>
      <c r="AO80" s="470"/>
      <c r="AP80" s="471"/>
      <c r="AQ80" s="469"/>
      <c r="AR80" s="475"/>
      <c r="AS80" s="476"/>
      <c r="AT80" s="478"/>
      <c r="AU80" s="465"/>
      <c r="AV80" s="465"/>
      <c r="AW80" s="479"/>
    </row>
    <row r="81" ht="15.75" customHeight="1">
      <c r="A81" s="424"/>
      <c r="B81" s="425"/>
      <c r="C81" s="427"/>
      <c r="D81" s="616"/>
      <c r="E81" s="567"/>
      <c r="F81" s="431"/>
      <c r="G81" s="431"/>
      <c r="H81" s="432"/>
      <c r="I81" s="434"/>
      <c r="J81" s="432"/>
      <c r="K81" s="436"/>
      <c r="L81" s="438"/>
      <c r="M81" s="439"/>
      <c r="N81" s="439"/>
      <c r="O81" s="440"/>
      <c r="P81" s="441"/>
      <c r="Q81" s="442"/>
      <c r="R81" s="443"/>
      <c r="S81" s="445" t="str">
        <f>IF($I81="","",LET(n,COUNTIFS('Lớp 5 - Phân công'!$J$14:$J$262,$I81,'Lớp 5 - Phân công'!$AB$14:$AB$262,"&lt;&gt;Hủy"),child,IFERROR(MAXIFS('Lớp 5 - Phân công'!$AE$14:$AE$262,'Lớp 5 - Phân công'!$J$14:$J$262,$I81,'Lớp 5 - Phân công'!$AB$14:$AB$262,"&lt;&gt;Hủy",'Lớp 5 - Phân công'!$AE$14:$AE$262,"&gt;0"),0),plan,'Trung tâm nhập liệu'!Q184,emergent,LOWER(TRIM('Trung tâm nhập liệu'!O184))="khi phát sinh",IF(n=0,IF(emergent,"",plan),IF(child=0,IF(emergent,"",plan),IF(OR(emergent,plan=""),child,MAX(plan,child))))))</f>
        <v/>
      </c>
      <c r="T81" s="447" t="str">
        <f>IF($I81="","",LET(n,COUNTIFS('Lớp 5 - Phân công'!$J$14:$J$262,$I81,'Lớp 5 - Phân công'!$AB$14:$AB$262,"&lt;&gt;Hủy"),child,IFERROR(MINIFS('Lớp 5 - Phân công'!$AD$14:$AD$262,'Lớp 5 - Phân công'!$J$14:$J$262,$I81,'Lớp 5 - Phân công'!$AB$14:$AB$262,"&lt;&gt;Hủy",'Lớp 5 - Phân công'!$AD$14:$AD$262,"&gt;0"),0),plan,'Trung tâm nhập liệu'!R184,emergent,LOWER(TRIM('Trung tâm nhập liệu'!O184))="khi phát sinh",IF(n=0,IF(emergent,"",plan),IF(child=0,IF(emergent,"",plan),IF(OR(emergent,plan=""),child,MIN(plan,child))))))</f>
        <v/>
      </c>
      <c r="U81" s="432"/>
      <c r="V81" s="432"/>
      <c r="W81" s="432"/>
      <c r="X81" s="450"/>
      <c r="Y81" s="432"/>
      <c r="Z81" s="432"/>
      <c r="AA81" s="425"/>
      <c r="AB81" s="441"/>
      <c r="AC81" s="447"/>
      <c r="AD81" s="445"/>
      <c r="AE81" s="457"/>
      <c r="AF81" s="458"/>
      <c r="AG81" s="461"/>
      <c r="AH81" s="466"/>
      <c r="AI81" s="468"/>
      <c r="AJ81" s="477" t="str">
        <f>IF(AL81="Chưa xếp lịch","Chưa xếp lịch",IF(AL81="Định kỳ",IF(AM81="","Thiếu chu kỳ","Theo chu kỳ"),IF(AL81="Khi phát sinh",IF(COUNTIFS('Lớp 5 - Phân công'!$J$14:$J$262,$I81,'Lớp 5 - Phân công'!$AB$14:$AB$262,"&lt;&gt;Hủy")=0,"Khi phát sinh – chờ việc con","Khi phát sinh – theo ngày con"),IF(I81="","",LET(n,COUNTIFS('Lớp 5 - Phân công'!$J$14:$J$262,$I81,'Lớp 5 - Phân công'!$AB$14:$AB$262,"&lt;&gt;Hủy"),cs,IFERROR(MINIFS('Lớp 5 - Phân công'!$AD$14:$AD$262,'Lớp 5 - Phân công'!$J$14:$J$262,$I81,'Lớp 5 - Phân công'!$AB$14:$AB$262,"&lt;&gt;Hủy",'Lớp 5 - Phân công'!$AD$14:$AD$262,"&gt;0"),0),ce,IFERROR(MAXIFS('Lớp 5 - Phân công'!$AE$14:$AE$262,'Lớp 5 - Phân công'!$J$14:$J$262,$I81,'Lớp 5 - Phân công'!$AB$14:$AB$262,"&lt;&gt;Hủy",'Lớp 5 - Phân công'!$AE$14:$AE$262,"&gt;0"),0),ps,'Trung tâm nhập liệu'!R184,pe,'Trung tâm nhập liệu'!Q184,IF(OR(AC81="",AD81=""),"Thiếu ngày L4",IF(n=0,"Chưa có L5",IF(OR(cs=0,ce=0),"Thiếu ngày L5",IF(OR(ps="",pe=""),"Thiếu ngày kế hoạch gốc L4",IF(OR(cs&lt;ps,ce&gt;pe),"Cảnh báo: Con vượt khung kế hoạch gốc","L5 đúng khung kế hoạch gốc"))))))))))</f>
        <v/>
      </c>
      <c r="AK81" s="465"/>
      <c r="AL81" s="467"/>
      <c r="AM81" s="469"/>
      <c r="AN81" s="470"/>
      <c r="AO81" s="470"/>
      <c r="AP81" s="471"/>
      <c r="AQ81" s="469"/>
      <c r="AR81" s="475"/>
      <c r="AS81" s="476"/>
      <c r="AT81" s="478"/>
      <c r="AU81" s="465"/>
      <c r="AV81" s="465"/>
      <c r="AW81" s="479"/>
    </row>
    <row r="82" ht="15.75" customHeight="1">
      <c r="A82" s="424"/>
      <c r="B82" s="425"/>
      <c r="C82" s="427"/>
      <c r="D82" s="616"/>
      <c r="E82" s="567"/>
      <c r="F82" s="431"/>
      <c r="G82" s="431"/>
      <c r="H82" s="432"/>
      <c r="I82" s="434"/>
      <c r="J82" s="432"/>
      <c r="K82" s="436"/>
      <c r="L82" s="438"/>
      <c r="M82" s="439"/>
      <c r="N82" s="439"/>
      <c r="O82" s="440"/>
      <c r="P82" s="441"/>
      <c r="Q82" s="442"/>
      <c r="R82" s="443"/>
      <c r="S82" s="445" t="str">
        <f>IF($I82="","",LET(n,COUNTIFS('Lớp 5 - Phân công'!$J$14:$J$262,$I82,'Lớp 5 - Phân công'!$AB$14:$AB$262,"&lt;&gt;Hủy"),child,IFERROR(MAXIFS('Lớp 5 - Phân công'!$AE$14:$AE$262,'Lớp 5 - Phân công'!$J$14:$J$262,$I82,'Lớp 5 - Phân công'!$AB$14:$AB$262,"&lt;&gt;Hủy",'Lớp 5 - Phân công'!$AE$14:$AE$262,"&gt;0"),0),plan,'Trung tâm nhập liệu'!Q185,emergent,LOWER(TRIM('Trung tâm nhập liệu'!O185))="khi phát sinh",IF(n=0,IF(emergent,"",plan),IF(child=0,IF(emergent,"",plan),IF(OR(emergent,plan=""),child,MAX(plan,child))))))</f>
        <v/>
      </c>
      <c r="T82" s="447" t="str">
        <f>IF($I82="","",LET(n,COUNTIFS('Lớp 5 - Phân công'!$J$14:$J$262,$I82,'Lớp 5 - Phân công'!$AB$14:$AB$262,"&lt;&gt;Hủy"),child,IFERROR(MINIFS('Lớp 5 - Phân công'!$AD$14:$AD$262,'Lớp 5 - Phân công'!$J$14:$J$262,$I82,'Lớp 5 - Phân công'!$AB$14:$AB$262,"&lt;&gt;Hủy",'Lớp 5 - Phân công'!$AD$14:$AD$262,"&gt;0"),0),plan,'Trung tâm nhập liệu'!R185,emergent,LOWER(TRIM('Trung tâm nhập liệu'!O185))="khi phát sinh",IF(n=0,IF(emergent,"",plan),IF(child=0,IF(emergent,"",plan),IF(OR(emergent,plan=""),child,MIN(plan,child))))))</f>
        <v/>
      </c>
      <c r="U82" s="432"/>
      <c r="V82" s="432"/>
      <c r="W82" s="432"/>
      <c r="X82" s="450"/>
      <c r="Y82" s="432"/>
      <c r="Z82" s="432"/>
      <c r="AA82" s="425"/>
      <c r="AB82" s="441"/>
      <c r="AC82" s="447"/>
      <c r="AD82" s="445"/>
      <c r="AE82" s="457"/>
      <c r="AF82" s="458"/>
      <c r="AG82" s="461"/>
      <c r="AH82" s="466"/>
      <c r="AI82" s="468"/>
      <c r="AJ82" s="477" t="str">
        <f>IF(AL82="Chưa xếp lịch","Chưa xếp lịch",IF(AL82="Định kỳ",IF(AM82="","Thiếu chu kỳ","Theo chu kỳ"),IF(AL82="Khi phát sinh",IF(COUNTIFS('Lớp 5 - Phân công'!$J$14:$J$262,$I82,'Lớp 5 - Phân công'!$AB$14:$AB$262,"&lt;&gt;Hủy")=0,"Khi phát sinh – chờ việc con","Khi phát sinh – theo ngày con"),IF(I82="","",LET(n,COUNTIFS('Lớp 5 - Phân công'!$J$14:$J$262,$I82,'Lớp 5 - Phân công'!$AB$14:$AB$262,"&lt;&gt;Hủy"),cs,IFERROR(MINIFS('Lớp 5 - Phân công'!$AD$14:$AD$262,'Lớp 5 - Phân công'!$J$14:$J$262,$I82,'Lớp 5 - Phân công'!$AB$14:$AB$262,"&lt;&gt;Hủy",'Lớp 5 - Phân công'!$AD$14:$AD$262,"&gt;0"),0),ce,IFERROR(MAXIFS('Lớp 5 - Phân công'!$AE$14:$AE$262,'Lớp 5 - Phân công'!$J$14:$J$262,$I82,'Lớp 5 - Phân công'!$AB$14:$AB$262,"&lt;&gt;Hủy",'Lớp 5 - Phân công'!$AE$14:$AE$262,"&gt;0"),0),ps,'Trung tâm nhập liệu'!R185,pe,'Trung tâm nhập liệu'!Q185,IF(OR(AC82="",AD82=""),"Thiếu ngày L4",IF(n=0,"Chưa có L5",IF(OR(cs=0,ce=0),"Thiếu ngày L5",IF(OR(ps="",pe=""),"Thiếu ngày kế hoạch gốc L4",IF(OR(cs&lt;ps,ce&gt;pe),"Cảnh báo: Con vượt khung kế hoạch gốc","L5 đúng khung kế hoạch gốc"))))))))))</f>
        <v/>
      </c>
      <c r="AK82" s="465"/>
      <c r="AL82" s="467"/>
      <c r="AM82" s="469"/>
      <c r="AN82" s="470"/>
      <c r="AO82" s="470"/>
      <c r="AP82" s="471"/>
      <c r="AQ82" s="469"/>
      <c r="AR82" s="475"/>
      <c r="AS82" s="476"/>
      <c r="AT82" s="478"/>
      <c r="AU82" s="465"/>
      <c r="AV82" s="465"/>
      <c r="AW82" s="479"/>
    </row>
    <row r="83" ht="15.75" customHeight="1">
      <c r="A83" s="424"/>
      <c r="B83" s="425"/>
      <c r="C83" s="427"/>
      <c r="D83" s="616"/>
      <c r="E83" s="567"/>
      <c r="F83" s="431"/>
      <c r="G83" s="431"/>
      <c r="H83" s="432"/>
      <c r="I83" s="434"/>
      <c r="J83" s="432"/>
      <c r="K83" s="436"/>
      <c r="L83" s="438"/>
      <c r="M83" s="439"/>
      <c r="N83" s="439"/>
      <c r="O83" s="440"/>
      <c r="P83" s="441"/>
      <c r="Q83" s="442"/>
      <c r="R83" s="443"/>
      <c r="S83" s="445" t="str">
        <f>IF($I83="","",LET(n,COUNTIFS('Lớp 5 - Phân công'!$J$14:$J$262,$I83,'Lớp 5 - Phân công'!$AB$14:$AB$262,"&lt;&gt;Hủy"),child,IFERROR(MAXIFS('Lớp 5 - Phân công'!$AE$14:$AE$262,'Lớp 5 - Phân công'!$J$14:$J$262,$I83,'Lớp 5 - Phân công'!$AB$14:$AB$262,"&lt;&gt;Hủy",'Lớp 5 - Phân công'!$AE$14:$AE$262,"&gt;0"),0),plan,'Trung tâm nhập liệu'!Q186,emergent,LOWER(TRIM('Trung tâm nhập liệu'!O186))="khi phát sinh",IF(n=0,IF(emergent,"",plan),IF(child=0,IF(emergent,"",plan),IF(OR(emergent,plan=""),child,MAX(plan,child))))))</f>
        <v/>
      </c>
      <c r="T83" s="447" t="str">
        <f>IF($I83="","",LET(n,COUNTIFS('Lớp 5 - Phân công'!$J$14:$J$262,$I83,'Lớp 5 - Phân công'!$AB$14:$AB$262,"&lt;&gt;Hủy"),child,IFERROR(MINIFS('Lớp 5 - Phân công'!$AD$14:$AD$262,'Lớp 5 - Phân công'!$J$14:$J$262,$I83,'Lớp 5 - Phân công'!$AB$14:$AB$262,"&lt;&gt;Hủy",'Lớp 5 - Phân công'!$AD$14:$AD$262,"&gt;0"),0),plan,'Trung tâm nhập liệu'!R186,emergent,LOWER(TRIM('Trung tâm nhập liệu'!O186))="khi phát sinh",IF(n=0,IF(emergent,"",plan),IF(child=0,IF(emergent,"",plan),IF(OR(emergent,plan=""),child,MIN(plan,child))))))</f>
        <v/>
      </c>
      <c r="U83" s="432"/>
      <c r="V83" s="432"/>
      <c r="W83" s="432"/>
      <c r="X83" s="450"/>
      <c r="Y83" s="432"/>
      <c r="Z83" s="432"/>
      <c r="AA83" s="425"/>
      <c r="AB83" s="441"/>
      <c r="AC83" s="447"/>
      <c r="AD83" s="445"/>
      <c r="AE83" s="457"/>
      <c r="AF83" s="458"/>
      <c r="AG83" s="461"/>
      <c r="AH83" s="466"/>
      <c r="AI83" s="468"/>
      <c r="AJ83" s="477" t="str">
        <f>IF(AL83="Chưa xếp lịch","Chưa xếp lịch",IF(AL83="Định kỳ",IF(AM83="","Thiếu chu kỳ","Theo chu kỳ"),IF(AL83="Khi phát sinh",IF(COUNTIFS('Lớp 5 - Phân công'!$J$14:$J$262,$I83,'Lớp 5 - Phân công'!$AB$14:$AB$262,"&lt;&gt;Hủy")=0,"Khi phát sinh – chờ việc con","Khi phát sinh – theo ngày con"),IF(I83="","",LET(n,COUNTIFS('Lớp 5 - Phân công'!$J$14:$J$262,$I83,'Lớp 5 - Phân công'!$AB$14:$AB$262,"&lt;&gt;Hủy"),cs,IFERROR(MINIFS('Lớp 5 - Phân công'!$AD$14:$AD$262,'Lớp 5 - Phân công'!$J$14:$J$262,$I83,'Lớp 5 - Phân công'!$AB$14:$AB$262,"&lt;&gt;Hủy",'Lớp 5 - Phân công'!$AD$14:$AD$262,"&gt;0"),0),ce,IFERROR(MAXIFS('Lớp 5 - Phân công'!$AE$14:$AE$262,'Lớp 5 - Phân công'!$J$14:$J$262,$I83,'Lớp 5 - Phân công'!$AB$14:$AB$262,"&lt;&gt;Hủy",'Lớp 5 - Phân công'!$AE$14:$AE$262,"&gt;0"),0),ps,'Trung tâm nhập liệu'!R186,pe,'Trung tâm nhập liệu'!Q186,IF(OR(AC83="",AD83=""),"Thiếu ngày L4",IF(n=0,"Chưa có L5",IF(OR(cs=0,ce=0),"Thiếu ngày L5",IF(OR(ps="",pe=""),"Thiếu ngày kế hoạch gốc L4",IF(OR(cs&lt;ps,ce&gt;pe),"Cảnh báo: Con vượt khung kế hoạch gốc","L5 đúng khung kế hoạch gốc"))))))))))</f>
        <v/>
      </c>
      <c r="AK83" s="465"/>
      <c r="AL83" s="467"/>
      <c r="AM83" s="469"/>
      <c r="AN83" s="470"/>
      <c r="AO83" s="470"/>
      <c r="AP83" s="471"/>
      <c r="AQ83" s="469"/>
      <c r="AR83" s="475"/>
      <c r="AS83" s="476"/>
      <c r="AT83" s="478"/>
      <c r="AU83" s="465"/>
      <c r="AV83" s="465"/>
      <c r="AW83" s="479"/>
    </row>
    <row r="84" ht="15.75" customHeight="1">
      <c r="A84" s="424"/>
      <c r="B84" s="425"/>
      <c r="C84" s="427"/>
      <c r="D84" s="616"/>
      <c r="E84" s="567"/>
      <c r="F84" s="431"/>
      <c r="G84" s="431"/>
      <c r="H84" s="432"/>
      <c r="I84" s="434"/>
      <c r="J84" s="432"/>
      <c r="K84" s="436"/>
      <c r="L84" s="438"/>
      <c r="M84" s="439"/>
      <c r="N84" s="439"/>
      <c r="O84" s="440"/>
      <c r="P84" s="441"/>
      <c r="Q84" s="442"/>
      <c r="R84" s="443"/>
      <c r="S84" s="445" t="str">
        <f>IF($I84="","",LET(n,COUNTIFS('Lớp 5 - Phân công'!$J$14:$J$262,$I84,'Lớp 5 - Phân công'!$AB$14:$AB$262,"&lt;&gt;Hủy"),child,IFERROR(MAXIFS('Lớp 5 - Phân công'!$AE$14:$AE$262,'Lớp 5 - Phân công'!$J$14:$J$262,$I84,'Lớp 5 - Phân công'!$AB$14:$AB$262,"&lt;&gt;Hủy",'Lớp 5 - Phân công'!$AE$14:$AE$262,"&gt;0"),0),plan,'Trung tâm nhập liệu'!Q187,emergent,LOWER(TRIM('Trung tâm nhập liệu'!O187))="khi phát sinh",IF(n=0,IF(emergent,"",plan),IF(child=0,IF(emergent,"",plan),IF(OR(emergent,plan=""),child,MAX(plan,child))))))</f>
        <v/>
      </c>
      <c r="T84" s="447" t="str">
        <f>IF($I84="","",LET(n,COUNTIFS('Lớp 5 - Phân công'!$J$14:$J$262,$I84,'Lớp 5 - Phân công'!$AB$14:$AB$262,"&lt;&gt;Hủy"),child,IFERROR(MINIFS('Lớp 5 - Phân công'!$AD$14:$AD$262,'Lớp 5 - Phân công'!$J$14:$J$262,$I84,'Lớp 5 - Phân công'!$AB$14:$AB$262,"&lt;&gt;Hủy",'Lớp 5 - Phân công'!$AD$14:$AD$262,"&gt;0"),0),plan,'Trung tâm nhập liệu'!R187,emergent,LOWER(TRIM('Trung tâm nhập liệu'!O187))="khi phát sinh",IF(n=0,IF(emergent,"",plan),IF(child=0,IF(emergent,"",plan),IF(OR(emergent,plan=""),child,MIN(plan,child))))))</f>
        <v/>
      </c>
      <c r="U84" s="432"/>
      <c r="V84" s="432"/>
      <c r="W84" s="432"/>
      <c r="X84" s="450"/>
      <c r="Y84" s="432"/>
      <c r="Z84" s="432"/>
      <c r="AA84" s="425"/>
      <c r="AB84" s="441"/>
      <c r="AC84" s="447"/>
      <c r="AD84" s="445"/>
      <c r="AE84" s="457"/>
      <c r="AF84" s="458"/>
      <c r="AG84" s="461"/>
      <c r="AH84" s="466"/>
      <c r="AI84" s="468"/>
      <c r="AJ84" s="477" t="str">
        <f>IF(AL84="Chưa xếp lịch","Chưa xếp lịch",IF(AL84="Định kỳ",IF(AM84="","Thiếu chu kỳ","Theo chu kỳ"),IF(AL84="Khi phát sinh",IF(COUNTIFS('Lớp 5 - Phân công'!$J$14:$J$262,$I84,'Lớp 5 - Phân công'!$AB$14:$AB$262,"&lt;&gt;Hủy")=0,"Khi phát sinh – chờ việc con","Khi phát sinh – theo ngày con"),IF(I84="","",LET(n,COUNTIFS('Lớp 5 - Phân công'!$J$14:$J$262,$I84,'Lớp 5 - Phân công'!$AB$14:$AB$262,"&lt;&gt;Hủy"),cs,IFERROR(MINIFS('Lớp 5 - Phân công'!$AD$14:$AD$262,'Lớp 5 - Phân công'!$J$14:$J$262,$I84,'Lớp 5 - Phân công'!$AB$14:$AB$262,"&lt;&gt;Hủy",'Lớp 5 - Phân công'!$AD$14:$AD$262,"&gt;0"),0),ce,IFERROR(MAXIFS('Lớp 5 - Phân công'!$AE$14:$AE$262,'Lớp 5 - Phân công'!$J$14:$J$262,$I84,'Lớp 5 - Phân công'!$AB$14:$AB$262,"&lt;&gt;Hủy",'Lớp 5 - Phân công'!$AE$14:$AE$262,"&gt;0"),0),ps,'Trung tâm nhập liệu'!R187,pe,'Trung tâm nhập liệu'!Q187,IF(OR(AC84="",AD84=""),"Thiếu ngày L4",IF(n=0,"Chưa có L5",IF(OR(cs=0,ce=0),"Thiếu ngày L5",IF(OR(ps="",pe=""),"Thiếu ngày kế hoạch gốc L4",IF(OR(cs&lt;ps,ce&gt;pe),"Cảnh báo: Con vượt khung kế hoạch gốc","L5 đúng khung kế hoạch gốc"))))))))))</f>
        <v/>
      </c>
      <c r="AK84" s="465"/>
      <c r="AL84" s="467"/>
      <c r="AM84" s="469"/>
      <c r="AN84" s="470"/>
      <c r="AO84" s="470"/>
      <c r="AP84" s="471"/>
      <c r="AQ84" s="469"/>
      <c r="AR84" s="475"/>
      <c r="AS84" s="476"/>
      <c r="AT84" s="478"/>
      <c r="AU84" s="465"/>
      <c r="AV84" s="465"/>
      <c r="AW84" s="479"/>
    </row>
    <row r="85" ht="15.75" customHeight="1">
      <c r="A85" s="424"/>
      <c r="B85" s="425"/>
      <c r="C85" s="427"/>
      <c r="D85" s="616"/>
      <c r="E85" s="567"/>
      <c r="F85" s="431"/>
      <c r="G85" s="431"/>
      <c r="H85" s="432"/>
      <c r="I85" s="434"/>
      <c r="J85" s="432"/>
      <c r="K85" s="436"/>
      <c r="L85" s="438"/>
      <c r="M85" s="439"/>
      <c r="N85" s="439"/>
      <c r="O85" s="440"/>
      <c r="P85" s="441"/>
      <c r="Q85" s="442"/>
      <c r="R85" s="443"/>
      <c r="S85" s="445" t="str">
        <f>IF($I85="","",LET(n,COUNTIFS('Lớp 5 - Phân công'!$J$14:$J$262,$I85,'Lớp 5 - Phân công'!$AB$14:$AB$262,"&lt;&gt;Hủy"),child,IFERROR(MAXIFS('Lớp 5 - Phân công'!$AE$14:$AE$262,'Lớp 5 - Phân công'!$J$14:$J$262,$I85,'Lớp 5 - Phân công'!$AB$14:$AB$262,"&lt;&gt;Hủy",'Lớp 5 - Phân công'!$AE$14:$AE$262,"&gt;0"),0),plan,'Trung tâm nhập liệu'!Q188,emergent,LOWER(TRIM('Trung tâm nhập liệu'!O188))="khi phát sinh",IF(n=0,IF(emergent,"",plan),IF(child=0,IF(emergent,"",plan),IF(OR(emergent,plan=""),child,MAX(plan,child))))))</f>
        <v/>
      </c>
      <c r="T85" s="447" t="str">
        <f>IF($I85="","",LET(n,COUNTIFS('Lớp 5 - Phân công'!$J$14:$J$262,$I85,'Lớp 5 - Phân công'!$AB$14:$AB$262,"&lt;&gt;Hủy"),child,IFERROR(MINIFS('Lớp 5 - Phân công'!$AD$14:$AD$262,'Lớp 5 - Phân công'!$J$14:$J$262,$I85,'Lớp 5 - Phân công'!$AB$14:$AB$262,"&lt;&gt;Hủy",'Lớp 5 - Phân công'!$AD$14:$AD$262,"&gt;0"),0),plan,'Trung tâm nhập liệu'!R188,emergent,LOWER(TRIM('Trung tâm nhập liệu'!O188))="khi phát sinh",IF(n=0,IF(emergent,"",plan),IF(child=0,IF(emergent,"",plan),IF(OR(emergent,plan=""),child,MIN(plan,child))))))</f>
        <v/>
      </c>
      <c r="U85" s="432"/>
      <c r="V85" s="432"/>
      <c r="W85" s="432"/>
      <c r="X85" s="450"/>
      <c r="Y85" s="432"/>
      <c r="Z85" s="432"/>
      <c r="AA85" s="425"/>
      <c r="AB85" s="441"/>
      <c r="AC85" s="447"/>
      <c r="AD85" s="445"/>
      <c r="AE85" s="457"/>
      <c r="AF85" s="458"/>
      <c r="AG85" s="461"/>
      <c r="AH85" s="466"/>
      <c r="AI85" s="468"/>
      <c r="AJ85" s="477" t="str">
        <f>IF(AL85="Chưa xếp lịch","Chưa xếp lịch",IF(AL85="Định kỳ",IF(AM85="","Thiếu chu kỳ","Theo chu kỳ"),IF(AL85="Khi phát sinh",IF(COUNTIFS('Lớp 5 - Phân công'!$J$14:$J$262,$I85,'Lớp 5 - Phân công'!$AB$14:$AB$262,"&lt;&gt;Hủy")=0,"Khi phát sinh – chờ việc con","Khi phát sinh – theo ngày con"),IF(I85="","",LET(n,COUNTIFS('Lớp 5 - Phân công'!$J$14:$J$262,$I85,'Lớp 5 - Phân công'!$AB$14:$AB$262,"&lt;&gt;Hủy"),cs,IFERROR(MINIFS('Lớp 5 - Phân công'!$AD$14:$AD$262,'Lớp 5 - Phân công'!$J$14:$J$262,$I85,'Lớp 5 - Phân công'!$AB$14:$AB$262,"&lt;&gt;Hủy",'Lớp 5 - Phân công'!$AD$14:$AD$262,"&gt;0"),0),ce,IFERROR(MAXIFS('Lớp 5 - Phân công'!$AE$14:$AE$262,'Lớp 5 - Phân công'!$J$14:$J$262,$I85,'Lớp 5 - Phân công'!$AB$14:$AB$262,"&lt;&gt;Hủy",'Lớp 5 - Phân công'!$AE$14:$AE$262,"&gt;0"),0),ps,'Trung tâm nhập liệu'!R188,pe,'Trung tâm nhập liệu'!Q188,IF(OR(AC85="",AD85=""),"Thiếu ngày L4",IF(n=0,"Chưa có L5",IF(OR(cs=0,ce=0),"Thiếu ngày L5",IF(OR(ps="",pe=""),"Thiếu ngày kế hoạch gốc L4",IF(OR(cs&lt;ps,ce&gt;pe),"Cảnh báo: Con vượt khung kế hoạch gốc","L5 đúng khung kế hoạch gốc"))))))))))</f>
        <v/>
      </c>
      <c r="AK85" s="465"/>
      <c r="AL85" s="467"/>
      <c r="AM85" s="469"/>
      <c r="AN85" s="470"/>
      <c r="AO85" s="470"/>
      <c r="AP85" s="471"/>
      <c r="AQ85" s="469"/>
      <c r="AR85" s="475"/>
      <c r="AS85" s="476"/>
      <c r="AT85" s="478"/>
      <c r="AU85" s="465"/>
      <c r="AV85" s="465"/>
      <c r="AW85" s="479"/>
    </row>
    <row r="86" ht="15.75" customHeight="1">
      <c r="A86" s="424"/>
      <c r="B86" s="425"/>
      <c r="C86" s="427"/>
      <c r="D86" s="616"/>
      <c r="E86" s="567"/>
      <c r="F86" s="431"/>
      <c r="G86" s="431"/>
      <c r="H86" s="432"/>
      <c r="I86" s="434"/>
      <c r="J86" s="432"/>
      <c r="K86" s="436"/>
      <c r="L86" s="438"/>
      <c r="M86" s="439"/>
      <c r="N86" s="439"/>
      <c r="O86" s="440"/>
      <c r="P86" s="441"/>
      <c r="Q86" s="442"/>
      <c r="R86" s="443"/>
      <c r="S86" s="445" t="str">
        <f>IF($I86="","",LET(n,COUNTIFS('Lớp 5 - Phân công'!$J$14:$J$262,$I86,'Lớp 5 - Phân công'!$AB$14:$AB$262,"&lt;&gt;Hủy"),child,IFERROR(MAXIFS('Lớp 5 - Phân công'!$AE$14:$AE$262,'Lớp 5 - Phân công'!$J$14:$J$262,$I86,'Lớp 5 - Phân công'!$AB$14:$AB$262,"&lt;&gt;Hủy",'Lớp 5 - Phân công'!$AE$14:$AE$262,"&gt;0"),0),plan,'Trung tâm nhập liệu'!Q189,emergent,LOWER(TRIM('Trung tâm nhập liệu'!O189))="khi phát sinh",IF(n=0,IF(emergent,"",plan),IF(child=0,IF(emergent,"",plan),IF(OR(emergent,plan=""),child,MAX(plan,child))))))</f>
        <v/>
      </c>
      <c r="T86" s="447" t="str">
        <f>IF($I86="","",LET(n,COUNTIFS('Lớp 5 - Phân công'!$J$14:$J$262,$I86,'Lớp 5 - Phân công'!$AB$14:$AB$262,"&lt;&gt;Hủy"),child,IFERROR(MINIFS('Lớp 5 - Phân công'!$AD$14:$AD$262,'Lớp 5 - Phân công'!$J$14:$J$262,$I86,'Lớp 5 - Phân công'!$AB$14:$AB$262,"&lt;&gt;Hủy",'Lớp 5 - Phân công'!$AD$14:$AD$262,"&gt;0"),0),plan,'Trung tâm nhập liệu'!R189,emergent,LOWER(TRIM('Trung tâm nhập liệu'!O189))="khi phát sinh",IF(n=0,IF(emergent,"",plan),IF(child=0,IF(emergent,"",plan),IF(OR(emergent,plan=""),child,MIN(plan,child))))))</f>
        <v/>
      </c>
      <c r="U86" s="432"/>
      <c r="V86" s="432"/>
      <c r="W86" s="432"/>
      <c r="X86" s="450"/>
      <c r="Y86" s="432"/>
      <c r="Z86" s="432"/>
      <c r="AA86" s="425"/>
      <c r="AB86" s="441"/>
      <c r="AC86" s="447"/>
      <c r="AD86" s="445"/>
      <c r="AE86" s="457"/>
      <c r="AF86" s="458"/>
      <c r="AG86" s="461"/>
      <c r="AH86" s="466"/>
      <c r="AI86" s="468"/>
      <c r="AJ86" s="477" t="str">
        <f>IF(AL86="Chưa xếp lịch","Chưa xếp lịch",IF(AL86="Định kỳ",IF(AM86="","Thiếu chu kỳ","Theo chu kỳ"),IF(AL86="Khi phát sinh",IF(COUNTIFS('Lớp 5 - Phân công'!$J$14:$J$262,$I86,'Lớp 5 - Phân công'!$AB$14:$AB$262,"&lt;&gt;Hủy")=0,"Khi phát sinh – chờ việc con","Khi phát sinh – theo ngày con"),IF(I86="","",LET(n,COUNTIFS('Lớp 5 - Phân công'!$J$14:$J$262,$I86,'Lớp 5 - Phân công'!$AB$14:$AB$262,"&lt;&gt;Hủy"),cs,IFERROR(MINIFS('Lớp 5 - Phân công'!$AD$14:$AD$262,'Lớp 5 - Phân công'!$J$14:$J$262,$I86,'Lớp 5 - Phân công'!$AB$14:$AB$262,"&lt;&gt;Hủy",'Lớp 5 - Phân công'!$AD$14:$AD$262,"&gt;0"),0),ce,IFERROR(MAXIFS('Lớp 5 - Phân công'!$AE$14:$AE$262,'Lớp 5 - Phân công'!$J$14:$J$262,$I86,'Lớp 5 - Phân công'!$AB$14:$AB$262,"&lt;&gt;Hủy",'Lớp 5 - Phân công'!$AE$14:$AE$262,"&gt;0"),0),ps,'Trung tâm nhập liệu'!R189,pe,'Trung tâm nhập liệu'!Q189,IF(OR(AC86="",AD86=""),"Thiếu ngày L4",IF(n=0,"Chưa có L5",IF(OR(cs=0,ce=0),"Thiếu ngày L5",IF(OR(ps="",pe=""),"Thiếu ngày kế hoạch gốc L4",IF(OR(cs&lt;ps,ce&gt;pe),"Cảnh báo: Con vượt khung kế hoạch gốc","L5 đúng khung kế hoạch gốc"))))))))))</f>
        <v/>
      </c>
      <c r="AK86" s="465"/>
      <c r="AL86" s="467"/>
      <c r="AM86" s="469"/>
      <c r="AN86" s="470"/>
      <c r="AO86" s="470"/>
      <c r="AP86" s="471"/>
      <c r="AQ86" s="469"/>
      <c r="AR86" s="475"/>
      <c r="AS86" s="476"/>
      <c r="AT86" s="478"/>
      <c r="AU86" s="465"/>
      <c r="AV86" s="465"/>
      <c r="AW86" s="479"/>
    </row>
    <row r="87" ht="15.75" customHeight="1">
      <c r="A87" s="424"/>
      <c r="B87" s="425"/>
      <c r="C87" s="427"/>
      <c r="D87" s="616"/>
      <c r="E87" s="567"/>
      <c r="F87" s="431"/>
      <c r="G87" s="431"/>
      <c r="H87" s="432"/>
      <c r="I87" s="434"/>
      <c r="J87" s="432"/>
      <c r="K87" s="436"/>
      <c r="L87" s="438"/>
      <c r="M87" s="439"/>
      <c r="N87" s="439"/>
      <c r="O87" s="440"/>
      <c r="P87" s="441"/>
      <c r="Q87" s="442"/>
      <c r="R87" s="443"/>
      <c r="S87" s="445" t="str">
        <f>IF($I87="","",LET(n,COUNTIFS('Lớp 5 - Phân công'!$J$14:$J$262,$I87,'Lớp 5 - Phân công'!$AB$14:$AB$262,"&lt;&gt;Hủy"),child,IFERROR(MAXIFS('Lớp 5 - Phân công'!$AE$14:$AE$262,'Lớp 5 - Phân công'!$J$14:$J$262,$I87,'Lớp 5 - Phân công'!$AB$14:$AB$262,"&lt;&gt;Hủy",'Lớp 5 - Phân công'!$AE$14:$AE$262,"&gt;0"),0),plan,'Trung tâm nhập liệu'!Q190,emergent,LOWER(TRIM('Trung tâm nhập liệu'!O190))="khi phát sinh",IF(n=0,IF(emergent,"",plan),IF(child=0,IF(emergent,"",plan),IF(OR(emergent,plan=""),child,MAX(plan,child))))))</f>
        <v/>
      </c>
      <c r="T87" s="447" t="str">
        <f>IF($I87="","",LET(n,COUNTIFS('Lớp 5 - Phân công'!$J$14:$J$262,$I87,'Lớp 5 - Phân công'!$AB$14:$AB$262,"&lt;&gt;Hủy"),child,IFERROR(MINIFS('Lớp 5 - Phân công'!$AD$14:$AD$262,'Lớp 5 - Phân công'!$J$14:$J$262,$I87,'Lớp 5 - Phân công'!$AB$14:$AB$262,"&lt;&gt;Hủy",'Lớp 5 - Phân công'!$AD$14:$AD$262,"&gt;0"),0),plan,'Trung tâm nhập liệu'!R190,emergent,LOWER(TRIM('Trung tâm nhập liệu'!O190))="khi phát sinh",IF(n=0,IF(emergent,"",plan),IF(child=0,IF(emergent,"",plan),IF(OR(emergent,plan=""),child,MIN(plan,child))))))</f>
        <v/>
      </c>
      <c r="U87" s="432"/>
      <c r="V87" s="432"/>
      <c r="W87" s="432"/>
      <c r="X87" s="450"/>
      <c r="Y87" s="432"/>
      <c r="Z87" s="432"/>
      <c r="AA87" s="425"/>
      <c r="AB87" s="441"/>
      <c r="AC87" s="447"/>
      <c r="AD87" s="445"/>
      <c r="AE87" s="457"/>
      <c r="AF87" s="458"/>
      <c r="AG87" s="461"/>
      <c r="AH87" s="466"/>
      <c r="AI87" s="468"/>
      <c r="AJ87" s="477" t="str">
        <f>IF(AL87="Chưa xếp lịch","Chưa xếp lịch",IF(AL87="Định kỳ",IF(AM87="","Thiếu chu kỳ","Theo chu kỳ"),IF(AL87="Khi phát sinh",IF(COUNTIFS('Lớp 5 - Phân công'!$J$14:$J$262,$I87,'Lớp 5 - Phân công'!$AB$14:$AB$262,"&lt;&gt;Hủy")=0,"Khi phát sinh – chờ việc con","Khi phát sinh – theo ngày con"),IF(I87="","",LET(n,COUNTIFS('Lớp 5 - Phân công'!$J$14:$J$262,$I87,'Lớp 5 - Phân công'!$AB$14:$AB$262,"&lt;&gt;Hủy"),cs,IFERROR(MINIFS('Lớp 5 - Phân công'!$AD$14:$AD$262,'Lớp 5 - Phân công'!$J$14:$J$262,$I87,'Lớp 5 - Phân công'!$AB$14:$AB$262,"&lt;&gt;Hủy",'Lớp 5 - Phân công'!$AD$14:$AD$262,"&gt;0"),0),ce,IFERROR(MAXIFS('Lớp 5 - Phân công'!$AE$14:$AE$262,'Lớp 5 - Phân công'!$J$14:$J$262,$I87,'Lớp 5 - Phân công'!$AB$14:$AB$262,"&lt;&gt;Hủy",'Lớp 5 - Phân công'!$AE$14:$AE$262,"&gt;0"),0),ps,'Trung tâm nhập liệu'!R190,pe,'Trung tâm nhập liệu'!Q190,IF(OR(AC87="",AD87=""),"Thiếu ngày L4",IF(n=0,"Chưa có L5",IF(OR(cs=0,ce=0),"Thiếu ngày L5",IF(OR(ps="",pe=""),"Thiếu ngày kế hoạch gốc L4",IF(OR(cs&lt;ps,ce&gt;pe),"Cảnh báo: Con vượt khung kế hoạch gốc","L5 đúng khung kế hoạch gốc"))))))))))</f>
        <v/>
      </c>
      <c r="AK87" s="465"/>
      <c r="AL87" s="467"/>
      <c r="AM87" s="469"/>
      <c r="AN87" s="470"/>
      <c r="AO87" s="470"/>
      <c r="AP87" s="471"/>
      <c r="AQ87" s="469"/>
      <c r="AR87" s="475"/>
      <c r="AS87" s="476"/>
      <c r="AT87" s="478"/>
      <c r="AU87" s="465"/>
      <c r="AV87" s="465"/>
      <c r="AW87" s="479"/>
    </row>
    <row r="88" ht="15.75" customHeight="1">
      <c r="A88" s="424"/>
      <c r="B88" s="425"/>
      <c r="C88" s="427"/>
      <c r="D88" s="616"/>
      <c r="E88" s="567"/>
      <c r="F88" s="431"/>
      <c r="G88" s="431"/>
      <c r="H88" s="432"/>
      <c r="I88" s="434"/>
      <c r="J88" s="432"/>
      <c r="K88" s="436"/>
      <c r="L88" s="438"/>
      <c r="M88" s="439"/>
      <c r="N88" s="439"/>
      <c r="O88" s="440"/>
      <c r="P88" s="441"/>
      <c r="Q88" s="442"/>
      <c r="R88" s="443"/>
      <c r="S88" s="445" t="str">
        <f>IF($I88="","",LET(n,COUNTIFS('Lớp 5 - Phân công'!$J$14:$J$262,$I88,'Lớp 5 - Phân công'!$AB$14:$AB$262,"&lt;&gt;Hủy"),child,IFERROR(MAXIFS('Lớp 5 - Phân công'!$AE$14:$AE$262,'Lớp 5 - Phân công'!$J$14:$J$262,$I88,'Lớp 5 - Phân công'!$AB$14:$AB$262,"&lt;&gt;Hủy",'Lớp 5 - Phân công'!$AE$14:$AE$262,"&gt;0"),0),plan,'Trung tâm nhập liệu'!Q191,emergent,LOWER(TRIM('Trung tâm nhập liệu'!O191))="khi phát sinh",IF(n=0,IF(emergent,"",plan),IF(child=0,IF(emergent,"",plan),IF(OR(emergent,plan=""),child,MAX(plan,child))))))</f>
        <v/>
      </c>
      <c r="T88" s="447" t="str">
        <f>IF($I88="","",LET(n,COUNTIFS('Lớp 5 - Phân công'!$J$14:$J$262,$I88,'Lớp 5 - Phân công'!$AB$14:$AB$262,"&lt;&gt;Hủy"),child,IFERROR(MINIFS('Lớp 5 - Phân công'!$AD$14:$AD$262,'Lớp 5 - Phân công'!$J$14:$J$262,$I88,'Lớp 5 - Phân công'!$AB$14:$AB$262,"&lt;&gt;Hủy",'Lớp 5 - Phân công'!$AD$14:$AD$262,"&gt;0"),0),plan,'Trung tâm nhập liệu'!R191,emergent,LOWER(TRIM('Trung tâm nhập liệu'!O191))="khi phát sinh",IF(n=0,IF(emergent,"",plan),IF(child=0,IF(emergent,"",plan),IF(OR(emergent,plan=""),child,MIN(plan,child))))))</f>
        <v/>
      </c>
      <c r="U88" s="432"/>
      <c r="V88" s="432"/>
      <c r="W88" s="432"/>
      <c r="X88" s="450"/>
      <c r="Y88" s="432"/>
      <c r="Z88" s="432"/>
      <c r="AA88" s="425"/>
      <c r="AB88" s="441"/>
      <c r="AC88" s="447"/>
      <c r="AD88" s="445"/>
      <c r="AE88" s="457"/>
      <c r="AF88" s="458"/>
      <c r="AG88" s="461"/>
      <c r="AH88" s="466"/>
      <c r="AI88" s="468"/>
      <c r="AJ88" s="477" t="str">
        <f>IF(AL88="Chưa xếp lịch","Chưa xếp lịch",IF(AL88="Định kỳ",IF(AM88="","Thiếu chu kỳ","Theo chu kỳ"),IF(AL88="Khi phát sinh",IF(COUNTIFS('Lớp 5 - Phân công'!$J$14:$J$262,$I88,'Lớp 5 - Phân công'!$AB$14:$AB$262,"&lt;&gt;Hủy")=0,"Khi phát sinh – chờ việc con","Khi phát sinh – theo ngày con"),IF(I88="","",LET(n,COUNTIFS('Lớp 5 - Phân công'!$J$14:$J$262,$I88,'Lớp 5 - Phân công'!$AB$14:$AB$262,"&lt;&gt;Hủy"),cs,IFERROR(MINIFS('Lớp 5 - Phân công'!$AD$14:$AD$262,'Lớp 5 - Phân công'!$J$14:$J$262,$I88,'Lớp 5 - Phân công'!$AB$14:$AB$262,"&lt;&gt;Hủy",'Lớp 5 - Phân công'!$AD$14:$AD$262,"&gt;0"),0),ce,IFERROR(MAXIFS('Lớp 5 - Phân công'!$AE$14:$AE$262,'Lớp 5 - Phân công'!$J$14:$J$262,$I88,'Lớp 5 - Phân công'!$AB$14:$AB$262,"&lt;&gt;Hủy",'Lớp 5 - Phân công'!$AE$14:$AE$262,"&gt;0"),0),ps,'Trung tâm nhập liệu'!R191,pe,'Trung tâm nhập liệu'!Q191,IF(OR(AC88="",AD88=""),"Thiếu ngày L4",IF(n=0,"Chưa có L5",IF(OR(cs=0,ce=0),"Thiếu ngày L5",IF(OR(ps="",pe=""),"Thiếu ngày kế hoạch gốc L4",IF(OR(cs&lt;ps,ce&gt;pe),"Cảnh báo: Con vượt khung kế hoạch gốc","L5 đúng khung kế hoạch gốc"))))))))))</f>
        <v/>
      </c>
      <c r="AK88" s="465"/>
      <c r="AL88" s="467"/>
      <c r="AM88" s="469"/>
      <c r="AN88" s="470"/>
      <c r="AO88" s="470"/>
      <c r="AP88" s="471"/>
      <c r="AQ88" s="469"/>
      <c r="AR88" s="475"/>
      <c r="AS88" s="476"/>
      <c r="AT88" s="478"/>
      <c r="AU88" s="465"/>
      <c r="AV88" s="465"/>
      <c r="AW88" s="479"/>
    </row>
    <row r="89" ht="15.75" customHeight="1">
      <c r="A89" s="424"/>
      <c r="B89" s="425"/>
      <c r="C89" s="427"/>
      <c r="D89" s="616"/>
      <c r="E89" s="567"/>
      <c r="F89" s="431"/>
      <c r="G89" s="431"/>
      <c r="H89" s="432"/>
      <c r="I89" s="434"/>
      <c r="J89" s="432"/>
      <c r="K89" s="436"/>
      <c r="L89" s="438"/>
      <c r="M89" s="439"/>
      <c r="N89" s="439"/>
      <c r="O89" s="440"/>
      <c r="P89" s="441"/>
      <c r="Q89" s="442"/>
      <c r="R89" s="443"/>
      <c r="S89" s="445" t="str">
        <f>IF($I89="","",LET(n,COUNTIFS('Lớp 5 - Phân công'!$J$14:$J$262,$I89,'Lớp 5 - Phân công'!$AB$14:$AB$262,"&lt;&gt;Hủy"),child,IFERROR(MAXIFS('Lớp 5 - Phân công'!$AE$14:$AE$262,'Lớp 5 - Phân công'!$J$14:$J$262,$I89,'Lớp 5 - Phân công'!$AB$14:$AB$262,"&lt;&gt;Hủy",'Lớp 5 - Phân công'!$AE$14:$AE$262,"&gt;0"),0),plan,'Trung tâm nhập liệu'!Q192,emergent,LOWER(TRIM('Trung tâm nhập liệu'!O192))="khi phát sinh",IF(n=0,IF(emergent,"",plan),IF(child=0,IF(emergent,"",plan),IF(OR(emergent,plan=""),child,MAX(plan,child))))))</f>
        <v/>
      </c>
      <c r="T89" s="447" t="str">
        <f>IF($I89="","",LET(n,COUNTIFS('Lớp 5 - Phân công'!$J$14:$J$262,$I89,'Lớp 5 - Phân công'!$AB$14:$AB$262,"&lt;&gt;Hủy"),child,IFERROR(MINIFS('Lớp 5 - Phân công'!$AD$14:$AD$262,'Lớp 5 - Phân công'!$J$14:$J$262,$I89,'Lớp 5 - Phân công'!$AB$14:$AB$262,"&lt;&gt;Hủy",'Lớp 5 - Phân công'!$AD$14:$AD$262,"&gt;0"),0),plan,'Trung tâm nhập liệu'!R192,emergent,LOWER(TRIM('Trung tâm nhập liệu'!O192))="khi phát sinh",IF(n=0,IF(emergent,"",plan),IF(child=0,IF(emergent,"",plan),IF(OR(emergent,plan=""),child,MIN(plan,child))))))</f>
        <v/>
      </c>
      <c r="U89" s="432"/>
      <c r="V89" s="432"/>
      <c r="W89" s="432"/>
      <c r="X89" s="450"/>
      <c r="Y89" s="432"/>
      <c r="Z89" s="432"/>
      <c r="AA89" s="425"/>
      <c r="AB89" s="441"/>
      <c r="AC89" s="447"/>
      <c r="AD89" s="445"/>
      <c r="AE89" s="457"/>
      <c r="AF89" s="458"/>
      <c r="AG89" s="461"/>
      <c r="AH89" s="466"/>
      <c r="AI89" s="468"/>
      <c r="AJ89" s="477" t="str">
        <f>IF(AL89="Chưa xếp lịch","Chưa xếp lịch",IF(AL89="Định kỳ",IF(AM89="","Thiếu chu kỳ","Theo chu kỳ"),IF(AL89="Khi phát sinh",IF(COUNTIFS('Lớp 5 - Phân công'!$J$14:$J$262,$I89,'Lớp 5 - Phân công'!$AB$14:$AB$262,"&lt;&gt;Hủy")=0,"Khi phát sinh – chờ việc con","Khi phát sinh – theo ngày con"),IF(I89="","",LET(n,COUNTIFS('Lớp 5 - Phân công'!$J$14:$J$262,$I89,'Lớp 5 - Phân công'!$AB$14:$AB$262,"&lt;&gt;Hủy"),cs,IFERROR(MINIFS('Lớp 5 - Phân công'!$AD$14:$AD$262,'Lớp 5 - Phân công'!$J$14:$J$262,$I89,'Lớp 5 - Phân công'!$AB$14:$AB$262,"&lt;&gt;Hủy",'Lớp 5 - Phân công'!$AD$14:$AD$262,"&gt;0"),0),ce,IFERROR(MAXIFS('Lớp 5 - Phân công'!$AE$14:$AE$262,'Lớp 5 - Phân công'!$J$14:$J$262,$I89,'Lớp 5 - Phân công'!$AB$14:$AB$262,"&lt;&gt;Hủy",'Lớp 5 - Phân công'!$AE$14:$AE$262,"&gt;0"),0),ps,'Trung tâm nhập liệu'!R192,pe,'Trung tâm nhập liệu'!Q192,IF(OR(AC89="",AD89=""),"Thiếu ngày L4",IF(n=0,"Chưa có L5",IF(OR(cs=0,ce=0),"Thiếu ngày L5",IF(OR(ps="",pe=""),"Thiếu ngày kế hoạch gốc L4",IF(OR(cs&lt;ps,ce&gt;pe),"Cảnh báo: Con vượt khung kế hoạch gốc","L5 đúng khung kế hoạch gốc"))))))))))</f>
        <v/>
      </c>
      <c r="AK89" s="465"/>
      <c r="AL89" s="467"/>
      <c r="AM89" s="469"/>
      <c r="AN89" s="470"/>
      <c r="AO89" s="470"/>
      <c r="AP89" s="471"/>
      <c r="AQ89" s="469"/>
      <c r="AR89" s="475"/>
      <c r="AS89" s="476"/>
      <c r="AT89" s="478"/>
      <c r="AU89" s="465"/>
      <c r="AV89" s="465"/>
      <c r="AW89" s="479"/>
    </row>
    <row r="90" ht="15.75" customHeight="1">
      <c r="A90" s="424"/>
      <c r="B90" s="425"/>
      <c r="C90" s="427"/>
      <c r="D90" s="616"/>
      <c r="E90" s="567"/>
      <c r="F90" s="431"/>
      <c r="G90" s="431"/>
      <c r="H90" s="432"/>
      <c r="I90" s="434"/>
      <c r="J90" s="432"/>
      <c r="K90" s="436"/>
      <c r="L90" s="438"/>
      <c r="M90" s="439"/>
      <c r="N90" s="439"/>
      <c r="O90" s="440"/>
      <c r="P90" s="441"/>
      <c r="Q90" s="442"/>
      <c r="R90" s="443"/>
      <c r="S90" s="445" t="str">
        <f>IF($I90="","",LET(n,COUNTIFS('Lớp 5 - Phân công'!$J$14:$J$262,$I90,'Lớp 5 - Phân công'!$AB$14:$AB$262,"&lt;&gt;Hủy"),child,IFERROR(MAXIFS('Lớp 5 - Phân công'!$AE$14:$AE$262,'Lớp 5 - Phân công'!$J$14:$J$262,$I90,'Lớp 5 - Phân công'!$AB$14:$AB$262,"&lt;&gt;Hủy",'Lớp 5 - Phân công'!$AE$14:$AE$262,"&gt;0"),0),plan,'Trung tâm nhập liệu'!Q193,emergent,LOWER(TRIM('Trung tâm nhập liệu'!O193))="khi phát sinh",IF(n=0,IF(emergent,"",plan),IF(child=0,IF(emergent,"",plan),IF(OR(emergent,plan=""),child,MAX(plan,child))))))</f>
        <v/>
      </c>
      <c r="T90" s="447" t="str">
        <f>IF($I90="","",LET(n,COUNTIFS('Lớp 5 - Phân công'!$J$14:$J$262,$I90,'Lớp 5 - Phân công'!$AB$14:$AB$262,"&lt;&gt;Hủy"),child,IFERROR(MINIFS('Lớp 5 - Phân công'!$AD$14:$AD$262,'Lớp 5 - Phân công'!$J$14:$J$262,$I90,'Lớp 5 - Phân công'!$AB$14:$AB$262,"&lt;&gt;Hủy",'Lớp 5 - Phân công'!$AD$14:$AD$262,"&gt;0"),0),plan,'Trung tâm nhập liệu'!R193,emergent,LOWER(TRIM('Trung tâm nhập liệu'!O193))="khi phát sinh",IF(n=0,IF(emergent,"",plan),IF(child=0,IF(emergent,"",plan),IF(OR(emergent,plan=""),child,MIN(plan,child))))))</f>
        <v/>
      </c>
      <c r="U90" s="432"/>
      <c r="V90" s="432"/>
      <c r="W90" s="432"/>
      <c r="X90" s="450"/>
      <c r="Y90" s="432"/>
      <c r="Z90" s="432"/>
      <c r="AA90" s="425"/>
      <c r="AB90" s="441"/>
      <c r="AC90" s="447"/>
      <c r="AD90" s="445"/>
      <c r="AE90" s="457"/>
      <c r="AF90" s="458"/>
      <c r="AG90" s="461"/>
      <c r="AH90" s="466"/>
      <c r="AI90" s="468"/>
      <c r="AJ90" s="477" t="str">
        <f>IF(AL90="Chưa xếp lịch","Chưa xếp lịch",IF(AL90="Định kỳ",IF(AM90="","Thiếu chu kỳ","Theo chu kỳ"),IF(AL90="Khi phát sinh",IF(COUNTIFS('Lớp 5 - Phân công'!$J$14:$J$262,$I90,'Lớp 5 - Phân công'!$AB$14:$AB$262,"&lt;&gt;Hủy")=0,"Khi phát sinh – chờ việc con","Khi phát sinh – theo ngày con"),IF(I90="","",LET(n,COUNTIFS('Lớp 5 - Phân công'!$J$14:$J$262,$I90,'Lớp 5 - Phân công'!$AB$14:$AB$262,"&lt;&gt;Hủy"),cs,IFERROR(MINIFS('Lớp 5 - Phân công'!$AD$14:$AD$262,'Lớp 5 - Phân công'!$J$14:$J$262,$I90,'Lớp 5 - Phân công'!$AB$14:$AB$262,"&lt;&gt;Hủy",'Lớp 5 - Phân công'!$AD$14:$AD$262,"&gt;0"),0),ce,IFERROR(MAXIFS('Lớp 5 - Phân công'!$AE$14:$AE$262,'Lớp 5 - Phân công'!$J$14:$J$262,$I90,'Lớp 5 - Phân công'!$AB$14:$AB$262,"&lt;&gt;Hủy",'Lớp 5 - Phân công'!$AE$14:$AE$262,"&gt;0"),0),ps,'Trung tâm nhập liệu'!R193,pe,'Trung tâm nhập liệu'!Q193,IF(OR(AC90="",AD90=""),"Thiếu ngày L4",IF(n=0,"Chưa có L5",IF(OR(cs=0,ce=0),"Thiếu ngày L5",IF(OR(ps="",pe=""),"Thiếu ngày kế hoạch gốc L4",IF(OR(cs&lt;ps,ce&gt;pe),"Cảnh báo: Con vượt khung kế hoạch gốc","L5 đúng khung kế hoạch gốc"))))))))))</f>
        <v/>
      </c>
      <c r="AK90" s="465"/>
      <c r="AL90" s="467"/>
      <c r="AM90" s="469"/>
      <c r="AN90" s="470"/>
      <c r="AO90" s="470"/>
      <c r="AP90" s="471"/>
      <c r="AQ90" s="469"/>
      <c r="AR90" s="475"/>
      <c r="AS90" s="476"/>
      <c r="AT90" s="478"/>
      <c r="AU90" s="465"/>
      <c r="AV90" s="465"/>
      <c r="AW90" s="479"/>
    </row>
    <row r="91" ht="15.75" customHeight="1">
      <c r="A91" s="424"/>
      <c r="B91" s="425"/>
      <c r="C91" s="427"/>
      <c r="D91" s="616"/>
      <c r="E91" s="567"/>
      <c r="F91" s="431"/>
      <c r="G91" s="431"/>
      <c r="H91" s="432"/>
      <c r="I91" s="434"/>
      <c r="J91" s="432"/>
      <c r="K91" s="436"/>
      <c r="L91" s="438"/>
      <c r="M91" s="439"/>
      <c r="N91" s="439"/>
      <c r="O91" s="440"/>
      <c r="P91" s="441"/>
      <c r="Q91" s="442"/>
      <c r="R91" s="443"/>
      <c r="S91" s="445" t="str">
        <f>IF($I91="","",LET(n,COUNTIFS('Lớp 5 - Phân công'!$J$14:$J$262,$I91,'Lớp 5 - Phân công'!$AB$14:$AB$262,"&lt;&gt;Hủy"),child,IFERROR(MAXIFS('Lớp 5 - Phân công'!$AE$14:$AE$262,'Lớp 5 - Phân công'!$J$14:$J$262,$I91,'Lớp 5 - Phân công'!$AB$14:$AB$262,"&lt;&gt;Hủy",'Lớp 5 - Phân công'!$AE$14:$AE$262,"&gt;0"),0),plan,#REF!,emergent,LOWER(TRIM(#REF!))="khi phát sinh",IF(n=0,IF(emergent,"",plan),IF(child=0,IF(emergent,"",plan),IF(OR(emergent,plan=""),child,MAX(plan,child))))))</f>
        <v/>
      </c>
      <c r="T91" s="447" t="str">
        <f>IF($I91="","",LET(n,COUNTIFS('Lớp 5 - Phân công'!$J$14:$J$262,$I91,'Lớp 5 - Phân công'!$AB$14:$AB$262,"&lt;&gt;Hủy"),child,IFERROR(MINIFS('Lớp 5 - Phân công'!$AD$14:$AD$262,'Lớp 5 - Phân công'!$J$14:$J$262,$I91,'Lớp 5 - Phân công'!$AB$14:$AB$262,"&lt;&gt;Hủy",'Lớp 5 - Phân công'!$AD$14:$AD$262,"&gt;0"),0),plan,#REF!,emergent,LOWER(TRIM(#REF!))="khi phát sinh",IF(n=0,IF(emergent,"",plan),IF(child=0,IF(emergent,"",plan),IF(OR(emergent,plan=""),child,MIN(plan,child))))))</f>
        <v/>
      </c>
      <c r="U91" s="432"/>
      <c r="V91" s="432"/>
      <c r="W91" s="432"/>
      <c r="X91" s="450"/>
      <c r="Y91" s="432"/>
      <c r="Z91" s="432"/>
      <c r="AA91" s="425"/>
      <c r="AB91" s="441"/>
      <c r="AC91" s="447"/>
      <c r="AD91" s="445"/>
      <c r="AE91" s="457"/>
      <c r="AF91" s="458"/>
      <c r="AG91" s="461"/>
      <c r="AH91" s="466"/>
      <c r="AI91" s="468"/>
      <c r="AJ91" s="477" t="str">
        <f>IF(AL91="Chưa xếp lịch","Chưa xếp lịch",IF(AL91="Định kỳ",IF(AM91="","Thiếu chu kỳ","Theo chu kỳ"),IF(AL91="Khi phát sinh",IF(COUNTIFS('Lớp 5 - Phân công'!$J$14:$J$262,$I91,'Lớp 5 - Phân công'!$AB$14:$AB$262,"&lt;&gt;Hủy")=0,"Khi phát sinh – chờ việc con","Khi phát sinh – theo ngày con"),IF(I91="","",LET(n,COUNTIFS('Lớp 5 - Phân công'!$J$14:$J$262,$I91,'Lớp 5 - Phân công'!$AB$14:$AB$262,"&lt;&gt;Hủy"),cs,IFERROR(MINIFS('Lớp 5 - Phân công'!$AD$14:$AD$262,'Lớp 5 - Phân công'!$J$14:$J$262,$I91,'Lớp 5 - Phân công'!$AB$14:$AB$262,"&lt;&gt;Hủy",'Lớp 5 - Phân công'!$AD$14:$AD$262,"&gt;0"),0),ce,IFERROR(MAXIFS('Lớp 5 - Phân công'!$AE$14:$AE$262,'Lớp 5 - Phân công'!$J$14:$J$262,$I91,'Lớp 5 - Phân công'!$AB$14:$AB$262,"&lt;&gt;Hủy",'Lớp 5 - Phân công'!$AE$14:$AE$262,"&gt;0"),0),ps,#REF!,pe,#REF!,IF(OR(AC91="",AD91=""),"Thiếu ngày L4",IF(n=0,"Chưa có L5",IF(OR(cs=0,ce=0),"Thiếu ngày L5",IF(OR(ps="",pe=""),"Thiếu ngày kế hoạch gốc L4",IF(OR(cs&lt;ps,ce&gt;pe),"Cảnh báo: Con vượt khung kế hoạch gốc","L5 đúng khung kế hoạch gốc"))))))))))</f>
        <v/>
      </c>
      <c r="AK91" s="465"/>
      <c r="AL91" s="467"/>
      <c r="AM91" s="469"/>
      <c r="AN91" s="470"/>
      <c r="AO91" s="470"/>
      <c r="AP91" s="471"/>
      <c r="AQ91" s="469"/>
      <c r="AR91" s="475"/>
      <c r="AS91" s="476"/>
      <c r="AT91" s="478"/>
      <c r="AU91" s="465"/>
      <c r="AV91" s="465"/>
      <c r="AW91" s="479"/>
    </row>
    <row r="92" ht="15.75" customHeight="1">
      <c r="A92" s="424"/>
      <c r="B92" s="425"/>
      <c r="C92" s="427"/>
      <c r="D92" s="616"/>
      <c r="E92" s="567"/>
      <c r="F92" s="431"/>
      <c r="G92" s="431"/>
      <c r="H92" s="432"/>
      <c r="I92" s="434"/>
      <c r="J92" s="432"/>
      <c r="K92" s="436"/>
      <c r="L92" s="438"/>
      <c r="M92" s="439"/>
      <c r="N92" s="439"/>
      <c r="O92" s="440"/>
      <c r="P92" s="441"/>
      <c r="Q92" s="442"/>
      <c r="R92" s="443"/>
      <c r="S92" s="445" t="str">
        <f>IF($I92="","",LET(n,COUNTIFS('Lớp 5 - Phân công'!$J$14:$J$262,$I92,'Lớp 5 - Phân công'!$AB$14:$AB$262,"&lt;&gt;Hủy"),child,IFERROR(MAXIFS('Lớp 5 - Phân công'!$AE$14:$AE$262,'Lớp 5 - Phân công'!$J$14:$J$262,$I92,'Lớp 5 - Phân công'!$AB$14:$AB$262,"&lt;&gt;Hủy",'Lớp 5 - Phân công'!$AE$14:$AE$262,"&gt;0"),0),plan,'Trung tâm nhập liệu'!Q197,emergent,LOWER(TRIM('Trung tâm nhập liệu'!O197))="khi phát sinh",IF(n=0,IF(emergent,"",plan),IF(child=0,IF(emergent,"",plan),IF(OR(emergent,plan=""),child,MAX(plan,child))))))</f>
        <v/>
      </c>
      <c r="T92" s="447" t="str">
        <f>IF($I92="","",LET(n,COUNTIFS('Lớp 5 - Phân công'!$J$14:$J$262,$I92,'Lớp 5 - Phân công'!$AB$14:$AB$262,"&lt;&gt;Hủy"),child,IFERROR(MINIFS('Lớp 5 - Phân công'!$AD$14:$AD$262,'Lớp 5 - Phân công'!$J$14:$J$262,$I92,'Lớp 5 - Phân công'!$AB$14:$AB$262,"&lt;&gt;Hủy",'Lớp 5 - Phân công'!$AD$14:$AD$262,"&gt;0"),0),plan,'Trung tâm nhập liệu'!R197,emergent,LOWER(TRIM('Trung tâm nhập liệu'!O197))="khi phát sinh",IF(n=0,IF(emergent,"",plan),IF(child=0,IF(emergent,"",plan),IF(OR(emergent,plan=""),child,MIN(plan,child))))))</f>
        <v/>
      </c>
      <c r="U92" s="432"/>
      <c r="V92" s="432"/>
      <c r="W92" s="432"/>
      <c r="X92" s="450"/>
      <c r="Y92" s="432"/>
      <c r="Z92" s="432"/>
      <c r="AA92" s="425"/>
      <c r="AB92" s="441"/>
      <c r="AC92" s="447"/>
      <c r="AD92" s="445"/>
      <c r="AE92" s="457"/>
      <c r="AF92" s="458"/>
      <c r="AG92" s="461"/>
      <c r="AH92" s="466"/>
      <c r="AI92" s="468"/>
      <c r="AJ92" s="477" t="str">
        <f>IF(AL92="Chưa xếp lịch","Chưa xếp lịch",IF(AL92="Định kỳ",IF(AM92="","Thiếu chu kỳ","Theo chu kỳ"),IF(AL92="Khi phát sinh",IF(COUNTIFS('Lớp 5 - Phân công'!$J$14:$J$262,$I92,'Lớp 5 - Phân công'!$AB$14:$AB$262,"&lt;&gt;Hủy")=0,"Khi phát sinh – chờ việc con","Khi phát sinh – theo ngày con"),IF(I92="","",LET(n,COUNTIFS('Lớp 5 - Phân công'!$J$14:$J$262,$I92,'Lớp 5 - Phân công'!$AB$14:$AB$262,"&lt;&gt;Hủy"),cs,IFERROR(MINIFS('Lớp 5 - Phân công'!$AD$14:$AD$262,'Lớp 5 - Phân công'!$J$14:$J$262,$I92,'Lớp 5 - Phân công'!$AB$14:$AB$262,"&lt;&gt;Hủy",'Lớp 5 - Phân công'!$AD$14:$AD$262,"&gt;0"),0),ce,IFERROR(MAXIFS('Lớp 5 - Phân công'!$AE$14:$AE$262,'Lớp 5 - Phân công'!$J$14:$J$262,$I92,'Lớp 5 - Phân công'!$AB$14:$AB$262,"&lt;&gt;Hủy",'Lớp 5 - Phân công'!$AE$14:$AE$262,"&gt;0"),0),ps,'Trung tâm nhập liệu'!R197,pe,'Trung tâm nhập liệu'!Q197,IF(OR(AC92="",AD92=""),"Thiếu ngày L4",IF(n=0,"Chưa có L5",IF(OR(cs=0,ce=0),"Thiếu ngày L5",IF(OR(ps="",pe=""),"Thiếu ngày kế hoạch gốc L4",IF(OR(cs&lt;ps,ce&gt;pe),"Cảnh báo: Con vượt khung kế hoạch gốc","L5 đúng khung kế hoạch gốc"))))))))))</f>
        <v/>
      </c>
      <c r="AK92" s="465"/>
      <c r="AL92" s="467"/>
      <c r="AM92" s="469"/>
      <c r="AN92" s="470"/>
      <c r="AO92" s="470"/>
      <c r="AP92" s="471"/>
      <c r="AQ92" s="469"/>
      <c r="AR92" s="475"/>
      <c r="AS92" s="476"/>
      <c r="AT92" s="478"/>
      <c r="AU92" s="465"/>
      <c r="AV92" s="465"/>
      <c r="AW92" s="479"/>
    </row>
    <row r="93" ht="15.75" customHeight="1">
      <c r="A93" s="424"/>
      <c r="B93" s="425"/>
      <c r="C93" s="427"/>
      <c r="D93" s="616"/>
      <c r="E93" s="567"/>
      <c r="F93" s="431"/>
      <c r="G93" s="431"/>
      <c r="H93" s="432"/>
      <c r="I93" s="434"/>
      <c r="J93" s="432"/>
      <c r="K93" s="436"/>
      <c r="L93" s="438"/>
      <c r="M93" s="439"/>
      <c r="N93" s="439"/>
      <c r="O93" s="440"/>
      <c r="P93" s="441"/>
      <c r="Q93" s="442"/>
      <c r="R93" s="443"/>
      <c r="S93" s="445" t="str">
        <f>IF($I93="","",LET(n,COUNTIFS('Lớp 5 - Phân công'!$J$14:$J$262,$I93,'Lớp 5 - Phân công'!$AB$14:$AB$262,"&lt;&gt;Hủy"),child,IFERROR(MAXIFS('Lớp 5 - Phân công'!$AE$14:$AE$262,'Lớp 5 - Phân công'!$J$14:$J$262,$I93,'Lớp 5 - Phân công'!$AB$14:$AB$262,"&lt;&gt;Hủy",'Lớp 5 - Phân công'!$AE$14:$AE$262,"&gt;0"),0),plan,'Trung tâm nhập liệu'!Q198,emergent,LOWER(TRIM('Trung tâm nhập liệu'!O198))="khi phát sinh",IF(n=0,IF(emergent,"",plan),IF(child=0,IF(emergent,"",plan),IF(OR(emergent,plan=""),child,MAX(plan,child))))))</f>
        <v/>
      </c>
      <c r="T93" s="447" t="str">
        <f>IF($I93="","",LET(n,COUNTIFS('Lớp 5 - Phân công'!$J$14:$J$262,$I93,'Lớp 5 - Phân công'!$AB$14:$AB$262,"&lt;&gt;Hủy"),child,IFERROR(MINIFS('Lớp 5 - Phân công'!$AD$14:$AD$262,'Lớp 5 - Phân công'!$J$14:$J$262,$I93,'Lớp 5 - Phân công'!$AB$14:$AB$262,"&lt;&gt;Hủy",'Lớp 5 - Phân công'!$AD$14:$AD$262,"&gt;0"),0),plan,'Trung tâm nhập liệu'!R198,emergent,LOWER(TRIM('Trung tâm nhập liệu'!O198))="khi phát sinh",IF(n=0,IF(emergent,"",plan),IF(child=0,IF(emergent,"",plan),IF(OR(emergent,plan=""),child,MIN(plan,child))))))</f>
        <v/>
      </c>
      <c r="U93" s="432"/>
      <c r="V93" s="432"/>
      <c r="W93" s="432"/>
      <c r="X93" s="450"/>
      <c r="Y93" s="432"/>
      <c r="Z93" s="432"/>
      <c r="AA93" s="425"/>
      <c r="AB93" s="441"/>
      <c r="AC93" s="447"/>
      <c r="AD93" s="445"/>
      <c r="AE93" s="457"/>
      <c r="AF93" s="458"/>
      <c r="AG93" s="461"/>
      <c r="AH93" s="466"/>
      <c r="AI93" s="468"/>
      <c r="AJ93" s="477" t="str">
        <f>IF(AL93="Chưa xếp lịch","Chưa xếp lịch",IF(AL93="Định kỳ",IF(AM93="","Thiếu chu kỳ","Theo chu kỳ"),IF(AL93="Khi phát sinh",IF(COUNTIFS('Lớp 5 - Phân công'!$J$14:$J$262,$I93,'Lớp 5 - Phân công'!$AB$14:$AB$262,"&lt;&gt;Hủy")=0,"Khi phát sinh – chờ việc con","Khi phát sinh – theo ngày con"),IF(I93="","",LET(n,COUNTIFS('Lớp 5 - Phân công'!$J$14:$J$262,$I93,'Lớp 5 - Phân công'!$AB$14:$AB$262,"&lt;&gt;Hủy"),cs,IFERROR(MINIFS('Lớp 5 - Phân công'!$AD$14:$AD$262,'Lớp 5 - Phân công'!$J$14:$J$262,$I93,'Lớp 5 - Phân công'!$AB$14:$AB$262,"&lt;&gt;Hủy",'Lớp 5 - Phân công'!$AD$14:$AD$262,"&gt;0"),0),ce,IFERROR(MAXIFS('Lớp 5 - Phân công'!$AE$14:$AE$262,'Lớp 5 - Phân công'!$J$14:$J$262,$I93,'Lớp 5 - Phân công'!$AB$14:$AB$262,"&lt;&gt;Hủy",'Lớp 5 - Phân công'!$AE$14:$AE$262,"&gt;0"),0),ps,'Trung tâm nhập liệu'!R198,pe,'Trung tâm nhập liệu'!Q198,IF(OR(AC93="",AD93=""),"Thiếu ngày L4",IF(n=0,"Chưa có L5",IF(OR(cs=0,ce=0),"Thiếu ngày L5",IF(OR(ps="",pe=""),"Thiếu ngày kế hoạch gốc L4",IF(OR(cs&lt;ps,ce&gt;pe),"Cảnh báo: Con vượt khung kế hoạch gốc","L5 đúng khung kế hoạch gốc"))))))))))</f>
        <v/>
      </c>
      <c r="AK93" s="465"/>
      <c r="AL93" s="467"/>
      <c r="AM93" s="469"/>
      <c r="AN93" s="470"/>
      <c r="AO93" s="470"/>
      <c r="AP93" s="471"/>
      <c r="AQ93" s="469"/>
      <c r="AR93" s="475"/>
      <c r="AS93" s="476"/>
      <c r="AT93" s="478"/>
      <c r="AU93" s="465"/>
      <c r="AV93" s="465"/>
      <c r="AW93" s="479"/>
    </row>
    <row r="94" ht="15.75" customHeight="1">
      <c r="A94" s="424"/>
      <c r="B94" s="425"/>
      <c r="C94" s="427"/>
      <c r="D94" s="616"/>
      <c r="E94" s="567"/>
      <c r="F94" s="431"/>
      <c r="G94" s="431"/>
      <c r="H94" s="432"/>
      <c r="I94" s="434"/>
      <c r="J94" s="432"/>
      <c r="K94" s="436"/>
      <c r="L94" s="438"/>
      <c r="M94" s="439"/>
      <c r="N94" s="439"/>
      <c r="O94" s="440"/>
      <c r="P94" s="441"/>
      <c r="Q94" s="442"/>
      <c r="R94" s="443"/>
      <c r="S94" s="445" t="str">
        <f>IF($I94="","",LET(n,COUNTIFS('Lớp 5 - Phân công'!$J$14:$J$262,$I94,'Lớp 5 - Phân công'!$AB$14:$AB$262,"&lt;&gt;Hủy"),child,IFERROR(MAXIFS('Lớp 5 - Phân công'!$AE$14:$AE$262,'Lớp 5 - Phân công'!$J$14:$J$262,$I94,'Lớp 5 - Phân công'!$AB$14:$AB$262,"&lt;&gt;Hủy",'Lớp 5 - Phân công'!$AE$14:$AE$262,"&gt;0"),0),plan,'Trung tâm nhập liệu'!Q202,emergent,LOWER(TRIM('Trung tâm nhập liệu'!O202))="khi phát sinh",IF(n=0,IF(emergent,"",plan),IF(child=0,IF(emergent,"",plan),IF(OR(emergent,plan=""),child,MAX(plan,child))))))</f>
        <v/>
      </c>
      <c r="T94" s="447" t="str">
        <f>IF($I94="","",LET(n,COUNTIFS('Lớp 5 - Phân công'!$J$14:$J$262,$I94,'Lớp 5 - Phân công'!$AB$14:$AB$262,"&lt;&gt;Hủy"),child,IFERROR(MINIFS('Lớp 5 - Phân công'!$AD$14:$AD$262,'Lớp 5 - Phân công'!$J$14:$J$262,$I94,'Lớp 5 - Phân công'!$AB$14:$AB$262,"&lt;&gt;Hủy",'Lớp 5 - Phân công'!$AD$14:$AD$262,"&gt;0"),0),plan,'Trung tâm nhập liệu'!R202,emergent,LOWER(TRIM('Trung tâm nhập liệu'!O202))="khi phát sinh",IF(n=0,IF(emergent,"",plan),IF(child=0,IF(emergent,"",plan),IF(OR(emergent,plan=""),child,MIN(plan,child))))))</f>
        <v/>
      </c>
      <c r="U94" s="432"/>
      <c r="V94" s="432"/>
      <c r="W94" s="432"/>
      <c r="X94" s="450"/>
      <c r="Y94" s="432"/>
      <c r="Z94" s="432"/>
      <c r="AA94" s="425"/>
      <c r="AB94" s="441"/>
      <c r="AC94" s="447"/>
      <c r="AD94" s="445"/>
      <c r="AE94" s="457"/>
      <c r="AF94" s="458"/>
      <c r="AG94" s="461"/>
      <c r="AH94" s="466"/>
      <c r="AI94" s="468"/>
      <c r="AJ94" s="477" t="str">
        <f>IF(AL94="Chưa xếp lịch","Chưa xếp lịch",IF(AL94="Định kỳ",IF(AM94="","Thiếu chu kỳ","Theo chu kỳ"),IF(AL94="Khi phát sinh",IF(COUNTIFS('Lớp 5 - Phân công'!$J$14:$J$262,$I94,'Lớp 5 - Phân công'!$AB$14:$AB$262,"&lt;&gt;Hủy")=0,"Khi phát sinh – chờ việc con","Khi phát sinh – theo ngày con"),IF(I94="","",LET(n,COUNTIFS('Lớp 5 - Phân công'!$J$14:$J$262,$I94,'Lớp 5 - Phân công'!$AB$14:$AB$262,"&lt;&gt;Hủy"),cs,IFERROR(MINIFS('Lớp 5 - Phân công'!$AD$14:$AD$262,'Lớp 5 - Phân công'!$J$14:$J$262,$I94,'Lớp 5 - Phân công'!$AB$14:$AB$262,"&lt;&gt;Hủy",'Lớp 5 - Phân công'!$AD$14:$AD$262,"&gt;0"),0),ce,IFERROR(MAXIFS('Lớp 5 - Phân công'!$AE$14:$AE$262,'Lớp 5 - Phân công'!$J$14:$J$262,$I94,'Lớp 5 - Phân công'!$AB$14:$AB$262,"&lt;&gt;Hủy",'Lớp 5 - Phân công'!$AE$14:$AE$262,"&gt;0"),0),ps,'Trung tâm nhập liệu'!R202,pe,'Trung tâm nhập liệu'!Q202,IF(OR(AC94="",AD94=""),"Thiếu ngày L4",IF(n=0,"Chưa có L5",IF(OR(cs=0,ce=0),"Thiếu ngày L5",IF(OR(ps="",pe=""),"Thiếu ngày kế hoạch gốc L4",IF(OR(cs&lt;ps,ce&gt;pe),"Cảnh báo: Con vượt khung kế hoạch gốc","L5 đúng khung kế hoạch gốc"))))))))))</f>
        <v/>
      </c>
      <c r="AK94" s="465"/>
      <c r="AL94" s="467"/>
      <c r="AM94" s="469"/>
      <c r="AN94" s="470"/>
      <c r="AO94" s="470"/>
      <c r="AP94" s="471"/>
      <c r="AQ94" s="469"/>
      <c r="AR94" s="475"/>
      <c r="AS94" s="476"/>
      <c r="AT94" s="478"/>
      <c r="AU94" s="465"/>
      <c r="AV94" s="465"/>
      <c r="AW94" s="479"/>
    </row>
    <row r="95" ht="15.75" customHeight="1">
      <c r="A95" s="424"/>
      <c r="B95" s="425"/>
      <c r="C95" s="427"/>
      <c r="D95" s="616"/>
      <c r="E95" s="567"/>
      <c r="F95" s="431"/>
      <c r="G95" s="431"/>
      <c r="H95" s="432"/>
      <c r="I95" s="434"/>
      <c r="J95" s="432"/>
      <c r="K95" s="436"/>
      <c r="L95" s="438"/>
      <c r="M95" s="439"/>
      <c r="N95" s="439"/>
      <c r="O95" s="440"/>
      <c r="P95" s="441"/>
      <c r="Q95" s="442"/>
      <c r="R95" s="443"/>
      <c r="S95" s="445" t="str">
        <f>IF($I95="","",LET(n,COUNTIFS('Lớp 5 - Phân công'!$J$14:$J$262,$I95,'Lớp 5 - Phân công'!$AB$14:$AB$262,"&lt;&gt;Hủy"),child,IFERROR(MAXIFS('Lớp 5 - Phân công'!$AE$14:$AE$262,'Lớp 5 - Phân công'!$J$14:$J$262,$I95,'Lớp 5 - Phân công'!$AB$14:$AB$262,"&lt;&gt;Hủy",'Lớp 5 - Phân công'!$AE$14:$AE$262,"&gt;0"),0),plan,'Trung tâm nhập liệu'!Q203,emergent,LOWER(TRIM('Trung tâm nhập liệu'!O203))="khi phát sinh",IF(n=0,IF(emergent,"",plan),IF(child=0,IF(emergent,"",plan),IF(OR(emergent,plan=""),child,MAX(plan,child))))))</f>
        <v/>
      </c>
      <c r="T95" s="447" t="str">
        <f>IF($I95="","",LET(n,COUNTIFS('Lớp 5 - Phân công'!$J$14:$J$262,$I95,'Lớp 5 - Phân công'!$AB$14:$AB$262,"&lt;&gt;Hủy"),child,IFERROR(MINIFS('Lớp 5 - Phân công'!$AD$14:$AD$262,'Lớp 5 - Phân công'!$J$14:$J$262,$I95,'Lớp 5 - Phân công'!$AB$14:$AB$262,"&lt;&gt;Hủy",'Lớp 5 - Phân công'!$AD$14:$AD$262,"&gt;0"),0),plan,'Trung tâm nhập liệu'!R203,emergent,LOWER(TRIM('Trung tâm nhập liệu'!O203))="khi phát sinh",IF(n=0,IF(emergent,"",plan),IF(child=0,IF(emergent,"",plan),IF(OR(emergent,plan=""),child,MIN(plan,child))))))</f>
        <v/>
      </c>
      <c r="U95" s="432"/>
      <c r="V95" s="432"/>
      <c r="W95" s="432"/>
      <c r="X95" s="450"/>
      <c r="Y95" s="432"/>
      <c r="Z95" s="432"/>
      <c r="AA95" s="425"/>
      <c r="AB95" s="441"/>
      <c r="AC95" s="447"/>
      <c r="AD95" s="445"/>
      <c r="AE95" s="457"/>
      <c r="AF95" s="458"/>
      <c r="AG95" s="461"/>
      <c r="AH95" s="466"/>
      <c r="AI95" s="468"/>
      <c r="AJ95" s="477" t="str">
        <f>IF(AL95="Chưa xếp lịch","Chưa xếp lịch",IF(AL95="Định kỳ",IF(AM95="","Thiếu chu kỳ","Theo chu kỳ"),IF(AL95="Khi phát sinh",IF(COUNTIFS('Lớp 5 - Phân công'!$J$14:$J$262,$I95,'Lớp 5 - Phân công'!$AB$14:$AB$262,"&lt;&gt;Hủy")=0,"Khi phát sinh – chờ việc con","Khi phát sinh – theo ngày con"),IF(I95="","",LET(n,COUNTIFS('Lớp 5 - Phân công'!$J$14:$J$262,$I95,'Lớp 5 - Phân công'!$AB$14:$AB$262,"&lt;&gt;Hủy"),cs,IFERROR(MINIFS('Lớp 5 - Phân công'!$AD$14:$AD$262,'Lớp 5 - Phân công'!$J$14:$J$262,$I95,'Lớp 5 - Phân công'!$AB$14:$AB$262,"&lt;&gt;Hủy",'Lớp 5 - Phân công'!$AD$14:$AD$262,"&gt;0"),0),ce,IFERROR(MAXIFS('Lớp 5 - Phân công'!$AE$14:$AE$262,'Lớp 5 - Phân công'!$J$14:$J$262,$I95,'Lớp 5 - Phân công'!$AB$14:$AB$262,"&lt;&gt;Hủy",'Lớp 5 - Phân công'!$AE$14:$AE$262,"&gt;0"),0),ps,'Trung tâm nhập liệu'!R203,pe,'Trung tâm nhập liệu'!Q203,IF(OR(AC95="",AD95=""),"Thiếu ngày L4",IF(n=0,"Chưa có L5",IF(OR(cs=0,ce=0),"Thiếu ngày L5",IF(OR(ps="",pe=""),"Thiếu ngày kế hoạch gốc L4",IF(OR(cs&lt;ps,ce&gt;pe),"Cảnh báo: Con vượt khung kế hoạch gốc","L5 đúng khung kế hoạch gốc"))))))))))</f>
        <v/>
      </c>
      <c r="AK95" s="465"/>
      <c r="AL95" s="467"/>
      <c r="AM95" s="469"/>
      <c r="AN95" s="470"/>
      <c r="AO95" s="470"/>
      <c r="AP95" s="471"/>
      <c r="AQ95" s="469"/>
      <c r="AR95" s="475"/>
      <c r="AS95" s="476"/>
      <c r="AT95" s="478"/>
      <c r="AU95" s="465"/>
      <c r="AV95" s="465"/>
      <c r="AW95" s="479"/>
    </row>
    <row r="96" ht="15.75" customHeight="1">
      <c r="A96" s="424"/>
      <c r="B96" s="425"/>
      <c r="C96" s="427"/>
      <c r="D96" s="616"/>
      <c r="E96" s="567"/>
      <c r="F96" s="431"/>
      <c r="G96" s="431"/>
      <c r="H96" s="432"/>
      <c r="I96" s="434"/>
      <c r="J96" s="432"/>
      <c r="K96" s="436"/>
      <c r="L96" s="438"/>
      <c r="M96" s="439"/>
      <c r="N96" s="439"/>
      <c r="O96" s="440"/>
      <c r="P96" s="441"/>
      <c r="Q96" s="442"/>
      <c r="R96" s="443"/>
      <c r="S96" s="445" t="str">
        <f>IF($I96="","",LET(n,COUNTIFS('Lớp 5 - Phân công'!$J$14:$J$262,$I96,'Lớp 5 - Phân công'!$AB$14:$AB$262,"&lt;&gt;Hủy"),child,IFERROR(MAXIFS('Lớp 5 - Phân công'!$AE$14:$AE$262,'Lớp 5 - Phân công'!$J$14:$J$262,$I96,'Lớp 5 - Phân công'!$AB$14:$AB$262,"&lt;&gt;Hủy",'Lớp 5 - Phân công'!$AE$14:$AE$262,"&gt;0"),0),plan,'Trung tâm nhập liệu'!Q204,emergent,LOWER(TRIM('Trung tâm nhập liệu'!O204))="khi phát sinh",IF(n=0,IF(emergent,"",plan),IF(child=0,IF(emergent,"",plan),IF(OR(emergent,plan=""),child,MAX(plan,child))))))</f>
        <v/>
      </c>
      <c r="T96" s="447" t="str">
        <f>IF($I96="","",LET(n,COUNTIFS('Lớp 5 - Phân công'!$J$14:$J$262,$I96,'Lớp 5 - Phân công'!$AB$14:$AB$262,"&lt;&gt;Hủy"),child,IFERROR(MINIFS('Lớp 5 - Phân công'!$AD$14:$AD$262,'Lớp 5 - Phân công'!$J$14:$J$262,$I96,'Lớp 5 - Phân công'!$AB$14:$AB$262,"&lt;&gt;Hủy",'Lớp 5 - Phân công'!$AD$14:$AD$262,"&gt;0"),0),plan,'Trung tâm nhập liệu'!R204,emergent,LOWER(TRIM('Trung tâm nhập liệu'!O204))="khi phát sinh",IF(n=0,IF(emergent,"",plan),IF(child=0,IF(emergent,"",plan),IF(OR(emergent,plan=""),child,MIN(plan,child))))))</f>
        <v/>
      </c>
      <c r="U96" s="432"/>
      <c r="V96" s="432"/>
      <c r="W96" s="432"/>
      <c r="X96" s="450"/>
      <c r="Y96" s="432"/>
      <c r="Z96" s="432"/>
      <c r="AA96" s="425"/>
      <c r="AB96" s="441"/>
      <c r="AC96" s="447"/>
      <c r="AD96" s="445"/>
      <c r="AE96" s="457"/>
      <c r="AF96" s="458"/>
      <c r="AG96" s="461"/>
      <c r="AH96" s="466"/>
      <c r="AI96" s="468"/>
      <c r="AJ96" s="477" t="str">
        <f>IF(AL96="Chưa xếp lịch","Chưa xếp lịch",IF(AL96="Định kỳ",IF(AM96="","Thiếu chu kỳ","Theo chu kỳ"),IF(AL96="Khi phát sinh",IF(COUNTIFS('Lớp 5 - Phân công'!$J$14:$J$262,$I96,'Lớp 5 - Phân công'!$AB$14:$AB$262,"&lt;&gt;Hủy")=0,"Khi phát sinh – chờ việc con","Khi phát sinh – theo ngày con"),IF(I96="","",LET(n,COUNTIFS('Lớp 5 - Phân công'!$J$14:$J$262,$I96,'Lớp 5 - Phân công'!$AB$14:$AB$262,"&lt;&gt;Hủy"),cs,IFERROR(MINIFS('Lớp 5 - Phân công'!$AD$14:$AD$262,'Lớp 5 - Phân công'!$J$14:$J$262,$I96,'Lớp 5 - Phân công'!$AB$14:$AB$262,"&lt;&gt;Hủy",'Lớp 5 - Phân công'!$AD$14:$AD$262,"&gt;0"),0),ce,IFERROR(MAXIFS('Lớp 5 - Phân công'!$AE$14:$AE$262,'Lớp 5 - Phân công'!$J$14:$J$262,$I96,'Lớp 5 - Phân công'!$AB$14:$AB$262,"&lt;&gt;Hủy",'Lớp 5 - Phân công'!$AE$14:$AE$262,"&gt;0"),0),ps,'Trung tâm nhập liệu'!R204,pe,'Trung tâm nhập liệu'!Q204,IF(OR(AC96="",AD96=""),"Thiếu ngày L4",IF(n=0,"Chưa có L5",IF(OR(cs=0,ce=0),"Thiếu ngày L5",IF(OR(ps="",pe=""),"Thiếu ngày kế hoạch gốc L4",IF(OR(cs&lt;ps,ce&gt;pe),"Cảnh báo: Con vượt khung kế hoạch gốc","L5 đúng khung kế hoạch gốc"))))))))))</f>
        <v/>
      </c>
      <c r="AK96" s="465"/>
      <c r="AL96" s="467"/>
      <c r="AM96" s="469"/>
      <c r="AN96" s="470"/>
      <c r="AO96" s="470"/>
      <c r="AP96" s="471"/>
      <c r="AQ96" s="469"/>
      <c r="AR96" s="475"/>
      <c r="AS96" s="476"/>
      <c r="AT96" s="478"/>
      <c r="AU96" s="465"/>
      <c r="AV96" s="465"/>
      <c r="AW96" s="479"/>
    </row>
    <row r="97" ht="15.75" customHeight="1">
      <c r="A97" s="424"/>
      <c r="B97" s="425"/>
      <c r="C97" s="427"/>
      <c r="D97" s="616"/>
      <c r="E97" s="567"/>
      <c r="F97" s="431"/>
      <c r="G97" s="431"/>
      <c r="H97" s="432"/>
      <c r="I97" s="434"/>
      <c r="J97" s="432"/>
      <c r="K97" s="436"/>
      <c r="L97" s="438"/>
      <c r="M97" s="439"/>
      <c r="N97" s="439"/>
      <c r="O97" s="440"/>
      <c r="P97" s="441"/>
      <c r="Q97" s="442"/>
      <c r="R97" s="443"/>
      <c r="S97" s="445" t="str">
        <f>IF($I97="","",LET(n,COUNTIFS('Lớp 5 - Phân công'!$J$14:$J$262,$I97,'Lớp 5 - Phân công'!$AB$14:$AB$262,"&lt;&gt;Hủy"),child,IFERROR(MAXIFS('Lớp 5 - Phân công'!$AE$14:$AE$262,'Lớp 5 - Phân công'!$J$14:$J$262,$I97,'Lớp 5 - Phân công'!$AB$14:$AB$262,"&lt;&gt;Hủy",'Lớp 5 - Phân công'!$AE$14:$AE$262,"&gt;0"),0),plan,'Trung tâm nhập liệu'!Q205,emergent,LOWER(TRIM('Trung tâm nhập liệu'!O205))="khi phát sinh",IF(n=0,IF(emergent,"",plan),IF(child=0,IF(emergent,"",plan),IF(OR(emergent,plan=""),child,MAX(plan,child))))))</f>
        <v/>
      </c>
      <c r="T97" s="447" t="str">
        <f>IF($I97="","",LET(n,COUNTIFS('Lớp 5 - Phân công'!$J$14:$J$262,$I97,'Lớp 5 - Phân công'!$AB$14:$AB$262,"&lt;&gt;Hủy"),child,IFERROR(MINIFS('Lớp 5 - Phân công'!$AD$14:$AD$262,'Lớp 5 - Phân công'!$J$14:$J$262,$I97,'Lớp 5 - Phân công'!$AB$14:$AB$262,"&lt;&gt;Hủy",'Lớp 5 - Phân công'!$AD$14:$AD$262,"&gt;0"),0),plan,'Trung tâm nhập liệu'!R205,emergent,LOWER(TRIM('Trung tâm nhập liệu'!O205))="khi phát sinh",IF(n=0,IF(emergent,"",plan),IF(child=0,IF(emergent,"",plan),IF(OR(emergent,plan=""),child,MIN(plan,child))))))</f>
        <v/>
      </c>
      <c r="U97" s="432"/>
      <c r="V97" s="432"/>
      <c r="W97" s="432"/>
      <c r="X97" s="450"/>
      <c r="Y97" s="432"/>
      <c r="Z97" s="432"/>
      <c r="AA97" s="425"/>
      <c r="AB97" s="441"/>
      <c r="AC97" s="447"/>
      <c r="AD97" s="445"/>
      <c r="AE97" s="457"/>
      <c r="AF97" s="458"/>
      <c r="AG97" s="461"/>
      <c r="AH97" s="466"/>
      <c r="AI97" s="468"/>
      <c r="AJ97" s="477" t="str">
        <f>IF(AL97="Chưa xếp lịch","Chưa xếp lịch",IF(AL97="Định kỳ",IF(AM97="","Thiếu chu kỳ","Theo chu kỳ"),IF(AL97="Khi phát sinh",IF(COUNTIFS('Lớp 5 - Phân công'!$J$14:$J$262,$I97,'Lớp 5 - Phân công'!$AB$14:$AB$262,"&lt;&gt;Hủy")=0,"Khi phát sinh – chờ việc con","Khi phát sinh – theo ngày con"),IF(I97="","",LET(n,COUNTIFS('Lớp 5 - Phân công'!$J$14:$J$262,$I97,'Lớp 5 - Phân công'!$AB$14:$AB$262,"&lt;&gt;Hủy"),cs,IFERROR(MINIFS('Lớp 5 - Phân công'!$AD$14:$AD$262,'Lớp 5 - Phân công'!$J$14:$J$262,$I97,'Lớp 5 - Phân công'!$AB$14:$AB$262,"&lt;&gt;Hủy",'Lớp 5 - Phân công'!$AD$14:$AD$262,"&gt;0"),0),ce,IFERROR(MAXIFS('Lớp 5 - Phân công'!$AE$14:$AE$262,'Lớp 5 - Phân công'!$J$14:$J$262,$I97,'Lớp 5 - Phân công'!$AB$14:$AB$262,"&lt;&gt;Hủy",'Lớp 5 - Phân công'!$AE$14:$AE$262,"&gt;0"),0),ps,'Trung tâm nhập liệu'!R205,pe,'Trung tâm nhập liệu'!Q205,IF(OR(AC97="",AD97=""),"Thiếu ngày L4",IF(n=0,"Chưa có L5",IF(OR(cs=0,ce=0),"Thiếu ngày L5",IF(OR(ps="",pe=""),"Thiếu ngày kế hoạch gốc L4",IF(OR(cs&lt;ps,ce&gt;pe),"Cảnh báo: Con vượt khung kế hoạch gốc","L5 đúng khung kế hoạch gốc"))))))))))</f>
        <v/>
      </c>
      <c r="AK97" s="465"/>
      <c r="AL97" s="467"/>
      <c r="AM97" s="469"/>
      <c r="AN97" s="470"/>
      <c r="AO97" s="470"/>
      <c r="AP97" s="471"/>
      <c r="AQ97" s="469"/>
      <c r="AR97" s="475"/>
      <c r="AS97" s="476"/>
      <c r="AT97" s="478"/>
      <c r="AU97" s="465"/>
      <c r="AV97" s="465"/>
      <c r="AW97" s="479"/>
    </row>
    <row r="98" ht="15.75" customHeight="1">
      <c r="A98" s="424"/>
      <c r="B98" s="425"/>
      <c r="C98" s="427"/>
      <c r="D98" s="616"/>
      <c r="E98" s="567"/>
      <c r="F98" s="431"/>
      <c r="G98" s="431"/>
      <c r="H98" s="432"/>
      <c r="I98" s="434"/>
      <c r="J98" s="432"/>
      <c r="K98" s="436"/>
      <c r="L98" s="438"/>
      <c r="M98" s="439"/>
      <c r="N98" s="439"/>
      <c r="O98" s="440"/>
      <c r="P98" s="441"/>
      <c r="Q98" s="442"/>
      <c r="R98" s="443"/>
      <c r="S98" s="445" t="str">
        <f>IF($I98="","",LET(n,COUNTIFS('Lớp 5 - Phân công'!$J$14:$J$262,$I98,'Lớp 5 - Phân công'!$AB$14:$AB$262,"&lt;&gt;Hủy"),child,IFERROR(MAXIFS('Lớp 5 - Phân công'!$AE$14:$AE$262,'Lớp 5 - Phân công'!$J$14:$J$262,$I98,'Lớp 5 - Phân công'!$AB$14:$AB$262,"&lt;&gt;Hủy",'Lớp 5 - Phân công'!$AE$14:$AE$262,"&gt;0"),0),plan,'Trung tâm nhập liệu'!Q206,emergent,LOWER(TRIM('Trung tâm nhập liệu'!O206))="khi phát sinh",IF(n=0,IF(emergent,"",plan),IF(child=0,IF(emergent,"",plan),IF(OR(emergent,plan=""),child,MAX(plan,child))))))</f>
        <v/>
      </c>
      <c r="T98" s="447" t="str">
        <f>IF($I98="","",LET(n,COUNTIFS('Lớp 5 - Phân công'!$J$14:$J$262,$I98,'Lớp 5 - Phân công'!$AB$14:$AB$262,"&lt;&gt;Hủy"),child,IFERROR(MINIFS('Lớp 5 - Phân công'!$AD$14:$AD$262,'Lớp 5 - Phân công'!$J$14:$J$262,$I98,'Lớp 5 - Phân công'!$AB$14:$AB$262,"&lt;&gt;Hủy",'Lớp 5 - Phân công'!$AD$14:$AD$262,"&gt;0"),0),plan,'Trung tâm nhập liệu'!R206,emergent,LOWER(TRIM('Trung tâm nhập liệu'!O206))="khi phát sinh",IF(n=0,IF(emergent,"",plan),IF(child=0,IF(emergent,"",plan),IF(OR(emergent,plan=""),child,MIN(plan,child))))))</f>
        <v/>
      </c>
      <c r="U98" s="432"/>
      <c r="V98" s="432"/>
      <c r="W98" s="432"/>
      <c r="X98" s="450"/>
      <c r="Y98" s="432"/>
      <c r="Z98" s="432"/>
      <c r="AA98" s="425"/>
      <c r="AB98" s="441"/>
      <c r="AC98" s="447"/>
      <c r="AD98" s="445"/>
      <c r="AE98" s="457"/>
      <c r="AF98" s="458"/>
      <c r="AG98" s="461"/>
      <c r="AH98" s="466"/>
      <c r="AI98" s="468"/>
      <c r="AJ98" s="477" t="str">
        <f>IF(AL98="Chưa xếp lịch","Chưa xếp lịch",IF(AL98="Định kỳ",IF(AM98="","Thiếu chu kỳ","Theo chu kỳ"),IF(AL98="Khi phát sinh",IF(COUNTIFS('Lớp 5 - Phân công'!$J$14:$J$262,$I98,'Lớp 5 - Phân công'!$AB$14:$AB$262,"&lt;&gt;Hủy")=0,"Khi phát sinh – chờ việc con","Khi phát sinh – theo ngày con"),IF(I98="","",LET(n,COUNTIFS('Lớp 5 - Phân công'!$J$14:$J$262,$I98,'Lớp 5 - Phân công'!$AB$14:$AB$262,"&lt;&gt;Hủy"),cs,IFERROR(MINIFS('Lớp 5 - Phân công'!$AD$14:$AD$262,'Lớp 5 - Phân công'!$J$14:$J$262,$I98,'Lớp 5 - Phân công'!$AB$14:$AB$262,"&lt;&gt;Hủy",'Lớp 5 - Phân công'!$AD$14:$AD$262,"&gt;0"),0),ce,IFERROR(MAXIFS('Lớp 5 - Phân công'!$AE$14:$AE$262,'Lớp 5 - Phân công'!$J$14:$J$262,$I98,'Lớp 5 - Phân công'!$AB$14:$AB$262,"&lt;&gt;Hủy",'Lớp 5 - Phân công'!$AE$14:$AE$262,"&gt;0"),0),ps,'Trung tâm nhập liệu'!R206,pe,'Trung tâm nhập liệu'!Q206,IF(OR(AC98="",AD98=""),"Thiếu ngày L4",IF(n=0,"Chưa có L5",IF(OR(cs=0,ce=0),"Thiếu ngày L5",IF(OR(ps="",pe=""),"Thiếu ngày kế hoạch gốc L4",IF(OR(cs&lt;ps,ce&gt;pe),"Cảnh báo: Con vượt khung kế hoạch gốc","L5 đúng khung kế hoạch gốc"))))))))))</f>
        <v/>
      </c>
      <c r="AK98" s="465"/>
      <c r="AL98" s="467"/>
      <c r="AM98" s="469"/>
      <c r="AN98" s="470"/>
      <c r="AO98" s="470"/>
      <c r="AP98" s="471"/>
      <c r="AQ98" s="469"/>
      <c r="AR98" s="475"/>
      <c r="AS98" s="476"/>
      <c r="AT98" s="478"/>
      <c r="AU98" s="465"/>
      <c r="AV98" s="465"/>
      <c r="AW98" s="479"/>
    </row>
    <row r="99" ht="15.75" customHeight="1">
      <c r="A99" s="424"/>
      <c r="B99" s="425"/>
      <c r="C99" s="427"/>
      <c r="D99" s="616"/>
      <c r="E99" s="567"/>
      <c r="F99" s="431"/>
      <c r="G99" s="431"/>
      <c r="H99" s="432"/>
      <c r="I99" s="434"/>
      <c r="J99" s="432"/>
      <c r="K99" s="436"/>
      <c r="L99" s="438"/>
      <c r="M99" s="439"/>
      <c r="N99" s="439"/>
      <c r="O99" s="440"/>
      <c r="P99" s="441"/>
      <c r="Q99" s="442"/>
      <c r="R99" s="443"/>
      <c r="S99" s="445" t="str">
        <f>IF($I99="","",LET(n,COUNTIFS('Lớp 5 - Phân công'!$J$14:$J$262,$I99,'Lớp 5 - Phân công'!$AB$14:$AB$262,"&lt;&gt;Hủy"),child,IFERROR(MAXIFS('Lớp 5 - Phân công'!$AE$14:$AE$262,'Lớp 5 - Phân công'!$J$14:$J$262,$I99,'Lớp 5 - Phân công'!$AB$14:$AB$262,"&lt;&gt;Hủy",'Lớp 5 - Phân công'!$AE$14:$AE$262,"&gt;0"),0),plan,'Trung tâm nhập liệu'!Q207,emergent,LOWER(TRIM('Trung tâm nhập liệu'!O207))="khi phát sinh",IF(n=0,IF(emergent,"",plan),IF(child=0,IF(emergent,"",plan),IF(OR(emergent,plan=""),child,MAX(plan,child))))))</f>
        <v/>
      </c>
      <c r="T99" s="447" t="str">
        <f>IF($I99="","",LET(n,COUNTIFS('Lớp 5 - Phân công'!$J$14:$J$262,$I99,'Lớp 5 - Phân công'!$AB$14:$AB$262,"&lt;&gt;Hủy"),child,IFERROR(MINIFS('Lớp 5 - Phân công'!$AD$14:$AD$262,'Lớp 5 - Phân công'!$J$14:$J$262,$I99,'Lớp 5 - Phân công'!$AB$14:$AB$262,"&lt;&gt;Hủy",'Lớp 5 - Phân công'!$AD$14:$AD$262,"&gt;0"),0),plan,'Trung tâm nhập liệu'!R207,emergent,LOWER(TRIM('Trung tâm nhập liệu'!O207))="khi phát sinh",IF(n=0,IF(emergent,"",plan),IF(child=0,IF(emergent,"",plan),IF(OR(emergent,plan=""),child,MIN(plan,child))))))</f>
        <v/>
      </c>
      <c r="U99" s="432"/>
      <c r="V99" s="432"/>
      <c r="W99" s="432"/>
      <c r="X99" s="450"/>
      <c r="Y99" s="432"/>
      <c r="Z99" s="432"/>
      <c r="AA99" s="425"/>
      <c r="AB99" s="441"/>
      <c r="AC99" s="447"/>
      <c r="AD99" s="445"/>
      <c r="AE99" s="457"/>
      <c r="AF99" s="458"/>
      <c r="AG99" s="461"/>
      <c r="AH99" s="466"/>
      <c r="AI99" s="468"/>
      <c r="AJ99" s="477" t="str">
        <f>IF(AL99="Chưa xếp lịch","Chưa xếp lịch",IF(AL99="Định kỳ",IF(AM99="","Thiếu chu kỳ","Theo chu kỳ"),IF(AL99="Khi phát sinh",IF(COUNTIFS('Lớp 5 - Phân công'!$J$14:$J$262,$I99,'Lớp 5 - Phân công'!$AB$14:$AB$262,"&lt;&gt;Hủy")=0,"Khi phát sinh – chờ việc con","Khi phát sinh – theo ngày con"),IF(I99="","",LET(n,COUNTIFS('Lớp 5 - Phân công'!$J$14:$J$262,$I99,'Lớp 5 - Phân công'!$AB$14:$AB$262,"&lt;&gt;Hủy"),cs,IFERROR(MINIFS('Lớp 5 - Phân công'!$AD$14:$AD$262,'Lớp 5 - Phân công'!$J$14:$J$262,$I99,'Lớp 5 - Phân công'!$AB$14:$AB$262,"&lt;&gt;Hủy",'Lớp 5 - Phân công'!$AD$14:$AD$262,"&gt;0"),0),ce,IFERROR(MAXIFS('Lớp 5 - Phân công'!$AE$14:$AE$262,'Lớp 5 - Phân công'!$J$14:$J$262,$I99,'Lớp 5 - Phân công'!$AB$14:$AB$262,"&lt;&gt;Hủy",'Lớp 5 - Phân công'!$AE$14:$AE$262,"&gt;0"),0),ps,'Trung tâm nhập liệu'!R207,pe,'Trung tâm nhập liệu'!Q207,IF(OR(AC99="",AD99=""),"Thiếu ngày L4",IF(n=0,"Chưa có L5",IF(OR(cs=0,ce=0),"Thiếu ngày L5",IF(OR(ps="",pe=""),"Thiếu ngày kế hoạch gốc L4",IF(OR(cs&lt;ps,ce&gt;pe),"Cảnh báo: Con vượt khung kế hoạch gốc","L5 đúng khung kế hoạch gốc"))))))))))</f>
        <v/>
      </c>
      <c r="AK99" s="465"/>
      <c r="AL99" s="467"/>
      <c r="AM99" s="469"/>
      <c r="AN99" s="470"/>
      <c r="AO99" s="470"/>
      <c r="AP99" s="471"/>
      <c r="AQ99" s="469"/>
      <c r="AR99" s="475"/>
      <c r="AS99" s="476"/>
      <c r="AT99" s="478"/>
      <c r="AU99" s="465"/>
      <c r="AV99" s="465"/>
      <c r="AW99" s="479"/>
    </row>
    <row r="100" ht="15.75" customHeight="1">
      <c r="A100" s="424"/>
      <c r="B100" s="425"/>
      <c r="C100" s="427"/>
      <c r="D100" s="616"/>
      <c r="E100" s="567"/>
      <c r="F100" s="431"/>
      <c r="G100" s="431"/>
      <c r="H100" s="432"/>
      <c r="I100" s="434"/>
      <c r="J100" s="432"/>
      <c r="K100" s="436"/>
      <c r="L100" s="438"/>
      <c r="M100" s="439"/>
      <c r="N100" s="439"/>
      <c r="O100" s="440"/>
      <c r="P100" s="441"/>
      <c r="Q100" s="442"/>
      <c r="R100" s="443"/>
      <c r="S100" s="445" t="str">
        <f>IF($I100="","",LET(n,COUNTIFS('Lớp 5 - Phân công'!$J$14:$J$262,$I100,'Lớp 5 - Phân công'!$AB$14:$AB$262,"&lt;&gt;Hủy"),child,IFERROR(MAXIFS('Lớp 5 - Phân công'!$AE$14:$AE$262,'Lớp 5 - Phân công'!$J$14:$J$262,$I100,'Lớp 5 - Phân công'!$AB$14:$AB$262,"&lt;&gt;Hủy",'Lớp 5 - Phân công'!$AE$14:$AE$262,"&gt;0"),0),plan,'Trung tâm nhập liệu'!Q208,emergent,LOWER(TRIM('Trung tâm nhập liệu'!O208))="khi phát sinh",IF(n=0,IF(emergent,"",plan),IF(child=0,IF(emergent,"",plan),IF(OR(emergent,plan=""),child,MAX(plan,child))))))</f>
        <v/>
      </c>
      <c r="T100" s="447" t="str">
        <f>IF($I100="","",LET(n,COUNTIFS('Lớp 5 - Phân công'!$J$14:$J$262,$I100,'Lớp 5 - Phân công'!$AB$14:$AB$262,"&lt;&gt;Hủy"),child,IFERROR(MINIFS('Lớp 5 - Phân công'!$AD$14:$AD$262,'Lớp 5 - Phân công'!$J$14:$J$262,$I100,'Lớp 5 - Phân công'!$AB$14:$AB$262,"&lt;&gt;Hủy",'Lớp 5 - Phân công'!$AD$14:$AD$262,"&gt;0"),0),plan,'Trung tâm nhập liệu'!R208,emergent,LOWER(TRIM('Trung tâm nhập liệu'!O208))="khi phát sinh",IF(n=0,IF(emergent,"",plan),IF(child=0,IF(emergent,"",plan),IF(OR(emergent,plan=""),child,MIN(plan,child))))))</f>
        <v/>
      </c>
      <c r="U100" s="432"/>
      <c r="V100" s="432"/>
      <c r="W100" s="432"/>
      <c r="X100" s="450"/>
      <c r="Y100" s="432"/>
      <c r="Z100" s="432"/>
      <c r="AA100" s="425"/>
      <c r="AB100" s="441"/>
      <c r="AC100" s="447"/>
      <c r="AD100" s="445"/>
      <c r="AE100" s="457"/>
      <c r="AF100" s="458"/>
      <c r="AG100" s="461"/>
      <c r="AH100" s="466"/>
      <c r="AI100" s="468"/>
      <c r="AJ100" s="477" t="str">
        <f>IF(AL100="Chưa xếp lịch","Chưa xếp lịch",IF(AL100="Định kỳ",IF(AM100="","Thiếu chu kỳ","Theo chu kỳ"),IF(AL100="Khi phát sinh",IF(COUNTIFS('Lớp 5 - Phân công'!$J$14:$J$262,$I100,'Lớp 5 - Phân công'!$AB$14:$AB$262,"&lt;&gt;Hủy")=0,"Khi phát sinh – chờ việc con","Khi phát sinh – theo ngày con"),IF(I100="","",LET(n,COUNTIFS('Lớp 5 - Phân công'!$J$14:$J$262,$I100,'Lớp 5 - Phân công'!$AB$14:$AB$262,"&lt;&gt;Hủy"),cs,IFERROR(MINIFS('Lớp 5 - Phân công'!$AD$14:$AD$262,'Lớp 5 - Phân công'!$J$14:$J$262,$I100,'Lớp 5 - Phân công'!$AB$14:$AB$262,"&lt;&gt;Hủy",'Lớp 5 - Phân công'!$AD$14:$AD$262,"&gt;0"),0),ce,IFERROR(MAXIFS('Lớp 5 - Phân công'!$AE$14:$AE$262,'Lớp 5 - Phân công'!$J$14:$J$262,$I100,'Lớp 5 - Phân công'!$AB$14:$AB$262,"&lt;&gt;Hủy",'Lớp 5 - Phân công'!$AE$14:$AE$262,"&gt;0"),0),ps,'Trung tâm nhập liệu'!R208,pe,'Trung tâm nhập liệu'!Q208,IF(OR(AC100="",AD100=""),"Thiếu ngày L4",IF(n=0,"Chưa có L5",IF(OR(cs=0,ce=0),"Thiếu ngày L5",IF(OR(ps="",pe=""),"Thiếu ngày kế hoạch gốc L4",IF(OR(cs&lt;ps,ce&gt;pe),"Cảnh báo: Con vượt khung kế hoạch gốc","L5 đúng khung kế hoạch gốc"))))))))))</f>
        <v/>
      </c>
      <c r="AK100" s="465"/>
      <c r="AL100" s="467"/>
      <c r="AM100" s="469"/>
      <c r="AN100" s="470"/>
      <c r="AO100" s="470"/>
      <c r="AP100" s="471"/>
      <c r="AQ100" s="469"/>
      <c r="AR100" s="475"/>
      <c r="AS100" s="476"/>
      <c r="AT100" s="478"/>
      <c r="AU100" s="465"/>
      <c r="AV100" s="465"/>
      <c r="AW100" s="479"/>
    </row>
    <row r="101" ht="15.75" customHeight="1">
      <c r="A101" s="424"/>
      <c r="B101" s="425"/>
      <c r="C101" s="427"/>
      <c r="D101" s="616"/>
      <c r="E101" s="567"/>
      <c r="F101" s="431"/>
      <c r="G101" s="431"/>
      <c r="H101" s="432"/>
      <c r="I101" s="434"/>
      <c r="J101" s="432"/>
      <c r="K101" s="436"/>
      <c r="L101" s="438"/>
      <c r="M101" s="439"/>
      <c r="N101" s="439"/>
      <c r="O101" s="440"/>
      <c r="P101" s="441"/>
      <c r="Q101" s="442"/>
      <c r="R101" s="443"/>
      <c r="S101" s="445" t="str">
        <f>IF($I101="","",LET(n,COUNTIFS('Lớp 5 - Phân công'!$J$14:$J$262,$I101,'Lớp 5 - Phân công'!$AB$14:$AB$262,"&lt;&gt;Hủy"),child,IFERROR(MAXIFS('Lớp 5 - Phân công'!$AE$14:$AE$262,'Lớp 5 - Phân công'!$J$14:$J$262,$I101,'Lớp 5 - Phân công'!$AB$14:$AB$262,"&lt;&gt;Hủy",'Lớp 5 - Phân công'!$AE$14:$AE$262,"&gt;0"),0),plan,'Trung tâm nhập liệu'!Q209,emergent,LOWER(TRIM('Trung tâm nhập liệu'!O209))="khi phát sinh",IF(n=0,IF(emergent,"",plan),IF(child=0,IF(emergent,"",plan),IF(OR(emergent,plan=""),child,MAX(plan,child))))))</f>
        <v/>
      </c>
      <c r="T101" s="447" t="str">
        <f>IF($I101="","",LET(n,COUNTIFS('Lớp 5 - Phân công'!$J$14:$J$262,$I101,'Lớp 5 - Phân công'!$AB$14:$AB$262,"&lt;&gt;Hủy"),child,IFERROR(MINIFS('Lớp 5 - Phân công'!$AD$14:$AD$262,'Lớp 5 - Phân công'!$J$14:$J$262,$I101,'Lớp 5 - Phân công'!$AB$14:$AB$262,"&lt;&gt;Hủy",'Lớp 5 - Phân công'!$AD$14:$AD$262,"&gt;0"),0),plan,'Trung tâm nhập liệu'!R209,emergent,LOWER(TRIM('Trung tâm nhập liệu'!O209))="khi phát sinh",IF(n=0,IF(emergent,"",plan),IF(child=0,IF(emergent,"",plan),IF(OR(emergent,plan=""),child,MIN(plan,child))))))</f>
        <v/>
      </c>
      <c r="U101" s="432"/>
      <c r="V101" s="432"/>
      <c r="W101" s="432"/>
      <c r="X101" s="450"/>
      <c r="Y101" s="432"/>
      <c r="Z101" s="432"/>
      <c r="AA101" s="425"/>
      <c r="AB101" s="441"/>
      <c r="AC101" s="447"/>
      <c r="AD101" s="445"/>
      <c r="AE101" s="457"/>
      <c r="AF101" s="458"/>
      <c r="AG101" s="461"/>
      <c r="AH101" s="466"/>
      <c r="AI101" s="468"/>
      <c r="AJ101" s="477" t="str">
        <f>IF(AL101="Chưa xếp lịch","Chưa xếp lịch",IF(AL101="Định kỳ",IF(AM101="","Thiếu chu kỳ","Theo chu kỳ"),IF(AL101="Khi phát sinh",IF(COUNTIFS('Lớp 5 - Phân công'!$J$14:$J$262,$I101,'Lớp 5 - Phân công'!$AB$14:$AB$262,"&lt;&gt;Hủy")=0,"Khi phát sinh – chờ việc con","Khi phát sinh – theo ngày con"),IF(I101="","",LET(n,COUNTIFS('Lớp 5 - Phân công'!$J$14:$J$262,$I101,'Lớp 5 - Phân công'!$AB$14:$AB$262,"&lt;&gt;Hủy"),cs,IFERROR(MINIFS('Lớp 5 - Phân công'!$AD$14:$AD$262,'Lớp 5 - Phân công'!$J$14:$J$262,$I101,'Lớp 5 - Phân công'!$AB$14:$AB$262,"&lt;&gt;Hủy",'Lớp 5 - Phân công'!$AD$14:$AD$262,"&gt;0"),0),ce,IFERROR(MAXIFS('Lớp 5 - Phân công'!$AE$14:$AE$262,'Lớp 5 - Phân công'!$J$14:$J$262,$I101,'Lớp 5 - Phân công'!$AB$14:$AB$262,"&lt;&gt;Hủy",'Lớp 5 - Phân công'!$AE$14:$AE$262,"&gt;0"),0),ps,'Trung tâm nhập liệu'!R209,pe,'Trung tâm nhập liệu'!Q209,IF(OR(AC101="",AD101=""),"Thiếu ngày L4",IF(n=0,"Chưa có L5",IF(OR(cs=0,ce=0),"Thiếu ngày L5",IF(OR(ps="",pe=""),"Thiếu ngày kế hoạch gốc L4",IF(OR(cs&lt;ps,ce&gt;pe),"Cảnh báo: Con vượt khung kế hoạch gốc","L5 đúng khung kế hoạch gốc"))))))))))</f>
        <v/>
      </c>
      <c r="AK101" s="465"/>
      <c r="AL101" s="467"/>
      <c r="AM101" s="469"/>
      <c r="AN101" s="470"/>
      <c r="AO101" s="470"/>
      <c r="AP101" s="471"/>
      <c r="AQ101" s="469"/>
      <c r="AR101" s="475"/>
      <c r="AS101" s="476"/>
      <c r="AT101" s="478"/>
      <c r="AU101" s="465"/>
      <c r="AV101" s="465"/>
      <c r="AW101" s="479"/>
    </row>
    <row r="102" ht="15.75" customHeight="1">
      <c r="A102" s="424"/>
      <c r="B102" s="425"/>
      <c r="C102" s="427"/>
      <c r="D102" s="616"/>
      <c r="E102" s="567"/>
      <c r="F102" s="431"/>
      <c r="G102" s="431"/>
      <c r="H102" s="432"/>
      <c r="I102" s="434"/>
      <c r="J102" s="432"/>
      <c r="K102" s="436"/>
      <c r="L102" s="438"/>
      <c r="M102" s="439"/>
      <c r="N102" s="439"/>
      <c r="O102" s="440"/>
      <c r="P102" s="441"/>
      <c r="Q102" s="442"/>
      <c r="R102" s="443"/>
      <c r="S102" s="445" t="str">
        <f>IF($I102="","",LET(n,COUNTIFS('Lớp 5 - Phân công'!$J$14:$J$262,$I102,'Lớp 5 - Phân công'!$AB$14:$AB$262,"&lt;&gt;Hủy"),child,IFERROR(MAXIFS('Lớp 5 - Phân công'!$AE$14:$AE$262,'Lớp 5 - Phân công'!$J$14:$J$262,$I102,'Lớp 5 - Phân công'!$AB$14:$AB$262,"&lt;&gt;Hủy",'Lớp 5 - Phân công'!$AE$14:$AE$262,"&gt;0"),0),plan,'Trung tâm nhập liệu'!Q210,emergent,LOWER(TRIM('Trung tâm nhập liệu'!O210))="khi phát sinh",IF(n=0,IF(emergent,"",plan),IF(child=0,IF(emergent,"",plan),IF(OR(emergent,plan=""),child,MAX(plan,child))))))</f>
        <v/>
      </c>
      <c r="T102" s="447" t="str">
        <f>IF($I102="","",LET(n,COUNTIFS('Lớp 5 - Phân công'!$J$14:$J$262,$I102,'Lớp 5 - Phân công'!$AB$14:$AB$262,"&lt;&gt;Hủy"),child,IFERROR(MINIFS('Lớp 5 - Phân công'!$AD$14:$AD$262,'Lớp 5 - Phân công'!$J$14:$J$262,$I102,'Lớp 5 - Phân công'!$AB$14:$AB$262,"&lt;&gt;Hủy",'Lớp 5 - Phân công'!$AD$14:$AD$262,"&gt;0"),0),plan,'Trung tâm nhập liệu'!R210,emergent,LOWER(TRIM('Trung tâm nhập liệu'!O210))="khi phát sinh",IF(n=0,IF(emergent,"",plan),IF(child=0,IF(emergent,"",plan),IF(OR(emergent,plan=""),child,MIN(plan,child))))))</f>
        <v/>
      </c>
      <c r="U102" s="432"/>
      <c r="V102" s="432"/>
      <c r="W102" s="432"/>
      <c r="X102" s="450"/>
      <c r="Y102" s="432"/>
      <c r="Z102" s="432"/>
      <c r="AA102" s="425"/>
      <c r="AB102" s="441"/>
      <c r="AC102" s="447"/>
      <c r="AD102" s="445"/>
      <c r="AE102" s="457"/>
      <c r="AF102" s="458"/>
      <c r="AG102" s="461"/>
      <c r="AH102" s="466"/>
      <c r="AI102" s="468"/>
      <c r="AJ102" s="477" t="str">
        <f>IF(AL102="Chưa xếp lịch","Chưa xếp lịch",IF(AL102="Định kỳ",IF(AM102="","Thiếu chu kỳ","Theo chu kỳ"),IF(AL102="Khi phát sinh",IF(COUNTIFS('Lớp 5 - Phân công'!$J$14:$J$262,$I102,'Lớp 5 - Phân công'!$AB$14:$AB$262,"&lt;&gt;Hủy")=0,"Khi phát sinh – chờ việc con","Khi phát sinh – theo ngày con"),IF(I102="","",LET(n,COUNTIFS('Lớp 5 - Phân công'!$J$14:$J$262,$I102,'Lớp 5 - Phân công'!$AB$14:$AB$262,"&lt;&gt;Hủy"),cs,IFERROR(MINIFS('Lớp 5 - Phân công'!$AD$14:$AD$262,'Lớp 5 - Phân công'!$J$14:$J$262,$I102,'Lớp 5 - Phân công'!$AB$14:$AB$262,"&lt;&gt;Hủy",'Lớp 5 - Phân công'!$AD$14:$AD$262,"&gt;0"),0),ce,IFERROR(MAXIFS('Lớp 5 - Phân công'!$AE$14:$AE$262,'Lớp 5 - Phân công'!$J$14:$J$262,$I102,'Lớp 5 - Phân công'!$AB$14:$AB$262,"&lt;&gt;Hủy",'Lớp 5 - Phân công'!$AE$14:$AE$262,"&gt;0"),0),ps,'Trung tâm nhập liệu'!R210,pe,'Trung tâm nhập liệu'!Q210,IF(OR(AC102="",AD102=""),"Thiếu ngày L4",IF(n=0,"Chưa có L5",IF(OR(cs=0,ce=0),"Thiếu ngày L5",IF(OR(ps="",pe=""),"Thiếu ngày kế hoạch gốc L4",IF(OR(cs&lt;ps,ce&gt;pe),"Cảnh báo: Con vượt khung kế hoạch gốc","L5 đúng khung kế hoạch gốc"))))))))))</f>
        <v/>
      </c>
      <c r="AK102" s="465"/>
      <c r="AL102" s="467"/>
      <c r="AM102" s="469"/>
      <c r="AN102" s="470"/>
      <c r="AO102" s="470"/>
      <c r="AP102" s="471"/>
      <c r="AQ102" s="469"/>
      <c r="AR102" s="475"/>
      <c r="AS102" s="476"/>
      <c r="AT102" s="478"/>
      <c r="AU102" s="465"/>
      <c r="AV102" s="465"/>
      <c r="AW102" s="479"/>
    </row>
    <row r="103" ht="15.75" customHeight="1">
      <c r="A103" s="424"/>
      <c r="B103" s="425"/>
      <c r="C103" s="427"/>
      <c r="D103" s="616"/>
      <c r="E103" s="567"/>
      <c r="F103" s="431"/>
      <c r="G103" s="431"/>
      <c r="H103" s="432"/>
      <c r="I103" s="434"/>
      <c r="J103" s="432"/>
      <c r="K103" s="436"/>
      <c r="L103" s="438"/>
      <c r="M103" s="439"/>
      <c r="N103" s="439"/>
      <c r="O103" s="440"/>
      <c r="P103" s="441"/>
      <c r="Q103" s="442"/>
      <c r="R103" s="443"/>
      <c r="S103" s="445" t="str">
        <f>IF($I103="","",LET(n,COUNTIFS('Lớp 5 - Phân công'!$J$14:$J$262,$I103,'Lớp 5 - Phân công'!$AB$14:$AB$262,"&lt;&gt;Hủy"),child,IFERROR(MAXIFS('Lớp 5 - Phân công'!$AE$14:$AE$262,'Lớp 5 - Phân công'!$J$14:$J$262,$I103,'Lớp 5 - Phân công'!$AB$14:$AB$262,"&lt;&gt;Hủy",'Lớp 5 - Phân công'!$AE$14:$AE$262,"&gt;0"),0),plan,'Trung tâm nhập liệu'!Q211,emergent,LOWER(TRIM('Trung tâm nhập liệu'!O211))="khi phát sinh",IF(n=0,IF(emergent,"",plan),IF(child=0,IF(emergent,"",plan),IF(OR(emergent,plan=""),child,MAX(plan,child))))))</f>
        <v/>
      </c>
      <c r="T103" s="447" t="str">
        <f>IF($I103="","",LET(n,COUNTIFS('Lớp 5 - Phân công'!$J$14:$J$262,$I103,'Lớp 5 - Phân công'!$AB$14:$AB$262,"&lt;&gt;Hủy"),child,IFERROR(MINIFS('Lớp 5 - Phân công'!$AD$14:$AD$262,'Lớp 5 - Phân công'!$J$14:$J$262,$I103,'Lớp 5 - Phân công'!$AB$14:$AB$262,"&lt;&gt;Hủy",'Lớp 5 - Phân công'!$AD$14:$AD$262,"&gt;0"),0),plan,'Trung tâm nhập liệu'!R211,emergent,LOWER(TRIM('Trung tâm nhập liệu'!O211))="khi phát sinh",IF(n=0,IF(emergent,"",plan),IF(child=0,IF(emergent,"",plan),IF(OR(emergent,plan=""),child,MIN(plan,child))))))</f>
        <v/>
      </c>
      <c r="U103" s="432"/>
      <c r="V103" s="432"/>
      <c r="W103" s="432"/>
      <c r="X103" s="450"/>
      <c r="Y103" s="432"/>
      <c r="Z103" s="432"/>
      <c r="AA103" s="425"/>
      <c r="AB103" s="441"/>
      <c r="AC103" s="447"/>
      <c r="AD103" s="445"/>
      <c r="AE103" s="457"/>
      <c r="AF103" s="458"/>
      <c r="AG103" s="461"/>
      <c r="AH103" s="466"/>
      <c r="AI103" s="468"/>
      <c r="AJ103" s="477" t="str">
        <f>IF(AL103="Chưa xếp lịch","Chưa xếp lịch",IF(AL103="Định kỳ",IF(AM103="","Thiếu chu kỳ","Theo chu kỳ"),IF(AL103="Khi phát sinh",IF(COUNTIFS('Lớp 5 - Phân công'!$J$14:$J$262,$I103,'Lớp 5 - Phân công'!$AB$14:$AB$262,"&lt;&gt;Hủy")=0,"Khi phát sinh – chờ việc con","Khi phát sinh – theo ngày con"),IF(I103="","",LET(n,COUNTIFS('Lớp 5 - Phân công'!$J$14:$J$262,$I103,'Lớp 5 - Phân công'!$AB$14:$AB$262,"&lt;&gt;Hủy"),cs,IFERROR(MINIFS('Lớp 5 - Phân công'!$AD$14:$AD$262,'Lớp 5 - Phân công'!$J$14:$J$262,$I103,'Lớp 5 - Phân công'!$AB$14:$AB$262,"&lt;&gt;Hủy",'Lớp 5 - Phân công'!$AD$14:$AD$262,"&gt;0"),0),ce,IFERROR(MAXIFS('Lớp 5 - Phân công'!$AE$14:$AE$262,'Lớp 5 - Phân công'!$J$14:$J$262,$I103,'Lớp 5 - Phân công'!$AB$14:$AB$262,"&lt;&gt;Hủy",'Lớp 5 - Phân công'!$AE$14:$AE$262,"&gt;0"),0),ps,'Trung tâm nhập liệu'!R211,pe,'Trung tâm nhập liệu'!Q211,IF(OR(AC103="",AD103=""),"Thiếu ngày L4",IF(n=0,"Chưa có L5",IF(OR(cs=0,ce=0),"Thiếu ngày L5",IF(OR(ps="",pe=""),"Thiếu ngày kế hoạch gốc L4",IF(OR(cs&lt;ps,ce&gt;pe),"Cảnh báo: Con vượt khung kế hoạch gốc","L5 đúng khung kế hoạch gốc"))))))))))</f>
        <v/>
      </c>
      <c r="AK103" s="465"/>
      <c r="AL103" s="467"/>
      <c r="AM103" s="469"/>
      <c r="AN103" s="470"/>
      <c r="AO103" s="470"/>
      <c r="AP103" s="471"/>
      <c r="AQ103" s="469"/>
      <c r="AR103" s="475"/>
      <c r="AS103" s="476"/>
      <c r="AT103" s="478"/>
      <c r="AU103" s="465"/>
      <c r="AV103" s="465"/>
      <c r="AW103" s="479"/>
    </row>
    <row r="104" ht="15.75" customHeight="1">
      <c r="A104" s="424"/>
      <c r="B104" s="425"/>
      <c r="C104" s="427"/>
      <c r="D104" s="616"/>
      <c r="E104" s="567"/>
      <c r="F104" s="431"/>
      <c r="G104" s="431"/>
      <c r="H104" s="432"/>
      <c r="I104" s="434"/>
      <c r="J104" s="432"/>
      <c r="K104" s="436"/>
      <c r="L104" s="438"/>
      <c r="M104" s="439"/>
      <c r="N104" s="439"/>
      <c r="O104" s="440"/>
      <c r="P104" s="441"/>
      <c r="Q104" s="442"/>
      <c r="R104" s="443"/>
      <c r="S104" s="445" t="str">
        <f>IF($I104="","",LET(n,COUNTIFS('Lớp 5 - Phân công'!$J$14:$J$262,$I104,'Lớp 5 - Phân công'!$AB$14:$AB$262,"&lt;&gt;Hủy"),child,IFERROR(MAXIFS('Lớp 5 - Phân công'!$AE$14:$AE$262,'Lớp 5 - Phân công'!$J$14:$J$262,$I104,'Lớp 5 - Phân công'!$AB$14:$AB$262,"&lt;&gt;Hủy",'Lớp 5 - Phân công'!$AE$14:$AE$262,"&gt;0"),0),plan,'Trung tâm nhập liệu'!Q212,emergent,LOWER(TRIM('Trung tâm nhập liệu'!O212))="khi phát sinh",IF(n=0,IF(emergent,"",plan),IF(child=0,IF(emergent,"",plan),IF(OR(emergent,plan=""),child,MAX(plan,child))))))</f>
        <v/>
      </c>
      <c r="T104" s="447" t="str">
        <f>IF($I104="","",LET(n,COUNTIFS('Lớp 5 - Phân công'!$J$14:$J$262,$I104,'Lớp 5 - Phân công'!$AB$14:$AB$262,"&lt;&gt;Hủy"),child,IFERROR(MINIFS('Lớp 5 - Phân công'!$AD$14:$AD$262,'Lớp 5 - Phân công'!$J$14:$J$262,$I104,'Lớp 5 - Phân công'!$AB$14:$AB$262,"&lt;&gt;Hủy",'Lớp 5 - Phân công'!$AD$14:$AD$262,"&gt;0"),0),plan,'Trung tâm nhập liệu'!R212,emergent,LOWER(TRIM('Trung tâm nhập liệu'!O212))="khi phát sinh",IF(n=0,IF(emergent,"",plan),IF(child=0,IF(emergent,"",plan),IF(OR(emergent,plan=""),child,MIN(plan,child))))))</f>
        <v/>
      </c>
      <c r="U104" s="432"/>
      <c r="V104" s="432"/>
      <c r="W104" s="432"/>
      <c r="X104" s="450"/>
      <c r="Y104" s="432"/>
      <c r="Z104" s="432"/>
      <c r="AA104" s="425"/>
      <c r="AB104" s="441"/>
      <c r="AC104" s="447"/>
      <c r="AD104" s="445"/>
      <c r="AE104" s="457"/>
      <c r="AF104" s="458"/>
      <c r="AG104" s="461"/>
      <c r="AH104" s="466"/>
      <c r="AI104" s="468"/>
      <c r="AJ104" s="477" t="str">
        <f>IF(AL104="Chưa xếp lịch","Chưa xếp lịch",IF(AL104="Định kỳ",IF(AM104="","Thiếu chu kỳ","Theo chu kỳ"),IF(AL104="Khi phát sinh",IF(COUNTIFS('Lớp 5 - Phân công'!$J$14:$J$262,$I104,'Lớp 5 - Phân công'!$AB$14:$AB$262,"&lt;&gt;Hủy")=0,"Khi phát sinh – chờ việc con","Khi phát sinh – theo ngày con"),IF(I104="","",LET(n,COUNTIFS('Lớp 5 - Phân công'!$J$14:$J$262,$I104,'Lớp 5 - Phân công'!$AB$14:$AB$262,"&lt;&gt;Hủy"),cs,IFERROR(MINIFS('Lớp 5 - Phân công'!$AD$14:$AD$262,'Lớp 5 - Phân công'!$J$14:$J$262,$I104,'Lớp 5 - Phân công'!$AB$14:$AB$262,"&lt;&gt;Hủy",'Lớp 5 - Phân công'!$AD$14:$AD$262,"&gt;0"),0),ce,IFERROR(MAXIFS('Lớp 5 - Phân công'!$AE$14:$AE$262,'Lớp 5 - Phân công'!$J$14:$J$262,$I104,'Lớp 5 - Phân công'!$AB$14:$AB$262,"&lt;&gt;Hủy",'Lớp 5 - Phân công'!$AE$14:$AE$262,"&gt;0"),0),ps,'Trung tâm nhập liệu'!R212,pe,'Trung tâm nhập liệu'!Q212,IF(OR(AC104="",AD104=""),"Thiếu ngày L4",IF(n=0,"Chưa có L5",IF(OR(cs=0,ce=0),"Thiếu ngày L5",IF(OR(ps="",pe=""),"Thiếu ngày kế hoạch gốc L4",IF(OR(cs&lt;ps,ce&gt;pe),"Cảnh báo: Con vượt khung kế hoạch gốc","L5 đúng khung kế hoạch gốc"))))))))))</f>
        <v/>
      </c>
      <c r="AK104" s="465"/>
      <c r="AL104" s="467"/>
      <c r="AM104" s="469"/>
      <c r="AN104" s="470"/>
      <c r="AO104" s="470"/>
      <c r="AP104" s="471"/>
      <c r="AQ104" s="469"/>
      <c r="AR104" s="475"/>
      <c r="AS104" s="476"/>
      <c r="AT104" s="478"/>
      <c r="AU104" s="465"/>
      <c r="AV104" s="465"/>
      <c r="AW104" s="479"/>
    </row>
    <row r="105" ht="15.75" customHeight="1">
      <c r="A105" s="424"/>
      <c r="B105" s="425"/>
      <c r="C105" s="427"/>
      <c r="D105" s="616"/>
      <c r="E105" s="567"/>
      <c r="F105" s="431"/>
      <c r="G105" s="431"/>
      <c r="H105" s="432"/>
      <c r="I105" s="434"/>
      <c r="J105" s="432"/>
      <c r="K105" s="436"/>
      <c r="L105" s="438"/>
      <c r="M105" s="439"/>
      <c r="N105" s="439"/>
      <c r="O105" s="440"/>
      <c r="P105" s="441"/>
      <c r="Q105" s="442"/>
      <c r="R105" s="443"/>
      <c r="S105" s="445" t="str">
        <f>IF($I105="","",LET(n,COUNTIFS('Lớp 5 - Phân công'!$J$14:$J$262,$I105,'Lớp 5 - Phân công'!$AB$14:$AB$262,"&lt;&gt;Hủy"),child,IFERROR(MAXIFS('Lớp 5 - Phân công'!$AE$14:$AE$262,'Lớp 5 - Phân công'!$J$14:$J$262,$I105,'Lớp 5 - Phân công'!$AB$14:$AB$262,"&lt;&gt;Hủy",'Lớp 5 - Phân công'!$AE$14:$AE$262,"&gt;0"),0),plan,'Trung tâm nhập liệu'!Q213,emergent,LOWER(TRIM('Trung tâm nhập liệu'!O213))="khi phát sinh",IF(n=0,IF(emergent,"",plan),IF(child=0,IF(emergent,"",plan),IF(OR(emergent,plan=""),child,MAX(plan,child))))))</f>
        <v/>
      </c>
      <c r="T105" s="447" t="str">
        <f>IF($I105="","",LET(n,COUNTIFS('Lớp 5 - Phân công'!$J$14:$J$262,$I105,'Lớp 5 - Phân công'!$AB$14:$AB$262,"&lt;&gt;Hủy"),child,IFERROR(MINIFS('Lớp 5 - Phân công'!$AD$14:$AD$262,'Lớp 5 - Phân công'!$J$14:$J$262,$I105,'Lớp 5 - Phân công'!$AB$14:$AB$262,"&lt;&gt;Hủy",'Lớp 5 - Phân công'!$AD$14:$AD$262,"&gt;0"),0),plan,'Trung tâm nhập liệu'!R213,emergent,LOWER(TRIM('Trung tâm nhập liệu'!O213))="khi phát sinh",IF(n=0,IF(emergent,"",plan),IF(child=0,IF(emergent,"",plan),IF(OR(emergent,plan=""),child,MIN(plan,child))))))</f>
        <v/>
      </c>
      <c r="U105" s="432"/>
      <c r="V105" s="432"/>
      <c r="W105" s="432"/>
      <c r="X105" s="450"/>
      <c r="Y105" s="432"/>
      <c r="Z105" s="432"/>
      <c r="AA105" s="425"/>
      <c r="AB105" s="441"/>
      <c r="AC105" s="447"/>
      <c r="AD105" s="445"/>
      <c r="AE105" s="457"/>
      <c r="AF105" s="458"/>
      <c r="AG105" s="461"/>
      <c r="AH105" s="466"/>
      <c r="AI105" s="468"/>
      <c r="AJ105" s="477" t="str">
        <f>IF(AL105="Chưa xếp lịch","Chưa xếp lịch",IF(AL105="Định kỳ",IF(AM105="","Thiếu chu kỳ","Theo chu kỳ"),IF(AL105="Khi phát sinh",IF(COUNTIFS('Lớp 5 - Phân công'!$J$14:$J$262,$I105,'Lớp 5 - Phân công'!$AB$14:$AB$262,"&lt;&gt;Hủy")=0,"Khi phát sinh – chờ việc con","Khi phát sinh – theo ngày con"),IF(I105="","",LET(n,COUNTIFS('Lớp 5 - Phân công'!$J$14:$J$262,$I105,'Lớp 5 - Phân công'!$AB$14:$AB$262,"&lt;&gt;Hủy"),cs,IFERROR(MINIFS('Lớp 5 - Phân công'!$AD$14:$AD$262,'Lớp 5 - Phân công'!$J$14:$J$262,$I105,'Lớp 5 - Phân công'!$AB$14:$AB$262,"&lt;&gt;Hủy",'Lớp 5 - Phân công'!$AD$14:$AD$262,"&gt;0"),0),ce,IFERROR(MAXIFS('Lớp 5 - Phân công'!$AE$14:$AE$262,'Lớp 5 - Phân công'!$J$14:$J$262,$I105,'Lớp 5 - Phân công'!$AB$14:$AB$262,"&lt;&gt;Hủy",'Lớp 5 - Phân công'!$AE$14:$AE$262,"&gt;0"),0),ps,'Trung tâm nhập liệu'!R213,pe,'Trung tâm nhập liệu'!Q213,IF(OR(AC105="",AD105=""),"Thiếu ngày L4",IF(n=0,"Chưa có L5",IF(OR(cs=0,ce=0),"Thiếu ngày L5",IF(OR(ps="",pe=""),"Thiếu ngày kế hoạch gốc L4",IF(OR(cs&lt;ps,ce&gt;pe),"Cảnh báo: Con vượt khung kế hoạch gốc","L5 đúng khung kế hoạch gốc"))))))))))</f>
        <v/>
      </c>
      <c r="AK105" s="465"/>
      <c r="AL105" s="467"/>
      <c r="AM105" s="469"/>
      <c r="AN105" s="470"/>
      <c r="AO105" s="470"/>
      <c r="AP105" s="471"/>
      <c r="AQ105" s="469"/>
      <c r="AR105" s="475"/>
      <c r="AS105" s="476"/>
      <c r="AT105" s="478"/>
      <c r="AU105" s="465"/>
      <c r="AV105" s="465"/>
      <c r="AW105" s="479"/>
    </row>
    <row r="106" ht="15.75" customHeight="1">
      <c r="A106" s="424"/>
      <c r="B106" s="425"/>
      <c r="C106" s="427"/>
      <c r="D106" s="616"/>
      <c r="E106" s="567"/>
      <c r="F106" s="431"/>
      <c r="G106" s="431"/>
      <c r="H106" s="432"/>
      <c r="I106" s="434"/>
      <c r="J106" s="432"/>
      <c r="K106" s="436"/>
      <c r="L106" s="438"/>
      <c r="M106" s="439"/>
      <c r="N106" s="439"/>
      <c r="O106" s="440"/>
      <c r="P106" s="441"/>
      <c r="Q106" s="442"/>
      <c r="R106" s="443"/>
      <c r="S106" s="445" t="str">
        <f>IF($I106="","",LET(n,COUNTIFS('Lớp 5 - Phân công'!$J$14:$J$262,$I106,'Lớp 5 - Phân công'!$AB$14:$AB$262,"&lt;&gt;Hủy"),child,IFERROR(MAXIFS('Lớp 5 - Phân công'!$AE$14:$AE$262,'Lớp 5 - Phân công'!$J$14:$J$262,$I106,'Lớp 5 - Phân công'!$AB$14:$AB$262,"&lt;&gt;Hủy",'Lớp 5 - Phân công'!$AE$14:$AE$262,"&gt;0"),0),plan,'Trung tâm nhập liệu'!Q214,emergent,LOWER(TRIM('Trung tâm nhập liệu'!O214))="khi phát sinh",IF(n=0,IF(emergent,"",plan),IF(child=0,IF(emergent,"",plan),IF(OR(emergent,plan=""),child,MAX(plan,child))))))</f>
        <v/>
      </c>
      <c r="T106" s="447" t="str">
        <f>IF($I106="","",LET(n,COUNTIFS('Lớp 5 - Phân công'!$J$14:$J$262,$I106,'Lớp 5 - Phân công'!$AB$14:$AB$262,"&lt;&gt;Hủy"),child,IFERROR(MINIFS('Lớp 5 - Phân công'!$AD$14:$AD$262,'Lớp 5 - Phân công'!$J$14:$J$262,$I106,'Lớp 5 - Phân công'!$AB$14:$AB$262,"&lt;&gt;Hủy",'Lớp 5 - Phân công'!$AD$14:$AD$262,"&gt;0"),0),plan,'Trung tâm nhập liệu'!R214,emergent,LOWER(TRIM('Trung tâm nhập liệu'!O214))="khi phát sinh",IF(n=0,IF(emergent,"",plan),IF(child=0,IF(emergent,"",plan),IF(OR(emergent,plan=""),child,MIN(plan,child))))))</f>
        <v/>
      </c>
      <c r="U106" s="432"/>
      <c r="V106" s="432"/>
      <c r="W106" s="432"/>
      <c r="X106" s="450"/>
      <c r="Y106" s="432"/>
      <c r="Z106" s="432"/>
      <c r="AA106" s="425"/>
      <c r="AB106" s="441"/>
      <c r="AC106" s="447"/>
      <c r="AD106" s="445"/>
      <c r="AE106" s="457"/>
      <c r="AF106" s="458"/>
      <c r="AG106" s="461"/>
      <c r="AH106" s="466"/>
      <c r="AI106" s="468"/>
      <c r="AJ106" s="477" t="str">
        <f>IF(AL106="Chưa xếp lịch","Chưa xếp lịch",IF(AL106="Định kỳ",IF(AM106="","Thiếu chu kỳ","Theo chu kỳ"),IF(AL106="Khi phát sinh",IF(COUNTIFS('Lớp 5 - Phân công'!$J$14:$J$262,$I106,'Lớp 5 - Phân công'!$AB$14:$AB$262,"&lt;&gt;Hủy")=0,"Khi phát sinh – chờ việc con","Khi phát sinh – theo ngày con"),IF(I106="","",LET(n,COUNTIFS('Lớp 5 - Phân công'!$J$14:$J$262,$I106,'Lớp 5 - Phân công'!$AB$14:$AB$262,"&lt;&gt;Hủy"),cs,IFERROR(MINIFS('Lớp 5 - Phân công'!$AD$14:$AD$262,'Lớp 5 - Phân công'!$J$14:$J$262,$I106,'Lớp 5 - Phân công'!$AB$14:$AB$262,"&lt;&gt;Hủy",'Lớp 5 - Phân công'!$AD$14:$AD$262,"&gt;0"),0),ce,IFERROR(MAXIFS('Lớp 5 - Phân công'!$AE$14:$AE$262,'Lớp 5 - Phân công'!$J$14:$J$262,$I106,'Lớp 5 - Phân công'!$AB$14:$AB$262,"&lt;&gt;Hủy",'Lớp 5 - Phân công'!$AE$14:$AE$262,"&gt;0"),0),ps,'Trung tâm nhập liệu'!R214,pe,'Trung tâm nhập liệu'!Q214,IF(OR(AC106="",AD106=""),"Thiếu ngày L4",IF(n=0,"Chưa có L5",IF(OR(cs=0,ce=0),"Thiếu ngày L5",IF(OR(ps="",pe=""),"Thiếu ngày kế hoạch gốc L4",IF(OR(cs&lt;ps,ce&gt;pe),"Cảnh báo: Con vượt khung kế hoạch gốc","L5 đúng khung kế hoạch gốc"))))))))))</f>
        <v/>
      </c>
      <c r="AK106" s="465"/>
      <c r="AL106" s="467"/>
      <c r="AM106" s="469"/>
      <c r="AN106" s="470"/>
      <c r="AO106" s="470"/>
      <c r="AP106" s="471"/>
      <c r="AQ106" s="469"/>
      <c r="AR106" s="475"/>
      <c r="AS106" s="476"/>
      <c r="AT106" s="478"/>
      <c r="AU106" s="465"/>
      <c r="AV106" s="465"/>
      <c r="AW106" s="479"/>
    </row>
    <row r="107" ht="15.75" customHeight="1">
      <c r="A107" s="424"/>
      <c r="B107" s="425"/>
      <c r="C107" s="427"/>
      <c r="D107" s="616"/>
      <c r="E107" s="567"/>
      <c r="F107" s="431"/>
      <c r="G107" s="431"/>
      <c r="H107" s="432"/>
      <c r="I107" s="434"/>
      <c r="J107" s="432"/>
      <c r="K107" s="436"/>
      <c r="L107" s="438"/>
      <c r="M107" s="439"/>
      <c r="N107" s="439"/>
      <c r="O107" s="440"/>
      <c r="P107" s="441"/>
      <c r="Q107" s="442"/>
      <c r="R107" s="443"/>
      <c r="S107" s="445" t="str">
        <f>IF($I107="","",LET(n,COUNTIFS('Lớp 5 - Phân công'!$J$14:$J$262,$I107,'Lớp 5 - Phân công'!$AB$14:$AB$262,"&lt;&gt;Hủy"),child,IFERROR(MAXIFS('Lớp 5 - Phân công'!$AE$14:$AE$262,'Lớp 5 - Phân công'!$J$14:$J$262,$I107,'Lớp 5 - Phân công'!$AB$14:$AB$262,"&lt;&gt;Hủy",'Lớp 5 - Phân công'!$AE$14:$AE$262,"&gt;0"),0),plan,'Trung tâm nhập liệu'!Q215,emergent,LOWER(TRIM('Trung tâm nhập liệu'!O215))="khi phát sinh",IF(n=0,IF(emergent,"",plan),IF(child=0,IF(emergent,"",plan),IF(OR(emergent,plan=""),child,MAX(plan,child))))))</f>
        <v/>
      </c>
      <c r="T107" s="447" t="str">
        <f>IF($I107="","",LET(n,COUNTIFS('Lớp 5 - Phân công'!$J$14:$J$262,$I107,'Lớp 5 - Phân công'!$AB$14:$AB$262,"&lt;&gt;Hủy"),child,IFERROR(MINIFS('Lớp 5 - Phân công'!$AD$14:$AD$262,'Lớp 5 - Phân công'!$J$14:$J$262,$I107,'Lớp 5 - Phân công'!$AB$14:$AB$262,"&lt;&gt;Hủy",'Lớp 5 - Phân công'!$AD$14:$AD$262,"&gt;0"),0),plan,'Trung tâm nhập liệu'!R215,emergent,LOWER(TRIM('Trung tâm nhập liệu'!O215))="khi phát sinh",IF(n=0,IF(emergent,"",plan),IF(child=0,IF(emergent,"",plan),IF(OR(emergent,plan=""),child,MIN(plan,child))))))</f>
        <v/>
      </c>
      <c r="U107" s="432"/>
      <c r="V107" s="432"/>
      <c r="W107" s="432"/>
      <c r="X107" s="450"/>
      <c r="Y107" s="432"/>
      <c r="Z107" s="432"/>
      <c r="AA107" s="425"/>
      <c r="AB107" s="441"/>
      <c r="AC107" s="447"/>
      <c r="AD107" s="445"/>
      <c r="AE107" s="457"/>
      <c r="AF107" s="458"/>
      <c r="AG107" s="461"/>
      <c r="AH107" s="466"/>
      <c r="AI107" s="468"/>
      <c r="AJ107" s="477" t="str">
        <f>IF(AL107="Chưa xếp lịch","Chưa xếp lịch",IF(AL107="Định kỳ",IF(AM107="","Thiếu chu kỳ","Theo chu kỳ"),IF(AL107="Khi phát sinh",IF(COUNTIFS('Lớp 5 - Phân công'!$J$14:$J$262,$I107,'Lớp 5 - Phân công'!$AB$14:$AB$262,"&lt;&gt;Hủy")=0,"Khi phát sinh – chờ việc con","Khi phát sinh – theo ngày con"),IF(I107="","",LET(n,COUNTIFS('Lớp 5 - Phân công'!$J$14:$J$262,$I107,'Lớp 5 - Phân công'!$AB$14:$AB$262,"&lt;&gt;Hủy"),cs,IFERROR(MINIFS('Lớp 5 - Phân công'!$AD$14:$AD$262,'Lớp 5 - Phân công'!$J$14:$J$262,$I107,'Lớp 5 - Phân công'!$AB$14:$AB$262,"&lt;&gt;Hủy",'Lớp 5 - Phân công'!$AD$14:$AD$262,"&gt;0"),0),ce,IFERROR(MAXIFS('Lớp 5 - Phân công'!$AE$14:$AE$262,'Lớp 5 - Phân công'!$J$14:$J$262,$I107,'Lớp 5 - Phân công'!$AB$14:$AB$262,"&lt;&gt;Hủy",'Lớp 5 - Phân công'!$AE$14:$AE$262,"&gt;0"),0),ps,'Trung tâm nhập liệu'!R215,pe,'Trung tâm nhập liệu'!Q215,IF(OR(AC107="",AD107=""),"Thiếu ngày L4",IF(n=0,"Chưa có L5",IF(OR(cs=0,ce=0),"Thiếu ngày L5",IF(OR(ps="",pe=""),"Thiếu ngày kế hoạch gốc L4",IF(OR(cs&lt;ps,ce&gt;pe),"Cảnh báo: Con vượt khung kế hoạch gốc","L5 đúng khung kế hoạch gốc"))))))))))</f>
        <v/>
      </c>
      <c r="AK107" s="465"/>
      <c r="AL107" s="467"/>
      <c r="AM107" s="469"/>
      <c r="AN107" s="470"/>
      <c r="AO107" s="470"/>
      <c r="AP107" s="471"/>
      <c r="AQ107" s="469"/>
      <c r="AR107" s="475"/>
      <c r="AS107" s="476"/>
      <c r="AT107" s="478"/>
      <c r="AU107" s="465"/>
      <c r="AV107" s="465"/>
      <c r="AW107" s="479"/>
    </row>
    <row r="108" ht="15.75" customHeight="1">
      <c r="A108" s="424"/>
      <c r="B108" s="425"/>
      <c r="C108" s="427"/>
      <c r="D108" s="616"/>
      <c r="E108" s="567"/>
      <c r="F108" s="431"/>
      <c r="G108" s="431"/>
      <c r="H108" s="432"/>
      <c r="I108" s="434"/>
      <c r="J108" s="432"/>
      <c r="K108" s="436"/>
      <c r="L108" s="438"/>
      <c r="M108" s="439"/>
      <c r="N108" s="439"/>
      <c r="O108" s="440"/>
      <c r="P108" s="441"/>
      <c r="Q108" s="442"/>
      <c r="R108" s="443"/>
      <c r="S108" s="445" t="str">
        <f>IF($I108="","",LET(n,COUNTIFS('Lớp 5 - Phân công'!$J$14:$J$262,$I108,'Lớp 5 - Phân công'!$AB$14:$AB$262,"&lt;&gt;Hủy"),child,IFERROR(MAXIFS('Lớp 5 - Phân công'!$AE$14:$AE$262,'Lớp 5 - Phân công'!$J$14:$J$262,$I108,'Lớp 5 - Phân công'!$AB$14:$AB$262,"&lt;&gt;Hủy",'Lớp 5 - Phân công'!$AE$14:$AE$262,"&gt;0"),0),plan,'Trung tâm nhập liệu'!Q216,emergent,LOWER(TRIM('Trung tâm nhập liệu'!O216))="khi phát sinh",IF(n=0,IF(emergent,"",plan),IF(child=0,IF(emergent,"",plan),IF(OR(emergent,plan=""),child,MAX(plan,child))))))</f>
        <v/>
      </c>
      <c r="T108" s="447" t="str">
        <f>IF($I108="","",LET(n,COUNTIFS('Lớp 5 - Phân công'!$J$14:$J$262,$I108,'Lớp 5 - Phân công'!$AB$14:$AB$262,"&lt;&gt;Hủy"),child,IFERROR(MINIFS('Lớp 5 - Phân công'!$AD$14:$AD$262,'Lớp 5 - Phân công'!$J$14:$J$262,$I108,'Lớp 5 - Phân công'!$AB$14:$AB$262,"&lt;&gt;Hủy",'Lớp 5 - Phân công'!$AD$14:$AD$262,"&gt;0"),0),plan,'Trung tâm nhập liệu'!R216,emergent,LOWER(TRIM('Trung tâm nhập liệu'!O216))="khi phát sinh",IF(n=0,IF(emergent,"",plan),IF(child=0,IF(emergent,"",plan),IF(OR(emergent,plan=""),child,MIN(plan,child))))))</f>
        <v/>
      </c>
      <c r="U108" s="432"/>
      <c r="V108" s="432"/>
      <c r="W108" s="432"/>
      <c r="X108" s="450"/>
      <c r="Y108" s="432"/>
      <c r="Z108" s="432"/>
      <c r="AA108" s="425"/>
      <c r="AB108" s="441"/>
      <c r="AC108" s="447"/>
      <c r="AD108" s="445"/>
      <c r="AE108" s="457"/>
      <c r="AF108" s="458"/>
      <c r="AG108" s="461"/>
      <c r="AH108" s="466"/>
      <c r="AI108" s="468"/>
      <c r="AJ108" s="477" t="str">
        <f>IF(AL108="Chưa xếp lịch","Chưa xếp lịch",IF(AL108="Định kỳ",IF(AM108="","Thiếu chu kỳ","Theo chu kỳ"),IF(AL108="Khi phát sinh",IF(COUNTIFS('Lớp 5 - Phân công'!$J$14:$J$262,$I108,'Lớp 5 - Phân công'!$AB$14:$AB$262,"&lt;&gt;Hủy")=0,"Khi phát sinh – chờ việc con","Khi phát sinh – theo ngày con"),IF(I108="","",LET(n,COUNTIFS('Lớp 5 - Phân công'!$J$14:$J$262,$I108,'Lớp 5 - Phân công'!$AB$14:$AB$262,"&lt;&gt;Hủy"),cs,IFERROR(MINIFS('Lớp 5 - Phân công'!$AD$14:$AD$262,'Lớp 5 - Phân công'!$J$14:$J$262,$I108,'Lớp 5 - Phân công'!$AB$14:$AB$262,"&lt;&gt;Hủy",'Lớp 5 - Phân công'!$AD$14:$AD$262,"&gt;0"),0),ce,IFERROR(MAXIFS('Lớp 5 - Phân công'!$AE$14:$AE$262,'Lớp 5 - Phân công'!$J$14:$J$262,$I108,'Lớp 5 - Phân công'!$AB$14:$AB$262,"&lt;&gt;Hủy",'Lớp 5 - Phân công'!$AE$14:$AE$262,"&gt;0"),0),ps,'Trung tâm nhập liệu'!R216,pe,'Trung tâm nhập liệu'!Q216,IF(OR(AC108="",AD108=""),"Thiếu ngày L4",IF(n=0,"Chưa có L5",IF(OR(cs=0,ce=0),"Thiếu ngày L5",IF(OR(ps="",pe=""),"Thiếu ngày kế hoạch gốc L4",IF(OR(cs&lt;ps,ce&gt;pe),"Cảnh báo: Con vượt khung kế hoạch gốc","L5 đúng khung kế hoạch gốc"))))))))))</f>
        <v/>
      </c>
      <c r="AK108" s="465"/>
      <c r="AL108" s="467"/>
      <c r="AM108" s="469"/>
      <c r="AN108" s="470"/>
      <c r="AO108" s="470"/>
      <c r="AP108" s="471"/>
      <c r="AQ108" s="469"/>
      <c r="AR108" s="475"/>
      <c r="AS108" s="476"/>
      <c r="AT108" s="478"/>
      <c r="AU108" s="465"/>
      <c r="AV108" s="465"/>
      <c r="AW108" s="479"/>
    </row>
    <row r="109" ht="15.75" customHeight="1">
      <c r="A109" s="424"/>
      <c r="B109" s="425"/>
      <c r="C109" s="427"/>
      <c r="D109" s="616"/>
      <c r="E109" s="567"/>
      <c r="F109" s="431"/>
      <c r="G109" s="431"/>
      <c r="H109" s="432"/>
      <c r="I109" s="434"/>
      <c r="J109" s="432"/>
      <c r="K109" s="436"/>
      <c r="L109" s="438"/>
      <c r="M109" s="439"/>
      <c r="N109" s="439"/>
      <c r="O109" s="440"/>
      <c r="P109" s="441"/>
      <c r="Q109" s="442"/>
      <c r="R109" s="443"/>
      <c r="S109" s="445" t="str">
        <f>IF($I109="","",LET(n,COUNTIFS('Lớp 5 - Phân công'!$J$14:$J$262,$I109,'Lớp 5 - Phân công'!$AB$14:$AB$262,"&lt;&gt;Hủy"),child,IFERROR(MAXIFS('Lớp 5 - Phân công'!$AE$14:$AE$262,'Lớp 5 - Phân công'!$J$14:$J$262,$I109,'Lớp 5 - Phân công'!$AB$14:$AB$262,"&lt;&gt;Hủy",'Lớp 5 - Phân công'!$AE$14:$AE$262,"&gt;0"),0),plan,'Trung tâm nhập liệu'!Q217,emergent,LOWER(TRIM('Trung tâm nhập liệu'!O217))="khi phát sinh",IF(n=0,IF(emergent,"",plan),IF(child=0,IF(emergent,"",plan),IF(OR(emergent,plan=""),child,MAX(plan,child))))))</f>
        <v/>
      </c>
      <c r="T109" s="447" t="str">
        <f>IF($I109="","",LET(n,COUNTIFS('Lớp 5 - Phân công'!$J$14:$J$262,$I109,'Lớp 5 - Phân công'!$AB$14:$AB$262,"&lt;&gt;Hủy"),child,IFERROR(MINIFS('Lớp 5 - Phân công'!$AD$14:$AD$262,'Lớp 5 - Phân công'!$J$14:$J$262,$I109,'Lớp 5 - Phân công'!$AB$14:$AB$262,"&lt;&gt;Hủy",'Lớp 5 - Phân công'!$AD$14:$AD$262,"&gt;0"),0),plan,'Trung tâm nhập liệu'!R217,emergent,LOWER(TRIM('Trung tâm nhập liệu'!O217))="khi phát sinh",IF(n=0,IF(emergent,"",plan),IF(child=0,IF(emergent,"",plan),IF(OR(emergent,plan=""),child,MIN(plan,child))))))</f>
        <v/>
      </c>
      <c r="U109" s="432"/>
      <c r="V109" s="432"/>
      <c r="W109" s="432"/>
      <c r="X109" s="450"/>
      <c r="Y109" s="432"/>
      <c r="Z109" s="432"/>
      <c r="AA109" s="425"/>
      <c r="AB109" s="441"/>
      <c r="AC109" s="447"/>
      <c r="AD109" s="445"/>
      <c r="AE109" s="457"/>
      <c r="AF109" s="458"/>
      <c r="AG109" s="461"/>
      <c r="AH109" s="466"/>
      <c r="AI109" s="468"/>
      <c r="AJ109" s="477" t="str">
        <f>IF(AL109="Chưa xếp lịch","Chưa xếp lịch",IF(AL109="Định kỳ",IF(AM109="","Thiếu chu kỳ","Theo chu kỳ"),IF(AL109="Khi phát sinh",IF(COUNTIFS('Lớp 5 - Phân công'!$J$14:$J$262,$I109,'Lớp 5 - Phân công'!$AB$14:$AB$262,"&lt;&gt;Hủy")=0,"Khi phát sinh – chờ việc con","Khi phát sinh – theo ngày con"),IF(I109="","",LET(n,COUNTIFS('Lớp 5 - Phân công'!$J$14:$J$262,$I109,'Lớp 5 - Phân công'!$AB$14:$AB$262,"&lt;&gt;Hủy"),cs,IFERROR(MINIFS('Lớp 5 - Phân công'!$AD$14:$AD$262,'Lớp 5 - Phân công'!$J$14:$J$262,$I109,'Lớp 5 - Phân công'!$AB$14:$AB$262,"&lt;&gt;Hủy",'Lớp 5 - Phân công'!$AD$14:$AD$262,"&gt;0"),0),ce,IFERROR(MAXIFS('Lớp 5 - Phân công'!$AE$14:$AE$262,'Lớp 5 - Phân công'!$J$14:$J$262,$I109,'Lớp 5 - Phân công'!$AB$14:$AB$262,"&lt;&gt;Hủy",'Lớp 5 - Phân công'!$AE$14:$AE$262,"&gt;0"),0),ps,'Trung tâm nhập liệu'!R217,pe,'Trung tâm nhập liệu'!Q217,IF(OR(AC109="",AD109=""),"Thiếu ngày L4",IF(n=0,"Chưa có L5",IF(OR(cs=0,ce=0),"Thiếu ngày L5",IF(OR(ps="",pe=""),"Thiếu ngày kế hoạch gốc L4",IF(OR(cs&lt;ps,ce&gt;pe),"Cảnh báo: Con vượt khung kế hoạch gốc","L5 đúng khung kế hoạch gốc"))))))))))</f>
        <v/>
      </c>
      <c r="AK109" s="465"/>
      <c r="AL109" s="467"/>
      <c r="AM109" s="469"/>
      <c r="AN109" s="470"/>
      <c r="AO109" s="470"/>
      <c r="AP109" s="471"/>
      <c r="AQ109" s="469"/>
      <c r="AR109" s="475"/>
      <c r="AS109" s="476"/>
      <c r="AT109" s="478"/>
      <c r="AU109" s="465"/>
      <c r="AV109" s="465"/>
      <c r="AW109" s="479"/>
    </row>
    <row r="110" ht="15.75" customHeight="1">
      <c r="A110" s="424"/>
      <c r="B110" s="425"/>
      <c r="C110" s="427"/>
      <c r="D110" s="616"/>
      <c r="E110" s="567"/>
      <c r="F110" s="431"/>
      <c r="G110" s="431"/>
      <c r="H110" s="432"/>
      <c r="I110" s="434"/>
      <c r="J110" s="432"/>
      <c r="K110" s="436"/>
      <c r="L110" s="438"/>
      <c r="M110" s="439"/>
      <c r="N110" s="439"/>
      <c r="O110" s="440"/>
      <c r="P110" s="441"/>
      <c r="Q110" s="442"/>
      <c r="R110" s="443"/>
      <c r="S110" s="445" t="str">
        <f>IF($I110="","",LET(n,COUNTIFS('Lớp 5 - Phân công'!$J$14:$J$262,$I110,'Lớp 5 - Phân công'!$AB$14:$AB$262,"&lt;&gt;Hủy"),child,IFERROR(MAXIFS('Lớp 5 - Phân công'!$AE$14:$AE$262,'Lớp 5 - Phân công'!$J$14:$J$262,$I110,'Lớp 5 - Phân công'!$AB$14:$AB$262,"&lt;&gt;Hủy",'Lớp 5 - Phân công'!$AE$14:$AE$262,"&gt;0"),0),plan,'Trung tâm nhập liệu'!Q218,emergent,LOWER(TRIM('Trung tâm nhập liệu'!O218))="khi phát sinh",IF(n=0,IF(emergent,"",plan),IF(child=0,IF(emergent,"",plan),IF(OR(emergent,plan=""),child,MAX(plan,child))))))</f>
        <v/>
      </c>
      <c r="T110" s="447" t="str">
        <f>IF($I110="","",LET(n,COUNTIFS('Lớp 5 - Phân công'!$J$14:$J$262,$I110,'Lớp 5 - Phân công'!$AB$14:$AB$262,"&lt;&gt;Hủy"),child,IFERROR(MINIFS('Lớp 5 - Phân công'!$AD$14:$AD$262,'Lớp 5 - Phân công'!$J$14:$J$262,$I110,'Lớp 5 - Phân công'!$AB$14:$AB$262,"&lt;&gt;Hủy",'Lớp 5 - Phân công'!$AD$14:$AD$262,"&gt;0"),0),plan,'Trung tâm nhập liệu'!R218,emergent,LOWER(TRIM('Trung tâm nhập liệu'!O218))="khi phát sinh",IF(n=0,IF(emergent,"",plan),IF(child=0,IF(emergent,"",plan),IF(OR(emergent,plan=""),child,MIN(plan,child))))))</f>
        <v/>
      </c>
      <c r="U110" s="432"/>
      <c r="V110" s="432"/>
      <c r="W110" s="432"/>
      <c r="X110" s="450"/>
      <c r="Y110" s="432"/>
      <c r="Z110" s="432"/>
      <c r="AA110" s="425"/>
      <c r="AB110" s="441"/>
      <c r="AC110" s="447"/>
      <c r="AD110" s="445"/>
      <c r="AE110" s="457"/>
      <c r="AF110" s="458"/>
      <c r="AG110" s="461"/>
      <c r="AH110" s="466"/>
      <c r="AI110" s="468"/>
      <c r="AJ110" s="477" t="str">
        <f>IF(AL110="Chưa xếp lịch","Chưa xếp lịch",IF(AL110="Định kỳ",IF(AM110="","Thiếu chu kỳ","Theo chu kỳ"),IF(AL110="Khi phát sinh",IF(COUNTIFS('Lớp 5 - Phân công'!$J$14:$J$262,$I110,'Lớp 5 - Phân công'!$AB$14:$AB$262,"&lt;&gt;Hủy")=0,"Khi phát sinh – chờ việc con","Khi phát sinh – theo ngày con"),IF(I110="","",LET(n,COUNTIFS('Lớp 5 - Phân công'!$J$14:$J$262,$I110,'Lớp 5 - Phân công'!$AB$14:$AB$262,"&lt;&gt;Hủy"),cs,IFERROR(MINIFS('Lớp 5 - Phân công'!$AD$14:$AD$262,'Lớp 5 - Phân công'!$J$14:$J$262,$I110,'Lớp 5 - Phân công'!$AB$14:$AB$262,"&lt;&gt;Hủy",'Lớp 5 - Phân công'!$AD$14:$AD$262,"&gt;0"),0),ce,IFERROR(MAXIFS('Lớp 5 - Phân công'!$AE$14:$AE$262,'Lớp 5 - Phân công'!$J$14:$J$262,$I110,'Lớp 5 - Phân công'!$AB$14:$AB$262,"&lt;&gt;Hủy",'Lớp 5 - Phân công'!$AE$14:$AE$262,"&gt;0"),0),ps,'Trung tâm nhập liệu'!R218,pe,'Trung tâm nhập liệu'!Q218,IF(OR(AC110="",AD110=""),"Thiếu ngày L4",IF(n=0,"Chưa có L5",IF(OR(cs=0,ce=0),"Thiếu ngày L5",IF(OR(ps="",pe=""),"Thiếu ngày kế hoạch gốc L4",IF(OR(cs&lt;ps,ce&gt;pe),"Cảnh báo: Con vượt khung kế hoạch gốc","L5 đúng khung kế hoạch gốc"))))))))))</f>
        <v/>
      </c>
      <c r="AK110" s="465"/>
      <c r="AL110" s="467"/>
      <c r="AM110" s="469"/>
      <c r="AN110" s="470"/>
      <c r="AO110" s="470"/>
      <c r="AP110" s="471"/>
      <c r="AQ110" s="469"/>
      <c r="AR110" s="475"/>
      <c r="AS110" s="476"/>
      <c r="AT110" s="478"/>
      <c r="AU110" s="465"/>
      <c r="AV110" s="465"/>
      <c r="AW110" s="479"/>
    </row>
    <row r="111" ht="15.75" customHeight="1">
      <c r="A111" s="424"/>
      <c r="B111" s="425"/>
      <c r="C111" s="427"/>
      <c r="D111" s="616"/>
      <c r="E111" s="567"/>
      <c r="F111" s="431"/>
      <c r="G111" s="431"/>
      <c r="H111" s="432"/>
      <c r="I111" s="434"/>
      <c r="J111" s="432"/>
      <c r="K111" s="436"/>
      <c r="L111" s="438"/>
      <c r="M111" s="439"/>
      <c r="N111" s="439"/>
      <c r="O111" s="440"/>
      <c r="P111" s="441"/>
      <c r="Q111" s="442"/>
      <c r="R111" s="443"/>
      <c r="S111" s="445" t="str">
        <f>IF($I111="","",LET(n,COUNTIFS('Lớp 5 - Phân công'!$J$14:$J$262,$I111,'Lớp 5 - Phân công'!$AB$14:$AB$262,"&lt;&gt;Hủy"),child,IFERROR(MAXIFS('Lớp 5 - Phân công'!$AE$14:$AE$262,'Lớp 5 - Phân công'!$J$14:$J$262,$I111,'Lớp 5 - Phân công'!$AB$14:$AB$262,"&lt;&gt;Hủy",'Lớp 5 - Phân công'!$AE$14:$AE$262,"&gt;0"),0),plan,'Trung tâm nhập liệu'!Q219,emergent,LOWER(TRIM('Trung tâm nhập liệu'!O219))="khi phát sinh",IF(n=0,IF(emergent,"",plan),IF(child=0,IF(emergent,"",plan),IF(OR(emergent,plan=""),child,MAX(plan,child))))))</f>
        <v/>
      </c>
      <c r="T111" s="447" t="str">
        <f>IF($I111="","",LET(n,COUNTIFS('Lớp 5 - Phân công'!$J$14:$J$262,$I111,'Lớp 5 - Phân công'!$AB$14:$AB$262,"&lt;&gt;Hủy"),child,IFERROR(MINIFS('Lớp 5 - Phân công'!$AD$14:$AD$262,'Lớp 5 - Phân công'!$J$14:$J$262,$I111,'Lớp 5 - Phân công'!$AB$14:$AB$262,"&lt;&gt;Hủy",'Lớp 5 - Phân công'!$AD$14:$AD$262,"&gt;0"),0),plan,'Trung tâm nhập liệu'!R219,emergent,LOWER(TRIM('Trung tâm nhập liệu'!O219))="khi phát sinh",IF(n=0,IF(emergent,"",plan),IF(child=0,IF(emergent,"",plan),IF(OR(emergent,plan=""),child,MIN(plan,child))))))</f>
        <v/>
      </c>
      <c r="U111" s="432"/>
      <c r="V111" s="432"/>
      <c r="W111" s="432"/>
      <c r="X111" s="450"/>
      <c r="Y111" s="432"/>
      <c r="Z111" s="432"/>
      <c r="AA111" s="425"/>
      <c r="AB111" s="441"/>
      <c r="AC111" s="447"/>
      <c r="AD111" s="445"/>
      <c r="AE111" s="457"/>
      <c r="AF111" s="458"/>
      <c r="AG111" s="461"/>
      <c r="AH111" s="466"/>
      <c r="AI111" s="468"/>
      <c r="AJ111" s="477" t="str">
        <f>IF(AL111="Chưa xếp lịch","Chưa xếp lịch",IF(AL111="Định kỳ",IF(AM111="","Thiếu chu kỳ","Theo chu kỳ"),IF(AL111="Khi phát sinh",IF(COUNTIFS('Lớp 5 - Phân công'!$J$14:$J$262,$I111,'Lớp 5 - Phân công'!$AB$14:$AB$262,"&lt;&gt;Hủy")=0,"Khi phát sinh – chờ việc con","Khi phát sinh – theo ngày con"),IF(I111="","",LET(n,COUNTIFS('Lớp 5 - Phân công'!$J$14:$J$262,$I111,'Lớp 5 - Phân công'!$AB$14:$AB$262,"&lt;&gt;Hủy"),cs,IFERROR(MINIFS('Lớp 5 - Phân công'!$AD$14:$AD$262,'Lớp 5 - Phân công'!$J$14:$J$262,$I111,'Lớp 5 - Phân công'!$AB$14:$AB$262,"&lt;&gt;Hủy",'Lớp 5 - Phân công'!$AD$14:$AD$262,"&gt;0"),0),ce,IFERROR(MAXIFS('Lớp 5 - Phân công'!$AE$14:$AE$262,'Lớp 5 - Phân công'!$J$14:$J$262,$I111,'Lớp 5 - Phân công'!$AB$14:$AB$262,"&lt;&gt;Hủy",'Lớp 5 - Phân công'!$AE$14:$AE$262,"&gt;0"),0),ps,'Trung tâm nhập liệu'!R219,pe,'Trung tâm nhập liệu'!Q219,IF(OR(AC111="",AD111=""),"Thiếu ngày L4",IF(n=0,"Chưa có L5",IF(OR(cs=0,ce=0),"Thiếu ngày L5",IF(OR(ps="",pe=""),"Thiếu ngày kế hoạch gốc L4",IF(OR(cs&lt;ps,ce&gt;pe),"Cảnh báo: Con vượt khung kế hoạch gốc","L5 đúng khung kế hoạch gốc"))))))))))</f>
        <v/>
      </c>
      <c r="AK111" s="465"/>
      <c r="AL111" s="467"/>
      <c r="AM111" s="469"/>
      <c r="AN111" s="470"/>
      <c r="AO111" s="470"/>
      <c r="AP111" s="471"/>
      <c r="AQ111" s="469"/>
      <c r="AR111" s="475"/>
      <c r="AS111" s="476"/>
      <c r="AT111" s="478"/>
      <c r="AU111" s="465"/>
      <c r="AV111" s="465"/>
      <c r="AW111" s="479"/>
    </row>
    <row r="112" ht="15.75" customHeight="1">
      <c r="A112" s="424"/>
      <c r="B112" s="425"/>
      <c r="C112" s="427"/>
      <c r="D112" s="616"/>
      <c r="E112" s="567"/>
      <c r="F112" s="431"/>
      <c r="G112" s="431"/>
      <c r="H112" s="432"/>
      <c r="I112" s="434"/>
      <c r="J112" s="432"/>
      <c r="K112" s="436"/>
      <c r="L112" s="438"/>
      <c r="M112" s="439"/>
      <c r="N112" s="439"/>
      <c r="O112" s="440"/>
      <c r="P112" s="441"/>
      <c r="Q112" s="442"/>
      <c r="R112" s="443"/>
      <c r="S112" s="445" t="str">
        <f>IF($I112="","",LET(n,COUNTIFS('Lớp 5 - Phân công'!$J$14:$J$262,$I112,'Lớp 5 - Phân công'!$AB$14:$AB$262,"&lt;&gt;Hủy"),child,IFERROR(MAXIFS('Lớp 5 - Phân công'!$AE$14:$AE$262,'Lớp 5 - Phân công'!$J$14:$J$262,$I112,'Lớp 5 - Phân công'!$AB$14:$AB$262,"&lt;&gt;Hủy",'Lớp 5 - Phân công'!$AE$14:$AE$262,"&gt;0"),0),plan,'Trung tâm nhập liệu'!Q220,emergent,LOWER(TRIM('Trung tâm nhập liệu'!O220))="khi phát sinh",IF(n=0,IF(emergent,"",plan),IF(child=0,IF(emergent,"",plan),IF(OR(emergent,plan=""),child,MAX(plan,child))))))</f>
        <v/>
      </c>
      <c r="T112" s="447" t="str">
        <f>IF($I112="","",LET(n,COUNTIFS('Lớp 5 - Phân công'!$J$14:$J$262,$I112,'Lớp 5 - Phân công'!$AB$14:$AB$262,"&lt;&gt;Hủy"),child,IFERROR(MINIFS('Lớp 5 - Phân công'!$AD$14:$AD$262,'Lớp 5 - Phân công'!$J$14:$J$262,$I112,'Lớp 5 - Phân công'!$AB$14:$AB$262,"&lt;&gt;Hủy",'Lớp 5 - Phân công'!$AD$14:$AD$262,"&gt;0"),0),plan,'Trung tâm nhập liệu'!R220,emergent,LOWER(TRIM('Trung tâm nhập liệu'!O220))="khi phát sinh",IF(n=0,IF(emergent,"",plan),IF(child=0,IF(emergent,"",plan),IF(OR(emergent,plan=""),child,MIN(plan,child))))))</f>
        <v/>
      </c>
      <c r="U112" s="432"/>
      <c r="V112" s="432"/>
      <c r="W112" s="432"/>
      <c r="X112" s="450"/>
      <c r="Y112" s="432"/>
      <c r="Z112" s="432"/>
      <c r="AA112" s="425"/>
      <c r="AB112" s="441"/>
      <c r="AC112" s="447"/>
      <c r="AD112" s="445"/>
      <c r="AE112" s="457"/>
      <c r="AF112" s="458"/>
      <c r="AG112" s="461"/>
      <c r="AH112" s="466"/>
      <c r="AI112" s="468"/>
      <c r="AJ112" s="477" t="str">
        <f>IF(AL112="Chưa xếp lịch","Chưa xếp lịch",IF(AL112="Định kỳ",IF(AM112="","Thiếu chu kỳ","Theo chu kỳ"),IF(AL112="Khi phát sinh",IF(COUNTIFS('Lớp 5 - Phân công'!$J$14:$J$262,$I112,'Lớp 5 - Phân công'!$AB$14:$AB$262,"&lt;&gt;Hủy")=0,"Khi phát sinh – chờ việc con","Khi phát sinh – theo ngày con"),IF(I112="","",LET(n,COUNTIFS('Lớp 5 - Phân công'!$J$14:$J$262,$I112,'Lớp 5 - Phân công'!$AB$14:$AB$262,"&lt;&gt;Hủy"),cs,IFERROR(MINIFS('Lớp 5 - Phân công'!$AD$14:$AD$262,'Lớp 5 - Phân công'!$J$14:$J$262,$I112,'Lớp 5 - Phân công'!$AB$14:$AB$262,"&lt;&gt;Hủy",'Lớp 5 - Phân công'!$AD$14:$AD$262,"&gt;0"),0),ce,IFERROR(MAXIFS('Lớp 5 - Phân công'!$AE$14:$AE$262,'Lớp 5 - Phân công'!$J$14:$J$262,$I112,'Lớp 5 - Phân công'!$AB$14:$AB$262,"&lt;&gt;Hủy",'Lớp 5 - Phân công'!$AE$14:$AE$262,"&gt;0"),0),ps,'Trung tâm nhập liệu'!R220,pe,'Trung tâm nhập liệu'!Q220,IF(OR(AC112="",AD112=""),"Thiếu ngày L4",IF(n=0,"Chưa có L5",IF(OR(cs=0,ce=0),"Thiếu ngày L5",IF(OR(ps="",pe=""),"Thiếu ngày kế hoạch gốc L4",IF(OR(cs&lt;ps,ce&gt;pe),"Cảnh báo: Con vượt khung kế hoạch gốc","L5 đúng khung kế hoạch gốc"))))))))))</f>
        <v/>
      </c>
      <c r="AK112" s="465"/>
      <c r="AL112" s="467"/>
      <c r="AM112" s="469"/>
      <c r="AN112" s="470"/>
      <c r="AO112" s="470"/>
      <c r="AP112" s="471"/>
      <c r="AQ112" s="469"/>
      <c r="AR112" s="475"/>
      <c r="AS112" s="476"/>
      <c r="AT112" s="478"/>
      <c r="AU112" s="465"/>
      <c r="AV112" s="465"/>
      <c r="AW112" s="479"/>
    </row>
    <row r="113" ht="15.75" customHeight="1">
      <c r="A113" s="424"/>
      <c r="B113" s="425"/>
      <c r="C113" s="427"/>
      <c r="D113" s="616"/>
      <c r="E113" s="567"/>
      <c r="F113" s="431"/>
      <c r="G113" s="431"/>
      <c r="H113" s="432"/>
      <c r="I113" s="434"/>
      <c r="J113" s="432"/>
      <c r="K113" s="436"/>
      <c r="L113" s="438"/>
      <c r="M113" s="439"/>
      <c r="N113" s="439"/>
      <c r="O113" s="440"/>
      <c r="P113" s="441"/>
      <c r="Q113" s="442"/>
      <c r="R113" s="443"/>
      <c r="S113" s="445" t="str">
        <f>IF($I113="","",LET(n,COUNTIFS('Lớp 5 - Phân công'!$J$14:$J$262,$I113,'Lớp 5 - Phân công'!$AB$14:$AB$262,"&lt;&gt;Hủy"),child,IFERROR(MAXIFS('Lớp 5 - Phân công'!$AE$14:$AE$262,'Lớp 5 - Phân công'!$J$14:$J$262,$I113,'Lớp 5 - Phân công'!$AB$14:$AB$262,"&lt;&gt;Hủy",'Lớp 5 - Phân công'!$AE$14:$AE$262,"&gt;0"),0),plan,'Trung tâm nhập liệu'!Q221,emergent,LOWER(TRIM('Trung tâm nhập liệu'!O221))="khi phát sinh",IF(n=0,IF(emergent,"",plan),IF(child=0,IF(emergent,"",plan),IF(OR(emergent,plan=""),child,MAX(plan,child))))))</f>
        <v/>
      </c>
      <c r="T113" s="447" t="str">
        <f>IF($I113="","",LET(n,COUNTIFS('Lớp 5 - Phân công'!$J$14:$J$262,$I113,'Lớp 5 - Phân công'!$AB$14:$AB$262,"&lt;&gt;Hủy"),child,IFERROR(MINIFS('Lớp 5 - Phân công'!$AD$14:$AD$262,'Lớp 5 - Phân công'!$J$14:$J$262,$I113,'Lớp 5 - Phân công'!$AB$14:$AB$262,"&lt;&gt;Hủy",'Lớp 5 - Phân công'!$AD$14:$AD$262,"&gt;0"),0),plan,'Trung tâm nhập liệu'!R221,emergent,LOWER(TRIM('Trung tâm nhập liệu'!O221))="khi phát sinh",IF(n=0,IF(emergent,"",plan),IF(child=0,IF(emergent,"",plan),IF(OR(emergent,plan=""),child,MIN(plan,child))))))</f>
        <v/>
      </c>
      <c r="U113" s="432"/>
      <c r="V113" s="432"/>
      <c r="W113" s="432"/>
      <c r="X113" s="450"/>
      <c r="Y113" s="432"/>
      <c r="Z113" s="432"/>
      <c r="AA113" s="425"/>
      <c r="AB113" s="441"/>
      <c r="AC113" s="447"/>
      <c r="AD113" s="445"/>
      <c r="AE113" s="457"/>
      <c r="AF113" s="458"/>
      <c r="AG113" s="461"/>
      <c r="AH113" s="466"/>
      <c r="AI113" s="468"/>
      <c r="AJ113" s="477" t="str">
        <f>IF(AL113="Chưa xếp lịch","Chưa xếp lịch",IF(AL113="Định kỳ",IF(AM113="","Thiếu chu kỳ","Theo chu kỳ"),IF(AL113="Khi phát sinh",IF(COUNTIFS('Lớp 5 - Phân công'!$J$14:$J$262,$I113,'Lớp 5 - Phân công'!$AB$14:$AB$262,"&lt;&gt;Hủy")=0,"Khi phát sinh – chờ việc con","Khi phát sinh – theo ngày con"),IF(I113="","",LET(n,COUNTIFS('Lớp 5 - Phân công'!$J$14:$J$262,$I113,'Lớp 5 - Phân công'!$AB$14:$AB$262,"&lt;&gt;Hủy"),cs,IFERROR(MINIFS('Lớp 5 - Phân công'!$AD$14:$AD$262,'Lớp 5 - Phân công'!$J$14:$J$262,$I113,'Lớp 5 - Phân công'!$AB$14:$AB$262,"&lt;&gt;Hủy",'Lớp 5 - Phân công'!$AD$14:$AD$262,"&gt;0"),0),ce,IFERROR(MAXIFS('Lớp 5 - Phân công'!$AE$14:$AE$262,'Lớp 5 - Phân công'!$J$14:$J$262,$I113,'Lớp 5 - Phân công'!$AB$14:$AB$262,"&lt;&gt;Hủy",'Lớp 5 - Phân công'!$AE$14:$AE$262,"&gt;0"),0),ps,'Trung tâm nhập liệu'!R221,pe,'Trung tâm nhập liệu'!Q221,IF(OR(AC113="",AD113=""),"Thiếu ngày L4",IF(n=0,"Chưa có L5",IF(OR(cs=0,ce=0),"Thiếu ngày L5",IF(OR(ps="",pe=""),"Thiếu ngày kế hoạch gốc L4",IF(OR(cs&lt;ps,ce&gt;pe),"Cảnh báo: Con vượt khung kế hoạch gốc","L5 đúng khung kế hoạch gốc"))))))))))</f>
        <v/>
      </c>
      <c r="AK113" s="465"/>
      <c r="AL113" s="467"/>
      <c r="AM113" s="469"/>
      <c r="AN113" s="470"/>
      <c r="AO113" s="470"/>
      <c r="AP113" s="471"/>
      <c r="AQ113" s="469"/>
      <c r="AR113" s="475"/>
      <c r="AS113" s="476"/>
      <c r="AT113" s="478"/>
      <c r="AU113" s="465"/>
      <c r="AV113" s="465"/>
      <c r="AW113" s="479"/>
    </row>
    <row r="114" ht="15.75" customHeight="1">
      <c r="A114" s="424"/>
      <c r="B114" s="425"/>
      <c r="C114" s="427"/>
      <c r="D114" s="616"/>
      <c r="E114" s="567"/>
      <c r="F114" s="431"/>
      <c r="G114" s="431"/>
      <c r="H114" s="432"/>
      <c r="I114" s="434"/>
      <c r="J114" s="432"/>
      <c r="K114" s="436"/>
      <c r="L114" s="438"/>
      <c r="M114" s="439"/>
      <c r="N114" s="439"/>
      <c r="O114" s="440"/>
      <c r="P114" s="441"/>
      <c r="Q114" s="442"/>
      <c r="R114" s="443"/>
      <c r="S114" s="445" t="str">
        <f>IF($I114="","",LET(n,COUNTIFS('Lớp 5 - Phân công'!$J$14:$J$262,$I114,'Lớp 5 - Phân công'!$AB$14:$AB$262,"&lt;&gt;Hủy"),child,IFERROR(MAXIFS('Lớp 5 - Phân công'!$AE$14:$AE$262,'Lớp 5 - Phân công'!$J$14:$J$262,$I114,'Lớp 5 - Phân công'!$AB$14:$AB$262,"&lt;&gt;Hủy",'Lớp 5 - Phân công'!$AE$14:$AE$262,"&gt;0"),0),plan,'Trung tâm nhập liệu'!Q222,emergent,LOWER(TRIM('Trung tâm nhập liệu'!O222))="khi phát sinh",IF(n=0,IF(emergent,"",plan),IF(child=0,IF(emergent,"",plan),IF(OR(emergent,plan=""),child,MAX(plan,child))))))</f>
        <v/>
      </c>
      <c r="T114" s="447" t="str">
        <f>IF($I114="","",LET(n,COUNTIFS('Lớp 5 - Phân công'!$J$14:$J$262,$I114,'Lớp 5 - Phân công'!$AB$14:$AB$262,"&lt;&gt;Hủy"),child,IFERROR(MINIFS('Lớp 5 - Phân công'!$AD$14:$AD$262,'Lớp 5 - Phân công'!$J$14:$J$262,$I114,'Lớp 5 - Phân công'!$AB$14:$AB$262,"&lt;&gt;Hủy",'Lớp 5 - Phân công'!$AD$14:$AD$262,"&gt;0"),0),plan,'Trung tâm nhập liệu'!R222,emergent,LOWER(TRIM('Trung tâm nhập liệu'!O222))="khi phát sinh",IF(n=0,IF(emergent,"",plan),IF(child=0,IF(emergent,"",plan),IF(OR(emergent,plan=""),child,MIN(plan,child))))))</f>
        <v/>
      </c>
      <c r="U114" s="432"/>
      <c r="V114" s="432"/>
      <c r="W114" s="432"/>
      <c r="X114" s="450"/>
      <c r="Y114" s="432"/>
      <c r="Z114" s="432"/>
      <c r="AA114" s="425"/>
      <c r="AB114" s="441"/>
      <c r="AC114" s="447"/>
      <c r="AD114" s="445"/>
      <c r="AE114" s="457"/>
      <c r="AF114" s="458"/>
      <c r="AG114" s="461"/>
      <c r="AH114" s="466"/>
      <c r="AI114" s="468"/>
      <c r="AJ114" s="477" t="str">
        <f>IF(AL114="Chưa xếp lịch","Chưa xếp lịch",IF(AL114="Định kỳ",IF(AM114="","Thiếu chu kỳ","Theo chu kỳ"),IF(AL114="Khi phát sinh",IF(COUNTIFS('Lớp 5 - Phân công'!$J$14:$J$262,$I114,'Lớp 5 - Phân công'!$AB$14:$AB$262,"&lt;&gt;Hủy")=0,"Khi phát sinh – chờ việc con","Khi phát sinh – theo ngày con"),IF(I114="","",LET(n,COUNTIFS('Lớp 5 - Phân công'!$J$14:$J$262,$I114,'Lớp 5 - Phân công'!$AB$14:$AB$262,"&lt;&gt;Hủy"),cs,IFERROR(MINIFS('Lớp 5 - Phân công'!$AD$14:$AD$262,'Lớp 5 - Phân công'!$J$14:$J$262,$I114,'Lớp 5 - Phân công'!$AB$14:$AB$262,"&lt;&gt;Hủy",'Lớp 5 - Phân công'!$AD$14:$AD$262,"&gt;0"),0),ce,IFERROR(MAXIFS('Lớp 5 - Phân công'!$AE$14:$AE$262,'Lớp 5 - Phân công'!$J$14:$J$262,$I114,'Lớp 5 - Phân công'!$AB$14:$AB$262,"&lt;&gt;Hủy",'Lớp 5 - Phân công'!$AE$14:$AE$262,"&gt;0"),0),ps,'Trung tâm nhập liệu'!R222,pe,'Trung tâm nhập liệu'!Q222,IF(OR(AC114="",AD114=""),"Thiếu ngày L4",IF(n=0,"Chưa có L5",IF(OR(cs=0,ce=0),"Thiếu ngày L5",IF(OR(ps="",pe=""),"Thiếu ngày kế hoạch gốc L4",IF(OR(cs&lt;ps,ce&gt;pe),"Cảnh báo: Con vượt khung kế hoạch gốc","L5 đúng khung kế hoạch gốc"))))))))))</f>
        <v/>
      </c>
      <c r="AK114" s="465"/>
      <c r="AL114" s="467"/>
      <c r="AM114" s="469"/>
      <c r="AN114" s="470"/>
      <c r="AO114" s="470"/>
      <c r="AP114" s="471"/>
      <c r="AQ114" s="469"/>
      <c r="AR114" s="475"/>
      <c r="AS114" s="476"/>
      <c r="AT114" s="478"/>
      <c r="AU114" s="465"/>
      <c r="AV114" s="465"/>
      <c r="AW114" s="479"/>
    </row>
    <row r="115" ht="15.75" customHeight="1">
      <c r="A115" s="424"/>
      <c r="B115" s="425"/>
      <c r="C115" s="427"/>
      <c r="D115" s="616"/>
      <c r="E115" s="567"/>
      <c r="F115" s="431"/>
      <c r="G115" s="431"/>
      <c r="H115" s="432"/>
      <c r="I115" s="434"/>
      <c r="J115" s="432"/>
      <c r="K115" s="436"/>
      <c r="L115" s="438"/>
      <c r="M115" s="439"/>
      <c r="N115" s="439"/>
      <c r="O115" s="440"/>
      <c r="P115" s="441"/>
      <c r="Q115" s="442"/>
      <c r="R115" s="443"/>
      <c r="S115" s="445" t="str">
        <f>IF($I115="","",LET(n,COUNTIFS('Lớp 5 - Phân công'!$J$14:$J$262,$I115,'Lớp 5 - Phân công'!$AB$14:$AB$262,"&lt;&gt;Hủy"),child,IFERROR(MAXIFS('Lớp 5 - Phân công'!$AE$14:$AE$262,'Lớp 5 - Phân công'!$J$14:$J$262,$I115,'Lớp 5 - Phân công'!$AB$14:$AB$262,"&lt;&gt;Hủy",'Lớp 5 - Phân công'!$AE$14:$AE$262,"&gt;0"),0),plan,'Trung tâm nhập liệu'!Q223,emergent,LOWER(TRIM('Trung tâm nhập liệu'!O223))="khi phát sinh",IF(n=0,IF(emergent,"",plan),IF(child=0,IF(emergent,"",plan),IF(OR(emergent,plan=""),child,MAX(plan,child))))))</f>
        <v/>
      </c>
      <c r="T115" s="447" t="str">
        <f>IF($I115="","",LET(n,COUNTIFS('Lớp 5 - Phân công'!$J$14:$J$262,$I115,'Lớp 5 - Phân công'!$AB$14:$AB$262,"&lt;&gt;Hủy"),child,IFERROR(MINIFS('Lớp 5 - Phân công'!$AD$14:$AD$262,'Lớp 5 - Phân công'!$J$14:$J$262,$I115,'Lớp 5 - Phân công'!$AB$14:$AB$262,"&lt;&gt;Hủy",'Lớp 5 - Phân công'!$AD$14:$AD$262,"&gt;0"),0),plan,'Trung tâm nhập liệu'!R223,emergent,LOWER(TRIM('Trung tâm nhập liệu'!O223))="khi phát sinh",IF(n=0,IF(emergent,"",plan),IF(child=0,IF(emergent,"",plan),IF(OR(emergent,plan=""),child,MIN(plan,child))))))</f>
        <v/>
      </c>
      <c r="U115" s="432"/>
      <c r="V115" s="432"/>
      <c r="W115" s="432"/>
      <c r="X115" s="450"/>
      <c r="Y115" s="432"/>
      <c r="Z115" s="432"/>
      <c r="AA115" s="425"/>
      <c r="AB115" s="441"/>
      <c r="AC115" s="447"/>
      <c r="AD115" s="445"/>
      <c r="AE115" s="457"/>
      <c r="AF115" s="458"/>
      <c r="AG115" s="461"/>
      <c r="AH115" s="466"/>
      <c r="AI115" s="468"/>
      <c r="AJ115" s="477" t="str">
        <f>IF(AL115="Chưa xếp lịch","Chưa xếp lịch",IF(AL115="Định kỳ",IF(AM115="","Thiếu chu kỳ","Theo chu kỳ"),IF(AL115="Khi phát sinh",IF(COUNTIFS('Lớp 5 - Phân công'!$J$14:$J$262,$I115,'Lớp 5 - Phân công'!$AB$14:$AB$262,"&lt;&gt;Hủy")=0,"Khi phát sinh – chờ việc con","Khi phát sinh – theo ngày con"),IF(I115="","",LET(n,COUNTIFS('Lớp 5 - Phân công'!$J$14:$J$262,$I115,'Lớp 5 - Phân công'!$AB$14:$AB$262,"&lt;&gt;Hủy"),cs,IFERROR(MINIFS('Lớp 5 - Phân công'!$AD$14:$AD$262,'Lớp 5 - Phân công'!$J$14:$J$262,$I115,'Lớp 5 - Phân công'!$AB$14:$AB$262,"&lt;&gt;Hủy",'Lớp 5 - Phân công'!$AD$14:$AD$262,"&gt;0"),0),ce,IFERROR(MAXIFS('Lớp 5 - Phân công'!$AE$14:$AE$262,'Lớp 5 - Phân công'!$J$14:$J$262,$I115,'Lớp 5 - Phân công'!$AB$14:$AB$262,"&lt;&gt;Hủy",'Lớp 5 - Phân công'!$AE$14:$AE$262,"&gt;0"),0),ps,'Trung tâm nhập liệu'!R223,pe,'Trung tâm nhập liệu'!Q223,IF(OR(AC115="",AD115=""),"Thiếu ngày L4",IF(n=0,"Chưa có L5",IF(OR(cs=0,ce=0),"Thiếu ngày L5",IF(OR(ps="",pe=""),"Thiếu ngày kế hoạch gốc L4",IF(OR(cs&lt;ps,ce&gt;pe),"Cảnh báo: Con vượt khung kế hoạch gốc","L5 đúng khung kế hoạch gốc"))))))))))</f>
        <v/>
      </c>
      <c r="AK115" s="465"/>
      <c r="AL115" s="467"/>
      <c r="AM115" s="469"/>
      <c r="AN115" s="470"/>
      <c r="AO115" s="470"/>
      <c r="AP115" s="471"/>
      <c r="AQ115" s="469"/>
      <c r="AR115" s="475"/>
      <c r="AS115" s="476"/>
      <c r="AT115" s="478"/>
      <c r="AU115" s="465"/>
      <c r="AV115" s="465"/>
      <c r="AW115" s="479"/>
    </row>
    <row r="116" ht="15.75" customHeight="1">
      <c r="A116" s="424"/>
      <c r="B116" s="425"/>
      <c r="C116" s="427"/>
      <c r="D116" s="616"/>
      <c r="E116" s="567"/>
      <c r="F116" s="431"/>
      <c r="G116" s="431"/>
      <c r="H116" s="432"/>
      <c r="I116" s="434"/>
      <c r="J116" s="432"/>
      <c r="K116" s="436"/>
      <c r="L116" s="438"/>
      <c r="M116" s="439"/>
      <c r="N116" s="439"/>
      <c r="O116" s="440"/>
      <c r="P116" s="441"/>
      <c r="Q116" s="442"/>
      <c r="R116" s="443"/>
      <c r="S116" s="445" t="str">
        <f>IF($I116="","",LET(n,COUNTIFS('Lớp 5 - Phân công'!$J$14:$J$262,$I116,'Lớp 5 - Phân công'!$AB$14:$AB$262,"&lt;&gt;Hủy"),child,IFERROR(MAXIFS('Lớp 5 - Phân công'!$AE$14:$AE$262,'Lớp 5 - Phân công'!$J$14:$J$262,$I116,'Lớp 5 - Phân công'!$AB$14:$AB$262,"&lt;&gt;Hủy",'Lớp 5 - Phân công'!$AE$14:$AE$262,"&gt;0"),0),plan,'Trung tâm nhập liệu'!Q224,emergent,LOWER(TRIM('Trung tâm nhập liệu'!O224))="khi phát sinh",IF(n=0,IF(emergent,"",plan),IF(child=0,IF(emergent,"",plan),IF(OR(emergent,plan=""),child,MAX(plan,child))))))</f>
        <v/>
      </c>
      <c r="T116" s="447" t="str">
        <f>IF($I116="","",LET(n,COUNTIFS('Lớp 5 - Phân công'!$J$14:$J$262,$I116,'Lớp 5 - Phân công'!$AB$14:$AB$262,"&lt;&gt;Hủy"),child,IFERROR(MINIFS('Lớp 5 - Phân công'!$AD$14:$AD$262,'Lớp 5 - Phân công'!$J$14:$J$262,$I116,'Lớp 5 - Phân công'!$AB$14:$AB$262,"&lt;&gt;Hủy",'Lớp 5 - Phân công'!$AD$14:$AD$262,"&gt;0"),0),plan,'Trung tâm nhập liệu'!R224,emergent,LOWER(TRIM('Trung tâm nhập liệu'!O224))="khi phát sinh",IF(n=0,IF(emergent,"",plan),IF(child=0,IF(emergent,"",plan),IF(OR(emergent,plan=""),child,MIN(plan,child))))))</f>
        <v/>
      </c>
      <c r="U116" s="432"/>
      <c r="V116" s="432"/>
      <c r="W116" s="432"/>
      <c r="X116" s="450"/>
      <c r="Y116" s="432"/>
      <c r="Z116" s="432"/>
      <c r="AA116" s="425"/>
      <c r="AB116" s="441"/>
      <c r="AC116" s="447"/>
      <c r="AD116" s="445"/>
      <c r="AE116" s="457"/>
      <c r="AF116" s="458"/>
      <c r="AG116" s="461"/>
      <c r="AH116" s="466"/>
      <c r="AI116" s="468"/>
      <c r="AJ116" s="477" t="str">
        <f>IF(AL116="Chưa xếp lịch","Chưa xếp lịch",IF(AL116="Định kỳ",IF(AM116="","Thiếu chu kỳ","Theo chu kỳ"),IF(AL116="Khi phát sinh",IF(COUNTIFS('Lớp 5 - Phân công'!$J$14:$J$262,$I116,'Lớp 5 - Phân công'!$AB$14:$AB$262,"&lt;&gt;Hủy")=0,"Khi phát sinh – chờ việc con","Khi phát sinh – theo ngày con"),IF(I116="","",LET(n,COUNTIFS('Lớp 5 - Phân công'!$J$14:$J$262,$I116,'Lớp 5 - Phân công'!$AB$14:$AB$262,"&lt;&gt;Hủy"),cs,IFERROR(MINIFS('Lớp 5 - Phân công'!$AD$14:$AD$262,'Lớp 5 - Phân công'!$J$14:$J$262,$I116,'Lớp 5 - Phân công'!$AB$14:$AB$262,"&lt;&gt;Hủy",'Lớp 5 - Phân công'!$AD$14:$AD$262,"&gt;0"),0),ce,IFERROR(MAXIFS('Lớp 5 - Phân công'!$AE$14:$AE$262,'Lớp 5 - Phân công'!$J$14:$J$262,$I116,'Lớp 5 - Phân công'!$AB$14:$AB$262,"&lt;&gt;Hủy",'Lớp 5 - Phân công'!$AE$14:$AE$262,"&gt;0"),0),ps,'Trung tâm nhập liệu'!R224,pe,'Trung tâm nhập liệu'!Q224,IF(OR(AC116="",AD116=""),"Thiếu ngày L4",IF(n=0,"Chưa có L5",IF(OR(cs=0,ce=0),"Thiếu ngày L5",IF(OR(ps="",pe=""),"Thiếu ngày kế hoạch gốc L4",IF(OR(cs&lt;ps,ce&gt;pe),"Cảnh báo: Con vượt khung kế hoạch gốc","L5 đúng khung kế hoạch gốc"))))))))))</f>
        <v/>
      </c>
      <c r="AK116" s="465"/>
      <c r="AL116" s="467"/>
      <c r="AM116" s="469"/>
      <c r="AN116" s="470"/>
      <c r="AO116" s="470"/>
      <c r="AP116" s="471"/>
      <c r="AQ116" s="469"/>
      <c r="AR116" s="475"/>
      <c r="AS116" s="476"/>
      <c r="AT116" s="478"/>
      <c r="AU116" s="465"/>
      <c r="AV116" s="465"/>
      <c r="AW116" s="479"/>
    </row>
    <row r="117" ht="15.75" customHeight="1">
      <c r="A117" s="424"/>
      <c r="B117" s="425"/>
      <c r="C117" s="427"/>
      <c r="D117" s="616"/>
      <c r="E117" s="567"/>
      <c r="F117" s="431"/>
      <c r="G117" s="431"/>
      <c r="H117" s="432"/>
      <c r="I117" s="434"/>
      <c r="J117" s="432"/>
      <c r="K117" s="436"/>
      <c r="L117" s="438"/>
      <c r="M117" s="439"/>
      <c r="N117" s="439"/>
      <c r="O117" s="440"/>
      <c r="P117" s="441"/>
      <c r="Q117" s="442"/>
      <c r="R117" s="443"/>
      <c r="S117" s="445" t="str">
        <f>IF($I117="","",LET(n,COUNTIFS('Lớp 5 - Phân công'!$J$14:$J$262,$I117,'Lớp 5 - Phân công'!$AB$14:$AB$262,"&lt;&gt;Hủy"),child,IFERROR(MAXIFS('Lớp 5 - Phân công'!$AE$14:$AE$262,'Lớp 5 - Phân công'!$J$14:$J$262,$I117,'Lớp 5 - Phân công'!$AB$14:$AB$262,"&lt;&gt;Hủy",'Lớp 5 - Phân công'!$AE$14:$AE$262,"&gt;0"),0),plan,'Trung tâm nhập liệu'!Q225,emergent,LOWER(TRIM('Trung tâm nhập liệu'!O225))="khi phát sinh",IF(n=0,IF(emergent,"",plan),IF(child=0,IF(emergent,"",plan),IF(OR(emergent,plan=""),child,MAX(plan,child))))))</f>
        <v/>
      </c>
      <c r="T117" s="447" t="str">
        <f>IF($I117="","",LET(n,COUNTIFS('Lớp 5 - Phân công'!$J$14:$J$262,$I117,'Lớp 5 - Phân công'!$AB$14:$AB$262,"&lt;&gt;Hủy"),child,IFERROR(MINIFS('Lớp 5 - Phân công'!$AD$14:$AD$262,'Lớp 5 - Phân công'!$J$14:$J$262,$I117,'Lớp 5 - Phân công'!$AB$14:$AB$262,"&lt;&gt;Hủy",'Lớp 5 - Phân công'!$AD$14:$AD$262,"&gt;0"),0),plan,'Trung tâm nhập liệu'!R225,emergent,LOWER(TRIM('Trung tâm nhập liệu'!O225))="khi phát sinh",IF(n=0,IF(emergent,"",plan),IF(child=0,IF(emergent,"",plan),IF(OR(emergent,plan=""),child,MIN(plan,child))))))</f>
        <v/>
      </c>
      <c r="U117" s="432"/>
      <c r="V117" s="432"/>
      <c r="W117" s="432"/>
      <c r="X117" s="450"/>
      <c r="Y117" s="432"/>
      <c r="Z117" s="432"/>
      <c r="AA117" s="425"/>
      <c r="AB117" s="441"/>
      <c r="AC117" s="447"/>
      <c r="AD117" s="445"/>
      <c r="AE117" s="457"/>
      <c r="AF117" s="458"/>
      <c r="AG117" s="461"/>
      <c r="AH117" s="466"/>
      <c r="AI117" s="468"/>
      <c r="AJ117" s="477" t="str">
        <f>IF(AL117="Chưa xếp lịch","Chưa xếp lịch",IF(AL117="Định kỳ",IF(AM117="","Thiếu chu kỳ","Theo chu kỳ"),IF(AL117="Khi phát sinh",IF(COUNTIFS('Lớp 5 - Phân công'!$J$14:$J$262,$I117,'Lớp 5 - Phân công'!$AB$14:$AB$262,"&lt;&gt;Hủy")=0,"Khi phát sinh – chờ việc con","Khi phát sinh – theo ngày con"),IF(I117="","",LET(n,COUNTIFS('Lớp 5 - Phân công'!$J$14:$J$262,$I117,'Lớp 5 - Phân công'!$AB$14:$AB$262,"&lt;&gt;Hủy"),cs,IFERROR(MINIFS('Lớp 5 - Phân công'!$AD$14:$AD$262,'Lớp 5 - Phân công'!$J$14:$J$262,$I117,'Lớp 5 - Phân công'!$AB$14:$AB$262,"&lt;&gt;Hủy",'Lớp 5 - Phân công'!$AD$14:$AD$262,"&gt;0"),0),ce,IFERROR(MAXIFS('Lớp 5 - Phân công'!$AE$14:$AE$262,'Lớp 5 - Phân công'!$J$14:$J$262,$I117,'Lớp 5 - Phân công'!$AB$14:$AB$262,"&lt;&gt;Hủy",'Lớp 5 - Phân công'!$AE$14:$AE$262,"&gt;0"),0),ps,'Trung tâm nhập liệu'!R225,pe,'Trung tâm nhập liệu'!Q225,IF(OR(AC117="",AD117=""),"Thiếu ngày L4",IF(n=0,"Chưa có L5",IF(OR(cs=0,ce=0),"Thiếu ngày L5",IF(OR(ps="",pe=""),"Thiếu ngày kế hoạch gốc L4",IF(OR(cs&lt;ps,ce&gt;pe),"Cảnh báo: Con vượt khung kế hoạch gốc","L5 đúng khung kế hoạch gốc"))))))))))</f>
        <v/>
      </c>
      <c r="AK117" s="465"/>
      <c r="AL117" s="467"/>
      <c r="AM117" s="469"/>
      <c r="AN117" s="470"/>
      <c r="AO117" s="470"/>
      <c r="AP117" s="471"/>
      <c r="AQ117" s="469"/>
      <c r="AR117" s="475"/>
      <c r="AS117" s="476"/>
      <c r="AT117" s="478"/>
      <c r="AU117" s="465"/>
      <c r="AV117" s="465"/>
      <c r="AW117" s="479"/>
    </row>
    <row r="118" ht="15.75" customHeight="1">
      <c r="A118" s="424"/>
      <c r="B118" s="425"/>
      <c r="C118" s="427"/>
      <c r="D118" s="616"/>
      <c r="E118" s="567"/>
      <c r="F118" s="431"/>
      <c r="G118" s="431"/>
      <c r="H118" s="432"/>
      <c r="I118" s="434"/>
      <c r="J118" s="432"/>
      <c r="K118" s="436"/>
      <c r="L118" s="438"/>
      <c r="M118" s="439"/>
      <c r="N118" s="439"/>
      <c r="O118" s="440"/>
      <c r="P118" s="441"/>
      <c r="Q118" s="442"/>
      <c r="R118" s="443"/>
      <c r="S118" s="445" t="str">
        <f>IF($I118="","",LET(n,COUNTIFS('Lớp 5 - Phân công'!$J$14:$J$262,$I118,'Lớp 5 - Phân công'!$AB$14:$AB$262,"&lt;&gt;Hủy"),child,IFERROR(MAXIFS('Lớp 5 - Phân công'!$AE$14:$AE$262,'Lớp 5 - Phân công'!$J$14:$J$262,$I118,'Lớp 5 - Phân công'!$AB$14:$AB$262,"&lt;&gt;Hủy",'Lớp 5 - Phân công'!$AE$14:$AE$262,"&gt;0"),0),plan,'Trung tâm nhập liệu'!Q226,emergent,LOWER(TRIM('Trung tâm nhập liệu'!O226))="khi phát sinh",IF(n=0,IF(emergent,"",plan),IF(child=0,IF(emergent,"",plan),IF(OR(emergent,plan=""),child,MAX(plan,child))))))</f>
        <v/>
      </c>
      <c r="T118" s="447" t="str">
        <f>IF($I118="","",LET(n,COUNTIFS('Lớp 5 - Phân công'!$J$14:$J$262,$I118,'Lớp 5 - Phân công'!$AB$14:$AB$262,"&lt;&gt;Hủy"),child,IFERROR(MINIFS('Lớp 5 - Phân công'!$AD$14:$AD$262,'Lớp 5 - Phân công'!$J$14:$J$262,$I118,'Lớp 5 - Phân công'!$AB$14:$AB$262,"&lt;&gt;Hủy",'Lớp 5 - Phân công'!$AD$14:$AD$262,"&gt;0"),0),plan,'Trung tâm nhập liệu'!R226,emergent,LOWER(TRIM('Trung tâm nhập liệu'!O226))="khi phát sinh",IF(n=0,IF(emergent,"",plan),IF(child=0,IF(emergent,"",plan),IF(OR(emergent,plan=""),child,MIN(plan,child))))))</f>
        <v/>
      </c>
      <c r="U118" s="432"/>
      <c r="V118" s="432"/>
      <c r="W118" s="432"/>
      <c r="X118" s="450"/>
      <c r="Y118" s="432"/>
      <c r="Z118" s="432"/>
      <c r="AA118" s="425"/>
      <c r="AB118" s="441"/>
      <c r="AC118" s="447"/>
      <c r="AD118" s="445"/>
      <c r="AE118" s="457"/>
      <c r="AF118" s="458"/>
      <c r="AG118" s="461"/>
      <c r="AH118" s="466"/>
      <c r="AI118" s="468"/>
      <c r="AJ118" s="477" t="str">
        <f>IF(AL118="Chưa xếp lịch","Chưa xếp lịch",IF(AL118="Định kỳ",IF(AM118="","Thiếu chu kỳ","Theo chu kỳ"),IF(AL118="Khi phát sinh",IF(COUNTIFS('Lớp 5 - Phân công'!$J$14:$J$262,$I118,'Lớp 5 - Phân công'!$AB$14:$AB$262,"&lt;&gt;Hủy")=0,"Khi phát sinh – chờ việc con","Khi phát sinh – theo ngày con"),IF(I118="","",LET(n,COUNTIFS('Lớp 5 - Phân công'!$J$14:$J$262,$I118,'Lớp 5 - Phân công'!$AB$14:$AB$262,"&lt;&gt;Hủy"),cs,IFERROR(MINIFS('Lớp 5 - Phân công'!$AD$14:$AD$262,'Lớp 5 - Phân công'!$J$14:$J$262,$I118,'Lớp 5 - Phân công'!$AB$14:$AB$262,"&lt;&gt;Hủy",'Lớp 5 - Phân công'!$AD$14:$AD$262,"&gt;0"),0),ce,IFERROR(MAXIFS('Lớp 5 - Phân công'!$AE$14:$AE$262,'Lớp 5 - Phân công'!$J$14:$J$262,$I118,'Lớp 5 - Phân công'!$AB$14:$AB$262,"&lt;&gt;Hủy",'Lớp 5 - Phân công'!$AE$14:$AE$262,"&gt;0"),0),ps,'Trung tâm nhập liệu'!R226,pe,'Trung tâm nhập liệu'!Q226,IF(OR(AC118="",AD118=""),"Thiếu ngày L4",IF(n=0,"Chưa có L5",IF(OR(cs=0,ce=0),"Thiếu ngày L5",IF(OR(ps="",pe=""),"Thiếu ngày kế hoạch gốc L4",IF(OR(cs&lt;ps,ce&gt;pe),"Cảnh báo: Con vượt khung kế hoạch gốc","L5 đúng khung kế hoạch gốc"))))))))))</f>
        <v/>
      </c>
      <c r="AK118" s="465"/>
      <c r="AL118" s="467"/>
      <c r="AM118" s="469"/>
      <c r="AN118" s="470"/>
      <c r="AO118" s="470"/>
      <c r="AP118" s="471"/>
      <c r="AQ118" s="469"/>
      <c r="AR118" s="475"/>
      <c r="AS118" s="476"/>
      <c r="AT118" s="478"/>
      <c r="AU118" s="465"/>
      <c r="AV118" s="465"/>
      <c r="AW118" s="479"/>
    </row>
    <row r="119" ht="15.75" customHeight="1">
      <c r="A119" s="424"/>
      <c r="B119" s="425"/>
      <c r="C119" s="427"/>
      <c r="D119" s="616"/>
      <c r="E119" s="567"/>
      <c r="F119" s="431"/>
      <c r="G119" s="431"/>
      <c r="H119" s="432"/>
      <c r="I119" s="434"/>
      <c r="J119" s="432"/>
      <c r="K119" s="436"/>
      <c r="L119" s="438"/>
      <c r="M119" s="439"/>
      <c r="N119" s="439"/>
      <c r="O119" s="440"/>
      <c r="P119" s="441"/>
      <c r="Q119" s="442"/>
      <c r="R119" s="443"/>
      <c r="S119" s="445" t="str">
        <f>IF($I119="","",LET(n,COUNTIFS('Lớp 5 - Phân công'!$J$14:$J$262,$I119,'Lớp 5 - Phân công'!$AB$14:$AB$262,"&lt;&gt;Hủy"),child,IFERROR(MAXIFS('Lớp 5 - Phân công'!$AE$14:$AE$262,'Lớp 5 - Phân công'!$J$14:$J$262,$I119,'Lớp 5 - Phân công'!$AB$14:$AB$262,"&lt;&gt;Hủy",'Lớp 5 - Phân công'!$AE$14:$AE$262,"&gt;0"),0),plan,'Trung tâm nhập liệu'!Q227,emergent,LOWER(TRIM('Trung tâm nhập liệu'!O227))="khi phát sinh",IF(n=0,IF(emergent,"",plan),IF(child=0,IF(emergent,"",plan),IF(OR(emergent,plan=""),child,MAX(plan,child))))))</f>
        <v/>
      </c>
      <c r="T119" s="447" t="str">
        <f>IF($I119="","",LET(n,COUNTIFS('Lớp 5 - Phân công'!$J$14:$J$262,$I119,'Lớp 5 - Phân công'!$AB$14:$AB$262,"&lt;&gt;Hủy"),child,IFERROR(MINIFS('Lớp 5 - Phân công'!$AD$14:$AD$262,'Lớp 5 - Phân công'!$J$14:$J$262,$I119,'Lớp 5 - Phân công'!$AB$14:$AB$262,"&lt;&gt;Hủy",'Lớp 5 - Phân công'!$AD$14:$AD$262,"&gt;0"),0),plan,'Trung tâm nhập liệu'!R227,emergent,LOWER(TRIM('Trung tâm nhập liệu'!O227))="khi phát sinh",IF(n=0,IF(emergent,"",plan),IF(child=0,IF(emergent,"",plan),IF(OR(emergent,plan=""),child,MIN(plan,child))))))</f>
        <v/>
      </c>
      <c r="U119" s="432"/>
      <c r="V119" s="432"/>
      <c r="W119" s="432"/>
      <c r="X119" s="450"/>
      <c r="Y119" s="432"/>
      <c r="Z119" s="432"/>
      <c r="AA119" s="425"/>
      <c r="AB119" s="441"/>
      <c r="AC119" s="447"/>
      <c r="AD119" s="445"/>
      <c r="AE119" s="457"/>
      <c r="AF119" s="458"/>
      <c r="AG119" s="461"/>
      <c r="AH119" s="466"/>
      <c r="AI119" s="468"/>
      <c r="AJ119" s="477" t="str">
        <f>IF(AL119="Chưa xếp lịch","Chưa xếp lịch",IF(AL119="Định kỳ",IF(AM119="","Thiếu chu kỳ","Theo chu kỳ"),IF(AL119="Khi phát sinh",IF(COUNTIFS('Lớp 5 - Phân công'!$J$14:$J$262,$I119,'Lớp 5 - Phân công'!$AB$14:$AB$262,"&lt;&gt;Hủy")=0,"Khi phát sinh – chờ việc con","Khi phát sinh – theo ngày con"),IF(I119="","",LET(n,COUNTIFS('Lớp 5 - Phân công'!$J$14:$J$262,$I119,'Lớp 5 - Phân công'!$AB$14:$AB$262,"&lt;&gt;Hủy"),cs,IFERROR(MINIFS('Lớp 5 - Phân công'!$AD$14:$AD$262,'Lớp 5 - Phân công'!$J$14:$J$262,$I119,'Lớp 5 - Phân công'!$AB$14:$AB$262,"&lt;&gt;Hủy",'Lớp 5 - Phân công'!$AD$14:$AD$262,"&gt;0"),0),ce,IFERROR(MAXIFS('Lớp 5 - Phân công'!$AE$14:$AE$262,'Lớp 5 - Phân công'!$J$14:$J$262,$I119,'Lớp 5 - Phân công'!$AB$14:$AB$262,"&lt;&gt;Hủy",'Lớp 5 - Phân công'!$AE$14:$AE$262,"&gt;0"),0),ps,'Trung tâm nhập liệu'!R227,pe,'Trung tâm nhập liệu'!Q227,IF(OR(AC119="",AD119=""),"Thiếu ngày L4",IF(n=0,"Chưa có L5",IF(OR(cs=0,ce=0),"Thiếu ngày L5",IF(OR(ps="",pe=""),"Thiếu ngày kế hoạch gốc L4",IF(OR(cs&lt;ps,ce&gt;pe),"Cảnh báo: Con vượt khung kế hoạch gốc","L5 đúng khung kế hoạch gốc"))))))))))</f>
        <v/>
      </c>
      <c r="AK119" s="465"/>
      <c r="AL119" s="467"/>
      <c r="AM119" s="469"/>
      <c r="AN119" s="470"/>
      <c r="AO119" s="470"/>
      <c r="AP119" s="471"/>
      <c r="AQ119" s="469"/>
      <c r="AR119" s="475"/>
      <c r="AS119" s="476"/>
      <c r="AT119" s="478"/>
      <c r="AU119" s="465"/>
      <c r="AV119" s="465"/>
      <c r="AW119" s="479"/>
    </row>
    <row r="120" ht="15.75" customHeight="1">
      <c r="A120" s="424"/>
      <c r="B120" s="425"/>
      <c r="C120" s="427"/>
      <c r="D120" s="616"/>
      <c r="E120" s="567"/>
      <c r="F120" s="431"/>
      <c r="G120" s="431"/>
      <c r="H120" s="432"/>
      <c r="I120" s="434"/>
      <c r="J120" s="432"/>
      <c r="K120" s="436"/>
      <c r="L120" s="438"/>
      <c r="M120" s="439"/>
      <c r="N120" s="439"/>
      <c r="O120" s="440"/>
      <c r="P120" s="441"/>
      <c r="Q120" s="442"/>
      <c r="R120" s="443"/>
      <c r="S120" s="445" t="str">
        <f>IF($I120="","",LET(n,COUNTIFS('Lớp 5 - Phân công'!$J$14:$J$262,$I120,'Lớp 5 - Phân công'!$AB$14:$AB$262,"&lt;&gt;Hủy"),child,IFERROR(MAXIFS('Lớp 5 - Phân công'!$AE$14:$AE$262,'Lớp 5 - Phân công'!$J$14:$J$262,$I120,'Lớp 5 - Phân công'!$AB$14:$AB$262,"&lt;&gt;Hủy",'Lớp 5 - Phân công'!$AE$14:$AE$262,"&gt;0"),0),plan,'Trung tâm nhập liệu'!Q228,emergent,LOWER(TRIM('Trung tâm nhập liệu'!O228))="khi phát sinh",IF(n=0,IF(emergent,"",plan),IF(child=0,IF(emergent,"",plan),IF(OR(emergent,plan=""),child,MAX(plan,child))))))</f>
        <v/>
      </c>
      <c r="T120" s="447" t="str">
        <f>IF($I120="","",LET(n,COUNTIFS('Lớp 5 - Phân công'!$J$14:$J$262,$I120,'Lớp 5 - Phân công'!$AB$14:$AB$262,"&lt;&gt;Hủy"),child,IFERROR(MINIFS('Lớp 5 - Phân công'!$AD$14:$AD$262,'Lớp 5 - Phân công'!$J$14:$J$262,$I120,'Lớp 5 - Phân công'!$AB$14:$AB$262,"&lt;&gt;Hủy",'Lớp 5 - Phân công'!$AD$14:$AD$262,"&gt;0"),0),plan,'Trung tâm nhập liệu'!R228,emergent,LOWER(TRIM('Trung tâm nhập liệu'!O228))="khi phát sinh",IF(n=0,IF(emergent,"",plan),IF(child=0,IF(emergent,"",plan),IF(OR(emergent,plan=""),child,MIN(plan,child))))))</f>
        <v/>
      </c>
      <c r="U120" s="432"/>
      <c r="V120" s="432"/>
      <c r="W120" s="432"/>
      <c r="X120" s="450"/>
      <c r="Y120" s="432"/>
      <c r="Z120" s="432"/>
      <c r="AA120" s="425"/>
      <c r="AB120" s="441"/>
      <c r="AC120" s="447"/>
      <c r="AD120" s="445"/>
      <c r="AE120" s="457"/>
      <c r="AF120" s="458"/>
      <c r="AG120" s="461"/>
      <c r="AH120" s="466"/>
      <c r="AI120" s="468"/>
      <c r="AJ120" s="477" t="str">
        <f>IF(AL120="Chưa xếp lịch","Chưa xếp lịch",IF(AL120="Định kỳ",IF(AM120="","Thiếu chu kỳ","Theo chu kỳ"),IF(AL120="Khi phát sinh",IF(COUNTIFS('Lớp 5 - Phân công'!$J$14:$J$262,$I120,'Lớp 5 - Phân công'!$AB$14:$AB$262,"&lt;&gt;Hủy")=0,"Khi phát sinh – chờ việc con","Khi phát sinh – theo ngày con"),IF(I120="","",LET(n,COUNTIFS('Lớp 5 - Phân công'!$J$14:$J$262,$I120,'Lớp 5 - Phân công'!$AB$14:$AB$262,"&lt;&gt;Hủy"),cs,IFERROR(MINIFS('Lớp 5 - Phân công'!$AD$14:$AD$262,'Lớp 5 - Phân công'!$J$14:$J$262,$I120,'Lớp 5 - Phân công'!$AB$14:$AB$262,"&lt;&gt;Hủy",'Lớp 5 - Phân công'!$AD$14:$AD$262,"&gt;0"),0),ce,IFERROR(MAXIFS('Lớp 5 - Phân công'!$AE$14:$AE$262,'Lớp 5 - Phân công'!$J$14:$J$262,$I120,'Lớp 5 - Phân công'!$AB$14:$AB$262,"&lt;&gt;Hủy",'Lớp 5 - Phân công'!$AE$14:$AE$262,"&gt;0"),0),ps,'Trung tâm nhập liệu'!R228,pe,'Trung tâm nhập liệu'!Q228,IF(OR(AC120="",AD120=""),"Thiếu ngày L4",IF(n=0,"Chưa có L5",IF(OR(cs=0,ce=0),"Thiếu ngày L5",IF(OR(ps="",pe=""),"Thiếu ngày kế hoạch gốc L4",IF(OR(cs&lt;ps,ce&gt;pe),"Cảnh báo: Con vượt khung kế hoạch gốc","L5 đúng khung kế hoạch gốc"))))))))))</f>
        <v/>
      </c>
      <c r="AK120" s="465"/>
      <c r="AL120" s="467"/>
      <c r="AM120" s="469"/>
      <c r="AN120" s="470"/>
      <c r="AO120" s="470"/>
      <c r="AP120" s="471"/>
      <c r="AQ120" s="469"/>
      <c r="AR120" s="475"/>
      <c r="AS120" s="476"/>
      <c r="AT120" s="478"/>
      <c r="AU120" s="465"/>
      <c r="AV120" s="465"/>
      <c r="AW120" s="479"/>
    </row>
    <row r="121" ht="15.75" customHeight="1">
      <c r="A121" s="424"/>
      <c r="B121" s="425"/>
      <c r="C121" s="427"/>
      <c r="D121" s="616"/>
      <c r="E121" s="567"/>
      <c r="F121" s="431"/>
      <c r="G121" s="431"/>
      <c r="H121" s="432"/>
      <c r="I121" s="434"/>
      <c r="J121" s="432"/>
      <c r="K121" s="436"/>
      <c r="L121" s="438"/>
      <c r="M121" s="439"/>
      <c r="N121" s="439"/>
      <c r="O121" s="440"/>
      <c r="P121" s="441"/>
      <c r="Q121" s="442"/>
      <c r="R121" s="443"/>
      <c r="S121" s="445" t="str">
        <f>IF($I121="","",LET(n,COUNTIFS('Lớp 5 - Phân công'!$J$14:$J$262,$I121,'Lớp 5 - Phân công'!$AB$14:$AB$262,"&lt;&gt;Hủy"),child,IFERROR(MAXIFS('Lớp 5 - Phân công'!$AE$14:$AE$262,'Lớp 5 - Phân công'!$J$14:$J$262,$I121,'Lớp 5 - Phân công'!$AB$14:$AB$262,"&lt;&gt;Hủy",'Lớp 5 - Phân công'!$AE$14:$AE$262,"&gt;0"),0),plan,'Trung tâm nhập liệu'!Q229,emergent,LOWER(TRIM('Trung tâm nhập liệu'!O229))="khi phát sinh",IF(n=0,IF(emergent,"",plan),IF(child=0,IF(emergent,"",plan),IF(OR(emergent,plan=""),child,MAX(plan,child))))))</f>
        <v/>
      </c>
      <c r="T121" s="447" t="str">
        <f>IF($I121="","",LET(n,COUNTIFS('Lớp 5 - Phân công'!$J$14:$J$262,$I121,'Lớp 5 - Phân công'!$AB$14:$AB$262,"&lt;&gt;Hủy"),child,IFERROR(MINIFS('Lớp 5 - Phân công'!$AD$14:$AD$262,'Lớp 5 - Phân công'!$J$14:$J$262,$I121,'Lớp 5 - Phân công'!$AB$14:$AB$262,"&lt;&gt;Hủy",'Lớp 5 - Phân công'!$AD$14:$AD$262,"&gt;0"),0),plan,'Trung tâm nhập liệu'!R229,emergent,LOWER(TRIM('Trung tâm nhập liệu'!O229))="khi phát sinh",IF(n=0,IF(emergent,"",plan),IF(child=0,IF(emergent,"",plan),IF(OR(emergent,plan=""),child,MIN(plan,child))))))</f>
        <v/>
      </c>
      <c r="U121" s="432"/>
      <c r="V121" s="432"/>
      <c r="W121" s="432"/>
      <c r="X121" s="450"/>
      <c r="Y121" s="432"/>
      <c r="Z121" s="432"/>
      <c r="AA121" s="425"/>
      <c r="AB121" s="441"/>
      <c r="AC121" s="447"/>
      <c r="AD121" s="445"/>
      <c r="AE121" s="457"/>
      <c r="AF121" s="458"/>
      <c r="AG121" s="461"/>
      <c r="AH121" s="466"/>
      <c r="AI121" s="468"/>
      <c r="AJ121" s="477" t="str">
        <f>IF(AL121="Chưa xếp lịch","Chưa xếp lịch",IF(AL121="Định kỳ",IF(AM121="","Thiếu chu kỳ","Theo chu kỳ"),IF(AL121="Khi phát sinh",IF(COUNTIFS('Lớp 5 - Phân công'!$J$14:$J$262,$I121,'Lớp 5 - Phân công'!$AB$14:$AB$262,"&lt;&gt;Hủy")=0,"Khi phát sinh – chờ việc con","Khi phát sinh – theo ngày con"),IF(I121="","",LET(n,COUNTIFS('Lớp 5 - Phân công'!$J$14:$J$262,$I121,'Lớp 5 - Phân công'!$AB$14:$AB$262,"&lt;&gt;Hủy"),cs,IFERROR(MINIFS('Lớp 5 - Phân công'!$AD$14:$AD$262,'Lớp 5 - Phân công'!$J$14:$J$262,$I121,'Lớp 5 - Phân công'!$AB$14:$AB$262,"&lt;&gt;Hủy",'Lớp 5 - Phân công'!$AD$14:$AD$262,"&gt;0"),0),ce,IFERROR(MAXIFS('Lớp 5 - Phân công'!$AE$14:$AE$262,'Lớp 5 - Phân công'!$J$14:$J$262,$I121,'Lớp 5 - Phân công'!$AB$14:$AB$262,"&lt;&gt;Hủy",'Lớp 5 - Phân công'!$AE$14:$AE$262,"&gt;0"),0),ps,'Trung tâm nhập liệu'!R229,pe,'Trung tâm nhập liệu'!Q229,IF(OR(AC121="",AD121=""),"Thiếu ngày L4",IF(n=0,"Chưa có L5",IF(OR(cs=0,ce=0),"Thiếu ngày L5",IF(OR(ps="",pe=""),"Thiếu ngày kế hoạch gốc L4",IF(OR(cs&lt;ps,ce&gt;pe),"Cảnh báo: Con vượt khung kế hoạch gốc","L5 đúng khung kế hoạch gốc"))))))))))</f>
        <v/>
      </c>
      <c r="AK121" s="465"/>
      <c r="AL121" s="467"/>
      <c r="AM121" s="469"/>
      <c r="AN121" s="470"/>
      <c r="AO121" s="470"/>
      <c r="AP121" s="471"/>
      <c r="AQ121" s="469"/>
      <c r="AR121" s="475"/>
      <c r="AS121" s="476"/>
      <c r="AT121" s="478"/>
      <c r="AU121" s="465"/>
      <c r="AV121" s="465"/>
      <c r="AW121" s="479"/>
    </row>
    <row r="122" ht="15.75" customHeight="1">
      <c r="A122" s="424"/>
      <c r="B122" s="425"/>
      <c r="C122" s="427"/>
      <c r="D122" s="616"/>
      <c r="E122" s="567"/>
      <c r="F122" s="431"/>
      <c r="G122" s="431"/>
      <c r="H122" s="432"/>
      <c r="I122" s="434"/>
      <c r="J122" s="432"/>
      <c r="K122" s="436"/>
      <c r="L122" s="438"/>
      <c r="M122" s="439"/>
      <c r="N122" s="439"/>
      <c r="O122" s="440"/>
      <c r="P122" s="441"/>
      <c r="Q122" s="442"/>
      <c r="R122" s="443"/>
      <c r="S122" s="445" t="str">
        <f>IF($I122="","",LET(n,COUNTIFS('Lớp 5 - Phân công'!$J$14:$J$262,$I122,'Lớp 5 - Phân công'!$AB$14:$AB$262,"&lt;&gt;Hủy"),child,IFERROR(MAXIFS('Lớp 5 - Phân công'!$AE$14:$AE$262,'Lớp 5 - Phân công'!$J$14:$J$262,$I122,'Lớp 5 - Phân công'!$AB$14:$AB$262,"&lt;&gt;Hủy",'Lớp 5 - Phân công'!$AE$14:$AE$262,"&gt;0"),0),plan,'Trung tâm nhập liệu'!Q230,emergent,LOWER(TRIM('Trung tâm nhập liệu'!O230))="khi phát sinh",IF(n=0,IF(emergent,"",plan),IF(child=0,IF(emergent,"",plan),IF(OR(emergent,plan=""),child,MAX(plan,child))))))</f>
        <v/>
      </c>
      <c r="T122" s="447" t="str">
        <f>IF($I122="","",LET(n,COUNTIFS('Lớp 5 - Phân công'!$J$14:$J$262,$I122,'Lớp 5 - Phân công'!$AB$14:$AB$262,"&lt;&gt;Hủy"),child,IFERROR(MINIFS('Lớp 5 - Phân công'!$AD$14:$AD$262,'Lớp 5 - Phân công'!$J$14:$J$262,$I122,'Lớp 5 - Phân công'!$AB$14:$AB$262,"&lt;&gt;Hủy",'Lớp 5 - Phân công'!$AD$14:$AD$262,"&gt;0"),0),plan,'Trung tâm nhập liệu'!R230,emergent,LOWER(TRIM('Trung tâm nhập liệu'!O230))="khi phát sinh",IF(n=0,IF(emergent,"",plan),IF(child=0,IF(emergent,"",plan),IF(OR(emergent,plan=""),child,MIN(plan,child))))))</f>
        <v/>
      </c>
      <c r="U122" s="432"/>
      <c r="V122" s="432"/>
      <c r="W122" s="432"/>
      <c r="X122" s="450"/>
      <c r="Y122" s="432"/>
      <c r="Z122" s="432"/>
      <c r="AA122" s="425"/>
      <c r="AB122" s="441"/>
      <c r="AC122" s="447"/>
      <c r="AD122" s="445"/>
      <c r="AE122" s="457"/>
      <c r="AF122" s="458"/>
      <c r="AG122" s="461"/>
      <c r="AH122" s="466"/>
      <c r="AI122" s="468"/>
      <c r="AJ122" s="477" t="str">
        <f>IF(AL122="Chưa xếp lịch","Chưa xếp lịch",IF(AL122="Định kỳ",IF(AM122="","Thiếu chu kỳ","Theo chu kỳ"),IF(AL122="Khi phát sinh",IF(COUNTIFS('Lớp 5 - Phân công'!$J$14:$J$262,$I122,'Lớp 5 - Phân công'!$AB$14:$AB$262,"&lt;&gt;Hủy")=0,"Khi phát sinh – chờ việc con","Khi phát sinh – theo ngày con"),IF(I122="","",LET(n,COUNTIFS('Lớp 5 - Phân công'!$J$14:$J$262,$I122,'Lớp 5 - Phân công'!$AB$14:$AB$262,"&lt;&gt;Hủy"),cs,IFERROR(MINIFS('Lớp 5 - Phân công'!$AD$14:$AD$262,'Lớp 5 - Phân công'!$J$14:$J$262,$I122,'Lớp 5 - Phân công'!$AB$14:$AB$262,"&lt;&gt;Hủy",'Lớp 5 - Phân công'!$AD$14:$AD$262,"&gt;0"),0),ce,IFERROR(MAXIFS('Lớp 5 - Phân công'!$AE$14:$AE$262,'Lớp 5 - Phân công'!$J$14:$J$262,$I122,'Lớp 5 - Phân công'!$AB$14:$AB$262,"&lt;&gt;Hủy",'Lớp 5 - Phân công'!$AE$14:$AE$262,"&gt;0"),0),ps,'Trung tâm nhập liệu'!R230,pe,'Trung tâm nhập liệu'!Q230,IF(OR(AC122="",AD122=""),"Thiếu ngày L4",IF(n=0,"Chưa có L5",IF(OR(cs=0,ce=0),"Thiếu ngày L5",IF(OR(ps="",pe=""),"Thiếu ngày kế hoạch gốc L4",IF(OR(cs&lt;ps,ce&gt;pe),"Cảnh báo: Con vượt khung kế hoạch gốc","L5 đúng khung kế hoạch gốc"))))))))))</f>
        <v/>
      </c>
      <c r="AK122" s="465"/>
      <c r="AL122" s="467"/>
      <c r="AM122" s="469"/>
      <c r="AN122" s="470"/>
      <c r="AO122" s="470"/>
      <c r="AP122" s="471"/>
      <c r="AQ122" s="469"/>
      <c r="AR122" s="475"/>
      <c r="AS122" s="476"/>
      <c r="AT122" s="478"/>
      <c r="AU122" s="465"/>
      <c r="AV122" s="465"/>
      <c r="AW122" s="479"/>
    </row>
    <row r="123" ht="15.75" customHeight="1">
      <c r="A123" s="424"/>
      <c r="B123" s="425"/>
      <c r="C123" s="427"/>
      <c r="D123" s="616"/>
      <c r="E123" s="567"/>
      <c r="F123" s="431"/>
      <c r="G123" s="431"/>
      <c r="H123" s="432"/>
      <c r="I123" s="434"/>
      <c r="J123" s="432"/>
      <c r="K123" s="436"/>
      <c r="L123" s="438"/>
      <c r="M123" s="439"/>
      <c r="N123" s="439"/>
      <c r="O123" s="440"/>
      <c r="P123" s="441"/>
      <c r="Q123" s="442"/>
      <c r="R123" s="443"/>
      <c r="S123" s="445" t="str">
        <f>IF($I123="","",LET(n,COUNTIFS('Lớp 5 - Phân công'!$J$14:$J$262,$I123,'Lớp 5 - Phân công'!$AB$14:$AB$262,"&lt;&gt;Hủy"),child,IFERROR(MAXIFS('Lớp 5 - Phân công'!$AE$14:$AE$262,'Lớp 5 - Phân công'!$J$14:$J$262,$I123,'Lớp 5 - Phân công'!$AB$14:$AB$262,"&lt;&gt;Hủy",'Lớp 5 - Phân công'!$AE$14:$AE$262,"&gt;0"),0),plan,'Trung tâm nhập liệu'!Q231,emergent,LOWER(TRIM('Trung tâm nhập liệu'!O231))="khi phát sinh",IF(n=0,IF(emergent,"",plan),IF(child=0,IF(emergent,"",plan),IF(OR(emergent,plan=""),child,MAX(plan,child))))))</f>
        <v/>
      </c>
      <c r="T123" s="447" t="str">
        <f>IF($I123="","",LET(n,COUNTIFS('Lớp 5 - Phân công'!$J$14:$J$262,$I123,'Lớp 5 - Phân công'!$AB$14:$AB$262,"&lt;&gt;Hủy"),child,IFERROR(MINIFS('Lớp 5 - Phân công'!$AD$14:$AD$262,'Lớp 5 - Phân công'!$J$14:$J$262,$I123,'Lớp 5 - Phân công'!$AB$14:$AB$262,"&lt;&gt;Hủy",'Lớp 5 - Phân công'!$AD$14:$AD$262,"&gt;0"),0),plan,'Trung tâm nhập liệu'!R231,emergent,LOWER(TRIM('Trung tâm nhập liệu'!O231))="khi phát sinh",IF(n=0,IF(emergent,"",plan),IF(child=0,IF(emergent,"",plan),IF(OR(emergent,plan=""),child,MIN(plan,child))))))</f>
        <v/>
      </c>
      <c r="U123" s="432"/>
      <c r="V123" s="432"/>
      <c r="W123" s="432"/>
      <c r="X123" s="450"/>
      <c r="Y123" s="432"/>
      <c r="Z123" s="432"/>
      <c r="AA123" s="425"/>
      <c r="AB123" s="441"/>
      <c r="AC123" s="447"/>
      <c r="AD123" s="445"/>
      <c r="AE123" s="457"/>
      <c r="AF123" s="458"/>
      <c r="AG123" s="461"/>
      <c r="AH123" s="466"/>
      <c r="AI123" s="468"/>
      <c r="AJ123" s="477" t="str">
        <f>IF(AL123="Chưa xếp lịch","Chưa xếp lịch",IF(AL123="Định kỳ",IF(AM123="","Thiếu chu kỳ","Theo chu kỳ"),IF(AL123="Khi phát sinh",IF(COUNTIFS('Lớp 5 - Phân công'!$J$14:$J$262,$I123,'Lớp 5 - Phân công'!$AB$14:$AB$262,"&lt;&gt;Hủy")=0,"Khi phát sinh – chờ việc con","Khi phát sinh – theo ngày con"),IF(I123="","",LET(n,COUNTIFS('Lớp 5 - Phân công'!$J$14:$J$262,$I123,'Lớp 5 - Phân công'!$AB$14:$AB$262,"&lt;&gt;Hủy"),cs,IFERROR(MINIFS('Lớp 5 - Phân công'!$AD$14:$AD$262,'Lớp 5 - Phân công'!$J$14:$J$262,$I123,'Lớp 5 - Phân công'!$AB$14:$AB$262,"&lt;&gt;Hủy",'Lớp 5 - Phân công'!$AD$14:$AD$262,"&gt;0"),0),ce,IFERROR(MAXIFS('Lớp 5 - Phân công'!$AE$14:$AE$262,'Lớp 5 - Phân công'!$J$14:$J$262,$I123,'Lớp 5 - Phân công'!$AB$14:$AB$262,"&lt;&gt;Hủy",'Lớp 5 - Phân công'!$AE$14:$AE$262,"&gt;0"),0),ps,'Trung tâm nhập liệu'!R231,pe,'Trung tâm nhập liệu'!Q231,IF(OR(AC123="",AD123=""),"Thiếu ngày L4",IF(n=0,"Chưa có L5",IF(OR(cs=0,ce=0),"Thiếu ngày L5",IF(OR(ps="",pe=""),"Thiếu ngày kế hoạch gốc L4",IF(OR(cs&lt;ps,ce&gt;pe),"Cảnh báo: Con vượt khung kế hoạch gốc","L5 đúng khung kế hoạch gốc"))))))))))</f>
        <v/>
      </c>
      <c r="AK123" s="465"/>
      <c r="AL123" s="467"/>
      <c r="AM123" s="469"/>
      <c r="AN123" s="470"/>
      <c r="AO123" s="470"/>
      <c r="AP123" s="471"/>
      <c r="AQ123" s="469"/>
      <c r="AR123" s="475"/>
      <c r="AS123" s="476"/>
      <c r="AT123" s="478"/>
      <c r="AU123" s="465"/>
      <c r="AV123" s="465"/>
      <c r="AW123" s="479"/>
    </row>
    <row r="124" ht="15.75" customHeight="1">
      <c r="A124" s="424"/>
      <c r="B124" s="425"/>
      <c r="C124" s="427"/>
      <c r="D124" s="616"/>
      <c r="E124" s="567"/>
      <c r="F124" s="431"/>
      <c r="G124" s="431"/>
      <c r="H124" s="432"/>
      <c r="I124" s="434"/>
      <c r="J124" s="432"/>
      <c r="K124" s="436"/>
      <c r="L124" s="438"/>
      <c r="M124" s="439"/>
      <c r="N124" s="439"/>
      <c r="O124" s="440"/>
      <c r="P124" s="441"/>
      <c r="Q124" s="442"/>
      <c r="R124" s="443"/>
      <c r="S124" s="445" t="str">
        <f>IF($I124="","",LET(n,COUNTIFS('Lớp 5 - Phân công'!$J$14:$J$262,$I124,'Lớp 5 - Phân công'!$AB$14:$AB$262,"&lt;&gt;Hủy"),child,IFERROR(MAXIFS('Lớp 5 - Phân công'!$AE$14:$AE$262,'Lớp 5 - Phân công'!$J$14:$J$262,$I124,'Lớp 5 - Phân công'!$AB$14:$AB$262,"&lt;&gt;Hủy",'Lớp 5 - Phân công'!$AE$14:$AE$262,"&gt;0"),0),plan,'Trung tâm nhập liệu'!Q232,emergent,LOWER(TRIM('Trung tâm nhập liệu'!O232))="khi phát sinh",IF(n=0,IF(emergent,"",plan),IF(child=0,IF(emergent,"",plan),IF(OR(emergent,plan=""),child,MAX(plan,child))))))</f>
        <v/>
      </c>
      <c r="T124" s="447" t="str">
        <f>IF($I124="","",LET(n,COUNTIFS('Lớp 5 - Phân công'!$J$14:$J$262,$I124,'Lớp 5 - Phân công'!$AB$14:$AB$262,"&lt;&gt;Hủy"),child,IFERROR(MINIFS('Lớp 5 - Phân công'!$AD$14:$AD$262,'Lớp 5 - Phân công'!$J$14:$J$262,$I124,'Lớp 5 - Phân công'!$AB$14:$AB$262,"&lt;&gt;Hủy",'Lớp 5 - Phân công'!$AD$14:$AD$262,"&gt;0"),0),plan,'Trung tâm nhập liệu'!R232,emergent,LOWER(TRIM('Trung tâm nhập liệu'!O232))="khi phát sinh",IF(n=0,IF(emergent,"",plan),IF(child=0,IF(emergent,"",plan),IF(OR(emergent,plan=""),child,MIN(plan,child))))))</f>
        <v/>
      </c>
      <c r="U124" s="432"/>
      <c r="V124" s="432"/>
      <c r="W124" s="432"/>
      <c r="X124" s="450"/>
      <c r="Y124" s="432"/>
      <c r="Z124" s="432"/>
      <c r="AA124" s="425"/>
      <c r="AB124" s="441"/>
      <c r="AC124" s="447"/>
      <c r="AD124" s="445"/>
      <c r="AE124" s="457"/>
      <c r="AF124" s="458"/>
      <c r="AG124" s="461"/>
      <c r="AH124" s="466"/>
      <c r="AI124" s="468"/>
      <c r="AJ124" s="477" t="str">
        <f>IF(AL124="Chưa xếp lịch","Chưa xếp lịch",IF(AL124="Định kỳ",IF(AM124="","Thiếu chu kỳ","Theo chu kỳ"),IF(AL124="Khi phát sinh",IF(COUNTIFS('Lớp 5 - Phân công'!$J$14:$J$262,$I124,'Lớp 5 - Phân công'!$AB$14:$AB$262,"&lt;&gt;Hủy")=0,"Khi phát sinh – chờ việc con","Khi phát sinh – theo ngày con"),IF(I124="","",LET(n,COUNTIFS('Lớp 5 - Phân công'!$J$14:$J$262,$I124,'Lớp 5 - Phân công'!$AB$14:$AB$262,"&lt;&gt;Hủy"),cs,IFERROR(MINIFS('Lớp 5 - Phân công'!$AD$14:$AD$262,'Lớp 5 - Phân công'!$J$14:$J$262,$I124,'Lớp 5 - Phân công'!$AB$14:$AB$262,"&lt;&gt;Hủy",'Lớp 5 - Phân công'!$AD$14:$AD$262,"&gt;0"),0),ce,IFERROR(MAXIFS('Lớp 5 - Phân công'!$AE$14:$AE$262,'Lớp 5 - Phân công'!$J$14:$J$262,$I124,'Lớp 5 - Phân công'!$AB$14:$AB$262,"&lt;&gt;Hủy",'Lớp 5 - Phân công'!$AE$14:$AE$262,"&gt;0"),0),ps,'Trung tâm nhập liệu'!R232,pe,'Trung tâm nhập liệu'!Q232,IF(OR(AC124="",AD124=""),"Thiếu ngày L4",IF(n=0,"Chưa có L5",IF(OR(cs=0,ce=0),"Thiếu ngày L5",IF(OR(ps="",pe=""),"Thiếu ngày kế hoạch gốc L4",IF(OR(cs&lt;ps,ce&gt;pe),"Cảnh báo: Con vượt khung kế hoạch gốc","L5 đúng khung kế hoạch gốc"))))))))))</f>
        <v/>
      </c>
      <c r="AK124" s="465"/>
      <c r="AL124" s="467"/>
      <c r="AM124" s="469"/>
      <c r="AN124" s="470"/>
      <c r="AO124" s="470"/>
      <c r="AP124" s="471"/>
      <c r="AQ124" s="469"/>
      <c r="AR124" s="475"/>
      <c r="AS124" s="476"/>
      <c r="AT124" s="478"/>
      <c r="AU124" s="465"/>
      <c r="AV124" s="465"/>
      <c r="AW124" s="479"/>
    </row>
    <row r="125" ht="15.75" customHeight="1">
      <c r="A125" s="424"/>
      <c r="B125" s="425"/>
      <c r="C125" s="427"/>
      <c r="D125" s="616"/>
      <c r="E125" s="567"/>
      <c r="F125" s="431"/>
      <c r="G125" s="431"/>
      <c r="H125" s="432"/>
      <c r="I125" s="434"/>
      <c r="J125" s="432"/>
      <c r="K125" s="436"/>
      <c r="L125" s="438"/>
      <c r="M125" s="439"/>
      <c r="N125" s="439"/>
      <c r="O125" s="440"/>
      <c r="P125" s="441"/>
      <c r="Q125" s="442"/>
      <c r="R125" s="443"/>
      <c r="S125" s="445" t="str">
        <f>IF($I125="","",LET(n,COUNTIFS('Lớp 5 - Phân công'!$J$14:$J$262,$I125,'Lớp 5 - Phân công'!$AB$14:$AB$262,"&lt;&gt;Hủy"),child,IFERROR(MAXIFS('Lớp 5 - Phân công'!$AE$14:$AE$262,'Lớp 5 - Phân công'!$J$14:$J$262,$I125,'Lớp 5 - Phân công'!$AB$14:$AB$262,"&lt;&gt;Hủy",'Lớp 5 - Phân công'!$AE$14:$AE$262,"&gt;0"),0),plan,'Trung tâm nhập liệu'!Q233,emergent,LOWER(TRIM('Trung tâm nhập liệu'!O233))="khi phát sinh",IF(n=0,IF(emergent,"",plan),IF(child=0,IF(emergent,"",plan),IF(OR(emergent,plan=""),child,MAX(plan,child))))))</f>
        <v/>
      </c>
      <c r="T125" s="447" t="str">
        <f>IF($I125="","",LET(n,COUNTIFS('Lớp 5 - Phân công'!$J$14:$J$262,$I125,'Lớp 5 - Phân công'!$AB$14:$AB$262,"&lt;&gt;Hủy"),child,IFERROR(MINIFS('Lớp 5 - Phân công'!$AD$14:$AD$262,'Lớp 5 - Phân công'!$J$14:$J$262,$I125,'Lớp 5 - Phân công'!$AB$14:$AB$262,"&lt;&gt;Hủy",'Lớp 5 - Phân công'!$AD$14:$AD$262,"&gt;0"),0),plan,'Trung tâm nhập liệu'!R233,emergent,LOWER(TRIM('Trung tâm nhập liệu'!O233))="khi phát sinh",IF(n=0,IF(emergent,"",plan),IF(child=0,IF(emergent,"",plan),IF(OR(emergent,plan=""),child,MIN(plan,child))))))</f>
        <v/>
      </c>
      <c r="U125" s="432"/>
      <c r="V125" s="432"/>
      <c r="W125" s="432"/>
      <c r="X125" s="450"/>
      <c r="Y125" s="432"/>
      <c r="Z125" s="432"/>
      <c r="AA125" s="425"/>
      <c r="AB125" s="441"/>
      <c r="AC125" s="447"/>
      <c r="AD125" s="445"/>
      <c r="AE125" s="457"/>
      <c r="AF125" s="458"/>
      <c r="AG125" s="461"/>
      <c r="AH125" s="466"/>
      <c r="AI125" s="468"/>
      <c r="AJ125" s="477" t="str">
        <f>IF(AL125="Chưa xếp lịch","Chưa xếp lịch",IF(AL125="Định kỳ",IF(AM125="","Thiếu chu kỳ","Theo chu kỳ"),IF(AL125="Khi phát sinh",IF(COUNTIFS('Lớp 5 - Phân công'!$J$14:$J$262,$I125,'Lớp 5 - Phân công'!$AB$14:$AB$262,"&lt;&gt;Hủy")=0,"Khi phát sinh – chờ việc con","Khi phát sinh – theo ngày con"),IF(I125="","",LET(n,COUNTIFS('Lớp 5 - Phân công'!$J$14:$J$262,$I125,'Lớp 5 - Phân công'!$AB$14:$AB$262,"&lt;&gt;Hủy"),cs,IFERROR(MINIFS('Lớp 5 - Phân công'!$AD$14:$AD$262,'Lớp 5 - Phân công'!$J$14:$J$262,$I125,'Lớp 5 - Phân công'!$AB$14:$AB$262,"&lt;&gt;Hủy",'Lớp 5 - Phân công'!$AD$14:$AD$262,"&gt;0"),0),ce,IFERROR(MAXIFS('Lớp 5 - Phân công'!$AE$14:$AE$262,'Lớp 5 - Phân công'!$J$14:$J$262,$I125,'Lớp 5 - Phân công'!$AB$14:$AB$262,"&lt;&gt;Hủy",'Lớp 5 - Phân công'!$AE$14:$AE$262,"&gt;0"),0),ps,'Trung tâm nhập liệu'!R233,pe,'Trung tâm nhập liệu'!Q233,IF(OR(AC125="",AD125=""),"Thiếu ngày L4",IF(n=0,"Chưa có L5",IF(OR(cs=0,ce=0),"Thiếu ngày L5",IF(OR(ps="",pe=""),"Thiếu ngày kế hoạch gốc L4",IF(OR(cs&lt;ps,ce&gt;pe),"Cảnh báo: Con vượt khung kế hoạch gốc","L5 đúng khung kế hoạch gốc"))))))))))</f>
        <v/>
      </c>
      <c r="AK125" s="465"/>
      <c r="AL125" s="467"/>
      <c r="AM125" s="469"/>
      <c r="AN125" s="470"/>
      <c r="AO125" s="470"/>
      <c r="AP125" s="471"/>
      <c r="AQ125" s="469"/>
      <c r="AR125" s="475"/>
      <c r="AS125" s="476"/>
      <c r="AT125" s="478"/>
      <c r="AU125" s="465"/>
      <c r="AV125" s="465"/>
      <c r="AW125" s="479"/>
    </row>
    <row r="126" ht="15.75" customHeight="1">
      <c r="A126" s="424"/>
      <c r="B126" s="425"/>
      <c r="C126" s="427"/>
      <c r="D126" s="616"/>
      <c r="E126" s="567"/>
      <c r="F126" s="431"/>
      <c r="G126" s="431"/>
      <c r="H126" s="432"/>
      <c r="I126" s="434"/>
      <c r="J126" s="432"/>
      <c r="K126" s="436"/>
      <c r="L126" s="438"/>
      <c r="M126" s="439"/>
      <c r="N126" s="439"/>
      <c r="O126" s="440"/>
      <c r="P126" s="441"/>
      <c r="Q126" s="442"/>
      <c r="R126" s="443"/>
      <c r="S126" s="445" t="str">
        <f>IF($I126="","",LET(n,COUNTIFS('Lớp 5 - Phân công'!$J$14:$J$262,$I126,'Lớp 5 - Phân công'!$AB$14:$AB$262,"&lt;&gt;Hủy"),child,IFERROR(MAXIFS('Lớp 5 - Phân công'!$AE$14:$AE$262,'Lớp 5 - Phân công'!$J$14:$J$262,$I126,'Lớp 5 - Phân công'!$AB$14:$AB$262,"&lt;&gt;Hủy",'Lớp 5 - Phân công'!$AE$14:$AE$262,"&gt;0"),0),plan,'Trung tâm nhập liệu'!Q234,emergent,LOWER(TRIM('Trung tâm nhập liệu'!O234))="khi phát sinh",IF(n=0,IF(emergent,"",plan),IF(child=0,IF(emergent,"",plan),IF(OR(emergent,plan=""),child,MAX(plan,child))))))</f>
        <v/>
      </c>
      <c r="T126" s="447" t="str">
        <f>IF($I126="","",LET(n,COUNTIFS('Lớp 5 - Phân công'!$J$14:$J$262,$I126,'Lớp 5 - Phân công'!$AB$14:$AB$262,"&lt;&gt;Hủy"),child,IFERROR(MINIFS('Lớp 5 - Phân công'!$AD$14:$AD$262,'Lớp 5 - Phân công'!$J$14:$J$262,$I126,'Lớp 5 - Phân công'!$AB$14:$AB$262,"&lt;&gt;Hủy",'Lớp 5 - Phân công'!$AD$14:$AD$262,"&gt;0"),0),plan,'Trung tâm nhập liệu'!R234,emergent,LOWER(TRIM('Trung tâm nhập liệu'!O234))="khi phát sinh",IF(n=0,IF(emergent,"",plan),IF(child=0,IF(emergent,"",plan),IF(OR(emergent,plan=""),child,MIN(plan,child))))))</f>
        <v/>
      </c>
      <c r="U126" s="432"/>
      <c r="V126" s="432"/>
      <c r="W126" s="432"/>
      <c r="X126" s="450"/>
      <c r="Y126" s="432"/>
      <c r="Z126" s="432"/>
      <c r="AA126" s="425"/>
      <c r="AB126" s="441"/>
      <c r="AC126" s="447"/>
      <c r="AD126" s="445"/>
      <c r="AE126" s="457"/>
      <c r="AF126" s="458"/>
      <c r="AG126" s="461"/>
      <c r="AH126" s="466"/>
      <c r="AI126" s="468"/>
      <c r="AJ126" s="477" t="str">
        <f>IF(AL126="Chưa xếp lịch","Chưa xếp lịch",IF(AL126="Định kỳ",IF(AM126="","Thiếu chu kỳ","Theo chu kỳ"),IF(AL126="Khi phát sinh",IF(COUNTIFS('Lớp 5 - Phân công'!$J$14:$J$262,$I126,'Lớp 5 - Phân công'!$AB$14:$AB$262,"&lt;&gt;Hủy")=0,"Khi phát sinh – chờ việc con","Khi phát sinh – theo ngày con"),IF(I126="","",LET(n,COUNTIFS('Lớp 5 - Phân công'!$J$14:$J$262,$I126,'Lớp 5 - Phân công'!$AB$14:$AB$262,"&lt;&gt;Hủy"),cs,IFERROR(MINIFS('Lớp 5 - Phân công'!$AD$14:$AD$262,'Lớp 5 - Phân công'!$J$14:$J$262,$I126,'Lớp 5 - Phân công'!$AB$14:$AB$262,"&lt;&gt;Hủy",'Lớp 5 - Phân công'!$AD$14:$AD$262,"&gt;0"),0),ce,IFERROR(MAXIFS('Lớp 5 - Phân công'!$AE$14:$AE$262,'Lớp 5 - Phân công'!$J$14:$J$262,$I126,'Lớp 5 - Phân công'!$AB$14:$AB$262,"&lt;&gt;Hủy",'Lớp 5 - Phân công'!$AE$14:$AE$262,"&gt;0"),0),ps,'Trung tâm nhập liệu'!R234,pe,'Trung tâm nhập liệu'!Q234,IF(OR(AC126="",AD126=""),"Thiếu ngày L4",IF(n=0,"Chưa có L5",IF(OR(cs=0,ce=0),"Thiếu ngày L5",IF(OR(ps="",pe=""),"Thiếu ngày kế hoạch gốc L4",IF(OR(cs&lt;ps,ce&gt;pe),"Cảnh báo: Con vượt khung kế hoạch gốc","L5 đúng khung kế hoạch gốc"))))))))))</f>
        <v/>
      </c>
      <c r="AK126" s="465"/>
      <c r="AL126" s="467"/>
      <c r="AM126" s="469"/>
      <c r="AN126" s="470"/>
      <c r="AO126" s="470"/>
      <c r="AP126" s="471"/>
      <c r="AQ126" s="469"/>
      <c r="AR126" s="475"/>
      <c r="AS126" s="476"/>
      <c r="AT126" s="478"/>
      <c r="AU126" s="465"/>
      <c r="AV126" s="465"/>
      <c r="AW126" s="479"/>
    </row>
    <row r="127" ht="15.75" customHeight="1">
      <c r="A127" s="424"/>
      <c r="B127" s="425"/>
      <c r="C127" s="427"/>
      <c r="D127" s="616"/>
      <c r="E127" s="567"/>
      <c r="F127" s="431"/>
      <c r="G127" s="431"/>
      <c r="H127" s="432"/>
      <c r="I127" s="434"/>
      <c r="J127" s="432"/>
      <c r="K127" s="436"/>
      <c r="L127" s="438"/>
      <c r="M127" s="439"/>
      <c r="N127" s="439"/>
      <c r="O127" s="440"/>
      <c r="P127" s="441"/>
      <c r="Q127" s="442"/>
      <c r="R127" s="443"/>
      <c r="S127" s="445" t="str">
        <f>IF($I127="","",LET(n,COUNTIFS('Lớp 5 - Phân công'!$J$14:$J$262,$I127,'Lớp 5 - Phân công'!$AB$14:$AB$262,"&lt;&gt;Hủy"),child,IFERROR(MAXIFS('Lớp 5 - Phân công'!$AE$14:$AE$262,'Lớp 5 - Phân công'!$J$14:$J$262,$I127,'Lớp 5 - Phân công'!$AB$14:$AB$262,"&lt;&gt;Hủy",'Lớp 5 - Phân công'!$AE$14:$AE$262,"&gt;0"),0),plan,'Trung tâm nhập liệu'!Q235,emergent,LOWER(TRIM('Trung tâm nhập liệu'!O235))="khi phát sinh",IF(n=0,IF(emergent,"",plan),IF(child=0,IF(emergent,"",plan),IF(OR(emergent,plan=""),child,MAX(plan,child))))))</f>
        <v/>
      </c>
      <c r="T127" s="447" t="str">
        <f>IF($I127="","",LET(n,COUNTIFS('Lớp 5 - Phân công'!$J$14:$J$262,$I127,'Lớp 5 - Phân công'!$AB$14:$AB$262,"&lt;&gt;Hủy"),child,IFERROR(MINIFS('Lớp 5 - Phân công'!$AD$14:$AD$262,'Lớp 5 - Phân công'!$J$14:$J$262,$I127,'Lớp 5 - Phân công'!$AB$14:$AB$262,"&lt;&gt;Hủy",'Lớp 5 - Phân công'!$AD$14:$AD$262,"&gt;0"),0),plan,'Trung tâm nhập liệu'!R235,emergent,LOWER(TRIM('Trung tâm nhập liệu'!O235))="khi phát sinh",IF(n=0,IF(emergent,"",plan),IF(child=0,IF(emergent,"",plan),IF(OR(emergent,plan=""),child,MIN(plan,child))))))</f>
        <v/>
      </c>
      <c r="U127" s="432"/>
      <c r="V127" s="432"/>
      <c r="W127" s="432"/>
      <c r="X127" s="450"/>
      <c r="Y127" s="432"/>
      <c r="Z127" s="432"/>
      <c r="AA127" s="425"/>
      <c r="AB127" s="441"/>
      <c r="AC127" s="447"/>
      <c r="AD127" s="445"/>
      <c r="AE127" s="457"/>
      <c r="AF127" s="458"/>
      <c r="AG127" s="461"/>
      <c r="AH127" s="466"/>
      <c r="AI127" s="468"/>
      <c r="AJ127" s="477" t="str">
        <f>IF(AL127="Chưa xếp lịch","Chưa xếp lịch",IF(AL127="Định kỳ",IF(AM127="","Thiếu chu kỳ","Theo chu kỳ"),IF(AL127="Khi phát sinh",IF(COUNTIFS('Lớp 5 - Phân công'!$J$14:$J$262,$I127,'Lớp 5 - Phân công'!$AB$14:$AB$262,"&lt;&gt;Hủy")=0,"Khi phát sinh – chờ việc con","Khi phát sinh – theo ngày con"),IF(I127="","",LET(n,COUNTIFS('Lớp 5 - Phân công'!$J$14:$J$262,$I127,'Lớp 5 - Phân công'!$AB$14:$AB$262,"&lt;&gt;Hủy"),cs,IFERROR(MINIFS('Lớp 5 - Phân công'!$AD$14:$AD$262,'Lớp 5 - Phân công'!$J$14:$J$262,$I127,'Lớp 5 - Phân công'!$AB$14:$AB$262,"&lt;&gt;Hủy",'Lớp 5 - Phân công'!$AD$14:$AD$262,"&gt;0"),0),ce,IFERROR(MAXIFS('Lớp 5 - Phân công'!$AE$14:$AE$262,'Lớp 5 - Phân công'!$J$14:$J$262,$I127,'Lớp 5 - Phân công'!$AB$14:$AB$262,"&lt;&gt;Hủy",'Lớp 5 - Phân công'!$AE$14:$AE$262,"&gt;0"),0),ps,'Trung tâm nhập liệu'!R235,pe,'Trung tâm nhập liệu'!Q235,IF(OR(AC127="",AD127=""),"Thiếu ngày L4",IF(n=0,"Chưa có L5",IF(OR(cs=0,ce=0),"Thiếu ngày L5",IF(OR(ps="",pe=""),"Thiếu ngày kế hoạch gốc L4",IF(OR(cs&lt;ps,ce&gt;pe),"Cảnh báo: Con vượt khung kế hoạch gốc","L5 đúng khung kế hoạch gốc"))))))))))</f>
        <v/>
      </c>
      <c r="AK127" s="465"/>
      <c r="AL127" s="467"/>
      <c r="AM127" s="469"/>
      <c r="AN127" s="470"/>
      <c r="AO127" s="470"/>
      <c r="AP127" s="471"/>
      <c r="AQ127" s="469"/>
      <c r="AR127" s="475"/>
      <c r="AS127" s="476"/>
      <c r="AT127" s="478"/>
      <c r="AU127" s="465"/>
      <c r="AV127" s="465"/>
      <c r="AW127" s="479"/>
    </row>
    <row r="128" ht="15.75" customHeight="1">
      <c r="A128" s="424"/>
      <c r="B128" s="425"/>
      <c r="C128" s="427"/>
      <c r="D128" s="616"/>
      <c r="E128" s="567"/>
      <c r="F128" s="431"/>
      <c r="G128" s="431"/>
      <c r="H128" s="432"/>
      <c r="I128" s="434"/>
      <c r="J128" s="432"/>
      <c r="K128" s="436"/>
      <c r="L128" s="438"/>
      <c r="M128" s="439"/>
      <c r="N128" s="439"/>
      <c r="O128" s="440"/>
      <c r="P128" s="441"/>
      <c r="Q128" s="442"/>
      <c r="R128" s="443"/>
      <c r="S128" s="445" t="str">
        <f>IF($I128="","",LET(n,COUNTIFS('Lớp 5 - Phân công'!$J$14:$J$262,$I128,'Lớp 5 - Phân công'!$AB$14:$AB$262,"&lt;&gt;Hủy"),child,IFERROR(MAXIFS('Lớp 5 - Phân công'!$AE$14:$AE$262,'Lớp 5 - Phân công'!$J$14:$J$262,$I128,'Lớp 5 - Phân công'!$AB$14:$AB$262,"&lt;&gt;Hủy",'Lớp 5 - Phân công'!$AE$14:$AE$262,"&gt;0"),0),plan,'Trung tâm nhập liệu'!Q236,emergent,LOWER(TRIM('Trung tâm nhập liệu'!O236))="khi phát sinh",IF(n=0,IF(emergent,"",plan),IF(child=0,IF(emergent,"",plan),IF(OR(emergent,plan=""),child,MAX(plan,child))))))</f>
        <v/>
      </c>
      <c r="T128" s="447" t="str">
        <f>IF($I128="","",LET(n,COUNTIFS('Lớp 5 - Phân công'!$J$14:$J$262,$I128,'Lớp 5 - Phân công'!$AB$14:$AB$262,"&lt;&gt;Hủy"),child,IFERROR(MINIFS('Lớp 5 - Phân công'!$AD$14:$AD$262,'Lớp 5 - Phân công'!$J$14:$J$262,$I128,'Lớp 5 - Phân công'!$AB$14:$AB$262,"&lt;&gt;Hủy",'Lớp 5 - Phân công'!$AD$14:$AD$262,"&gt;0"),0),plan,'Trung tâm nhập liệu'!R236,emergent,LOWER(TRIM('Trung tâm nhập liệu'!O236))="khi phát sinh",IF(n=0,IF(emergent,"",plan),IF(child=0,IF(emergent,"",plan),IF(OR(emergent,plan=""),child,MIN(plan,child))))))</f>
        <v/>
      </c>
      <c r="U128" s="432"/>
      <c r="V128" s="432"/>
      <c r="W128" s="432"/>
      <c r="X128" s="450"/>
      <c r="Y128" s="432"/>
      <c r="Z128" s="432"/>
      <c r="AA128" s="425"/>
      <c r="AB128" s="441"/>
      <c r="AC128" s="447"/>
      <c r="AD128" s="445"/>
      <c r="AE128" s="457"/>
      <c r="AF128" s="458"/>
      <c r="AG128" s="461"/>
      <c r="AH128" s="466"/>
      <c r="AI128" s="468"/>
      <c r="AJ128" s="477" t="str">
        <f>IF(AL128="Chưa xếp lịch","Chưa xếp lịch",IF(AL128="Định kỳ",IF(AM128="","Thiếu chu kỳ","Theo chu kỳ"),IF(AL128="Khi phát sinh",IF(COUNTIFS('Lớp 5 - Phân công'!$J$14:$J$262,$I128,'Lớp 5 - Phân công'!$AB$14:$AB$262,"&lt;&gt;Hủy")=0,"Khi phát sinh – chờ việc con","Khi phát sinh – theo ngày con"),IF(I128="","",LET(n,COUNTIFS('Lớp 5 - Phân công'!$J$14:$J$262,$I128,'Lớp 5 - Phân công'!$AB$14:$AB$262,"&lt;&gt;Hủy"),cs,IFERROR(MINIFS('Lớp 5 - Phân công'!$AD$14:$AD$262,'Lớp 5 - Phân công'!$J$14:$J$262,$I128,'Lớp 5 - Phân công'!$AB$14:$AB$262,"&lt;&gt;Hủy",'Lớp 5 - Phân công'!$AD$14:$AD$262,"&gt;0"),0),ce,IFERROR(MAXIFS('Lớp 5 - Phân công'!$AE$14:$AE$262,'Lớp 5 - Phân công'!$J$14:$J$262,$I128,'Lớp 5 - Phân công'!$AB$14:$AB$262,"&lt;&gt;Hủy",'Lớp 5 - Phân công'!$AE$14:$AE$262,"&gt;0"),0),ps,'Trung tâm nhập liệu'!R236,pe,'Trung tâm nhập liệu'!Q236,IF(OR(AC128="",AD128=""),"Thiếu ngày L4",IF(n=0,"Chưa có L5",IF(OR(cs=0,ce=0),"Thiếu ngày L5",IF(OR(ps="",pe=""),"Thiếu ngày kế hoạch gốc L4",IF(OR(cs&lt;ps,ce&gt;pe),"Cảnh báo: Con vượt khung kế hoạch gốc","L5 đúng khung kế hoạch gốc"))))))))))</f>
        <v/>
      </c>
      <c r="AK128" s="465"/>
      <c r="AL128" s="467"/>
      <c r="AM128" s="469"/>
      <c r="AN128" s="470"/>
      <c r="AO128" s="470"/>
      <c r="AP128" s="471"/>
      <c r="AQ128" s="469"/>
      <c r="AR128" s="475"/>
      <c r="AS128" s="476"/>
      <c r="AT128" s="478"/>
      <c r="AU128" s="465"/>
      <c r="AV128" s="465"/>
      <c r="AW128" s="479"/>
    </row>
    <row r="129" ht="15.75" customHeight="1">
      <c r="A129" s="424"/>
      <c r="B129" s="425"/>
      <c r="C129" s="427"/>
      <c r="D129" s="616"/>
      <c r="E129" s="567"/>
      <c r="F129" s="431"/>
      <c r="G129" s="431"/>
      <c r="H129" s="432"/>
      <c r="I129" s="434"/>
      <c r="J129" s="432"/>
      <c r="K129" s="436"/>
      <c r="L129" s="438"/>
      <c r="M129" s="439"/>
      <c r="N129" s="439"/>
      <c r="O129" s="440"/>
      <c r="P129" s="441"/>
      <c r="Q129" s="442"/>
      <c r="R129" s="443"/>
      <c r="S129" s="445" t="str">
        <f>IF($I129="","",LET(n,COUNTIFS('Lớp 5 - Phân công'!$J$14:$J$262,$I129,'Lớp 5 - Phân công'!$AB$14:$AB$262,"&lt;&gt;Hủy"),child,IFERROR(MAXIFS('Lớp 5 - Phân công'!$AE$14:$AE$262,'Lớp 5 - Phân công'!$J$14:$J$262,$I129,'Lớp 5 - Phân công'!$AB$14:$AB$262,"&lt;&gt;Hủy",'Lớp 5 - Phân công'!$AE$14:$AE$262,"&gt;0"),0),plan,'Trung tâm nhập liệu'!Q237,emergent,LOWER(TRIM('Trung tâm nhập liệu'!O237))="khi phát sinh",IF(n=0,IF(emergent,"",plan),IF(child=0,IF(emergent,"",plan),IF(OR(emergent,plan=""),child,MAX(plan,child))))))</f>
        <v/>
      </c>
      <c r="T129" s="447" t="str">
        <f>IF($I129="","",LET(n,COUNTIFS('Lớp 5 - Phân công'!$J$14:$J$262,$I129,'Lớp 5 - Phân công'!$AB$14:$AB$262,"&lt;&gt;Hủy"),child,IFERROR(MINIFS('Lớp 5 - Phân công'!$AD$14:$AD$262,'Lớp 5 - Phân công'!$J$14:$J$262,$I129,'Lớp 5 - Phân công'!$AB$14:$AB$262,"&lt;&gt;Hủy",'Lớp 5 - Phân công'!$AD$14:$AD$262,"&gt;0"),0),plan,'Trung tâm nhập liệu'!R237,emergent,LOWER(TRIM('Trung tâm nhập liệu'!O237))="khi phát sinh",IF(n=0,IF(emergent,"",plan),IF(child=0,IF(emergent,"",plan),IF(OR(emergent,plan=""),child,MIN(plan,child))))))</f>
        <v/>
      </c>
      <c r="U129" s="432"/>
      <c r="V129" s="432"/>
      <c r="W129" s="432"/>
      <c r="X129" s="450"/>
      <c r="Y129" s="432"/>
      <c r="Z129" s="432"/>
      <c r="AA129" s="425"/>
      <c r="AB129" s="441"/>
      <c r="AC129" s="447"/>
      <c r="AD129" s="445"/>
      <c r="AE129" s="457"/>
      <c r="AF129" s="458"/>
      <c r="AG129" s="461"/>
      <c r="AH129" s="466"/>
      <c r="AI129" s="468"/>
      <c r="AJ129" s="477" t="str">
        <f>IF(AL129="Chưa xếp lịch","Chưa xếp lịch",IF(AL129="Định kỳ",IF(AM129="","Thiếu chu kỳ","Theo chu kỳ"),IF(AL129="Khi phát sinh",IF(COUNTIFS('Lớp 5 - Phân công'!$J$14:$J$262,$I129,'Lớp 5 - Phân công'!$AB$14:$AB$262,"&lt;&gt;Hủy")=0,"Khi phát sinh – chờ việc con","Khi phát sinh – theo ngày con"),IF(I129="","",LET(n,COUNTIFS('Lớp 5 - Phân công'!$J$14:$J$262,$I129,'Lớp 5 - Phân công'!$AB$14:$AB$262,"&lt;&gt;Hủy"),cs,IFERROR(MINIFS('Lớp 5 - Phân công'!$AD$14:$AD$262,'Lớp 5 - Phân công'!$J$14:$J$262,$I129,'Lớp 5 - Phân công'!$AB$14:$AB$262,"&lt;&gt;Hủy",'Lớp 5 - Phân công'!$AD$14:$AD$262,"&gt;0"),0),ce,IFERROR(MAXIFS('Lớp 5 - Phân công'!$AE$14:$AE$262,'Lớp 5 - Phân công'!$J$14:$J$262,$I129,'Lớp 5 - Phân công'!$AB$14:$AB$262,"&lt;&gt;Hủy",'Lớp 5 - Phân công'!$AE$14:$AE$262,"&gt;0"),0),ps,'Trung tâm nhập liệu'!R237,pe,'Trung tâm nhập liệu'!Q237,IF(OR(AC129="",AD129=""),"Thiếu ngày L4",IF(n=0,"Chưa có L5",IF(OR(cs=0,ce=0),"Thiếu ngày L5",IF(OR(ps="",pe=""),"Thiếu ngày kế hoạch gốc L4",IF(OR(cs&lt;ps,ce&gt;pe),"Cảnh báo: Con vượt khung kế hoạch gốc","L5 đúng khung kế hoạch gốc"))))))))))</f>
        <v/>
      </c>
      <c r="AK129" s="465"/>
      <c r="AL129" s="467"/>
      <c r="AM129" s="469"/>
      <c r="AN129" s="470"/>
      <c r="AO129" s="470"/>
      <c r="AP129" s="471"/>
      <c r="AQ129" s="469"/>
      <c r="AR129" s="475"/>
      <c r="AS129" s="476"/>
      <c r="AT129" s="478"/>
      <c r="AU129" s="465"/>
      <c r="AV129" s="465"/>
      <c r="AW129" s="479"/>
    </row>
    <row r="130" ht="15.75" customHeight="1">
      <c r="A130" s="424"/>
      <c r="B130" s="425"/>
      <c r="C130" s="427"/>
      <c r="D130" s="616"/>
      <c r="E130" s="567"/>
      <c r="F130" s="431"/>
      <c r="G130" s="431"/>
      <c r="H130" s="432"/>
      <c r="I130" s="434"/>
      <c r="J130" s="432"/>
      <c r="K130" s="436"/>
      <c r="L130" s="438"/>
      <c r="M130" s="439"/>
      <c r="N130" s="439"/>
      <c r="O130" s="440"/>
      <c r="P130" s="441"/>
      <c r="Q130" s="442"/>
      <c r="R130" s="443"/>
      <c r="S130" s="445" t="str">
        <f>IF($I130="","",LET(n,COUNTIFS('Lớp 5 - Phân công'!$J$14:$J$262,$I130,'Lớp 5 - Phân công'!$AB$14:$AB$262,"&lt;&gt;Hủy"),child,IFERROR(MAXIFS('Lớp 5 - Phân công'!$AE$14:$AE$262,'Lớp 5 - Phân công'!$J$14:$J$262,$I130,'Lớp 5 - Phân công'!$AB$14:$AB$262,"&lt;&gt;Hủy",'Lớp 5 - Phân công'!$AE$14:$AE$262,"&gt;0"),0),plan,'Trung tâm nhập liệu'!Q238,emergent,LOWER(TRIM('Trung tâm nhập liệu'!O238))="khi phát sinh",IF(n=0,IF(emergent,"",plan),IF(child=0,IF(emergent,"",plan),IF(OR(emergent,plan=""),child,MAX(plan,child))))))</f>
        <v/>
      </c>
      <c r="T130" s="447" t="str">
        <f>IF($I130="","",LET(n,COUNTIFS('Lớp 5 - Phân công'!$J$14:$J$262,$I130,'Lớp 5 - Phân công'!$AB$14:$AB$262,"&lt;&gt;Hủy"),child,IFERROR(MINIFS('Lớp 5 - Phân công'!$AD$14:$AD$262,'Lớp 5 - Phân công'!$J$14:$J$262,$I130,'Lớp 5 - Phân công'!$AB$14:$AB$262,"&lt;&gt;Hủy",'Lớp 5 - Phân công'!$AD$14:$AD$262,"&gt;0"),0),plan,'Trung tâm nhập liệu'!R238,emergent,LOWER(TRIM('Trung tâm nhập liệu'!O238))="khi phát sinh",IF(n=0,IF(emergent,"",plan),IF(child=0,IF(emergent,"",plan),IF(OR(emergent,plan=""),child,MIN(plan,child))))))</f>
        <v/>
      </c>
      <c r="U130" s="432"/>
      <c r="V130" s="432"/>
      <c r="W130" s="432"/>
      <c r="X130" s="450"/>
      <c r="Y130" s="432"/>
      <c r="Z130" s="432"/>
      <c r="AA130" s="425"/>
      <c r="AB130" s="441"/>
      <c r="AC130" s="447"/>
      <c r="AD130" s="445"/>
      <c r="AE130" s="457"/>
      <c r="AF130" s="458"/>
      <c r="AG130" s="461"/>
      <c r="AH130" s="466"/>
      <c r="AI130" s="468"/>
      <c r="AJ130" s="477" t="str">
        <f>IF(AL130="Chưa xếp lịch","Chưa xếp lịch",IF(AL130="Định kỳ",IF(AM130="","Thiếu chu kỳ","Theo chu kỳ"),IF(AL130="Khi phát sinh",IF(COUNTIFS('Lớp 5 - Phân công'!$J$14:$J$262,$I130,'Lớp 5 - Phân công'!$AB$14:$AB$262,"&lt;&gt;Hủy")=0,"Khi phát sinh – chờ việc con","Khi phát sinh – theo ngày con"),IF(I130="","",LET(n,COUNTIFS('Lớp 5 - Phân công'!$J$14:$J$262,$I130,'Lớp 5 - Phân công'!$AB$14:$AB$262,"&lt;&gt;Hủy"),cs,IFERROR(MINIFS('Lớp 5 - Phân công'!$AD$14:$AD$262,'Lớp 5 - Phân công'!$J$14:$J$262,$I130,'Lớp 5 - Phân công'!$AB$14:$AB$262,"&lt;&gt;Hủy",'Lớp 5 - Phân công'!$AD$14:$AD$262,"&gt;0"),0),ce,IFERROR(MAXIFS('Lớp 5 - Phân công'!$AE$14:$AE$262,'Lớp 5 - Phân công'!$J$14:$J$262,$I130,'Lớp 5 - Phân công'!$AB$14:$AB$262,"&lt;&gt;Hủy",'Lớp 5 - Phân công'!$AE$14:$AE$262,"&gt;0"),0),ps,'Trung tâm nhập liệu'!R238,pe,'Trung tâm nhập liệu'!Q238,IF(OR(AC130="",AD130=""),"Thiếu ngày L4",IF(n=0,"Chưa có L5",IF(OR(cs=0,ce=0),"Thiếu ngày L5",IF(OR(ps="",pe=""),"Thiếu ngày kế hoạch gốc L4",IF(OR(cs&lt;ps,ce&gt;pe),"Cảnh báo: Con vượt khung kế hoạch gốc","L5 đúng khung kế hoạch gốc"))))))))))</f>
        <v/>
      </c>
      <c r="AK130" s="465"/>
      <c r="AL130" s="467"/>
      <c r="AM130" s="469"/>
      <c r="AN130" s="470"/>
      <c r="AO130" s="470"/>
      <c r="AP130" s="471"/>
      <c r="AQ130" s="469"/>
      <c r="AR130" s="475"/>
      <c r="AS130" s="476"/>
      <c r="AT130" s="478"/>
      <c r="AU130" s="465"/>
      <c r="AV130" s="465"/>
      <c r="AW130" s="479"/>
    </row>
    <row r="131" ht="15.75" customHeight="1">
      <c r="A131" s="424"/>
      <c r="B131" s="425"/>
      <c r="C131" s="427"/>
      <c r="D131" s="616"/>
      <c r="E131" s="567"/>
      <c r="F131" s="431"/>
      <c r="G131" s="431"/>
      <c r="H131" s="432"/>
      <c r="I131" s="434"/>
      <c r="J131" s="432"/>
      <c r="K131" s="436"/>
      <c r="L131" s="438"/>
      <c r="M131" s="439"/>
      <c r="N131" s="439"/>
      <c r="O131" s="440"/>
      <c r="P131" s="441"/>
      <c r="Q131" s="442"/>
      <c r="R131" s="443"/>
      <c r="S131" s="445" t="str">
        <f>IF($I131="","",LET(n,COUNTIFS('Lớp 5 - Phân công'!$J$14:$J$262,$I131,'Lớp 5 - Phân công'!$AB$14:$AB$262,"&lt;&gt;Hủy"),child,IFERROR(MAXIFS('Lớp 5 - Phân công'!$AE$14:$AE$262,'Lớp 5 - Phân công'!$J$14:$J$262,$I131,'Lớp 5 - Phân công'!$AB$14:$AB$262,"&lt;&gt;Hủy",'Lớp 5 - Phân công'!$AE$14:$AE$262,"&gt;0"),0),plan,'Trung tâm nhập liệu'!Q239,emergent,LOWER(TRIM('Trung tâm nhập liệu'!O239))="khi phát sinh",IF(n=0,IF(emergent,"",plan),IF(child=0,IF(emergent,"",plan),IF(OR(emergent,plan=""),child,MAX(plan,child))))))</f>
        <v/>
      </c>
      <c r="T131" s="447" t="str">
        <f>IF($I131="","",LET(n,COUNTIFS('Lớp 5 - Phân công'!$J$14:$J$262,$I131,'Lớp 5 - Phân công'!$AB$14:$AB$262,"&lt;&gt;Hủy"),child,IFERROR(MINIFS('Lớp 5 - Phân công'!$AD$14:$AD$262,'Lớp 5 - Phân công'!$J$14:$J$262,$I131,'Lớp 5 - Phân công'!$AB$14:$AB$262,"&lt;&gt;Hủy",'Lớp 5 - Phân công'!$AD$14:$AD$262,"&gt;0"),0),plan,'Trung tâm nhập liệu'!R239,emergent,LOWER(TRIM('Trung tâm nhập liệu'!O239))="khi phát sinh",IF(n=0,IF(emergent,"",plan),IF(child=0,IF(emergent,"",plan),IF(OR(emergent,plan=""),child,MIN(plan,child))))))</f>
        <v/>
      </c>
      <c r="U131" s="432"/>
      <c r="V131" s="432"/>
      <c r="W131" s="432"/>
      <c r="X131" s="450"/>
      <c r="Y131" s="432"/>
      <c r="Z131" s="432"/>
      <c r="AA131" s="425"/>
      <c r="AB131" s="441"/>
      <c r="AC131" s="447"/>
      <c r="AD131" s="445"/>
      <c r="AE131" s="457"/>
      <c r="AF131" s="458"/>
      <c r="AG131" s="461"/>
      <c r="AH131" s="648"/>
      <c r="AI131" s="468"/>
      <c r="AJ131" s="477" t="str">
        <f>IF(AL131="Chưa xếp lịch","Chưa xếp lịch",IF(AL131="Định kỳ",IF(AM131="","Thiếu chu kỳ","Theo chu kỳ"),IF(AL131="Khi phát sinh",IF(COUNTIFS('Lớp 5 - Phân công'!$J$14:$J$262,$I131,'Lớp 5 - Phân công'!$AB$14:$AB$262,"&lt;&gt;Hủy")=0,"Khi phát sinh – chờ việc con","Khi phát sinh – theo ngày con"),IF(I131="","",LET(n,COUNTIFS('Lớp 5 - Phân công'!$J$14:$J$262,$I131,'Lớp 5 - Phân công'!$AB$14:$AB$262,"&lt;&gt;Hủy"),cs,IFERROR(MINIFS('Lớp 5 - Phân công'!$AD$14:$AD$262,'Lớp 5 - Phân công'!$J$14:$J$262,$I131,'Lớp 5 - Phân công'!$AB$14:$AB$262,"&lt;&gt;Hủy",'Lớp 5 - Phân công'!$AD$14:$AD$262,"&gt;0"),0),ce,IFERROR(MAXIFS('Lớp 5 - Phân công'!$AE$14:$AE$262,'Lớp 5 - Phân công'!$J$14:$J$262,$I131,'Lớp 5 - Phân công'!$AB$14:$AB$262,"&lt;&gt;Hủy",'Lớp 5 - Phân công'!$AE$14:$AE$262,"&gt;0"),0),ps,'Trung tâm nhập liệu'!R239,pe,'Trung tâm nhập liệu'!Q239,IF(OR(AC131="",AD131=""),"Thiếu ngày L4",IF(n=0,"Chưa có L5",IF(OR(cs=0,ce=0),"Thiếu ngày L5",IF(OR(ps="",pe=""),"Thiếu ngày kế hoạch gốc L4",IF(OR(cs&lt;ps,ce&gt;pe),"Cảnh báo: Con vượt khung kế hoạch gốc","L5 đúng khung kế hoạch gốc"))))))))))</f>
        <v/>
      </c>
      <c r="AK131" s="465"/>
      <c r="AL131" s="467"/>
      <c r="AM131" s="469"/>
      <c r="AN131" s="470"/>
      <c r="AO131" s="470"/>
      <c r="AP131" s="471"/>
      <c r="AQ131" s="469"/>
      <c r="AR131" s="475"/>
      <c r="AS131" s="476"/>
      <c r="AT131" s="478"/>
      <c r="AU131" s="465"/>
      <c r="AV131" s="465"/>
      <c r="AW131" s="479"/>
    </row>
    <row r="132" ht="15.75" customHeight="1">
      <c r="A132" s="424"/>
      <c r="B132" s="425"/>
      <c r="C132" s="427"/>
      <c r="D132" s="649"/>
      <c r="E132" s="650"/>
      <c r="F132" s="431"/>
      <c r="G132" s="431"/>
      <c r="H132" s="432"/>
      <c r="I132" s="434"/>
      <c r="J132" s="432"/>
      <c r="K132" s="651"/>
      <c r="L132" s="652"/>
      <c r="M132" s="653"/>
      <c r="N132" s="653"/>
      <c r="O132" s="440"/>
      <c r="P132" s="441"/>
      <c r="Q132" s="442"/>
      <c r="R132" s="443"/>
      <c r="S132" s="445" t="str">
        <f>IF($I132="","",LET(n,COUNTIFS('Lớp 5 - Phân công'!$J$14:$J$262,$I132,'Lớp 5 - Phân công'!$AB$14:$AB$262,"&lt;&gt;Hủy"),child,IFERROR(MAXIFS('Lớp 5 - Phân công'!$AE$14:$AE$262,'Lớp 5 - Phân công'!$J$14:$J$262,$I132,'Lớp 5 - Phân công'!$AB$14:$AB$262,"&lt;&gt;Hủy",'Lớp 5 - Phân công'!$AE$14:$AE$262,"&gt;0"),0),plan,'Trung tâm nhập liệu'!Q240,emergent,LOWER(TRIM('Trung tâm nhập liệu'!O240))="khi phát sinh",IF(n=0,IF(emergent,"",plan),IF(child=0,IF(emergent,"",plan),IF(OR(emergent,plan=""),child,MAX(plan,child))))))</f>
        <v/>
      </c>
      <c r="T132" s="447" t="str">
        <f>IF($I132="","",LET(n,COUNTIFS('Lớp 5 - Phân công'!$J$14:$J$262,$I132,'Lớp 5 - Phân công'!$AB$14:$AB$262,"&lt;&gt;Hủy"),child,IFERROR(MINIFS('Lớp 5 - Phân công'!$AD$14:$AD$262,'Lớp 5 - Phân công'!$J$14:$J$262,$I132,'Lớp 5 - Phân công'!$AB$14:$AB$262,"&lt;&gt;Hủy",'Lớp 5 - Phân công'!$AD$14:$AD$262,"&gt;0"),0),plan,'Trung tâm nhập liệu'!R240,emergent,LOWER(TRIM('Trung tâm nhập liệu'!O240))="khi phát sinh",IF(n=0,IF(emergent,"",plan),IF(child=0,IF(emergent,"",plan),IF(OR(emergent,plan=""),child,MIN(plan,child))))))</f>
        <v/>
      </c>
      <c r="U132" s="432"/>
      <c r="V132" s="432"/>
      <c r="W132" s="432"/>
      <c r="X132" s="450"/>
      <c r="Y132" s="432"/>
      <c r="Z132" s="432"/>
      <c r="AA132" s="425"/>
      <c r="AB132" s="441"/>
      <c r="AC132" s="447"/>
      <c r="AD132" s="445"/>
      <c r="AE132" s="457"/>
      <c r="AF132" s="458"/>
      <c r="AG132" s="461"/>
      <c r="AH132" s="466"/>
      <c r="AI132" s="468"/>
      <c r="AJ132" s="477" t="str">
        <f>IF(AL132="Chưa xếp lịch","Chưa xếp lịch",IF(AL132="Định kỳ",IF(AM132="","Thiếu chu kỳ","Theo chu kỳ"),IF(AL132="Khi phát sinh",IF(COUNTIFS('Lớp 5 - Phân công'!$J$14:$J$262,$I132,'Lớp 5 - Phân công'!$AB$14:$AB$262,"&lt;&gt;Hủy")=0,"Khi phát sinh – chờ việc con","Khi phát sinh – theo ngày con"),IF(I132="","",LET(n,COUNTIFS('Lớp 5 - Phân công'!$J$14:$J$262,$I132,'Lớp 5 - Phân công'!$AB$14:$AB$262,"&lt;&gt;Hủy"),cs,IFERROR(MINIFS('Lớp 5 - Phân công'!$AD$14:$AD$262,'Lớp 5 - Phân công'!$J$14:$J$262,$I132,'Lớp 5 - Phân công'!$AB$14:$AB$262,"&lt;&gt;Hủy",'Lớp 5 - Phân công'!$AD$14:$AD$262,"&gt;0"),0),ce,IFERROR(MAXIFS('Lớp 5 - Phân công'!$AE$14:$AE$262,'Lớp 5 - Phân công'!$J$14:$J$262,$I132,'Lớp 5 - Phân công'!$AB$14:$AB$262,"&lt;&gt;Hủy",'Lớp 5 - Phân công'!$AE$14:$AE$262,"&gt;0"),0),ps,'Trung tâm nhập liệu'!R240,pe,'Trung tâm nhập liệu'!Q240,IF(OR(AC132="",AD132=""),"Thiếu ngày L4",IF(n=0,"Chưa có L5",IF(OR(cs=0,ce=0),"Thiếu ngày L5",IF(OR(ps="",pe=""),"Thiếu ngày kế hoạch gốc L4",IF(OR(cs&lt;ps,ce&gt;pe),"Cảnh báo: Con vượt khung kế hoạch gốc","L5 đúng khung kế hoạch gốc"))))))))))</f>
        <v/>
      </c>
      <c r="AK132" s="465"/>
      <c r="AL132" s="467"/>
      <c r="AM132" s="469"/>
      <c r="AN132" s="470"/>
      <c r="AO132" s="470"/>
      <c r="AP132" s="471"/>
      <c r="AQ132" s="469"/>
      <c r="AR132" s="475"/>
      <c r="AS132" s="476"/>
      <c r="AT132" s="478"/>
      <c r="AU132" s="465"/>
      <c r="AV132" s="465"/>
      <c r="AW132" s="479"/>
    </row>
    <row r="133" ht="15.75" customHeight="1">
      <c r="A133" s="424"/>
      <c r="B133" s="425"/>
      <c r="C133" s="427"/>
      <c r="D133" s="649"/>
      <c r="E133" s="650"/>
      <c r="F133" s="431"/>
      <c r="G133" s="431"/>
      <c r="H133" s="432"/>
      <c r="I133" s="434"/>
      <c r="J133" s="432"/>
      <c r="K133" s="651"/>
      <c r="L133" s="652"/>
      <c r="M133" s="653"/>
      <c r="N133" s="653"/>
      <c r="O133" s="440"/>
      <c r="P133" s="441"/>
      <c r="Q133" s="442"/>
      <c r="R133" s="443"/>
      <c r="S133" s="445"/>
      <c r="T133" s="447"/>
      <c r="U133" s="432"/>
      <c r="V133" s="432"/>
      <c r="W133" s="432"/>
      <c r="X133" s="450"/>
      <c r="Y133" s="432"/>
      <c r="Z133" s="432"/>
      <c r="AA133" s="425"/>
      <c r="AB133" s="441"/>
      <c r="AC133" s="447"/>
      <c r="AD133" s="445"/>
      <c r="AE133" s="457"/>
      <c r="AF133" s="458"/>
      <c r="AG133" s="461"/>
      <c r="AH133" s="648"/>
      <c r="AI133" s="468"/>
      <c r="AJ133" s="477"/>
      <c r="AK133" s="465"/>
      <c r="AL133" s="467"/>
      <c r="AM133" s="469"/>
      <c r="AN133" s="470"/>
      <c r="AO133" s="470"/>
      <c r="AP133" s="471"/>
      <c r="AQ133" s="469"/>
      <c r="AR133" s="475"/>
      <c r="AS133" s="476"/>
      <c r="AT133" s="478"/>
      <c r="AU133" s="465"/>
      <c r="AV133" s="465"/>
      <c r="AW133" s="479"/>
    </row>
    <row r="134" ht="15.75" customHeight="1">
      <c r="A134" s="424"/>
      <c r="B134" s="425"/>
      <c r="C134" s="427"/>
      <c r="D134" s="649"/>
      <c r="E134" s="650"/>
      <c r="F134" s="431"/>
      <c r="G134" s="431"/>
      <c r="H134" s="432"/>
      <c r="I134" s="434"/>
      <c r="J134" s="432"/>
      <c r="K134" s="651"/>
      <c r="L134" s="652"/>
      <c r="M134" s="653"/>
      <c r="N134" s="653"/>
      <c r="O134" s="440"/>
      <c r="P134" s="441"/>
      <c r="Q134" s="442"/>
      <c r="R134" s="443"/>
      <c r="S134" s="445"/>
      <c r="T134" s="447"/>
      <c r="U134" s="432"/>
      <c r="V134" s="432"/>
      <c r="W134" s="432"/>
      <c r="X134" s="450"/>
      <c r="Y134" s="432"/>
      <c r="Z134" s="432"/>
      <c r="AA134" s="425"/>
      <c r="AB134" s="441"/>
      <c r="AC134" s="447"/>
      <c r="AD134" s="445"/>
      <c r="AE134" s="457"/>
      <c r="AF134" s="458"/>
      <c r="AG134" s="461"/>
      <c r="AH134" s="466"/>
      <c r="AI134" s="468"/>
      <c r="AJ134" s="477"/>
      <c r="AK134" s="465"/>
      <c r="AL134" s="467"/>
      <c r="AM134" s="469"/>
      <c r="AN134" s="470"/>
      <c r="AO134" s="470"/>
      <c r="AP134" s="471"/>
      <c r="AQ134" s="469"/>
      <c r="AR134" s="475"/>
      <c r="AS134" s="476"/>
      <c r="AT134" s="478"/>
      <c r="AU134" s="465"/>
      <c r="AV134" s="465"/>
      <c r="AW134" s="479"/>
    </row>
    <row r="135" ht="15.75" customHeight="1">
      <c r="A135" s="424"/>
      <c r="B135" s="425"/>
      <c r="C135" s="427"/>
      <c r="D135" s="649"/>
      <c r="E135" s="650"/>
      <c r="F135" s="431"/>
      <c r="G135" s="431"/>
      <c r="H135" s="432"/>
      <c r="I135" s="434"/>
      <c r="J135" s="432"/>
      <c r="K135" s="651"/>
      <c r="L135" s="652"/>
      <c r="M135" s="653"/>
      <c r="N135" s="653"/>
      <c r="O135" s="440"/>
      <c r="P135" s="441"/>
      <c r="Q135" s="442"/>
      <c r="R135" s="443"/>
      <c r="S135" s="445"/>
      <c r="T135" s="447"/>
      <c r="U135" s="432"/>
      <c r="V135" s="432"/>
      <c r="W135" s="432"/>
      <c r="X135" s="450"/>
      <c r="Y135" s="432"/>
      <c r="Z135" s="432"/>
      <c r="AA135" s="425"/>
      <c r="AB135" s="441"/>
      <c r="AC135" s="447"/>
      <c r="AD135" s="445"/>
      <c r="AE135" s="457"/>
      <c r="AF135" s="458"/>
      <c r="AG135" s="461"/>
      <c r="AH135" s="466"/>
      <c r="AI135" s="468"/>
      <c r="AJ135" s="477"/>
      <c r="AK135" s="465"/>
      <c r="AL135" s="467"/>
      <c r="AM135" s="469"/>
      <c r="AN135" s="470"/>
      <c r="AO135" s="470"/>
      <c r="AP135" s="471"/>
      <c r="AQ135" s="469"/>
      <c r="AR135" s="475"/>
      <c r="AS135" s="476"/>
      <c r="AT135" s="478"/>
      <c r="AU135" s="465"/>
      <c r="AV135" s="465"/>
      <c r="AW135" s="479"/>
    </row>
    <row r="136" ht="15.75" customHeight="1">
      <c r="A136" s="424"/>
      <c r="B136" s="425"/>
      <c r="C136" s="427"/>
      <c r="D136" s="649"/>
      <c r="E136" s="650"/>
      <c r="F136" s="431"/>
      <c r="G136" s="431"/>
      <c r="H136" s="432"/>
      <c r="I136" s="434"/>
      <c r="J136" s="432"/>
      <c r="K136" s="651"/>
      <c r="L136" s="652"/>
      <c r="M136" s="653"/>
      <c r="N136" s="653"/>
      <c r="O136" s="440"/>
      <c r="P136" s="441"/>
      <c r="Q136" s="442"/>
      <c r="R136" s="443"/>
      <c r="S136" s="445"/>
      <c r="T136" s="447"/>
      <c r="U136" s="432"/>
      <c r="V136" s="432"/>
      <c r="W136" s="432"/>
      <c r="X136" s="450"/>
      <c r="Y136" s="432"/>
      <c r="Z136" s="432"/>
      <c r="AA136" s="425"/>
      <c r="AB136" s="441"/>
      <c r="AC136" s="447"/>
      <c r="AD136" s="445"/>
      <c r="AE136" s="457"/>
      <c r="AF136" s="458"/>
      <c r="AG136" s="461"/>
      <c r="AH136" s="466"/>
      <c r="AI136" s="468"/>
      <c r="AJ136" s="477"/>
      <c r="AK136" s="465"/>
      <c r="AL136" s="467"/>
      <c r="AM136" s="469"/>
      <c r="AN136" s="470"/>
      <c r="AO136" s="470"/>
      <c r="AP136" s="471"/>
      <c r="AQ136" s="469"/>
      <c r="AR136" s="475"/>
      <c r="AS136" s="476"/>
      <c r="AT136" s="478"/>
      <c r="AU136" s="465"/>
      <c r="AV136" s="465"/>
      <c r="AW136" s="479"/>
    </row>
    <row r="137" ht="15.75" customHeight="1">
      <c r="A137" s="424"/>
      <c r="B137" s="425"/>
      <c r="C137" s="427"/>
      <c r="D137" s="649"/>
      <c r="E137" s="650"/>
      <c r="F137" s="431"/>
      <c r="G137" s="431"/>
      <c r="H137" s="432"/>
      <c r="I137" s="434"/>
      <c r="J137" s="432"/>
      <c r="K137" s="651"/>
      <c r="L137" s="652"/>
      <c r="M137" s="653"/>
      <c r="N137" s="653"/>
      <c r="O137" s="440"/>
      <c r="P137" s="441"/>
      <c r="Q137" s="442"/>
      <c r="R137" s="443"/>
      <c r="S137" s="445"/>
      <c r="T137" s="447"/>
      <c r="U137" s="432"/>
      <c r="V137" s="432"/>
      <c r="W137" s="432"/>
      <c r="X137" s="450"/>
      <c r="Y137" s="432"/>
      <c r="Z137" s="432"/>
      <c r="AA137" s="425"/>
      <c r="AB137" s="441"/>
      <c r="AC137" s="447"/>
      <c r="AD137" s="445"/>
      <c r="AE137" s="457"/>
      <c r="AF137" s="458"/>
      <c r="AG137" s="461"/>
      <c r="AH137" s="466"/>
      <c r="AI137" s="468"/>
      <c r="AJ137" s="477"/>
      <c r="AK137" s="465"/>
      <c r="AL137" s="467"/>
      <c r="AM137" s="469"/>
      <c r="AN137" s="470"/>
      <c r="AO137" s="470"/>
      <c r="AP137" s="471"/>
      <c r="AQ137" s="469"/>
      <c r="AR137" s="475"/>
      <c r="AS137" s="476"/>
      <c r="AT137" s="478"/>
      <c r="AU137" s="465"/>
      <c r="AV137" s="465"/>
      <c r="AW137" s="479"/>
    </row>
    <row r="138" ht="15.75" customHeight="1">
      <c r="AC138" s="654"/>
      <c r="AD138" s="654"/>
    </row>
    <row r="139" ht="15.75" customHeight="1">
      <c r="AC139" s="654"/>
      <c r="AD139" s="654"/>
    </row>
    <row r="140" ht="15.75" customHeight="1">
      <c r="AC140" s="654"/>
      <c r="AD140" s="654"/>
    </row>
    <row r="141" ht="15.75" customHeight="1">
      <c r="AC141" s="654"/>
      <c r="AD141" s="654"/>
    </row>
    <row r="142" ht="15.75" customHeight="1">
      <c r="AC142" s="654"/>
      <c r="AD142" s="654"/>
    </row>
    <row r="143" ht="15.75" customHeight="1">
      <c r="AC143" s="654"/>
      <c r="AD143" s="654"/>
    </row>
    <row r="144" ht="15.75" customHeight="1">
      <c r="AC144" s="654"/>
      <c r="AD144" s="654"/>
    </row>
    <row r="145" ht="15.75" customHeight="1">
      <c r="AC145" s="654"/>
      <c r="AD145" s="654"/>
    </row>
    <row r="146" ht="15.75" customHeight="1">
      <c r="AC146" s="654"/>
      <c r="AD146" s="654"/>
    </row>
    <row r="147" ht="15.75" customHeight="1">
      <c r="AC147" s="654"/>
      <c r="AD147" s="654"/>
    </row>
    <row r="148" ht="15.75" customHeight="1">
      <c r="AC148" s="654"/>
      <c r="AD148" s="654"/>
    </row>
    <row r="149" ht="15.75" customHeight="1">
      <c r="AC149" s="654"/>
      <c r="AD149" s="654"/>
    </row>
    <row r="150" ht="15.75" customHeight="1">
      <c r="AC150" s="654"/>
      <c r="AD150" s="654"/>
    </row>
    <row r="151" ht="15.75" customHeight="1">
      <c r="AC151" s="654"/>
      <c r="AD151" s="654"/>
    </row>
    <row r="152" ht="15.75" customHeight="1">
      <c r="AC152" s="654"/>
      <c r="AD152" s="654"/>
    </row>
    <row r="153" ht="15.75" customHeight="1">
      <c r="AC153" s="654"/>
      <c r="AD153" s="654"/>
    </row>
    <row r="154" ht="15.75" customHeight="1">
      <c r="AC154" s="654"/>
      <c r="AD154" s="654"/>
    </row>
    <row r="155" ht="15.75" customHeight="1">
      <c r="AC155" s="654"/>
      <c r="AD155" s="654"/>
    </row>
    <row r="156" ht="15.75" customHeight="1">
      <c r="AC156" s="654"/>
      <c r="AD156" s="654"/>
    </row>
    <row r="157" ht="15.75" customHeight="1">
      <c r="AC157" s="654"/>
      <c r="AD157" s="654"/>
    </row>
    <row r="158" ht="15.75" customHeight="1">
      <c r="AC158" s="654"/>
      <c r="AD158" s="654"/>
    </row>
    <row r="159" ht="15.75" customHeight="1">
      <c r="AC159" s="654"/>
      <c r="AD159" s="654"/>
    </row>
    <row r="160" ht="15.75" customHeight="1">
      <c r="AC160" s="654"/>
      <c r="AD160" s="654"/>
    </row>
    <row r="161" ht="15.75" customHeight="1">
      <c r="AC161" s="654"/>
      <c r="AD161" s="654"/>
    </row>
    <row r="162" ht="15.75" customHeight="1">
      <c r="AC162" s="654"/>
      <c r="AD162" s="654"/>
    </row>
    <row r="163" ht="15.75" customHeight="1">
      <c r="AC163" s="654"/>
      <c r="AD163" s="654"/>
    </row>
    <row r="164" ht="15.75" customHeight="1">
      <c r="AC164" s="654"/>
      <c r="AD164" s="654"/>
    </row>
    <row r="165" ht="15.75" customHeight="1">
      <c r="AC165" s="654"/>
      <c r="AD165" s="654"/>
    </row>
    <row r="166" ht="15.75" customHeight="1">
      <c r="AC166" s="654"/>
      <c r="AD166" s="654"/>
    </row>
    <row r="167" ht="15.75" customHeight="1">
      <c r="AC167" s="654"/>
      <c r="AD167" s="654"/>
    </row>
    <row r="168" ht="15.75" customHeight="1">
      <c r="AC168" s="654"/>
      <c r="AD168" s="654"/>
    </row>
    <row r="169" ht="15.75" customHeight="1">
      <c r="AC169" s="654"/>
      <c r="AD169" s="654"/>
    </row>
    <row r="170" ht="15.75" customHeight="1">
      <c r="AC170" s="654"/>
      <c r="AD170" s="654"/>
    </row>
    <row r="171" ht="15.75" customHeight="1">
      <c r="AC171" s="654"/>
      <c r="AD171" s="654"/>
    </row>
    <row r="172" ht="15.75" customHeight="1">
      <c r="AC172" s="654"/>
      <c r="AD172" s="654"/>
    </row>
    <row r="173" ht="15.75" customHeight="1">
      <c r="AC173" s="654"/>
      <c r="AD173" s="654"/>
    </row>
    <row r="174" ht="15.75" customHeight="1">
      <c r="AC174" s="654"/>
      <c r="AD174" s="654"/>
    </row>
    <row r="175" ht="15.75" customHeight="1">
      <c r="AC175" s="654"/>
      <c r="AD175" s="654"/>
    </row>
    <row r="176" ht="15.75" customHeight="1">
      <c r="AC176" s="654"/>
      <c r="AD176" s="654"/>
    </row>
    <row r="177" ht="15.75" customHeight="1">
      <c r="AC177" s="654"/>
      <c r="AD177" s="654"/>
    </row>
    <row r="178" ht="15.75" customHeight="1">
      <c r="AC178" s="654"/>
      <c r="AD178" s="654"/>
    </row>
    <row r="179" ht="15.75" customHeight="1">
      <c r="AC179" s="654"/>
      <c r="AD179" s="654"/>
    </row>
    <row r="180" ht="15.75" customHeight="1">
      <c r="AC180" s="654"/>
      <c r="AD180" s="654"/>
    </row>
    <row r="181" ht="15.75" customHeight="1">
      <c r="AC181" s="654"/>
      <c r="AD181" s="654"/>
    </row>
    <row r="182" ht="15.75" customHeight="1">
      <c r="AC182" s="654"/>
      <c r="AD182" s="654"/>
    </row>
    <row r="183" ht="15.75" customHeight="1">
      <c r="AC183" s="654"/>
      <c r="AD183" s="654"/>
    </row>
    <row r="184" ht="15.75" customHeight="1">
      <c r="AC184" s="654"/>
      <c r="AD184" s="654"/>
    </row>
    <row r="185" ht="15.75" customHeight="1">
      <c r="AC185" s="654"/>
      <c r="AD185" s="654"/>
    </row>
    <row r="186" ht="15.75" customHeight="1">
      <c r="AC186" s="654"/>
      <c r="AD186" s="654"/>
    </row>
    <row r="187" ht="15.75" customHeight="1">
      <c r="AC187" s="654"/>
      <c r="AD187" s="654"/>
    </row>
    <row r="188" ht="15.75" customHeight="1">
      <c r="AC188" s="654"/>
      <c r="AD188" s="654"/>
    </row>
    <row r="189" ht="15.75" customHeight="1">
      <c r="AC189" s="654"/>
      <c r="AD189" s="654"/>
    </row>
    <row r="190" ht="15.75" customHeight="1">
      <c r="AC190" s="654"/>
      <c r="AD190" s="654"/>
    </row>
    <row r="191" ht="15.75" customHeight="1">
      <c r="AC191" s="654"/>
      <c r="AD191" s="654"/>
    </row>
    <row r="192" ht="15.75" customHeight="1">
      <c r="AC192" s="654"/>
      <c r="AD192" s="654"/>
    </row>
    <row r="193" ht="15.75" customHeight="1">
      <c r="AC193" s="654"/>
      <c r="AD193" s="654"/>
    </row>
    <row r="194" ht="15.75" customHeight="1">
      <c r="AC194" s="654"/>
      <c r="AD194" s="654"/>
    </row>
    <row r="195" ht="15.75" customHeight="1">
      <c r="AC195" s="654"/>
      <c r="AD195" s="654"/>
    </row>
    <row r="196" ht="15.75" customHeight="1">
      <c r="AC196" s="654"/>
      <c r="AD196" s="654"/>
    </row>
    <row r="197" ht="15.75" customHeight="1">
      <c r="AC197" s="654"/>
      <c r="AD197" s="654"/>
    </row>
    <row r="198" ht="15.75" customHeight="1">
      <c r="AC198" s="654"/>
      <c r="AD198" s="654"/>
    </row>
    <row r="199" ht="15.75" customHeight="1">
      <c r="AC199" s="654"/>
      <c r="AD199" s="654"/>
    </row>
    <row r="200" ht="15.75" customHeight="1">
      <c r="AC200" s="654"/>
      <c r="AD200" s="654"/>
    </row>
    <row r="201" ht="15.75" customHeight="1">
      <c r="AC201" s="654"/>
      <c r="AD201" s="654"/>
    </row>
    <row r="202" ht="15.75" customHeight="1">
      <c r="AC202" s="654"/>
      <c r="AD202" s="654"/>
    </row>
    <row r="203" ht="15.75" customHeight="1">
      <c r="AC203" s="654"/>
      <c r="AD203" s="654"/>
    </row>
    <row r="204" ht="15.75" customHeight="1">
      <c r="AC204" s="654"/>
      <c r="AD204" s="654"/>
    </row>
    <row r="205" ht="15.75" customHeight="1">
      <c r="AC205" s="654"/>
      <c r="AD205" s="654"/>
    </row>
    <row r="206" ht="15.75" customHeight="1">
      <c r="AC206" s="654"/>
      <c r="AD206" s="654"/>
    </row>
    <row r="207" ht="15.75" customHeight="1">
      <c r="AC207" s="654"/>
      <c r="AD207" s="654"/>
    </row>
    <row r="208" ht="15.75" customHeight="1">
      <c r="AC208" s="654"/>
      <c r="AD208" s="654"/>
    </row>
    <row r="209" ht="15.75" customHeight="1">
      <c r="AC209" s="654"/>
      <c r="AD209" s="654"/>
    </row>
    <row r="210" ht="15.75" customHeight="1">
      <c r="AC210" s="654"/>
      <c r="AD210" s="654"/>
    </row>
    <row r="211" ht="15.75" customHeight="1">
      <c r="AC211" s="654"/>
      <c r="AD211" s="654"/>
    </row>
    <row r="212" ht="15.75" customHeight="1">
      <c r="AC212" s="654"/>
      <c r="AD212" s="654"/>
    </row>
    <row r="213" ht="15.75" customHeight="1">
      <c r="AC213" s="654"/>
      <c r="AD213" s="654"/>
    </row>
    <row r="214" ht="15.75" customHeight="1">
      <c r="AC214" s="654"/>
      <c r="AD214" s="654"/>
    </row>
    <row r="215" ht="15.75" customHeight="1">
      <c r="AC215" s="654"/>
      <c r="AD215" s="654"/>
    </row>
    <row r="216" ht="15.75" customHeight="1">
      <c r="AC216" s="654"/>
      <c r="AD216" s="654"/>
    </row>
    <row r="217" ht="15.75" customHeight="1">
      <c r="AC217" s="654"/>
      <c r="AD217" s="654"/>
    </row>
    <row r="218" ht="15.75" customHeight="1">
      <c r="AC218" s="654"/>
      <c r="AD218" s="654"/>
    </row>
    <row r="219" ht="15.75" customHeight="1">
      <c r="AC219" s="654"/>
      <c r="AD219" s="654"/>
    </row>
    <row r="220" ht="15.75" customHeight="1">
      <c r="AC220" s="654"/>
      <c r="AD220" s="654"/>
    </row>
    <row r="221" ht="15.75" customHeight="1">
      <c r="AC221" s="654"/>
      <c r="AD221" s="654"/>
    </row>
    <row r="222" ht="15.75" customHeight="1">
      <c r="AC222" s="654"/>
      <c r="AD222" s="654"/>
    </row>
    <row r="223" ht="15.75" customHeight="1">
      <c r="AC223" s="654"/>
      <c r="AD223" s="654"/>
    </row>
    <row r="224" ht="15.75" customHeight="1">
      <c r="AC224" s="654"/>
      <c r="AD224" s="654"/>
    </row>
    <row r="225" ht="15.75" customHeight="1">
      <c r="AC225" s="654"/>
      <c r="AD225" s="654"/>
    </row>
    <row r="226" ht="15.75" customHeight="1">
      <c r="AC226" s="654"/>
      <c r="AD226" s="654"/>
    </row>
    <row r="227" ht="15.75" customHeight="1">
      <c r="AC227" s="654"/>
      <c r="AD227" s="654"/>
    </row>
    <row r="228" ht="15.75" customHeight="1">
      <c r="AC228" s="654"/>
      <c r="AD228" s="654"/>
    </row>
    <row r="229" ht="15.75" customHeight="1">
      <c r="AC229" s="654"/>
      <c r="AD229" s="654"/>
    </row>
    <row r="230" ht="15.75" customHeight="1">
      <c r="AC230" s="654"/>
      <c r="AD230" s="654"/>
    </row>
    <row r="231" ht="15.75" customHeight="1">
      <c r="AC231" s="654"/>
      <c r="AD231" s="654"/>
    </row>
    <row r="232" ht="15.75" customHeight="1">
      <c r="AC232" s="654"/>
      <c r="AD232" s="654"/>
    </row>
    <row r="233" ht="15.75" customHeight="1">
      <c r="AC233" s="654"/>
      <c r="AD233" s="654"/>
    </row>
    <row r="234" ht="15.75" customHeight="1">
      <c r="AC234" s="654"/>
      <c r="AD234" s="654"/>
    </row>
    <row r="235" ht="15.75" customHeight="1">
      <c r="AC235" s="654"/>
      <c r="AD235" s="654"/>
    </row>
    <row r="236" ht="15.75" customHeight="1">
      <c r="AC236" s="654"/>
      <c r="AD236" s="654"/>
    </row>
    <row r="237" ht="15.75" customHeight="1">
      <c r="AC237" s="654"/>
      <c r="AD237" s="654"/>
    </row>
    <row r="238" ht="15.75" customHeight="1">
      <c r="AC238" s="654"/>
      <c r="AD238" s="654"/>
    </row>
    <row r="239" ht="15.75" customHeight="1">
      <c r="AC239" s="654"/>
      <c r="AD239" s="654"/>
    </row>
    <row r="240" ht="15.75" customHeight="1">
      <c r="AC240" s="654"/>
      <c r="AD240" s="654"/>
    </row>
    <row r="241" ht="15.75" customHeight="1">
      <c r="AC241" s="654"/>
      <c r="AD241" s="654"/>
    </row>
    <row r="242" ht="15.75" customHeight="1">
      <c r="AC242" s="654"/>
      <c r="AD242" s="654"/>
    </row>
    <row r="243" ht="15.75" customHeight="1">
      <c r="AC243" s="654"/>
      <c r="AD243" s="654"/>
    </row>
    <row r="244" ht="15.75" customHeight="1">
      <c r="AC244" s="654"/>
      <c r="AD244" s="654"/>
    </row>
    <row r="245" ht="15.75" customHeight="1">
      <c r="AC245" s="654"/>
      <c r="AD245" s="654"/>
    </row>
    <row r="246" ht="15.75" customHeight="1">
      <c r="AC246" s="654"/>
      <c r="AD246" s="654"/>
    </row>
    <row r="247" ht="15.75" customHeight="1">
      <c r="AC247" s="654"/>
      <c r="AD247" s="654"/>
    </row>
    <row r="248" ht="15.75" customHeight="1">
      <c r="AC248" s="654"/>
      <c r="AD248" s="654"/>
    </row>
    <row r="249" ht="15.75" customHeight="1">
      <c r="AC249" s="654"/>
      <c r="AD249" s="654"/>
    </row>
    <row r="250" ht="15.75" customHeight="1">
      <c r="AC250" s="654"/>
      <c r="AD250" s="654"/>
    </row>
    <row r="251" ht="15.75" customHeight="1">
      <c r="AC251" s="654"/>
      <c r="AD251" s="654"/>
    </row>
    <row r="252" ht="15.75" customHeight="1">
      <c r="AC252" s="654"/>
      <c r="AD252" s="654"/>
    </row>
    <row r="253" ht="15.75" customHeight="1">
      <c r="AC253" s="654"/>
      <c r="AD253" s="654"/>
    </row>
    <row r="254" ht="15.75" customHeight="1">
      <c r="AC254" s="654"/>
      <c r="AD254" s="654"/>
    </row>
    <row r="255" ht="15.75" customHeight="1">
      <c r="AC255" s="654"/>
      <c r="AD255" s="654"/>
    </row>
    <row r="256" ht="15.75" customHeight="1">
      <c r="AC256" s="654"/>
      <c r="AD256" s="654"/>
    </row>
    <row r="257" ht="15.75" customHeight="1">
      <c r="AC257" s="654"/>
      <c r="AD257" s="654"/>
    </row>
    <row r="258" ht="15.75" customHeight="1">
      <c r="AC258" s="654"/>
      <c r="AD258" s="654"/>
    </row>
    <row r="259" ht="15.75" customHeight="1">
      <c r="AC259" s="654"/>
      <c r="AD259" s="654"/>
    </row>
    <row r="260" ht="15.75" customHeight="1">
      <c r="AC260" s="654"/>
      <c r="AD260" s="654"/>
    </row>
    <row r="261" ht="15.75" customHeight="1">
      <c r="AC261" s="654"/>
      <c r="AD261" s="654"/>
    </row>
    <row r="262" ht="15.75" customHeight="1">
      <c r="AC262" s="654"/>
      <c r="AD262" s="654"/>
    </row>
    <row r="263" ht="15.75" customHeight="1">
      <c r="AC263" s="654"/>
      <c r="AD263" s="654"/>
    </row>
    <row r="264" ht="15.75" customHeight="1">
      <c r="AC264" s="654"/>
      <c r="AD264" s="654"/>
    </row>
    <row r="265" ht="15.75" customHeight="1">
      <c r="AC265" s="654"/>
      <c r="AD265" s="654"/>
    </row>
    <row r="266" ht="15.75" customHeight="1">
      <c r="AC266" s="654"/>
      <c r="AD266" s="654"/>
    </row>
    <row r="267" ht="15.75" customHeight="1">
      <c r="AC267" s="654"/>
      <c r="AD267" s="654"/>
    </row>
    <row r="268" ht="15.75" customHeight="1">
      <c r="AC268" s="654"/>
      <c r="AD268" s="654"/>
    </row>
    <row r="269" ht="15.75" customHeight="1">
      <c r="AC269" s="654"/>
      <c r="AD269" s="654"/>
    </row>
    <row r="270" ht="15.75" customHeight="1">
      <c r="AC270" s="654"/>
      <c r="AD270" s="654"/>
    </row>
    <row r="271" ht="15.75" customHeight="1">
      <c r="AC271" s="654"/>
      <c r="AD271" s="654"/>
    </row>
    <row r="272" ht="15.75" customHeight="1">
      <c r="AC272" s="654"/>
      <c r="AD272" s="654"/>
    </row>
    <row r="273" ht="15.75" customHeight="1">
      <c r="AC273" s="654"/>
      <c r="AD273" s="654"/>
    </row>
    <row r="274" ht="15.75" customHeight="1">
      <c r="AC274" s="654"/>
      <c r="AD274" s="654"/>
    </row>
    <row r="275" ht="15.75" customHeight="1">
      <c r="AC275" s="654"/>
      <c r="AD275" s="654"/>
    </row>
    <row r="276" ht="15.75" customHeight="1">
      <c r="AC276" s="654"/>
      <c r="AD276" s="654"/>
    </row>
    <row r="277" ht="15.75" customHeight="1">
      <c r="AC277" s="654"/>
      <c r="AD277" s="654"/>
    </row>
    <row r="278" ht="15.75" customHeight="1">
      <c r="AC278" s="654"/>
      <c r="AD278" s="654"/>
    </row>
    <row r="279" ht="15.75" customHeight="1">
      <c r="AC279" s="654"/>
      <c r="AD279" s="654"/>
    </row>
    <row r="280" ht="15.75" customHeight="1">
      <c r="AC280" s="654"/>
      <c r="AD280" s="654"/>
    </row>
    <row r="281" ht="15.75" customHeight="1">
      <c r="AC281" s="654"/>
      <c r="AD281" s="654"/>
    </row>
    <row r="282" ht="15.75" customHeight="1">
      <c r="AC282" s="654"/>
      <c r="AD282" s="654"/>
    </row>
    <row r="283" ht="15.75" customHeight="1">
      <c r="AC283" s="654"/>
      <c r="AD283" s="654"/>
    </row>
    <row r="284" ht="15.75" customHeight="1">
      <c r="AC284" s="654"/>
      <c r="AD284" s="654"/>
    </row>
    <row r="285" ht="15.75" customHeight="1">
      <c r="AC285" s="654"/>
      <c r="AD285" s="654"/>
    </row>
    <row r="286" ht="15.75" customHeight="1">
      <c r="AC286" s="654"/>
      <c r="AD286" s="654"/>
    </row>
    <row r="287" ht="15.75" customHeight="1">
      <c r="AC287" s="654"/>
      <c r="AD287" s="654"/>
    </row>
    <row r="288" ht="15.75" customHeight="1">
      <c r="AC288" s="654"/>
      <c r="AD288" s="654"/>
    </row>
    <row r="289" ht="15.75" customHeight="1">
      <c r="AC289" s="654"/>
      <c r="AD289" s="654"/>
    </row>
    <row r="290" ht="15.75" customHeight="1">
      <c r="AC290" s="654"/>
      <c r="AD290" s="654"/>
    </row>
    <row r="291" ht="15.75" customHeight="1">
      <c r="AC291" s="654"/>
      <c r="AD291" s="654"/>
    </row>
    <row r="292" ht="15.75" customHeight="1">
      <c r="AC292" s="654"/>
      <c r="AD292" s="654"/>
    </row>
    <row r="293" ht="15.75" customHeight="1">
      <c r="AC293" s="654"/>
      <c r="AD293" s="654"/>
    </row>
    <row r="294" ht="15.75" customHeight="1">
      <c r="AC294" s="654"/>
      <c r="AD294" s="654"/>
    </row>
    <row r="295" ht="15.75" customHeight="1">
      <c r="AC295" s="654"/>
      <c r="AD295" s="654"/>
    </row>
    <row r="296" ht="15.75" customHeight="1">
      <c r="AC296" s="654"/>
      <c r="AD296" s="654"/>
    </row>
    <row r="297" ht="15.75" customHeight="1">
      <c r="AC297" s="654"/>
      <c r="AD297" s="654"/>
    </row>
    <row r="298" ht="15.75" customHeight="1">
      <c r="AC298" s="654"/>
      <c r="AD298" s="654"/>
    </row>
    <row r="299" ht="15.75" customHeight="1">
      <c r="AC299" s="654"/>
      <c r="AD299" s="654"/>
    </row>
    <row r="300" ht="15.75" customHeight="1">
      <c r="AC300" s="654"/>
      <c r="AD300" s="654"/>
    </row>
    <row r="301" ht="15.75" customHeight="1">
      <c r="AC301" s="654"/>
      <c r="AD301" s="654"/>
    </row>
    <row r="302" ht="15.75" customHeight="1">
      <c r="AC302" s="654"/>
      <c r="AD302" s="654"/>
    </row>
    <row r="303" ht="15.75" customHeight="1">
      <c r="AC303" s="654"/>
      <c r="AD303" s="654"/>
    </row>
    <row r="304" ht="15.75" customHeight="1">
      <c r="AC304" s="654"/>
      <c r="AD304" s="654"/>
    </row>
    <row r="305" ht="15.75" customHeight="1">
      <c r="AC305" s="654"/>
      <c r="AD305" s="654"/>
    </row>
    <row r="306" ht="15.75" customHeight="1">
      <c r="AC306" s="654"/>
      <c r="AD306" s="654"/>
    </row>
    <row r="307" ht="15.75" customHeight="1">
      <c r="AC307" s="654"/>
      <c r="AD307" s="654"/>
    </row>
    <row r="308" ht="15.75" customHeight="1">
      <c r="AC308" s="654"/>
      <c r="AD308" s="654"/>
    </row>
    <row r="309" ht="15.75" customHeight="1">
      <c r="AC309" s="654"/>
      <c r="AD309" s="654"/>
    </row>
    <row r="310" ht="15.75" customHeight="1">
      <c r="AC310" s="654"/>
      <c r="AD310" s="654"/>
    </row>
    <row r="311" ht="15.75" customHeight="1">
      <c r="AC311" s="654"/>
      <c r="AD311" s="654"/>
    </row>
    <row r="312" ht="15.75" customHeight="1">
      <c r="AC312" s="654"/>
      <c r="AD312" s="654"/>
    </row>
    <row r="313" ht="15.75" customHeight="1">
      <c r="AC313" s="654"/>
      <c r="AD313" s="654"/>
    </row>
    <row r="314" ht="15.75" customHeight="1">
      <c r="AC314" s="654"/>
      <c r="AD314" s="654"/>
    </row>
    <row r="315" ht="15.75" customHeight="1">
      <c r="AC315" s="654"/>
      <c r="AD315" s="654"/>
    </row>
    <row r="316" ht="15.75" customHeight="1">
      <c r="AC316" s="654"/>
      <c r="AD316" s="654"/>
    </row>
    <row r="317" ht="15.75" customHeight="1">
      <c r="AC317" s="654"/>
      <c r="AD317" s="654"/>
    </row>
    <row r="318" ht="15.75" customHeight="1">
      <c r="AC318" s="654"/>
      <c r="AD318" s="654"/>
    </row>
    <row r="319" ht="15.75" customHeight="1">
      <c r="AC319" s="654"/>
      <c r="AD319" s="654"/>
    </row>
    <row r="320" ht="15.75" customHeight="1">
      <c r="AC320" s="654"/>
      <c r="AD320" s="654"/>
    </row>
    <row r="321" ht="15.75" customHeight="1">
      <c r="AC321" s="654"/>
      <c r="AD321" s="654"/>
    </row>
    <row r="322" ht="15.75" customHeight="1">
      <c r="AC322" s="654"/>
      <c r="AD322" s="654"/>
    </row>
    <row r="323" ht="15.75" customHeight="1">
      <c r="AC323" s="654"/>
      <c r="AD323" s="654"/>
    </row>
    <row r="324" ht="15.75" customHeight="1">
      <c r="AC324" s="654"/>
      <c r="AD324" s="654"/>
    </row>
    <row r="325" ht="15.75" customHeight="1">
      <c r="AC325" s="654"/>
      <c r="AD325" s="654"/>
    </row>
    <row r="326" ht="15.75" customHeight="1">
      <c r="AC326" s="654"/>
      <c r="AD326" s="654"/>
    </row>
    <row r="327" ht="15.75" customHeight="1">
      <c r="AC327" s="654"/>
      <c r="AD327" s="654"/>
    </row>
    <row r="328" ht="15.75" customHeight="1">
      <c r="AC328" s="654"/>
      <c r="AD328" s="654"/>
    </row>
    <row r="329" ht="15.75" customHeight="1">
      <c r="AC329" s="654"/>
      <c r="AD329" s="654"/>
    </row>
    <row r="330" ht="15.75" customHeight="1">
      <c r="AC330" s="654"/>
      <c r="AD330" s="654"/>
    </row>
    <row r="331" ht="15.75" customHeight="1">
      <c r="AC331" s="654"/>
      <c r="AD331" s="654"/>
    </row>
    <row r="332" ht="15.75" customHeight="1">
      <c r="AC332" s="654"/>
      <c r="AD332" s="654"/>
    </row>
    <row r="333" ht="15.75" customHeight="1">
      <c r="AC333" s="654"/>
      <c r="AD333" s="654"/>
    </row>
    <row r="334" ht="15.75" customHeight="1">
      <c r="AC334" s="654"/>
      <c r="AD334" s="654"/>
    </row>
    <row r="335" ht="15.75" customHeight="1">
      <c r="AC335" s="654"/>
      <c r="AD335" s="654"/>
    </row>
    <row r="336" ht="15.75" customHeight="1">
      <c r="AC336" s="654"/>
      <c r="AD336" s="654"/>
    </row>
    <row r="337" ht="15.75" customHeight="1">
      <c r="AC337" s="654"/>
      <c r="AD337" s="654"/>
    </row>
    <row r="338" ht="15.75" customHeight="1">
      <c r="AC338" s="654"/>
      <c r="AD338" s="654"/>
    </row>
    <row r="339" ht="15.75" customHeight="1">
      <c r="AC339" s="654"/>
      <c r="AD339" s="654"/>
    </row>
    <row r="340" ht="15.75" customHeight="1">
      <c r="AC340" s="654"/>
      <c r="AD340" s="654"/>
    </row>
    <row r="341" ht="15.75" customHeight="1">
      <c r="AC341" s="654"/>
      <c r="AD341" s="654"/>
    </row>
    <row r="342" ht="15.75" customHeight="1">
      <c r="AC342" s="654"/>
      <c r="AD342" s="654"/>
    </row>
    <row r="343" ht="15.75" customHeight="1">
      <c r="AC343" s="654"/>
      <c r="AD343" s="654"/>
    </row>
    <row r="344" ht="15.75" customHeight="1">
      <c r="AC344" s="654"/>
      <c r="AD344" s="654"/>
    </row>
    <row r="345" ht="15.75" customHeight="1">
      <c r="AC345" s="654"/>
      <c r="AD345" s="654"/>
    </row>
    <row r="346" ht="15.75" customHeight="1">
      <c r="AC346" s="654"/>
      <c r="AD346" s="654"/>
    </row>
    <row r="347" ht="15.75" customHeight="1">
      <c r="AC347" s="654"/>
      <c r="AD347" s="654"/>
    </row>
    <row r="348" ht="15.75" customHeight="1">
      <c r="AC348" s="654"/>
      <c r="AD348" s="654"/>
    </row>
    <row r="349" ht="15.75" customHeight="1">
      <c r="AC349" s="654"/>
      <c r="AD349" s="654"/>
    </row>
    <row r="350" ht="15.75" customHeight="1">
      <c r="AC350" s="654"/>
      <c r="AD350" s="654"/>
    </row>
    <row r="351" ht="15.75" customHeight="1">
      <c r="AC351" s="654"/>
      <c r="AD351" s="654"/>
    </row>
    <row r="352" ht="15.75" customHeight="1">
      <c r="AC352" s="654"/>
      <c r="AD352" s="654"/>
    </row>
    <row r="353" ht="15.75" customHeight="1">
      <c r="AC353" s="654"/>
      <c r="AD353" s="654"/>
    </row>
    <row r="354" ht="15.75" customHeight="1">
      <c r="AC354" s="654"/>
      <c r="AD354" s="654"/>
    </row>
    <row r="355" ht="15.75" customHeight="1">
      <c r="AC355" s="654"/>
      <c r="AD355" s="654"/>
    </row>
    <row r="356" ht="15.75" customHeight="1">
      <c r="AC356" s="654"/>
      <c r="AD356" s="654"/>
    </row>
    <row r="357" ht="15.75" customHeight="1">
      <c r="AC357" s="654"/>
      <c r="AD357" s="654"/>
    </row>
    <row r="358" ht="15.75" customHeight="1">
      <c r="AC358" s="654"/>
      <c r="AD358" s="654"/>
    </row>
    <row r="359" ht="15.75" customHeight="1">
      <c r="AC359" s="654"/>
      <c r="AD359" s="654"/>
    </row>
    <row r="360" ht="15.75" customHeight="1">
      <c r="AC360" s="654"/>
      <c r="AD360" s="654"/>
    </row>
    <row r="361" ht="15.75" customHeight="1">
      <c r="AC361" s="654"/>
      <c r="AD361" s="654"/>
    </row>
    <row r="362" ht="15.75" customHeight="1">
      <c r="AC362" s="654"/>
      <c r="AD362" s="654"/>
    </row>
    <row r="363" ht="15.75" customHeight="1">
      <c r="AC363" s="654"/>
      <c r="AD363" s="654"/>
    </row>
    <row r="364" ht="15.75" customHeight="1">
      <c r="AC364" s="654"/>
      <c r="AD364" s="654"/>
    </row>
    <row r="365" ht="15.75" customHeight="1">
      <c r="AC365" s="654"/>
      <c r="AD365" s="654"/>
    </row>
    <row r="366" ht="15.75" customHeight="1">
      <c r="AC366" s="654"/>
      <c r="AD366" s="654"/>
    </row>
    <row r="367" ht="15.75" customHeight="1">
      <c r="AC367" s="654"/>
      <c r="AD367" s="654"/>
    </row>
    <row r="368" ht="15.75" customHeight="1">
      <c r="AC368" s="654"/>
      <c r="AD368" s="654"/>
    </row>
    <row r="369" ht="15.75" customHeight="1">
      <c r="AC369" s="654"/>
      <c r="AD369" s="654"/>
    </row>
    <row r="370" ht="15.75" customHeight="1">
      <c r="AC370" s="654"/>
      <c r="AD370" s="654"/>
    </row>
    <row r="371" ht="15.75" customHeight="1">
      <c r="AC371" s="654"/>
      <c r="AD371" s="654"/>
    </row>
    <row r="372" ht="15.75" customHeight="1">
      <c r="AC372" s="654"/>
      <c r="AD372" s="654"/>
    </row>
    <row r="373" ht="15.75" customHeight="1">
      <c r="AC373" s="654"/>
      <c r="AD373" s="654"/>
    </row>
    <row r="374" ht="15.75" customHeight="1">
      <c r="AC374" s="654"/>
      <c r="AD374" s="654"/>
    </row>
    <row r="375" ht="15.75" customHeight="1">
      <c r="AC375" s="654"/>
      <c r="AD375" s="654"/>
    </row>
    <row r="376" ht="15.75" customHeight="1">
      <c r="AC376" s="654"/>
      <c r="AD376" s="654"/>
    </row>
    <row r="377" ht="15.75" customHeight="1">
      <c r="AC377" s="654"/>
      <c r="AD377" s="654"/>
    </row>
    <row r="378" ht="15.75" customHeight="1">
      <c r="AC378" s="654"/>
      <c r="AD378" s="654"/>
    </row>
    <row r="379" ht="15.75" customHeight="1">
      <c r="AC379" s="654"/>
      <c r="AD379" s="654"/>
    </row>
    <row r="380" ht="15.75" customHeight="1">
      <c r="AC380" s="654"/>
      <c r="AD380" s="654"/>
    </row>
    <row r="381" ht="15.75" customHeight="1">
      <c r="AC381" s="654"/>
      <c r="AD381" s="654"/>
    </row>
    <row r="382" ht="15.75" customHeight="1">
      <c r="AC382" s="654"/>
      <c r="AD382" s="654"/>
    </row>
    <row r="383" ht="15.75" customHeight="1">
      <c r="AC383" s="654"/>
      <c r="AD383" s="654"/>
    </row>
    <row r="384" ht="15.75" customHeight="1">
      <c r="AC384" s="654"/>
      <c r="AD384" s="654"/>
    </row>
    <row r="385" ht="15.75" customHeight="1">
      <c r="AC385" s="654"/>
      <c r="AD385" s="654"/>
    </row>
    <row r="386" ht="15.75" customHeight="1">
      <c r="AC386" s="654"/>
      <c r="AD386" s="654"/>
    </row>
    <row r="387" ht="15.75" customHeight="1">
      <c r="AC387" s="654"/>
      <c r="AD387" s="654"/>
    </row>
    <row r="388" ht="15.75" customHeight="1">
      <c r="AC388" s="654"/>
      <c r="AD388" s="654"/>
    </row>
    <row r="389" ht="15.75" customHeight="1">
      <c r="AC389" s="654"/>
      <c r="AD389" s="654"/>
    </row>
    <row r="390" ht="15.75" customHeight="1">
      <c r="AC390" s="654"/>
      <c r="AD390" s="654"/>
    </row>
    <row r="391" ht="15.75" customHeight="1">
      <c r="AC391" s="654"/>
      <c r="AD391" s="654"/>
    </row>
    <row r="392" ht="15.75" customHeight="1">
      <c r="AC392" s="654"/>
      <c r="AD392" s="654"/>
    </row>
    <row r="393" ht="15.75" customHeight="1">
      <c r="AC393" s="654"/>
      <c r="AD393" s="654"/>
    </row>
    <row r="394" ht="15.75" customHeight="1">
      <c r="AC394" s="654"/>
      <c r="AD394" s="654"/>
    </row>
    <row r="395" ht="15.75" customHeight="1">
      <c r="AC395" s="654"/>
      <c r="AD395" s="654"/>
    </row>
    <row r="396" ht="15.75" customHeight="1">
      <c r="AC396" s="654"/>
      <c r="AD396" s="654"/>
    </row>
    <row r="397" ht="15.75" customHeight="1">
      <c r="AC397" s="654"/>
      <c r="AD397" s="654"/>
    </row>
    <row r="398" ht="15.75" customHeight="1">
      <c r="AC398" s="654"/>
      <c r="AD398" s="654"/>
    </row>
    <row r="399" ht="15.75" customHeight="1">
      <c r="AC399" s="654"/>
      <c r="AD399" s="654"/>
    </row>
    <row r="400" ht="15.75" customHeight="1">
      <c r="AC400" s="654"/>
      <c r="AD400" s="654"/>
    </row>
    <row r="401" ht="15.75" customHeight="1">
      <c r="AC401" s="654"/>
      <c r="AD401" s="654"/>
    </row>
    <row r="402" ht="15.75" customHeight="1">
      <c r="AC402" s="654"/>
      <c r="AD402" s="654"/>
    </row>
    <row r="403" ht="15.75" customHeight="1">
      <c r="AC403" s="654"/>
      <c r="AD403" s="654"/>
    </row>
    <row r="404" ht="15.75" customHeight="1">
      <c r="AC404" s="654"/>
      <c r="AD404" s="654"/>
    </row>
    <row r="405" ht="15.75" customHeight="1">
      <c r="AC405" s="654"/>
      <c r="AD405" s="654"/>
    </row>
    <row r="406" ht="15.75" customHeight="1">
      <c r="AC406" s="654"/>
      <c r="AD406" s="654"/>
    </row>
    <row r="407" ht="15.75" customHeight="1">
      <c r="AC407" s="654"/>
      <c r="AD407" s="654"/>
    </row>
    <row r="408" ht="15.75" customHeight="1">
      <c r="AC408" s="654"/>
      <c r="AD408" s="654"/>
    </row>
    <row r="409" ht="15.75" customHeight="1">
      <c r="AC409" s="654"/>
      <c r="AD409" s="654"/>
    </row>
    <row r="410" ht="15.75" customHeight="1">
      <c r="AC410" s="654"/>
      <c r="AD410" s="654"/>
    </row>
    <row r="411" ht="15.75" customHeight="1">
      <c r="AC411" s="654"/>
      <c r="AD411" s="654"/>
    </row>
    <row r="412" ht="15.75" customHeight="1">
      <c r="AC412" s="654"/>
      <c r="AD412" s="654"/>
    </row>
    <row r="413" ht="15.75" customHeight="1">
      <c r="AC413" s="654"/>
      <c r="AD413" s="654"/>
    </row>
    <row r="414" ht="15.75" customHeight="1">
      <c r="AC414" s="654"/>
      <c r="AD414" s="654"/>
    </row>
    <row r="415" ht="15.75" customHeight="1">
      <c r="AC415" s="654"/>
      <c r="AD415" s="654"/>
    </row>
    <row r="416" ht="15.75" customHeight="1">
      <c r="AC416" s="654"/>
      <c r="AD416" s="654"/>
    </row>
    <row r="417" ht="15.75" customHeight="1">
      <c r="AC417" s="654"/>
      <c r="AD417" s="654"/>
    </row>
    <row r="418" ht="15.75" customHeight="1">
      <c r="AC418" s="654"/>
      <c r="AD418" s="654"/>
    </row>
    <row r="419" ht="15.75" customHeight="1">
      <c r="AC419" s="654"/>
      <c r="AD419" s="654"/>
    </row>
    <row r="420" ht="15.75" customHeight="1">
      <c r="AC420" s="654"/>
      <c r="AD420" s="654"/>
    </row>
    <row r="421" ht="15.75" customHeight="1">
      <c r="AC421" s="654"/>
      <c r="AD421" s="654"/>
    </row>
    <row r="422" ht="15.75" customHeight="1">
      <c r="AC422" s="654"/>
      <c r="AD422" s="654"/>
    </row>
    <row r="423" ht="15.75" customHeight="1">
      <c r="AC423" s="654"/>
      <c r="AD423" s="654"/>
    </row>
    <row r="424" ht="15.75" customHeight="1">
      <c r="AC424" s="654"/>
      <c r="AD424" s="654"/>
    </row>
    <row r="425" ht="15.75" customHeight="1">
      <c r="AC425" s="654"/>
      <c r="AD425" s="654"/>
    </row>
    <row r="426" ht="15.75" customHeight="1">
      <c r="AC426" s="654"/>
      <c r="AD426" s="654"/>
    </row>
    <row r="427" ht="15.75" customHeight="1">
      <c r="AC427" s="654"/>
      <c r="AD427" s="654"/>
    </row>
    <row r="428" ht="15.75" customHeight="1">
      <c r="AC428" s="654"/>
      <c r="AD428" s="654"/>
    </row>
    <row r="429" ht="15.75" customHeight="1">
      <c r="AC429" s="654"/>
      <c r="AD429" s="654"/>
    </row>
    <row r="430" ht="15.75" customHeight="1">
      <c r="AC430" s="654"/>
      <c r="AD430" s="654"/>
    </row>
    <row r="431" ht="15.75" customHeight="1">
      <c r="AC431" s="654"/>
      <c r="AD431" s="654"/>
    </row>
    <row r="432" ht="15.75" customHeight="1">
      <c r="AC432" s="654"/>
      <c r="AD432" s="654"/>
    </row>
    <row r="433" ht="15.75" customHeight="1">
      <c r="AC433" s="654"/>
      <c r="AD433" s="654"/>
    </row>
    <row r="434" ht="15.75" customHeight="1">
      <c r="AC434" s="654"/>
      <c r="AD434" s="654"/>
    </row>
    <row r="435" ht="15.75" customHeight="1">
      <c r="AC435" s="654"/>
      <c r="AD435" s="654"/>
    </row>
    <row r="436" ht="15.75" customHeight="1">
      <c r="AC436" s="654"/>
      <c r="AD436" s="654"/>
    </row>
    <row r="437" ht="15.75" customHeight="1">
      <c r="AC437" s="654"/>
      <c r="AD437" s="654"/>
    </row>
    <row r="438" ht="15.75" customHeight="1">
      <c r="AC438" s="654"/>
      <c r="AD438" s="654"/>
    </row>
    <row r="439" ht="15.75" customHeight="1">
      <c r="AC439" s="654"/>
      <c r="AD439" s="654"/>
    </row>
    <row r="440" ht="15.75" customHeight="1">
      <c r="AC440" s="654"/>
      <c r="AD440" s="654"/>
    </row>
    <row r="441" ht="15.75" customHeight="1">
      <c r="AC441" s="654"/>
      <c r="AD441" s="654"/>
    </row>
    <row r="442" ht="15.75" customHeight="1">
      <c r="AC442" s="654"/>
      <c r="AD442" s="654"/>
    </row>
    <row r="443" ht="15.75" customHeight="1">
      <c r="AC443" s="654"/>
      <c r="AD443" s="654"/>
    </row>
    <row r="444" ht="15.75" customHeight="1">
      <c r="AC444" s="654"/>
      <c r="AD444" s="654"/>
    </row>
    <row r="445" ht="15.75" customHeight="1">
      <c r="AC445" s="654"/>
      <c r="AD445" s="654"/>
    </row>
    <row r="446" ht="15.75" customHeight="1">
      <c r="AC446" s="654"/>
      <c r="AD446" s="654"/>
    </row>
    <row r="447" ht="15.75" customHeight="1">
      <c r="AC447" s="654"/>
      <c r="AD447" s="654"/>
    </row>
    <row r="448" ht="15.75" customHeight="1">
      <c r="AC448" s="654"/>
      <c r="AD448" s="654"/>
    </row>
    <row r="449" ht="15.75" customHeight="1">
      <c r="AC449" s="654"/>
      <c r="AD449" s="654"/>
    </row>
    <row r="450" ht="15.75" customHeight="1">
      <c r="AC450" s="654"/>
      <c r="AD450" s="654"/>
    </row>
    <row r="451" ht="15.75" customHeight="1">
      <c r="AC451" s="654"/>
      <c r="AD451" s="654"/>
    </row>
    <row r="452" ht="15.75" customHeight="1">
      <c r="AC452" s="654"/>
      <c r="AD452" s="654"/>
    </row>
    <row r="453" ht="15.75" customHeight="1">
      <c r="AC453" s="654"/>
      <c r="AD453" s="654"/>
    </row>
    <row r="454" ht="15.75" customHeight="1">
      <c r="AC454" s="654"/>
      <c r="AD454" s="654"/>
    </row>
    <row r="455" ht="15.75" customHeight="1">
      <c r="AC455" s="654"/>
      <c r="AD455" s="654"/>
    </row>
    <row r="456" ht="15.75" customHeight="1">
      <c r="AC456" s="654"/>
      <c r="AD456" s="654"/>
    </row>
    <row r="457" ht="15.75" customHeight="1">
      <c r="AC457" s="654"/>
      <c r="AD457" s="654"/>
    </row>
    <row r="458" ht="15.75" customHeight="1">
      <c r="AC458" s="654"/>
      <c r="AD458" s="654"/>
    </row>
    <row r="459" ht="15.75" customHeight="1">
      <c r="AC459" s="654"/>
      <c r="AD459" s="654"/>
    </row>
    <row r="460" ht="15.75" customHeight="1">
      <c r="AC460" s="654"/>
      <c r="AD460" s="654"/>
    </row>
    <row r="461" ht="15.75" customHeight="1">
      <c r="AC461" s="654"/>
      <c r="AD461" s="654"/>
    </row>
    <row r="462" ht="15.75" customHeight="1">
      <c r="AC462" s="654"/>
      <c r="AD462" s="654"/>
    </row>
    <row r="463" ht="15.75" customHeight="1">
      <c r="AC463" s="654"/>
      <c r="AD463" s="654"/>
    </row>
    <row r="464" ht="15.75" customHeight="1">
      <c r="AC464" s="654"/>
      <c r="AD464" s="654"/>
    </row>
    <row r="465" ht="15.75" customHeight="1">
      <c r="AC465" s="654"/>
      <c r="AD465" s="654"/>
    </row>
    <row r="466" ht="15.75" customHeight="1">
      <c r="AC466" s="654"/>
      <c r="AD466" s="654"/>
    </row>
    <row r="467" ht="15.75" customHeight="1">
      <c r="AC467" s="654"/>
      <c r="AD467" s="654"/>
    </row>
    <row r="468" ht="15.75" customHeight="1">
      <c r="AC468" s="654"/>
      <c r="AD468" s="654"/>
    </row>
    <row r="469" ht="15.75" customHeight="1">
      <c r="AC469" s="654"/>
      <c r="AD469" s="654"/>
    </row>
    <row r="470" ht="15.75" customHeight="1">
      <c r="AC470" s="654"/>
      <c r="AD470" s="654"/>
    </row>
    <row r="471" ht="15.75" customHeight="1">
      <c r="AC471" s="654"/>
      <c r="AD471" s="654"/>
    </row>
    <row r="472" ht="15.75" customHeight="1">
      <c r="AC472" s="654"/>
      <c r="AD472" s="654"/>
    </row>
    <row r="473" ht="15.75" customHeight="1">
      <c r="AC473" s="654"/>
      <c r="AD473" s="654"/>
    </row>
    <row r="474" ht="15.75" customHeight="1">
      <c r="AC474" s="654"/>
      <c r="AD474" s="654"/>
    </row>
    <row r="475" ht="15.75" customHeight="1">
      <c r="AC475" s="654"/>
      <c r="AD475" s="654"/>
    </row>
    <row r="476" ht="15.75" customHeight="1">
      <c r="AC476" s="654"/>
      <c r="AD476" s="654"/>
    </row>
    <row r="477" ht="15.75" customHeight="1">
      <c r="AC477" s="654"/>
      <c r="AD477" s="654"/>
    </row>
    <row r="478" ht="15.75" customHeight="1">
      <c r="AC478" s="654"/>
      <c r="AD478" s="654"/>
    </row>
    <row r="479" ht="15.75" customHeight="1">
      <c r="AC479" s="654"/>
      <c r="AD479" s="654"/>
    </row>
    <row r="480" ht="15.75" customHeight="1">
      <c r="AC480" s="654"/>
      <c r="AD480" s="654"/>
    </row>
    <row r="481" ht="15.75" customHeight="1">
      <c r="AC481" s="654"/>
      <c r="AD481" s="654"/>
    </row>
    <row r="482" ht="15.75" customHeight="1">
      <c r="AC482" s="654"/>
      <c r="AD482" s="654"/>
    </row>
    <row r="483" ht="15.75" customHeight="1">
      <c r="AC483" s="654"/>
      <c r="AD483" s="654"/>
    </row>
    <row r="484" ht="15.75" customHeight="1">
      <c r="AC484" s="654"/>
      <c r="AD484" s="654"/>
    </row>
    <row r="485" ht="15.75" customHeight="1">
      <c r="AC485" s="654"/>
      <c r="AD485" s="654"/>
    </row>
    <row r="486" ht="15.75" customHeight="1">
      <c r="AC486" s="654"/>
      <c r="AD486" s="654"/>
    </row>
    <row r="487" ht="15.75" customHeight="1">
      <c r="AC487" s="654"/>
      <c r="AD487" s="654"/>
    </row>
    <row r="488" ht="15.75" customHeight="1">
      <c r="AC488" s="654"/>
      <c r="AD488" s="654"/>
    </row>
    <row r="489" ht="15.75" customHeight="1">
      <c r="AC489" s="654"/>
      <c r="AD489" s="654"/>
    </row>
    <row r="490" ht="15.75" customHeight="1">
      <c r="AC490" s="654"/>
      <c r="AD490" s="654"/>
    </row>
    <row r="491" ht="15.75" customHeight="1">
      <c r="AC491" s="654"/>
      <c r="AD491" s="654"/>
    </row>
    <row r="492" ht="15.75" customHeight="1">
      <c r="AC492" s="654"/>
      <c r="AD492" s="654"/>
    </row>
    <row r="493" ht="15.75" customHeight="1">
      <c r="AC493" s="654"/>
      <c r="AD493" s="654"/>
    </row>
    <row r="494" ht="15.75" customHeight="1">
      <c r="AC494" s="654"/>
      <c r="AD494" s="654"/>
    </row>
    <row r="495" ht="15.75" customHeight="1">
      <c r="AC495" s="654"/>
      <c r="AD495" s="654"/>
    </row>
    <row r="496" ht="15.75" customHeight="1">
      <c r="AC496" s="654"/>
      <c r="AD496" s="654"/>
    </row>
    <row r="497" ht="15.75" customHeight="1">
      <c r="AC497" s="654"/>
      <c r="AD497" s="654"/>
    </row>
    <row r="498" ht="15.75" customHeight="1">
      <c r="AC498" s="654"/>
      <c r="AD498" s="654"/>
    </row>
    <row r="499" ht="15.75" customHeight="1">
      <c r="AC499" s="654"/>
      <c r="AD499" s="654"/>
    </row>
    <row r="500" ht="15.75" customHeight="1">
      <c r="AC500" s="654"/>
      <c r="AD500" s="654"/>
    </row>
    <row r="501" ht="15.75" customHeight="1">
      <c r="AC501" s="654"/>
      <c r="AD501" s="654"/>
    </row>
    <row r="502" ht="15.75" customHeight="1">
      <c r="AC502" s="654"/>
      <c r="AD502" s="654"/>
    </row>
    <row r="503" ht="15.75" customHeight="1">
      <c r="AC503" s="654"/>
      <c r="AD503" s="654"/>
    </row>
    <row r="504" ht="15.75" customHeight="1">
      <c r="AC504" s="654"/>
      <c r="AD504" s="654"/>
    </row>
    <row r="505" ht="15.75" customHeight="1">
      <c r="AC505" s="654"/>
      <c r="AD505" s="654"/>
    </row>
    <row r="506" ht="15.75" customHeight="1">
      <c r="AC506" s="654"/>
      <c r="AD506" s="654"/>
    </row>
    <row r="507" ht="15.75" customHeight="1">
      <c r="AC507" s="654"/>
      <c r="AD507" s="654"/>
    </row>
    <row r="508" ht="15.75" customHeight="1">
      <c r="AC508" s="654"/>
      <c r="AD508" s="654"/>
    </row>
    <row r="509" ht="15.75" customHeight="1">
      <c r="AC509" s="654"/>
      <c r="AD509" s="654"/>
    </row>
    <row r="510" ht="15.75" customHeight="1">
      <c r="AC510" s="654"/>
      <c r="AD510" s="654"/>
    </row>
    <row r="511" ht="15.75" customHeight="1">
      <c r="AC511" s="654"/>
      <c r="AD511" s="654"/>
    </row>
    <row r="512" ht="15.75" customHeight="1">
      <c r="AC512" s="654"/>
      <c r="AD512" s="654"/>
    </row>
    <row r="513" ht="15.75" customHeight="1">
      <c r="AC513" s="654"/>
      <c r="AD513" s="654"/>
    </row>
    <row r="514" ht="15.75" customHeight="1">
      <c r="AC514" s="654"/>
      <c r="AD514" s="654"/>
    </row>
    <row r="515" ht="15.75" customHeight="1">
      <c r="AC515" s="654"/>
      <c r="AD515" s="654"/>
    </row>
    <row r="516" ht="15.75" customHeight="1">
      <c r="AC516" s="654"/>
      <c r="AD516" s="654"/>
    </row>
    <row r="517" ht="15.75" customHeight="1">
      <c r="AC517" s="654"/>
      <c r="AD517" s="654"/>
    </row>
    <row r="518" ht="15.75" customHeight="1">
      <c r="AC518" s="654"/>
      <c r="AD518" s="654"/>
    </row>
    <row r="519" ht="15.75" customHeight="1">
      <c r="AC519" s="654"/>
      <c r="AD519" s="654"/>
    </row>
    <row r="520" ht="15.75" customHeight="1">
      <c r="AC520" s="654"/>
      <c r="AD520" s="654"/>
    </row>
    <row r="521" ht="15.75" customHeight="1">
      <c r="AC521" s="654"/>
      <c r="AD521" s="654"/>
    </row>
    <row r="522" ht="15.75" customHeight="1">
      <c r="AC522" s="654"/>
      <c r="AD522" s="654"/>
    </row>
    <row r="523" ht="15.75" customHeight="1">
      <c r="AC523" s="654"/>
      <c r="AD523" s="654"/>
    </row>
    <row r="524" ht="15.75" customHeight="1">
      <c r="AC524" s="654"/>
      <c r="AD524" s="654"/>
    </row>
    <row r="525" ht="15.75" customHeight="1">
      <c r="AC525" s="654"/>
      <c r="AD525" s="654"/>
    </row>
    <row r="526" ht="15.75" customHeight="1">
      <c r="AC526" s="654"/>
      <c r="AD526" s="654"/>
    </row>
    <row r="527" ht="15.75" customHeight="1">
      <c r="AC527" s="654"/>
      <c r="AD527" s="654"/>
    </row>
    <row r="528" ht="15.75" customHeight="1">
      <c r="AC528" s="654"/>
      <c r="AD528" s="654"/>
    </row>
    <row r="529" ht="15.75" customHeight="1">
      <c r="AC529" s="654"/>
      <c r="AD529" s="654"/>
    </row>
    <row r="530" ht="15.75" customHeight="1">
      <c r="AC530" s="654"/>
      <c r="AD530" s="654"/>
    </row>
    <row r="531" ht="15.75" customHeight="1">
      <c r="AC531" s="654"/>
      <c r="AD531" s="654"/>
    </row>
    <row r="532" ht="15.75" customHeight="1">
      <c r="AC532" s="654"/>
      <c r="AD532" s="654"/>
    </row>
    <row r="533" ht="15.75" customHeight="1">
      <c r="AC533" s="654"/>
      <c r="AD533" s="654"/>
    </row>
    <row r="534" ht="15.75" customHeight="1">
      <c r="AC534" s="654"/>
      <c r="AD534" s="654"/>
    </row>
    <row r="535" ht="15.75" customHeight="1">
      <c r="AC535" s="654"/>
      <c r="AD535" s="654"/>
    </row>
    <row r="536" ht="15.75" customHeight="1">
      <c r="AC536" s="654"/>
      <c r="AD536" s="654"/>
    </row>
    <row r="537" ht="15.75" customHeight="1">
      <c r="AC537" s="654"/>
      <c r="AD537" s="654"/>
    </row>
    <row r="538" ht="15.75" customHeight="1">
      <c r="AC538" s="654"/>
      <c r="AD538" s="654"/>
    </row>
    <row r="539" ht="15.75" customHeight="1">
      <c r="AC539" s="654"/>
      <c r="AD539" s="654"/>
    </row>
    <row r="540" ht="15.75" customHeight="1">
      <c r="AC540" s="654"/>
      <c r="AD540" s="654"/>
    </row>
    <row r="541" ht="15.75" customHeight="1">
      <c r="AC541" s="654"/>
      <c r="AD541" s="654"/>
    </row>
    <row r="542" ht="15.75" customHeight="1">
      <c r="AC542" s="654"/>
      <c r="AD542" s="654"/>
    </row>
    <row r="543" ht="15.75" customHeight="1">
      <c r="AC543" s="654"/>
      <c r="AD543" s="654"/>
    </row>
    <row r="544" ht="15.75" customHeight="1">
      <c r="AC544" s="654"/>
      <c r="AD544" s="654"/>
    </row>
    <row r="545" ht="15.75" customHeight="1">
      <c r="AC545" s="654"/>
      <c r="AD545" s="654"/>
    </row>
    <row r="546" ht="15.75" customHeight="1">
      <c r="AC546" s="654"/>
      <c r="AD546" s="654"/>
    </row>
    <row r="547" ht="15.75" customHeight="1">
      <c r="AC547" s="654"/>
      <c r="AD547" s="654"/>
    </row>
    <row r="548" ht="15.75" customHeight="1">
      <c r="AC548" s="654"/>
      <c r="AD548" s="654"/>
    </row>
    <row r="549" ht="15.75" customHeight="1">
      <c r="AC549" s="654"/>
      <c r="AD549" s="654"/>
    </row>
    <row r="550" ht="15.75" customHeight="1">
      <c r="AC550" s="654"/>
      <c r="AD550" s="654"/>
    </row>
    <row r="551" ht="15.75" customHeight="1">
      <c r="AC551" s="654"/>
      <c r="AD551" s="654"/>
    </row>
    <row r="552" ht="15.75" customHeight="1">
      <c r="AC552" s="654"/>
      <c r="AD552" s="654"/>
    </row>
    <row r="553" ht="15.75" customHeight="1">
      <c r="AC553" s="654"/>
      <c r="AD553" s="654"/>
    </row>
    <row r="554" ht="15.75" customHeight="1">
      <c r="AC554" s="654"/>
      <c r="AD554" s="654"/>
    </row>
    <row r="555" ht="15.75" customHeight="1">
      <c r="AC555" s="654"/>
      <c r="AD555" s="654"/>
    </row>
    <row r="556" ht="15.75" customHeight="1">
      <c r="AC556" s="654"/>
      <c r="AD556" s="654"/>
    </row>
    <row r="557" ht="15.75" customHeight="1">
      <c r="AC557" s="654"/>
      <c r="AD557" s="654"/>
    </row>
    <row r="558" ht="15.75" customHeight="1">
      <c r="AC558" s="654"/>
      <c r="AD558" s="654"/>
    </row>
    <row r="559" ht="15.75" customHeight="1">
      <c r="AC559" s="654"/>
      <c r="AD559" s="654"/>
    </row>
    <row r="560" ht="15.75" customHeight="1">
      <c r="AC560" s="654"/>
      <c r="AD560" s="654"/>
    </row>
    <row r="561" ht="15.75" customHeight="1">
      <c r="AC561" s="654"/>
      <c r="AD561" s="654"/>
    </row>
    <row r="562" ht="15.75" customHeight="1">
      <c r="AC562" s="654"/>
      <c r="AD562" s="654"/>
    </row>
    <row r="563" ht="15.75" customHeight="1">
      <c r="AC563" s="654"/>
      <c r="AD563" s="654"/>
    </row>
    <row r="564" ht="15.75" customHeight="1">
      <c r="AC564" s="654"/>
      <c r="AD564" s="654"/>
    </row>
    <row r="565" ht="15.75" customHeight="1">
      <c r="AC565" s="654"/>
      <c r="AD565" s="654"/>
    </row>
    <row r="566" ht="15.75" customHeight="1">
      <c r="AC566" s="654"/>
      <c r="AD566" s="654"/>
    </row>
    <row r="567" ht="15.75" customHeight="1">
      <c r="AC567" s="654"/>
      <c r="AD567" s="654"/>
    </row>
    <row r="568" ht="15.75" customHeight="1">
      <c r="AC568" s="654"/>
      <c r="AD568" s="654"/>
    </row>
    <row r="569" ht="15.75" customHeight="1">
      <c r="AC569" s="654"/>
      <c r="AD569" s="654"/>
    </row>
    <row r="570" ht="15.75" customHeight="1">
      <c r="AC570" s="654"/>
      <c r="AD570" s="654"/>
    </row>
    <row r="571" ht="15.75" customHeight="1">
      <c r="AC571" s="654"/>
      <c r="AD571" s="654"/>
    </row>
    <row r="572" ht="15.75" customHeight="1">
      <c r="AC572" s="654"/>
      <c r="AD572" s="654"/>
    </row>
    <row r="573" ht="15.75" customHeight="1">
      <c r="AC573" s="654"/>
      <c r="AD573" s="654"/>
    </row>
    <row r="574" ht="15.75" customHeight="1">
      <c r="AC574" s="654"/>
      <c r="AD574" s="654"/>
    </row>
    <row r="575" ht="15.75" customHeight="1">
      <c r="AC575" s="654"/>
      <c r="AD575" s="654"/>
    </row>
    <row r="576" ht="15.75" customHeight="1">
      <c r="AC576" s="654"/>
      <c r="AD576" s="654"/>
    </row>
    <row r="577" ht="15.75" customHeight="1">
      <c r="AC577" s="654"/>
      <c r="AD577" s="654"/>
    </row>
    <row r="578" ht="15.75" customHeight="1">
      <c r="AC578" s="654"/>
      <c r="AD578" s="654"/>
    </row>
    <row r="579" ht="15.75" customHeight="1">
      <c r="AC579" s="654"/>
      <c r="AD579" s="654"/>
    </row>
    <row r="580" ht="15.75" customHeight="1">
      <c r="AC580" s="654"/>
      <c r="AD580" s="654"/>
    </row>
    <row r="581" ht="15.75" customHeight="1">
      <c r="AC581" s="654"/>
      <c r="AD581" s="654"/>
    </row>
    <row r="582" ht="15.75" customHeight="1">
      <c r="AC582" s="654"/>
      <c r="AD582" s="654"/>
    </row>
    <row r="583" ht="15.75" customHeight="1">
      <c r="AC583" s="654"/>
      <c r="AD583" s="654"/>
    </row>
    <row r="584" ht="15.75" customHeight="1">
      <c r="AC584" s="654"/>
      <c r="AD584" s="654"/>
    </row>
    <row r="585" ht="15.75" customHeight="1">
      <c r="AC585" s="654"/>
      <c r="AD585" s="654"/>
    </row>
    <row r="586" ht="15.75" customHeight="1">
      <c r="AC586" s="654"/>
      <c r="AD586" s="654"/>
    </row>
    <row r="587" ht="15.75" customHeight="1">
      <c r="AC587" s="654"/>
      <c r="AD587" s="654"/>
    </row>
    <row r="588" ht="15.75" customHeight="1">
      <c r="AC588" s="654"/>
      <c r="AD588" s="654"/>
    </row>
    <row r="589" ht="15.75" customHeight="1">
      <c r="AC589" s="654"/>
      <c r="AD589" s="654"/>
    </row>
    <row r="590" ht="15.75" customHeight="1">
      <c r="AC590" s="654"/>
      <c r="AD590" s="654"/>
    </row>
    <row r="591" ht="15.75" customHeight="1">
      <c r="AC591" s="654"/>
      <c r="AD591" s="654"/>
    </row>
    <row r="592" ht="15.75" customHeight="1">
      <c r="AC592" s="654"/>
      <c r="AD592" s="654"/>
    </row>
    <row r="593" ht="15.75" customHeight="1">
      <c r="AC593" s="654"/>
      <c r="AD593" s="654"/>
    </row>
    <row r="594" ht="15.75" customHeight="1">
      <c r="AC594" s="654"/>
      <c r="AD594" s="654"/>
    </row>
    <row r="595" ht="15.75" customHeight="1">
      <c r="AC595" s="654"/>
      <c r="AD595" s="654"/>
    </row>
    <row r="596" ht="15.75" customHeight="1">
      <c r="AC596" s="654"/>
      <c r="AD596" s="654"/>
    </row>
    <row r="597" ht="15.75" customHeight="1">
      <c r="AC597" s="654"/>
      <c r="AD597" s="654"/>
    </row>
    <row r="598" ht="15.75" customHeight="1">
      <c r="AC598" s="654"/>
      <c r="AD598" s="654"/>
    </row>
    <row r="599" ht="15.75" customHeight="1">
      <c r="AC599" s="654"/>
      <c r="AD599" s="654"/>
    </row>
    <row r="600" ht="15.75" customHeight="1">
      <c r="AC600" s="654"/>
      <c r="AD600" s="654"/>
    </row>
    <row r="601" ht="15.75" customHeight="1">
      <c r="AC601" s="654"/>
      <c r="AD601" s="654"/>
    </row>
    <row r="602" ht="15.75" customHeight="1">
      <c r="AC602" s="654"/>
      <c r="AD602" s="654"/>
    </row>
    <row r="603" ht="15.75" customHeight="1">
      <c r="AC603" s="654"/>
      <c r="AD603" s="654"/>
    </row>
    <row r="604" ht="15.75" customHeight="1">
      <c r="AC604" s="654"/>
      <c r="AD604" s="654"/>
    </row>
    <row r="605" ht="15.75" customHeight="1">
      <c r="AC605" s="654"/>
      <c r="AD605" s="654"/>
    </row>
    <row r="606" ht="15.75" customHeight="1">
      <c r="AC606" s="654"/>
      <c r="AD606" s="654"/>
    </row>
    <row r="607" ht="15.75" customHeight="1">
      <c r="AC607" s="654"/>
      <c r="AD607" s="654"/>
    </row>
    <row r="608" ht="15.75" customHeight="1">
      <c r="AC608" s="654"/>
      <c r="AD608" s="654"/>
    </row>
    <row r="609" ht="15.75" customHeight="1">
      <c r="AC609" s="654"/>
      <c r="AD609" s="654"/>
    </row>
    <row r="610" ht="15.75" customHeight="1">
      <c r="AC610" s="654"/>
      <c r="AD610" s="654"/>
    </row>
    <row r="611" ht="15.75" customHeight="1">
      <c r="AC611" s="654"/>
      <c r="AD611" s="654"/>
    </row>
    <row r="612" ht="15.75" customHeight="1">
      <c r="AC612" s="654"/>
      <c r="AD612" s="654"/>
    </row>
    <row r="613" ht="15.75" customHeight="1">
      <c r="AC613" s="654"/>
      <c r="AD613" s="654"/>
    </row>
    <row r="614" ht="15.75" customHeight="1">
      <c r="AC614" s="654"/>
      <c r="AD614" s="654"/>
    </row>
    <row r="615" ht="15.75" customHeight="1">
      <c r="AC615" s="654"/>
      <c r="AD615" s="654"/>
    </row>
    <row r="616" ht="15.75" customHeight="1">
      <c r="AC616" s="654"/>
      <c r="AD616" s="654"/>
    </row>
    <row r="617" ht="15.75" customHeight="1">
      <c r="AC617" s="654"/>
      <c r="AD617" s="654"/>
    </row>
    <row r="618" ht="15.75" customHeight="1">
      <c r="AC618" s="654"/>
      <c r="AD618" s="654"/>
    </row>
    <row r="619" ht="15.75" customHeight="1">
      <c r="AC619" s="654"/>
      <c r="AD619" s="654"/>
    </row>
    <row r="620" ht="15.75" customHeight="1">
      <c r="AC620" s="654"/>
      <c r="AD620" s="654"/>
    </row>
    <row r="621" ht="15.75" customHeight="1">
      <c r="AC621" s="654"/>
      <c r="AD621" s="654"/>
    </row>
    <row r="622" ht="15.75" customHeight="1">
      <c r="AC622" s="654"/>
      <c r="AD622" s="654"/>
    </row>
    <row r="623" ht="15.75" customHeight="1">
      <c r="AC623" s="654"/>
      <c r="AD623" s="654"/>
    </row>
    <row r="624" ht="15.75" customHeight="1">
      <c r="AC624" s="654"/>
      <c r="AD624" s="654"/>
    </row>
    <row r="625" ht="15.75" customHeight="1">
      <c r="AC625" s="654"/>
      <c r="AD625" s="654"/>
    </row>
    <row r="626" ht="15.75" customHeight="1">
      <c r="AC626" s="654"/>
      <c r="AD626" s="654"/>
    </row>
    <row r="627" ht="15.75" customHeight="1">
      <c r="AC627" s="654"/>
      <c r="AD627" s="654"/>
    </row>
    <row r="628" ht="15.75" customHeight="1">
      <c r="AC628" s="654"/>
      <c r="AD628" s="654"/>
    </row>
    <row r="629" ht="15.75" customHeight="1">
      <c r="AC629" s="654"/>
      <c r="AD629" s="654"/>
    </row>
    <row r="630" ht="15.75" customHeight="1">
      <c r="AC630" s="654"/>
      <c r="AD630" s="654"/>
    </row>
    <row r="631" ht="15.75" customHeight="1">
      <c r="AC631" s="654"/>
      <c r="AD631" s="654"/>
    </row>
    <row r="632" ht="15.75" customHeight="1">
      <c r="AC632" s="654"/>
      <c r="AD632" s="654"/>
    </row>
    <row r="633" ht="15.75" customHeight="1">
      <c r="AC633" s="654"/>
      <c r="AD633" s="654"/>
    </row>
    <row r="634" ht="15.75" customHeight="1">
      <c r="AC634" s="654"/>
      <c r="AD634" s="654"/>
    </row>
    <row r="635" ht="15.75" customHeight="1">
      <c r="AC635" s="654"/>
      <c r="AD635" s="654"/>
    </row>
    <row r="636" ht="15.75" customHeight="1">
      <c r="AC636" s="654"/>
      <c r="AD636" s="654"/>
    </row>
    <row r="637" ht="15.75" customHeight="1">
      <c r="AC637" s="654"/>
      <c r="AD637" s="654"/>
    </row>
    <row r="638" ht="15.75" customHeight="1">
      <c r="AC638" s="654"/>
      <c r="AD638" s="654"/>
    </row>
    <row r="639" ht="15.75" customHeight="1">
      <c r="AC639" s="654"/>
      <c r="AD639" s="654"/>
    </row>
    <row r="640" ht="15.75" customHeight="1">
      <c r="AC640" s="654"/>
      <c r="AD640" s="654"/>
    </row>
    <row r="641" ht="15.75" customHeight="1">
      <c r="AC641" s="654"/>
      <c r="AD641" s="654"/>
    </row>
    <row r="642" ht="15.75" customHeight="1">
      <c r="AC642" s="654"/>
      <c r="AD642" s="654"/>
    </row>
    <row r="643" ht="15.75" customHeight="1">
      <c r="AC643" s="654"/>
      <c r="AD643" s="654"/>
    </row>
    <row r="644" ht="15.75" customHeight="1">
      <c r="AC644" s="654"/>
      <c r="AD644" s="654"/>
    </row>
    <row r="645" ht="15.75" customHeight="1">
      <c r="AC645" s="654"/>
      <c r="AD645" s="654"/>
    </row>
    <row r="646" ht="15.75" customHeight="1">
      <c r="AC646" s="654"/>
      <c r="AD646" s="654"/>
    </row>
    <row r="647" ht="15.75" customHeight="1">
      <c r="AC647" s="654"/>
      <c r="AD647" s="654"/>
    </row>
    <row r="648" ht="15.75" customHeight="1">
      <c r="AC648" s="654"/>
      <c r="AD648" s="654"/>
    </row>
    <row r="649" ht="15.75" customHeight="1">
      <c r="AC649" s="654"/>
      <c r="AD649" s="654"/>
    </row>
    <row r="650" ht="15.75" customHeight="1">
      <c r="AC650" s="654"/>
      <c r="AD650" s="654"/>
    </row>
    <row r="651" ht="15.75" customHeight="1">
      <c r="AC651" s="654"/>
      <c r="AD651" s="654"/>
    </row>
    <row r="652" ht="15.75" customHeight="1">
      <c r="AC652" s="654"/>
      <c r="AD652" s="654"/>
    </row>
    <row r="653" ht="15.75" customHeight="1">
      <c r="AC653" s="654"/>
      <c r="AD653" s="654"/>
    </row>
    <row r="654" ht="15.75" customHeight="1">
      <c r="AC654" s="654"/>
      <c r="AD654" s="654"/>
    </row>
    <row r="655" ht="15.75" customHeight="1">
      <c r="AC655" s="654"/>
      <c r="AD655" s="654"/>
    </row>
    <row r="656" ht="15.75" customHeight="1">
      <c r="AC656" s="654"/>
      <c r="AD656" s="654"/>
    </row>
    <row r="657" ht="15.75" customHeight="1">
      <c r="AC657" s="654"/>
      <c r="AD657" s="654"/>
    </row>
    <row r="658" ht="15.75" customHeight="1">
      <c r="AC658" s="654"/>
      <c r="AD658" s="654"/>
    </row>
    <row r="659" ht="15.75" customHeight="1">
      <c r="AC659" s="654"/>
      <c r="AD659" s="654"/>
    </row>
    <row r="660" ht="15.75" customHeight="1">
      <c r="AC660" s="654"/>
      <c r="AD660" s="654"/>
    </row>
    <row r="661" ht="15.75" customHeight="1">
      <c r="AC661" s="654"/>
      <c r="AD661" s="654"/>
    </row>
    <row r="662" ht="15.75" customHeight="1">
      <c r="AC662" s="654"/>
      <c r="AD662" s="654"/>
    </row>
    <row r="663" ht="15.75" customHeight="1">
      <c r="AC663" s="654"/>
      <c r="AD663" s="654"/>
    </row>
    <row r="664" ht="15.75" customHeight="1">
      <c r="AC664" s="654"/>
      <c r="AD664" s="654"/>
    </row>
    <row r="665" ht="15.75" customHeight="1">
      <c r="AC665" s="654"/>
      <c r="AD665" s="654"/>
    </row>
    <row r="666" ht="15.75" customHeight="1">
      <c r="AC666" s="654"/>
      <c r="AD666" s="654"/>
    </row>
    <row r="667" ht="15.75" customHeight="1">
      <c r="AC667" s="654"/>
      <c r="AD667" s="654"/>
    </row>
    <row r="668" ht="15.75" customHeight="1">
      <c r="AC668" s="654"/>
      <c r="AD668" s="654"/>
    </row>
    <row r="669" ht="15.75" customHeight="1">
      <c r="AC669" s="654"/>
      <c r="AD669" s="654"/>
    </row>
    <row r="670" ht="15.75" customHeight="1">
      <c r="AC670" s="654"/>
      <c r="AD670" s="654"/>
    </row>
    <row r="671" ht="15.75" customHeight="1">
      <c r="AC671" s="654"/>
      <c r="AD671" s="654"/>
    </row>
    <row r="672" ht="15.75" customHeight="1">
      <c r="AC672" s="654"/>
      <c r="AD672" s="654"/>
    </row>
    <row r="673" ht="15.75" customHeight="1">
      <c r="AC673" s="654"/>
      <c r="AD673" s="654"/>
    </row>
    <row r="674" ht="15.75" customHeight="1">
      <c r="AC674" s="654"/>
      <c r="AD674" s="654"/>
    </row>
    <row r="675" ht="15.75" customHeight="1">
      <c r="AC675" s="654"/>
      <c r="AD675" s="654"/>
    </row>
    <row r="676" ht="15.75" customHeight="1">
      <c r="AC676" s="654"/>
      <c r="AD676" s="654"/>
    </row>
    <row r="677" ht="15.75" customHeight="1">
      <c r="AC677" s="654"/>
      <c r="AD677" s="654"/>
    </row>
    <row r="678" ht="15.75" customHeight="1">
      <c r="AC678" s="654"/>
      <c r="AD678" s="654"/>
    </row>
    <row r="679" ht="15.75" customHeight="1">
      <c r="AC679" s="654"/>
      <c r="AD679" s="654"/>
    </row>
    <row r="680" ht="15.75" customHeight="1">
      <c r="AC680" s="654"/>
      <c r="AD680" s="654"/>
    </row>
    <row r="681" ht="15.75" customHeight="1">
      <c r="AC681" s="654"/>
      <c r="AD681" s="654"/>
    </row>
    <row r="682" ht="15.75" customHeight="1">
      <c r="AC682" s="654"/>
      <c r="AD682" s="654"/>
    </row>
    <row r="683" ht="15.75" customHeight="1">
      <c r="AC683" s="654"/>
      <c r="AD683" s="654"/>
    </row>
    <row r="684" ht="15.75" customHeight="1">
      <c r="AC684" s="654"/>
      <c r="AD684" s="654"/>
    </row>
    <row r="685" ht="15.75" customHeight="1">
      <c r="AC685" s="654"/>
      <c r="AD685" s="654"/>
    </row>
    <row r="686" ht="15.75" customHeight="1">
      <c r="AC686" s="654"/>
      <c r="AD686" s="654"/>
    </row>
    <row r="687" ht="15.75" customHeight="1">
      <c r="AC687" s="654"/>
      <c r="AD687" s="654"/>
    </row>
    <row r="688" ht="15.75" customHeight="1">
      <c r="AC688" s="654"/>
      <c r="AD688" s="654"/>
    </row>
    <row r="689" ht="15.75" customHeight="1">
      <c r="AC689" s="654"/>
      <c r="AD689" s="654"/>
    </row>
    <row r="690" ht="15.75" customHeight="1">
      <c r="AC690" s="654"/>
      <c r="AD690" s="654"/>
    </row>
    <row r="691" ht="15.75" customHeight="1">
      <c r="AC691" s="654"/>
      <c r="AD691" s="654"/>
    </row>
    <row r="692" ht="15.75" customHeight="1">
      <c r="AC692" s="654"/>
      <c r="AD692" s="654"/>
    </row>
    <row r="693" ht="15.75" customHeight="1">
      <c r="AC693" s="654"/>
      <c r="AD693" s="654"/>
    </row>
    <row r="694" ht="15.75" customHeight="1">
      <c r="AC694" s="654"/>
      <c r="AD694" s="654"/>
    </row>
    <row r="695" ht="15.75" customHeight="1">
      <c r="AC695" s="654"/>
      <c r="AD695" s="654"/>
    </row>
    <row r="696" ht="15.75" customHeight="1">
      <c r="AC696" s="654"/>
      <c r="AD696" s="654"/>
    </row>
    <row r="697" ht="15.75" customHeight="1">
      <c r="AC697" s="654"/>
      <c r="AD697" s="654"/>
    </row>
    <row r="698" ht="15.75" customHeight="1">
      <c r="AC698" s="654"/>
      <c r="AD698" s="654"/>
    </row>
    <row r="699" ht="15.75" customHeight="1">
      <c r="AC699" s="654"/>
      <c r="AD699" s="654"/>
    </row>
    <row r="700" ht="15.75" customHeight="1">
      <c r="AC700" s="654"/>
      <c r="AD700" s="654"/>
    </row>
    <row r="701" ht="15.75" customHeight="1">
      <c r="AC701" s="654"/>
      <c r="AD701" s="654"/>
    </row>
    <row r="702" ht="15.75" customHeight="1">
      <c r="AC702" s="654"/>
      <c r="AD702" s="654"/>
    </row>
    <row r="703" ht="15.75" customHeight="1">
      <c r="AC703" s="654"/>
      <c r="AD703" s="654"/>
    </row>
    <row r="704" ht="15.75" customHeight="1">
      <c r="AC704" s="654"/>
      <c r="AD704" s="654"/>
    </row>
    <row r="705" ht="15.75" customHeight="1">
      <c r="AC705" s="654"/>
      <c r="AD705" s="654"/>
    </row>
    <row r="706" ht="15.75" customHeight="1">
      <c r="AC706" s="654"/>
      <c r="AD706" s="654"/>
    </row>
    <row r="707" ht="15.75" customHeight="1">
      <c r="AC707" s="654"/>
      <c r="AD707" s="654"/>
    </row>
    <row r="708" ht="15.75" customHeight="1">
      <c r="AC708" s="654"/>
      <c r="AD708" s="654"/>
    </row>
    <row r="709" ht="15.75" customHeight="1">
      <c r="AC709" s="654"/>
      <c r="AD709" s="654"/>
    </row>
    <row r="710" ht="15.75" customHeight="1">
      <c r="AC710" s="654"/>
      <c r="AD710" s="654"/>
    </row>
    <row r="711" ht="15.75" customHeight="1">
      <c r="AC711" s="654"/>
      <c r="AD711" s="654"/>
    </row>
    <row r="712" ht="15.75" customHeight="1">
      <c r="AC712" s="654"/>
      <c r="AD712" s="654"/>
    </row>
    <row r="713" ht="15.75" customHeight="1">
      <c r="AC713" s="654"/>
      <c r="AD713" s="654"/>
    </row>
    <row r="714" ht="15.75" customHeight="1">
      <c r="AC714" s="654"/>
      <c r="AD714" s="654"/>
    </row>
    <row r="715" ht="15.75" customHeight="1">
      <c r="AC715" s="654"/>
      <c r="AD715" s="654"/>
    </row>
    <row r="716" ht="15.75" customHeight="1">
      <c r="AC716" s="654"/>
      <c r="AD716" s="654"/>
    </row>
    <row r="717" ht="15.75" customHeight="1">
      <c r="AC717" s="654"/>
      <c r="AD717" s="654"/>
    </row>
    <row r="718" ht="15.75" customHeight="1">
      <c r="AC718" s="654"/>
      <c r="AD718" s="654"/>
    </row>
    <row r="719" ht="15.75" customHeight="1">
      <c r="AC719" s="654"/>
      <c r="AD719" s="654"/>
    </row>
    <row r="720" ht="15.75" customHeight="1">
      <c r="AC720" s="654"/>
      <c r="AD720" s="654"/>
    </row>
    <row r="721" ht="15.75" customHeight="1">
      <c r="AC721" s="654"/>
      <c r="AD721" s="654"/>
    </row>
    <row r="722" ht="15.75" customHeight="1">
      <c r="AC722" s="654"/>
      <c r="AD722" s="654"/>
    </row>
    <row r="723" ht="15.75" customHeight="1">
      <c r="AC723" s="654"/>
      <c r="AD723" s="654"/>
    </row>
    <row r="724" ht="15.75" customHeight="1">
      <c r="AC724" s="654"/>
      <c r="AD724" s="654"/>
    </row>
    <row r="725" ht="15.75" customHeight="1">
      <c r="AC725" s="654"/>
      <c r="AD725" s="654"/>
    </row>
    <row r="726" ht="15.75" customHeight="1">
      <c r="AC726" s="654"/>
      <c r="AD726" s="654"/>
    </row>
    <row r="727" ht="15.75" customHeight="1">
      <c r="AC727" s="654"/>
      <c r="AD727" s="654"/>
    </row>
    <row r="728" ht="15.75" customHeight="1">
      <c r="AC728" s="654"/>
      <c r="AD728" s="654"/>
    </row>
    <row r="729" ht="15.75" customHeight="1">
      <c r="AC729" s="654"/>
      <c r="AD729" s="654"/>
    </row>
    <row r="730" ht="15.75" customHeight="1">
      <c r="AC730" s="654"/>
      <c r="AD730" s="654"/>
    </row>
    <row r="731" ht="15.75" customHeight="1">
      <c r="AC731" s="654"/>
      <c r="AD731" s="654"/>
    </row>
    <row r="732" ht="15.75" customHeight="1">
      <c r="AC732" s="654"/>
      <c r="AD732" s="654"/>
    </row>
    <row r="733" ht="15.75" customHeight="1">
      <c r="AC733" s="654"/>
      <c r="AD733" s="654"/>
    </row>
    <row r="734" ht="15.75" customHeight="1">
      <c r="AC734" s="654"/>
      <c r="AD734" s="654"/>
    </row>
    <row r="735" ht="15.75" customHeight="1">
      <c r="AC735" s="654"/>
      <c r="AD735" s="654"/>
    </row>
    <row r="736" ht="15.75" customHeight="1">
      <c r="AC736" s="654"/>
      <c r="AD736" s="654"/>
    </row>
    <row r="737" ht="15.75" customHeight="1">
      <c r="AC737" s="654"/>
      <c r="AD737" s="654"/>
    </row>
    <row r="738" ht="15.75" customHeight="1">
      <c r="AC738" s="654"/>
      <c r="AD738" s="654"/>
    </row>
    <row r="739" ht="15.75" customHeight="1">
      <c r="AC739" s="654"/>
      <c r="AD739" s="654"/>
    </row>
    <row r="740" ht="15.75" customHeight="1">
      <c r="AC740" s="654"/>
      <c r="AD740" s="654"/>
    </row>
    <row r="741" ht="15.75" customHeight="1">
      <c r="AC741" s="654"/>
      <c r="AD741" s="654"/>
    </row>
    <row r="742" ht="15.75" customHeight="1">
      <c r="AC742" s="654"/>
      <c r="AD742" s="654"/>
    </row>
    <row r="743" ht="15.75" customHeight="1">
      <c r="AC743" s="654"/>
      <c r="AD743" s="654"/>
    </row>
    <row r="744" ht="15.75" customHeight="1">
      <c r="AC744" s="654"/>
      <c r="AD744" s="654"/>
    </row>
    <row r="745" ht="15.75" customHeight="1">
      <c r="AC745" s="654"/>
      <c r="AD745" s="654"/>
    </row>
    <row r="746" ht="15.75" customHeight="1">
      <c r="AC746" s="654"/>
      <c r="AD746" s="654"/>
    </row>
    <row r="747" ht="15.75" customHeight="1">
      <c r="AC747" s="654"/>
      <c r="AD747" s="654"/>
    </row>
    <row r="748" ht="15.75" customHeight="1">
      <c r="AC748" s="654"/>
      <c r="AD748" s="654"/>
    </row>
    <row r="749" ht="15.75" customHeight="1">
      <c r="AC749" s="654"/>
      <c r="AD749" s="654"/>
    </row>
    <row r="750" ht="15.75" customHeight="1">
      <c r="AC750" s="654"/>
      <c r="AD750" s="654"/>
    </row>
    <row r="751" ht="15.75" customHeight="1">
      <c r="AC751" s="654"/>
      <c r="AD751" s="654"/>
    </row>
    <row r="752" ht="15.75" customHeight="1">
      <c r="AC752" s="654"/>
      <c r="AD752" s="654"/>
    </row>
    <row r="753" ht="15.75" customHeight="1">
      <c r="AC753" s="654"/>
      <c r="AD753" s="654"/>
    </row>
    <row r="754" ht="15.75" customHeight="1">
      <c r="AC754" s="654"/>
      <c r="AD754" s="654"/>
    </row>
    <row r="755" ht="15.75" customHeight="1">
      <c r="AC755" s="654"/>
      <c r="AD755" s="654"/>
    </row>
    <row r="756" ht="15.75" customHeight="1">
      <c r="AC756" s="654"/>
      <c r="AD756" s="654"/>
    </row>
    <row r="757" ht="15.75" customHeight="1">
      <c r="AC757" s="654"/>
      <c r="AD757" s="654"/>
    </row>
    <row r="758" ht="15.75" customHeight="1">
      <c r="AC758" s="654"/>
      <c r="AD758" s="654"/>
    </row>
    <row r="759" ht="15.75" customHeight="1">
      <c r="AC759" s="654"/>
      <c r="AD759" s="654"/>
    </row>
    <row r="760" ht="15.75" customHeight="1">
      <c r="AC760" s="654"/>
      <c r="AD760" s="654"/>
    </row>
    <row r="761" ht="15.75" customHeight="1">
      <c r="AC761" s="654"/>
      <c r="AD761" s="654"/>
    </row>
    <row r="762" ht="15.75" customHeight="1">
      <c r="AC762" s="654"/>
      <c r="AD762" s="654"/>
    </row>
    <row r="763" ht="15.75" customHeight="1">
      <c r="AC763" s="654"/>
      <c r="AD763" s="654"/>
    </row>
    <row r="764" ht="15.75" customHeight="1">
      <c r="AC764" s="654"/>
      <c r="AD764" s="654"/>
    </row>
    <row r="765" ht="15.75" customHeight="1">
      <c r="AC765" s="654"/>
      <c r="AD765" s="654"/>
    </row>
    <row r="766" ht="15.75" customHeight="1">
      <c r="AC766" s="654"/>
      <c r="AD766" s="654"/>
    </row>
    <row r="767" ht="15.75" customHeight="1">
      <c r="AC767" s="654"/>
      <c r="AD767" s="654"/>
    </row>
    <row r="768" ht="15.75" customHeight="1">
      <c r="AC768" s="654"/>
      <c r="AD768" s="654"/>
    </row>
    <row r="769" ht="15.75" customHeight="1">
      <c r="AC769" s="654"/>
      <c r="AD769" s="654"/>
    </row>
    <row r="770" ht="15.75" customHeight="1">
      <c r="AC770" s="654"/>
      <c r="AD770" s="654"/>
    </row>
    <row r="771" ht="15.75" customHeight="1">
      <c r="AC771" s="654"/>
      <c r="AD771" s="654"/>
    </row>
    <row r="772" ht="15.75" customHeight="1">
      <c r="AC772" s="654"/>
      <c r="AD772" s="654"/>
    </row>
    <row r="773" ht="15.75" customHeight="1">
      <c r="AC773" s="654"/>
      <c r="AD773" s="654"/>
    </row>
    <row r="774" ht="15.75" customHeight="1">
      <c r="AC774" s="654"/>
      <c r="AD774" s="654"/>
    </row>
    <row r="775" ht="15.75" customHeight="1">
      <c r="AC775" s="654"/>
      <c r="AD775" s="654"/>
    </row>
    <row r="776" ht="15.75" customHeight="1">
      <c r="AC776" s="654"/>
      <c r="AD776" s="654"/>
    </row>
    <row r="777" ht="15.75" customHeight="1">
      <c r="AC777" s="654"/>
      <c r="AD777" s="654"/>
    </row>
    <row r="778" ht="15.75" customHeight="1">
      <c r="AC778" s="654"/>
      <c r="AD778" s="654"/>
    </row>
    <row r="779" ht="15.75" customHeight="1">
      <c r="AC779" s="654"/>
      <c r="AD779" s="654"/>
    </row>
    <row r="780" ht="15.75" customHeight="1">
      <c r="AC780" s="654"/>
      <c r="AD780" s="654"/>
    </row>
    <row r="781" ht="15.75" customHeight="1">
      <c r="AC781" s="654"/>
      <c r="AD781" s="654"/>
    </row>
    <row r="782" ht="15.75" customHeight="1">
      <c r="AC782" s="654"/>
      <c r="AD782" s="654"/>
    </row>
    <row r="783" ht="15.75" customHeight="1">
      <c r="AC783" s="654"/>
      <c r="AD783" s="654"/>
    </row>
    <row r="784" ht="15.75" customHeight="1">
      <c r="AC784" s="654"/>
      <c r="AD784" s="654"/>
    </row>
    <row r="785" ht="15.75" customHeight="1">
      <c r="AC785" s="654"/>
      <c r="AD785" s="654"/>
    </row>
    <row r="786" ht="15.75" customHeight="1">
      <c r="AC786" s="654"/>
      <c r="AD786" s="654"/>
    </row>
    <row r="787" ht="15.75" customHeight="1">
      <c r="AC787" s="654"/>
      <c r="AD787" s="654"/>
    </row>
    <row r="788" ht="15.75" customHeight="1">
      <c r="AC788" s="654"/>
      <c r="AD788" s="654"/>
    </row>
    <row r="789" ht="15.75" customHeight="1">
      <c r="AC789" s="654"/>
      <c r="AD789" s="654"/>
    </row>
    <row r="790" ht="15.75" customHeight="1">
      <c r="AC790" s="654"/>
      <c r="AD790" s="654"/>
    </row>
    <row r="791" ht="15.75" customHeight="1">
      <c r="AC791" s="654"/>
      <c r="AD791" s="654"/>
    </row>
    <row r="792" ht="15.75" customHeight="1">
      <c r="AC792" s="654"/>
      <c r="AD792" s="654"/>
    </row>
    <row r="793" ht="15.75" customHeight="1">
      <c r="AC793" s="654"/>
      <c r="AD793" s="654"/>
    </row>
    <row r="794" ht="15.75" customHeight="1">
      <c r="AC794" s="654"/>
      <c r="AD794" s="654"/>
    </row>
    <row r="795" ht="15.75" customHeight="1">
      <c r="AC795" s="654"/>
      <c r="AD795" s="654"/>
    </row>
    <row r="796" ht="15.75" customHeight="1">
      <c r="AC796" s="654"/>
      <c r="AD796" s="654"/>
    </row>
    <row r="797" ht="15.75" customHeight="1">
      <c r="AC797" s="654"/>
      <c r="AD797" s="654"/>
    </row>
    <row r="798" ht="15.75" customHeight="1">
      <c r="AC798" s="654"/>
      <c r="AD798" s="654"/>
    </row>
    <row r="799" ht="15.75" customHeight="1">
      <c r="AC799" s="654"/>
      <c r="AD799" s="654"/>
    </row>
    <row r="800" ht="15.75" customHeight="1">
      <c r="AC800" s="654"/>
      <c r="AD800" s="654"/>
    </row>
    <row r="801" ht="15.75" customHeight="1">
      <c r="AC801" s="654"/>
      <c r="AD801" s="654"/>
    </row>
    <row r="802" ht="15.75" customHeight="1">
      <c r="AC802" s="654"/>
      <c r="AD802" s="654"/>
    </row>
    <row r="803" ht="15.75" customHeight="1">
      <c r="AC803" s="654"/>
      <c r="AD803" s="654"/>
    </row>
    <row r="804" ht="15.75" customHeight="1">
      <c r="AC804" s="654"/>
      <c r="AD804" s="654"/>
    </row>
    <row r="805" ht="15.75" customHeight="1">
      <c r="AC805" s="654"/>
      <c r="AD805" s="654"/>
    </row>
    <row r="806" ht="15.75" customHeight="1">
      <c r="AC806" s="654"/>
      <c r="AD806" s="654"/>
    </row>
    <row r="807" ht="15.75" customHeight="1">
      <c r="AC807" s="654"/>
      <c r="AD807" s="654"/>
    </row>
    <row r="808" ht="15.75" customHeight="1">
      <c r="AC808" s="654"/>
      <c r="AD808" s="654"/>
    </row>
    <row r="809" ht="15.75" customHeight="1">
      <c r="AC809" s="654"/>
      <c r="AD809" s="654"/>
    </row>
    <row r="810" ht="15.75" customHeight="1">
      <c r="AC810" s="654"/>
      <c r="AD810" s="654"/>
    </row>
    <row r="811" ht="15.75" customHeight="1">
      <c r="AC811" s="654"/>
      <c r="AD811" s="654"/>
    </row>
    <row r="812" ht="15.75" customHeight="1">
      <c r="AC812" s="654"/>
      <c r="AD812" s="654"/>
    </row>
    <row r="813" ht="15.75" customHeight="1">
      <c r="AC813" s="654"/>
      <c r="AD813" s="654"/>
    </row>
    <row r="814" ht="15.75" customHeight="1">
      <c r="AC814" s="654"/>
      <c r="AD814" s="654"/>
    </row>
    <row r="815" ht="15.75" customHeight="1">
      <c r="AC815" s="654"/>
      <c r="AD815" s="654"/>
    </row>
    <row r="816" ht="15.75" customHeight="1">
      <c r="AC816" s="654"/>
      <c r="AD816" s="654"/>
    </row>
    <row r="817" ht="15.75" customHeight="1">
      <c r="AC817" s="654"/>
      <c r="AD817" s="654"/>
    </row>
    <row r="818" ht="15.75" customHeight="1">
      <c r="AC818" s="654"/>
      <c r="AD818" s="654"/>
    </row>
    <row r="819" ht="15.75" customHeight="1">
      <c r="AC819" s="654"/>
      <c r="AD819" s="654"/>
    </row>
    <row r="820" ht="15.75" customHeight="1">
      <c r="AC820" s="654"/>
      <c r="AD820" s="654"/>
    </row>
    <row r="821" ht="15.75" customHeight="1">
      <c r="AC821" s="654"/>
      <c r="AD821" s="654"/>
    </row>
    <row r="822" ht="15.75" customHeight="1">
      <c r="AC822" s="654"/>
      <c r="AD822" s="654"/>
    </row>
    <row r="823" ht="15.75" customHeight="1">
      <c r="AC823" s="654"/>
      <c r="AD823" s="654"/>
    </row>
    <row r="824" ht="15.75" customHeight="1">
      <c r="AC824" s="654"/>
      <c r="AD824" s="654"/>
    </row>
    <row r="825" ht="15.75" customHeight="1">
      <c r="AC825" s="654"/>
      <c r="AD825" s="654"/>
    </row>
    <row r="826" ht="15.75" customHeight="1">
      <c r="AC826" s="654"/>
      <c r="AD826" s="654"/>
    </row>
    <row r="827" ht="15.75" customHeight="1">
      <c r="AC827" s="654"/>
      <c r="AD827" s="654"/>
    </row>
    <row r="828" ht="15.75" customHeight="1">
      <c r="AC828" s="654"/>
      <c r="AD828" s="654"/>
    </row>
    <row r="829" ht="15.75" customHeight="1">
      <c r="AC829" s="654"/>
      <c r="AD829" s="654"/>
    </row>
    <row r="830" ht="15.75" customHeight="1">
      <c r="AC830" s="654"/>
      <c r="AD830" s="654"/>
    </row>
    <row r="831" ht="15.75" customHeight="1">
      <c r="AC831" s="654"/>
      <c r="AD831" s="654"/>
    </row>
    <row r="832" ht="15.75" customHeight="1">
      <c r="AC832" s="654"/>
      <c r="AD832" s="654"/>
    </row>
    <row r="833" ht="15.75" customHeight="1">
      <c r="AC833" s="654"/>
      <c r="AD833" s="654"/>
    </row>
    <row r="834" ht="15.75" customHeight="1">
      <c r="AC834" s="654"/>
      <c r="AD834" s="654"/>
    </row>
    <row r="835" ht="15.75" customHeight="1">
      <c r="AC835" s="654"/>
      <c r="AD835" s="654"/>
    </row>
    <row r="836" ht="15.75" customHeight="1">
      <c r="AC836" s="654"/>
      <c r="AD836" s="654"/>
    </row>
    <row r="837" ht="15.75" customHeight="1">
      <c r="AC837" s="654"/>
      <c r="AD837" s="654"/>
    </row>
    <row r="838" ht="15.75" customHeight="1">
      <c r="AC838" s="654"/>
      <c r="AD838" s="654"/>
    </row>
    <row r="839" ht="15.75" customHeight="1">
      <c r="AC839" s="654"/>
      <c r="AD839" s="654"/>
    </row>
    <row r="840" ht="15.75" customHeight="1">
      <c r="AC840" s="654"/>
      <c r="AD840" s="654"/>
    </row>
    <row r="841" ht="15.75" customHeight="1">
      <c r="AC841" s="654"/>
      <c r="AD841" s="654"/>
    </row>
    <row r="842" ht="15.75" customHeight="1">
      <c r="AC842" s="654"/>
      <c r="AD842" s="654"/>
    </row>
    <row r="843" ht="15.75" customHeight="1">
      <c r="AC843" s="654"/>
      <c r="AD843" s="654"/>
    </row>
    <row r="844" ht="15.75" customHeight="1">
      <c r="AC844" s="654"/>
      <c r="AD844" s="654"/>
    </row>
    <row r="845" ht="15.75" customHeight="1">
      <c r="AC845" s="654"/>
      <c r="AD845" s="654"/>
    </row>
    <row r="846" ht="15.75" customHeight="1">
      <c r="AC846" s="654"/>
      <c r="AD846" s="654"/>
    </row>
    <row r="847" ht="15.75" customHeight="1">
      <c r="AC847" s="654"/>
      <c r="AD847" s="654"/>
    </row>
    <row r="848" ht="15.75" customHeight="1">
      <c r="AC848" s="654"/>
      <c r="AD848" s="654"/>
    </row>
    <row r="849" ht="15.75" customHeight="1">
      <c r="AC849" s="654"/>
      <c r="AD849" s="654"/>
    </row>
    <row r="850" ht="15.75" customHeight="1">
      <c r="AC850" s="654"/>
      <c r="AD850" s="654"/>
    </row>
    <row r="851" ht="15.75" customHeight="1">
      <c r="AC851" s="654"/>
      <c r="AD851" s="654"/>
    </row>
    <row r="852" ht="15.75" customHeight="1">
      <c r="AC852" s="654"/>
      <c r="AD852" s="654"/>
    </row>
    <row r="853" ht="15.75" customHeight="1">
      <c r="AC853" s="654"/>
      <c r="AD853" s="654"/>
    </row>
    <row r="854" ht="15.75" customHeight="1">
      <c r="AC854" s="654"/>
      <c r="AD854" s="654"/>
    </row>
    <row r="855" ht="15.75" customHeight="1">
      <c r="AC855" s="654"/>
      <c r="AD855" s="654"/>
    </row>
    <row r="856" ht="15.75" customHeight="1">
      <c r="AC856" s="654"/>
      <c r="AD856" s="654"/>
    </row>
    <row r="857" ht="15.75" customHeight="1">
      <c r="AC857" s="654"/>
      <c r="AD857" s="654"/>
    </row>
    <row r="858" ht="15.75" customHeight="1">
      <c r="AC858" s="654"/>
      <c r="AD858" s="654"/>
    </row>
    <row r="859" ht="15.75" customHeight="1">
      <c r="AC859" s="654"/>
      <c r="AD859" s="654"/>
    </row>
    <row r="860" ht="15.75" customHeight="1">
      <c r="AC860" s="654"/>
      <c r="AD860" s="654"/>
    </row>
    <row r="861" ht="15.75" customHeight="1">
      <c r="AC861" s="654"/>
      <c r="AD861" s="654"/>
    </row>
    <row r="862" ht="15.75" customHeight="1">
      <c r="AC862" s="654"/>
      <c r="AD862" s="654"/>
    </row>
    <row r="863" ht="15.75" customHeight="1">
      <c r="AC863" s="654"/>
      <c r="AD863" s="654"/>
    </row>
    <row r="864" ht="15.75" customHeight="1">
      <c r="AC864" s="654"/>
      <c r="AD864" s="654"/>
    </row>
    <row r="865" ht="15.75" customHeight="1">
      <c r="AC865" s="654"/>
      <c r="AD865" s="654"/>
    </row>
    <row r="866" ht="15.75" customHeight="1">
      <c r="AC866" s="654"/>
      <c r="AD866" s="654"/>
    </row>
    <row r="867" ht="15.75" customHeight="1">
      <c r="AC867" s="654"/>
      <c r="AD867" s="654"/>
    </row>
    <row r="868" ht="15.75" customHeight="1">
      <c r="AC868" s="654"/>
      <c r="AD868" s="654"/>
    </row>
    <row r="869" ht="15.75" customHeight="1">
      <c r="AC869" s="654"/>
      <c r="AD869" s="654"/>
    </row>
    <row r="870" ht="15.75" customHeight="1">
      <c r="AC870" s="654"/>
      <c r="AD870" s="654"/>
    </row>
    <row r="871" ht="15.75" customHeight="1">
      <c r="AC871" s="654"/>
      <c r="AD871" s="654"/>
    </row>
    <row r="872" ht="15.75" customHeight="1">
      <c r="AC872" s="654"/>
      <c r="AD872" s="654"/>
    </row>
    <row r="873" ht="15.75" customHeight="1">
      <c r="AC873" s="654"/>
      <c r="AD873" s="654"/>
    </row>
    <row r="874" ht="15.75" customHeight="1">
      <c r="AC874" s="654"/>
      <c r="AD874" s="654"/>
    </row>
    <row r="875" ht="15.75" customHeight="1">
      <c r="AC875" s="654"/>
      <c r="AD875" s="654"/>
    </row>
    <row r="876" ht="15.75" customHeight="1">
      <c r="AC876" s="654"/>
      <c r="AD876" s="654"/>
    </row>
    <row r="877" ht="15.75" customHeight="1">
      <c r="AC877" s="654"/>
      <c r="AD877" s="654"/>
    </row>
    <row r="878" ht="15.75" customHeight="1">
      <c r="AC878" s="654"/>
      <c r="AD878" s="654"/>
    </row>
    <row r="879" ht="15.75" customHeight="1">
      <c r="AC879" s="654"/>
      <c r="AD879" s="654"/>
    </row>
    <row r="880" ht="15.75" customHeight="1">
      <c r="AC880" s="654"/>
      <c r="AD880" s="654"/>
    </row>
    <row r="881" ht="15.75" customHeight="1">
      <c r="AC881" s="654"/>
      <c r="AD881" s="654"/>
    </row>
    <row r="882" ht="15.75" customHeight="1">
      <c r="AC882" s="654"/>
      <c r="AD882" s="654"/>
    </row>
    <row r="883" ht="15.75" customHeight="1">
      <c r="AC883" s="654"/>
      <c r="AD883" s="654"/>
    </row>
    <row r="884" ht="15.75" customHeight="1">
      <c r="AC884" s="654"/>
      <c r="AD884" s="654"/>
    </row>
    <row r="885" ht="15.75" customHeight="1">
      <c r="AC885" s="654"/>
      <c r="AD885" s="654"/>
    </row>
    <row r="886" ht="15.75" customHeight="1">
      <c r="AC886" s="654"/>
      <c r="AD886" s="654"/>
    </row>
    <row r="887" ht="15.75" customHeight="1">
      <c r="AC887" s="654"/>
      <c r="AD887" s="654"/>
    </row>
    <row r="888" ht="15.75" customHeight="1">
      <c r="AC888" s="654"/>
      <c r="AD888" s="654"/>
    </row>
    <row r="889" ht="15.75" customHeight="1">
      <c r="AC889" s="654"/>
      <c r="AD889" s="654"/>
    </row>
    <row r="890" ht="15.75" customHeight="1">
      <c r="AC890" s="654"/>
      <c r="AD890" s="654"/>
    </row>
    <row r="891" ht="15.75" customHeight="1">
      <c r="AC891" s="654"/>
      <c r="AD891" s="654"/>
    </row>
    <row r="892" ht="15.75" customHeight="1">
      <c r="AC892" s="654"/>
      <c r="AD892" s="654"/>
    </row>
    <row r="893" ht="15.75" customHeight="1">
      <c r="AC893" s="654"/>
      <c r="AD893" s="654"/>
    </row>
    <row r="894" ht="15.75" customHeight="1">
      <c r="AC894" s="654"/>
      <c r="AD894" s="654"/>
    </row>
    <row r="895" ht="15.75" customHeight="1">
      <c r="AC895" s="654"/>
      <c r="AD895" s="654"/>
    </row>
    <row r="896" ht="15.75" customHeight="1">
      <c r="AC896" s="654"/>
      <c r="AD896" s="654"/>
    </row>
    <row r="897" ht="15.75" customHeight="1">
      <c r="AC897" s="654"/>
      <c r="AD897" s="654"/>
    </row>
    <row r="898" ht="15.75" customHeight="1">
      <c r="AC898" s="654"/>
      <c r="AD898" s="654"/>
    </row>
    <row r="899" ht="15.75" customHeight="1">
      <c r="AC899" s="654"/>
      <c r="AD899" s="654"/>
    </row>
    <row r="900" ht="15.75" customHeight="1">
      <c r="AC900" s="654"/>
      <c r="AD900" s="654"/>
    </row>
    <row r="901" ht="15.75" customHeight="1">
      <c r="AC901" s="654"/>
      <c r="AD901" s="654"/>
    </row>
    <row r="902" ht="15.75" customHeight="1">
      <c r="AC902" s="654"/>
      <c r="AD902" s="654"/>
    </row>
    <row r="903" ht="15.75" customHeight="1">
      <c r="AC903" s="654"/>
      <c r="AD903" s="654"/>
    </row>
    <row r="904" ht="15.75" customHeight="1">
      <c r="AC904" s="654"/>
      <c r="AD904" s="654"/>
    </row>
    <row r="905" ht="15.75" customHeight="1">
      <c r="AC905" s="654"/>
      <c r="AD905" s="654"/>
    </row>
    <row r="906" ht="15.75" customHeight="1">
      <c r="AC906" s="654"/>
      <c r="AD906" s="654"/>
    </row>
    <row r="907" ht="15.75" customHeight="1">
      <c r="AC907" s="654"/>
      <c r="AD907" s="654"/>
    </row>
    <row r="908" ht="15.75" customHeight="1">
      <c r="AC908" s="654"/>
      <c r="AD908" s="654"/>
    </row>
    <row r="909" ht="15.75" customHeight="1">
      <c r="AC909" s="654"/>
      <c r="AD909" s="654"/>
    </row>
    <row r="910" ht="15.75" customHeight="1">
      <c r="AC910" s="654"/>
      <c r="AD910" s="654"/>
    </row>
    <row r="911" ht="15.75" customHeight="1">
      <c r="AC911" s="654"/>
      <c r="AD911" s="654"/>
    </row>
    <row r="912" ht="15.75" customHeight="1">
      <c r="AC912" s="654"/>
      <c r="AD912" s="654"/>
    </row>
    <row r="913" ht="15.75" customHeight="1">
      <c r="AC913" s="654"/>
      <c r="AD913" s="654"/>
    </row>
    <row r="914" ht="15.75" customHeight="1">
      <c r="AC914" s="654"/>
      <c r="AD914" s="654"/>
    </row>
    <row r="915" ht="15.75" customHeight="1">
      <c r="AC915" s="654"/>
      <c r="AD915" s="654"/>
    </row>
    <row r="916" ht="15.75" customHeight="1">
      <c r="AC916" s="654"/>
      <c r="AD916" s="654"/>
    </row>
    <row r="917" ht="15.75" customHeight="1">
      <c r="AC917" s="654"/>
      <c r="AD917" s="654"/>
    </row>
    <row r="918" ht="15.75" customHeight="1">
      <c r="AC918" s="654"/>
      <c r="AD918" s="654"/>
    </row>
    <row r="919" ht="15.75" customHeight="1">
      <c r="AC919" s="654"/>
      <c r="AD919" s="654"/>
    </row>
    <row r="920" ht="15.75" customHeight="1">
      <c r="AC920" s="654"/>
      <c r="AD920" s="654"/>
    </row>
    <row r="921" ht="15.75" customHeight="1">
      <c r="AC921" s="654"/>
      <c r="AD921" s="654"/>
    </row>
    <row r="922" ht="15.75" customHeight="1">
      <c r="AC922" s="654"/>
      <c r="AD922" s="654"/>
    </row>
    <row r="923" ht="15.75" customHeight="1">
      <c r="AC923" s="654"/>
      <c r="AD923" s="654"/>
    </row>
    <row r="924" ht="15.75" customHeight="1">
      <c r="AC924" s="654"/>
      <c r="AD924" s="654"/>
    </row>
    <row r="925" ht="15.75" customHeight="1">
      <c r="AC925" s="654"/>
      <c r="AD925" s="654"/>
    </row>
    <row r="926" ht="15.75" customHeight="1">
      <c r="AC926" s="654"/>
      <c r="AD926" s="654"/>
    </row>
    <row r="927" ht="15.75" customHeight="1">
      <c r="AC927" s="654"/>
      <c r="AD927" s="654"/>
    </row>
    <row r="928" ht="15.75" customHeight="1">
      <c r="AC928" s="654"/>
      <c r="AD928" s="654"/>
    </row>
    <row r="929" ht="15.75" customHeight="1">
      <c r="AC929" s="654"/>
      <c r="AD929" s="654"/>
    </row>
    <row r="930" ht="15.75" customHeight="1">
      <c r="AC930" s="654"/>
      <c r="AD930" s="654"/>
    </row>
    <row r="931" ht="15.75" customHeight="1">
      <c r="AC931" s="654"/>
      <c r="AD931" s="654"/>
    </row>
    <row r="932" ht="15.75" customHeight="1">
      <c r="AC932" s="654"/>
      <c r="AD932" s="654"/>
    </row>
    <row r="933" ht="15.75" customHeight="1">
      <c r="AC933" s="654"/>
      <c r="AD933" s="654"/>
    </row>
    <row r="934" ht="15.75" customHeight="1">
      <c r="AC934" s="654"/>
      <c r="AD934" s="654"/>
    </row>
    <row r="935" ht="15.75" customHeight="1">
      <c r="AC935" s="654"/>
      <c r="AD935" s="654"/>
    </row>
    <row r="936" ht="15.75" customHeight="1">
      <c r="AC936" s="654"/>
      <c r="AD936" s="654"/>
    </row>
    <row r="937" ht="15.75" customHeight="1">
      <c r="AC937" s="654"/>
      <c r="AD937" s="654"/>
    </row>
    <row r="938" ht="15.75" customHeight="1">
      <c r="AC938" s="654"/>
      <c r="AD938" s="654"/>
    </row>
    <row r="939" ht="15.75" customHeight="1">
      <c r="AC939" s="654"/>
      <c r="AD939" s="654"/>
    </row>
    <row r="940" ht="15.75" customHeight="1">
      <c r="AC940" s="654"/>
      <c r="AD940" s="654"/>
    </row>
    <row r="941" ht="15.75" customHeight="1">
      <c r="AC941" s="654"/>
      <c r="AD941" s="654"/>
    </row>
    <row r="942" ht="15.75" customHeight="1">
      <c r="AC942" s="654"/>
      <c r="AD942" s="654"/>
    </row>
    <row r="943" ht="15.75" customHeight="1">
      <c r="AC943" s="654"/>
      <c r="AD943" s="654"/>
    </row>
    <row r="944" ht="15.75" customHeight="1">
      <c r="AC944" s="654"/>
      <c r="AD944" s="654"/>
    </row>
    <row r="945" ht="15.75" customHeight="1">
      <c r="AC945" s="654"/>
      <c r="AD945" s="654"/>
    </row>
    <row r="946" ht="15.75" customHeight="1">
      <c r="AC946" s="654"/>
      <c r="AD946" s="654"/>
    </row>
    <row r="947" ht="15.75" customHeight="1">
      <c r="AC947" s="654"/>
      <c r="AD947" s="654"/>
    </row>
    <row r="948" ht="15.75" customHeight="1">
      <c r="AC948" s="654"/>
      <c r="AD948" s="654"/>
    </row>
    <row r="949" ht="15.75" customHeight="1">
      <c r="AC949" s="654"/>
      <c r="AD949" s="654"/>
    </row>
    <row r="950" ht="15.75" customHeight="1">
      <c r="AC950" s="654"/>
      <c r="AD950" s="654"/>
    </row>
    <row r="951" ht="15.75" customHeight="1">
      <c r="AC951" s="654"/>
      <c r="AD951" s="654"/>
    </row>
    <row r="952" ht="15.75" customHeight="1">
      <c r="AC952" s="654"/>
      <c r="AD952" s="654"/>
    </row>
    <row r="953" ht="15.75" customHeight="1">
      <c r="AC953" s="654"/>
      <c r="AD953" s="654"/>
    </row>
    <row r="954" ht="15.75" customHeight="1">
      <c r="AC954" s="654"/>
      <c r="AD954" s="654"/>
    </row>
    <row r="955" ht="15.75" customHeight="1">
      <c r="AC955" s="654"/>
      <c r="AD955" s="654"/>
    </row>
    <row r="956" ht="15.75" customHeight="1">
      <c r="AC956" s="654"/>
      <c r="AD956" s="654"/>
    </row>
    <row r="957" ht="15.75" customHeight="1">
      <c r="AC957" s="654"/>
      <c r="AD957" s="654"/>
    </row>
    <row r="958" ht="15.75" customHeight="1">
      <c r="AC958" s="654"/>
      <c r="AD958" s="654"/>
    </row>
    <row r="959" ht="15.75" customHeight="1">
      <c r="AC959" s="654"/>
      <c r="AD959" s="654"/>
    </row>
    <row r="960" ht="15.75" customHeight="1">
      <c r="AC960" s="654"/>
      <c r="AD960" s="654"/>
    </row>
    <row r="961" ht="15.75" customHeight="1">
      <c r="AC961" s="654"/>
      <c r="AD961" s="654"/>
    </row>
    <row r="962" ht="15.75" customHeight="1">
      <c r="AC962" s="654"/>
      <c r="AD962" s="654"/>
    </row>
    <row r="963" ht="15.75" customHeight="1">
      <c r="AC963" s="654"/>
      <c r="AD963" s="654"/>
    </row>
    <row r="964" ht="15.75" customHeight="1">
      <c r="AC964" s="654"/>
      <c r="AD964" s="654"/>
    </row>
    <row r="965" ht="15.75" customHeight="1">
      <c r="AC965" s="654"/>
      <c r="AD965" s="654"/>
    </row>
    <row r="966" ht="15.75" customHeight="1">
      <c r="AC966" s="654"/>
      <c r="AD966" s="654"/>
    </row>
    <row r="967" ht="15.75" customHeight="1">
      <c r="AC967" s="654"/>
      <c r="AD967" s="654"/>
    </row>
    <row r="968" ht="15.75" customHeight="1">
      <c r="AC968" s="654"/>
      <c r="AD968" s="654"/>
    </row>
    <row r="969" ht="15.75" customHeight="1">
      <c r="AC969" s="654"/>
      <c r="AD969" s="654"/>
    </row>
    <row r="970" ht="15.75" customHeight="1">
      <c r="AC970" s="654"/>
      <c r="AD970" s="654"/>
    </row>
    <row r="971" ht="15.75" customHeight="1">
      <c r="AC971" s="654"/>
      <c r="AD971" s="654"/>
    </row>
    <row r="972" ht="15.75" customHeight="1">
      <c r="AC972" s="654"/>
      <c r="AD972" s="654"/>
    </row>
    <row r="973" ht="15.75" customHeight="1">
      <c r="AC973" s="654"/>
      <c r="AD973" s="654"/>
    </row>
    <row r="974" ht="15.75" customHeight="1">
      <c r="AC974" s="654"/>
      <c r="AD974" s="654"/>
    </row>
    <row r="975" ht="15.75" customHeight="1">
      <c r="AC975" s="654"/>
      <c r="AD975" s="654"/>
    </row>
    <row r="976" ht="15.75" customHeight="1">
      <c r="AC976" s="654"/>
      <c r="AD976" s="654"/>
    </row>
    <row r="977" ht="15.75" customHeight="1">
      <c r="AC977" s="654"/>
      <c r="AD977" s="654"/>
    </row>
    <row r="978" ht="15.75" customHeight="1">
      <c r="AC978" s="654"/>
      <c r="AD978" s="654"/>
    </row>
    <row r="979" ht="15.75" customHeight="1">
      <c r="AC979" s="654"/>
      <c r="AD979" s="654"/>
    </row>
    <row r="980" ht="15.75" customHeight="1">
      <c r="AC980" s="654"/>
      <c r="AD980" s="654"/>
    </row>
    <row r="981" ht="15.75" customHeight="1">
      <c r="AC981" s="654"/>
      <c r="AD981" s="654"/>
    </row>
    <row r="982" ht="15.75" customHeight="1">
      <c r="AC982" s="654"/>
      <c r="AD982" s="654"/>
    </row>
    <row r="983" ht="15.75" customHeight="1">
      <c r="AC983" s="654"/>
      <c r="AD983" s="654"/>
    </row>
    <row r="984" ht="15.75" customHeight="1">
      <c r="AC984" s="654"/>
      <c r="AD984" s="654"/>
    </row>
    <row r="985" ht="15.75" customHeight="1">
      <c r="AC985" s="654"/>
      <c r="AD985" s="654"/>
    </row>
    <row r="986" ht="15.75" customHeight="1">
      <c r="AC986" s="654"/>
      <c r="AD986" s="654"/>
    </row>
    <row r="987" ht="15.75" customHeight="1">
      <c r="AC987" s="654"/>
      <c r="AD987" s="654"/>
    </row>
    <row r="988" ht="15.75" customHeight="1">
      <c r="AC988" s="654"/>
      <c r="AD988" s="654"/>
    </row>
    <row r="989" ht="15.75" customHeight="1">
      <c r="AC989" s="654"/>
      <c r="AD989" s="654"/>
    </row>
    <row r="990" ht="15.75" customHeight="1">
      <c r="AC990" s="654"/>
      <c r="AD990" s="654"/>
    </row>
    <row r="991" ht="15.75" customHeight="1">
      <c r="AC991" s="654"/>
      <c r="AD991" s="654"/>
    </row>
    <row r="992" ht="15.75" customHeight="1">
      <c r="AC992" s="654"/>
      <c r="AD992" s="654"/>
    </row>
    <row r="993" ht="15.75" customHeight="1">
      <c r="AC993" s="654"/>
      <c r="AD993" s="654"/>
    </row>
    <row r="994" ht="15.75" customHeight="1">
      <c r="AC994" s="654"/>
      <c r="AD994" s="654"/>
    </row>
    <row r="995" ht="15.75" customHeight="1">
      <c r="AC995" s="654"/>
      <c r="AD995" s="654"/>
    </row>
    <row r="996" ht="15.75" customHeight="1">
      <c r="AC996" s="654"/>
      <c r="AD996" s="654"/>
    </row>
    <row r="997" ht="15.75" customHeight="1">
      <c r="AC997" s="654"/>
      <c r="AD997" s="654"/>
    </row>
    <row r="998" ht="15.75" customHeight="1">
      <c r="AC998" s="654"/>
      <c r="AD998" s="654"/>
    </row>
    <row r="999" ht="15.75" customHeight="1">
      <c r="AC999" s="654"/>
      <c r="AD999" s="654"/>
    </row>
    <row r="1000" ht="15.75" customHeight="1">
      <c r="AC1000" s="654"/>
      <c r="AD1000" s="654"/>
    </row>
    <row r="1001" ht="15.75" customHeight="1">
      <c r="AC1001" s="654"/>
      <c r="AD1001" s="654"/>
    </row>
    <row r="1002" ht="15.75" customHeight="1">
      <c r="AC1002" s="654"/>
      <c r="AD1002" s="654"/>
    </row>
    <row r="1003" ht="15.75" customHeight="1">
      <c r="AC1003" s="654"/>
      <c r="AD1003" s="654"/>
    </row>
    <row r="1004" ht="15.75" customHeight="1">
      <c r="AC1004" s="654"/>
      <c r="AD1004" s="654"/>
    </row>
    <row r="1005" ht="15.75" customHeight="1">
      <c r="AC1005" s="654"/>
      <c r="AD1005" s="654"/>
    </row>
    <row r="1006" ht="15.75" customHeight="1">
      <c r="AC1006" s="654"/>
      <c r="AD1006" s="654"/>
    </row>
    <row r="1007" ht="15.75" customHeight="1">
      <c r="AC1007" s="654"/>
      <c r="AD1007" s="654"/>
    </row>
    <row r="1008" ht="15.75" customHeight="1">
      <c r="AC1008" s="654"/>
      <c r="AD1008" s="654"/>
    </row>
    <row r="1009" ht="15.75" customHeight="1">
      <c r="AC1009" s="654"/>
      <c r="AD1009" s="654"/>
    </row>
    <row r="1010" ht="15.75" customHeight="1">
      <c r="AC1010" s="654"/>
      <c r="AD1010" s="654"/>
    </row>
    <row r="1011" ht="15.75" customHeight="1">
      <c r="AC1011" s="654"/>
      <c r="AD1011" s="654"/>
    </row>
    <row r="1012" ht="15.75" customHeight="1">
      <c r="AC1012" s="654"/>
      <c r="AD1012" s="654"/>
    </row>
    <row r="1013" ht="15.75" customHeight="1">
      <c r="AC1013" s="654"/>
      <c r="AD1013" s="654"/>
    </row>
    <row r="1014" ht="15.75" customHeight="1">
      <c r="AC1014" s="654"/>
      <c r="AD1014" s="654"/>
    </row>
  </sheetData>
  <mergeCells count="4">
    <mergeCell ref="I12:J12"/>
    <mergeCell ref="K12:N12"/>
    <mergeCell ref="O12:AB12"/>
    <mergeCell ref="AC12:AJ12"/>
  </mergeCells>
  <conditionalFormatting sqref="A14:B137 D14:D137 O14:O137 AF14:AF137">
    <cfRule type="expression" dxfId="26" priority="1" stopIfTrue="1">
      <formula>$AB14="P1"</formula>
    </cfRule>
  </conditionalFormatting>
  <conditionalFormatting sqref="A14:B137 D14:D137 O14:O137 AF14:AF137">
    <cfRule type="expression" dxfId="27" priority="2" stopIfTrue="1">
      <formula>$AB14="P2"</formula>
    </cfRule>
  </conditionalFormatting>
  <conditionalFormatting sqref="A14:B137 D14:D137 O14:O137 AF14:AF137">
    <cfRule type="expression" dxfId="28" priority="3" stopIfTrue="1">
      <formula>$AB14="P3"</formula>
    </cfRule>
  </conditionalFormatting>
  <conditionalFormatting sqref="A14:B137 D14:D137 O14:O137 AF14:AF137">
    <cfRule type="expression" dxfId="29" priority="4" stopIfTrue="1">
      <formula>$AB14="P4"</formula>
    </cfRule>
  </conditionalFormatting>
  <conditionalFormatting sqref="C14:C137 P14:P137 AB14:AB137">
    <cfRule type="cellIs" dxfId="9" priority="5" stopIfTrue="1" operator="equal">
      <formula>"P1"</formula>
    </cfRule>
  </conditionalFormatting>
  <conditionalFormatting sqref="C14:C137 P14:P137 AB14:AB137">
    <cfRule type="cellIs" dxfId="13" priority="6" stopIfTrue="1" operator="equal">
      <formula>"P2"</formula>
    </cfRule>
  </conditionalFormatting>
  <conditionalFormatting sqref="C14:C137 P14:P137 AB14:AB137">
    <cfRule type="cellIs" dxfId="14" priority="7" stopIfTrue="1" operator="equal">
      <formula>"P3"</formula>
    </cfRule>
  </conditionalFormatting>
  <conditionalFormatting sqref="C14:C137 P14:P137 AB14:AB137">
    <cfRule type="cellIs" dxfId="15" priority="8" stopIfTrue="1" operator="equal">
      <formula>"P4"</formula>
    </cfRule>
  </conditionalFormatting>
  <conditionalFormatting sqref="M14:M137">
    <cfRule type="containsText" dxfId="18" priority="9" stopIfTrue="1" operator="containsText" text="Công việc khác">
      <formula>NOT(ISERROR(SEARCH(("Công việc khác"),(M14))))</formula>
    </cfRule>
  </conditionalFormatting>
  <conditionalFormatting sqref="AA14:AA137">
    <cfRule type="containsText" dxfId="17" priority="10" stopIfTrue="1" operator="containsText" text="Hoàn thành">
      <formula>NOT(ISERROR(SEARCH(("Hoàn thành"),(AA14))))</formula>
    </cfRule>
  </conditionalFormatting>
  <conditionalFormatting sqref="AA14:AA137">
    <cfRule type="containsText" dxfId="19" priority="11" stopIfTrue="1" operator="containsText" text="Tạm dừng">
      <formula>NOT(ISERROR(SEARCH(("Tạm dừng"),(AA14))))</formula>
    </cfRule>
  </conditionalFormatting>
  <conditionalFormatting sqref="F14:G137 S14:T137 AC14:AD137">
    <cfRule type="expression" dxfId="20" priority="12" stopIfTrue="1">
      <formula>ISNUMBER(SEARCH("Vượt khung",$AJ14))</formula>
    </cfRule>
  </conditionalFormatting>
  <conditionalFormatting sqref="AG14:AG137">
    <cfRule type="cellIs" dxfId="20" priority="13" stopIfTrue="1" operator="lessThan">
      <formula>0</formula>
    </cfRule>
  </conditionalFormatting>
  <conditionalFormatting sqref="AG14:AG137">
    <cfRule type="cellIs" dxfId="21" priority="14" stopIfTrue="1" operator="between">
      <formula>0</formula>
      <formula>3</formula>
    </cfRule>
  </conditionalFormatting>
  <dataValidations>
    <dataValidation type="decimal" allowBlank="1" sqref="AH14:AH137">
      <formula1>0.0</formula1>
      <formula2>10000.0</formula2>
    </dataValidation>
    <dataValidation type="list" allowBlank="1" showInputMessage="1" showErrorMessage="1" prompt="Chọn chu kỳ." sqref="AM14:AM137">
      <formula1>'Danh mục chọn'!$L$2:$L$100</formula1>
    </dataValidation>
    <dataValidation type="list" allowBlank="1" showInputMessage="1" showErrorMessage="1" prompt="Chọn người phụ trách hoặc thực hiện." sqref="Y14:Z137">
      <formula1>'Danh mục chọn'!$P$2:$P$500</formula1>
    </dataValidation>
    <dataValidation type="list" allowBlank="1" showInputMessage="1" showErrorMessage="1" prompt="Chọn trạng thái." sqref="AA14:AA137">
      <formula1>'Danh mục chọn'!$D$2:$D$100</formula1>
    </dataValidation>
    <dataValidation type="list" allowBlank="1" showInputMessage="1" showErrorMessage="1" prompt="Chọn loại lịch." sqref="AL14:AL137">
      <formula1>'Danh mục chọn'!$K$2:$K$100</formula1>
    </dataValidation>
    <dataValidation type="list" allowBlank="1" showInputMessage="1" showErrorMessage="1" prompt="Chọn mức độ ưu tiên." sqref="C14:C137 P14:P137 AB14:AB137">
      <formula1>'Danh mục chọn'!$E$2:$E$100</formula1>
    </dataValidation>
    <dataValidation type="date" allowBlank="1" sqref="F14:G137 S14:T137 AC14:AD137">
      <formula1>DATE(2025,1,1)</formula1>
      <formula2>DATE(2035,12,31)</formula2>
    </dataValidation>
    <dataValidation type="list" allowBlank="1" showInputMessage="1" showErrorMessage="1" prompt="Chọn Mã L3 cha." sqref="J14:J137">
      <formula1>'Lớp 3 - Công việc chính'!$I$14:$I$73</formula1>
    </dataValidation>
    <dataValidation type="list" allowBlank="1" showInputMessage="1" showErrorMessage="1" prompt="Chọn phân bổ theo Ngày hoặc Tuần." sqref="AR14:AR137">
      <formula1>'Danh mục chọn'!$N$2:$N$100</formula1>
    </dataValidation>
  </dataValidations>
  <printOptions/>
  <pageMargins bottom="0.75" footer="0.0" header="0.0" left="0.7" right="0.7" top="0.75"/>
  <pageSetup paperSize="9" orientation="portrait"/>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3.0" topLeftCell="A14" activePane="bottomLeft" state="frozen"/>
      <selection activeCell="B15" sqref="B15" pane="bottomLeft"/>
    </sheetView>
  </sheetViews>
  <sheetFormatPr customHeight="1" defaultColWidth="12.63" defaultRowHeight="15.0"/>
  <cols>
    <col customWidth="1" min="1" max="1" width="8.38"/>
    <col customWidth="1" min="2" max="2" width="47.38"/>
    <col customWidth="1" min="3" max="3" width="12.0"/>
    <col customWidth="1" min="4" max="4" width="15.75"/>
    <col customWidth="1" min="5" max="5" width="15.13"/>
    <col customWidth="1" min="6" max="7" width="12.63"/>
    <col customWidth="1" min="8" max="8" width="21.5"/>
    <col customWidth="1" min="9" max="9" width="35.13"/>
    <col customWidth="1" min="10" max="10" width="16.75"/>
    <col customWidth="1" hidden="1" min="11" max="11" width="18.13"/>
    <col customWidth="1" hidden="1" min="12" max="12" width="11.63"/>
    <col customWidth="1" hidden="1" min="13" max="13" width="15.25"/>
    <col customWidth="1" hidden="1" min="14" max="14" width="20.38"/>
    <col customWidth="1" hidden="1" min="15" max="15" width="47.13"/>
    <col customWidth="1" min="16" max="16" width="46.5"/>
    <col customWidth="1" hidden="1" min="17" max="17" width="67.25"/>
    <col customWidth="1" hidden="1" min="18" max="18" width="15.25"/>
    <col customWidth="1" hidden="1" min="19" max="19" width="20.25"/>
    <col customWidth="1" hidden="1" min="20" max="20" width="19.63"/>
    <col customWidth="1" hidden="1" min="21" max="21" width="14.25"/>
    <col customWidth="1" hidden="1" min="22" max="22" width="13.75"/>
    <col customWidth="1" hidden="1" min="23" max="23" width="31.25"/>
    <col customWidth="1" hidden="1" min="24" max="24" width="68.38"/>
    <col customWidth="1" hidden="1" min="25" max="25" width="18.88"/>
    <col customWidth="1" min="26" max="26" width="43.13"/>
    <col customWidth="1" min="27" max="27" width="21.13"/>
    <col customWidth="1" min="28" max="28" width="13.88"/>
    <col customWidth="1" hidden="1" min="29" max="30" width="13.88"/>
    <col customWidth="1" hidden="1" min="31" max="31" width="13.38"/>
    <col customWidth="1" hidden="1" min="32" max="32" width="17.75"/>
    <col customWidth="1" hidden="1" min="33" max="33" width="15.25"/>
    <col customWidth="1" hidden="1" min="34" max="34" width="12.13"/>
    <col customWidth="1" min="35" max="35" width="17.25"/>
    <col customWidth="1" min="36" max="36" width="14.25"/>
    <col customWidth="1" min="37" max="37" width="18.88"/>
    <col customWidth="1" min="38" max="38" width="27.63"/>
    <col customWidth="1" min="39" max="39" width="12.63"/>
    <col customWidth="1" hidden="1" min="40" max="40" width="9.5"/>
    <col customWidth="1" min="41" max="41" width="13.25"/>
    <col customWidth="1" min="42" max="42" width="17.0"/>
    <col customWidth="1" hidden="1" min="43" max="43" width="12.0"/>
    <col customWidth="1" hidden="1" min="44" max="44" width="26.38"/>
    <col customWidth="1" min="45" max="45" width="15.0"/>
    <col customWidth="1" min="46" max="46" width="16.25"/>
    <col customWidth="1" min="47" max="47" width="21.75"/>
    <col customWidth="1" min="48" max="48" width="16.25"/>
    <col customWidth="1" min="49" max="49" width="30.75"/>
    <col customWidth="1" min="50" max="50" width="17.5"/>
  </cols>
  <sheetData>
    <row r="1" ht="15.75" customHeight="1">
      <c r="A1" s="152"/>
      <c r="B1" s="5" t="s">
        <v>611</v>
      </c>
      <c r="C1" s="156"/>
      <c r="D1" s="156"/>
      <c r="E1" s="156"/>
      <c r="F1" s="156"/>
      <c r="G1" s="156"/>
      <c r="H1" s="156"/>
      <c r="I1" s="156"/>
      <c r="J1" s="156"/>
      <c r="K1" s="156"/>
      <c r="L1" s="156"/>
      <c r="M1" s="156"/>
      <c r="N1" s="156"/>
      <c r="O1" s="156"/>
      <c r="P1" s="156"/>
      <c r="Q1" s="156"/>
      <c r="R1" s="156"/>
      <c r="S1" s="156"/>
      <c r="T1" s="156"/>
      <c r="U1" s="156"/>
      <c r="V1" s="156"/>
      <c r="W1" s="156"/>
      <c r="X1" s="67"/>
      <c r="Y1" s="67"/>
      <c r="Z1" s="67"/>
      <c r="AA1" s="67"/>
      <c r="AB1" s="67"/>
      <c r="AC1" s="67"/>
      <c r="AD1" s="67"/>
      <c r="AE1" s="156"/>
      <c r="AF1" s="156"/>
      <c r="AG1" s="156"/>
      <c r="AH1" s="156"/>
      <c r="AI1" s="156"/>
      <c r="AJ1" s="156"/>
      <c r="AK1" s="203"/>
      <c r="AL1" s="3"/>
      <c r="AM1" s="3"/>
      <c r="AN1" s="3"/>
      <c r="AO1" s="3"/>
      <c r="AP1" s="3"/>
      <c r="AQ1" s="3"/>
      <c r="AR1" s="3"/>
      <c r="AS1" s="3"/>
      <c r="AT1" s="3"/>
      <c r="AU1" s="3"/>
      <c r="AV1" s="3"/>
      <c r="AW1" s="160"/>
      <c r="AX1" s="160"/>
    </row>
    <row r="2" ht="15.75" customHeight="1">
      <c r="A2" s="162"/>
      <c r="B2" s="210" t="s">
        <v>612</v>
      </c>
      <c r="C2" s="210"/>
      <c r="D2" s="210"/>
      <c r="E2" s="210"/>
      <c r="F2" s="214" t="s">
        <v>117</v>
      </c>
      <c r="G2" s="214"/>
      <c r="H2" s="216" t="s">
        <v>118</v>
      </c>
      <c r="I2" s="216" t="s">
        <v>119</v>
      </c>
      <c r="J2" s="216" t="s">
        <v>120</v>
      </c>
      <c r="K2" s="216" t="s">
        <v>121</v>
      </c>
      <c r="L2" s="216" t="s">
        <v>122</v>
      </c>
      <c r="M2" s="216" t="s">
        <v>123</v>
      </c>
      <c r="N2" s="67"/>
      <c r="O2" s="67"/>
      <c r="P2" s="67"/>
      <c r="Q2" s="67"/>
      <c r="R2" s="67"/>
      <c r="S2" s="67"/>
      <c r="T2" s="67"/>
      <c r="U2" s="67"/>
      <c r="V2" s="67"/>
      <c r="W2" s="67"/>
      <c r="X2" s="67"/>
      <c r="Y2" s="67"/>
      <c r="Z2" s="67"/>
      <c r="AA2" s="67"/>
      <c r="AB2" s="67"/>
      <c r="AC2" s="67"/>
      <c r="AD2" s="67"/>
      <c r="AE2" s="214"/>
      <c r="AF2" s="214"/>
      <c r="AG2" s="214"/>
      <c r="AH2" s="214"/>
      <c r="AI2" s="214"/>
      <c r="AJ2" s="214"/>
      <c r="AK2" s="214"/>
    </row>
    <row r="3" ht="15.75" customHeight="1">
      <c r="A3" s="222"/>
      <c r="B3" s="224" t="s">
        <v>613</v>
      </c>
      <c r="C3" s="224"/>
      <c r="D3" s="224"/>
      <c r="E3" s="224"/>
      <c r="F3" s="228">
        <f>COUNTIF($B$14:$B$262,"&lt;&gt;")</f>
        <v>38</v>
      </c>
      <c r="G3" s="229"/>
      <c r="H3" s="234">
        <f>COUNTIFS($B$14:$B$262,"&lt;&gt;",$Z$14:$Z$262,"Công ty")</f>
        <v>0</v>
      </c>
      <c r="I3" s="234">
        <f>COUNTIFS($B$14:$B$262,"&lt;&gt;",$Z$14:$Z$262,"R&amp;D")</f>
        <v>0</v>
      </c>
      <c r="J3" s="234">
        <f>COUNTIFS($B$14:$B$262,"&lt;&gt;",$Z$14:$Z$262,"MKT*")</f>
        <v>0</v>
      </c>
      <c r="K3" s="234">
        <f>COUNTIFS($B$14:$B$262,"&lt;&gt;",$Z$14:$Z$262,"KH &amp; Cung ứng*")</f>
        <v>0</v>
      </c>
      <c r="L3" s="234">
        <f>COUNTIFS($B$14:$B$262,"&lt;&gt;",$Z$14:$Z$262,"Dữ liệu điều hành*")</f>
        <v>35</v>
      </c>
      <c r="M3" s="234">
        <f>COUNTIFS($B$14:$B$262,"&lt;&gt;",$Z$14:$Z$262,"Kinh doanh quốc tế*")</f>
        <v>0</v>
      </c>
      <c r="N3" s="187"/>
      <c r="O3" s="187"/>
      <c r="P3" s="187"/>
      <c r="Q3" s="187"/>
      <c r="R3" s="187"/>
      <c r="S3" s="187"/>
      <c r="T3" s="187"/>
      <c r="U3" s="187"/>
      <c r="V3" s="187"/>
      <c r="W3" s="187"/>
      <c r="X3" s="187"/>
      <c r="Y3" s="187"/>
      <c r="Z3" s="187"/>
      <c r="AA3" s="187"/>
      <c r="AB3" s="187"/>
      <c r="AC3" s="187"/>
      <c r="AD3" s="187"/>
      <c r="AE3" s="229"/>
      <c r="AF3" s="229"/>
      <c r="AG3" s="229"/>
      <c r="AH3" s="229"/>
      <c r="AI3" s="229"/>
      <c r="AJ3" s="229"/>
      <c r="AK3" s="229"/>
    </row>
    <row r="4" ht="15.75" customHeight="1">
      <c r="A4" s="222"/>
      <c r="B4" s="224" t="s">
        <v>88</v>
      </c>
      <c r="C4" s="224"/>
      <c r="D4" s="224"/>
      <c r="E4" s="224"/>
      <c r="F4" s="228">
        <f t="shared" ref="F4:F6" si="1">COUNTIFS($B$14:$B$262,"&lt;&gt;",$N$14:$N$262,$B4)</f>
        <v>0</v>
      </c>
      <c r="G4" s="229"/>
      <c r="H4" s="229">
        <f t="shared" ref="H4:H6" si="2">COUNTIFS($B$14:$B$262,"&lt;&gt;",$N$14:$N$262,$B4,$Z$14:$Z$262,"Công ty")</f>
        <v>0</v>
      </c>
      <c r="I4" s="229">
        <f t="shared" ref="I4:I6" si="3">COUNTIFS($B$14:$B$262,"&lt;&gt;",$N$14:$N$262,$B4,$Z$14:$Z$262,"R&amp;D")</f>
        <v>0</v>
      </c>
      <c r="J4" s="229">
        <f t="shared" ref="J4:J6" si="4">COUNTIFS($B$14:$B$262,"&lt;&gt;",$N$14:$N$262,$B4,$Z$14:$Z$262,"MKT*")</f>
        <v>0</v>
      </c>
      <c r="K4" s="229">
        <f t="shared" ref="K4:K6" si="5">COUNTIFS($B$14:$B$262,"&lt;&gt;",$N$14:$N$262,$B4,$Z$14:$Z$262,"KH &amp; Cung ứng*")</f>
        <v>0</v>
      </c>
      <c r="L4" s="229">
        <f t="shared" ref="L4:L6" si="6">COUNTIFS($B$14:$B$262,"&lt;&gt;",$N$14:$N$262,$B4,$Z$14:$Z$262,"Dữ liệu điều hành*")</f>
        <v>0</v>
      </c>
      <c r="M4" s="229">
        <f t="shared" ref="M4:M6" si="7">COUNTIFS($B$14:$B$262,"&lt;&gt;",$N$14:$N$262,$B4,$Z$14:$Z$262,"Kinh doanh quốc tế*")</f>
        <v>0</v>
      </c>
      <c r="N4" s="187"/>
      <c r="O4" s="187"/>
      <c r="P4" s="187"/>
      <c r="Q4" s="187"/>
      <c r="R4" s="187"/>
      <c r="S4" s="187"/>
      <c r="T4" s="187"/>
      <c r="U4" s="187"/>
      <c r="V4" s="187"/>
      <c r="W4" s="187"/>
      <c r="X4" s="187"/>
      <c r="Y4" s="187"/>
      <c r="Z4" s="187"/>
      <c r="AA4" s="187"/>
      <c r="AB4" s="187"/>
      <c r="AC4" s="187"/>
      <c r="AD4" s="187"/>
      <c r="AE4" s="229"/>
      <c r="AF4" s="229"/>
      <c r="AG4" s="229"/>
      <c r="AH4" s="229"/>
      <c r="AI4" s="229"/>
      <c r="AJ4" s="229"/>
      <c r="AK4" s="229"/>
    </row>
    <row r="5" ht="15.75" customHeight="1">
      <c r="A5" s="222"/>
      <c r="B5" s="224" t="s">
        <v>78</v>
      </c>
      <c r="C5" s="224"/>
      <c r="D5" s="224"/>
      <c r="E5" s="224"/>
      <c r="F5" s="228">
        <f t="shared" si="1"/>
        <v>35</v>
      </c>
      <c r="G5" s="229"/>
      <c r="H5" s="229">
        <f t="shared" si="2"/>
        <v>0</v>
      </c>
      <c r="I5" s="229">
        <f t="shared" si="3"/>
        <v>0</v>
      </c>
      <c r="J5" s="229">
        <f t="shared" si="4"/>
        <v>0</v>
      </c>
      <c r="K5" s="229">
        <f t="shared" si="5"/>
        <v>0</v>
      </c>
      <c r="L5" s="229">
        <f t="shared" si="6"/>
        <v>35</v>
      </c>
      <c r="M5" s="229">
        <f t="shared" si="7"/>
        <v>0</v>
      </c>
      <c r="N5" s="187"/>
      <c r="O5" s="187"/>
      <c r="P5" s="187"/>
      <c r="Q5" s="187"/>
      <c r="R5" s="187"/>
      <c r="S5" s="187"/>
      <c r="T5" s="187"/>
      <c r="U5" s="187"/>
      <c r="V5" s="187"/>
      <c r="W5" s="187"/>
      <c r="X5" s="187"/>
      <c r="Y5" s="187"/>
      <c r="Z5" s="187"/>
      <c r="AA5" s="187"/>
      <c r="AB5" s="187"/>
      <c r="AC5" s="187"/>
      <c r="AD5" s="187"/>
      <c r="AE5" s="229"/>
      <c r="AF5" s="229"/>
      <c r="AG5" s="229"/>
      <c r="AH5" s="229"/>
      <c r="AI5" s="229"/>
      <c r="AJ5" s="229"/>
      <c r="AK5" s="229"/>
    </row>
    <row r="6" ht="15.75" customHeight="1">
      <c r="A6" s="222"/>
      <c r="B6" s="274" t="s">
        <v>89</v>
      </c>
      <c r="C6" s="274"/>
      <c r="D6" s="274"/>
      <c r="E6" s="274"/>
      <c r="F6" s="279">
        <f t="shared" si="1"/>
        <v>0</v>
      </c>
      <c r="G6" s="281"/>
      <c r="H6" s="229">
        <f t="shared" si="2"/>
        <v>0</v>
      </c>
      <c r="I6" s="229">
        <f t="shared" si="3"/>
        <v>0</v>
      </c>
      <c r="J6" s="229">
        <f t="shared" si="4"/>
        <v>0</v>
      </c>
      <c r="K6" s="229">
        <f t="shared" si="5"/>
        <v>0</v>
      </c>
      <c r="L6" s="229">
        <f t="shared" si="6"/>
        <v>0</v>
      </c>
      <c r="M6" s="229">
        <f t="shared" si="7"/>
        <v>0</v>
      </c>
      <c r="N6" s="187"/>
      <c r="O6" s="187"/>
      <c r="P6" s="187"/>
      <c r="Q6" s="187"/>
      <c r="R6" s="187"/>
      <c r="S6" s="187"/>
      <c r="T6" s="187"/>
      <c r="U6" s="187"/>
      <c r="V6" s="187"/>
      <c r="W6" s="187"/>
      <c r="X6" s="187"/>
      <c r="Y6" s="187"/>
      <c r="Z6" s="187"/>
      <c r="AA6" s="187"/>
      <c r="AB6" s="187"/>
      <c r="AC6" s="187"/>
      <c r="AD6" s="187"/>
      <c r="AE6" s="281"/>
      <c r="AF6" s="281"/>
      <c r="AG6" s="281"/>
      <c r="AH6" s="281"/>
      <c r="AI6" s="281"/>
      <c r="AJ6" s="281"/>
      <c r="AK6" s="281"/>
    </row>
    <row r="7" ht="15.75" customHeight="1">
      <c r="A7" s="288"/>
      <c r="B7" s="290" t="s">
        <v>141</v>
      </c>
      <c r="C7" s="290"/>
      <c r="D7" s="290"/>
      <c r="E7" s="292"/>
      <c r="F7" s="295">
        <f>COUNTIFS($B$14:$B$262,"&lt;&gt;",$C$14:$C$262,"P1")</f>
        <v>9</v>
      </c>
      <c r="G7" s="298"/>
      <c r="H7" s="302" t="s">
        <v>615</v>
      </c>
      <c r="I7" s="229"/>
      <c r="J7" s="229"/>
      <c r="K7" s="229"/>
      <c r="L7" s="229"/>
      <c r="M7" s="229"/>
      <c r="N7" s="229"/>
      <c r="O7" s="229"/>
      <c r="P7" s="229"/>
      <c r="Q7" s="229"/>
      <c r="R7" s="229"/>
      <c r="S7" s="229"/>
      <c r="T7" s="229"/>
      <c r="U7" s="229"/>
      <c r="V7" s="229"/>
      <c r="W7" s="229"/>
      <c r="X7" s="187"/>
      <c r="Y7" s="187"/>
      <c r="Z7" s="187"/>
      <c r="AA7" s="187"/>
      <c r="AB7" s="187"/>
      <c r="AC7" s="187"/>
      <c r="AD7" s="187"/>
      <c r="AE7" s="229"/>
      <c r="AF7" s="229"/>
      <c r="AG7" s="229"/>
      <c r="AH7" s="229"/>
      <c r="AI7" s="229"/>
      <c r="AJ7" s="229"/>
      <c r="AK7" s="229"/>
    </row>
    <row r="8" ht="15.75" customHeight="1">
      <c r="A8" s="222"/>
      <c r="B8" s="224" t="s">
        <v>142</v>
      </c>
      <c r="C8" s="224"/>
      <c r="D8" s="224"/>
      <c r="E8" s="309"/>
      <c r="F8" s="314">
        <f>COUNTIFS($B$14:$B$262,"&lt;&gt;",$C$14:$C$262,"P2")</f>
        <v>26</v>
      </c>
      <c r="G8" s="298"/>
      <c r="H8" s="316" t="s">
        <v>191</v>
      </c>
      <c r="I8" s="320"/>
      <c r="J8" s="229"/>
      <c r="K8" s="229"/>
      <c r="L8" s="229"/>
      <c r="M8" s="229"/>
      <c r="N8" s="229"/>
      <c r="O8" s="229"/>
      <c r="P8" s="229"/>
      <c r="Q8" s="229"/>
      <c r="R8" s="229"/>
      <c r="S8" s="229"/>
      <c r="T8" s="229"/>
      <c r="U8" s="229"/>
      <c r="V8" s="229"/>
      <c r="W8" s="229"/>
      <c r="X8" s="187"/>
      <c r="Y8" s="187"/>
      <c r="Z8" s="187"/>
      <c r="AA8" s="187"/>
      <c r="AB8" s="187"/>
      <c r="AC8" s="187"/>
      <c r="AD8" s="187"/>
      <c r="AE8" s="229"/>
      <c r="AF8" s="229"/>
      <c r="AG8" s="229"/>
      <c r="AH8" s="229"/>
      <c r="AI8" s="229"/>
      <c r="AJ8" s="229"/>
      <c r="AK8" s="229"/>
    </row>
    <row r="9" ht="15.75" customHeight="1">
      <c r="A9" s="222"/>
      <c r="B9" s="224" t="s">
        <v>143</v>
      </c>
      <c r="C9" s="224"/>
      <c r="D9" s="224"/>
      <c r="E9" s="309"/>
      <c r="F9" s="331" t="str">
        <f>IFERROR(AVERAGEIFS($D$14:$D$262,$B$14:$B$262,"&lt;&gt;"),"")</f>
        <v/>
      </c>
      <c r="G9" s="298"/>
      <c r="H9" s="347" t="s">
        <v>201</v>
      </c>
      <c r="I9" s="569" t="str">
        <f t="array" ref="I9">IF($I$8="","",XLOOKUP("*"&amp;$I$8&amp;"*",'Lớp 4 - Danh mục'!$B$14:$B$132,'Lớp 4 - Danh mục'!$B$14:$B$132,"Không tìm thấy",2))</f>
        <v/>
      </c>
      <c r="J9" s="229"/>
      <c r="K9" s="229"/>
      <c r="L9" s="229"/>
      <c r="M9" s="229"/>
      <c r="N9" s="229"/>
      <c r="O9" s="229"/>
      <c r="P9" s="229"/>
      <c r="Q9" s="229"/>
      <c r="R9" s="229"/>
      <c r="S9" s="229"/>
      <c r="T9" s="229"/>
      <c r="U9" s="229"/>
      <c r="V9" s="229"/>
      <c r="W9" s="229"/>
      <c r="X9" s="187"/>
      <c r="Y9" s="187"/>
      <c r="Z9" s="187"/>
      <c r="AA9" s="187"/>
      <c r="AB9" s="187"/>
      <c r="AC9" s="187"/>
      <c r="AD9" s="187"/>
      <c r="AE9" s="229"/>
      <c r="AF9" s="229"/>
      <c r="AG9" s="229"/>
      <c r="AH9" s="229"/>
      <c r="AI9" s="229"/>
      <c r="AJ9" s="229"/>
      <c r="AK9" s="229"/>
    </row>
    <row r="10" ht="15.75" customHeight="1">
      <c r="A10" s="222"/>
      <c r="B10" s="224" t="s">
        <v>144</v>
      </c>
      <c r="C10" s="224"/>
      <c r="D10" s="224"/>
      <c r="E10" s="309"/>
      <c r="F10" s="346">
        <f>COUNTIFS($B$14:$B$262,"&lt;&gt;",$E$14:$E$262,"&lt;0")</f>
        <v>0</v>
      </c>
      <c r="G10" s="298"/>
      <c r="H10" s="347" t="s">
        <v>209</v>
      </c>
      <c r="I10" s="353" t="str">
        <f t="array" ref="I10">IF($I$8="","",XLOOKUP("*"&amp;$I$8&amp;"*",'Lớp 4 - Danh mục'!$B$14:$B$132,'Lớp 4 - Danh mục'!$I$14:$I$132,"",2))</f>
        <v/>
      </c>
      <c r="J10" s="229"/>
      <c r="K10" s="229"/>
      <c r="L10" s="229"/>
      <c r="M10" s="229"/>
      <c r="N10" s="229"/>
      <c r="O10" s="229"/>
      <c r="P10" s="229"/>
      <c r="Q10" s="229"/>
      <c r="R10" s="229"/>
      <c r="S10" s="229"/>
      <c r="T10" s="229"/>
      <c r="U10" s="229"/>
      <c r="V10" s="229"/>
      <c r="W10" s="229"/>
      <c r="X10" s="187"/>
      <c r="Y10" s="187"/>
      <c r="Z10" s="187"/>
      <c r="AA10" s="187"/>
      <c r="AB10" s="187"/>
      <c r="AC10" s="187"/>
      <c r="AD10" s="187"/>
      <c r="AE10" s="229"/>
      <c r="AF10" s="229"/>
      <c r="AG10" s="229"/>
      <c r="AH10" s="229"/>
      <c r="AI10" s="229"/>
      <c r="AJ10" s="229"/>
      <c r="AK10" s="229"/>
    </row>
    <row r="11" ht="3.0" customHeight="1">
      <c r="A11" s="261"/>
      <c r="B11" s="261"/>
      <c r="C11" s="261"/>
      <c r="D11" s="261"/>
      <c r="E11" s="261"/>
      <c r="F11" s="261"/>
      <c r="G11" s="261"/>
      <c r="H11" s="261"/>
      <c r="I11" s="570"/>
      <c r="J11" s="570"/>
      <c r="K11" s="570"/>
      <c r="L11" s="263"/>
      <c r="M11" s="261"/>
      <c r="N11" s="571"/>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366"/>
      <c r="AM11" s="368"/>
      <c r="AN11" s="368"/>
      <c r="AO11" s="368"/>
      <c r="AP11" s="368"/>
      <c r="AQ11" s="368"/>
      <c r="AR11" s="368"/>
      <c r="AS11" s="368"/>
      <c r="AT11" s="368"/>
      <c r="AU11" s="368"/>
      <c r="AV11" s="368"/>
      <c r="AW11" s="368"/>
      <c r="AX11" s="368"/>
    </row>
    <row r="12" ht="15.75" customHeight="1">
      <c r="A12" s="272" t="s">
        <v>157</v>
      </c>
      <c r="B12" s="272"/>
      <c r="C12" s="272"/>
      <c r="D12" s="272"/>
      <c r="E12" s="272"/>
      <c r="F12" s="272"/>
      <c r="G12" s="272"/>
      <c r="H12" s="272"/>
      <c r="I12" s="275" t="s">
        <v>161</v>
      </c>
      <c r="J12" s="374"/>
      <c r="K12" s="377"/>
      <c r="L12" s="379"/>
      <c r="M12" s="379"/>
      <c r="N12" s="379"/>
      <c r="O12" s="379"/>
      <c r="P12" s="382"/>
      <c r="Q12" s="275"/>
      <c r="R12" s="379"/>
      <c r="S12" s="379"/>
      <c r="T12" s="379"/>
      <c r="U12" s="379"/>
      <c r="V12" s="379"/>
      <c r="W12" s="379"/>
      <c r="X12" s="379"/>
      <c r="Y12" s="379"/>
      <c r="Z12" s="379"/>
      <c r="AA12" s="379"/>
      <c r="AB12" s="379"/>
      <c r="AC12" s="379"/>
      <c r="AD12" s="379"/>
      <c r="AE12" s="379"/>
      <c r="AF12" s="379"/>
      <c r="AG12" s="382"/>
      <c r="AH12" s="275"/>
      <c r="AI12" s="379"/>
      <c r="AJ12" s="379"/>
      <c r="AK12" s="374"/>
      <c r="AL12" s="280"/>
      <c r="AM12" s="280"/>
      <c r="AN12" s="280"/>
      <c r="AO12" s="280"/>
      <c r="AP12" s="280"/>
      <c r="AQ12" s="280"/>
      <c r="AR12" s="280"/>
      <c r="AS12" s="280"/>
      <c r="AT12" s="280"/>
      <c r="AU12" s="280"/>
      <c r="AV12" s="280"/>
      <c r="AW12" s="280"/>
      <c r="AX12" s="280"/>
    </row>
    <row r="13" ht="15.75" customHeight="1">
      <c r="A13" s="293" t="s">
        <v>163</v>
      </c>
      <c r="B13" s="385" t="s">
        <v>616</v>
      </c>
      <c r="C13" s="305" t="s">
        <v>175</v>
      </c>
      <c r="D13" s="305" t="s">
        <v>177</v>
      </c>
      <c r="E13" s="305" t="s">
        <v>178</v>
      </c>
      <c r="F13" s="305" t="s">
        <v>179</v>
      </c>
      <c r="G13" s="305" t="s">
        <v>180</v>
      </c>
      <c r="H13" s="305" t="s">
        <v>187</v>
      </c>
      <c r="I13" s="312" t="s">
        <v>617</v>
      </c>
      <c r="J13" s="312" t="s">
        <v>249</v>
      </c>
      <c r="K13" s="312" t="s">
        <v>190</v>
      </c>
      <c r="L13" s="313" t="s">
        <v>167</v>
      </c>
      <c r="M13" s="312" t="s">
        <v>37</v>
      </c>
      <c r="N13" s="312" t="s">
        <v>45</v>
      </c>
      <c r="O13" s="312" t="s">
        <v>174</v>
      </c>
      <c r="P13" s="312" t="s">
        <v>247</v>
      </c>
      <c r="Q13" s="312" t="s">
        <v>618</v>
      </c>
      <c r="R13" s="312" t="s">
        <v>195</v>
      </c>
      <c r="S13" s="326" t="s">
        <v>196</v>
      </c>
      <c r="T13" s="326" t="s">
        <v>197</v>
      </c>
      <c r="U13" s="313" t="s">
        <v>198</v>
      </c>
      <c r="V13" s="410" t="s">
        <v>199</v>
      </c>
      <c r="W13" s="313" t="s">
        <v>200</v>
      </c>
      <c r="X13" s="312" t="s">
        <v>169</v>
      </c>
      <c r="Y13" s="312" t="s">
        <v>170</v>
      </c>
      <c r="Z13" s="312" t="s">
        <v>171</v>
      </c>
      <c r="AA13" s="312" t="s">
        <v>82</v>
      </c>
      <c r="AB13" s="312" t="s">
        <v>173</v>
      </c>
      <c r="AC13" s="312" t="s">
        <v>202</v>
      </c>
      <c r="AD13" s="326" t="s">
        <v>203</v>
      </c>
      <c r="AE13" s="326" t="s">
        <v>204</v>
      </c>
      <c r="AF13" s="313" t="s">
        <v>205</v>
      </c>
      <c r="AG13" s="410" t="s">
        <v>206</v>
      </c>
      <c r="AH13" s="313" t="s">
        <v>207</v>
      </c>
      <c r="AI13" s="417" t="s">
        <v>210</v>
      </c>
      <c r="AJ13" s="352" t="s">
        <v>211</v>
      </c>
      <c r="AK13" s="355" t="s">
        <v>212</v>
      </c>
      <c r="AL13" s="357" t="s">
        <v>213</v>
      </c>
      <c r="AM13" s="361" t="s">
        <v>58</v>
      </c>
      <c r="AN13" s="361" t="s">
        <v>61</v>
      </c>
      <c r="AO13" s="361" t="s">
        <v>181</v>
      </c>
      <c r="AP13" s="361" t="s">
        <v>214</v>
      </c>
      <c r="AQ13" s="361" t="s">
        <v>215</v>
      </c>
      <c r="AR13" s="367" t="s">
        <v>219</v>
      </c>
      <c r="AS13" s="352" t="s">
        <v>184</v>
      </c>
      <c r="AT13" s="352" t="s">
        <v>185</v>
      </c>
      <c r="AU13" s="352" t="s">
        <v>236</v>
      </c>
      <c r="AV13" s="376" t="s">
        <v>241</v>
      </c>
      <c r="AW13" s="380" t="s">
        <v>245</v>
      </c>
      <c r="AX13" s="381" t="s">
        <v>246</v>
      </c>
    </row>
    <row r="14" ht="15.75" customHeight="1">
      <c r="A14" s="424">
        <f t="shared" ref="A14:A53" si="11">IF(B14="","",COUNTIF($B$14:B14,"&lt;&gt;"))</f>
        <v>1</v>
      </c>
      <c r="B14" s="572" t="str">
        <f>'Trung tâm nhập liệu'!F159</f>
        <v>Liệt kê &amp; giải quyết vấn đề còn tồn tại công thức 2025 (CK/TK/phân biệt NPP) GT</v>
      </c>
      <c r="C14" s="427" t="s">
        <v>244</v>
      </c>
      <c r="D14" s="573">
        <f t="shared" ref="D14:E14" si="8">AG14</f>
        <v>0</v>
      </c>
      <c r="E14" s="574">
        <f t="shared" si="8"/>
        <v>4</v>
      </c>
      <c r="F14" s="575">
        <f t="shared" ref="F14:G14" si="9">U14</f>
        <v>46249</v>
      </c>
      <c r="G14" s="575">
        <f t="shared" si="9"/>
        <v>46237</v>
      </c>
      <c r="H14" s="576" t="str">
        <f>IF(B14="","",IF(COUNTIF('Lớp 6 - Chi tiết'!$J$14:$J$267,I14)&gt;0,"Có","Không"))</f>
        <v>Không</v>
      </c>
      <c r="I14" s="577" t="str">
        <f>'Trung tâm nhập liệu'!B159</f>
        <v>HHL5DL01-01</v>
      </c>
      <c r="J14" s="577" t="str">
        <f>'Trung tâm nhập liệu'!D159</f>
        <v>HHL4DL01</v>
      </c>
      <c r="K14" s="578" t="str">
        <f t="array" ref="K14">IFERROR(INDEX('Lớp 4 - Danh mục'!$J$14:$J$132,MATCH(J14,'Lớp 4 - Danh mục'!$I$14:$I$132,0)),"")</f>
        <v>HHL3CT03</v>
      </c>
      <c r="L14" s="579">
        <f t="array" ref="L14">IFERROR(INDEX('Lớp 4 - Danh mục'!$K$14:$K$132,MATCH(J14,'Lớp 4 - Danh mục'!$I$14:$I$132,0)),"")</f>
        <v>2026</v>
      </c>
      <c r="M14" s="580" t="str">
        <f t="array" ref="M14">IFERROR(INDEX('Lớp 4 - Danh mục'!$L$14:$L$132,MATCH(J14,'Lớp 4 - Danh mục'!$I$14:$I$132,0)),"")</f>
        <v>Cấp công ty</v>
      </c>
      <c r="N14" s="578" t="str">
        <f t="array" ref="N14">IFERROR(INDEX('Lớp 4 - Danh mục'!$M$14:$M$132,MATCH(J14,'Lớp 4 - Danh mục'!$I$14:$I$132,0)),"")</f>
        <v>Chiến lược/sống còn</v>
      </c>
      <c r="O14" s="578" t="str">
        <f t="array" ref="O14">IFERROR(INDEX('Lớp 4 - Danh mục'!$N$14:$N$132,MATCH(J14,'Lớp 4 - Danh mục'!$I$14:$I$132,0)),"")</f>
        <v>KHKD 2027&amp; HT lập KH theo tham số KD (bán tự động)</v>
      </c>
      <c r="P14" s="578" t="str">
        <f t="array" ref="P14">IFERROR(INDEX('Lớp 4 - Danh mục'!$O$14:$O$132,MATCH(J14,'Lớp 4 - Danh mục'!$I$14:$I$132,0)),"")</f>
        <v>Xác nhận công thức &amp; tạo HT tham số cho KH GT</v>
      </c>
      <c r="Q14" s="581" t="str">
        <f t="shared" ref="Q14:T14" si="10">B14</f>
        <v>Liệt kê &amp; giải quyết vấn đề còn tồn tại công thức 2025 (CK/TK/phân biệt NPP) GT</v>
      </c>
      <c r="R14" s="420" t="str">
        <f t="shared" si="10"/>
        <v>P1</v>
      </c>
      <c r="S14" s="582">
        <f t="shared" si="10"/>
        <v>0</v>
      </c>
      <c r="T14" s="583">
        <f t="shared" si="10"/>
        <v>4</v>
      </c>
      <c r="U14" s="584">
        <f>IF($I14="","",LET(n,COUNTIFS('Lớp 6 - Chi tiết'!$J$14:$J$267,$I14,'Lớp 6 - Chi tiết'!$AE$14:$AE$267,"&lt;&gt;Hủy"),child,IFERROR(MAXIFS('Lớp 6 - Chi tiết'!$AH$14:$AH$267,'Lớp 6 - Chi tiết'!$J$14:$J$267,$I14,'Lớp 6 - Chi tiết'!$AE$14:$AE$267,"&lt;&gt;Hủy",'Lớp 6 - Chi tiết'!$AH$14:$AH$267,"&gt;0"),0),plan,'Trung tâm nhập liệu'!Q159,emergent,LOWER(TRIM('Trung tâm nhập liệu'!O159))="khi phát sinh",IF(n=0,IF(emergent,"",plan),IF(child=0,IF(emergent,"",plan),IF(OR(emergent,plan=""),child,MAX(plan,child))))))</f>
        <v>46249</v>
      </c>
      <c r="V14" s="584">
        <f>IF($I14="","",LET(n,COUNTIFS('Lớp 6 - Chi tiết'!$J$14:$J$267,$I14,'Lớp 6 - Chi tiết'!$AE$14:$AE$267,"&lt;&gt;Hủy"),child,IFERROR(MINIFS('Lớp 6 - Chi tiết'!$AG$14:$AG$267,'Lớp 6 - Chi tiết'!$J$14:$J$267,$I14,'Lớp 6 - Chi tiết'!$AE$14:$AE$267,"&lt;&gt;Hủy",'Lớp 6 - Chi tiết'!$AG$14:$AG$267,"&gt;0"),0),plan,'Trung tâm nhập liệu'!R159,emergent,LOWER(TRIM('Trung tâm nhập liệu'!O159))="khi phát sinh",IF(n=0,IF(emergent,"",plan),IF(child=0,IF(emergent,"",plan),IF(OR(emergent,plan=""),child,MIN(plan,child))))))</f>
        <v>46237</v>
      </c>
      <c r="W14" s="577" t="str">
        <f t="shared" ref="W14:W53" si="15">H14</f>
        <v>Không</v>
      </c>
      <c r="X14" s="577" t="str">
        <f>'Trung tâm nhập liệu'!G159</f>
        <v> Công thức được TGĐ duyết </v>
      </c>
      <c r="Y14" s="585" t="str">
        <f>'Trung tâm nhập liệu'!H159</f>
        <v/>
      </c>
      <c r="Z14" s="586" t="str">
        <f t="array" ref="Z14">IFERROR(INDEX('Lớp 4 - Danh mục'!$X$14:$X$132,MATCH(J14,'Lớp 4 - Danh mục'!$I$14:$I$132,0)),"")</f>
        <v>Dữ liệu điều hành</v>
      </c>
      <c r="AA14" s="577" t="str">
        <f>'Trung tâm nhập liệu'!K159</f>
        <v>GĐ BOC</v>
      </c>
      <c r="AB14" s="572" t="str">
        <f>'Trung tâm nhập liệu'!L159</f>
        <v>Chưa bắt đầu</v>
      </c>
      <c r="AC14" s="420" t="str">
        <f>'Trung tâm nhập liệu'!M159</f>
        <v>P1</v>
      </c>
      <c r="AD14" s="584">
        <f t="shared" ref="AD14:AD53" si="16">V14</f>
        <v>46237</v>
      </c>
      <c r="AE14" s="584">
        <f t="shared" ref="AE14:AE53" si="17">U14</f>
        <v>46249</v>
      </c>
      <c r="AF14" s="587">
        <f>IF(AM14&lt;&gt;"Có thời hạn","",IF(OR(AD14="",AE14=""),"",IF(AE14&lt;AD14,"",_xlfn.NETWORKDAYS.INTL(AD14,AE14,11,'Ngày nghỉ lễ'!$A$5:$A$80))))</f>
        <v>12</v>
      </c>
      <c r="AG14" s="588">
        <f>IF(I14="","",IF(L14="Công việc khác","",IF(OR(AB14="Chưa lên lịch",AB14="Đã lên lịch",AB14="Hủy"),"",IF(COUNTIFS('Lớp 6 - Chi tiết'!$J$14:$J$267,I14,'Lớp 6 - Chi tiết'!$AE$14:$AE$267,"&lt;&gt;",'Lớp 6 - Chi tiết'!$AE$14:$AE$267,"&lt;&gt;Hủy",'Lớp 6 - Chi tiết'!$AE$14:$AE$267,"&lt;&gt;Chưa lên lịch",'Lớp 6 - Chi tiết'!$AE$14:$AE$267,"&lt;&gt;Đã lên lịch")&gt;0,SUMIFS('Lớp 6 - Chi tiết'!$AJ$14:$AJ$267,'Lớp 6 - Chi tiết'!$J$14:$J$267,I14,'Lớp 6 - Chi tiết'!$AE$14:$AE$267,"&lt;&gt;",'Lớp 6 - Chi tiết'!$AE$14:$AE$267,"&lt;&gt;Hủy",'Lớp 6 - Chi tiết'!$AE$14:$AE$267,"&lt;&gt;Chưa lên lịch",'Lớp 6 - Chi tiết'!$AE$14:$AE$267,"&lt;&gt;Đã lên lịch")/COUNTIFS('Lớp 6 - Chi tiết'!$J$14:$J$267,I14,'Lớp 6 - Chi tiết'!$AE$14:$AE$267,"&lt;&gt;",'Lớp 6 - Chi tiết'!$AE$14:$AE$267,"&lt;&gt;Hủy",'Lớp 6 - Chi tiết'!$AE$14:$AE$267,"&lt;&gt;Chưa lên lịch",'Lớp 6 - Chi tiết'!$AE$14:$AE$267,"&lt;&gt;Đã lên lịch"),IF(AB14="Hoàn thành",1,0)))))</f>
        <v>0</v>
      </c>
      <c r="AH14" s="587">
        <f>IF(AM14&lt;&gt;"Có thời hạn","",IF(OR(I14="",AD14="",AE14=""),"",IF(OR(AB14="Hoàn thành",AB14="Hủy"),0,IF(AE14&lt;TODAY(),-_xlfn.NETWORKDAYS.INTL(AE14,TODAY()-1,11,'Ngày nghỉ lễ'!$A$5:$A$80),MAX(0,_xlfn.NETWORKDAYS.INTL(MAX(TODAY()+1,AD14),AE14,11,'Ngày nghỉ lễ'!$A$5:$A$80))))))</f>
        <v>4</v>
      </c>
      <c r="AI14" s="589">
        <f>IF($I14="","",LET(n,COUNTIFS('Lớp 6 - Chi tiết'!$J$14:$J$267,$I14,'Lớp 6 - Chi tiết'!$AE$14:$AE$267,"&lt;&gt;Hủy"),du,COUNTIFS('Lớp 6 - Chi tiết'!$J$14:$J$267,$I14,'Lớp 6 - Chi tiết'!$AE$14:$AE$267,"&lt;&gt;Hủy",'Lớp 6 - Chi tiết'!$AL$14:$AL$267,"&lt;&gt;"),IF(n=0,'Trung tâm nhập liệu'!T159,IF(du&lt;n,"",SUMIFS('Lớp 6 - Chi tiết'!$AL$14:$AL$267,'Lớp 6 - Chi tiết'!$J$14:$J$267,$I14,'Lớp 6 - Chi tiết'!$AE$14:$AE$267,"&lt;&gt;Hủy")))))</f>
        <v>16</v>
      </c>
      <c r="AJ14" s="590">
        <f>IF(I14="","",IF(OR(AB14="Hoàn thành",AB14="Hủy"),"",IF(COUNTIFS('Lớp 6 - Chi tiết'!$J$14:$J$267,I14,'Lớp 6 - Chi tiết'!$AE$14:$AE$267,"&lt;&gt;Hủy")&gt;0,"",IF(AS14="Ngày",AT14,IF(AS14="Tuần",AT14/5,"")))))</f>
        <v>1.6</v>
      </c>
      <c r="AK14" s="477" t="str">
        <f>IF(AM14="Chưa xếp lịch","Chưa xếp lịch",IF(AM14="Định kỳ",IF(AN14="","Thiếu chu kỳ","Theo chu kỳ"),IF(AM14="Khi phát sinh",IF(COUNTIFS('Lớp 6 - Chi tiết'!$J$14:$J$267,$I14,'Lớp 6 - Chi tiết'!$AE$14:$AE$267,"&lt;&gt;Hủy")=0,"Khi phát sinh – chờ việc con","Khi phát sinh – theo ngày con"),IF(I14="","",LET(n,COUNTIFS('Lớp 6 - Chi tiết'!$J$14:$J$267,$I14,'Lớp 6 - Chi tiết'!$AE$14:$AE$267,"&lt;&gt;Hủy"),cs,IFERROR(MINIFS('Lớp 6 - Chi tiết'!$AG$14:$AG$267,'Lớp 6 - Chi tiết'!$J$14:$J$267,$I14,'Lớp 6 - Chi tiết'!$AE$14:$AE$267,"&lt;&gt;Hủy",'Lớp 6 - Chi tiết'!$AG$14:$AG$267,"&gt;0"),0),ce,IFERROR(MAXIFS('Lớp 6 - Chi tiết'!$AH$14:$AH$267,'Lớp 6 - Chi tiết'!$J$14:$J$267,$I14,'Lớp 6 - Chi tiết'!$AE$14:$AE$267,"&lt;&gt;Hủy",'Lớp 6 - Chi tiết'!$AH$14:$AH$267,"&gt;0"),0),ps,'Trung tâm nhập liệu'!R159,pe,'Trung tâm nhập liệu'!Q159,IF(OR(AD14="",AE14=""),"Thiếu ngày L5",IF(n=0,"Chưa có L6",IF(OR(cs=0,ce=0),"Thiếu ngày L6",IF(OR(ps="",pe=""),"Thiếu ngày kế hoạch gốc L5",IF(OR(cs&lt;ps,ce&gt;pe),"Cảnh báo: Con vượt khung kế hoạch gốc","L6 đúng khung kế hoạch gốc"))))))))))</f>
        <v>Chưa có L6</v>
      </c>
      <c r="AL14" s="465" t="str">
        <f>IF(OR(AV14="Thiếu tham số phân bổ",AV14="Phân bổ phải &gt; 0"),AV14,SWITCH(AM14,"Chưa xếp lịch","Chưa tính tải","Định kỳ","Theo chu kỳ","Khi phát sinh","Khi phát sinh",IF(I14="","",IF(OR(AB14="Hoàn thành",AB14="Hủy"),AB14,IF(COUNTIFS('Lớp 6 - Chi tiết'!$J$14:$J$267,I14,'Lớp 6 - Chi tiết'!$AE$14:$AE$267,"&lt;&gt;Hủy")&gt;0,"Theo dõi tải tại Lớp 6",IF(AI14="","Chưa nhập khối lượng",IF(AA14="","Thiếu người thực hiện",IF(OR(AD14="",AE14=""),"Chưa nhập đủ thời gian",IF(AH14&lt;0,"Quá hạn – còn "&amp;TEXT(MAX(0,AI14*(1-AG14)),"0.0")&amp;" giờ",LET(bd,MAX(TODAY(),AD14),kt,AE14,nguoi,AA14,tai,SUMIFS('Lớp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1.6/8.0 giờ/ngày</v>
      </c>
      <c r="AM14" s="467" t="str">
        <f>'Trung tâm nhập liệu'!O159</f>
        <v>Có thời hạn</v>
      </c>
      <c r="AN14" s="469" t="str">
        <f>'Trung tâm nhập liệu'!P159</f>
        <v/>
      </c>
      <c r="AO14" s="470" t="str">
        <f>'Trung tâm nhập liệu'!S159</f>
        <v/>
      </c>
      <c r="AP14" s="470" t="str">
        <f>'Trung tâm nhập liệu'!X159</f>
        <v/>
      </c>
      <c r="AQ14" s="471" t="str">
        <f t="shared" ref="AQ14:AQ53" si="18">IF(AP14="","",TEXT(AP14,"yyyy-mm"))</f>
        <v/>
      </c>
      <c r="AR14" s="469" t="str">
        <f t="shared" ref="AR14:AR53" si="19">AX14</f>
        <v/>
      </c>
      <c r="AS14" s="475" t="str">
        <f>'Trung tâm nhập liệu'!V159</f>
        <v>Tuần</v>
      </c>
      <c r="AT14" s="476">
        <f>'Trung tâm nhập liệu'!W159</f>
        <v>8</v>
      </c>
      <c r="AU14" s="478">
        <f>IF(AM14&lt;&gt;"Có thời hạn","",IF(OR(I14="",AI14="",AB14="Hoàn thành",AB14="Hủy",COUNTIFS('Lớp 6 - Chi tiết'!$J$14:$J$267,I14,'Lớp 6 - Chi tiết'!$AE$14:$AE$267,"&lt;&gt;Hủy")&gt;0),"",LET(canNgay,MAX(0,AI14*(1-AG14))/MAX(1,AH14),IF(AS14="Ngày",canNgay,IF(AS14="Tuần",canNgay*5,"")))))</f>
        <v>20</v>
      </c>
      <c r="AV14" s="465" t="str">
        <f>IF(I14="","",IF(COUNTIFS('Lớp 6 - Chi tiết'!$J$14:$J$267,I14,'Lớp 6 - Chi tiết'!$AE$14:$AE$267,"&lt;&gt;Hủy")&gt;0,"Theo dõi phân bổ tại Lớp 6",IF(OR(AB14="Hoàn thành",AB14="Hủy"),AB14,IF(AI14="","Thiếu tổng giờ",IF(OR(AS14="",AT14=""),"Thiếu tham số phân bổ",IF(AT14&lt;=0,"Phân bổ phải &gt; 0",IF(AM14&lt;&gt;"Có thời hạn","Đã có phân bổ",IF(AU14="","Chưa đủ dữ liệu hạn",IF(AT14&gt;=AU14,"Đủ phân bổ theo "&amp;LOWER(AS14),"Thiếu "&amp;TEXT(AU14-AT14,"0.0")&amp;" giờ/"&amp;LOWER(AS14))))))))))</f>
        <v>Thiếu 12.0 giờ/tuần</v>
      </c>
      <c r="AW14" s="465" t="str">
        <f t="shared" ref="AW14:AW53" si="20">IF(I14="","",LET(tt,AB14,bd,AD14,kt,AE14,td,AG14,ht,AP14,lk,AR14,loai,AM14,IF(tt="","Thiếu trạng thái",IFS(tt="Hủy","OK",AND(tt="Hoàn thành",ht=""),"Thiếu ngày hoàn thành thực tế",AND(tt="Hoàn thành",td&lt;1),"Hoàn thành nhưng tiến độ chưa 100%",AND(tt="Hoàn thành",lk=""),"Thiếu đường link kết quả",AND(tt&lt;&gt;"Hoàn thành",ht&lt;&gt;""),"Có ngày hoàn thành nhưng chưa Hoàn thành",AND(tt="Chưa lên lịch",OR(bd&lt;&gt;"",kt&lt;&gt;"")),"Chưa lên lịch nhưng đã có ngày",tt="Chưa lên lịch","OK",loai&lt;&gt;"Có thời hạn","OK",OR(bd="",kt=""),"Thiếu ngày bắt đầu/kết thúc",kt&lt;bd,"Ngày kết thúc trước ngày bắt đầu",AND(tt="Đã lên lịch",bd&lt;=TODAY()),"Đã đến ngày bắt đầu – cập nhật trạng thái",tt="Đã lên lịch","OK",AND(tt="Chưa bắt đầu",bd&gt;TODAY()),"Chưa đến ngày bắt đầu – nên Đã lên lịch",AND(tt="Chưa bắt đầu",kt&lt;TODAY()),"Quá hạn nhưng chưa bắt đầu",tt="Chưa bắt đầu","OK",AND(tt="Đang thực hiện",bd&gt;TODAY()),"Chưa đến ngày bắt đầu – nên Đã lên lịch",AND(tt="Đang thực hiện",td&gt;=1),"Tiến độ 100% – chuyển Hoàn thành",tt="Đang thực hiện","OK",TRUE,"Kiểm tra trạng thái"))))</f>
        <v>OK</v>
      </c>
      <c r="AX14" s="479" t="str">
        <f>'Trung tâm nhập liệu'!Y159</f>
        <v/>
      </c>
    </row>
    <row r="15" ht="15.75" customHeight="1">
      <c r="A15" s="424">
        <f t="shared" si="11"/>
        <v>2</v>
      </c>
      <c r="B15" s="572" t="str">
        <f>'Trung tâm nhập liệu'!F160</f>
        <v>Chốt lại đề bài với GĐ BOC &amp; GT</v>
      </c>
      <c r="C15" s="591" t="str">
        <f>'Trung tâm nhập liệu'!M160</f>
        <v>P1</v>
      </c>
      <c r="D15" s="592">
        <f t="shared" ref="D15:E15" si="12">AG15</f>
        <v>0</v>
      </c>
      <c r="E15" s="593">
        <f t="shared" si="12"/>
        <v>4</v>
      </c>
      <c r="F15" s="575">
        <f t="shared" ref="F15:G15" si="13">U15</f>
        <v>46254</v>
      </c>
      <c r="G15" s="575">
        <f t="shared" si="13"/>
        <v>46250</v>
      </c>
      <c r="H15" s="576" t="str">
        <f>IF(B15="","",IF(COUNTIF('Lớp 6 - Chi tiết'!$J$14:$J$267,I15)&gt;0,"Có","Không"))</f>
        <v>Không</v>
      </c>
      <c r="I15" s="577" t="str">
        <f>'Trung tâm nhập liệu'!B160</f>
        <v>HHL5DL01-02</v>
      </c>
      <c r="J15" s="577" t="str">
        <f>'Trung tâm nhập liệu'!D160</f>
        <v>HHL4DL01</v>
      </c>
      <c r="K15" s="594" t="str">
        <f t="array" ref="K15">IFERROR(INDEX('Lớp 4 - Danh mục'!$J$14:$J$132,MATCH(J15,'Lớp 4 - Danh mục'!$I$14:$I$132,0)),"")</f>
        <v>HHL3CT03</v>
      </c>
      <c r="L15" s="595">
        <f t="array" ref="L15">IFERROR(INDEX('Lớp 4 - Danh mục'!$K$14:$K$132,MATCH(J15,'Lớp 4 - Danh mục'!$I$14:$I$132,0)),"")</f>
        <v>2026</v>
      </c>
      <c r="M15" s="596" t="str">
        <f t="array" ref="M15">IFERROR(INDEX('Lớp 4 - Danh mục'!$L$14:$L$132,MATCH(J15,'Lớp 4 - Danh mục'!$I$14:$I$132,0)),"")</f>
        <v>Cấp công ty</v>
      </c>
      <c r="N15" s="594" t="str">
        <f t="array" ref="N15">IFERROR(INDEX('Lớp 4 - Danh mục'!$M$14:$M$132,MATCH(J15,'Lớp 4 - Danh mục'!$I$14:$I$132,0)),"")</f>
        <v>Chiến lược/sống còn</v>
      </c>
      <c r="O15" s="594" t="str">
        <f t="array" ref="O15">IFERROR(INDEX('Lớp 4 - Danh mục'!$N$14:$N$132,MATCH(J15,'Lớp 4 - Danh mục'!$I$14:$I$132,0)),"")</f>
        <v>KHKD 2027&amp; HT lập KH theo tham số KD (bán tự động)</v>
      </c>
      <c r="P15" s="594" t="str">
        <f t="array" ref="P15">IFERROR(INDEX('Lớp 4 - Danh mục'!$O$14:$O$132,MATCH(J15,'Lớp 4 - Danh mục'!$I$14:$I$132,0)),"")</f>
        <v>Xác nhận công thức &amp; tạo HT tham số cho KH GT</v>
      </c>
      <c r="Q15" s="581" t="str">
        <f t="shared" ref="Q15:T15" si="14">B15</f>
        <v>Chốt lại đề bài với GĐ BOC &amp; GT</v>
      </c>
      <c r="R15" s="420" t="str">
        <f t="shared" si="14"/>
        <v>P1</v>
      </c>
      <c r="S15" s="582">
        <f t="shared" si="14"/>
        <v>0</v>
      </c>
      <c r="T15" s="583">
        <f t="shared" si="14"/>
        <v>4</v>
      </c>
      <c r="U15" s="584">
        <f>IF($I15="","",LET(n,COUNTIFS('Lớp 6 - Chi tiết'!$J$14:$J$267,$I15,'Lớp 6 - Chi tiết'!$AE$14:$AE$267,"&lt;&gt;Hủy"),child,IFERROR(MAXIFS('Lớp 6 - Chi tiết'!$AH$14:$AH$267,'Lớp 6 - Chi tiết'!$J$14:$J$267,$I15,'Lớp 6 - Chi tiết'!$AE$14:$AE$267,"&lt;&gt;Hủy",'Lớp 6 - Chi tiết'!$AH$14:$AH$267,"&gt;0"),0),plan,'Trung tâm nhập liệu'!Q160,emergent,LOWER(TRIM('Trung tâm nhập liệu'!O160))="khi phát sinh",IF(n=0,IF(emergent,"",plan),IF(child=0,IF(emergent,"",plan),IF(OR(emergent,plan=""),child,MAX(plan,child))))))</f>
        <v>46254</v>
      </c>
      <c r="V15" s="584">
        <f>IF($I15="","",LET(n,COUNTIFS('Lớp 6 - Chi tiết'!$J$14:$J$267,$I15,'Lớp 6 - Chi tiết'!$AE$14:$AE$267,"&lt;&gt;Hủy"),child,IFERROR(MINIFS('Lớp 6 - Chi tiết'!$AG$14:$AG$267,'Lớp 6 - Chi tiết'!$J$14:$J$267,$I15,'Lớp 6 - Chi tiết'!$AE$14:$AE$267,"&lt;&gt;Hủy",'Lớp 6 - Chi tiết'!$AG$14:$AG$267,"&gt;0"),0),plan,'Trung tâm nhập liệu'!R160,emergent,LOWER(TRIM('Trung tâm nhập liệu'!O160))="khi phát sinh",IF(n=0,IF(emergent,"",plan),IF(child=0,IF(emergent,"",plan),IF(OR(emergent,plan=""),child,MIN(plan,child))))))</f>
        <v>46250</v>
      </c>
      <c r="W15" s="577" t="str">
        <f t="shared" si="15"/>
        <v>Không</v>
      </c>
      <c r="X15" s="577" t="str">
        <f>'Trung tâm nhập liệu'!G160</f>
        <v>Biên bản đề bài Word </v>
      </c>
      <c r="Y15" s="585" t="str">
        <f>'Trung tâm nhập liệu'!H160</f>
        <v/>
      </c>
      <c r="Z15" s="586" t="str">
        <f t="array" ref="Z15">IFERROR(INDEX('Lớp 4 - Danh mục'!$X$14:$X$132,MATCH(J15,'Lớp 4 - Danh mục'!$I$14:$I$132,0)),"")</f>
        <v>Dữ liệu điều hành</v>
      </c>
      <c r="AA15" s="577" t="str">
        <f>'Trung tâm nhập liệu'!K160</f>
        <v>GĐ BOC</v>
      </c>
      <c r="AB15" s="572" t="str">
        <f>'Trung tâm nhập liệu'!L160</f>
        <v>Chưa bắt đầu</v>
      </c>
      <c r="AC15" s="420" t="str">
        <f>'Trung tâm nhập liệu'!M160</f>
        <v>P1</v>
      </c>
      <c r="AD15" s="584">
        <f t="shared" si="16"/>
        <v>46250</v>
      </c>
      <c r="AE15" s="584">
        <f t="shared" si="17"/>
        <v>46254</v>
      </c>
      <c r="AF15" s="587">
        <f>IF(AM15&lt;&gt;"Có thời hạn","",IF(OR(AD15="",AE15=""),"",IF(AE15&lt;AD15,"",_xlfn.NETWORKDAYS.INTL(AD15,AE15,11,'Ngày nghỉ lễ'!$A$5:$A$80))))</f>
        <v>4</v>
      </c>
      <c r="AG15" s="588">
        <f>IF(I15="","",IF(L15="Công việc khác","",IF(OR(AB15="Chưa lên lịch",AB15="Đã lên lịch",AB15="Hủy"),"",IF(COUNTIFS('Lớp 6 - Chi tiết'!$J$14:$J$267,I15,'Lớp 6 - Chi tiết'!$AE$14:$AE$267,"&lt;&gt;",'Lớp 6 - Chi tiết'!$AE$14:$AE$267,"&lt;&gt;Hủy",'Lớp 6 - Chi tiết'!$AE$14:$AE$267,"&lt;&gt;Chưa lên lịch",'Lớp 6 - Chi tiết'!$AE$14:$AE$267,"&lt;&gt;Đã lên lịch")&gt;0,SUMIFS('Lớp 6 - Chi tiết'!$AJ$14:$AJ$267,'Lớp 6 - Chi tiết'!$J$14:$J$267,I15,'Lớp 6 - Chi tiết'!$AE$14:$AE$267,"&lt;&gt;",'Lớp 6 - Chi tiết'!$AE$14:$AE$267,"&lt;&gt;Hủy",'Lớp 6 - Chi tiết'!$AE$14:$AE$267,"&lt;&gt;Chưa lên lịch",'Lớp 6 - Chi tiết'!$AE$14:$AE$267,"&lt;&gt;Đã lên lịch")/COUNTIFS('Lớp 6 - Chi tiết'!$J$14:$J$267,I15,'Lớp 6 - Chi tiết'!$AE$14:$AE$267,"&lt;&gt;",'Lớp 6 - Chi tiết'!$AE$14:$AE$267,"&lt;&gt;Hủy",'Lớp 6 - Chi tiết'!$AE$14:$AE$267,"&lt;&gt;Chưa lên lịch",'Lớp 6 - Chi tiết'!$AE$14:$AE$267,"&lt;&gt;Đã lên lịch"),IF(AB15="Hoàn thành",1,0)))))</f>
        <v>0</v>
      </c>
      <c r="AH15" s="587">
        <f>IF(AM15&lt;&gt;"Có thời hạn","",IF(OR(I15="",AD15="",AE15=""),"",IF(OR(AB15="Hoàn thành",AB15="Hủy"),0,IF(AE15&lt;TODAY(),-_xlfn.NETWORKDAYS.INTL(AE15,TODAY()-1,11,'Ngày nghỉ lễ'!$A$5:$A$80),MAX(0,_xlfn.NETWORKDAYS.INTL(MAX(TODAY()+1,AD15),AE15,11,'Ngày nghỉ lễ'!$A$5:$A$80))))))</f>
        <v>4</v>
      </c>
      <c r="AI15" s="589">
        <f>IF($I15="","",LET(n,COUNTIFS('Lớp 6 - Chi tiết'!$J$14:$J$267,$I15,'Lớp 6 - Chi tiết'!$AE$14:$AE$267,"&lt;&gt;Hủy"),du,COUNTIFS('Lớp 6 - Chi tiết'!$J$14:$J$267,$I15,'Lớp 6 - Chi tiết'!$AE$14:$AE$267,"&lt;&gt;Hủy",'Lớp 6 - Chi tiết'!$AL$14:$AL$267,"&lt;&gt;"),IF(n=0,'Trung tâm nhập liệu'!T160,IF(du&lt;n,"",SUMIFS('Lớp 6 - Chi tiết'!$AL$14:$AL$267,'Lớp 6 - Chi tiết'!$J$14:$J$267,$I15,'Lớp 6 - Chi tiết'!$AE$14:$AE$267,"&lt;&gt;Hủy")))))</f>
        <v>4</v>
      </c>
      <c r="AJ15" s="468">
        <f>IF(I15="","",IF(OR(AB15="Hoàn thành",AB15="Hủy"),"",IF(COUNTIFS('Lớp 6 - Chi tiết'!$J$14:$J$267,I15,'Lớp 6 - Chi tiết'!$AE$14:$AE$267,"&lt;&gt;Hủy")&gt;0,"",IF(AS15="Ngày",AT15,IF(AS15="Tuần",AT15/5,"")))))</f>
        <v>0.8</v>
      </c>
      <c r="AK15" s="477" t="str">
        <f>IF(AM15="Chưa xếp lịch","Chưa xếp lịch",IF(AM15="Định kỳ",IF(AN15="","Thiếu chu kỳ","Theo chu kỳ"),IF(AM15="Khi phát sinh",IF(COUNTIFS('Lớp 6 - Chi tiết'!$J$14:$J$267,$I15,'Lớp 6 - Chi tiết'!$AE$14:$AE$267,"&lt;&gt;Hủy")=0,"Khi phát sinh – chờ việc con","Khi phát sinh – theo ngày con"),IF(I15="","",LET(n,COUNTIFS('Lớp 6 - Chi tiết'!$J$14:$J$267,$I15,'Lớp 6 - Chi tiết'!$AE$14:$AE$267,"&lt;&gt;Hủy"),cs,IFERROR(MINIFS('Lớp 6 - Chi tiết'!$AG$14:$AG$267,'Lớp 6 - Chi tiết'!$J$14:$J$267,$I15,'Lớp 6 - Chi tiết'!$AE$14:$AE$267,"&lt;&gt;Hủy",'Lớp 6 - Chi tiết'!$AG$14:$AG$267,"&gt;0"),0),ce,IFERROR(MAXIFS('Lớp 6 - Chi tiết'!$AH$14:$AH$267,'Lớp 6 - Chi tiết'!$J$14:$J$267,$I15,'Lớp 6 - Chi tiết'!$AE$14:$AE$267,"&lt;&gt;Hủy",'Lớp 6 - Chi tiết'!$AH$14:$AH$267,"&gt;0"),0),ps,'Trung tâm nhập liệu'!R160,pe,'Trung tâm nhập liệu'!Q160,IF(OR(AD15="",AE15=""),"Thiếu ngày L5",IF(n=0,"Chưa có L6",IF(OR(cs=0,ce=0),"Thiếu ngày L6",IF(OR(ps="",pe=""),"Thiếu ngày kế hoạch gốc L5",IF(OR(cs&lt;ps,ce&gt;pe),"Cảnh báo: Con vượt khung kế hoạch gốc","L6 đúng khung kế hoạch gốc"))))))))))</f>
        <v>Chưa có L6</v>
      </c>
      <c r="AL15" s="465" t="str">
        <f>IF(OR(AV15="Thiếu tham số phân bổ",AV15="Phân bổ phải &gt; 0"),AV15,SWITCH(AM15,"Chưa xếp lịch","Chưa tính tải","Định kỳ","Theo chu kỳ","Khi phát sinh","Khi phát sinh",IF(I15="","",IF(OR(AB15="Hoàn thành",AB15="Hủy"),AB15,IF(COUNTIFS('Lớp 6 - Chi tiết'!$J$14:$J$267,I15,'Lớp 6 - Chi tiết'!$AE$14:$AE$267,"&lt;&gt;Hủy")&gt;0,"Theo dõi tải tại Lớp 6",IF(AI15="","Chưa nhập khối lượng",IF(AA15="","Thiếu người thực hiện",IF(OR(AD15="",AE15=""),"Chưa nhập đủ thời gian",IF(AH15&lt;0,"Quá hạn – còn "&amp;TEXT(MAX(0,AI15*(1-AG15)),"0.0")&amp;" giờ",LET(bd,MAX(TODAY(),AD15),kt,AE15,nguoi,AA15,tai,SUMIFS('Lớp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0.8/8.0 giờ/ngày</v>
      </c>
      <c r="AM15" s="467" t="str">
        <f>'Trung tâm nhập liệu'!O160</f>
        <v>Có thời hạn</v>
      </c>
      <c r="AN15" s="469" t="str">
        <f>'Trung tâm nhập liệu'!P160</f>
        <v/>
      </c>
      <c r="AO15" s="470" t="str">
        <f>'Trung tâm nhập liệu'!S160</f>
        <v/>
      </c>
      <c r="AP15" s="470" t="str">
        <f>'Trung tâm nhập liệu'!X160</f>
        <v/>
      </c>
      <c r="AQ15" s="471" t="str">
        <f t="shared" si="18"/>
        <v/>
      </c>
      <c r="AR15" s="469" t="str">
        <f t="shared" si="19"/>
        <v/>
      </c>
      <c r="AS15" s="475" t="str">
        <f>'Trung tâm nhập liệu'!V160</f>
        <v>Tuần</v>
      </c>
      <c r="AT15" s="476">
        <f>'Trung tâm nhập liệu'!W160</f>
        <v>4</v>
      </c>
      <c r="AU15" s="478">
        <f>IF(AM15&lt;&gt;"Có thời hạn","",IF(OR(I15="",AI15="",AB15="Hoàn thành",AB15="Hủy",COUNTIFS('Lớp 6 - Chi tiết'!$J$14:$J$267,I15,'Lớp 6 - Chi tiết'!$AE$14:$AE$267,"&lt;&gt;Hủy")&gt;0),"",LET(canNgay,MAX(0,AI15*(1-AG15))/MAX(1,AH15),IF(AS15="Ngày",canNgay,IF(AS15="Tuần",canNgay*5,"")))))</f>
        <v>5</v>
      </c>
      <c r="AV15" s="465" t="str">
        <f>IF(I15="","",IF(COUNTIFS('Lớp 6 - Chi tiết'!$J$14:$J$267,I15,'Lớp 6 - Chi tiết'!$AE$14:$AE$267,"&lt;&gt;Hủy")&gt;0,"Theo dõi phân bổ tại Lớp 6",IF(OR(AB15="Hoàn thành",AB15="Hủy"),AB15,IF(AI15="","Thiếu tổng giờ",IF(OR(AS15="",AT15=""),"Thiếu tham số phân bổ",IF(AT15&lt;=0,"Phân bổ phải &gt; 0",IF(AM15&lt;&gt;"Có thời hạn","Đã có phân bổ",IF(AU15="","Chưa đủ dữ liệu hạn",IF(AT15&gt;=AU15,"Đủ phân bổ theo "&amp;LOWER(AS15),"Thiếu "&amp;TEXT(AU15-AT15,"0.0")&amp;" giờ/"&amp;LOWER(AS15))))))))))</f>
        <v>Thiếu 1.0 giờ/tuần</v>
      </c>
      <c r="AW15" s="465" t="str">
        <f t="shared" si="20"/>
        <v>Chưa đến ngày bắt đầu – nên Đã lên lịch</v>
      </c>
      <c r="AX15" s="479" t="str">
        <f>'Trung tâm nhập liệu'!Y160</f>
        <v/>
      </c>
    </row>
    <row r="16" ht="15.75" customHeight="1">
      <c r="A16" s="424">
        <f t="shared" si="11"/>
        <v>3</v>
      </c>
      <c r="B16" s="572" t="str">
        <f>'Trung tâm nhập liệu'!F161</f>
        <v>XD bảng Excel &amp; HT phần mềm (chạy demo) &amp;GT</v>
      </c>
      <c r="C16" s="591" t="str">
        <f>'Trung tâm nhập liệu'!M161</f>
        <v>P1</v>
      </c>
      <c r="D16" s="592">
        <f t="shared" ref="D16:E16" si="21">AG16</f>
        <v>0</v>
      </c>
      <c r="E16" s="593">
        <f t="shared" si="21"/>
        <v>8</v>
      </c>
      <c r="F16" s="575">
        <f t="shared" ref="F16:G16" si="22">U16</f>
        <v>46264</v>
      </c>
      <c r="G16" s="575">
        <f t="shared" si="22"/>
        <v>46255</v>
      </c>
      <c r="H16" s="576" t="str">
        <f>IF(B16="","",IF(COUNTIF('Lớp 6 - Chi tiết'!$J$14:$J$267,I16)&gt;0,"Có","Không"))</f>
        <v>Không</v>
      </c>
      <c r="I16" s="577" t="str">
        <f>'Trung tâm nhập liệu'!B161</f>
        <v>HHL5DL01-03</v>
      </c>
      <c r="J16" s="577" t="str">
        <f>'Trung tâm nhập liệu'!D161</f>
        <v>HHL4DL01</v>
      </c>
      <c r="K16" s="597" t="str">
        <f t="array" ref="K16">IFERROR(INDEX('Lớp 4 - Danh mục'!$J$14:$J$132,MATCH(J16,'Lớp 4 - Danh mục'!$I$14:$I$132,0)),"")</f>
        <v>HHL3CT03</v>
      </c>
      <c r="L16" s="598">
        <f t="array" ref="L16">IFERROR(INDEX('Lớp 4 - Danh mục'!$K$14:$K$132,MATCH(J16,'Lớp 4 - Danh mục'!$I$14:$I$132,0)),"")</f>
        <v>2026</v>
      </c>
      <c r="M16" s="438" t="str">
        <f t="array" ref="M16">IFERROR(INDEX('Lớp 4 - Danh mục'!$L$14:$L$132,MATCH(J16,'Lớp 4 - Danh mục'!$I$14:$I$132,0)),"")</f>
        <v>Cấp công ty</v>
      </c>
      <c r="N16" s="597" t="str">
        <f t="array" ref="N16">IFERROR(INDEX('Lớp 4 - Danh mục'!$M$14:$M$132,MATCH(J16,'Lớp 4 - Danh mục'!$I$14:$I$132,0)),"")</f>
        <v>Chiến lược/sống còn</v>
      </c>
      <c r="O16" s="597" t="str">
        <f t="array" ref="O16">IFERROR(INDEX('Lớp 4 - Danh mục'!$N$14:$N$132,MATCH(J16,'Lớp 4 - Danh mục'!$I$14:$I$132,0)),"")</f>
        <v>KHKD 2027&amp; HT lập KH theo tham số KD (bán tự động)</v>
      </c>
      <c r="P16" s="597" t="str">
        <f t="array" ref="P16">IFERROR(INDEX('Lớp 4 - Danh mục'!$O$14:$O$132,MATCH(J16,'Lớp 4 - Danh mục'!$I$14:$I$132,0)),"")</f>
        <v>Xác nhận công thức &amp; tạo HT tham số cho KH GT</v>
      </c>
      <c r="Q16" s="581" t="str">
        <f t="shared" ref="Q16:T16" si="23">B16</f>
        <v>XD bảng Excel &amp; HT phần mềm (chạy demo) &amp;GT</v>
      </c>
      <c r="R16" s="420" t="str">
        <f t="shared" si="23"/>
        <v>P1</v>
      </c>
      <c r="S16" s="582">
        <f t="shared" si="23"/>
        <v>0</v>
      </c>
      <c r="T16" s="583">
        <f t="shared" si="23"/>
        <v>8</v>
      </c>
      <c r="U16" s="584">
        <f>IF($I16="","",LET(n,COUNTIFS('Lớp 6 - Chi tiết'!$J$14:$J$267,$I16,'Lớp 6 - Chi tiết'!$AE$14:$AE$267,"&lt;&gt;Hủy"),child,IFERROR(MAXIFS('Lớp 6 - Chi tiết'!$AH$14:$AH$267,'Lớp 6 - Chi tiết'!$J$14:$J$267,$I16,'Lớp 6 - Chi tiết'!$AE$14:$AE$267,"&lt;&gt;Hủy",'Lớp 6 - Chi tiết'!$AH$14:$AH$267,"&gt;0"),0),plan,'Trung tâm nhập liệu'!Q161,emergent,LOWER(TRIM('Trung tâm nhập liệu'!O161))="khi phát sinh",IF(n=0,IF(emergent,"",plan),IF(child=0,IF(emergent,"",plan),IF(OR(emergent,plan=""),child,MAX(plan,child))))))</f>
        <v>46264</v>
      </c>
      <c r="V16" s="584">
        <f>IF($I16="","",LET(n,COUNTIFS('Lớp 6 - Chi tiết'!$J$14:$J$267,$I16,'Lớp 6 - Chi tiết'!$AE$14:$AE$267,"&lt;&gt;Hủy"),child,IFERROR(MINIFS('Lớp 6 - Chi tiết'!$AG$14:$AG$267,'Lớp 6 - Chi tiết'!$J$14:$J$267,$I16,'Lớp 6 - Chi tiết'!$AE$14:$AE$267,"&lt;&gt;Hủy",'Lớp 6 - Chi tiết'!$AG$14:$AG$267,"&gt;0"),0),plan,'Trung tâm nhập liệu'!R161,emergent,LOWER(TRIM('Trung tâm nhập liệu'!O161))="khi phát sinh",IF(n=0,IF(emergent,"",plan),IF(child=0,IF(emergent,"",plan),IF(OR(emergent,plan=""),child,MIN(plan,child))))))</f>
        <v>46255</v>
      </c>
      <c r="W16" s="577" t="str">
        <f t="shared" si="15"/>
        <v>Không</v>
      </c>
      <c r="X16" s="577" t="str">
        <f>'Trung tâm nhập liệu'!G161</f>
        <v>File Excel HT theo dãy tham số </v>
      </c>
      <c r="Y16" s="585" t="str">
        <f>'Trung tâm nhập liệu'!H161</f>
        <v/>
      </c>
      <c r="Z16" s="586" t="str">
        <f t="array" ref="Z16">IFERROR(INDEX('Lớp 4 - Danh mục'!$X$14:$X$132,MATCH(J16,'Lớp 4 - Danh mục'!$I$14:$I$132,0)),"")</f>
        <v>Dữ liệu điều hành</v>
      </c>
      <c r="AA16" s="577" t="str">
        <f>'Trung tâm nhập liệu'!K161</f>
        <v>Em Đại</v>
      </c>
      <c r="AB16" s="572" t="str">
        <f>'Trung tâm nhập liệu'!L161</f>
        <v>Chưa bắt đầu</v>
      </c>
      <c r="AC16" s="420" t="str">
        <f>'Trung tâm nhập liệu'!M161</f>
        <v>P1</v>
      </c>
      <c r="AD16" s="584">
        <f t="shared" si="16"/>
        <v>46255</v>
      </c>
      <c r="AE16" s="584">
        <f t="shared" si="17"/>
        <v>46264</v>
      </c>
      <c r="AF16" s="587">
        <f>IF(AM16&lt;&gt;"Có thời hạn","",IF(OR(AD16="",AE16=""),"",IF(AE16&lt;AD16,"",_xlfn.NETWORKDAYS.INTL(AD16,AE16,11,'Ngày nghỉ lễ'!$A$5:$A$80))))</f>
        <v>8</v>
      </c>
      <c r="AG16" s="588">
        <f>IF(I16="","",IF(L16="Công việc khác","",IF(OR(AB16="Chưa lên lịch",AB16="Đã lên lịch",AB16="Hủy"),"",IF(COUNTIFS('Lớp 6 - Chi tiết'!$J$14:$J$267,I16,'Lớp 6 - Chi tiết'!$AE$14:$AE$267,"&lt;&gt;",'Lớp 6 - Chi tiết'!$AE$14:$AE$267,"&lt;&gt;Hủy",'Lớp 6 - Chi tiết'!$AE$14:$AE$267,"&lt;&gt;Chưa lên lịch",'Lớp 6 - Chi tiết'!$AE$14:$AE$267,"&lt;&gt;Đã lên lịch")&gt;0,SUMIFS('Lớp 6 - Chi tiết'!$AJ$14:$AJ$267,'Lớp 6 - Chi tiết'!$J$14:$J$267,I16,'Lớp 6 - Chi tiết'!$AE$14:$AE$267,"&lt;&gt;",'Lớp 6 - Chi tiết'!$AE$14:$AE$267,"&lt;&gt;Hủy",'Lớp 6 - Chi tiết'!$AE$14:$AE$267,"&lt;&gt;Chưa lên lịch",'Lớp 6 - Chi tiết'!$AE$14:$AE$267,"&lt;&gt;Đã lên lịch")/COUNTIFS('Lớp 6 - Chi tiết'!$J$14:$J$267,I16,'Lớp 6 - Chi tiết'!$AE$14:$AE$267,"&lt;&gt;",'Lớp 6 - Chi tiết'!$AE$14:$AE$267,"&lt;&gt;Hủy",'Lớp 6 - Chi tiết'!$AE$14:$AE$267,"&lt;&gt;Chưa lên lịch",'Lớp 6 - Chi tiết'!$AE$14:$AE$267,"&lt;&gt;Đã lên lịch"),IF(AB16="Hoàn thành",1,0)))))</f>
        <v>0</v>
      </c>
      <c r="AH16" s="587">
        <f>IF(AM16&lt;&gt;"Có thời hạn","",IF(OR(I16="",AD16="",AE16=""),"",IF(OR(AB16="Hoàn thành",AB16="Hủy"),0,IF(AE16&lt;TODAY(),-_xlfn.NETWORKDAYS.INTL(AE16,TODAY()-1,11,'Ngày nghỉ lễ'!$A$5:$A$80),MAX(0,_xlfn.NETWORKDAYS.INTL(MAX(TODAY()+1,AD16),AE16,11,'Ngày nghỉ lễ'!$A$5:$A$80))))))</f>
        <v>8</v>
      </c>
      <c r="AI16" s="589">
        <f>IF($I16="","",LET(n,COUNTIFS('Lớp 6 - Chi tiết'!$J$14:$J$267,$I16,'Lớp 6 - Chi tiết'!$AE$14:$AE$267,"&lt;&gt;Hủy"),du,COUNTIFS('Lớp 6 - Chi tiết'!$J$14:$J$267,$I16,'Lớp 6 - Chi tiết'!$AE$14:$AE$267,"&lt;&gt;Hủy",'Lớp 6 - Chi tiết'!$AL$14:$AL$267,"&lt;&gt;"),IF(n=0,'Trung tâm nhập liệu'!T161,IF(du&lt;n,"",SUMIFS('Lớp 6 - Chi tiết'!$AL$14:$AL$267,'Lớp 6 - Chi tiết'!$J$14:$J$267,$I16,'Lớp 6 - Chi tiết'!$AE$14:$AE$267,"&lt;&gt;Hủy")))))</f>
        <v>16</v>
      </c>
      <c r="AJ16" s="468">
        <f>IF(I16="","",IF(OR(AB16="Hoàn thành",AB16="Hủy"),"",IF(COUNTIFS('Lớp 6 - Chi tiết'!$J$14:$J$267,I16,'Lớp 6 - Chi tiết'!$AE$14:$AE$267,"&lt;&gt;Hủy")&gt;0,"",IF(AS16="Ngày",AT16,IF(AS16="Tuần",AT16/5,"")))))</f>
        <v>3.2</v>
      </c>
      <c r="AK16" s="477" t="str">
        <f>IF(AM16="Chưa xếp lịch","Chưa xếp lịch",IF(AM16="Định kỳ",IF(AN16="","Thiếu chu kỳ","Theo chu kỳ"),IF(AM16="Khi phát sinh",IF(COUNTIFS('Lớp 6 - Chi tiết'!$J$14:$J$267,$I16,'Lớp 6 - Chi tiết'!$AE$14:$AE$267,"&lt;&gt;Hủy")=0,"Khi phát sinh – chờ việc con","Khi phát sinh – theo ngày con"),IF(I16="","",LET(n,COUNTIFS('Lớp 6 - Chi tiết'!$J$14:$J$267,$I16,'Lớp 6 - Chi tiết'!$AE$14:$AE$267,"&lt;&gt;Hủy"),cs,IFERROR(MINIFS('Lớp 6 - Chi tiết'!$AG$14:$AG$267,'Lớp 6 - Chi tiết'!$J$14:$J$267,$I16,'Lớp 6 - Chi tiết'!$AE$14:$AE$267,"&lt;&gt;Hủy",'Lớp 6 - Chi tiết'!$AG$14:$AG$267,"&gt;0"),0),ce,IFERROR(MAXIFS('Lớp 6 - Chi tiết'!$AH$14:$AH$267,'Lớp 6 - Chi tiết'!$J$14:$J$267,$I16,'Lớp 6 - Chi tiết'!$AE$14:$AE$267,"&lt;&gt;Hủy",'Lớp 6 - Chi tiết'!$AH$14:$AH$267,"&gt;0"),0),ps,'Trung tâm nhập liệu'!R161,pe,'Trung tâm nhập liệu'!Q161,IF(OR(AD16="",AE16=""),"Thiếu ngày L5",IF(n=0,"Chưa có L6",IF(OR(cs=0,ce=0),"Thiếu ngày L6",IF(OR(ps="",pe=""),"Thiếu ngày kế hoạch gốc L5",IF(OR(cs&lt;ps,ce&gt;pe),"Cảnh báo: Con vượt khung kế hoạch gốc","L6 đúng khung kế hoạch gốc"))))))))))</f>
        <v>Chưa có L6</v>
      </c>
      <c r="AL16" s="465" t="str">
        <f>IF(OR(AV16="Thiếu tham số phân bổ",AV16="Phân bổ phải &gt; 0"),AV16,SWITCH(AM16,"Chưa xếp lịch","Chưa tính tải","Định kỳ","Theo chu kỳ","Khi phát sinh","Khi phát sinh",IF(I16="","",IF(OR(AB16="Hoàn thành",AB16="Hủy"),AB16,IF(COUNTIFS('Lớp 6 - Chi tiết'!$J$14:$J$267,I16,'Lớp 6 - Chi tiết'!$AE$14:$AE$267,"&lt;&gt;Hủy")&gt;0,"Theo dõi tải tại Lớp 6",IF(AI16="","Chưa nhập khối lượng",IF(AA16="","Thiếu người thực hiện",IF(OR(AD16="",AE16=""),"Chưa nhập đủ thời gian",IF(AH16&lt;0,"Quá hạn – còn "&amp;TEXT(MAX(0,AI16*(1-AG16)),"0.0")&amp;" giờ",LET(bd,MAX(TODAY(),AD16),kt,AE16,nguoi,AA16,tai,SUMIFS('Lớp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3.2/8.0 giờ/ngày</v>
      </c>
      <c r="AM16" s="467" t="str">
        <f>'Trung tâm nhập liệu'!O161</f>
        <v>Có thời hạn</v>
      </c>
      <c r="AN16" s="469" t="str">
        <f>'Trung tâm nhập liệu'!P161</f>
        <v/>
      </c>
      <c r="AO16" s="470" t="str">
        <f>'Trung tâm nhập liệu'!S161</f>
        <v/>
      </c>
      <c r="AP16" s="470" t="str">
        <f>'Trung tâm nhập liệu'!X161</f>
        <v/>
      </c>
      <c r="AQ16" s="471" t="str">
        <f t="shared" si="18"/>
        <v/>
      </c>
      <c r="AR16" s="469" t="str">
        <f t="shared" si="19"/>
        <v/>
      </c>
      <c r="AS16" s="475" t="str">
        <f>'Trung tâm nhập liệu'!V161</f>
        <v>Tuần</v>
      </c>
      <c r="AT16" s="476">
        <f>'Trung tâm nhập liệu'!W161</f>
        <v>16</v>
      </c>
      <c r="AU16" s="478">
        <f>IF(AM16&lt;&gt;"Có thời hạn","",IF(OR(I16="",AI16="",AB16="Hoàn thành",AB16="Hủy",COUNTIFS('Lớp 6 - Chi tiết'!$J$14:$J$267,I16,'Lớp 6 - Chi tiết'!$AE$14:$AE$267,"&lt;&gt;Hủy")&gt;0),"",LET(canNgay,MAX(0,AI16*(1-AG16))/MAX(1,AH16),IF(AS16="Ngày",canNgay,IF(AS16="Tuần",canNgay*5,"")))))</f>
        <v>10</v>
      </c>
      <c r="AV16" s="465" t="str">
        <f>IF(I16="","",IF(COUNTIFS('Lớp 6 - Chi tiết'!$J$14:$J$267,I16,'Lớp 6 - Chi tiết'!$AE$14:$AE$267,"&lt;&gt;Hủy")&gt;0,"Theo dõi phân bổ tại Lớp 6",IF(OR(AB16="Hoàn thành",AB16="Hủy"),AB16,IF(AI16="","Thiếu tổng giờ",IF(OR(AS16="",AT16=""),"Thiếu tham số phân bổ",IF(AT16&lt;=0,"Phân bổ phải &gt; 0",IF(AM16&lt;&gt;"Có thời hạn","Đã có phân bổ",IF(AU16="","Chưa đủ dữ liệu hạn",IF(AT16&gt;=AU16,"Đủ phân bổ theo "&amp;LOWER(AS16),"Thiếu "&amp;TEXT(AU16-AT16,"0.0")&amp;" giờ/"&amp;LOWER(AS16))))))))))</f>
        <v>Đủ phân bổ theo tuần</v>
      </c>
      <c r="AW16" s="465" t="str">
        <f t="shared" si="20"/>
        <v>Chưa đến ngày bắt đầu – nên Đã lên lịch</v>
      </c>
      <c r="AX16" s="479" t="str">
        <f>'Trung tâm nhập liệu'!Y161</f>
        <v/>
      </c>
    </row>
    <row r="17" ht="15.75" customHeight="1">
      <c r="A17" s="424">
        <f t="shared" si="11"/>
        <v>4</v>
      </c>
      <c r="B17" s="572" t="str">
        <f>'Trung tâm nhập liệu'!F162</f>
        <v>Chạy tham số Topdown GT</v>
      </c>
      <c r="C17" s="591" t="str">
        <f>'Trung tâm nhập liệu'!M162</f>
        <v>P1</v>
      </c>
      <c r="D17" s="592">
        <f t="shared" ref="D17:E17" si="24">AG17</f>
        <v>0</v>
      </c>
      <c r="E17" s="593">
        <f t="shared" si="24"/>
        <v>4</v>
      </c>
      <c r="F17" s="575">
        <f t="shared" ref="F17:G17" si="25">U17</f>
        <v>46270</v>
      </c>
      <c r="G17" s="575">
        <f t="shared" si="25"/>
        <v>46265</v>
      </c>
      <c r="H17" s="576" t="str">
        <f>IF(B17="","",IF(COUNTIF('Lớp 6 - Chi tiết'!$J$14:$J$267,I17)&gt;0,"Có","Không"))</f>
        <v>Không</v>
      </c>
      <c r="I17" s="577" t="str">
        <f>'Trung tâm nhập liệu'!B162</f>
        <v>HHL5DL01-04</v>
      </c>
      <c r="J17" s="577" t="str">
        <f>'Trung tâm nhập liệu'!D162</f>
        <v>HHL4DL01</v>
      </c>
      <c r="K17" s="597" t="str">
        <f t="array" ref="K17">IFERROR(INDEX('Lớp 4 - Danh mục'!$J$14:$J$132,MATCH(J17,'Lớp 4 - Danh mục'!$I$14:$I$132,0)),"")</f>
        <v>HHL3CT03</v>
      </c>
      <c r="L17" s="598">
        <f t="array" ref="L17">IFERROR(INDEX('Lớp 4 - Danh mục'!$K$14:$K$132,MATCH(J17,'Lớp 4 - Danh mục'!$I$14:$I$132,0)),"")</f>
        <v>2026</v>
      </c>
      <c r="M17" s="438" t="str">
        <f t="array" ref="M17">IFERROR(INDEX('Lớp 4 - Danh mục'!$L$14:$L$132,MATCH(J17,'Lớp 4 - Danh mục'!$I$14:$I$132,0)),"")</f>
        <v>Cấp công ty</v>
      </c>
      <c r="N17" s="597" t="str">
        <f t="array" ref="N17">IFERROR(INDEX('Lớp 4 - Danh mục'!$M$14:$M$132,MATCH(J17,'Lớp 4 - Danh mục'!$I$14:$I$132,0)),"")</f>
        <v>Chiến lược/sống còn</v>
      </c>
      <c r="O17" s="597" t="str">
        <f t="array" ref="O17">IFERROR(INDEX('Lớp 4 - Danh mục'!$N$14:$N$132,MATCH(J17,'Lớp 4 - Danh mục'!$I$14:$I$132,0)),"")</f>
        <v>KHKD 2027&amp; HT lập KH theo tham số KD (bán tự động)</v>
      </c>
      <c r="P17" s="597" t="str">
        <f t="array" ref="P17">IFERROR(INDEX('Lớp 4 - Danh mục'!$O$14:$O$132,MATCH(J17,'Lớp 4 - Danh mục'!$I$14:$I$132,0)),"")</f>
        <v>Xác nhận công thức &amp; tạo HT tham số cho KH GT</v>
      </c>
      <c r="Q17" s="581" t="str">
        <f t="shared" ref="Q17:T17" si="26">B17</f>
        <v>Chạy tham số Topdown GT</v>
      </c>
      <c r="R17" s="420" t="str">
        <f t="shared" si="26"/>
        <v>P1</v>
      </c>
      <c r="S17" s="582">
        <f t="shared" si="26"/>
        <v>0</v>
      </c>
      <c r="T17" s="583">
        <f t="shared" si="26"/>
        <v>4</v>
      </c>
      <c r="U17" s="584">
        <f>IF($I17="","",LET(n,COUNTIFS('Lớp 6 - Chi tiết'!$J$14:$J$267,$I17,'Lớp 6 - Chi tiết'!$AE$14:$AE$267,"&lt;&gt;Hủy"),child,IFERROR(MAXIFS('Lớp 6 - Chi tiết'!$AH$14:$AH$267,'Lớp 6 - Chi tiết'!$J$14:$J$267,$I17,'Lớp 6 - Chi tiết'!$AE$14:$AE$267,"&lt;&gt;Hủy",'Lớp 6 - Chi tiết'!$AH$14:$AH$267,"&gt;0"),0),plan,'Trung tâm nhập liệu'!Q162,emergent,LOWER(TRIM('Trung tâm nhập liệu'!O162))="khi phát sinh",IF(n=0,IF(emergent,"",plan),IF(child=0,IF(emergent,"",plan),IF(OR(emergent,plan=""),child,MAX(plan,child))))))</f>
        <v>46270</v>
      </c>
      <c r="V17" s="584">
        <f>IF($I17="","",LET(n,COUNTIFS('Lớp 6 - Chi tiết'!$J$14:$J$267,$I17,'Lớp 6 - Chi tiết'!$AE$14:$AE$267,"&lt;&gt;Hủy"),child,IFERROR(MINIFS('Lớp 6 - Chi tiết'!$AG$14:$AG$267,'Lớp 6 - Chi tiết'!$J$14:$J$267,$I17,'Lớp 6 - Chi tiết'!$AE$14:$AE$267,"&lt;&gt;Hủy",'Lớp 6 - Chi tiết'!$AG$14:$AG$267,"&gt;0"),0),plan,'Trung tâm nhập liệu'!R162,emergent,LOWER(TRIM('Trung tâm nhập liệu'!O162))="khi phát sinh",IF(n=0,IF(emergent,"",plan),IF(child=0,IF(emergent,"",plan),IF(OR(emergent,plan=""),child,MIN(plan,child))))))</f>
        <v>46265</v>
      </c>
      <c r="W17" s="577" t="str">
        <f t="shared" si="15"/>
        <v>Không</v>
      </c>
      <c r="X17" s="577" t="str">
        <f>'Trung tâm nhập liệu'!G162</f>
        <v>Kết qủa chạy top-down</v>
      </c>
      <c r="Y17" s="585" t="str">
        <f>'Trung tâm nhập liệu'!H162</f>
        <v/>
      </c>
      <c r="Z17" s="586" t="str">
        <f t="array" ref="Z17">IFERROR(INDEX('Lớp 4 - Danh mục'!$X$14:$X$132,MATCH(J17,'Lớp 4 - Danh mục'!$I$14:$I$132,0)),"")</f>
        <v>Dữ liệu điều hành</v>
      </c>
      <c r="AA17" s="577" t="str">
        <f>'Trung tâm nhập liệu'!K162</f>
        <v>Em Đại</v>
      </c>
      <c r="AB17" s="572" t="str">
        <f>'Trung tâm nhập liệu'!L162</f>
        <v>Chưa bắt đầu</v>
      </c>
      <c r="AC17" s="420" t="str">
        <f>'Trung tâm nhập liệu'!M162</f>
        <v>P1</v>
      </c>
      <c r="AD17" s="584">
        <f t="shared" si="16"/>
        <v>46265</v>
      </c>
      <c r="AE17" s="584">
        <f t="shared" si="17"/>
        <v>46270</v>
      </c>
      <c r="AF17" s="587">
        <f>IF(AM17&lt;&gt;"Có thời hạn","",IF(OR(AD17="",AE17=""),"",IF(AE17&lt;AD17,"",_xlfn.NETWORKDAYS.INTL(AD17,AE17,11,'Ngày nghỉ lễ'!$A$5:$A$80))))</f>
        <v>4</v>
      </c>
      <c r="AG17" s="588">
        <f>IF(I17="","",IF(L17="Công việc khác","",IF(OR(AB17="Chưa lên lịch",AB17="Đã lên lịch",AB17="Hủy"),"",IF(COUNTIFS('Lớp 6 - Chi tiết'!$J$14:$J$267,I17,'Lớp 6 - Chi tiết'!$AE$14:$AE$267,"&lt;&gt;",'Lớp 6 - Chi tiết'!$AE$14:$AE$267,"&lt;&gt;Hủy",'Lớp 6 - Chi tiết'!$AE$14:$AE$267,"&lt;&gt;Chưa lên lịch",'Lớp 6 - Chi tiết'!$AE$14:$AE$267,"&lt;&gt;Đã lên lịch")&gt;0,SUMIFS('Lớp 6 - Chi tiết'!$AJ$14:$AJ$267,'Lớp 6 - Chi tiết'!$J$14:$J$267,I17,'Lớp 6 - Chi tiết'!$AE$14:$AE$267,"&lt;&gt;",'Lớp 6 - Chi tiết'!$AE$14:$AE$267,"&lt;&gt;Hủy",'Lớp 6 - Chi tiết'!$AE$14:$AE$267,"&lt;&gt;Chưa lên lịch",'Lớp 6 - Chi tiết'!$AE$14:$AE$267,"&lt;&gt;Đã lên lịch")/COUNTIFS('Lớp 6 - Chi tiết'!$J$14:$J$267,I17,'Lớp 6 - Chi tiết'!$AE$14:$AE$267,"&lt;&gt;",'Lớp 6 - Chi tiết'!$AE$14:$AE$267,"&lt;&gt;Hủy",'Lớp 6 - Chi tiết'!$AE$14:$AE$267,"&lt;&gt;Chưa lên lịch",'Lớp 6 - Chi tiết'!$AE$14:$AE$267,"&lt;&gt;Đã lên lịch"),IF(AB17="Hoàn thành",1,0)))))</f>
        <v>0</v>
      </c>
      <c r="AH17" s="587">
        <f>IF(AM17&lt;&gt;"Có thời hạn","",IF(OR(I17="",AD17="",AE17=""),"",IF(OR(AB17="Hoàn thành",AB17="Hủy"),0,IF(AE17&lt;TODAY(),-_xlfn.NETWORKDAYS.INTL(AE17,TODAY()-1,11,'Ngày nghỉ lễ'!$A$5:$A$80),MAX(0,_xlfn.NETWORKDAYS.INTL(MAX(TODAY()+1,AD17),AE17,11,'Ngày nghỉ lễ'!$A$5:$A$80))))))</f>
        <v>4</v>
      </c>
      <c r="AI17" s="589">
        <f>IF($I17="","",LET(n,COUNTIFS('Lớp 6 - Chi tiết'!$J$14:$J$267,$I17,'Lớp 6 - Chi tiết'!$AE$14:$AE$267,"&lt;&gt;Hủy"),du,COUNTIFS('Lớp 6 - Chi tiết'!$J$14:$J$267,$I17,'Lớp 6 - Chi tiết'!$AE$14:$AE$267,"&lt;&gt;Hủy",'Lớp 6 - Chi tiết'!$AL$14:$AL$267,"&lt;&gt;"),IF(n=0,'Trung tâm nhập liệu'!T162,IF(du&lt;n,"",SUMIFS('Lớp 6 - Chi tiết'!$AL$14:$AL$267,'Lớp 6 - Chi tiết'!$J$14:$J$267,$I17,'Lớp 6 - Chi tiết'!$AE$14:$AE$267,"&lt;&gt;Hủy")))))</f>
        <v>8</v>
      </c>
      <c r="AJ17" s="468">
        <f>IF(I17="","",IF(OR(AB17="Hoàn thành",AB17="Hủy"),"",IF(COUNTIFS('Lớp 6 - Chi tiết'!$J$14:$J$267,I17,'Lớp 6 - Chi tiết'!$AE$14:$AE$267,"&lt;&gt;Hủy")&gt;0,"",IF(AS17="Ngày",AT17,IF(AS17="Tuần",AT17/5,"")))))</f>
        <v>1.6</v>
      </c>
      <c r="AK17" s="477" t="str">
        <f>IF(AM17="Chưa xếp lịch","Chưa xếp lịch",IF(AM17="Định kỳ",IF(AN17="","Thiếu chu kỳ","Theo chu kỳ"),IF(AM17="Khi phát sinh",IF(COUNTIFS('Lớp 6 - Chi tiết'!$J$14:$J$267,$I17,'Lớp 6 - Chi tiết'!$AE$14:$AE$267,"&lt;&gt;Hủy")=0,"Khi phát sinh – chờ việc con","Khi phát sinh – theo ngày con"),IF(I17="","",LET(n,COUNTIFS('Lớp 6 - Chi tiết'!$J$14:$J$267,$I17,'Lớp 6 - Chi tiết'!$AE$14:$AE$267,"&lt;&gt;Hủy"),cs,IFERROR(MINIFS('Lớp 6 - Chi tiết'!$AG$14:$AG$267,'Lớp 6 - Chi tiết'!$J$14:$J$267,$I17,'Lớp 6 - Chi tiết'!$AE$14:$AE$267,"&lt;&gt;Hủy",'Lớp 6 - Chi tiết'!$AG$14:$AG$267,"&gt;0"),0),ce,IFERROR(MAXIFS('Lớp 6 - Chi tiết'!$AH$14:$AH$267,'Lớp 6 - Chi tiết'!$J$14:$J$267,$I17,'Lớp 6 - Chi tiết'!$AE$14:$AE$267,"&lt;&gt;Hủy",'Lớp 6 - Chi tiết'!$AH$14:$AH$267,"&gt;0"),0),ps,'Trung tâm nhập liệu'!R162,pe,'Trung tâm nhập liệu'!Q162,IF(OR(AD17="",AE17=""),"Thiếu ngày L5",IF(n=0,"Chưa có L6",IF(OR(cs=0,ce=0),"Thiếu ngày L6",IF(OR(ps="",pe=""),"Thiếu ngày kế hoạch gốc L5",IF(OR(cs&lt;ps,ce&gt;pe),"Cảnh báo: Con vượt khung kế hoạch gốc","L6 đúng khung kế hoạch gốc"))))))))))</f>
        <v>Chưa có L6</v>
      </c>
      <c r="AL17" s="465" t="str">
        <f>IF(OR(AV17="Thiếu tham số phân bổ",AV17="Phân bổ phải &gt; 0"),AV17,SWITCH(AM17,"Chưa xếp lịch","Chưa tính tải","Định kỳ","Theo chu kỳ","Khi phát sinh","Khi phát sinh",IF(I17="","",IF(OR(AB17="Hoàn thành",AB17="Hủy"),AB17,IF(COUNTIFS('Lớp 6 - Chi tiết'!$J$14:$J$267,I17,'Lớp 6 - Chi tiết'!$AE$14:$AE$267,"&lt;&gt;Hủy")&gt;0,"Theo dõi tải tại Lớp 6",IF(AI17="","Chưa nhập khối lượng",IF(AA17="","Thiếu người thực hiện",IF(OR(AD17="",AE17=""),"Chưa nhập đủ thời gian",IF(AH17&lt;0,"Quá hạn – còn "&amp;TEXT(MAX(0,AI17*(1-AG17)),"0.0")&amp;" giờ",LET(bd,MAX(TODAY(),AD17),kt,AE17,nguoi,AA17,tai,SUMIFS('Lớp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1.6/8.0 giờ/ngày</v>
      </c>
      <c r="AM17" s="467" t="str">
        <f>'Trung tâm nhập liệu'!O162</f>
        <v>Có thời hạn</v>
      </c>
      <c r="AN17" s="469" t="str">
        <f>'Trung tâm nhập liệu'!P162</f>
        <v/>
      </c>
      <c r="AO17" s="470" t="str">
        <f>'Trung tâm nhập liệu'!S162</f>
        <v/>
      </c>
      <c r="AP17" s="470" t="str">
        <f>'Trung tâm nhập liệu'!X162</f>
        <v/>
      </c>
      <c r="AQ17" s="471" t="str">
        <f t="shared" si="18"/>
        <v/>
      </c>
      <c r="AR17" s="469" t="str">
        <f t="shared" si="19"/>
        <v/>
      </c>
      <c r="AS17" s="475" t="str">
        <f>'Trung tâm nhập liệu'!V162</f>
        <v>Tuần</v>
      </c>
      <c r="AT17" s="476">
        <f>'Trung tâm nhập liệu'!W162</f>
        <v>8</v>
      </c>
      <c r="AU17" s="478">
        <f>IF(AM17&lt;&gt;"Có thời hạn","",IF(OR(I17="",AI17="",AB17="Hoàn thành",AB17="Hủy",COUNTIFS('Lớp 6 - Chi tiết'!$J$14:$J$267,I17,'Lớp 6 - Chi tiết'!$AE$14:$AE$267,"&lt;&gt;Hủy")&gt;0),"",LET(canNgay,MAX(0,AI17*(1-AG17))/MAX(1,AH17),IF(AS17="Ngày",canNgay,IF(AS17="Tuần",canNgay*5,"")))))</f>
        <v>10</v>
      </c>
      <c r="AV17" s="465" t="str">
        <f>IF(I17="","",IF(COUNTIFS('Lớp 6 - Chi tiết'!$J$14:$J$267,I17,'Lớp 6 - Chi tiết'!$AE$14:$AE$267,"&lt;&gt;Hủy")&gt;0,"Theo dõi phân bổ tại Lớp 6",IF(OR(AB17="Hoàn thành",AB17="Hủy"),AB17,IF(AI17="","Thiếu tổng giờ",IF(OR(AS17="",AT17=""),"Thiếu tham số phân bổ",IF(AT17&lt;=0,"Phân bổ phải &gt; 0",IF(AM17&lt;&gt;"Có thời hạn","Đã có phân bổ",IF(AU17="","Chưa đủ dữ liệu hạn",IF(AT17&gt;=AU17,"Đủ phân bổ theo "&amp;LOWER(AS17),"Thiếu "&amp;TEXT(AU17-AT17,"0.0")&amp;" giờ/"&amp;LOWER(AS17))))))))))</f>
        <v>Thiếu 2.0 giờ/tuần</v>
      </c>
      <c r="AW17" s="465" t="str">
        <f t="shared" si="20"/>
        <v>Chưa đến ngày bắt đầu – nên Đã lên lịch</v>
      </c>
      <c r="AX17" s="479" t="str">
        <f>'Trung tâm nhập liệu'!Y162</f>
        <v/>
      </c>
    </row>
    <row r="18" ht="15.75" customHeight="1">
      <c r="A18" s="424">
        <f t="shared" si="11"/>
        <v>5</v>
      </c>
      <c r="B18" s="572" t="str">
        <f>'Trung tâm nhập liệu'!F163</f>
        <v>Chạy tham số Bottom-up theo khu vực vùng miền GT</v>
      </c>
      <c r="C18" s="591" t="str">
        <f>'Trung tâm nhập liệu'!M163</f>
        <v>P1</v>
      </c>
      <c r="D18" s="592" t="str">
        <f t="shared" ref="D18:E18" si="27">AG18</f>
        <v/>
      </c>
      <c r="E18" s="593">
        <f t="shared" si="27"/>
        <v>30</v>
      </c>
      <c r="F18" s="575">
        <f t="shared" ref="F18:G18" si="28">U18</f>
        <v>46305</v>
      </c>
      <c r="G18" s="575">
        <f t="shared" si="28"/>
        <v>46271</v>
      </c>
      <c r="H18" s="576" t="str">
        <f>IF(B18="","",IF(COUNTIF('Lớp 6 - Chi tiết'!$J$14:$J$267,I18)&gt;0,"Có","Không"))</f>
        <v>Không</v>
      </c>
      <c r="I18" s="577" t="str">
        <f>'Trung tâm nhập liệu'!B163</f>
        <v>HHL5DL01-05</v>
      </c>
      <c r="J18" s="577" t="str">
        <f>'Trung tâm nhập liệu'!D163</f>
        <v>HHL4DL01</v>
      </c>
      <c r="K18" s="597" t="str">
        <f t="array" ref="K18">IFERROR(INDEX('Lớp 4 - Danh mục'!$J$14:$J$132,MATCH(J18,'Lớp 4 - Danh mục'!$I$14:$I$132,0)),"")</f>
        <v>HHL3CT03</v>
      </c>
      <c r="L18" s="598">
        <f t="array" ref="L18">IFERROR(INDEX('Lớp 4 - Danh mục'!$K$14:$K$132,MATCH(J18,'Lớp 4 - Danh mục'!$I$14:$I$132,0)),"")</f>
        <v>2026</v>
      </c>
      <c r="M18" s="438" t="str">
        <f t="array" ref="M18">IFERROR(INDEX('Lớp 4 - Danh mục'!$L$14:$L$132,MATCH(J18,'Lớp 4 - Danh mục'!$I$14:$I$132,0)),"")</f>
        <v>Cấp công ty</v>
      </c>
      <c r="N18" s="597" t="str">
        <f t="array" ref="N18">IFERROR(INDEX('Lớp 4 - Danh mục'!$M$14:$M$132,MATCH(J18,'Lớp 4 - Danh mục'!$I$14:$I$132,0)),"")</f>
        <v>Chiến lược/sống còn</v>
      </c>
      <c r="O18" s="597" t="str">
        <f t="array" ref="O18">IFERROR(INDEX('Lớp 4 - Danh mục'!$N$14:$N$132,MATCH(J18,'Lớp 4 - Danh mục'!$I$14:$I$132,0)),"")</f>
        <v>KHKD 2027&amp; HT lập KH theo tham số KD (bán tự động)</v>
      </c>
      <c r="P18" s="597" t="str">
        <f t="array" ref="P18">IFERROR(INDEX('Lớp 4 - Danh mục'!$O$14:$O$132,MATCH(J18,'Lớp 4 - Danh mục'!$I$14:$I$132,0)),"")</f>
        <v>Xác nhận công thức &amp; tạo HT tham số cho KH GT</v>
      </c>
      <c r="Q18" s="581" t="str">
        <f t="shared" ref="Q18:T18" si="29">B18</f>
        <v>Chạy tham số Bottom-up theo khu vực vùng miền GT</v>
      </c>
      <c r="R18" s="420" t="str">
        <f t="shared" si="29"/>
        <v>P1</v>
      </c>
      <c r="S18" s="582" t="str">
        <f t="shared" si="29"/>
        <v/>
      </c>
      <c r="T18" s="583">
        <f t="shared" si="29"/>
        <v>30</v>
      </c>
      <c r="U18" s="584">
        <f>IF($I18="","",LET(n,COUNTIFS('Lớp 6 - Chi tiết'!$J$14:$J$267,$I18,'Lớp 6 - Chi tiết'!$AE$14:$AE$267,"&lt;&gt;Hủy"),child,IFERROR(MAXIFS('Lớp 6 - Chi tiết'!$AH$14:$AH$267,'Lớp 6 - Chi tiết'!$J$14:$J$267,$I18,'Lớp 6 - Chi tiết'!$AE$14:$AE$267,"&lt;&gt;Hủy",'Lớp 6 - Chi tiết'!$AH$14:$AH$267,"&gt;0"),0),plan,'Trung tâm nhập liệu'!Q163,emergent,LOWER(TRIM('Trung tâm nhập liệu'!O163))="khi phát sinh",IF(n=0,IF(emergent,"",plan),IF(child=0,IF(emergent,"",plan),IF(OR(emergent,plan=""),child,MAX(plan,child))))))</f>
        <v>46305</v>
      </c>
      <c r="V18" s="584">
        <f>IF($I18="","",LET(n,COUNTIFS('Lớp 6 - Chi tiết'!$J$14:$J$267,$I18,'Lớp 6 - Chi tiết'!$AE$14:$AE$267,"&lt;&gt;Hủy"),child,IFERROR(MINIFS('Lớp 6 - Chi tiết'!$AG$14:$AG$267,'Lớp 6 - Chi tiết'!$J$14:$J$267,$I18,'Lớp 6 - Chi tiết'!$AE$14:$AE$267,"&lt;&gt;Hủy",'Lớp 6 - Chi tiết'!$AG$14:$AG$267,"&gt;0"),0),plan,'Trung tâm nhập liệu'!R163,emergent,LOWER(TRIM('Trung tâm nhập liệu'!O163))="khi phát sinh",IF(n=0,IF(emergent,"",plan),IF(child=0,IF(emergent,"",plan),IF(OR(emergent,plan=""),child,MIN(plan,child))))))</f>
        <v>46271</v>
      </c>
      <c r="W18" s="577" t="str">
        <f t="shared" si="15"/>
        <v>Không</v>
      </c>
      <c r="X18" s="577" t="str">
        <f>'Trung tâm nhập liệu'!G163</f>
        <v>Bộ kết quả Bottom-up vòng 1 </v>
      </c>
      <c r="Y18" s="585" t="str">
        <f>'Trung tâm nhập liệu'!H163</f>
        <v/>
      </c>
      <c r="Z18" s="586" t="str">
        <f t="array" ref="Z18">IFERROR(INDEX('Lớp 4 - Danh mục'!$X$14:$X$132,MATCH(J18,'Lớp 4 - Danh mục'!$I$14:$I$132,0)),"")</f>
        <v>Dữ liệu điều hành</v>
      </c>
      <c r="AA18" s="577" t="str">
        <f>'Trung tâm nhập liệu'!K163</f>
        <v>Em Đại</v>
      </c>
      <c r="AB18" s="572" t="str">
        <f>'Trung tâm nhập liệu'!L163</f>
        <v>Đã lên lịch</v>
      </c>
      <c r="AC18" s="420" t="str">
        <f>'Trung tâm nhập liệu'!M163</f>
        <v>P1</v>
      </c>
      <c r="AD18" s="584">
        <f t="shared" si="16"/>
        <v>46271</v>
      </c>
      <c r="AE18" s="584">
        <f t="shared" si="17"/>
        <v>46305</v>
      </c>
      <c r="AF18" s="587">
        <f>IF(AM18&lt;&gt;"Có thời hạn","",IF(OR(AD18="",AE18=""),"",IF(AE18&lt;AD18,"",_xlfn.NETWORKDAYS.INTL(AD18,AE18,11,'Ngày nghỉ lễ'!$A$5:$A$80))))</f>
        <v>30</v>
      </c>
      <c r="AG18" s="588" t="str">
        <f>IF(I18="","",IF(L18="Công việc khác","",IF(OR(AB18="Chưa lên lịch",AB18="Đã lên lịch",AB18="Hủy"),"",IF(COUNTIFS('Lớp 6 - Chi tiết'!$J$14:$J$267,I18,'Lớp 6 - Chi tiết'!$AE$14:$AE$267,"&lt;&gt;",'Lớp 6 - Chi tiết'!$AE$14:$AE$267,"&lt;&gt;Hủy",'Lớp 6 - Chi tiết'!$AE$14:$AE$267,"&lt;&gt;Chưa lên lịch",'Lớp 6 - Chi tiết'!$AE$14:$AE$267,"&lt;&gt;Đã lên lịch")&gt;0,SUMIFS('Lớp 6 - Chi tiết'!$AJ$14:$AJ$267,'Lớp 6 - Chi tiết'!$J$14:$J$267,I18,'Lớp 6 - Chi tiết'!$AE$14:$AE$267,"&lt;&gt;",'Lớp 6 - Chi tiết'!$AE$14:$AE$267,"&lt;&gt;Hủy",'Lớp 6 - Chi tiết'!$AE$14:$AE$267,"&lt;&gt;Chưa lên lịch",'Lớp 6 - Chi tiết'!$AE$14:$AE$267,"&lt;&gt;Đã lên lịch")/COUNTIFS('Lớp 6 - Chi tiết'!$J$14:$J$267,I18,'Lớp 6 - Chi tiết'!$AE$14:$AE$267,"&lt;&gt;",'Lớp 6 - Chi tiết'!$AE$14:$AE$267,"&lt;&gt;Hủy",'Lớp 6 - Chi tiết'!$AE$14:$AE$267,"&lt;&gt;Chưa lên lịch",'Lớp 6 - Chi tiết'!$AE$14:$AE$267,"&lt;&gt;Đã lên lịch"),IF(AB18="Hoàn thành",1,0)))))</f>
        <v/>
      </c>
      <c r="AH18" s="587">
        <f>IF(AM18&lt;&gt;"Có thời hạn","",IF(OR(I18="",AD18="",AE18=""),"",IF(OR(AB18="Hoàn thành",AB18="Hủy"),0,IF(AE18&lt;TODAY(),-_xlfn.NETWORKDAYS.INTL(AE18,TODAY()-1,11,'Ngày nghỉ lễ'!$A$5:$A$80),MAX(0,_xlfn.NETWORKDAYS.INTL(MAX(TODAY()+1,AD18),AE18,11,'Ngày nghỉ lễ'!$A$5:$A$80))))))</f>
        <v>30</v>
      </c>
      <c r="AI18" s="589">
        <f>IF($I18="","",LET(n,COUNTIFS('Lớp 6 - Chi tiết'!$J$14:$J$267,$I18,'Lớp 6 - Chi tiết'!$AE$14:$AE$267,"&lt;&gt;Hủy"),du,COUNTIFS('Lớp 6 - Chi tiết'!$J$14:$J$267,$I18,'Lớp 6 - Chi tiết'!$AE$14:$AE$267,"&lt;&gt;Hủy",'Lớp 6 - Chi tiết'!$AL$14:$AL$267,"&lt;&gt;"),IF(n=0,'Trung tâm nhập liệu'!T163,IF(du&lt;n,"",SUMIFS('Lớp 6 - Chi tiết'!$AL$14:$AL$267,'Lớp 6 - Chi tiết'!$J$14:$J$267,$I18,'Lớp 6 - Chi tiết'!$AE$14:$AE$267,"&lt;&gt;Hủy")))))</f>
        <v>96</v>
      </c>
      <c r="AJ18" s="468">
        <f>IF(I18="","",IF(OR(AB18="Hoàn thành",AB18="Hủy"),"",IF(COUNTIFS('Lớp 6 - Chi tiết'!$J$14:$J$267,I18,'Lớp 6 - Chi tiết'!$AE$14:$AE$267,"&lt;&gt;Hủy")&gt;0,"",IF(AS18="Ngày",AT18,IF(AS18="Tuần",AT18/5,"")))))</f>
        <v>6.4</v>
      </c>
      <c r="AK18" s="477" t="str">
        <f>IF(AM18="Chưa xếp lịch","Chưa xếp lịch",IF(AM18="Định kỳ",IF(AN18="","Thiếu chu kỳ","Theo chu kỳ"),IF(AM18="Khi phát sinh",IF(COUNTIFS('Lớp 6 - Chi tiết'!$J$14:$J$267,$I18,'Lớp 6 - Chi tiết'!$AE$14:$AE$267,"&lt;&gt;Hủy")=0,"Khi phát sinh – chờ việc con","Khi phát sinh – theo ngày con"),IF(I18="","",LET(n,COUNTIFS('Lớp 6 - Chi tiết'!$J$14:$J$267,$I18,'Lớp 6 - Chi tiết'!$AE$14:$AE$267,"&lt;&gt;Hủy"),cs,IFERROR(MINIFS('Lớp 6 - Chi tiết'!$AG$14:$AG$267,'Lớp 6 - Chi tiết'!$J$14:$J$267,$I18,'Lớp 6 - Chi tiết'!$AE$14:$AE$267,"&lt;&gt;Hủy",'Lớp 6 - Chi tiết'!$AG$14:$AG$267,"&gt;0"),0),ce,IFERROR(MAXIFS('Lớp 6 - Chi tiết'!$AH$14:$AH$267,'Lớp 6 - Chi tiết'!$J$14:$J$267,$I18,'Lớp 6 - Chi tiết'!$AE$14:$AE$267,"&lt;&gt;Hủy",'Lớp 6 - Chi tiết'!$AH$14:$AH$267,"&gt;0"),0),ps,'Trung tâm nhập liệu'!R163,pe,'Trung tâm nhập liệu'!Q163,IF(OR(AD18="",AE18=""),"Thiếu ngày L5",IF(n=0,"Chưa có L6",IF(OR(cs=0,ce=0),"Thiếu ngày L6",IF(OR(ps="",pe=""),"Thiếu ngày kế hoạch gốc L5",IF(OR(cs&lt;ps,ce&gt;pe),"Cảnh báo: Con vượt khung kế hoạch gốc","L6 đúng khung kế hoạch gốc"))))))))))</f>
        <v>Chưa có L6</v>
      </c>
      <c r="AL18" s="465" t="str">
        <f>IF(OR(AV18="Thiếu tham số phân bổ",AV18="Phân bổ phải &gt; 0"),AV18,SWITCH(AM18,"Chưa xếp lịch","Chưa tính tải","Định kỳ","Theo chu kỳ","Khi phát sinh","Khi phát sinh",IF(I18="","",IF(OR(AB18="Hoàn thành",AB18="Hủy"),AB18,IF(COUNTIFS('Lớp 6 - Chi tiết'!$J$14:$J$267,I18,'Lớp 6 - Chi tiết'!$AE$14:$AE$267,"&lt;&gt;Hủy")&gt;0,"Theo dõi tải tại Lớp 6",IF(AI18="","Chưa nhập khối lượng",IF(AA18="","Thiếu người thực hiện",IF(OR(AD18="",AE18=""),"Chưa nhập đủ thời gian",IF(AH18&lt;0,"Quá hạn – còn "&amp;TEXT(MAX(0,AI18*(1-AG18)),"0.0")&amp;" giờ",LET(bd,MAX(TODAY(),AD18),kt,AE18,nguoi,AA18,tai,SUMIFS('Lớp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20.8/8.0 giờ/ngày</v>
      </c>
      <c r="AM18" s="467" t="str">
        <f>'Trung tâm nhập liệu'!O163</f>
        <v>Có thời hạn</v>
      </c>
      <c r="AN18" s="469" t="str">
        <f>'Trung tâm nhập liệu'!P163</f>
        <v/>
      </c>
      <c r="AO18" s="470" t="str">
        <f>'Trung tâm nhập liệu'!S163</f>
        <v/>
      </c>
      <c r="AP18" s="470" t="str">
        <f>'Trung tâm nhập liệu'!X163</f>
        <v/>
      </c>
      <c r="AQ18" s="471" t="str">
        <f t="shared" si="18"/>
        <v/>
      </c>
      <c r="AR18" s="469" t="str">
        <f t="shared" si="19"/>
        <v/>
      </c>
      <c r="AS18" s="475" t="str">
        <f>'Trung tâm nhập liệu'!V163</f>
        <v>Tuần</v>
      </c>
      <c r="AT18" s="476">
        <f>'Trung tâm nhập liệu'!W163</f>
        <v>32</v>
      </c>
      <c r="AU18" s="478">
        <f>IF(AM18&lt;&gt;"Có thời hạn","",IF(OR(I18="",AI18="",AB18="Hoàn thành",AB18="Hủy",COUNTIFS('Lớp 6 - Chi tiết'!$J$14:$J$267,I18,'Lớp 6 - Chi tiết'!$AE$14:$AE$267,"&lt;&gt;Hủy")&gt;0),"",LET(canNgay,MAX(0,AI18*(1-AG18))/MAX(1,AH18),IF(AS18="Ngày",canNgay,IF(AS18="Tuần",canNgay*5,"")))))</f>
        <v>16</v>
      </c>
      <c r="AV18" s="465" t="str">
        <f>IF(I18="","",IF(COUNTIFS('Lớp 6 - Chi tiết'!$J$14:$J$267,I18,'Lớp 6 - Chi tiết'!$AE$14:$AE$267,"&lt;&gt;Hủy")&gt;0,"Theo dõi phân bổ tại Lớp 6",IF(OR(AB18="Hoàn thành",AB18="Hủy"),AB18,IF(AI18="","Thiếu tổng giờ",IF(OR(AS18="",AT18=""),"Thiếu tham số phân bổ",IF(AT18&lt;=0,"Phân bổ phải &gt; 0",IF(AM18&lt;&gt;"Có thời hạn","Đã có phân bổ",IF(AU18="","Chưa đủ dữ liệu hạn",IF(AT18&gt;=AU18,"Đủ phân bổ theo "&amp;LOWER(AS18),"Thiếu "&amp;TEXT(AU18-AT18,"0.0")&amp;" giờ/"&amp;LOWER(AS18))))))))))</f>
        <v>Đủ phân bổ theo tuần</v>
      </c>
      <c r="AW18" s="465" t="str">
        <f t="shared" si="20"/>
        <v>OK</v>
      </c>
      <c r="AX18" s="479" t="str">
        <f>'Trung tâm nhập liệu'!Y163</f>
        <v/>
      </c>
    </row>
    <row r="19" ht="15.75" customHeight="1">
      <c r="A19" s="424">
        <f t="shared" si="11"/>
        <v>6</v>
      </c>
      <c r="B19" s="572" t="str">
        <f>'Trung tâm nhập liệu'!F164</f>
        <v>XD &amp; phản biện công thức (nội bộ) MT</v>
      </c>
      <c r="C19" s="591" t="str">
        <f>'Trung tâm nhập liệu'!M164</f>
        <v>P1</v>
      </c>
      <c r="D19" s="592">
        <f t="shared" ref="D19:E19" si="30">AG19</f>
        <v>0</v>
      </c>
      <c r="E19" s="593">
        <f t="shared" si="30"/>
        <v>10</v>
      </c>
      <c r="F19" s="575">
        <f t="shared" ref="F19:G19" si="31">U19</f>
        <v>46290</v>
      </c>
      <c r="G19" s="575">
        <f t="shared" si="31"/>
        <v>46280</v>
      </c>
      <c r="H19" s="576" t="str">
        <f>IF(B19="","",IF(COUNTIF('Lớp 6 - Chi tiết'!$J$14:$J$267,I19)&gt;0,"Có","Không"))</f>
        <v>Không</v>
      </c>
      <c r="I19" s="577" t="str">
        <f>'Trung tâm nhập liệu'!B164</f>
        <v>HHL5DL02-01</v>
      </c>
      <c r="J19" s="577" t="str">
        <f>'Trung tâm nhập liệu'!D164</f>
        <v>HHL4DL02</v>
      </c>
      <c r="K19" s="597" t="str">
        <f t="array" ref="K19">IFERROR(INDEX('Lớp 4 - Danh mục'!$J$14:$J$132,MATCH(J19,'Lớp 4 - Danh mục'!$I$14:$I$132,0)),"")</f>
        <v>HHL3CT03</v>
      </c>
      <c r="L19" s="598">
        <f t="array" ref="L19">IFERROR(INDEX('Lớp 4 - Danh mục'!$K$14:$K$132,MATCH(J19,'Lớp 4 - Danh mục'!$I$14:$I$132,0)),"")</f>
        <v>2026</v>
      </c>
      <c r="M19" s="438" t="str">
        <f t="array" ref="M19">IFERROR(INDEX('Lớp 4 - Danh mục'!$L$14:$L$132,MATCH(J19,'Lớp 4 - Danh mục'!$I$14:$I$132,0)),"")</f>
        <v>Cấp công ty</v>
      </c>
      <c r="N19" s="597" t="str">
        <f t="array" ref="N19">IFERROR(INDEX('Lớp 4 - Danh mục'!$M$14:$M$132,MATCH(J19,'Lớp 4 - Danh mục'!$I$14:$I$132,0)),"")</f>
        <v>Chiến lược/sống còn</v>
      </c>
      <c r="O19" s="597" t="str">
        <f t="array" ref="O19">IFERROR(INDEX('Lớp 4 - Danh mục'!$N$14:$N$132,MATCH(J19,'Lớp 4 - Danh mục'!$I$14:$I$132,0)),"")</f>
        <v>KHKD 2027&amp; HT lập KH theo tham số KD (bán tự động)</v>
      </c>
      <c r="P19" s="597" t="str">
        <f t="array" ref="P19">IFERROR(INDEX('Lớp 4 - Danh mục'!$O$14:$O$132,MATCH(J19,'Lớp 4 - Danh mục'!$I$14:$I$132,0)),"")</f>
        <v>Xây dựng công thức &amp; tạo HT tham số cho KH MT</v>
      </c>
      <c r="Q19" s="581" t="str">
        <f t="shared" ref="Q19:T19" si="32">B19</f>
        <v>XD &amp; phản biện công thức (nội bộ) MT</v>
      </c>
      <c r="R19" s="420" t="str">
        <f t="shared" si="32"/>
        <v>P1</v>
      </c>
      <c r="S19" s="582">
        <f t="shared" si="32"/>
        <v>0</v>
      </c>
      <c r="T19" s="583">
        <f t="shared" si="32"/>
        <v>10</v>
      </c>
      <c r="U19" s="584">
        <f>IF($I19="","",LET(n,COUNTIFS('Lớp 6 - Chi tiết'!$J$14:$J$267,$I19,'Lớp 6 - Chi tiết'!$AE$14:$AE$267,"&lt;&gt;Hủy"),child,IFERROR(MAXIFS('Lớp 6 - Chi tiết'!$AH$14:$AH$267,'Lớp 6 - Chi tiết'!$J$14:$J$267,$I19,'Lớp 6 - Chi tiết'!$AE$14:$AE$267,"&lt;&gt;Hủy",'Lớp 6 - Chi tiết'!$AH$14:$AH$267,"&gt;0"),0),plan,'Trung tâm nhập liệu'!Q164,emergent,LOWER(TRIM('Trung tâm nhập liệu'!O164))="khi phát sinh",IF(n=0,IF(emergent,"",plan),IF(child=0,IF(emergent,"",plan),IF(OR(emergent,plan=""),child,MAX(plan,child))))))</f>
        <v>46290</v>
      </c>
      <c r="V19" s="584">
        <f>IF($I19="","",LET(n,COUNTIFS('Lớp 6 - Chi tiết'!$J$14:$J$267,$I19,'Lớp 6 - Chi tiết'!$AE$14:$AE$267,"&lt;&gt;Hủy"),child,IFERROR(MINIFS('Lớp 6 - Chi tiết'!$AG$14:$AG$267,'Lớp 6 - Chi tiết'!$J$14:$J$267,$I19,'Lớp 6 - Chi tiết'!$AE$14:$AE$267,"&lt;&gt;Hủy",'Lớp 6 - Chi tiết'!$AG$14:$AG$267,"&gt;0"),0),plan,'Trung tâm nhập liệu'!R164,emergent,LOWER(TRIM('Trung tâm nhập liệu'!O164))="khi phát sinh",IF(n=0,IF(emergent,"",plan),IF(child=0,IF(emergent,"",plan),IF(OR(emergent,plan=""),child,MIN(plan,child))))))</f>
        <v>46280</v>
      </c>
      <c r="W19" s="577" t="str">
        <f t="shared" si="15"/>
        <v>Không</v>
      </c>
      <c r="X19" s="577" t="str">
        <f>'Trung tâm nhập liệu'!G164</f>
        <v>Bộ công thức kế hoạch MT </v>
      </c>
      <c r="Y19" s="585" t="str">
        <f>'Trung tâm nhập liệu'!H164</f>
        <v/>
      </c>
      <c r="Z19" s="586" t="str">
        <f t="array" ref="Z19">IFERROR(INDEX('Lớp 4 - Danh mục'!$X$14:$X$132,MATCH(J19,'Lớp 4 - Danh mục'!$I$14:$I$132,0)),"")</f>
        <v>Dữ liệu điều hành</v>
      </c>
      <c r="AA19" s="577" t="str">
        <f>'Trung tâm nhập liệu'!K164</f>
        <v>Em Đại</v>
      </c>
      <c r="AB19" s="572" t="str">
        <f>'Trung tâm nhập liệu'!L164</f>
        <v>Chưa bắt đầu</v>
      </c>
      <c r="AC19" s="420" t="str">
        <f>'Trung tâm nhập liệu'!M164</f>
        <v>P1</v>
      </c>
      <c r="AD19" s="584">
        <f t="shared" si="16"/>
        <v>46280</v>
      </c>
      <c r="AE19" s="584">
        <f t="shared" si="17"/>
        <v>46290</v>
      </c>
      <c r="AF19" s="587">
        <f>IF(AM19&lt;&gt;"Có thời hạn","",IF(OR(AD19="",AE19=""),"",IF(AE19&lt;AD19,"",_xlfn.NETWORKDAYS.INTL(AD19,AE19,11,'Ngày nghỉ lễ'!$A$5:$A$80))))</f>
        <v>10</v>
      </c>
      <c r="AG19" s="588">
        <f>IF(I19="","",IF(L19="Công việc khác","",IF(OR(AB19="Chưa lên lịch",AB19="Đã lên lịch",AB19="Hủy"),"",IF(COUNTIFS('Lớp 6 - Chi tiết'!$J$14:$J$267,I19,'Lớp 6 - Chi tiết'!$AE$14:$AE$267,"&lt;&gt;",'Lớp 6 - Chi tiết'!$AE$14:$AE$267,"&lt;&gt;Hủy",'Lớp 6 - Chi tiết'!$AE$14:$AE$267,"&lt;&gt;Chưa lên lịch",'Lớp 6 - Chi tiết'!$AE$14:$AE$267,"&lt;&gt;Đã lên lịch")&gt;0,SUMIFS('Lớp 6 - Chi tiết'!$AJ$14:$AJ$267,'Lớp 6 - Chi tiết'!$J$14:$J$267,I19,'Lớp 6 - Chi tiết'!$AE$14:$AE$267,"&lt;&gt;",'Lớp 6 - Chi tiết'!$AE$14:$AE$267,"&lt;&gt;Hủy",'Lớp 6 - Chi tiết'!$AE$14:$AE$267,"&lt;&gt;Chưa lên lịch",'Lớp 6 - Chi tiết'!$AE$14:$AE$267,"&lt;&gt;Đã lên lịch")/COUNTIFS('Lớp 6 - Chi tiết'!$J$14:$J$267,I19,'Lớp 6 - Chi tiết'!$AE$14:$AE$267,"&lt;&gt;",'Lớp 6 - Chi tiết'!$AE$14:$AE$267,"&lt;&gt;Hủy",'Lớp 6 - Chi tiết'!$AE$14:$AE$267,"&lt;&gt;Chưa lên lịch",'Lớp 6 - Chi tiết'!$AE$14:$AE$267,"&lt;&gt;Đã lên lịch"),IF(AB19="Hoàn thành",1,0)))))</f>
        <v>0</v>
      </c>
      <c r="AH19" s="587">
        <f>IF(AM19&lt;&gt;"Có thời hạn","",IF(OR(I19="",AD19="",AE19=""),"",IF(OR(AB19="Hoàn thành",AB19="Hủy"),0,IF(AE19&lt;TODAY(),-_xlfn.NETWORKDAYS.INTL(AE19,TODAY()-1,11,'Ngày nghỉ lễ'!$A$5:$A$80),MAX(0,_xlfn.NETWORKDAYS.INTL(MAX(TODAY()+1,AD19),AE19,11,'Ngày nghỉ lễ'!$A$5:$A$80))))))</f>
        <v>10</v>
      </c>
      <c r="AI19" s="589">
        <f>IF($I19="","",LET(n,COUNTIFS('Lớp 6 - Chi tiết'!$J$14:$J$267,$I19,'Lớp 6 - Chi tiết'!$AE$14:$AE$267,"&lt;&gt;Hủy"),du,COUNTIFS('Lớp 6 - Chi tiết'!$J$14:$J$267,$I19,'Lớp 6 - Chi tiết'!$AE$14:$AE$267,"&lt;&gt;Hủy",'Lớp 6 - Chi tiết'!$AL$14:$AL$267,"&lt;&gt;"),IF(n=0,'Trung tâm nhập liệu'!T164,IF(du&lt;n,"",SUMIFS('Lớp 6 - Chi tiết'!$AL$14:$AL$267,'Lớp 6 - Chi tiết'!$J$14:$J$267,$I19,'Lớp 6 - Chi tiết'!$AE$14:$AE$267,"&lt;&gt;Hủy")))))</f>
        <v>16</v>
      </c>
      <c r="AJ19" s="468">
        <f>IF(I19="","",IF(OR(AB19="Hoàn thành",AB19="Hủy"),"",IF(COUNTIFS('Lớp 6 - Chi tiết'!$J$14:$J$267,I19,'Lớp 6 - Chi tiết'!$AE$14:$AE$267,"&lt;&gt;Hủy")&gt;0,"",IF(AS19="Ngày",AT19,IF(AS19="Tuần",AT19/5,"")))))</f>
        <v>0.8</v>
      </c>
      <c r="AK19" s="477" t="str">
        <f>IF(AM19="Chưa xếp lịch","Chưa xếp lịch",IF(AM19="Định kỳ",IF(AN19="","Thiếu chu kỳ","Theo chu kỳ"),IF(AM19="Khi phát sinh",IF(COUNTIFS('Lớp 6 - Chi tiết'!$J$14:$J$267,$I19,'Lớp 6 - Chi tiết'!$AE$14:$AE$267,"&lt;&gt;Hủy")=0,"Khi phát sinh – chờ việc con","Khi phát sinh – theo ngày con"),IF(I19="","",LET(n,COUNTIFS('Lớp 6 - Chi tiết'!$J$14:$J$267,$I19,'Lớp 6 - Chi tiết'!$AE$14:$AE$267,"&lt;&gt;Hủy"),cs,IFERROR(MINIFS('Lớp 6 - Chi tiết'!$AG$14:$AG$267,'Lớp 6 - Chi tiết'!$J$14:$J$267,$I19,'Lớp 6 - Chi tiết'!$AE$14:$AE$267,"&lt;&gt;Hủy",'Lớp 6 - Chi tiết'!$AG$14:$AG$267,"&gt;0"),0),ce,IFERROR(MAXIFS('Lớp 6 - Chi tiết'!$AH$14:$AH$267,'Lớp 6 - Chi tiết'!$J$14:$J$267,$I19,'Lớp 6 - Chi tiết'!$AE$14:$AE$267,"&lt;&gt;Hủy",'Lớp 6 - Chi tiết'!$AH$14:$AH$267,"&gt;0"),0),ps,'Trung tâm nhập liệu'!R164,pe,'Trung tâm nhập liệu'!Q164,IF(OR(AD19="",AE19=""),"Thiếu ngày L5",IF(n=0,"Chưa có L6",IF(OR(cs=0,ce=0),"Thiếu ngày L6",IF(OR(ps="",pe=""),"Thiếu ngày kế hoạch gốc L5",IF(OR(cs&lt;ps,ce&gt;pe),"Cảnh báo: Con vượt khung kế hoạch gốc","L6 đúng khung kế hoạch gốc"))))))))))</f>
        <v>Chưa có L6</v>
      </c>
      <c r="AL19" s="465" t="str">
        <f>IF(OR(AV19="Thiếu tham số phân bổ",AV19="Phân bổ phải &gt; 0"),AV19,SWITCH(AM19,"Chưa xếp lịch","Chưa tính tải","Định kỳ","Theo chu kỳ","Khi phát sinh","Khi phát sinh",IF(I19="","",IF(OR(AB19="Hoàn thành",AB19="Hủy"),AB19,IF(COUNTIFS('Lớp 6 - Chi tiết'!$J$14:$J$267,I19,'Lớp 6 - Chi tiết'!$AE$14:$AE$267,"&lt;&gt;Hủy")&gt;0,"Theo dõi tải tại Lớp 6",IF(AI19="","Chưa nhập khối lượng",IF(AA19="","Thiếu người thực hiện",IF(OR(AD19="",AE19=""),"Chưa nhập đủ thời gian",IF(AH19&lt;0,"Quá hạn – còn "&amp;TEXT(MAX(0,AI19*(1-AG19)),"0.0")&amp;" giờ",LET(bd,MAX(TODAY(),AD19),kt,AE19,nguoi,AA19,tai,SUMIFS('Lớp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11.2/8.0 giờ/ngày</v>
      </c>
      <c r="AM19" s="467" t="str">
        <f>'Trung tâm nhập liệu'!O164</f>
        <v>Có thời hạn</v>
      </c>
      <c r="AN19" s="469" t="str">
        <f>'Trung tâm nhập liệu'!P164</f>
        <v/>
      </c>
      <c r="AO19" s="470" t="str">
        <f>'Trung tâm nhập liệu'!S164</f>
        <v/>
      </c>
      <c r="AP19" s="470" t="str">
        <f>'Trung tâm nhập liệu'!X164</f>
        <v/>
      </c>
      <c r="AQ19" s="471" t="str">
        <f t="shared" si="18"/>
        <v/>
      </c>
      <c r="AR19" s="469" t="str">
        <f t="shared" si="19"/>
        <v/>
      </c>
      <c r="AS19" s="475" t="str">
        <f>'Trung tâm nhập liệu'!V164</f>
        <v>Tuần</v>
      </c>
      <c r="AT19" s="476">
        <f>'Trung tâm nhập liệu'!W164</f>
        <v>4</v>
      </c>
      <c r="AU19" s="478">
        <f>IF(AM19&lt;&gt;"Có thời hạn","",IF(OR(I19="",AI19="",AB19="Hoàn thành",AB19="Hủy",COUNTIFS('Lớp 6 - Chi tiết'!$J$14:$J$267,I19,'Lớp 6 - Chi tiết'!$AE$14:$AE$267,"&lt;&gt;Hủy")&gt;0),"",LET(canNgay,MAX(0,AI19*(1-AG19))/MAX(1,AH19),IF(AS19="Ngày",canNgay,IF(AS19="Tuần",canNgay*5,"")))))</f>
        <v>8</v>
      </c>
      <c r="AV19" s="465" t="str">
        <f>IF(I19="","",IF(COUNTIFS('Lớp 6 - Chi tiết'!$J$14:$J$267,I19,'Lớp 6 - Chi tiết'!$AE$14:$AE$267,"&lt;&gt;Hủy")&gt;0,"Theo dõi phân bổ tại Lớp 6",IF(OR(AB19="Hoàn thành",AB19="Hủy"),AB19,IF(AI19="","Thiếu tổng giờ",IF(OR(AS19="",AT19=""),"Thiếu tham số phân bổ",IF(AT19&lt;=0,"Phân bổ phải &gt; 0",IF(AM19&lt;&gt;"Có thời hạn","Đã có phân bổ",IF(AU19="","Chưa đủ dữ liệu hạn",IF(AT19&gt;=AU19,"Đủ phân bổ theo "&amp;LOWER(AS19),"Thiếu "&amp;TEXT(AU19-AT19,"0.0")&amp;" giờ/"&amp;LOWER(AS19))))))))))</f>
        <v>Thiếu 4.0 giờ/tuần</v>
      </c>
      <c r="AW19" s="465" t="str">
        <f t="shared" si="20"/>
        <v>Chưa đến ngày bắt đầu – nên Đã lên lịch</v>
      </c>
      <c r="AX19" s="479" t="str">
        <f>'Trung tâm nhập liệu'!Y164</f>
        <v/>
      </c>
    </row>
    <row r="20" ht="15.75" customHeight="1">
      <c r="A20" s="424">
        <f t="shared" si="11"/>
        <v>7</v>
      </c>
      <c r="B20" s="572" t="str">
        <f>'Trung tâm nhập liệu'!F165</f>
        <v>Phản biện với TGĐ &amp; liên PB MT</v>
      </c>
      <c r="C20" s="591" t="str">
        <f>'Trung tâm nhập liệu'!M165</f>
        <v>P1</v>
      </c>
      <c r="D20" s="592">
        <f t="shared" ref="D20:E20" si="33">AG20</f>
        <v>0</v>
      </c>
      <c r="E20" s="593">
        <f t="shared" si="33"/>
        <v>8</v>
      </c>
      <c r="F20" s="575">
        <f t="shared" ref="F20:G20" si="34">U20</f>
        <v>46300</v>
      </c>
      <c r="G20" s="575">
        <f t="shared" si="34"/>
        <v>46291</v>
      </c>
      <c r="H20" s="576" t="str">
        <f>IF(B20="","",IF(COUNTIF('Lớp 6 - Chi tiết'!$J$14:$J$267,I20)&gt;0,"Có","Không"))</f>
        <v>Không</v>
      </c>
      <c r="I20" s="577" t="str">
        <f>'Trung tâm nhập liệu'!B165</f>
        <v>HHL5DL02-02</v>
      </c>
      <c r="J20" s="577" t="str">
        <f>'Trung tâm nhập liệu'!D165</f>
        <v>HHL4DL02</v>
      </c>
      <c r="K20" s="597" t="str">
        <f t="array" ref="K20">IFERROR(INDEX('Lớp 4 - Danh mục'!$J$14:$J$132,MATCH(J20,'Lớp 4 - Danh mục'!$I$14:$I$132,0)),"")</f>
        <v>HHL3CT03</v>
      </c>
      <c r="L20" s="598">
        <f t="array" ref="L20">IFERROR(INDEX('Lớp 4 - Danh mục'!$K$14:$K$132,MATCH(J20,'Lớp 4 - Danh mục'!$I$14:$I$132,0)),"")</f>
        <v>2026</v>
      </c>
      <c r="M20" s="438" t="str">
        <f t="array" ref="M20">IFERROR(INDEX('Lớp 4 - Danh mục'!$L$14:$L$132,MATCH(J20,'Lớp 4 - Danh mục'!$I$14:$I$132,0)),"")</f>
        <v>Cấp công ty</v>
      </c>
      <c r="N20" s="597" t="str">
        <f t="array" ref="N20">IFERROR(INDEX('Lớp 4 - Danh mục'!$M$14:$M$132,MATCH(J20,'Lớp 4 - Danh mục'!$I$14:$I$132,0)),"")</f>
        <v>Chiến lược/sống còn</v>
      </c>
      <c r="O20" s="597" t="str">
        <f t="array" ref="O20">IFERROR(INDEX('Lớp 4 - Danh mục'!$N$14:$N$132,MATCH(J20,'Lớp 4 - Danh mục'!$I$14:$I$132,0)),"")</f>
        <v>KHKD 2027&amp; HT lập KH theo tham số KD (bán tự động)</v>
      </c>
      <c r="P20" s="597" t="str">
        <f t="array" ref="P20">IFERROR(INDEX('Lớp 4 - Danh mục'!$O$14:$O$132,MATCH(J20,'Lớp 4 - Danh mục'!$I$14:$I$132,0)),"")</f>
        <v>Xây dựng công thức &amp; tạo HT tham số cho KH MT</v>
      </c>
      <c r="Q20" s="581" t="str">
        <f t="shared" ref="Q20:T20" si="35">B20</f>
        <v>Phản biện với TGĐ &amp; liên PB MT</v>
      </c>
      <c r="R20" s="420" t="str">
        <f t="shared" si="35"/>
        <v>P1</v>
      </c>
      <c r="S20" s="582">
        <f t="shared" si="35"/>
        <v>0</v>
      </c>
      <c r="T20" s="583">
        <f t="shared" si="35"/>
        <v>8</v>
      </c>
      <c r="U20" s="584">
        <f>IF($I20="","",LET(n,COUNTIFS('Lớp 6 - Chi tiết'!$J$14:$J$267,$I20,'Lớp 6 - Chi tiết'!$AE$14:$AE$267,"&lt;&gt;Hủy"),child,IFERROR(MAXIFS('Lớp 6 - Chi tiết'!$AH$14:$AH$267,'Lớp 6 - Chi tiết'!$J$14:$J$267,$I20,'Lớp 6 - Chi tiết'!$AE$14:$AE$267,"&lt;&gt;Hủy",'Lớp 6 - Chi tiết'!$AH$14:$AH$267,"&gt;0"),0),plan,'Trung tâm nhập liệu'!Q165,emergent,LOWER(TRIM('Trung tâm nhập liệu'!O165))="khi phát sinh",IF(n=0,IF(emergent,"",plan),IF(child=0,IF(emergent,"",plan),IF(OR(emergent,plan=""),child,MAX(plan,child))))))</f>
        <v>46300</v>
      </c>
      <c r="V20" s="584">
        <f>IF($I20="","",LET(n,COUNTIFS('Lớp 6 - Chi tiết'!$J$14:$J$267,$I20,'Lớp 6 - Chi tiết'!$AE$14:$AE$267,"&lt;&gt;Hủy"),child,IFERROR(MINIFS('Lớp 6 - Chi tiết'!$AG$14:$AG$267,'Lớp 6 - Chi tiết'!$J$14:$J$267,$I20,'Lớp 6 - Chi tiết'!$AE$14:$AE$267,"&lt;&gt;Hủy",'Lớp 6 - Chi tiết'!$AG$14:$AG$267,"&gt;0"),0),plan,'Trung tâm nhập liệu'!R165,emergent,LOWER(TRIM('Trung tâm nhập liệu'!O165))="khi phát sinh",IF(n=0,IF(emergent,"",plan),IF(child=0,IF(emergent,"",plan),IF(OR(emergent,plan=""),child,MIN(plan,child))))))</f>
        <v>46291</v>
      </c>
      <c r="W20" s="577" t="str">
        <f t="shared" si="15"/>
        <v>Không</v>
      </c>
      <c r="X20" s="577" t="str">
        <f>'Trung tâm nhập liệu'!G165</f>
        <v>Biên bản phản biện công thức MT và danh mục điều chỉnh được thống nhất.</v>
      </c>
      <c r="Y20" s="585" t="str">
        <f>'Trung tâm nhập liệu'!H165</f>
        <v/>
      </c>
      <c r="Z20" s="586" t="str">
        <f t="array" ref="Z20">IFERROR(INDEX('Lớp 4 - Danh mục'!$X$14:$X$132,MATCH(J20,'Lớp 4 - Danh mục'!$I$14:$I$132,0)),"")</f>
        <v>Dữ liệu điều hành</v>
      </c>
      <c r="AA20" s="577" t="str">
        <f>'Trung tâm nhập liệu'!K165</f>
        <v>Em Đại</v>
      </c>
      <c r="AB20" s="572" t="str">
        <f>'Trung tâm nhập liệu'!L165</f>
        <v>Chưa bắt đầu</v>
      </c>
      <c r="AC20" s="420" t="str">
        <f>'Trung tâm nhập liệu'!M165</f>
        <v>P1</v>
      </c>
      <c r="AD20" s="584">
        <f t="shared" si="16"/>
        <v>46291</v>
      </c>
      <c r="AE20" s="584">
        <f t="shared" si="17"/>
        <v>46300</v>
      </c>
      <c r="AF20" s="587">
        <f>IF(AM20&lt;&gt;"Có thời hạn","",IF(OR(AD20="",AE20=""),"",IF(AE20&lt;AD20,"",_xlfn.NETWORKDAYS.INTL(AD20,AE20,11,'Ngày nghỉ lễ'!$A$5:$A$80))))</f>
        <v>8</v>
      </c>
      <c r="AG20" s="588">
        <f>IF(I20="","",IF(L20="Công việc khác","",IF(OR(AB20="Chưa lên lịch",AB20="Đã lên lịch",AB20="Hủy"),"",IF(COUNTIFS('Lớp 6 - Chi tiết'!$J$14:$J$267,I20,'Lớp 6 - Chi tiết'!$AE$14:$AE$267,"&lt;&gt;",'Lớp 6 - Chi tiết'!$AE$14:$AE$267,"&lt;&gt;Hủy",'Lớp 6 - Chi tiết'!$AE$14:$AE$267,"&lt;&gt;Chưa lên lịch",'Lớp 6 - Chi tiết'!$AE$14:$AE$267,"&lt;&gt;Đã lên lịch")&gt;0,SUMIFS('Lớp 6 - Chi tiết'!$AJ$14:$AJ$267,'Lớp 6 - Chi tiết'!$J$14:$J$267,I20,'Lớp 6 - Chi tiết'!$AE$14:$AE$267,"&lt;&gt;",'Lớp 6 - Chi tiết'!$AE$14:$AE$267,"&lt;&gt;Hủy",'Lớp 6 - Chi tiết'!$AE$14:$AE$267,"&lt;&gt;Chưa lên lịch",'Lớp 6 - Chi tiết'!$AE$14:$AE$267,"&lt;&gt;Đã lên lịch")/COUNTIFS('Lớp 6 - Chi tiết'!$J$14:$J$267,I20,'Lớp 6 - Chi tiết'!$AE$14:$AE$267,"&lt;&gt;",'Lớp 6 - Chi tiết'!$AE$14:$AE$267,"&lt;&gt;Hủy",'Lớp 6 - Chi tiết'!$AE$14:$AE$267,"&lt;&gt;Chưa lên lịch",'Lớp 6 - Chi tiết'!$AE$14:$AE$267,"&lt;&gt;Đã lên lịch"),IF(AB20="Hoàn thành",1,0)))))</f>
        <v>0</v>
      </c>
      <c r="AH20" s="587">
        <f>IF(AM20&lt;&gt;"Có thời hạn","",IF(OR(I20="",AD20="",AE20=""),"",IF(OR(AB20="Hoàn thành",AB20="Hủy"),0,IF(AE20&lt;TODAY(),-_xlfn.NETWORKDAYS.INTL(AE20,TODAY()-1,11,'Ngày nghỉ lễ'!$A$5:$A$80),MAX(0,_xlfn.NETWORKDAYS.INTL(MAX(TODAY()+1,AD20),AE20,11,'Ngày nghỉ lễ'!$A$5:$A$80))))))</f>
        <v>8</v>
      </c>
      <c r="AI20" s="589">
        <f>IF($I20="","",LET(n,COUNTIFS('Lớp 6 - Chi tiết'!$J$14:$J$267,$I20,'Lớp 6 - Chi tiết'!$AE$14:$AE$267,"&lt;&gt;Hủy"),du,COUNTIFS('Lớp 6 - Chi tiết'!$J$14:$J$267,$I20,'Lớp 6 - Chi tiết'!$AE$14:$AE$267,"&lt;&gt;Hủy",'Lớp 6 - Chi tiết'!$AL$14:$AL$267,"&lt;&gt;"),IF(n=0,'Trung tâm nhập liệu'!T165,IF(du&lt;n,"",SUMIFS('Lớp 6 - Chi tiết'!$AL$14:$AL$267,'Lớp 6 - Chi tiết'!$J$14:$J$267,$I20,'Lớp 6 - Chi tiết'!$AE$14:$AE$267,"&lt;&gt;Hủy")))))</f>
        <v>8</v>
      </c>
      <c r="AJ20" s="468">
        <f>IF(I20="","",IF(OR(AB20="Hoàn thành",AB20="Hủy"),"",IF(COUNTIFS('Lớp 6 - Chi tiết'!$J$14:$J$267,I20,'Lớp 6 - Chi tiết'!$AE$14:$AE$267,"&lt;&gt;Hủy")&gt;0,"",IF(AS20="Ngày",AT20,IF(AS20="Tuần",AT20/5,"")))))</f>
        <v>0.8</v>
      </c>
      <c r="AK20" s="477" t="str">
        <f>IF(AM20="Chưa xếp lịch","Chưa xếp lịch",IF(AM20="Định kỳ",IF(AN20="","Thiếu chu kỳ","Theo chu kỳ"),IF(AM20="Khi phát sinh",IF(COUNTIFS('Lớp 6 - Chi tiết'!$J$14:$J$267,$I20,'Lớp 6 - Chi tiết'!$AE$14:$AE$267,"&lt;&gt;Hủy")=0,"Khi phát sinh – chờ việc con","Khi phát sinh – theo ngày con"),IF(I20="","",LET(n,COUNTIFS('Lớp 6 - Chi tiết'!$J$14:$J$267,$I20,'Lớp 6 - Chi tiết'!$AE$14:$AE$267,"&lt;&gt;Hủy"),cs,IFERROR(MINIFS('Lớp 6 - Chi tiết'!$AG$14:$AG$267,'Lớp 6 - Chi tiết'!$J$14:$J$267,$I20,'Lớp 6 - Chi tiết'!$AE$14:$AE$267,"&lt;&gt;Hủy",'Lớp 6 - Chi tiết'!$AG$14:$AG$267,"&gt;0"),0),ce,IFERROR(MAXIFS('Lớp 6 - Chi tiết'!$AH$14:$AH$267,'Lớp 6 - Chi tiết'!$J$14:$J$267,$I20,'Lớp 6 - Chi tiết'!$AE$14:$AE$267,"&lt;&gt;Hủy",'Lớp 6 - Chi tiết'!$AH$14:$AH$267,"&gt;0"),0),ps,'Trung tâm nhập liệu'!R165,pe,'Trung tâm nhập liệu'!Q165,IF(OR(AD20="",AE20=""),"Thiếu ngày L5",IF(n=0,"Chưa có L6",IF(OR(cs=0,ce=0),"Thiếu ngày L6",IF(OR(ps="",pe=""),"Thiếu ngày kế hoạch gốc L5",IF(OR(cs&lt;ps,ce&gt;pe),"Cảnh báo: Con vượt khung kế hoạch gốc","L6 đúng khung kế hoạch gốc"))))))))))</f>
        <v>Chưa có L6</v>
      </c>
      <c r="AL20" s="465" t="str">
        <f>IF(OR(AV20="Thiếu tham số phân bổ",AV20="Phân bổ phải &gt; 0"),AV20,SWITCH(AM20,"Chưa xếp lịch","Chưa tính tải","Định kỳ","Theo chu kỳ","Khi phát sinh","Khi phát sinh",IF(I20="","",IF(OR(AB20="Hoàn thành",AB20="Hủy"),AB20,IF(COUNTIFS('Lớp 6 - Chi tiết'!$J$14:$J$267,I20,'Lớp 6 - Chi tiết'!$AE$14:$AE$267,"&lt;&gt;Hủy")&gt;0,"Theo dõi tải tại Lớp 6",IF(AI20="","Chưa nhập khối lượng",IF(AA20="","Thiếu người thực hiện",IF(OR(AD20="",AE20=""),"Chưa nhập đủ thời gian",IF(AH20&lt;0,"Quá hạn – còn "&amp;TEXT(MAX(0,AI20*(1-AG20)),"0.0")&amp;" giờ",LET(bd,MAX(TODAY(),AD20),kt,AE20,nguoi,AA20,tai,SUMIFS('Lớp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14.4/8.0 giờ/ngày</v>
      </c>
      <c r="AM20" s="467" t="str">
        <f>'Trung tâm nhập liệu'!O165</f>
        <v>Có thời hạn</v>
      </c>
      <c r="AN20" s="469" t="str">
        <f>'Trung tâm nhập liệu'!P165</f>
        <v/>
      </c>
      <c r="AO20" s="470" t="str">
        <f>'Trung tâm nhập liệu'!S165</f>
        <v/>
      </c>
      <c r="AP20" s="470" t="str">
        <f>'Trung tâm nhập liệu'!X165</f>
        <v/>
      </c>
      <c r="AQ20" s="471" t="str">
        <f t="shared" si="18"/>
        <v/>
      </c>
      <c r="AR20" s="469" t="str">
        <f t="shared" si="19"/>
        <v/>
      </c>
      <c r="AS20" s="475" t="str">
        <f>'Trung tâm nhập liệu'!V165</f>
        <v>Tuần</v>
      </c>
      <c r="AT20" s="476">
        <f>'Trung tâm nhập liệu'!W165</f>
        <v>4</v>
      </c>
      <c r="AU20" s="478">
        <f>IF(AM20&lt;&gt;"Có thời hạn","",IF(OR(I20="",AI20="",AB20="Hoàn thành",AB20="Hủy",COUNTIFS('Lớp 6 - Chi tiết'!$J$14:$J$267,I20,'Lớp 6 - Chi tiết'!$AE$14:$AE$267,"&lt;&gt;Hủy")&gt;0),"",LET(canNgay,MAX(0,AI20*(1-AG20))/MAX(1,AH20),IF(AS20="Ngày",canNgay,IF(AS20="Tuần",canNgay*5,"")))))</f>
        <v>5</v>
      </c>
      <c r="AV20" s="465" t="str">
        <f>IF(I20="","",IF(COUNTIFS('Lớp 6 - Chi tiết'!$J$14:$J$267,I20,'Lớp 6 - Chi tiết'!$AE$14:$AE$267,"&lt;&gt;Hủy")&gt;0,"Theo dõi phân bổ tại Lớp 6",IF(OR(AB20="Hoàn thành",AB20="Hủy"),AB20,IF(AI20="","Thiếu tổng giờ",IF(OR(AS20="",AT20=""),"Thiếu tham số phân bổ",IF(AT20&lt;=0,"Phân bổ phải &gt; 0",IF(AM20&lt;&gt;"Có thời hạn","Đã có phân bổ",IF(AU20="","Chưa đủ dữ liệu hạn",IF(AT20&gt;=AU20,"Đủ phân bổ theo "&amp;LOWER(AS20),"Thiếu "&amp;TEXT(AU20-AT20,"0.0")&amp;" giờ/"&amp;LOWER(AS20))))))))))</f>
        <v>Thiếu 1.0 giờ/tuần</v>
      </c>
      <c r="AW20" s="465" t="str">
        <f t="shared" si="20"/>
        <v>Chưa đến ngày bắt đầu – nên Đã lên lịch</v>
      </c>
      <c r="AX20" s="479" t="str">
        <f>'Trung tâm nhập liệu'!Y165</f>
        <v/>
      </c>
    </row>
    <row r="21" ht="15.75" customHeight="1">
      <c r="A21" s="424">
        <f t="shared" si="11"/>
        <v>8</v>
      </c>
      <c r="B21" s="572" t="str">
        <f>'Trung tâm nhập liệu'!F166</f>
        <v>XD bảng Excel &amp; HT phần mềm (chạy demo) MT</v>
      </c>
      <c r="C21" s="427" t="s">
        <v>254</v>
      </c>
      <c r="D21" s="592">
        <f t="shared" ref="D21:E21" si="36">AG21</f>
        <v>0</v>
      </c>
      <c r="E21" s="593">
        <f t="shared" si="36"/>
        <v>4</v>
      </c>
      <c r="F21" s="575">
        <f t="shared" ref="F21:G21" si="37">U21</f>
        <v>46295</v>
      </c>
      <c r="G21" s="575">
        <f t="shared" si="37"/>
        <v>46291</v>
      </c>
      <c r="H21" s="576" t="str">
        <f>IF(B21="","",IF(COUNTIF('Lớp 6 - Chi tiết'!$J$14:$J$267,I21)&gt;0,"Có","Không"))</f>
        <v>Không</v>
      </c>
      <c r="I21" s="577" t="str">
        <f>'Trung tâm nhập liệu'!B166</f>
        <v>HHL5DL02-03</v>
      </c>
      <c r="J21" s="577" t="str">
        <f>'Trung tâm nhập liệu'!D166</f>
        <v>HHL4DL02</v>
      </c>
      <c r="K21" s="597" t="str">
        <f t="array" ref="K21">IFERROR(INDEX('Lớp 4 - Danh mục'!$J$14:$J$132,MATCH(J21,'Lớp 4 - Danh mục'!$I$14:$I$132,0)),"")</f>
        <v>HHL3CT03</v>
      </c>
      <c r="L21" s="598">
        <f t="array" ref="L21">IFERROR(INDEX('Lớp 4 - Danh mục'!$K$14:$K$132,MATCH(J21,'Lớp 4 - Danh mục'!$I$14:$I$132,0)),"")</f>
        <v>2026</v>
      </c>
      <c r="M21" s="438" t="str">
        <f t="array" ref="M21">IFERROR(INDEX('Lớp 4 - Danh mục'!$L$14:$L$132,MATCH(J21,'Lớp 4 - Danh mục'!$I$14:$I$132,0)),"")</f>
        <v>Cấp công ty</v>
      </c>
      <c r="N21" s="597" t="str">
        <f t="array" ref="N21">IFERROR(INDEX('Lớp 4 - Danh mục'!$M$14:$M$132,MATCH(J21,'Lớp 4 - Danh mục'!$I$14:$I$132,0)),"")</f>
        <v>Chiến lược/sống còn</v>
      </c>
      <c r="O21" s="597" t="str">
        <f t="array" ref="O21">IFERROR(INDEX('Lớp 4 - Danh mục'!$N$14:$N$132,MATCH(J21,'Lớp 4 - Danh mục'!$I$14:$I$132,0)),"")</f>
        <v>KHKD 2027&amp; HT lập KH theo tham số KD (bán tự động)</v>
      </c>
      <c r="P21" s="597" t="str">
        <f t="array" ref="P21">IFERROR(INDEX('Lớp 4 - Danh mục'!$O$14:$O$132,MATCH(J21,'Lớp 4 - Danh mục'!$I$14:$I$132,0)),"")</f>
        <v>Xây dựng công thức &amp; tạo HT tham số cho KH MT</v>
      </c>
      <c r="Q21" s="581" t="str">
        <f t="shared" ref="Q21:T21" si="38">B21</f>
        <v>XD bảng Excel &amp; HT phần mềm (chạy demo) MT</v>
      </c>
      <c r="R21" s="420" t="str">
        <f t="shared" si="38"/>
        <v>P2</v>
      </c>
      <c r="S21" s="582">
        <f t="shared" si="38"/>
        <v>0</v>
      </c>
      <c r="T21" s="583">
        <f t="shared" si="38"/>
        <v>4</v>
      </c>
      <c r="U21" s="584">
        <f>IF($I21="","",LET(n,COUNTIFS('Lớp 6 - Chi tiết'!$J$14:$J$267,$I21,'Lớp 6 - Chi tiết'!$AE$14:$AE$267,"&lt;&gt;Hủy"),child,IFERROR(MAXIFS('Lớp 6 - Chi tiết'!$AH$14:$AH$267,'Lớp 6 - Chi tiết'!$J$14:$J$267,$I21,'Lớp 6 - Chi tiết'!$AE$14:$AE$267,"&lt;&gt;Hủy",'Lớp 6 - Chi tiết'!$AH$14:$AH$267,"&gt;0"),0),plan,'Trung tâm nhập liệu'!Q166,emergent,LOWER(TRIM('Trung tâm nhập liệu'!O166))="khi phát sinh",IF(n=0,IF(emergent,"",plan),IF(child=0,IF(emergent,"",plan),IF(OR(emergent,plan=""),child,MAX(plan,child))))))</f>
        <v>46295</v>
      </c>
      <c r="V21" s="584">
        <f>IF($I21="","",LET(n,COUNTIFS('Lớp 6 - Chi tiết'!$J$14:$J$267,$I21,'Lớp 6 - Chi tiết'!$AE$14:$AE$267,"&lt;&gt;Hủy"),child,IFERROR(MINIFS('Lớp 6 - Chi tiết'!$AG$14:$AG$267,'Lớp 6 - Chi tiết'!$J$14:$J$267,$I21,'Lớp 6 - Chi tiết'!$AE$14:$AE$267,"&lt;&gt;Hủy",'Lớp 6 - Chi tiết'!$AG$14:$AG$267,"&gt;0"),0),plan,'Trung tâm nhập liệu'!R166,emergent,LOWER(TRIM('Trung tâm nhập liệu'!O166))="khi phát sinh",IF(n=0,IF(emergent,"",plan),IF(child=0,IF(emergent,"",plan),IF(OR(emergent,plan=""),child,MIN(plan,child))))))</f>
        <v>46291</v>
      </c>
      <c r="W21" s="577" t="str">
        <f t="shared" si="15"/>
        <v>Không</v>
      </c>
      <c r="X21" s="577" t="str">
        <f>'Trung tâm nhập liệu'!G166</f>
        <v>File Excel và bản demo hệ thống kế hoạch MT vận hành đúng công thức.</v>
      </c>
      <c r="Y21" s="585" t="str">
        <f>'Trung tâm nhập liệu'!H166</f>
        <v/>
      </c>
      <c r="Z21" s="586" t="str">
        <f t="array" ref="Z21">IFERROR(INDEX('Lớp 4 - Danh mục'!$X$14:$X$132,MATCH(J21,'Lớp 4 - Danh mục'!$I$14:$I$132,0)),"")</f>
        <v>Dữ liệu điều hành</v>
      </c>
      <c r="AA21" s="577" t="str">
        <f>'Trung tâm nhập liệu'!K166</f>
        <v>Em Đại</v>
      </c>
      <c r="AB21" s="572" t="str">
        <f>'Trung tâm nhập liệu'!L166</f>
        <v>Chưa bắt đầu</v>
      </c>
      <c r="AC21" s="420" t="str">
        <f>'Trung tâm nhập liệu'!M166</f>
        <v>P1</v>
      </c>
      <c r="AD21" s="584">
        <f t="shared" si="16"/>
        <v>46291</v>
      </c>
      <c r="AE21" s="584">
        <f t="shared" si="17"/>
        <v>46295</v>
      </c>
      <c r="AF21" s="587">
        <f>IF(AM21&lt;&gt;"Có thời hạn","",IF(OR(AD21="",AE21=""),"",IF(AE21&lt;AD21,"",_xlfn.NETWORKDAYS.INTL(AD21,AE21,11,'Ngày nghỉ lễ'!$A$5:$A$80))))</f>
        <v>4</v>
      </c>
      <c r="AG21" s="588">
        <f>IF(I21="","",IF(L21="Công việc khác","",IF(OR(AB21="Chưa lên lịch",AB21="Đã lên lịch",AB21="Hủy"),"",IF(COUNTIFS('Lớp 6 - Chi tiết'!$J$14:$J$267,I21,'Lớp 6 - Chi tiết'!$AE$14:$AE$267,"&lt;&gt;",'Lớp 6 - Chi tiết'!$AE$14:$AE$267,"&lt;&gt;Hủy",'Lớp 6 - Chi tiết'!$AE$14:$AE$267,"&lt;&gt;Chưa lên lịch",'Lớp 6 - Chi tiết'!$AE$14:$AE$267,"&lt;&gt;Đã lên lịch")&gt;0,SUMIFS('Lớp 6 - Chi tiết'!$AJ$14:$AJ$267,'Lớp 6 - Chi tiết'!$J$14:$J$267,I21,'Lớp 6 - Chi tiết'!$AE$14:$AE$267,"&lt;&gt;",'Lớp 6 - Chi tiết'!$AE$14:$AE$267,"&lt;&gt;Hủy",'Lớp 6 - Chi tiết'!$AE$14:$AE$267,"&lt;&gt;Chưa lên lịch",'Lớp 6 - Chi tiết'!$AE$14:$AE$267,"&lt;&gt;Đã lên lịch")/COUNTIFS('Lớp 6 - Chi tiết'!$J$14:$J$267,I21,'Lớp 6 - Chi tiết'!$AE$14:$AE$267,"&lt;&gt;",'Lớp 6 - Chi tiết'!$AE$14:$AE$267,"&lt;&gt;Hủy",'Lớp 6 - Chi tiết'!$AE$14:$AE$267,"&lt;&gt;Chưa lên lịch",'Lớp 6 - Chi tiết'!$AE$14:$AE$267,"&lt;&gt;Đã lên lịch"),IF(AB21="Hoàn thành",1,0)))))</f>
        <v>0</v>
      </c>
      <c r="AH21" s="587">
        <f>IF(AM21&lt;&gt;"Có thời hạn","",IF(OR(I21="",AD21="",AE21=""),"",IF(OR(AB21="Hoàn thành",AB21="Hủy"),0,IF(AE21&lt;TODAY(),-_xlfn.NETWORKDAYS.INTL(AE21,TODAY()-1,11,'Ngày nghỉ lễ'!$A$5:$A$80),MAX(0,_xlfn.NETWORKDAYS.INTL(MAX(TODAY()+1,AD21),AE21,11,'Ngày nghỉ lễ'!$A$5:$A$80))))))</f>
        <v>4</v>
      </c>
      <c r="AI21" s="589">
        <f>IF($I21="","",LET(n,COUNTIFS('Lớp 6 - Chi tiết'!$J$14:$J$267,$I21,'Lớp 6 - Chi tiết'!$AE$14:$AE$267,"&lt;&gt;Hủy"),du,COUNTIFS('Lớp 6 - Chi tiết'!$J$14:$J$267,$I21,'Lớp 6 - Chi tiết'!$AE$14:$AE$267,"&lt;&gt;Hủy",'Lớp 6 - Chi tiết'!$AL$14:$AL$267,"&lt;&gt;"),IF(n=0,'Trung tâm nhập liệu'!T166,IF(du&lt;n,"",SUMIFS('Lớp 6 - Chi tiết'!$AL$14:$AL$267,'Lớp 6 - Chi tiết'!$J$14:$J$267,$I21,'Lớp 6 - Chi tiết'!$AE$14:$AE$267,"&lt;&gt;Hủy")))))</f>
        <v>24</v>
      </c>
      <c r="AJ21" s="468">
        <f>IF(I21="","",IF(OR(AB21="Hoàn thành",AB21="Hủy"),"",IF(COUNTIFS('Lớp 6 - Chi tiết'!$J$14:$J$267,I21,'Lớp 6 - Chi tiết'!$AE$14:$AE$267,"&lt;&gt;Hủy")&gt;0,"",IF(AS21="Ngày",AT21,IF(AS21="Tuần",AT21/5,"")))))</f>
        <v>0.8</v>
      </c>
      <c r="AK21" s="477" t="str">
        <f>IF(AM21="Chưa xếp lịch","Chưa xếp lịch",IF(AM21="Định kỳ",IF(AN21="","Thiếu chu kỳ","Theo chu kỳ"),IF(AM21="Khi phát sinh",IF(COUNTIFS('Lớp 6 - Chi tiết'!$J$14:$J$267,$I21,'Lớp 6 - Chi tiết'!$AE$14:$AE$267,"&lt;&gt;Hủy")=0,"Khi phát sinh – chờ việc con","Khi phát sinh – theo ngày con"),IF(I21="","",LET(n,COUNTIFS('Lớp 6 - Chi tiết'!$J$14:$J$267,$I21,'Lớp 6 - Chi tiết'!$AE$14:$AE$267,"&lt;&gt;Hủy"),cs,IFERROR(MINIFS('Lớp 6 - Chi tiết'!$AG$14:$AG$267,'Lớp 6 - Chi tiết'!$J$14:$J$267,$I21,'Lớp 6 - Chi tiết'!$AE$14:$AE$267,"&lt;&gt;Hủy",'Lớp 6 - Chi tiết'!$AG$14:$AG$267,"&gt;0"),0),ce,IFERROR(MAXIFS('Lớp 6 - Chi tiết'!$AH$14:$AH$267,'Lớp 6 - Chi tiết'!$J$14:$J$267,$I21,'Lớp 6 - Chi tiết'!$AE$14:$AE$267,"&lt;&gt;Hủy",'Lớp 6 - Chi tiết'!$AH$14:$AH$267,"&gt;0"),0),ps,'Trung tâm nhập liệu'!R166,pe,'Trung tâm nhập liệu'!Q166,IF(OR(AD21="",AE21=""),"Thiếu ngày L5",IF(n=0,"Chưa có L6",IF(OR(cs=0,ce=0),"Thiếu ngày L6",IF(OR(ps="",pe=""),"Thiếu ngày kế hoạch gốc L5",IF(OR(cs&lt;ps,ce&gt;pe),"Cảnh báo: Con vượt khung kế hoạch gốc","L6 đúng khung kế hoạch gốc"))))))))))</f>
        <v>Chưa có L6</v>
      </c>
      <c r="AL21" s="465" t="str">
        <f>IF(OR(AV21="Thiếu tham số phân bổ",AV21="Phân bổ phải &gt; 0"),AV21,SWITCH(AM21,"Chưa xếp lịch","Chưa tính tải","Định kỳ","Theo chu kỳ","Khi phát sinh","Khi phát sinh",IF(I21="","",IF(OR(AB21="Hoàn thành",AB21="Hủy"),AB21,IF(COUNTIFS('Lớp 6 - Chi tiết'!$J$14:$J$267,I21,'Lớp 6 - Chi tiết'!$AE$14:$AE$267,"&lt;&gt;Hủy")&gt;0,"Theo dõi tải tại Lớp 6",IF(AI21="","Chưa nhập khối lượng",IF(AA21="","Thiếu người thực hiện",IF(OR(AD21="",AE21=""),"Chưa nhập đủ thời gian",IF(AH21&lt;0,"Quá hạn – còn "&amp;TEXT(MAX(0,AI21*(1-AG21)),"0.0")&amp;" giờ",LET(bd,MAX(TODAY(),AD21),kt,AE21,nguoi,AA21,tai,SUMIFS('Lớp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12.0/8.0 giờ/ngày</v>
      </c>
      <c r="AM21" s="467" t="str">
        <f>'Trung tâm nhập liệu'!O166</f>
        <v>Có thời hạn</v>
      </c>
      <c r="AN21" s="469" t="str">
        <f>'Trung tâm nhập liệu'!P166</f>
        <v/>
      </c>
      <c r="AO21" s="470" t="str">
        <f>'Trung tâm nhập liệu'!S166</f>
        <v/>
      </c>
      <c r="AP21" s="470" t="str">
        <f>'Trung tâm nhập liệu'!X166</f>
        <v/>
      </c>
      <c r="AQ21" s="471" t="str">
        <f t="shared" si="18"/>
        <v/>
      </c>
      <c r="AR21" s="469" t="str">
        <f t="shared" si="19"/>
        <v/>
      </c>
      <c r="AS21" s="475" t="str">
        <f>'Trung tâm nhập liệu'!V166</f>
        <v>Tuần</v>
      </c>
      <c r="AT21" s="476">
        <f>'Trung tâm nhập liệu'!W166</f>
        <v>4</v>
      </c>
      <c r="AU21" s="478">
        <f>IF(AM21&lt;&gt;"Có thời hạn","",IF(OR(I21="",AI21="",AB21="Hoàn thành",AB21="Hủy",COUNTIFS('Lớp 6 - Chi tiết'!$J$14:$J$267,I21,'Lớp 6 - Chi tiết'!$AE$14:$AE$267,"&lt;&gt;Hủy")&gt;0),"",LET(canNgay,MAX(0,AI21*(1-AG21))/MAX(1,AH21),IF(AS21="Ngày",canNgay,IF(AS21="Tuần",canNgay*5,"")))))</f>
        <v>30</v>
      </c>
      <c r="AV21" s="465" t="str">
        <f>IF(I21="","",IF(COUNTIFS('Lớp 6 - Chi tiết'!$J$14:$J$267,I21,'Lớp 6 - Chi tiết'!$AE$14:$AE$267,"&lt;&gt;Hủy")&gt;0,"Theo dõi phân bổ tại Lớp 6",IF(OR(AB21="Hoàn thành",AB21="Hủy"),AB21,IF(AI21="","Thiếu tổng giờ",IF(OR(AS21="",AT21=""),"Thiếu tham số phân bổ",IF(AT21&lt;=0,"Phân bổ phải &gt; 0",IF(AM21&lt;&gt;"Có thời hạn","Đã có phân bổ",IF(AU21="","Chưa đủ dữ liệu hạn",IF(AT21&gt;=AU21,"Đủ phân bổ theo "&amp;LOWER(AS21),"Thiếu "&amp;TEXT(AU21-AT21,"0.0")&amp;" giờ/"&amp;LOWER(AS21))))))))))</f>
        <v>Thiếu 26.0 giờ/tuần</v>
      </c>
      <c r="AW21" s="465" t="str">
        <f t="shared" si="20"/>
        <v>Chưa đến ngày bắt đầu – nên Đã lên lịch</v>
      </c>
      <c r="AX21" s="479" t="str">
        <f>'Trung tâm nhập liệu'!Y166</f>
        <v/>
      </c>
    </row>
    <row r="22" ht="15.75" customHeight="1">
      <c r="A22" s="424">
        <f t="shared" si="11"/>
        <v>9</v>
      </c>
      <c r="B22" s="572" t="str">
        <f>'Trung tâm nhập liệu'!F167</f>
        <v>Chạy tham số Topdown MT</v>
      </c>
      <c r="C22" s="591" t="str">
        <f>'Trung tâm nhập liệu'!M167</f>
        <v>P1</v>
      </c>
      <c r="D22" s="592" t="str">
        <f t="shared" ref="D22:E22" si="39">AG22</f>
        <v/>
      </c>
      <c r="E22" s="593">
        <f t="shared" si="39"/>
        <v>2</v>
      </c>
      <c r="F22" s="575">
        <f t="shared" ref="F22:G22" si="40">U22</f>
        <v>46297</v>
      </c>
      <c r="G22" s="575">
        <f t="shared" si="40"/>
        <v>46296</v>
      </c>
      <c r="H22" s="576" t="str">
        <f>IF(B22="","",IF(COUNTIF('Lớp 6 - Chi tiết'!$J$14:$J$267,I22)&gt;0,"Có","Không"))</f>
        <v>Không</v>
      </c>
      <c r="I22" s="577" t="str">
        <f>'Trung tâm nhập liệu'!B167</f>
        <v>HHL5DL02-04</v>
      </c>
      <c r="J22" s="577" t="str">
        <f>'Trung tâm nhập liệu'!D167</f>
        <v>HHL4DL02</v>
      </c>
      <c r="K22" s="597" t="str">
        <f t="array" ref="K22">IFERROR(INDEX('Lớp 4 - Danh mục'!$J$14:$J$132,MATCH(J22,'Lớp 4 - Danh mục'!$I$14:$I$132,0)),"")</f>
        <v>HHL3CT03</v>
      </c>
      <c r="L22" s="598">
        <f t="array" ref="L22">IFERROR(INDEX('Lớp 4 - Danh mục'!$K$14:$K$132,MATCH(J22,'Lớp 4 - Danh mục'!$I$14:$I$132,0)),"")</f>
        <v>2026</v>
      </c>
      <c r="M22" s="438" t="str">
        <f t="array" ref="M22">IFERROR(INDEX('Lớp 4 - Danh mục'!$L$14:$L$132,MATCH(J22,'Lớp 4 - Danh mục'!$I$14:$I$132,0)),"")</f>
        <v>Cấp công ty</v>
      </c>
      <c r="N22" s="597" t="str">
        <f t="array" ref="N22">IFERROR(INDEX('Lớp 4 - Danh mục'!$M$14:$M$132,MATCH(J22,'Lớp 4 - Danh mục'!$I$14:$I$132,0)),"")</f>
        <v>Chiến lược/sống còn</v>
      </c>
      <c r="O22" s="597" t="str">
        <f t="array" ref="O22">IFERROR(INDEX('Lớp 4 - Danh mục'!$N$14:$N$132,MATCH(J22,'Lớp 4 - Danh mục'!$I$14:$I$132,0)),"")</f>
        <v>KHKD 2027&amp; HT lập KH theo tham số KD (bán tự động)</v>
      </c>
      <c r="P22" s="597" t="str">
        <f t="array" ref="P22">IFERROR(INDEX('Lớp 4 - Danh mục'!$O$14:$O$132,MATCH(J22,'Lớp 4 - Danh mục'!$I$14:$I$132,0)),"")</f>
        <v>Xây dựng công thức &amp; tạo HT tham số cho KH MT</v>
      </c>
      <c r="Q22" s="581" t="str">
        <f t="shared" ref="Q22:T22" si="41">B22</f>
        <v>Chạy tham số Topdown MT</v>
      </c>
      <c r="R22" s="420" t="str">
        <f t="shared" si="41"/>
        <v>P1</v>
      </c>
      <c r="S22" s="582" t="str">
        <f t="shared" si="41"/>
        <v/>
      </c>
      <c r="T22" s="583">
        <f t="shared" si="41"/>
        <v>2</v>
      </c>
      <c r="U22" s="584">
        <f>IF($I22="","",LET(n,COUNTIFS('Lớp 6 - Chi tiết'!$J$14:$J$267,$I22,'Lớp 6 - Chi tiết'!$AE$14:$AE$267,"&lt;&gt;Hủy"),child,IFERROR(MAXIFS('Lớp 6 - Chi tiết'!$AH$14:$AH$267,'Lớp 6 - Chi tiết'!$J$14:$J$267,$I22,'Lớp 6 - Chi tiết'!$AE$14:$AE$267,"&lt;&gt;Hủy",'Lớp 6 - Chi tiết'!$AH$14:$AH$267,"&gt;0"),0),plan,'Trung tâm nhập liệu'!Q167,emergent,LOWER(TRIM('Trung tâm nhập liệu'!O167))="khi phát sinh",IF(n=0,IF(emergent,"",plan),IF(child=0,IF(emergent,"",plan),IF(OR(emergent,plan=""),child,MAX(plan,child))))))</f>
        <v>46297</v>
      </c>
      <c r="V22" s="584">
        <f>IF($I22="","",LET(n,COUNTIFS('Lớp 6 - Chi tiết'!$J$14:$J$267,$I22,'Lớp 6 - Chi tiết'!$AE$14:$AE$267,"&lt;&gt;Hủy"),child,IFERROR(MINIFS('Lớp 6 - Chi tiết'!$AG$14:$AG$267,'Lớp 6 - Chi tiết'!$J$14:$J$267,$I22,'Lớp 6 - Chi tiết'!$AE$14:$AE$267,"&lt;&gt;Hủy",'Lớp 6 - Chi tiết'!$AG$14:$AG$267,"&gt;0"),0),plan,'Trung tâm nhập liệu'!R167,emergent,LOWER(TRIM('Trung tâm nhập liệu'!O167))="khi phát sinh",IF(n=0,IF(emergent,"",plan),IF(child=0,IF(emergent,"",plan),IF(OR(emergent,plan=""),child,MIN(plan,child))))))</f>
        <v>46296</v>
      </c>
      <c r="W22" s="577" t="str">
        <f t="shared" si="15"/>
        <v>Không</v>
      </c>
      <c r="X22" s="577" t="str">
        <f>'Trung tâm nhập liệu'!G167</f>
        <v>Bộ kết quả tham số Top-down kế hoạch MT được kiểm tra và xác nhận.</v>
      </c>
      <c r="Y22" s="585" t="str">
        <f>'Trung tâm nhập liệu'!H167</f>
        <v/>
      </c>
      <c r="Z22" s="586" t="str">
        <f t="array" ref="Z22">IFERROR(INDEX('Lớp 4 - Danh mục'!$X$14:$X$132,MATCH(J22,'Lớp 4 - Danh mục'!$I$14:$I$132,0)),"")</f>
        <v>Dữ liệu điều hành</v>
      </c>
      <c r="AA22" s="577" t="str">
        <f>'Trung tâm nhập liệu'!K167</f>
        <v>Em Đại</v>
      </c>
      <c r="AB22" s="572" t="str">
        <f>'Trung tâm nhập liệu'!L167</f>
        <v>Đã lên lịch</v>
      </c>
      <c r="AC22" s="420" t="str">
        <f>'Trung tâm nhập liệu'!M167</f>
        <v>P1</v>
      </c>
      <c r="AD22" s="584">
        <f t="shared" si="16"/>
        <v>46296</v>
      </c>
      <c r="AE22" s="584">
        <f t="shared" si="17"/>
        <v>46297</v>
      </c>
      <c r="AF22" s="587">
        <f>IF(AM22&lt;&gt;"Có thời hạn","",IF(OR(AD22="",AE22=""),"",IF(AE22&lt;AD22,"",_xlfn.NETWORKDAYS.INTL(AD22,AE22,11,'Ngày nghỉ lễ'!$A$5:$A$80))))</f>
        <v>2</v>
      </c>
      <c r="AG22" s="588" t="str">
        <f>IF(I22="","",IF(L22="Công việc khác","",IF(OR(AB22="Chưa lên lịch",AB22="Đã lên lịch",AB22="Hủy"),"",IF(COUNTIFS('Lớp 6 - Chi tiết'!$J$14:$J$267,I22,'Lớp 6 - Chi tiết'!$AE$14:$AE$267,"&lt;&gt;",'Lớp 6 - Chi tiết'!$AE$14:$AE$267,"&lt;&gt;Hủy",'Lớp 6 - Chi tiết'!$AE$14:$AE$267,"&lt;&gt;Chưa lên lịch",'Lớp 6 - Chi tiết'!$AE$14:$AE$267,"&lt;&gt;Đã lên lịch")&gt;0,SUMIFS('Lớp 6 - Chi tiết'!$AJ$14:$AJ$267,'Lớp 6 - Chi tiết'!$J$14:$J$267,I22,'Lớp 6 - Chi tiết'!$AE$14:$AE$267,"&lt;&gt;",'Lớp 6 - Chi tiết'!$AE$14:$AE$267,"&lt;&gt;Hủy",'Lớp 6 - Chi tiết'!$AE$14:$AE$267,"&lt;&gt;Chưa lên lịch",'Lớp 6 - Chi tiết'!$AE$14:$AE$267,"&lt;&gt;Đã lên lịch")/COUNTIFS('Lớp 6 - Chi tiết'!$J$14:$J$267,I22,'Lớp 6 - Chi tiết'!$AE$14:$AE$267,"&lt;&gt;",'Lớp 6 - Chi tiết'!$AE$14:$AE$267,"&lt;&gt;Hủy",'Lớp 6 - Chi tiết'!$AE$14:$AE$267,"&lt;&gt;Chưa lên lịch",'Lớp 6 - Chi tiết'!$AE$14:$AE$267,"&lt;&gt;Đã lên lịch"),IF(AB22="Hoàn thành",1,0)))))</f>
        <v/>
      </c>
      <c r="AH22" s="587">
        <f>IF(AM22&lt;&gt;"Có thời hạn","",IF(OR(I22="",AD22="",AE22=""),"",IF(OR(AB22="Hoàn thành",AB22="Hủy"),0,IF(AE22&lt;TODAY(),-_xlfn.NETWORKDAYS.INTL(AE22,TODAY()-1,11,'Ngày nghỉ lễ'!$A$5:$A$80),MAX(0,_xlfn.NETWORKDAYS.INTL(MAX(TODAY()+1,AD22),AE22,11,'Ngày nghỉ lễ'!$A$5:$A$80))))))</f>
        <v>2</v>
      </c>
      <c r="AI22" s="589">
        <f>IF($I22="","",LET(n,COUNTIFS('Lớp 6 - Chi tiết'!$J$14:$J$267,$I22,'Lớp 6 - Chi tiết'!$AE$14:$AE$267,"&lt;&gt;Hủy"),du,COUNTIFS('Lớp 6 - Chi tiết'!$J$14:$J$267,$I22,'Lớp 6 - Chi tiết'!$AE$14:$AE$267,"&lt;&gt;Hủy",'Lớp 6 - Chi tiết'!$AL$14:$AL$267,"&lt;&gt;"),IF(n=0,'Trung tâm nhập liệu'!T167,IF(du&lt;n,"",SUMIFS('Lớp 6 - Chi tiết'!$AL$14:$AL$267,'Lớp 6 - Chi tiết'!$J$14:$J$267,$I22,'Lớp 6 - Chi tiết'!$AE$14:$AE$267,"&lt;&gt;Hủy")))))</f>
        <v>16</v>
      </c>
      <c r="AJ22" s="468">
        <f>IF(I22="","",IF(OR(AB22="Hoàn thành",AB22="Hủy"),"",IF(COUNTIFS('Lớp 6 - Chi tiết'!$J$14:$J$267,I22,'Lớp 6 - Chi tiết'!$AE$14:$AE$267,"&lt;&gt;Hủy")&gt;0,"",IF(AS22="Ngày",AT22,IF(AS22="Tuần",AT22/5,"")))))</f>
        <v>0.8</v>
      </c>
      <c r="AK22" s="477" t="str">
        <f>IF(AM22="Chưa xếp lịch","Chưa xếp lịch",IF(AM22="Định kỳ",IF(AN22="","Thiếu chu kỳ","Theo chu kỳ"),IF(AM22="Khi phát sinh",IF(COUNTIFS('Lớp 6 - Chi tiết'!$J$14:$J$267,$I22,'Lớp 6 - Chi tiết'!$AE$14:$AE$267,"&lt;&gt;Hủy")=0,"Khi phát sinh – chờ việc con","Khi phát sinh – theo ngày con"),IF(I22="","",LET(n,COUNTIFS('Lớp 6 - Chi tiết'!$J$14:$J$267,$I22,'Lớp 6 - Chi tiết'!$AE$14:$AE$267,"&lt;&gt;Hủy"),cs,IFERROR(MINIFS('Lớp 6 - Chi tiết'!$AG$14:$AG$267,'Lớp 6 - Chi tiết'!$J$14:$J$267,$I22,'Lớp 6 - Chi tiết'!$AE$14:$AE$267,"&lt;&gt;Hủy",'Lớp 6 - Chi tiết'!$AG$14:$AG$267,"&gt;0"),0),ce,IFERROR(MAXIFS('Lớp 6 - Chi tiết'!$AH$14:$AH$267,'Lớp 6 - Chi tiết'!$J$14:$J$267,$I22,'Lớp 6 - Chi tiết'!$AE$14:$AE$267,"&lt;&gt;Hủy",'Lớp 6 - Chi tiết'!$AH$14:$AH$267,"&gt;0"),0),ps,'Trung tâm nhập liệu'!R167,pe,'Trung tâm nhập liệu'!Q167,IF(OR(AD22="",AE22=""),"Thiếu ngày L5",IF(n=0,"Chưa có L6",IF(OR(cs=0,ce=0),"Thiếu ngày L6",IF(OR(ps="",pe=""),"Thiếu ngày kế hoạch gốc L5",IF(OR(cs&lt;ps,ce&gt;pe),"Cảnh báo: Con vượt khung kế hoạch gốc","L6 đúng khung kế hoạch gốc"))))))))))</f>
        <v>Chưa có L6</v>
      </c>
      <c r="AL22" s="465" t="str">
        <f>IF(OR(AV22="Thiếu tham số phân bổ",AV22="Phân bổ phải &gt; 0"),AV22,SWITCH(AM22,"Chưa xếp lịch","Chưa tính tải","Định kỳ","Theo chu kỳ","Khi phát sinh","Khi phát sinh",IF(I22="","",IF(OR(AB22="Hoàn thành",AB22="Hủy"),AB22,IF(COUNTIFS('Lớp 6 - Chi tiết'!$J$14:$J$267,I22,'Lớp 6 - Chi tiết'!$AE$14:$AE$267,"&lt;&gt;Hủy")&gt;0,"Theo dõi tải tại Lớp 6",IF(AI22="","Chưa nhập khối lượng",IF(AA22="","Thiếu người thực hiện",IF(OR(AD22="",AE22=""),"Chưa nhập đủ thời gian",IF(AH22&lt;0,"Quá hạn – còn "&amp;TEXT(MAX(0,AI22*(1-AG22)),"0.0")&amp;" giờ",LET(bd,MAX(TODAY(),AD22),kt,AE22,nguoi,AA22,tai,SUMIFS('Lớp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12.0/8.0 giờ/ngày</v>
      </c>
      <c r="AM22" s="467" t="str">
        <f>'Trung tâm nhập liệu'!O167</f>
        <v>Có thời hạn</v>
      </c>
      <c r="AN22" s="469" t="str">
        <f>'Trung tâm nhập liệu'!P167</f>
        <v/>
      </c>
      <c r="AO22" s="470" t="str">
        <f>'Trung tâm nhập liệu'!S167</f>
        <v/>
      </c>
      <c r="AP22" s="470" t="str">
        <f>'Trung tâm nhập liệu'!X167</f>
        <v/>
      </c>
      <c r="AQ22" s="471" t="str">
        <f t="shared" si="18"/>
        <v/>
      </c>
      <c r="AR22" s="469" t="str">
        <f t="shared" si="19"/>
        <v/>
      </c>
      <c r="AS22" s="475" t="str">
        <f>'Trung tâm nhập liệu'!V167</f>
        <v>Tuần</v>
      </c>
      <c r="AT22" s="476">
        <f>'Trung tâm nhập liệu'!W167</f>
        <v>4</v>
      </c>
      <c r="AU22" s="478">
        <f>IF(AM22&lt;&gt;"Có thời hạn","",IF(OR(I22="",AI22="",AB22="Hoàn thành",AB22="Hủy",COUNTIFS('Lớp 6 - Chi tiết'!$J$14:$J$267,I22,'Lớp 6 - Chi tiết'!$AE$14:$AE$267,"&lt;&gt;Hủy")&gt;0),"",LET(canNgay,MAX(0,AI22*(1-AG22))/MAX(1,AH22),IF(AS22="Ngày",canNgay,IF(AS22="Tuần",canNgay*5,"")))))</f>
        <v>40</v>
      </c>
      <c r="AV22" s="465" t="str">
        <f>IF(I22="","",IF(COUNTIFS('Lớp 6 - Chi tiết'!$J$14:$J$267,I22,'Lớp 6 - Chi tiết'!$AE$14:$AE$267,"&lt;&gt;Hủy")&gt;0,"Theo dõi phân bổ tại Lớp 6",IF(OR(AB22="Hoàn thành",AB22="Hủy"),AB22,IF(AI22="","Thiếu tổng giờ",IF(OR(AS22="",AT22=""),"Thiếu tham số phân bổ",IF(AT22&lt;=0,"Phân bổ phải &gt; 0",IF(AM22&lt;&gt;"Có thời hạn","Đã có phân bổ",IF(AU22="","Chưa đủ dữ liệu hạn",IF(AT22&gt;=AU22,"Đủ phân bổ theo "&amp;LOWER(AS22),"Thiếu "&amp;TEXT(AU22-AT22,"0.0")&amp;" giờ/"&amp;LOWER(AS22))))))))))</f>
        <v>Thiếu 36.0 giờ/tuần</v>
      </c>
      <c r="AW22" s="465" t="str">
        <f t="shared" si="20"/>
        <v>OK</v>
      </c>
      <c r="AX22" s="479" t="str">
        <f>'Trung tâm nhập liệu'!Y167</f>
        <v/>
      </c>
    </row>
    <row r="23" ht="15.75" customHeight="1">
      <c r="A23" s="424">
        <f t="shared" si="11"/>
        <v>10</v>
      </c>
      <c r="B23" s="572" t="str">
        <f>'Trung tâm nhập liệu'!F168</f>
        <v>Chạy tham số Bottom-up MT</v>
      </c>
      <c r="C23" s="591" t="str">
        <f>'Trung tâm nhập liệu'!M168</f>
        <v>P1</v>
      </c>
      <c r="D23" s="592" t="str">
        <f t="shared" ref="D23:E23" si="42">AG23</f>
        <v/>
      </c>
      <c r="E23" s="593">
        <f t="shared" si="42"/>
        <v>11</v>
      </c>
      <c r="F23" s="575">
        <f t="shared" ref="F23:G23" si="43">U23</f>
        <v>46310</v>
      </c>
      <c r="G23" s="575">
        <f t="shared" si="43"/>
        <v>46298</v>
      </c>
      <c r="H23" s="576" t="str">
        <f>IF(B23="","",IF(COUNTIF('Lớp 6 - Chi tiết'!$J$14:$J$267,I23)&gt;0,"Có","Không"))</f>
        <v>Không</v>
      </c>
      <c r="I23" s="577" t="str">
        <f>'Trung tâm nhập liệu'!B168</f>
        <v>HHL5DL02-05</v>
      </c>
      <c r="J23" s="577" t="str">
        <f>'Trung tâm nhập liệu'!D168</f>
        <v>HHL4DL02</v>
      </c>
      <c r="K23" s="597" t="str">
        <f t="array" ref="K23">IFERROR(INDEX('Lớp 4 - Danh mục'!$J$14:$J$132,MATCH(J23,'Lớp 4 - Danh mục'!$I$14:$I$132,0)),"")</f>
        <v>HHL3CT03</v>
      </c>
      <c r="L23" s="598">
        <f t="array" ref="L23">IFERROR(INDEX('Lớp 4 - Danh mục'!$K$14:$K$132,MATCH(J23,'Lớp 4 - Danh mục'!$I$14:$I$132,0)),"")</f>
        <v>2026</v>
      </c>
      <c r="M23" s="438" t="str">
        <f t="array" ref="M23">IFERROR(INDEX('Lớp 4 - Danh mục'!$L$14:$L$132,MATCH(J23,'Lớp 4 - Danh mục'!$I$14:$I$132,0)),"")</f>
        <v>Cấp công ty</v>
      </c>
      <c r="N23" s="597" t="str">
        <f t="array" ref="N23">IFERROR(INDEX('Lớp 4 - Danh mục'!$M$14:$M$132,MATCH(J23,'Lớp 4 - Danh mục'!$I$14:$I$132,0)),"")</f>
        <v>Chiến lược/sống còn</v>
      </c>
      <c r="O23" s="597" t="str">
        <f t="array" ref="O23">IFERROR(INDEX('Lớp 4 - Danh mục'!$N$14:$N$132,MATCH(J23,'Lớp 4 - Danh mục'!$I$14:$I$132,0)),"")</f>
        <v>KHKD 2027&amp; HT lập KH theo tham số KD (bán tự động)</v>
      </c>
      <c r="P23" s="597" t="str">
        <f t="array" ref="P23">IFERROR(INDEX('Lớp 4 - Danh mục'!$O$14:$O$132,MATCH(J23,'Lớp 4 - Danh mục'!$I$14:$I$132,0)),"")</f>
        <v>Xây dựng công thức &amp; tạo HT tham số cho KH MT</v>
      </c>
      <c r="Q23" s="581" t="str">
        <f t="shared" ref="Q23:T23" si="44">B23</f>
        <v>Chạy tham số Bottom-up MT</v>
      </c>
      <c r="R23" s="420" t="str">
        <f t="shared" si="44"/>
        <v>P1</v>
      </c>
      <c r="S23" s="582" t="str">
        <f t="shared" si="44"/>
        <v/>
      </c>
      <c r="T23" s="583">
        <f t="shared" si="44"/>
        <v>11</v>
      </c>
      <c r="U23" s="584">
        <f>IF($I23="","",LET(n,COUNTIFS('Lớp 6 - Chi tiết'!$J$14:$J$267,$I23,'Lớp 6 - Chi tiết'!$AE$14:$AE$267,"&lt;&gt;Hủy"),child,IFERROR(MAXIFS('Lớp 6 - Chi tiết'!$AH$14:$AH$267,'Lớp 6 - Chi tiết'!$J$14:$J$267,$I23,'Lớp 6 - Chi tiết'!$AE$14:$AE$267,"&lt;&gt;Hủy",'Lớp 6 - Chi tiết'!$AH$14:$AH$267,"&gt;0"),0),plan,'Trung tâm nhập liệu'!Q168,emergent,LOWER(TRIM('Trung tâm nhập liệu'!O168))="khi phát sinh",IF(n=0,IF(emergent,"",plan),IF(child=0,IF(emergent,"",plan),IF(OR(emergent,plan=""),child,MAX(plan,child))))))</f>
        <v>46310</v>
      </c>
      <c r="V23" s="584">
        <f>IF($I23="","",LET(n,COUNTIFS('Lớp 6 - Chi tiết'!$J$14:$J$267,$I23,'Lớp 6 - Chi tiết'!$AE$14:$AE$267,"&lt;&gt;Hủy"),child,IFERROR(MINIFS('Lớp 6 - Chi tiết'!$AG$14:$AG$267,'Lớp 6 - Chi tiết'!$J$14:$J$267,$I23,'Lớp 6 - Chi tiết'!$AE$14:$AE$267,"&lt;&gt;Hủy",'Lớp 6 - Chi tiết'!$AG$14:$AG$267,"&gt;0"),0),plan,'Trung tâm nhập liệu'!R168,emergent,LOWER(TRIM('Trung tâm nhập liệu'!O168))="khi phát sinh",IF(n=0,IF(emergent,"",plan),IF(child=0,IF(emergent,"",plan),IF(OR(emergent,plan=""),child,MIN(plan,child))))))</f>
        <v>46298</v>
      </c>
      <c r="W23" s="577" t="str">
        <f t="shared" si="15"/>
        <v>Không</v>
      </c>
      <c r="X23" s="577" t="str">
        <f>'Trung tâm nhập liệu'!G168</f>
        <v>Bộ kết quả Bottom-up kế hoạch MT theo khu vực và khách hàng được xác nhận.</v>
      </c>
      <c r="Y23" s="585" t="str">
        <f>'Trung tâm nhập liệu'!H168</f>
        <v/>
      </c>
      <c r="Z23" s="586" t="str">
        <f t="array" ref="Z23">IFERROR(INDEX('Lớp 4 - Danh mục'!$X$14:$X$132,MATCH(J23,'Lớp 4 - Danh mục'!$I$14:$I$132,0)),"")</f>
        <v>Dữ liệu điều hành</v>
      </c>
      <c r="AA23" s="577" t="str">
        <f>'Trung tâm nhập liệu'!K168</f>
        <v>Em Đại</v>
      </c>
      <c r="AB23" s="572" t="str">
        <f>'Trung tâm nhập liệu'!L168</f>
        <v>Đã lên lịch</v>
      </c>
      <c r="AC23" s="420" t="str">
        <f>'Trung tâm nhập liệu'!M168</f>
        <v>P1</v>
      </c>
      <c r="AD23" s="584">
        <f t="shared" si="16"/>
        <v>46298</v>
      </c>
      <c r="AE23" s="584">
        <f t="shared" si="17"/>
        <v>46310</v>
      </c>
      <c r="AF23" s="587">
        <f>IF(AM23&lt;&gt;"Có thời hạn","",IF(OR(AD23="",AE23=""),"",IF(AE23&lt;AD23,"",_xlfn.NETWORKDAYS.INTL(AD23,AE23,11,'Ngày nghỉ lễ'!$A$5:$A$80))))</f>
        <v>11</v>
      </c>
      <c r="AG23" s="588" t="str">
        <f>IF(I23="","",IF(L23="Công việc khác","",IF(OR(AB23="Chưa lên lịch",AB23="Đã lên lịch",AB23="Hủy"),"",IF(COUNTIFS('Lớp 6 - Chi tiết'!$J$14:$J$267,I23,'Lớp 6 - Chi tiết'!$AE$14:$AE$267,"&lt;&gt;",'Lớp 6 - Chi tiết'!$AE$14:$AE$267,"&lt;&gt;Hủy",'Lớp 6 - Chi tiết'!$AE$14:$AE$267,"&lt;&gt;Chưa lên lịch",'Lớp 6 - Chi tiết'!$AE$14:$AE$267,"&lt;&gt;Đã lên lịch")&gt;0,SUMIFS('Lớp 6 - Chi tiết'!$AJ$14:$AJ$267,'Lớp 6 - Chi tiết'!$J$14:$J$267,I23,'Lớp 6 - Chi tiết'!$AE$14:$AE$267,"&lt;&gt;",'Lớp 6 - Chi tiết'!$AE$14:$AE$267,"&lt;&gt;Hủy",'Lớp 6 - Chi tiết'!$AE$14:$AE$267,"&lt;&gt;Chưa lên lịch",'Lớp 6 - Chi tiết'!$AE$14:$AE$267,"&lt;&gt;Đã lên lịch")/COUNTIFS('Lớp 6 - Chi tiết'!$J$14:$J$267,I23,'Lớp 6 - Chi tiết'!$AE$14:$AE$267,"&lt;&gt;",'Lớp 6 - Chi tiết'!$AE$14:$AE$267,"&lt;&gt;Hủy",'Lớp 6 - Chi tiết'!$AE$14:$AE$267,"&lt;&gt;Chưa lên lịch",'Lớp 6 - Chi tiết'!$AE$14:$AE$267,"&lt;&gt;Đã lên lịch"),IF(AB23="Hoàn thành",1,0)))))</f>
        <v/>
      </c>
      <c r="AH23" s="587">
        <f>IF(AM23&lt;&gt;"Có thời hạn","",IF(OR(I23="",AD23="",AE23=""),"",IF(OR(AB23="Hoàn thành",AB23="Hủy"),0,IF(AE23&lt;TODAY(),-_xlfn.NETWORKDAYS.INTL(AE23,TODAY()-1,11,'Ngày nghỉ lễ'!$A$5:$A$80),MAX(0,_xlfn.NETWORKDAYS.INTL(MAX(TODAY()+1,AD23),AE23,11,'Ngày nghỉ lễ'!$A$5:$A$80))))))</f>
        <v>11</v>
      </c>
      <c r="AI23" s="589">
        <f>IF($I23="","",LET(n,COUNTIFS('Lớp 6 - Chi tiết'!$J$14:$J$267,$I23,'Lớp 6 - Chi tiết'!$AE$14:$AE$267,"&lt;&gt;Hủy"),du,COUNTIFS('Lớp 6 - Chi tiết'!$J$14:$J$267,$I23,'Lớp 6 - Chi tiết'!$AE$14:$AE$267,"&lt;&gt;Hủy",'Lớp 6 - Chi tiết'!$AL$14:$AL$267,"&lt;&gt;"),IF(n=0,'Trung tâm nhập liệu'!T168,IF(du&lt;n,"",SUMIFS('Lớp 6 - Chi tiết'!$AL$14:$AL$267,'Lớp 6 - Chi tiết'!$J$14:$J$267,$I23,'Lớp 6 - Chi tiết'!$AE$14:$AE$267,"&lt;&gt;Hủy")))))</f>
        <v>16</v>
      </c>
      <c r="AJ23" s="468">
        <f>IF(I23="","",IF(OR(AB23="Hoàn thành",AB23="Hủy"),"",IF(COUNTIFS('Lớp 6 - Chi tiết'!$J$14:$J$267,I23,'Lớp 6 - Chi tiết'!$AE$14:$AE$267,"&lt;&gt;Hủy")&gt;0,"",IF(AS23="Ngày",AT23,IF(AS23="Tuần",AT23/5,"")))))</f>
        <v>0.8</v>
      </c>
      <c r="AK23" s="477" t="str">
        <f>IF(AM23="Chưa xếp lịch","Chưa xếp lịch",IF(AM23="Định kỳ",IF(AN23="","Thiếu chu kỳ","Theo chu kỳ"),IF(AM23="Khi phát sinh",IF(COUNTIFS('Lớp 6 - Chi tiết'!$J$14:$J$267,$I23,'Lớp 6 - Chi tiết'!$AE$14:$AE$267,"&lt;&gt;Hủy")=0,"Khi phát sinh – chờ việc con","Khi phát sinh – theo ngày con"),IF(I23="","",LET(n,COUNTIFS('Lớp 6 - Chi tiết'!$J$14:$J$267,$I23,'Lớp 6 - Chi tiết'!$AE$14:$AE$267,"&lt;&gt;Hủy"),cs,IFERROR(MINIFS('Lớp 6 - Chi tiết'!$AG$14:$AG$267,'Lớp 6 - Chi tiết'!$J$14:$J$267,$I23,'Lớp 6 - Chi tiết'!$AE$14:$AE$267,"&lt;&gt;Hủy",'Lớp 6 - Chi tiết'!$AG$14:$AG$267,"&gt;0"),0),ce,IFERROR(MAXIFS('Lớp 6 - Chi tiết'!$AH$14:$AH$267,'Lớp 6 - Chi tiết'!$J$14:$J$267,$I23,'Lớp 6 - Chi tiết'!$AE$14:$AE$267,"&lt;&gt;Hủy",'Lớp 6 - Chi tiết'!$AH$14:$AH$267,"&gt;0"),0),ps,'Trung tâm nhập liệu'!R168,pe,'Trung tâm nhập liệu'!Q168,IF(OR(AD23="",AE23=""),"Thiếu ngày L5",IF(n=0,"Chưa có L6",IF(OR(cs=0,ce=0),"Thiếu ngày L6",IF(OR(ps="",pe=""),"Thiếu ngày kế hoạch gốc L5",IF(OR(cs&lt;ps,ce&gt;pe),"Cảnh báo: Con vượt khung kế hoạch gốc","L6 đúng khung kế hoạch gốc"))))))))))</f>
        <v>Chưa có L6</v>
      </c>
      <c r="AL23" s="465" t="str">
        <f>IF(OR(AV23="Thiếu tham số phân bổ",AV23="Phân bổ phải &gt; 0"),AV23,SWITCH(AM23,"Chưa xếp lịch","Chưa tính tải","Định kỳ","Theo chu kỳ","Khi phát sinh","Khi phát sinh",IF(I23="","",IF(OR(AB23="Hoàn thành",AB23="Hủy"),AB23,IF(COUNTIFS('Lớp 6 - Chi tiết'!$J$14:$J$267,I23,'Lớp 6 - Chi tiết'!$AE$14:$AE$267,"&lt;&gt;Hủy")&gt;0,"Theo dõi tải tại Lớp 6",IF(AI23="","Chưa nhập khối lượng",IF(AA23="","Thiếu người thực hiện",IF(OR(AD23="",AE23=""),"Chưa nhập đủ thời gian",IF(AH23&lt;0,"Quá hạn – còn "&amp;TEXT(MAX(0,AI23*(1-AG23)),"0.0")&amp;" giờ",LET(bd,MAX(TODAY(),AD23),kt,AE23,nguoi,AA23,tai,SUMIFS('Lớp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24.0/8.0 giờ/ngày</v>
      </c>
      <c r="AM23" s="467" t="str">
        <f>'Trung tâm nhập liệu'!O168</f>
        <v>Có thời hạn</v>
      </c>
      <c r="AN23" s="469" t="str">
        <f>'Trung tâm nhập liệu'!P168</f>
        <v/>
      </c>
      <c r="AO23" s="470" t="str">
        <f>'Trung tâm nhập liệu'!S168</f>
        <v/>
      </c>
      <c r="AP23" s="470" t="str">
        <f>'Trung tâm nhập liệu'!X168</f>
        <v/>
      </c>
      <c r="AQ23" s="471" t="str">
        <f t="shared" si="18"/>
        <v/>
      </c>
      <c r="AR23" s="469" t="str">
        <f t="shared" si="19"/>
        <v/>
      </c>
      <c r="AS23" s="475" t="str">
        <f>'Trung tâm nhập liệu'!V168</f>
        <v>Tuần</v>
      </c>
      <c r="AT23" s="476">
        <f>'Trung tâm nhập liệu'!W168</f>
        <v>4</v>
      </c>
      <c r="AU23" s="478">
        <f>IF(AM23&lt;&gt;"Có thời hạn","",IF(OR(I23="",AI23="",AB23="Hoàn thành",AB23="Hủy",COUNTIFS('Lớp 6 - Chi tiết'!$J$14:$J$267,I23,'Lớp 6 - Chi tiết'!$AE$14:$AE$267,"&lt;&gt;Hủy")&gt;0),"",LET(canNgay,MAX(0,AI23*(1-AG23))/MAX(1,AH23),IF(AS23="Ngày",canNgay,IF(AS23="Tuần",canNgay*5,"")))))</f>
        <v>7.272727273</v>
      </c>
      <c r="AV23" s="465" t="str">
        <f>IF(I23="","",IF(COUNTIFS('Lớp 6 - Chi tiết'!$J$14:$J$267,I23,'Lớp 6 - Chi tiết'!$AE$14:$AE$267,"&lt;&gt;Hủy")&gt;0,"Theo dõi phân bổ tại Lớp 6",IF(OR(AB23="Hoàn thành",AB23="Hủy"),AB23,IF(AI23="","Thiếu tổng giờ",IF(OR(AS23="",AT23=""),"Thiếu tham số phân bổ",IF(AT23&lt;=0,"Phân bổ phải &gt; 0",IF(AM23&lt;&gt;"Có thời hạn","Đã có phân bổ",IF(AU23="","Chưa đủ dữ liệu hạn",IF(AT23&gt;=AU23,"Đủ phân bổ theo "&amp;LOWER(AS23),"Thiếu "&amp;TEXT(AU23-AT23,"0.0")&amp;" giờ/"&amp;LOWER(AS23))))))))))</f>
        <v>Thiếu 3.3 giờ/tuần</v>
      </c>
      <c r="AW23" s="465" t="str">
        <f t="shared" si="20"/>
        <v>OK</v>
      </c>
      <c r="AX23" s="479" t="str">
        <f>'Trung tâm nhập liệu'!Y168</f>
        <v/>
      </c>
    </row>
    <row r="24" ht="15.75" customHeight="1">
      <c r="A24" s="424">
        <f t="shared" si="11"/>
        <v>11</v>
      </c>
      <c r="B24" s="572" t="str">
        <f>'Trung tâm nhập liệu'!F169</f>
        <v>XD &amp; phản biện công thức (nội bộ) B2B</v>
      </c>
      <c r="C24" s="591" t="str">
        <f>'Trung tâm nhập liệu'!M169</f>
        <v>P2</v>
      </c>
      <c r="D24" s="592">
        <f t="shared" ref="D24:E24" si="45">AG24</f>
        <v>0</v>
      </c>
      <c r="E24" s="593">
        <f t="shared" si="45"/>
        <v>9</v>
      </c>
      <c r="F24" s="575">
        <f t="shared" ref="F24:G24" si="46">U24</f>
        <v>46300</v>
      </c>
      <c r="G24" s="575">
        <f t="shared" si="46"/>
        <v>46290</v>
      </c>
      <c r="H24" s="576" t="str">
        <f>IF(B24="","",IF(COUNTIF('Lớp 6 - Chi tiết'!$J$14:$J$267,I24)&gt;0,"Có","Không"))</f>
        <v>Không</v>
      </c>
      <c r="I24" s="577" t="str">
        <f>'Trung tâm nhập liệu'!B169</f>
        <v>HHL5DL03-01</v>
      </c>
      <c r="J24" s="577" t="str">
        <f>'Trung tâm nhập liệu'!D169</f>
        <v>HHL4DL03</v>
      </c>
      <c r="K24" s="597" t="str">
        <f t="array" ref="K24">IFERROR(INDEX('Lớp 4 - Danh mục'!$J$14:$J$132,MATCH(J24,'Lớp 4 - Danh mục'!$I$14:$I$132,0)),"")</f>
        <v>HHL3CT03</v>
      </c>
      <c r="L24" s="598">
        <f t="array" ref="L24">IFERROR(INDEX('Lớp 4 - Danh mục'!$K$14:$K$132,MATCH(J24,'Lớp 4 - Danh mục'!$I$14:$I$132,0)),"")</f>
        <v>2026</v>
      </c>
      <c r="M24" s="438" t="str">
        <f t="array" ref="M24">IFERROR(INDEX('Lớp 4 - Danh mục'!$L$14:$L$132,MATCH(J24,'Lớp 4 - Danh mục'!$I$14:$I$132,0)),"")</f>
        <v>Cấp công ty</v>
      </c>
      <c r="N24" s="597" t="str">
        <f t="array" ref="N24">IFERROR(INDEX('Lớp 4 - Danh mục'!$M$14:$M$132,MATCH(J24,'Lớp 4 - Danh mục'!$I$14:$I$132,0)),"")</f>
        <v>Chiến lược/sống còn</v>
      </c>
      <c r="O24" s="597" t="str">
        <f t="array" ref="O24">IFERROR(INDEX('Lớp 4 - Danh mục'!$N$14:$N$132,MATCH(J24,'Lớp 4 - Danh mục'!$I$14:$I$132,0)),"")</f>
        <v>KHKD 2027&amp; HT lập KH theo tham số KD (bán tự động)</v>
      </c>
      <c r="P24" s="597" t="str">
        <f t="array" ref="P24">IFERROR(INDEX('Lớp 4 - Danh mục'!$O$14:$O$132,MATCH(J24,'Lớp 4 - Danh mục'!$I$14:$I$132,0)),"")</f>
        <v>Xây dựng công thức &amp; tạo HT tham số cho KH B2B</v>
      </c>
      <c r="Q24" s="581" t="str">
        <f t="shared" ref="Q24:T24" si="47">B24</f>
        <v>XD &amp; phản biện công thức (nội bộ) B2B</v>
      </c>
      <c r="R24" s="420" t="str">
        <f t="shared" si="47"/>
        <v>P2</v>
      </c>
      <c r="S24" s="582">
        <f t="shared" si="47"/>
        <v>0</v>
      </c>
      <c r="T24" s="583">
        <f t="shared" si="47"/>
        <v>9</v>
      </c>
      <c r="U24" s="584">
        <f>IF($I24="","",LET(n,COUNTIFS('Lớp 6 - Chi tiết'!$J$14:$J$267,$I24,'Lớp 6 - Chi tiết'!$AE$14:$AE$267,"&lt;&gt;Hủy"),child,IFERROR(MAXIFS('Lớp 6 - Chi tiết'!$AH$14:$AH$267,'Lớp 6 - Chi tiết'!$J$14:$J$267,$I24,'Lớp 6 - Chi tiết'!$AE$14:$AE$267,"&lt;&gt;Hủy",'Lớp 6 - Chi tiết'!$AH$14:$AH$267,"&gt;0"),0),plan,'Trung tâm nhập liệu'!Q169,emergent,LOWER(TRIM('Trung tâm nhập liệu'!O169))="khi phát sinh",IF(n=0,IF(emergent,"",plan),IF(child=0,IF(emergent,"",plan),IF(OR(emergent,plan=""),child,MAX(plan,child))))))</f>
        <v>46300</v>
      </c>
      <c r="V24" s="584">
        <f>IF($I24="","",LET(n,COUNTIFS('Lớp 6 - Chi tiết'!$J$14:$J$267,$I24,'Lớp 6 - Chi tiết'!$AE$14:$AE$267,"&lt;&gt;Hủy"),child,IFERROR(MINIFS('Lớp 6 - Chi tiết'!$AG$14:$AG$267,'Lớp 6 - Chi tiết'!$J$14:$J$267,$I24,'Lớp 6 - Chi tiết'!$AE$14:$AE$267,"&lt;&gt;Hủy",'Lớp 6 - Chi tiết'!$AG$14:$AG$267,"&gt;0"),0),plan,'Trung tâm nhập liệu'!R169,emergent,LOWER(TRIM('Trung tâm nhập liệu'!O169))="khi phát sinh",IF(n=0,IF(emergent,"",plan),IF(child=0,IF(emergent,"",plan),IF(OR(emergent,plan=""),child,MIN(plan,child))))))</f>
        <v>46290</v>
      </c>
      <c r="W24" s="577" t="str">
        <f t="shared" si="15"/>
        <v>Không</v>
      </c>
      <c r="X24" s="577" t="str">
        <f>'Trung tâm nhập liệu'!G169</f>
        <v>Bộ công thức kế hoạch B2B được xây dựng, phản biện nội bộ và chốt phiên bản.</v>
      </c>
      <c r="Y24" s="585" t="str">
        <f>'Trung tâm nhập liệu'!H169</f>
        <v/>
      </c>
      <c r="Z24" s="586" t="str">
        <f t="array" ref="Z24">IFERROR(INDEX('Lớp 4 - Danh mục'!$X$14:$X$132,MATCH(J24,'Lớp 4 - Danh mục'!$I$14:$I$132,0)),"")</f>
        <v>Dữ liệu điều hành</v>
      </c>
      <c r="AA24" s="577" t="str">
        <f>'Trung tâm nhập liệu'!K169</f>
        <v>Em Đại</v>
      </c>
      <c r="AB24" s="572" t="str">
        <f>'Trung tâm nhập liệu'!L169</f>
        <v>Chưa bắt đầu</v>
      </c>
      <c r="AC24" s="420" t="str">
        <f>'Trung tâm nhập liệu'!M169</f>
        <v>P2</v>
      </c>
      <c r="AD24" s="584">
        <f t="shared" si="16"/>
        <v>46290</v>
      </c>
      <c r="AE24" s="584">
        <f t="shared" si="17"/>
        <v>46300</v>
      </c>
      <c r="AF24" s="587">
        <f>IF(AM24&lt;&gt;"Có thời hạn","",IF(OR(AD24="",AE24=""),"",IF(AE24&lt;AD24,"",_xlfn.NETWORKDAYS.INTL(AD24,AE24,11,'Ngày nghỉ lễ'!$A$5:$A$80))))</f>
        <v>9</v>
      </c>
      <c r="AG24" s="588">
        <f>IF(I24="","",IF(L24="Công việc khác","",IF(OR(AB24="Chưa lên lịch",AB24="Đã lên lịch",AB24="Hủy"),"",IF(COUNTIFS('Lớp 6 - Chi tiết'!$J$14:$J$267,I24,'Lớp 6 - Chi tiết'!$AE$14:$AE$267,"&lt;&gt;",'Lớp 6 - Chi tiết'!$AE$14:$AE$267,"&lt;&gt;Hủy",'Lớp 6 - Chi tiết'!$AE$14:$AE$267,"&lt;&gt;Chưa lên lịch",'Lớp 6 - Chi tiết'!$AE$14:$AE$267,"&lt;&gt;Đã lên lịch")&gt;0,SUMIFS('Lớp 6 - Chi tiết'!$AJ$14:$AJ$267,'Lớp 6 - Chi tiết'!$J$14:$J$267,I24,'Lớp 6 - Chi tiết'!$AE$14:$AE$267,"&lt;&gt;",'Lớp 6 - Chi tiết'!$AE$14:$AE$267,"&lt;&gt;Hủy",'Lớp 6 - Chi tiết'!$AE$14:$AE$267,"&lt;&gt;Chưa lên lịch",'Lớp 6 - Chi tiết'!$AE$14:$AE$267,"&lt;&gt;Đã lên lịch")/COUNTIFS('Lớp 6 - Chi tiết'!$J$14:$J$267,I24,'Lớp 6 - Chi tiết'!$AE$14:$AE$267,"&lt;&gt;",'Lớp 6 - Chi tiết'!$AE$14:$AE$267,"&lt;&gt;Hủy",'Lớp 6 - Chi tiết'!$AE$14:$AE$267,"&lt;&gt;Chưa lên lịch",'Lớp 6 - Chi tiết'!$AE$14:$AE$267,"&lt;&gt;Đã lên lịch"),IF(AB24="Hoàn thành",1,0)))))</f>
        <v>0</v>
      </c>
      <c r="AH24" s="587">
        <f>IF(AM24&lt;&gt;"Có thời hạn","",IF(OR(I24="",AD24="",AE24=""),"",IF(OR(AB24="Hoàn thành",AB24="Hủy"),0,IF(AE24&lt;TODAY(),-_xlfn.NETWORKDAYS.INTL(AE24,TODAY()-1,11,'Ngày nghỉ lễ'!$A$5:$A$80),MAX(0,_xlfn.NETWORKDAYS.INTL(MAX(TODAY()+1,AD24),AE24,11,'Ngày nghỉ lễ'!$A$5:$A$80))))))</f>
        <v>9</v>
      </c>
      <c r="AI24" s="589">
        <f>IF($I24="","",LET(n,COUNTIFS('Lớp 6 - Chi tiết'!$J$14:$J$267,$I24,'Lớp 6 - Chi tiết'!$AE$14:$AE$267,"&lt;&gt;Hủy"),du,COUNTIFS('Lớp 6 - Chi tiết'!$J$14:$J$267,$I24,'Lớp 6 - Chi tiết'!$AE$14:$AE$267,"&lt;&gt;Hủy",'Lớp 6 - Chi tiết'!$AL$14:$AL$267,"&lt;&gt;"),IF(n=0,'Trung tâm nhập liệu'!T169,IF(du&lt;n,"",SUMIFS('Lớp 6 - Chi tiết'!$AL$14:$AL$267,'Lớp 6 - Chi tiết'!$J$14:$J$267,$I24,'Lớp 6 - Chi tiết'!$AE$14:$AE$267,"&lt;&gt;Hủy")))))</f>
        <v>16</v>
      </c>
      <c r="AJ24" s="468">
        <f>IF(I24="","",IF(OR(AB24="Hoàn thành",AB24="Hủy"),"",IF(COUNTIFS('Lớp 6 - Chi tiết'!$J$14:$J$267,I24,'Lớp 6 - Chi tiết'!$AE$14:$AE$267,"&lt;&gt;Hủy")&gt;0,"",IF(AS24="Ngày",AT24,IF(AS24="Tuần",AT24/5,"")))))</f>
        <v>0.8</v>
      </c>
      <c r="AK24" s="477" t="str">
        <f>IF(AM24="Chưa xếp lịch","Chưa xếp lịch",IF(AM24="Định kỳ",IF(AN24="","Thiếu chu kỳ","Theo chu kỳ"),IF(AM24="Khi phát sinh",IF(COUNTIFS('Lớp 6 - Chi tiết'!$J$14:$J$267,$I24,'Lớp 6 - Chi tiết'!$AE$14:$AE$267,"&lt;&gt;Hủy")=0,"Khi phát sinh – chờ việc con","Khi phát sinh – theo ngày con"),IF(I24="","",LET(n,COUNTIFS('Lớp 6 - Chi tiết'!$J$14:$J$267,$I24,'Lớp 6 - Chi tiết'!$AE$14:$AE$267,"&lt;&gt;Hủy"),cs,IFERROR(MINIFS('Lớp 6 - Chi tiết'!$AG$14:$AG$267,'Lớp 6 - Chi tiết'!$J$14:$J$267,$I24,'Lớp 6 - Chi tiết'!$AE$14:$AE$267,"&lt;&gt;Hủy",'Lớp 6 - Chi tiết'!$AG$14:$AG$267,"&gt;0"),0),ce,IFERROR(MAXIFS('Lớp 6 - Chi tiết'!$AH$14:$AH$267,'Lớp 6 - Chi tiết'!$J$14:$J$267,$I24,'Lớp 6 - Chi tiết'!$AE$14:$AE$267,"&lt;&gt;Hủy",'Lớp 6 - Chi tiết'!$AH$14:$AH$267,"&gt;0"),0),ps,'Trung tâm nhập liệu'!R169,pe,'Trung tâm nhập liệu'!Q169,IF(OR(AD24="",AE24=""),"Thiếu ngày L5",IF(n=0,"Chưa có L6",IF(OR(cs=0,ce=0),"Thiếu ngày L6",IF(OR(ps="",pe=""),"Thiếu ngày kế hoạch gốc L5",IF(OR(cs&lt;ps,ce&gt;pe),"Cảnh báo: Con vượt khung kế hoạch gốc","L6 đúng khung kế hoạch gốc"))))))))))</f>
        <v>Chưa có L6</v>
      </c>
      <c r="AL24" s="465" t="str">
        <f>IF(OR(AV24="Thiếu tham số phân bổ",AV24="Phân bổ phải &gt; 0"),AV24,SWITCH(AM24,"Chưa xếp lịch","Chưa tính tải","Định kỳ","Theo chu kỳ","Khi phát sinh","Khi phát sinh",IF(I24="","",IF(OR(AB24="Hoàn thành",AB24="Hủy"),AB24,IF(COUNTIFS('Lớp 6 - Chi tiết'!$J$14:$J$267,I24,'Lớp 6 - Chi tiết'!$AE$14:$AE$267,"&lt;&gt;Hủy")&gt;0,"Theo dõi tải tại Lớp 6",IF(AI24="","Chưa nhập khối lượng",IF(AA24="","Thiếu người thực hiện",IF(OR(AD24="",AE24=""),"Chưa nhập đủ thời gian",IF(AH24&lt;0,"Quá hạn – còn "&amp;TEXT(MAX(0,AI24*(1-AG24)),"0.0")&amp;" giờ",LET(bd,MAX(TODAY(),AD24),kt,AE24,nguoi,AA24,tai,SUMIFS('Lớp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15.2/8.0 giờ/ngày</v>
      </c>
      <c r="AM24" s="467" t="str">
        <f>'Trung tâm nhập liệu'!O169</f>
        <v>Có thời hạn</v>
      </c>
      <c r="AN24" s="469" t="str">
        <f>'Trung tâm nhập liệu'!P169</f>
        <v/>
      </c>
      <c r="AO24" s="470" t="str">
        <f>'Trung tâm nhập liệu'!S169</f>
        <v/>
      </c>
      <c r="AP24" s="470" t="str">
        <f>'Trung tâm nhập liệu'!X169</f>
        <v/>
      </c>
      <c r="AQ24" s="471" t="str">
        <f t="shared" si="18"/>
        <v/>
      </c>
      <c r="AR24" s="469" t="str">
        <f t="shared" si="19"/>
        <v/>
      </c>
      <c r="AS24" s="475" t="str">
        <f>'Trung tâm nhập liệu'!V169</f>
        <v>Tuần</v>
      </c>
      <c r="AT24" s="476">
        <f>'Trung tâm nhập liệu'!W169</f>
        <v>4</v>
      </c>
      <c r="AU24" s="478">
        <f>IF(AM24&lt;&gt;"Có thời hạn","",IF(OR(I24="",AI24="",AB24="Hoàn thành",AB24="Hủy",COUNTIFS('Lớp 6 - Chi tiết'!$J$14:$J$267,I24,'Lớp 6 - Chi tiết'!$AE$14:$AE$267,"&lt;&gt;Hủy")&gt;0),"",LET(canNgay,MAX(0,AI24*(1-AG24))/MAX(1,AH24),IF(AS24="Ngày",canNgay,IF(AS24="Tuần",canNgay*5,"")))))</f>
        <v>8.888888889</v>
      </c>
      <c r="AV24" s="465" t="str">
        <f>IF(I24="","",IF(COUNTIFS('Lớp 6 - Chi tiết'!$J$14:$J$267,I24,'Lớp 6 - Chi tiết'!$AE$14:$AE$267,"&lt;&gt;Hủy")&gt;0,"Theo dõi phân bổ tại Lớp 6",IF(OR(AB24="Hoàn thành",AB24="Hủy"),AB24,IF(AI24="","Thiếu tổng giờ",IF(OR(AS24="",AT24=""),"Thiếu tham số phân bổ",IF(AT24&lt;=0,"Phân bổ phải &gt; 0",IF(AM24&lt;&gt;"Có thời hạn","Đã có phân bổ",IF(AU24="","Chưa đủ dữ liệu hạn",IF(AT24&gt;=AU24,"Đủ phân bổ theo "&amp;LOWER(AS24),"Thiếu "&amp;TEXT(AU24-AT24,"0.0")&amp;" giờ/"&amp;LOWER(AS24))))))))))</f>
        <v>Thiếu 4.9 giờ/tuần</v>
      </c>
      <c r="AW24" s="465" t="str">
        <f t="shared" si="20"/>
        <v>Chưa đến ngày bắt đầu – nên Đã lên lịch</v>
      </c>
      <c r="AX24" s="479" t="str">
        <f>'Trung tâm nhập liệu'!Y169</f>
        <v/>
      </c>
    </row>
    <row r="25" ht="15.75" customHeight="1">
      <c r="A25" s="424">
        <f t="shared" si="11"/>
        <v>12</v>
      </c>
      <c r="B25" s="572" t="str">
        <f>'Trung tâm nhập liệu'!F170</f>
        <v>Phản biện với TGĐ &amp; liên PB B2B</v>
      </c>
      <c r="C25" s="591" t="str">
        <f>'Trung tâm nhập liệu'!M170</f>
        <v>P2</v>
      </c>
      <c r="D25" s="592">
        <f t="shared" ref="D25:E25" si="48">AG25</f>
        <v>0</v>
      </c>
      <c r="E25" s="593">
        <f t="shared" si="48"/>
        <v>9</v>
      </c>
      <c r="F25" s="575">
        <f t="shared" ref="F25:G25" si="49">U25</f>
        <v>46310</v>
      </c>
      <c r="G25" s="575">
        <f t="shared" si="49"/>
        <v>46301</v>
      </c>
      <c r="H25" s="576" t="str">
        <f>IF(B25="","",IF(COUNTIF('Lớp 6 - Chi tiết'!$J$14:$J$267,I25)&gt;0,"Có","Không"))</f>
        <v>Không</v>
      </c>
      <c r="I25" s="577" t="str">
        <f>'Trung tâm nhập liệu'!B170</f>
        <v>HHL5DL03-02</v>
      </c>
      <c r="J25" s="577" t="str">
        <f>'Trung tâm nhập liệu'!D170</f>
        <v>HHL4DL03</v>
      </c>
      <c r="K25" s="597" t="str">
        <f t="array" ref="K25">IFERROR(INDEX('Lớp 4 - Danh mục'!$J$14:$J$132,MATCH(J25,'Lớp 4 - Danh mục'!$I$14:$I$132,0)),"")</f>
        <v>HHL3CT03</v>
      </c>
      <c r="L25" s="598">
        <f t="array" ref="L25">IFERROR(INDEX('Lớp 4 - Danh mục'!$K$14:$K$132,MATCH(J25,'Lớp 4 - Danh mục'!$I$14:$I$132,0)),"")</f>
        <v>2026</v>
      </c>
      <c r="M25" s="438" t="str">
        <f t="array" ref="M25">IFERROR(INDEX('Lớp 4 - Danh mục'!$L$14:$L$132,MATCH(J25,'Lớp 4 - Danh mục'!$I$14:$I$132,0)),"")</f>
        <v>Cấp công ty</v>
      </c>
      <c r="N25" s="597" t="str">
        <f t="array" ref="N25">IFERROR(INDEX('Lớp 4 - Danh mục'!$M$14:$M$132,MATCH(J25,'Lớp 4 - Danh mục'!$I$14:$I$132,0)),"")</f>
        <v>Chiến lược/sống còn</v>
      </c>
      <c r="O25" s="597" t="str">
        <f t="array" ref="O25">IFERROR(INDEX('Lớp 4 - Danh mục'!$N$14:$N$132,MATCH(J25,'Lớp 4 - Danh mục'!$I$14:$I$132,0)),"")</f>
        <v>KHKD 2027&amp; HT lập KH theo tham số KD (bán tự động)</v>
      </c>
      <c r="P25" s="597" t="str">
        <f t="array" ref="P25">IFERROR(INDEX('Lớp 4 - Danh mục'!$O$14:$O$132,MATCH(J25,'Lớp 4 - Danh mục'!$I$14:$I$132,0)),"")</f>
        <v>Xây dựng công thức &amp; tạo HT tham số cho KH B2B</v>
      </c>
      <c r="Q25" s="581" t="str">
        <f t="shared" ref="Q25:T25" si="50">B25</f>
        <v>Phản biện với TGĐ &amp; liên PB B2B</v>
      </c>
      <c r="R25" s="420" t="str">
        <f t="shared" si="50"/>
        <v>P2</v>
      </c>
      <c r="S25" s="582">
        <f t="shared" si="50"/>
        <v>0</v>
      </c>
      <c r="T25" s="583">
        <f t="shared" si="50"/>
        <v>9</v>
      </c>
      <c r="U25" s="584">
        <f>IF($I25="","",LET(n,COUNTIFS('Lớp 6 - Chi tiết'!$J$14:$J$267,$I25,'Lớp 6 - Chi tiết'!$AE$14:$AE$267,"&lt;&gt;Hủy"),child,IFERROR(MAXIFS('Lớp 6 - Chi tiết'!$AH$14:$AH$267,'Lớp 6 - Chi tiết'!$J$14:$J$267,$I25,'Lớp 6 - Chi tiết'!$AE$14:$AE$267,"&lt;&gt;Hủy",'Lớp 6 - Chi tiết'!$AH$14:$AH$267,"&gt;0"),0),plan,'Trung tâm nhập liệu'!Q170,emergent,LOWER(TRIM('Trung tâm nhập liệu'!O170))="khi phát sinh",IF(n=0,IF(emergent,"",plan),IF(child=0,IF(emergent,"",plan),IF(OR(emergent,plan=""),child,MAX(plan,child))))))</f>
        <v>46310</v>
      </c>
      <c r="V25" s="584">
        <f>IF($I25="","",LET(n,COUNTIFS('Lớp 6 - Chi tiết'!$J$14:$J$267,$I25,'Lớp 6 - Chi tiết'!$AE$14:$AE$267,"&lt;&gt;Hủy"),child,IFERROR(MINIFS('Lớp 6 - Chi tiết'!$AG$14:$AG$267,'Lớp 6 - Chi tiết'!$J$14:$J$267,$I25,'Lớp 6 - Chi tiết'!$AE$14:$AE$267,"&lt;&gt;Hủy",'Lớp 6 - Chi tiết'!$AG$14:$AG$267,"&gt;0"),0),plan,'Trung tâm nhập liệu'!R170,emergent,LOWER(TRIM('Trung tâm nhập liệu'!O170))="khi phát sinh",IF(n=0,IF(emergent,"",plan),IF(child=0,IF(emergent,"",plan),IF(OR(emergent,plan=""),child,MIN(plan,child))))))</f>
        <v>46301</v>
      </c>
      <c r="W25" s="577" t="str">
        <f t="shared" si="15"/>
        <v>Không</v>
      </c>
      <c r="X25" s="577" t="str">
        <f>'Trung tâm nhập liệu'!G170</f>
        <v>Biên bản phản biện công thức B2B và danh mục điều chỉnh được thống nhất.</v>
      </c>
      <c r="Y25" s="585" t="str">
        <f>'Trung tâm nhập liệu'!H170</f>
        <v/>
      </c>
      <c r="Z25" s="586" t="str">
        <f t="array" ref="Z25">IFERROR(INDEX('Lớp 4 - Danh mục'!$X$14:$X$132,MATCH(J25,'Lớp 4 - Danh mục'!$I$14:$I$132,0)),"")</f>
        <v>Dữ liệu điều hành</v>
      </c>
      <c r="AA25" s="577" t="str">
        <f>'Trung tâm nhập liệu'!K170</f>
        <v>Em Đại</v>
      </c>
      <c r="AB25" s="572" t="str">
        <f>'Trung tâm nhập liệu'!L170</f>
        <v>Chưa bắt đầu</v>
      </c>
      <c r="AC25" s="420" t="str">
        <f>'Trung tâm nhập liệu'!M170</f>
        <v>P2</v>
      </c>
      <c r="AD25" s="584">
        <f t="shared" si="16"/>
        <v>46301</v>
      </c>
      <c r="AE25" s="584">
        <f t="shared" si="17"/>
        <v>46310</v>
      </c>
      <c r="AF25" s="587">
        <f>IF(AM25&lt;&gt;"Có thời hạn","",IF(OR(AD25="",AE25=""),"",IF(AE25&lt;AD25,"",_xlfn.NETWORKDAYS.INTL(AD25,AE25,11,'Ngày nghỉ lễ'!$A$5:$A$80))))</f>
        <v>9</v>
      </c>
      <c r="AG25" s="588">
        <f>IF(I25="","",IF(L25="Công việc khác","",IF(OR(AB25="Chưa lên lịch",AB25="Đã lên lịch",AB25="Hủy"),"",IF(COUNTIFS('Lớp 6 - Chi tiết'!$J$14:$J$267,I25,'Lớp 6 - Chi tiết'!$AE$14:$AE$267,"&lt;&gt;",'Lớp 6 - Chi tiết'!$AE$14:$AE$267,"&lt;&gt;Hủy",'Lớp 6 - Chi tiết'!$AE$14:$AE$267,"&lt;&gt;Chưa lên lịch",'Lớp 6 - Chi tiết'!$AE$14:$AE$267,"&lt;&gt;Đã lên lịch")&gt;0,SUMIFS('Lớp 6 - Chi tiết'!$AJ$14:$AJ$267,'Lớp 6 - Chi tiết'!$J$14:$J$267,I25,'Lớp 6 - Chi tiết'!$AE$14:$AE$267,"&lt;&gt;",'Lớp 6 - Chi tiết'!$AE$14:$AE$267,"&lt;&gt;Hủy",'Lớp 6 - Chi tiết'!$AE$14:$AE$267,"&lt;&gt;Chưa lên lịch",'Lớp 6 - Chi tiết'!$AE$14:$AE$267,"&lt;&gt;Đã lên lịch")/COUNTIFS('Lớp 6 - Chi tiết'!$J$14:$J$267,I25,'Lớp 6 - Chi tiết'!$AE$14:$AE$267,"&lt;&gt;",'Lớp 6 - Chi tiết'!$AE$14:$AE$267,"&lt;&gt;Hủy",'Lớp 6 - Chi tiết'!$AE$14:$AE$267,"&lt;&gt;Chưa lên lịch",'Lớp 6 - Chi tiết'!$AE$14:$AE$267,"&lt;&gt;Đã lên lịch"),IF(AB25="Hoàn thành",1,0)))))</f>
        <v>0</v>
      </c>
      <c r="AH25" s="587">
        <f>IF(AM25&lt;&gt;"Có thời hạn","",IF(OR(I25="",AD25="",AE25=""),"",IF(OR(AB25="Hoàn thành",AB25="Hủy"),0,IF(AE25&lt;TODAY(),-_xlfn.NETWORKDAYS.INTL(AE25,TODAY()-1,11,'Ngày nghỉ lễ'!$A$5:$A$80),MAX(0,_xlfn.NETWORKDAYS.INTL(MAX(TODAY()+1,AD25),AE25,11,'Ngày nghỉ lễ'!$A$5:$A$80))))))</f>
        <v>9</v>
      </c>
      <c r="AI25" s="589">
        <f>IF($I25="","",LET(n,COUNTIFS('Lớp 6 - Chi tiết'!$J$14:$J$267,$I25,'Lớp 6 - Chi tiết'!$AE$14:$AE$267,"&lt;&gt;Hủy"),du,COUNTIFS('Lớp 6 - Chi tiết'!$J$14:$J$267,$I25,'Lớp 6 - Chi tiết'!$AE$14:$AE$267,"&lt;&gt;Hủy",'Lớp 6 - Chi tiết'!$AL$14:$AL$267,"&lt;&gt;"),IF(n=0,'Trung tâm nhập liệu'!T170,IF(du&lt;n,"",SUMIFS('Lớp 6 - Chi tiết'!$AL$14:$AL$267,'Lớp 6 - Chi tiết'!$J$14:$J$267,$I25,'Lớp 6 - Chi tiết'!$AE$14:$AE$267,"&lt;&gt;Hủy")))))</f>
        <v>8</v>
      </c>
      <c r="AJ25" s="468">
        <f>IF(I25="","",IF(OR(AB25="Hoàn thành",AB25="Hủy"),"",IF(COUNTIFS('Lớp 6 - Chi tiết'!$J$14:$J$267,I25,'Lớp 6 - Chi tiết'!$AE$14:$AE$267,"&lt;&gt;Hủy")&gt;0,"",IF(AS25="Ngày",AT25,IF(AS25="Tuần",AT25/5,"")))))</f>
        <v>0.8</v>
      </c>
      <c r="AK25" s="477" t="str">
        <f>IF(AM25="Chưa xếp lịch","Chưa xếp lịch",IF(AM25="Định kỳ",IF(AN25="","Thiếu chu kỳ","Theo chu kỳ"),IF(AM25="Khi phát sinh",IF(COUNTIFS('Lớp 6 - Chi tiết'!$J$14:$J$267,$I25,'Lớp 6 - Chi tiết'!$AE$14:$AE$267,"&lt;&gt;Hủy")=0,"Khi phát sinh – chờ việc con","Khi phát sinh – theo ngày con"),IF(I25="","",LET(n,COUNTIFS('Lớp 6 - Chi tiết'!$J$14:$J$267,$I25,'Lớp 6 - Chi tiết'!$AE$14:$AE$267,"&lt;&gt;Hủy"),cs,IFERROR(MINIFS('Lớp 6 - Chi tiết'!$AG$14:$AG$267,'Lớp 6 - Chi tiết'!$J$14:$J$267,$I25,'Lớp 6 - Chi tiết'!$AE$14:$AE$267,"&lt;&gt;Hủy",'Lớp 6 - Chi tiết'!$AG$14:$AG$267,"&gt;0"),0),ce,IFERROR(MAXIFS('Lớp 6 - Chi tiết'!$AH$14:$AH$267,'Lớp 6 - Chi tiết'!$J$14:$J$267,$I25,'Lớp 6 - Chi tiết'!$AE$14:$AE$267,"&lt;&gt;Hủy",'Lớp 6 - Chi tiết'!$AH$14:$AH$267,"&gt;0"),0),ps,'Trung tâm nhập liệu'!R170,pe,'Trung tâm nhập liệu'!Q170,IF(OR(AD25="",AE25=""),"Thiếu ngày L5",IF(n=0,"Chưa có L6",IF(OR(cs=0,ce=0),"Thiếu ngày L6",IF(OR(ps="",pe=""),"Thiếu ngày kế hoạch gốc L5",IF(OR(cs&lt;ps,ce&gt;pe),"Cảnh báo: Con vượt khung kế hoạch gốc","L6 đúng khung kế hoạch gốc"))))))))))</f>
        <v>Chưa có L6</v>
      </c>
      <c r="AL25" s="465" t="str">
        <f>IF(OR(AV25="Thiếu tham số phân bổ",AV25="Phân bổ phải &gt; 0"),AV25,SWITCH(AM25,"Chưa xếp lịch","Chưa tính tải","Định kỳ","Theo chu kỳ","Khi phát sinh","Khi phát sinh",IF(I25="","",IF(OR(AB25="Hoàn thành",AB25="Hủy"),AB25,IF(COUNTIFS('Lớp 6 - Chi tiết'!$J$14:$J$267,I25,'Lớp 6 - Chi tiết'!$AE$14:$AE$267,"&lt;&gt;Hủy")&gt;0,"Theo dõi tải tại Lớp 6",IF(AI25="","Chưa nhập khối lượng",IF(AA25="","Thiếu người thực hiện",IF(OR(AD25="",AE25=""),"Chưa nhập đủ thời gian",IF(AH25&lt;0,"Quá hạn – còn "&amp;TEXT(MAX(0,AI25*(1-AG25)),"0.0")&amp;" giờ",LET(bd,MAX(TODAY(),AD25),kt,AE25,nguoi,AA25,tai,SUMIFS('Lớp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20.0/8.0 giờ/ngày</v>
      </c>
      <c r="AM25" s="467" t="str">
        <f>'Trung tâm nhập liệu'!O170</f>
        <v>Có thời hạn</v>
      </c>
      <c r="AN25" s="469" t="str">
        <f>'Trung tâm nhập liệu'!P170</f>
        <v/>
      </c>
      <c r="AO25" s="470" t="str">
        <f>'Trung tâm nhập liệu'!S170</f>
        <v/>
      </c>
      <c r="AP25" s="470" t="str">
        <f>'Trung tâm nhập liệu'!X170</f>
        <v/>
      </c>
      <c r="AQ25" s="471" t="str">
        <f t="shared" si="18"/>
        <v/>
      </c>
      <c r="AR25" s="469" t="str">
        <f t="shared" si="19"/>
        <v/>
      </c>
      <c r="AS25" s="475" t="str">
        <f>'Trung tâm nhập liệu'!V170</f>
        <v>Tuần</v>
      </c>
      <c r="AT25" s="476">
        <f>'Trung tâm nhập liệu'!W170</f>
        <v>4</v>
      </c>
      <c r="AU25" s="478">
        <f>IF(AM25&lt;&gt;"Có thời hạn","",IF(OR(I25="",AI25="",AB25="Hoàn thành",AB25="Hủy",COUNTIFS('Lớp 6 - Chi tiết'!$J$14:$J$267,I25,'Lớp 6 - Chi tiết'!$AE$14:$AE$267,"&lt;&gt;Hủy")&gt;0),"",LET(canNgay,MAX(0,AI25*(1-AG25))/MAX(1,AH25),IF(AS25="Ngày",canNgay,IF(AS25="Tuần",canNgay*5,"")))))</f>
        <v>4.444444444</v>
      </c>
      <c r="AV25" s="465" t="str">
        <f>IF(I25="","",IF(COUNTIFS('Lớp 6 - Chi tiết'!$J$14:$J$267,I25,'Lớp 6 - Chi tiết'!$AE$14:$AE$267,"&lt;&gt;Hủy")&gt;0,"Theo dõi phân bổ tại Lớp 6",IF(OR(AB25="Hoàn thành",AB25="Hủy"),AB25,IF(AI25="","Thiếu tổng giờ",IF(OR(AS25="",AT25=""),"Thiếu tham số phân bổ",IF(AT25&lt;=0,"Phân bổ phải &gt; 0",IF(AM25&lt;&gt;"Có thời hạn","Đã có phân bổ",IF(AU25="","Chưa đủ dữ liệu hạn",IF(AT25&gt;=AU25,"Đủ phân bổ theo "&amp;LOWER(AS25),"Thiếu "&amp;TEXT(AU25-AT25,"0.0")&amp;" giờ/"&amp;LOWER(AS25))))))))))</f>
        <v>Thiếu 0.4 giờ/tuần</v>
      </c>
      <c r="AW25" s="465" t="str">
        <f t="shared" si="20"/>
        <v>Chưa đến ngày bắt đầu – nên Đã lên lịch</v>
      </c>
      <c r="AX25" s="479" t="str">
        <f>'Trung tâm nhập liệu'!Y170</f>
        <v/>
      </c>
    </row>
    <row r="26" ht="15.75" customHeight="1">
      <c r="A26" s="424">
        <f t="shared" si="11"/>
        <v>13</v>
      </c>
      <c r="B26" s="572" t="str">
        <f>'Trung tâm nhập liệu'!F171</f>
        <v>XD bảng Excel &amp; HT phần mềm (chạy demo) B2B</v>
      </c>
      <c r="C26" s="591" t="str">
        <f>'Trung tâm nhập liệu'!M171</f>
        <v>P2</v>
      </c>
      <c r="D26" s="592">
        <f t="shared" ref="D26:E26" si="51">AG26</f>
        <v>0</v>
      </c>
      <c r="E26" s="593">
        <f t="shared" si="51"/>
        <v>5</v>
      </c>
      <c r="F26" s="575">
        <f t="shared" ref="F26:G26" si="52">U26</f>
        <v>46305</v>
      </c>
      <c r="G26" s="575">
        <f t="shared" si="52"/>
        <v>46301</v>
      </c>
      <c r="H26" s="576" t="str">
        <f>IF(B26="","",IF(COUNTIF('Lớp 6 - Chi tiết'!$J$14:$J$267,I26)&gt;0,"Có","Không"))</f>
        <v>Không</v>
      </c>
      <c r="I26" s="577" t="str">
        <f>'Trung tâm nhập liệu'!B171</f>
        <v>HHL5DL03-03</v>
      </c>
      <c r="J26" s="577" t="str">
        <f>'Trung tâm nhập liệu'!D171</f>
        <v>HHL4DL03</v>
      </c>
      <c r="K26" s="597" t="str">
        <f t="array" ref="K26">IFERROR(INDEX('Lớp 4 - Danh mục'!$J$14:$J$132,MATCH(J26,'Lớp 4 - Danh mục'!$I$14:$I$132,0)),"")</f>
        <v>HHL3CT03</v>
      </c>
      <c r="L26" s="598">
        <f t="array" ref="L26">IFERROR(INDEX('Lớp 4 - Danh mục'!$K$14:$K$132,MATCH(J26,'Lớp 4 - Danh mục'!$I$14:$I$132,0)),"")</f>
        <v>2026</v>
      </c>
      <c r="M26" s="438" t="str">
        <f t="array" ref="M26">IFERROR(INDEX('Lớp 4 - Danh mục'!$L$14:$L$132,MATCH(J26,'Lớp 4 - Danh mục'!$I$14:$I$132,0)),"")</f>
        <v>Cấp công ty</v>
      </c>
      <c r="N26" s="597" t="str">
        <f t="array" ref="N26">IFERROR(INDEX('Lớp 4 - Danh mục'!$M$14:$M$132,MATCH(J26,'Lớp 4 - Danh mục'!$I$14:$I$132,0)),"")</f>
        <v>Chiến lược/sống còn</v>
      </c>
      <c r="O26" s="597" t="str">
        <f t="array" ref="O26">IFERROR(INDEX('Lớp 4 - Danh mục'!$N$14:$N$132,MATCH(J26,'Lớp 4 - Danh mục'!$I$14:$I$132,0)),"")</f>
        <v>KHKD 2027&amp; HT lập KH theo tham số KD (bán tự động)</v>
      </c>
      <c r="P26" s="597" t="str">
        <f t="array" ref="P26">IFERROR(INDEX('Lớp 4 - Danh mục'!$O$14:$O$132,MATCH(J26,'Lớp 4 - Danh mục'!$I$14:$I$132,0)),"")</f>
        <v>Xây dựng công thức &amp; tạo HT tham số cho KH B2B</v>
      </c>
      <c r="Q26" s="581" t="str">
        <f t="shared" ref="Q26:T26" si="53">B26</f>
        <v>XD bảng Excel &amp; HT phần mềm (chạy demo) B2B</v>
      </c>
      <c r="R26" s="420" t="str">
        <f t="shared" si="53"/>
        <v>P2</v>
      </c>
      <c r="S26" s="582">
        <f t="shared" si="53"/>
        <v>0</v>
      </c>
      <c r="T26" s="583">
        <f t="shared" si="53"/>
        <v>5</v>
      </c>
      <c r="U26" s="584">
        <f>IF($I26="","",LET(n,COUNTIFS('Lớp 6 - Chi tiết'!$J$14:$J$267,$I26,'Lớp 6 - Chi tiết'!$AE$14:$AE$267,"&lt;&gt;Hủy"),child,IFERROR(MAXIFS('Lớp 6 - Chi tiết'!$AH$14:$AH$267,'Lớp 6 - Chi tiết'!$J$14:$J$267,$I26,'Lớp 6 - Chi tiết'!$AE$14:$AE$267,"&lt;&gt;Hủy",'Lớp 6 - Chi tiết'!$AH$14:$AH$267,"&gt;0"),0),plan,'Trung tâm nhập liệu'!Q171,emergent,LOWER(TRIM('Trung tâm nhập liệu'!O171))="khi phát sinh",IF(n=0,IF(emergent,"",plan),IF(child=0,IF(emergent,"",plan),IF(OR(emergent,plan=""),child,MAX(plan,child))))))</f>
        <v>46305</v>
      </c>
      <c r="V26" s="584">
        <f>IF($I26="","",LET(n,COUNTIFS('Lớp 6 - Chi tiết'!$J$14:$J$267,$I26,'Lớp 6 - Chi tiết'!$AE$14:$AE$267,"&lt;&gt;Hủy"),child,IFERROR(MINIFS('Lớp 6 - Chi tiết'!$AG$14:$AG$267,'Lớp 6 - Chi tiết'!$J$14:$J$267,$I26,'Lớp 6 - Chi tiết'!$AE$14:$AE$267,"&lt;&gt;Hủy",'Lớp 6 - Chi tiết'!$AG$14:$AG$267,"&gt;0"),0),plan,'Trung tâm nhập liệu'!R171,emergent,LOWER(TRIM('Trung tâm nhập liệu'!O171))="khi phát sinh",IF(n=0,IF(emergent,"",plan),IF(child=0,IF(emergent,"",plan),IF(OR(emergent,plan=""),child,MIN(plan,child))))))</f>
        <v>46301</v>
      </c>
      <c r="W26" s="577" t="str">
        <f t="shared" si="15"/>
        <v>Không</v>
      </c>
      <c r="X26" s="577" t="str">
        <f>'Trung tâm nhập liệu'!G171</f>
        <v>File Excel và bản demo hệ thống kế hoạch B2B vận hành đúng công thức.</v>
      </c>
      <c r="Y26" s="585" t="str">
        <f>'Trung tâm nhập liệu'!H171</f>
        <v/>
      </c>
      <c r="Z26" s="586" t="str">
        <f t="array" ref="Z26">IFERROR(INDEX('Lớp 4 - Danh mục'!$X$14:$X$132,MATCH(J26,'Lớp 4 - Danh mục'!$I$14:$I$132,0)),"")</f>
        <v>Dữ liệu điều hành</v>
      </c>
      <c r="AA26" s="577" t="str">
        <f>'Trung tâm nhập liệu'!K171</f>
        <v>Em Đại</v>
      </c>
      <c r="AB26" s="572" t="str">
        <f>'Trung tâm nhập liệu'!L171</f>
        <v>Chưa bắt đầu</v>
      </c>
      <c r="AC26" s="420" t="str">
        <f>'Trung tâm nhập liệu'!M171</f>
        <v>P2</v>
      </c>
      <c r="AD26" s="584">
        <f t="shared" si="16"/>
        <v>46301</v>
      </c>
      <c r="AE26" s="584">
        <f t="shared" si="17"/>
        <v>46305</v>
      </c>
      <c r="AF26" s="587">
        <f>IF(AM26&lt;&gt;"Có thời hạn","",IF(OR(AD26="",AE26=""),"",IF(AE26&lt;AD26,"",_xlfn.NETWORKDAYS.INTL(AD26,AE26,11,'Ngày nghỉ lễ'!$A$5:$A$80))))</f>
        <v>5</v>
      </c>
      <c r="AG26" s="588">
        <f>IF(I26="","",IF(L26="Công việc khác","",IF(OR(AB26="Chưa lên lịch",AB26="Đã lên lịch",AB26="Hủy"),"",IF(COUNTIFS('Lớp 6 - Chi tiết'!$J$14:$J$267,I26,'Lớp 6 - Chi tiết'!$AE$14:$AE$267,"&lt;&gt;",'Lớp 6 - Chi tiết'!$AE$14:$AE$267,"&lt;&gt;Hủy",'Lớp 6 - Chi tiết'!$AE$14:$AE$267,"&lt;&gt;Chưa lên lịch",'Lớp 6 - Chi tiết'!$AE$14:$AE$267,"&lt;&gt;Đã lên lịch")&gt;0,SUMIFS('Lớp 6 - Chi tiết'!$AJ$14:$AJ$267,'Lớp 6 - Chi tiết'!$J$14:$J$267,I26,'Lớp 6 - Chi tiết'!$AE$14:$AE$267,"&lt;&gt;",'Lớp 6 - Chi tiết'!$AE$14:$AE$267,"&lt;&gt;Hủy",'Lớp 6 - Chi tiết'!$AE$14:$AE$267,"&lt;&gt;Chưa lên lịch",'Lớp 6 - Chi tiết'!$AE$14:$AE$267,"&lt;&gt;Đã lên lịch")/COUNTIFS('Lớp 6 - Chi tiết'!$J$14:$J$267,I26,'Lớp 6 - Chi tiết'!$AE$14:$AE$267,"&lt;&gt;",'Lớp 6 - Chi tiết'!$AE$14:$AE$267,"&lt;&gt;Hủy",'Lớp 6 - Chi tiết'!$AE$14:$AE$267,"&lt;&gt;Chưa lên lịch",'Lớp 6 - Chi tiết'!$AE$14:$AE$267,"&lt;&gt;Đã lên lịch"),IF(AB26="Hoàn thành",1,0)))))</f>
        <v>0</v>
      </c>
      <c r="AH26" s="587">
        <f>IF(AM26&lt;&gt;"Có thời hạn","",IF(OR(I26="",AD26="",AE26=""),"",IF(OR(AB26="Hoàn thành",AB26="Hủy"),0,IF(AE26&lt;TODAY(),-_xlfn.NETWORKDAYS.INTL(AE26,TODAY()-1,11,'Ngày nghỉ lễ'!$A$5:$A$80),MAX(0,_xlfn.NETWORKDAYS.INTL(MAX(TODAY()+1,AD26),AE26,11,'Ngày nghỉ lễ'!$A$5:$A$80))))))</f>
        <v>5</v>
      </c>
      <c r="AI26" s="589">
        <f>IF($I26="","",LET(n,COUNTIFS('Lớp 6 - Chi tiết'!$J$14:$J$267,$I26,'Lớp 6 - Chi tiết'!$AE$14:$AE$267,"&lt;&gt;Hủy"),du,COUNTIFS('Lớp 6 - Chi tiết'!$J$14:$J$267,$I26,'Lớp 6 - Chi tiết'!$AE$14:$AE$267,"&lt;&gt;Hủy",'Lớp 6 - Chi tiết'!$AL$14:$AL$267,"&lt;&gt;"),IF(n=0,'Trung tâm nhập liệu'!T171,IF(du&lt;n,"",SUMIFS('Lớp 6 - Chi tiết'!$AL$14:$AL$267,'Lớp 6 - Chi tiết'!$J$14:$J$267,$I26,'Lớp 6 - Chi tiết'!$AE$14:$AE$267,"&lt;&gt;Hủy")))))</f>
        <v>24</v>
      </c>
      <c r="AJ26" s="468">
        <f>IF(I26="","",IF(OR(AB26="Hoàn thành",AB26="Hủy"),"",IF(COUNTIFS('Lớp 6 - Chi tiết'!$J$14:$J$267,I26,'Lớp 6 - Chi tiết'!$AE$14:$AE$267,"&lt;&gt;Hủy")&gt;0,"",IF(AS26="Ngày",AT26,IF(AS26="Tuần",AT26/5,"")))))</f>
        <v>0.8</v>
      </c>
      <c r="AK26" s="477" t="str">
        <f>IF(AM26="Chưa xếp lịch","Chưa xếp lịch",IF(AM26="Định kỳ",IF(AN26="","Thiếu chu kỳ","Theo chu kỳ"),IF(AM26="Khi phát sinh",IF(COUNTIFS('Lớp 6 - Chi tiết'!$J$14:$J$267,$I26,'Lớp 6 - Chi tiết'!$AE$14:$AE$267,"&lt;&gt;Hủy")=0,"Khi phát sinh – chờ việc con","Khi phát sinh – theo ngày con"),IF(I26="","",LET(n,COUNTIFS('Lớp 6 - Chi tiết'!$J$14:$J$267,$I26,'Lớp 6 - Chi tiết'!$AE$14:$AE$267,"&lt;&gt;Hủy"),cs,IFERROR(MINIFS('Lớp 6 - Chi tiết'!$AG$14:$AG$267,'Lớp 6 - Chi tiết'!$J$14:$J$267,$I26,'Lớp 6 - Chi tiết'!$AE$14:$AE$267,"&lt;&gt;Hủy",'Lớp 6 - Chi tiết'!$AG$14:$AG$267,"&gt;0"),0),ce,IFERROR(MAXIFS('Lớp 6 - Chi tiết'!$AH$14:$AH$267,'Lớp 6 - Chi tiết'!$J$14:$J$267,$I26,'Lớp 6 - Chi tiết'!$AE$14:$AE$267,"&lt;&gt;Hủy",'Lớp 6 - Chi tiết'!$AH$14:$AH$267,"&gt;0"),0),ps,'Trung tâm nhập liệu'!R171,pe,'Trung tâm nhập liệu'!Q171,IF(OR(AD26="",AE26=""),"Thiếu ngày L5",IF(n=0,"Chưa có L6",IF(OR(cs=0,ce=0),"Thiếu ngày L6",IF(OR(ps="",pe=""),"Thiếu ngày kế hoạch gốc L5",IF(OR(cs&lt;ps,ce&gt;pe),"Cảnh báo: Con vượt khung kế hoạch gốc","L6 đúng khung kế hoạch gốc"))))))))))</f>
        <v>Chưa có L6</v>
      </c>
      <c r="AL26" s="465" t="str">
        <f>IF(OR(AV26="Thiếu tham số phân bổ",AV26="Phân bổ phải &gt; 0"),AV26,SWITCH(AM26,"Chưa xếp lịch","Chưa tính tải","Định kỳ","Theo chu kỳ","Khi phát sinh","Khi phát sinh",IF(I26="","",IF(OR(AB26="Hoàn thành",AB26="Hủy"),AB26,IF(COUNTIFS('Lớp 6 - Chi tiết'!$J$14:$J$267,I26,'Lớp 6 - Chi tiết'!$AE$14:$AE$267,"&lt;&gt;Hủy")&gt;0,"Theo dõi tải tại Lớp 6",IF(AI26="","Chưa nhập khối lượng",IF(AA26="","Thiếu người thực hiện",IF(OR(AD26="",AE26=""),"Chưa nhập đủ thời gian",IF(AH26&lt;0,"Quá hạn – còn "&amp;TEXT(MAX(0,AI26*(1-AG26)),"0.0")&amp;" giờ",LET(bd,MAX(TODAY(),AD26),kt,AE26,nguoi,AA26,tai,SUMIFS('Lớp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13.6/8.0 giờ/ngày</v>
      </c>
      <c r="AM26" s="467" t="str">
        <f>'Trung tâm nhập liệu'!O171</f>
        <v>Có thời hạn</v>
      </c>
      <c r="AN26" s="469" t="str">
        <f>'Trung tâm nhập liệu'!P171</f>
        <v/>
      </c>
      <c r="AO26" s="470" t="str">
        <f>'Trung tâm nhập liệu'!S171</f>
        <v/>
      </c>
      <c r="AP26" s="470" t="str">
        <f>'Trung tâm nhập liệu'!X171</f>
        <v/>
      </c>
      <c r="AQ26" s="471" t="str">
        <f t="shared" si="18"/>
        <v/>
      </c>
      <c r="AR26" s="469" t="str">
        <f t="shared" si="19"/>
        <v/>
      </c>
      <c r="AS26" s="475" t="str">
        <f>'Trung tâm nhập liệu'!V171</f>
        <v>Tuần</v>
      </c>
      <c r="AT26" s="476">
        <f>'Trung tâm nhập liệu'!W171</f>
        <v>4</v>
      </c>
      <c r="AU26" s="478">
        <f>IF(AM26&lt;&gt;"Có thời hạn","",IF(OR(I26="",AI26="",AB26="Hoàn thành",AB26="Hủy",COUNTIFS('Lớp 6 - Chi tiết'!$J$14:$J$267,I26,'Lớp 6 - Chi tiết'!$AE$14:$AE$267,"&lt;&gt;Hủy")&gt;0),"",LET(canNgay,MAX(0,AI26*(1-AG26))/MAX(1,AH26),IF(AS26="Ngày",canNgay,IF(AS26="Tuần",canNgay*5,"")))))</f>
        <v>24</v>
      </c>
      <c r="AV26" s="465" t="str">
        <f>IF(I26="","",IF(COUNTIFS('Lớp 6 - Chi tiết'!$J$14:$J$267,I26,'Lớp 6 - Chi tiết'!$AE$14:$AE$267,"&lt;&gt;Hủy")&gt;0,"Theo dõi phân bổ tại Lớp 6",IF(OR(AB26="Hoàn thành",AB26="Hủy"),AB26,IF(AI26="","Thiếu tổng giờ",IF(OR(AS26="",AT26=""),"Thiếu tham số phân bổ",IF(AT26&lt;=0,"Phân bổ phải &gt; 0",IF(AM26&lt;&gt;"Có thời hạn","Đã có phân bổ",IF(AU26="","Chưa đủ dữ liệu hạn",IF(AT26&gt;=AU26,"Đủ phân bổ theo "&amp;LOWER(AS26),"Thiếu "&amp;TEXT(AU26-AT26,"0.0")&amp;" giờ/"&amp;LOWER(AS26))))))))))</f>
        <v>Thiếu 20.0 giờ/tuần</v>
      </c>
      <c r="AW26" s="465" t="str">
        <f t="shared" si="20"/>
        <v>Chưa đến ngày bắt đầu – nên Đã lên lịch</v>
      </c>
      <c r="AX26" s="479" t="str">
        <f>'Trung tâm nhập liệu'!Y171</f>
        <v/>
      </c>
    </row>
    <row r="27" ht="15.75" customHeight="1">
      <c r="A27" s="424">
        <f t="shared" si="11"/>
        <v>14</v>
      </c>
      <c r="B27" s="572" t="str">
        <f>'Trung tâm nhập liệu'!F172</f>
        <v>Chạy tham số Topdown B2B</v>
      </c>
      <c r="C27" s="591" t="str">
        <f>'Trung tâm nhập liệu'!M172</f>
        <v>P2</v>
      </c>
      <c r="D27" s="592" t="str">
        <f t="shared" ref="D27:E27" si="54">AG27</f>
        <v/>
      </c>
      <c r="E27" s="593">
        <f t="shared" si="54"/>
        <v>1</v>
      </c>
      <c r="F27" s="575">
        <f t="shared" ref="F27:G27" si="55">U27</f>
        <v>46307</v>
      </c>
      <c r="G27" s="575">
        <f t="shared" si="55"/>
        <v>46306</v>
      </c>
      <c r="H27" s="576" t="str">
        <f>IF(B27="","",IF(COUNTIF('Lớp 6 - Chi tiết'!$J$14:$J$267,I27)&gt;0,"Có","Không"))</f>
        <v>Không</v>
      </c>
      <c r="I27" s="577" t="str">
        <f>'Trung tâm nhập liệu'!B172</f>
        <v>HHL5DL03-04</v>
      </c>
      <c r="J27" s="577" t="str">
        <f>'Trung tâm nhập liệu'!D172</f>
        <v>HHL4DL03</v>
      </c>
      <c r="K27" s="597" t="str">
        <f t="array" ref="K27">IFERROR(INDEX('Lớp 4 - Danh mục'!$J$14:$J$132,MATCH(J27,'Lớp 4 - Danh mục'!$I$14:$I$132,0)),"")</f>
        <v>HHL3CT03</v>
      </c>
      <c r="L27" s="598">
        <f t="array" ref="L27">IFERROR(INDEX('Lớp 4 - Danh mục'!$K$14:$K$132,MATCH(J27,'Lớp 4 - Danh mục'!$I$14:$I$132,0)),"")</f>
        <v>2026</v>
      </c>
      <c r="M27" s="438" t="str">
        <f t="array" ref="M27">IFERROR(INDEX('Lớp 4 - Danh mục'!$L$14:$L$132,MATCH(J27,'Lớp 4 - Danh mục'!$I$14:$I$132,0)),"")</f>
        <v>Cấp công ty</v>
      </c>
      <c r="N27" s="597" t="str">
        <f t="array" ref="N27">IFERROR(INDEX('Lớp 4 - Danh mục'!$M$14:$M$132,MATCH(J27,'Lớp 4 - Danh mục'!$I$14:$I$132,0)),"")</f>
        <v>Chiến lược/sống còn</v>
      </c>
      <c r="O27" s="597" t="str">
        <f t="array" ref="O27">IFERROR(INDEX('Lớp 4 - Danh mục'!$N$14:$N$132,MATCH(J27,'Lớp 4 - Danh mục'!$I$14:$I$132,0)),"")</f>
        <v>KHKD 2027&amp; HT lập KH theo tham số KD (bán tự động)</v>
      </c>
      <c r="P27" s="597" t="str">
        <f t="array" ref="P27">IFERROR(INDEX('Lớp 4 - Danh mục'!$O$14:$O$132,MATCH(J27,'Lớp 4 - Danh mục'!$I$14:$I$132,0)),"")</f>
        <v>Xây dựng công thức &amp; tạo HT tham số cho KH B2B</v>
      </c>
      <c r="Q27" s="581" t="str">
        <f t="shared" ref="Q27:T27" si="56">B27</f>
        <v>Chạy tham số Topdown B2B</v>
      </c>
      <c r="R27" s="420" t="str">
        <f t="shared" si="56"/>
        <v>P2</v>
      </c>
      <c r="S27" s="582" t="str">
        <f t="shared" si="56"/>
        <v/>
      </c>
      <c r="T27" s="583">
        <f t="shared" si="56"/>
        <v>1</v>
      </c>
      <c r="U27" s="584">
        <f>IF($I27="","",LET(n,COUNTIFS('Lớp 6 - Chi tiết'!$J$14:$J$267,$I27,'Lớp 6 - Chi tiết'!$AE$14:$AE$267,"&lt;&gt;Hủy"),child,IFERROR(MAXIFS('Lớp 6 - Chi tiết'!$AH$14:$AH$267,'Lớp 6 - Chi tiết'!$J$14:$J$267,$I27,'Lớp 6 - Chi tiết'!$AE$14:$AE$267,"&lt;&gt;Hủy",'Lớp 6 - Chi tiết'!$AH$14:$AH$267,"&gt;0"),0),plan,'Trung tâm nhập liệu'!Q172,emergent,LOWER(TRIM('Trung tâm nhập liệu'!O172))="khi phát sinh",IF(n=0,IF(emergent,"",plan),IF(child=0,IF(emergent,"",plan),IF(OR(emergent,plan=""),child,MAX(plan,child))))))</f>
        <v>46307</v>
      </c>
      <c r="V27" s="584">
        <f>IF($I27="","",LET(n,COUNTIFS('Lớp 6 - Chi tiết'!$J$14:$J$267,$I27,'Lớp 6 - Chi tiết'!$AE$14:$AE$267,"&lt;&gt;Hủy"),child,IFERROR(MINIFS('Lớp 6 - Chi tiết'!$AG$14:$AG$267,'Lớp 6 - Chi tiết'!$J$14:$J$267,$I27,'Lớp 6 - Chi tiết'!$AE$14:$AE$267,"&lt;&gt;Hủy",'Lớp 6 - Chi tiết'!$AG$14:$AG$267,"&gt;0"),0),plan,'Trung tâm nhập liệu'!R172,emergent,LOWER(TRIM('Trung tâm nhập liệu'!O172))="khi phát sinh",IF(n=0,IF(emergent,"",plan),IF(child=0,IF(emergent,"",plan),IF(OR(emergent,plan=""),child,MIN(plan,child))))))</f>
        <v>46306</v>
      </c>
      <c r="W27" s="577" t="str">
        <f t="shared" si="15"/>
        <v>Không</v>
      </c>
      <c r="X27" s="577" t="str">
        <f>'Trung tâm nhập liệu'!G172</f>
        <v>Bộ kết quả tham số Top-down kế hoạch B2B được kiểm tra và xác nhận.</v>
      </c>
      <c r="Y27" s="585" t="str">
        <f>'Trung tâm nhập liệu'!H172</f>
        <v/>
      </c>
      <c r="Z27" s="586" t="str">
        <f t="array" ref="Z27">IFERROR(INDEX('Lớp 4 - Danh mục'!$X$14:$X$132,MATCH(J27,'Lớp 4 - Danh mục'!$I$14:$I$132,0)),"")</f>
        <v>Dữ liệu điều hành</v>
      </c>
      <c r="AA27" s="577" t="str">
        <f>'Trung tâm nhập liệu'!K172</f>
        <v>Em Đại</v>
      </c>
      <c r="AB27" s="572" t="str">
        <f>'Trung tâm nhập liệu'!L172</f>
        <v>Đã lên lịch</v>
      </c>
      <c r="AC27" s="420" t="str">
        <f>'Trung tâm nhập liệu'!M172</f>
        <v>P2</v>
      </c>
      <c r="AD27" s="584">
        <f t="shared" si="16"/>
        <v>46306</v>
      </c>
      <c r="AE27" s="584">
        <f t="shared" si="17"/>
        <v>46307</v>
      </c>
      <c r="AF27" s="587">
        <f>IF(AM27&lt;&gt;"Có thời hạn","",IF(OR(AD27="",AE27=""),"",IF(AE27&lt;AD27,"",_xlfn.NETWORKDAYS.INTL(AD27,AE27,11,'Ngày nghỉ lễ'!$A$5:$A$80))))</f>
        <v>1</v>
      </c>
      <c r="AG27" s="588" t="str">
        <f>IF(I27="","",IF(L27="Công việc khác","",IF(OR(AB27="Chưa lên lịch",AB27="Đã lên lịch",AB27="Hủy"),"",IF(COUNTIFS('Lớp 6 - Chi tiết'!$J$14:$J$267,I27,'Lớp 6 - Chi tiết'!$AE$14:$AE$267,"&lt;&gt;",'Lớp 6 - Chi tiết'!$AE$14:$AE$267,"&lt;&gt;Hủy",'Lớp 6 - Chi tiết'!$AE$14:$AE$267,"&lt;&gt;Chưa lên lịch",'Lớp 6 - Chi tiết'!$AE$14:$AE$267,"&lt;&gt;Đã lên lịch")&gt;0,SUMIFS('Lớp 6 - Chi tiết'!$AJ$14:$AJ$267,'Lớp 6 - Chi tiết'!$J$14:$J$267,I27,'Lớp 6 - Chi tiết'!$AE$14:$AE$267,"&lt;&gt;",'Lớp 6 - Chi tiết'!$AE$14:$AE$267,"&lt;&gt;Hủy",'Lớp 6 - Chi tiết'!$AE$14:$AE$267,"&lt;&gt;Chưa lên lịch",'Lớp 6 - Chi tiết'!$AE$14:$AE$267,"&lt;&gt;Đã lên lịch")/COUNTIFS('Lớp 6 - Chi tiết'!$J$14:$J$267,I27,'Lớp 6 - Chi tiết'!$AE$14:$AE$267,"&lt;&gt;",'Lớp 6 - Chi tiết'!$AE$14:$AE$267,"&lt;&gt;Hủy",'Lớp 6 - Chi tiết'!$AE$14:$AE$267,"&lt;&gt;Chưa lên lịch",'Lớp 6 - Chi tiết'!$AE$14:$AE$267,"&lt;&gt;Đã lên lịch"),IF(AB27="Hoàn thành",1,0)))))</f>
        <v/>
      </c>
      <c r="AH27" s="587">
        <f>IF(AM27&lt;&gt;"Có thời hạn","",IF(OR(I27="",AD27="",AE27=""),"",IF(OR(AB27="Hoàn thành",AB27="Hủy"),0,IF(AE27&lt;TODAY(),-_xlfn.NETWORKDAYS.INTL(AE27,TODAY()-1,11,'Ngày nghỉ lễ'!$A$5:$A$80),MAX(0,_xlfn.NETWORKDAYS.INTL(MAX(TODAY()+1,AD27),AE27,11,'Ngày nghỉ lễ'!$A$5:$A$80))))))</f>
        <v>1</v>
      </c>
      <c r="AI27" s="589">
        <f>IF($I27="","",LET(n,COUNTIFS('Lớp 6 - Chi tiết'!$J$14:$J$267,$I27,'Lớp 6 - Chi tiết'!$AE$14:$AE$267,"&lt;&gt;Hủy"),du,COUNTIFS('Lớp 6 - Chi tiết'!$J$14:$J$267,$I27,'Lớp 6 - Chi tiết'!$AE$14:$AE$267,"&lt;&gt;Hủy",'Lớp 6 - Chi tiết'!$AL$14:$AL$267,"&lt;&gt;"),IF(n=0,'Trung tâm nhập liệu'!T172,IF(du&lt;n,"",SUMIFS('Lớp 6 - Chi tiết'!$AL$14:$AL$267,'Lớp 6 - Chi tiết'!$J$14:$J$267,$I27,'Lớp 6 - Chi tiết'!$AE$14:$AE$267,"&lt;&gt;Hủy")))))</f>
        <v>16</v>
      </c>
      <c r="AJ27" s="468">
        <f>IF(I27="","",IF(OR(AB27="Hoàn thành",AB27="Hủy"),"",IF(COUNTIFS('Lớp 6 - Chi tiết'!$J$14:$J$267,I27,'Lớp 6 - Chi tiết'!$AE$14:$AE$267,"&lt;&gt;Hủy")&gt;0,"",IF(AS27="Ngày",AT27,IF(AS27="Tuần",AT27/5,"")))))</f>
        <v>0.8</v>
      </c>
      <c r="AK27" s="477" t="str">
        <f>IF(AM27="Chưa xếp lịch","Chưa xếp lịch",IF(AM27="Định kỳ",IF(AN27="","Thiếu chu kỳ","Theo chu kỳ"),IF(AM27="Khi phát sinh",IF(COUNTIFS('Lớp 6 - Chi tiết'!$J$14:$J$267,$I27,'Lớp 6 - Chi tiết'!$AE$14:$AE$267,"&lt;&gt;Hủy")=0,"Khi phát sinh – chờ việc con","Khi phát sinh – theo ngày con"),IF(I27="","",LET(n,COUNTIFS('Lớp 6 - Chi tiết'!$J$14:$J$267,$I27,'Lớp 6 - Chi tiết'!$AE$14:$AE$267,"&lt;&gt;Hủy"),cs,IFERROR(MINIFS('Lớp 6 - Chi tiết'!$AG$14:$AG$267,'Lớp 6 - Chi tiết'!$J$14:$J$267,$I27,'Lớp 6 - Chi tiết'!$AE$14:$AE$267,"&lt;&gt;Hủy",'Lớp 6 - Chi tiết'!$AG$14:$AG$267,"&gt;0"),0),ce,IFERROR(MAXIFS('Lớp 6 - Chi tiết'!$AH$14:$AH$267,'Lớp 6 - Chi tiết'!$J$14:$J$267,$I27,'Lớp 6 - Chi tiết'!$AE$14:$AE$267,"&lt;&gt;Hủy",'Lớp 6 - Chi tiết'!$AH$14:$AH$267,"&gt;0"),0),ps,'Trung tâm nhập liệu'!R172,pe,'Trung tâm nhập liệu'!Q172,IF(OR(AD27="",AE27=""),"Thiếu ngày L5",IF(n=0,"Chưa có L6",IF(OR(cs=0,ce=0),"Thiếu ngày L6",IF(OR(ps="",pe=""),"Thiếu ngày kế hoạch gốc L5",IF(OR(cs&lt;ps,ce&gt;pe),"Cảnh báo: Con vượt khung kế hoạch gốc","L6 đúng khung kế hoạch gốc"))))))))))</f>
        <v>Chưa có L6</v>
      </c>
      <c r="AL27" s="465" t="str">
        <f>IF(OR(AV27="Thiếu tham số phân bổ",AV27="Phân bổ phải &gt; 0"),AV27,SWITCH(AM27,"Chưa xếp lịch","Chưa tính tải","Định kỳ","Theo chu kỳ","Khi phát sinh","Khi phát sinh",IF(I27="","",IF(OR(AB27="Hoàn thành",AB27="Hủy"),AB27,IF(COUNTIFS('Lớp 6 - Chi tiết'!$J$14:$J$267,I27,'Lớp 6 - Chi tiết'!$AE$14:$AE$267,"&lt;&gt;Hủy")&gt;0,"Theo dõi tải tại Lớp 6",IF(AI27="","Chưa nhập khối lượng",IF(AA27="","Thiếu người thực hiện",IF(OR(AD27="",AE27=""),"Chưa nhập đủ thời gian",IF(AH27&lt;0,"Quá hạn – còn "&amp;TEXT(MAX(0,AI27*(1-AG27)),"0.0")&amp;" giờ",LET(bd,MAX(TODAY(),AD27),kt,AE27,nguoi,AA27,tai,SUMIFS('Lớp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Cận tải – tổng 8.0/8.0 giờ/ngày</v>
      </c>
      <c r="AM27" s="467" t="str">
        <f>'Trung tâm nhập liệu'!O172</f>
        <v>Có thời hạn</v>
      </c>
      <c r="AN27" s="469" t="str">
        <f>'Trung tâm nhập liệu'!P172</f>
        <v/>
      </c>
      <c r="AO27" s="470" t="str">
        <f>'Trung tâm nhập liệu'!S172</f>
        <v/>
      </c>
      <c r="AP27" s="470" t="str">
        <f>'Trung tâm nhập liệu'!X172</f>
        <v/>
      </c>
      <c r="AQ27" s="471" t="str">
        <f t="shared" si="18"/>
        <v/>
      </c>
      <c r="AR27" s="469" t="str">
        <f t="shared" si="19"/>
        <v/>
      </c>
      <c r="AS27" s="475" t="str">
        <f>'Trung tâm nhập liệu'!V172</f>
        <v>Tuần</v>
      </c>
      <c r="AT27" s="476">
        <f>'Trung tâm nhập liệu'!W172</f>
        <v>4</v>
      </c>
      <c r="AU27" s="478">
        <f>IF(AM27&lt;&gt;"Có thời hạn","",IF(OR(I27="",AI27="",AB27="Hoàn thành",AB27="Hủy",COUNTIFS('Lớp 6 - Chi tiết'!$J$14:$J$267,I27,'Lớp 6 - Chi tiết'!$AE$14:$AE$267,"&lt;&gt;Hủy")&gt;0),"",LET(canNgay,MAX(0,AI27*(1-AG27))/MAX(1,AH27),IF(AS27="Ngày",canNgay,IF(AS27="Tuần",canNgay*5,"")))))</f>
        <v>80</v>
      </c>
      <c r="AV27" s="465" t="str">
        <f>IF(I27="","",IF(COUNTIFS('Lớp 6 - Chi tiết'!$J$14:$J$267,I27,'Lớp 6 - Chi tiết'!$AE$14:$AE$267,"&lt;&gt;Hủy")&gt;0,"Theo dõi phân bổ tại Lớp 6",IF(OR(AB27="Hoàn thành",AB27="Hủy"),AB27,IF(AI27="","Thiếu tổng giờ",IF(OR(AS27="",AT27=""),"Thiếu tham số phân bổ",IF(AT27&lt;=0,"Phân bổ phải &gt; 0",IF(AM27&lt;&gt;"Có thời hạn","Đã có phân bổ",IF(AU27="","Chưa đủ dữ liệu hạn",IF(AT27&gt;=AU27,"Đủ phân bổ theo "&amp;LOWER(AS27),"Thiếu "&amp;TEXT(AU27-AT27,"0.0")&amp;" giờ/"&amp;LOWER(AS27))))))))))</f>
        <v>Thiếu 76.0 giờ/tuần</v>
      </c>
      <c r="AW27" s="465" t="str">
        <f t="shared" si="20"/>
        <v>OK</v>
      </c>
      <c r="AX27" s="479" t="str">
        <f>'Trung tâm nhập liệu'!Y172</f>
        <v/>
      </c>
    </row>
    <row r="28" ht="15.75" customHeight="1">
      <c r="A28" s="424">
        <f t="shared" si="11"/>
        <v>15</v>
      </c>
      <c r="B28" s="572" t="str">
        <f>'Trung tâm nhập liệu'!F173</f>
        <v>Chạy tham số Bottom-up theo khu vực vùng miền B2B</v>
      </c>
      <c r="C28" s="591" t="str">
        <f>'Trung tâm nhập liệu'!M173</f>
        <v>P2</v>
      </c>
      <c r="D28" s="592" t="str">
        <f t="shared" ref="D28:E28" si="57">AG28</f>
        <v/>
      </c>
      <c r="E28" s="593">
        <f t="shared" si="57"/>
        <v>11</v>
      </c>
      <c r="F28" s="575">
        <f t="shared" ref="F28:G28" si="58">U28</f>
        <v>46320</v>
      </c>
      <c r="G28" s="575">
        <f t="shared" si="58"/>
        <v>46308</v>
      </c>
      <c r="H28" s="576" t="str">
        <f>IF(B28="","",IF(COUNTIF('Lớp 6 - Chi tiết'!$J$14:$J$267,I28)&gt;0,"Có","Không"))</f>
        <v>Không</v>
      </c>
      <c r="I28" s="577" t="str">
        <f>'Trung tâm nhập liệu'!B173</f>
        <v>HHL5DL03-05</v>
      </c>
      <c r="J28" s="577" t="str">
        <f>'Trung tâm nhập liệu'!D173</f>
        <v>HHL4DL03</v>
      </c>
      <c r="K28" s="597" t="str">
        <f t="array" ref="K28">IFERROR(INDEX('Lớp 4 - Danh mục'!$J$14:$J$132,MATCH(J28,'Lớp 4 - Danh mục'!$I$14:$I$132,0)),"")</f>
        <v>HHL3CT03</v>
      </c>
      <c r="L28" s="598">
        <f t="array" ref="L28">IFERROR(INDEX('Lớp 4 - Danh mục'!$K$14:$K$132,MATCH(J28,'Lớp 4 - Danh mục'!$I$14:$I$132,0)),"")</f>
        <v>2026</v>
      </c>
      <c r="M28" s="438" t="str">
        <f t="array" ref="M28">IFERROR(INDEX('Lớp 4 - Danh mục'!$L$14:$L$132,MATCH(J28,'Lớp 4 - Danh mục'!$I$14:$I$132,0)),"")</f>
        <v>Cấp công ty</v>
      </c>
      <c r="N28" s="597" t="str">
        <f t="array" ref="N28">IFERROR(INDEX('Lớp 4 - Danh mục'!$M$14:$M$132,MATCH(J28,'Lớp 4 - Danh mục'!$I$14:$I$132,0)),"")</f>
        <v>Chiến lược/sống còn</v>
      </c>
      <c r="O28" s="597" t="str">
        <f t="array" ref="O28">IFERROR(INDEX('Lớp 4 - Danh mục'!$N$14:$N$132,MATCH(J28,'Lớp 4 - Danh mục'!$I$14:$I$132,0)),"")</f>
        <v>KHKD 2027&amp; HT lập KH theo tham số KD (bán tự động)</v>
      </c>
      <c r="P28" s="597" t="str">
        <f t="array" ref="P28">IFERROR(INDEX('Lớp 4 - Danh mục'!$O$14:$O$132,MATCH(J28,'Lớp 4 - Danh mục'!$I$14:$I$132,0)),"")</f>
        <v>Xây dựng công thức &amp; tạo HT tham số cho KH B2B</v>
      </c>
      <c r="Q28" s="581" t="str">
        <f t="shared" ref="Q28:T28" si="59">B28</f>
        <v>Chạy tham số Bottom-up theo khu vực vùng miền B2B</v>
      </c>
      <c r="R28" s="420" t="str">
        <f t="shared" si="59"/>
        <v>P2</v>
      </c>
      <c r="S28" s="582" t="str">
        <f t="shared" si="59"/>
        <v/>
      </c>
      <c r="T28" s="583">
        <f t="shared" si="59"/>
        <v>11</v>
      </c>
      <c r="U28" s="584">
        <f>IF($I28="","",LET(n,COUNTIFS('Lớp 6 - Chi tiết'!$J$14:$J$267,$I28,'Lớp 6 - Chi tiết'!$AE$14:$AE$267,"&lt;&gt;Hủy"),child,IFERROR(MAXIFS('Lớp 6 - Chi tiết'!$AH$14:$AH$267,'Lớp 6 - Chi tiết'!$J$14:$J$267,$I28,'Lớp 6 - Chi tiết'!$AE$14:$AE$267,"&lt;&gt;Hủy",'Lớp 6 - Chi tiết'!$AH$14:$AH$267,"&gt;0"),0),plan,'Trung tâm nhập liệu'!Q173,emergent,LOWER(TRIM('Trung tâm nhập liệu'!O173))="khi phát sinh",IF(n=0,IF(emergent,"",plan),IF(child=0,IF(emergent,"",plan),IF(OR(emergent,plan=""),child,MAX(plan,child))))))</f>
        <v>46320</v>
      </c>
      <c r="V28" s="584">
        <f>IF($I28="","",LET(n,COUNTIFS('Lớp 6 - Chi tiết'!$J$14:$J$267,$I28,'Lớp 6 - Chi tiết'!$AE$14:$AE$267,"&lt;&gt;Hủy"),child,IFERROR(MINIFS('Lớp 6 - Chi tiết'!$AG$14:$AG$267,'Lớp 6 - Chi tiết'!$J$14:$J$267,$I28,'Lớp 6 - Chi tiết'!$AE$14:$AE$267,"&lt;&gt;Hủy",'Lớp 6 - Chi tiết'!$AG$14:$AG$267,"&gt;0"),0),plan,'Trung tâm nhập liệu'!R173,emergent,LOWER(TRIM('Trung tâm nhập liệu'!O173))="khi phát sinh",IF(n=0,IF(emergent,"",plan),IF(child=0,IF(emergent,"",plan),IF(OR(emergent,plan=""),child,MIN(plan,child))))))</f>
        <v>46308</v>
      </c>
      <c r="W28" s="577" t="str">
        <f t="shared" si="15"/>
        <v>Không</v>
      </c>
      <c r="X28" s="577" t="str">
        <f>'Trung tâm nhập liệu'!G173</f>
        <v>Bộ kết quả Bottom-up kế hoạch B2B theo khu vực và khách hàng được xác nhận.</v>
      </c>
      <c r="Y28" s="585" t="str">
        <f>'Trung tâm nhập liệu'!H173</f>
        <v/>
      </c>
      <c r="Z28" s="586" t="str">
        <f t="array" ref="Z28">IFERROR(INDEX('Lớp 4 - Danh mục'!$X$14:$X$132,MATCH(J28,'Lớp 4 - Danh mục'!$I$14:$I$132,0)),"")</f>
        <v>Dữ liệu điều hành</v>
      </c>
      <c r="AA28" s="577" t="str">
        <f>'Trung tâm nhập liệu'!K173</f>
        <v>Em Đại</v>
      </c>
      <c r="AB28" s="572" t="str">
        <f>'Trung tâm nhập liệu'!L173</f>
        <v>Đã lên lịch</v>
      </c>
      <c r="AC28" s="420" t="str">
        <f>'Trung tâm nhập liệu'!M173</f>
        <v>P2</v>
      </c>
      <c r="AD28" s="584">
        <f t="shared" si="16"/>
        <v>46308</v>
      </c>
      <c r="AE28" s="584">
        <f t="shared" si="17"/>
        <v>46320</v>
      </c>
      <c r="AF28" s="587">
        <f>IF(AM28&lt;&gt;"Có thời hạn","",IF(OR(AD28="",AE28=""),"",IF(AE28&lt;AD28,"",_xlfn.NETWORKDAYS.INTL(AD28,AE28,11,'Ngày nghỉ lễ'!$A$5:$A$80))))</f>
        <v>11</v>
      </c>
      <c r="AG28" s="588" t="str">
        <f>IF(I28="","",IF(L28="Công việc khác","",IF(OR(AB28="Chưa lên lịch",AB28="Đã lên lịch",AB28="Hủy"),"",IF(COUNTIFS('Lớp 6 - Chi tiết'!$J$14:$J$267,I28,'Lớp 6 - Chi tiết'!$AE$14:$AE$267,"&lt;&gt;",'Lớp 6 - Chi tiết'!$AE$14:$AE$267,"&lt;&gt;Hủy",'Lớp 6 - Chi tiết'!$AE$14:$AE$267,"&lt;&gt;Chưa lên lịch",'Lớp 6 - Chi tiết'!$AE$14:$AE$267,"&lt;&gt;Đã lên lịch")&gt;0,SUMIFS('Lớp 6 - Chi tiết'!$AJ$14:$AJ$267,'Lớp 6 - Chi tiết'!$J$14:$J$267,I28,'Lớp 6 - Chi tiết'!$AE$14:$AE$267,"&lt;&gt;",'Lớp 6 - Chi tiết'!$AE$14:$AE$267,"&lt;&gt;Hủy",'Lớp 6 - Chi tiết'!$AE$14:$AE$267,"&lt;&gt;Chưa lên lịch",'Lớp 6 - Chi tiết'!$AE$14:$AE$267,"&lt;&gt;Đã lên lịch")/COUNTIFS('Lớp 6 - Chi tiết'!$J$14:$J$267,I28,'Lớp 6 - Chi tiết'!$AE$14:$AE$267,"&lt;&gt;",'Lớp 6 - Chi tiết'!$AE$14:$AE$267,"&lt;&gt;Hủy",'Lớp 6 - Chi tiết'!$AE$14:$AE$267,"&lt;&gt;Chưa lên lịch",'Lớp 6 - Chi tiết'!$AE$14:$AE$267,"&lt;&gt;Đã lên lịch"),IF(AB28="Hoàn thành",1,0)))))</f>
        <v/>
      </c>
      <c r="AH28" s="587">
        <f>IF(AM28&lt;&gt;"Có thời hạn","",IF(OR(I28="",AD28="",AE28=""),"",IF(OR(AB28="Hoàn thành",AB28="Hủy"),0,IF(AE28&lt;TODAY(),-_xlfn.NETWORKDAYS.INTL(AE28,TODAY()-1,11,'Ngày nghỉ lễ'!$A$5:$A$80),MAX(0,_xlfn.NETWORKDAYS.INTL(MAX(TODAY()+1,AD28),AE28,11,'Ngày nghỉ lễ'!$A$5:$A$80))))))</f>
        <v>11</v>
      </c>
      <c r="AI28" s="589">
        <f>IF($I28="","",LET(n,COUNTIFS('Lớp 6 - Chi tiết'!$J$14:$J$267,$I28,'Lớp 6 - Chi tiết'!$AE$14:$AE$267,"&lt;&gt;Hủy"),du,COUNTIFS('Lớp 6 - Chi tiết'!$J$14:$J$267,$I28,'Lớp 6 - Chi tiết'!$AE$14:$AE$267,"&lt;&gt;Hủy",'Lớp 6 - Chi tiết'!$AL$14:$AL$267,"&lt;&gt;"),IF(n=0,'Trung tâm nhập liệu'!T173,IF(du&lt;n,"",SUMIFS('Lớp 6 - Chi tiết'!$AL$14:$AL$267,'Lớp 6 - Chi tiết'!$J$14:$J$267,$I28,'Lớp 6 - Chi tiết'!$AE$14:$AE$267,"&lt;&gt;Hủy")))))</f>
        <v>16</v>
      </c>
      <c r="AJ28" s="468">
        <f>IF(I28="","",IF(OR(AB28="Hoàn thành",AB28="Hủy"),"",IF(COUNTIFS('Lớp 6 - Chi tiết'!$J$14:$J$267,I28,'Lớp 6 - Chi tiết'!$AE$14:$AE$267,"&lt;&gt;Hủy")&gt;0,"",IF(AS28="Ngày",AT28,IF(AS28="Tuần",AT28/5,"")))))</f>
        <v>0.8</v>
      </c>
      <c r="AK28" s="477" t="str">
        <f>IF(AM28="Chưa xếp lịch","Chưa xếp lịch",IF(AM28="Định kỳ",IF(AN28="","Thiếu chu kỳ","Theo chu kỳ"),IF(AM28="Khi phát sinh",IF(COUNTIFS('Lớp 6 - Chi tiết'!$J$14:$J$267,$I28,'Lớp 6 - Chi tiết'!$AE$14:$AE$267,"&lt;&gt;Hủy")=0,"Khi phát sinh – chờ việc con","Khi phát sinh – theo ngày con"),IF(I28="","",LET(n,COUNTIFS('Lớp 6 - Chi tiết'!$J$14:$J$267,$I28,'Lớp 6 - Chi tiết'!$AE$14:$AE$267,"&lt;&gt;Hủy"),cs,IFERROR(MINIFS('Lớp 6 - Chi tiết'!$AG$14:$AG$267,'Lớp 6 - Chi tiết'!$J$14:$J$267,$I28,'Lớp 6 - Chi tiết'!$AE$14:$AE$267,"&lt;&gt;Hủy",'Lớp 6 - Chi tiết'!$AG$14:$AG$267,"&gt;0"),0),ce,IFERROR(MAXIFS('Lớp 6 - Chi tiết'!$AH$14:$AH$267,'Lớp 6 - Chi tiết'!$J$14:$J$267,$I28,'Lớp 6 - Chi tiết'!$AE$14:$AE$267,"&lt;&gt;Hủy",'Lớp 6 - Chi tiết'!$AH$14:$AH$267,"&gt;0"),0),ps,'Trung tâm nhập liệu'!R173,pe,'Trung tâm nhập liệu'!Q173,IF(OR(AD28="",AE28=""),"Thiếu ngày L5",IF(n=0,"Chưa có L6",IF(OR(cs=0,ce=0),"Thiếu ngày L6",IF(OR(ps="",pe=""),"Thiếu ngày kế hoạch gốc L5",IF(OR(cs&lt;ps,ce&gt;pe),"Cảnh báo: Con vượt khung kế hoạch gốc","L6 đúng khung kế hoạch gốc"))))))))))</f>
        <v>Chưa có L6</v>
      </c>
      <c r="AL28" s="465" t="str">
        <f>IF(OR(AV28="Thiếu tham số phân bổ",AV28="Phân bổ phải &gt; 0"),AV28,SWITCH(AM28,"Chưa xếp lịch","Chưa tính tải","Định kỳ","Theo chu kỳ","Khi phát sinh","Khi phát sinh",IF(I28="","",IF(OR(AB28="Hoàn thành",AB28="Hủy"),AB28,IF(COUNTIFS('Lớp 6 - Chi tiết'!$J$14:$J$267,I28,'Lớp 6 - Chi tiết'!$AE$14:$AE$267,"&lt;&gt;Hủy")&gt;0,"Theo dõi tải tại Lớp 6",IF(AI28="","Chưa nhập khối lượng",IF(AA28="","Thiếu người thực hiện",IF(OR(AD28="",AE28=""),"Chưa nhập đủ thời gian",IF(AH28&lt;0,"Quá hạn – còn "&amp;TEXT(MAX(0,AI28*(1-AG28)),"0.0")&amp;" giờ",LET(bd,MAX(TODAY(),AD28),kt,AE28,nguoi,AA28,tai,SUMIFS('Lớp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10.4/8.0 giờ/ngày</v>
      </c>
      <c r="AM28" s="467" t="str">
        <f>'Trung tâm nhập liệu'!O173</f>
        <v>Có thời hạn</v>
      </c>
      <c r="AN28" s="469" t="str">
        <f>'Trung tâm nhập liệu'!P173</f>
        <v/>
      </c>
      <c r="AO28" s="470" t="str">
        <f>'Trung tâm nhập liệu'!S173</f>
        <v/>
      </c>
      <c r="AP28" s="470" t="str">
        <f>'Trung tâm nhập liệu'!X173</f>
        <v/>
      </c>
      <c r="AQ28" s="471" t="str">
        <f t="shared" si="18"/>
        <v/>
      </c>
      <c r="AR28" s="469" t="str">
        <f t="shared" si="19"/>
        <v/>
      </c>
      <c r="AS28" s="475" t="str">
        <f>'Trung tâm nhập liệu'!V173</f>
        <v>Tuần</v>
      </c>
      <c r="AT28" s="476">
        <f>'Trung tâm nhập liệu'!W173</f>
        <v>4</v>
      </c>
      <c r="AU28" s="478">
        <f>IF(AM28&lt;&gt;"Có thời hạn","",IF(OR(I28="",AI28="",AB28="Hoàn thành",AB28="Hủy",COUNTIFS('Lớp 6 - Chi tiết'!$J$14:$J$267,I28,'Lớp 6 - Chi tiết'!$AE$14:$AE$267,"&lt;&gt;Hủy")&gt;0),"",LET(canNgay,MAX(0,AI28*(1-AG28))/MAX(1,AH28),IF(AS28="Ngày",canNgay,IF(AS28="Tuần",canNgay*5,"")))))</f>
        <v>7.272727273</v>
      </c>
      <c r="AV28" s="465" t="str">
        <f>IF(I28="","",IF(COUNTIFS('Lớp 6 - Chi tiết'!$J$14:$J$267,I28,'Lớp 6 - Chi tiết'!$AE$14:$AE$267,"&lt;&gt;Hủy")&gt;0,"Theo dõi phân bổ tại Lớp 6",IF(OR(AB28="Hoàn thành",AB28="Hủy"),AB28,IF(AI28="","Thiếu tổng giờ",IF(OR(AS28="",AT28=""),"Thiếu tham số phân bổ",IF(AT28&lt;=0,"Phân bổ phải &gt; 0",IF(AM28&lt;&gt;"Có thời hạn","Đã có phân bổ",IF(AU28="","Chưa đủ dữ liệu hạn",IF(AT28&gt;=AU28,"Đủ phân bổ theo "&amp;LOWER(AS28),"Thiếu "&amp;TEXT(AU28-AT28,"0.0")&amp;" giờ/"&amp;LOWER(AS28))))))))))</f>
        <v>Thiếu 3.3 giờ/tuần</v>
      </c>
      <c r="AW28" s="465" t="str">
        <f t="shared" si="20"/>
        <v>OK</v>
      </c>
      <c r="AX28" s="479" t="str">
        <f>'Trung tâm nhập liệu'!Y173</f>
        <v/>
      </c>
    </row>
    <row r="29" ht="15.75" customHeight="1">
      <c r="A29" s="424">
        <f t="shared" si="11"/>
        <v>16</v>
      </c>
      <c r="B29" s="572" t="str">
        <f>'Trung tâm nhập liệu'!F174</f>
        <v>XD &amp; phản biện công thức (nội bộ) Online</v>
      </c>
      <c r="C29" s="591" t="str">
        <f>'Trung tâm nhập liệu'!M174</f>
        <v>P2</v>
      </c>
      <c r="D29" s="592">
        <f t="shared" ref="D29:E29" si="60">AG29</f>
        <v>0</v>
      </c>
      <c r="E29" s="593">
        <f t="shared" si="60"/>
        <v>9</v>
      </c>
      <c r="F29" s="575">
        <f t="shared" ref="F29:G29" si="61">U29</f>
        <v>46300</v>
      </c>
      <c r="G29" s="575">
        <f t="shared" si="61"/>
        <v>46290</v>
      </c>
      <c r="H29" s="576" t="str">
        <f>IF(B29="","",IF(COUNTIF('Lớp 6 - Chi tiết'!$J$14:$J$267,I29)&gt;0,"Có","Không"))</f>
        <v>Không</v>
      </c>
      <c r="I29" s="577" t="str">
        <f>'Trung tâm nhập liệu'!B174</f>
        <v>HHL5DL04-01</v>
      </c>
      <c r="J29" s="577" t="str">
        <f>'Trung tâm nhập liệu'!D174</f>
        <v>HHL4DL04</v>
      </c>
      <c r="K29" s="597" t="str">
        <f t="array" ref="K29">IFERROR(INDEX('Lớp 4 - Danh mục'!$J$14:$J$132,MATCH(J29,'Lớp 4 - Danh mục'!$I$14:$I$132,0)),"")</f>
        <v>HHL3CT03</v>
      </c>
      <c r="L29" s="598">
        <f t="array" ref="L29">IFERROR(INDEX('Lớp 4 - Danh mục'!$K$14:$K$132,MATCH(J29,'Lớp 4 - Danh mục'!$I$14:$I$132,0)),"")</f>
        <v>2026</v>
      </c>
      <c r="M29" s="438" t="str">
        <f t="array" ref="M29">IFERROR(INDEX('Lớp 4 - Danh mục'!$L$14:$L$132,MATCH(J29,'Lớp 4 - Danh mục'!$I$14:$I$132,0)),"")</f>
        <v>Cấp công ty</v>
      </c>
      <c r="N29" s="597" t="str">
        <f t="array" ref="N29">IFERROR(INDEX('Lớp 4 - Danh mục'!$M$14:$M$132,MATCH(J29,'Lớp 4 - Danh mục'!$I$14:$I$132,0)),"")</f>
        <v>Chiến lược/sống còn</v>
      </c>
      <c r="O29" s="597" t="str">
        <f t="array" ref="O29">IFERROR(INDEX('Lớp 4 - Danh mục'!$N$14:$N$132,MATCH(J29,'Lớp 4 - Danh mục'!$I$14:$I$132,0)),"")</f>
        <v>KHKD 2027&amp; HT lập KH theo tham số KD (bán tự động)</v>
      </c>
      <c r="P29" s="597" t="str">
        <f t="array" ref="P29">IFERROR(INDEX('Lớp 4 - Danh mục'!$O$14:$O$132,MATCH(J29,'Lớp 4 - Danh mục'!$I$14:$I$132,0)),"")</f>
        <v>Xây dựng công thức &amp; tạo HT tham số cho KH Online</v>
      </c>
      <c r="Q29" s="581" t="str">
        <f t="shared" ref="Q29:T29" si="62">B29</f>
        <v>XD &amp; phản biện công thức (nội bộ) Online</v>
      </c>
      <c r="R29" s="420" t="str">
        <f t="shared" si="62"/>
        <v>P2</v>
      </c>
      <c r="S29" s="582">
        <f t="shared" si="62"/>
        <v>0</v>
      </c>
      <c r="T29" s="583">
        <f t="shared" si="62"/>
        <v>9</v>
      </c>
      <c r="U29" s="584">
        <f>IF($I29="","",LET(n,COUNTIFS('Lớp 6 - Chi tiết'!$J$14:$J$267,$I29,'Lớp 6 - Chi tiết'!$AE$14:$AE$267,"&lt;&gt;Hủy"),child,IFERROR(MAXIFS('Lớp 6 - Chi tiết'!$AH$14:$AH$267,'Lớp 6 - Chi tiết'!$J$14:$J$267,$I29,'Lớp 6 - Chi tiết'!$AE$14:$AE$267,"&lt;&gt;Hủy",'Lớp 6 - Chi tiết'!$AH$14:$AH$267,"&gt;0"),0),plan,'Trung tâm nhập liệu'!Q174,emergent,LOWER(TRIM('Trung tâm nhập liệu'!O174))="khi phát sinh",IF(n=0,IF(emergent,"",plan),IF(child=0,IF(emergent,"",plan),IF(OR(emergent,plan=""),child,MAX(plan,child))))))</f>
        <v>46300</v>
      </c>
      <c r="V29" s="584">
        <f>IF($I29="","",LET(n,COUNTIFS('Lớp 6 - Chi tiết'!$J$14:$J$267,$I29,'Lớp 6 - Chi tiết'!$AE$14:$AE$267,"&lt;&gt;Hủy"),child,IFERROR(MINIFS('Lớp 6 - Chi tiết'!$AG$14:$AG$267,'Lớp 6 - Chi tiết'!$J$14:$J$267,$I29,'Lớp 6 - Chi tiết'!$AE$14:$AE$267,"&lt;&gt;Hủy",'Lớp 6 - Chi tiết'!$AG$14:$AG$267,"&gt;0"),0),plan,'Trung tâm nhập liệu'!R174,emergent,LOWER(TRIM('Trung tâm nhập liệu'!O174))="khi phát sinh",IF(n=0,IF(emergent,"",plan),IF(child=0,IF(emergent,"",plan),IF(OR(emergent,plan=""),child,MIN(plan,child))))))</f>
        <v>46290</v>
      </c>
      <c r="W29" s="577" t="str">
        <f t="shared" si="15"/>
        <v>Không</v>
      </c>
      <c r="X29" s="577" t="str">
        <f>'Trung tâm nhập liệu'!G174</f>
        <v>Bộ công thức kế hoạch Online được xây dựng, phản biện nội bộ và chốt phiên bản.</v>
      </c>
      <c r="Y29" s="585" t="str">
        <f>'Trung tâm nhập liệu'!H174</f>
        <v/>
      </c>
      <c r="Z29" s="586" t="str">
        <f t="array" ref="Z29">IFERROR(INDEX('Lớp 4 - Danh mục'!$X$14:$X$132,MATCH(J29,'Lớp 4 - Danh mục'!$I$14:$I$132,0)),"")</f>
        <v>Dữ liệu điều hành</v>
      </c>
      <c r="AA29" s="577" t="str">
        <f>'Trung tâm nhập liệu'!K174</f>
        <v>Em Đại</v>
      </c>
      <c r="AB29" s="572" t="str">
        <f>'Trung tâm nhập liệu'!L174</f>
        <v>Chưa bắt đầu</v>
      </c>
      <c r="AC29" s="420" t="str">
        <f>'Trung tâm nhập liệu'!M174</f>
        <v>P2</v>
      </c>
      <c r="AD29" s="584">
        <f t="shared" si="16"/>
        <v>46290</v>
      </c>
      <c r="AE29" s="584">
        <f t="shared" si="17"/>
        <v>46300</v>
      </c>
      <c r="AF29" s="587">
        <f>IF(AM29&lt;&gt;"Có thời hạn","",IF(OR(AD29="",AE29=""),"",IF(AE29&lt;AD29,"",_xlfn.NETWORKDAYS.INTL(AD29,AE29,11,'Ngày nghỉ lễ'!$A$5:$A$80))))</f>
        <v>9</v>
      </c>
      <c r="AG29" s="588">
        <f>IF(I29="","",IF(L29="Công việc khác","",IF(OR(AB29="Chưa lên lịch",AB29="Đã lên lịch",AB29="Hủy"),"",IF(COUNTIFS('Lớp 6 - Chi tiết'!$J$14:$J$267,I29,'Lớp 6 - Chi tiết'!$AE$14:$AE$267,"&lt;&gt;",'Lớp 6 - Chi tiết'!$AE$14:$AE$267,"&lt;&gt;Hủy",'Lớp 6 - Chi tiết'!$AE$14:$AE$267,"&lt;&gt;Chưa lên lịch",'Lớp 6 - Chi tiết'!$AE$14:$AE$267,"&lt;&gt;Đã lên lịch")&gt;0,SUMIFS('Lớp 6 - Chi tiết'!$AJ$14:$AJ$267,'Lớp 6 - Chi tiết'!$J$14:$J$267,I29,'Lớp 6 - Chi tiết'!$AE$14:$AE$267,"&lt;&gt;",'Lớp 6 - Chi tiết'!$AE$14:$AE$267,"&lt;&gt;Hủy",'Lớp 6 - Chi tiết'!$AE$14:$AE$267,"&lt;&gt;Chưa lên lịch",'Lớp 6 - Chi tiết'!$AE$14:$AE$267,"&lt;&gt;Đã lên lịch")/COUNTIFS('Lớp 6 - Chi tiết'!$J$14:$J$267,I29,'Lớp 6 - Chi tiết'!$AE$14:$AE$267,"&lt;&gt;",'Lớp 6 - Chi tiết'!$AE$14:$AE$267,"&lt;&gt;Hủy",'Lớp 6 - Chi tiết'!$AE$14:$AE$267,"&lt;&gt;Chưa lên lịch",'Lớp 6 - Chi tiết'!$AE$14:$AE$267,"&lt;&gt;Đã lên lịch"),IF(AB29="Hoàn thành",1,0)))))</f>
        <v>0</v>
      </c>
      <c r="AH29" s="587">
        <f>IF(AM29&lt;&gt;"Có thời hạn","",IF(OR(I29="",AD29="",AE29=""),"",IF(OR(AB29="Hoàn thành",AB29="Hủy"),0,IF(AE29&lt;TODAY(),-_xlfn.NETWORKDAYS.INTL(AE29,TODAY()-1,11,'Ngày nghỉ lễ'!$A$5:$A$80),MAX(0,_xlfn.NETWORKDAYS.INTL(MAX(TODAY()+1,AD29),AE29,11,'Ngày nghỉ lễ'!$A$5:$A$80))))))</f>
        <v>9</v>
      </c>
      <c r="AI29" s="589">
        <f>IF($I29="","",LET(n,COUNTIFS('Lớp 6 - Chi tiết'!$J$14:$J$267,$I29,'Lớp 6 - Chi tiết'!$AE$14:$AE$267,"&lt;&gt;Hủy"),du,COUNTIFS('Lớp 6 - Chi tiết'!$J$14:$J$267,$I29,'Lớp 6 - Chi tiết'!$AE$14:$AE$267,"&lt;&gt;Hủy",'Lớp 6 - Chi tiết'!$AL$14:$AL$267,"&lt;&gt;"),IF(n=0,'Trung tâm nhập liệu'!T174,IF(du&lt;n,"",SUMIFS('Lớp 6 - Chi tiết'!$AL$14:$AL$267,'Lớp 6 - Chi tiết'!$J$14:$J$267,$I29,'Lớp 6 - Chi tiết'!$AE$14:$AE$267,"&lt;&gt;Hủy")))))</f>
        <v>16</v>
      </c>
      <c r="AJ29" s="468">
        <f>IF(I29="","",IF(OR(AB29="Hoàn thành",AB29="Hủy"),"",IF(COUNTIFS('Lớp 6 - Chi tiết'!$J$14:$J$267,I29,'Lớp 6 - Chi tiết'!$AE$14:$AE$267,"&lt;&gt;Hủy")&gt;0,"",IF(AS29="Ngày",AT29,IF(AS29="Tuần",AT29/5,"")))))</f>
        <v>0.8</v>
      </c>
      <c r="AK29" s="477" t="str">
        <f>IF(AM29="Chưa xếp lịch","Chưa xếp lịch",IF(AM29="Định kỳ",IF(AN29="","Thiếu chu kỳ","Theo chu kỳ"),IF(AM29="Khi phát sinh",IF(COUNTIFS('Lớp 6 - Chi tiết'!$J$14:$J$267,$I29,'Lớp 6 - Chi tiết'!$AE$14:$AE$267,"&lt;&gt;Hủy")=0,"Khi phát sinh – chờ việc con","Khi phát sinh – theo ngày con"),IF(I29="","",LET(n,COUNTIFS('Lớp 6 - Chi tiết'!$J$14:$J$267,$I29,'Lớp 6 - Chi tiết'!$AE$14:$AE$267,"&lt;&gt;Hủy"),cs,IFERROR(MINIFS('Lớp 6 - Chi tiết'!$AG$14:$AG$267,'Lớp 6 - Chi tiết'!$J$14:$J$267,$I29,'Lớp 6 - Chi tiết'!$AE$14:$AE$267,"&lt;&gt;Hủy",'Lớp 6 - Chi tiết'!$AG$14:$AG$267,"&gt;0"),0),ce,IFERROR(MAXIFS('Lớp 6 - Chi tiết'!$AH$14:$AH$267,'Lớp 6 - Chi tiết'!$J$14:$J$267,$I29,'Lớp 6 - Chi tiết'!$AE$14:$AE$267,"&lt;&gt;Hủy",'Lớp 6 - Chi tiết'!$AH$14:$AH$267,"&gt;0"),0),ps,'Trung tâm nhập liệu'!R174,pe,'Trung tâm nhập liệu'!Q174,IF(OR(AD29="",AE29=""),"Thiếu ngày L5",IF(n=0,"Chưa có L6",IF(OR(cs=0,ce=0),"Thiếu ngày L6",IF(OR(ps="",pe=""),"Thiếu ngày kế hoạch gốc L5",IF(OR(cs&lt;ps,ce&gt;pe),"Cảnh báo: Con vượt khung kế hoạch gốc","L6 đúng khung kế hoạch gốc"))))))))))</f>
        <v>Chưa có L6</v>
      </c>
      <c r="AL29" s="465" t="str">
        <f>IF(OR(AV29="Thiếu tham số phân bổ",AV29="Phân bổ phải &gt; 0"),AV29,SWITCH(AM29,"Chưa xếp lịch","Chưa tính tải","Định kỳ","Theo chu kỳ","Khi phát sinh","Khi phát sinh",IF(I29="","",IF(OR(AB29="Hoàn thành",AB29="Hủy"),AB29,IF(COUNTIFS('Lớp 6 - Chi tiết'!$J$14:$J$267,I29,'Lớp 6 - Chi tiết'!$AE$14:$AE$267,"&lt;&gt;Hủy")&gt;0,"Theo dõi tải tại Lớp 6",IF(AI29="","Chưa nhập khối lượng",IF(AA29="","Thiếu người thực hiện",IF(OR(AD29="",AE29=""),"Chưa nhập đủ thời gian",IF(AH29&lt;0,"Quá hạn – còn "&amp;TEXT(MAX(0,AI29*(1-AG29)),"0.0")&amp;" giờ",LET(bd,MAX(TODAY(),AD29),kt,AE29,nguoi,AA29,tai,SUMIFS('Lớp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15.2/8.0 giờ/ngày</v>
      </c>
      <c r="AM29" s="467" t="str">
        <f>'Trung tâm nhập liệu'!O174</f>
        <v>Có thời hạn</v>
      </c>
      <c r="AN29" s="469" t="str">
        <f>'Trung tâm nhập liệu'!P174</f>
        <v/>
      </c>
      <c r="AO29" s="470" t="str">
        <f>'Trung tâm nhập liệu'!S174</f>
        <v/>
      </c>
      <c r="AP29" s="470" t="str">
        <f>'Trung tâm nhập liệu'!X174</f>
        <v/>
      </c>
      <c r="AQ29" s="471" t="str">
        <f t="shared" si="18"/>
        <v/>
      </c>
      <c r="AR29" s="469" t="str">
        <f t="shared" si="19"/>
        <v/>
      </c>
      <c r="AS29" s="475" t="str">
        <f>'Trung tâm nhập liệu'!V174</f>
        <v>Tuần</v>
      </c>
      <c r="AT29" s="476">
        <f>'Trung tâm nhập liệu'!W174</f>
        <v>4</v>
      </c>
      <c r="AU29" s="478">
        <f>IF(AM29&lt;&gt;"Có thời hạn","",IF(OR(I29="",AI29="",AB29="Hoàn thành",AB29="Hủy",COUNTIFS('Lớp 6 - Chi tiết'!$J$14:$J$267,I29,'Lớp 6 - Chi tiết'!$AE$14:$AE$267,"&lt;&gt;Hủy")&gt;0),"",LET(canNgay,MAX(0,AI29*(1-AG29))/MAX(1,AH29),IF(AS29="Ngày",canNgay,IF(AS29="Tuần",canNgay*5,"")))))</f>
        <v>8.888888889</v>
      </c>
      <c r="AV29" s="465" t="str">
        <f>IF(I29="","",IF(COUNTIFS('Lớp 6 - Chi tiết'!$J$14:$J$267,I29,'Lớp 6 - Chi tiết'!$AE$14:$AE$267,"&lt;&gt;Hủy")&gt;0,"Theo dõi phân bổ tại Lớp 6",IF(OR(AB29="Hoàn thành",AB29="Hủy"),AB29,IF(AI29="","Thiếu tổng giờ",IF(OR(AS29="",AT29=""),"Thiếu tham số phân bổ",IF(AT29&lt;=0,"Phân bổ phải &gt; 0",IF(AM29&lt;&gt;"Có thời hạn","Đã có phân bổ",IF(AU29="","Chưa đủ dữ liệu hạn",IF(AT29&gt;=AU29,"Đủ phân bổ theo "&amp;LOWER(AS29),"Thiếu "&amp;TEXT(AU29-AT29,"0.0")&amp;" giờ/"&amp;LOWER(AS29))))))))))</f>
        <v>Thiếu 4.9 giờ/tuần</v>
      </c>
      <c r="AW29" s="465" t="str">
        <f t="shared" si="20"/>
        <v>Chưa đến ngày bắt đầu – nên Đã lên lịch</v>
      </c>
      <c r="AX29" s="479" t="str">
        <f>'Trung tâm nhập liệu'!Y174</f>
        <v/>
      </c>
    </row>
    <row r="30" ht="15.75" customHeight="1">
      <c r="A30" s="424">
        <f t="shared" si="11"/>
        <v>17</v>
      </c>
      <c r="B30" s="572" t="str">
        <f>'Trung tâm nhập liệu'!F175</f>
        <v>Phản biện với TGĐ &amp; liên PB Online</v>
      </c>
      <c r="C30" s="591" t="str">
        <f>'Trung tâm nhập liệu'!M175</f>
        <v>P2</v>
      </c>
      <c r="D30" s="592">
        <f t="shared" ref="D30:E30" si="63">AG30</f>
        <v>0</v>
      </c>
      <c r="E30" s="593">
        <f t="shared" si="63"/>
        <v>9</v>
      </c>
      <c r="F30" s="575">
        <f t="shared" ref="F30:G30" si="64">U30</f>
        <v>46310</v>
      </c>
      <c r="G30" s="575">
        <f t="shared" si="64"/>
        <v>46301</v>
      </c>
      <c r="H30" s="576" t="str">
        <f>IF(B30="","",IF(COUNTIF('Lớp 6 - Chi tiết'!$J$14:$J$267,I30)&gt;0,"Có","Không"))</f>
        <v>Không</v>
      </c>
      <c r="I30" s="577" t="str">
        <f>'Trung tâm nhập liệu'!B175</f>
        <v>HHL5DL04-02</v>
      </c>
      <c r="J30" s="577" t="str">
        <f>'Trung tâm nhập liệu'!D175</f>
        <v>HHL4DL04</v>
      </c>
      <c r="K30" s="597" t="str">
        <f t="array" ref="K30">IFERROR(INDEX('Lớp 4 - Danh mục'!$J$14:$J$132,MATCH(J30,'Lớp 4 - Danh mục'!$I$14:$I$132,0)),"")</f>
        <v>HHL3CT03</v>
      </c>
      <c r="L30" s="598">
        <f t="array" ref="L30">IFERROR(INDEX('Lớp 4 - Danh mục'!$K$14:$K$132,MATCH(J30,'Lớp 4 - Danh mục'!$I$14:$I$132,0)),"")</f>
        <v>2026</v>
      </c>
      <c r="M30" s="438" t="str">
        <f t="array" ref="M30">IFERROR(INDEX('Lớp 4 - Danh mục'!$L$14:$L$132,MATCH(J30,'Lớp 4 - Danh mục'!$I$14:$I$132,0)),"")</f>
        <v>Cấp công ty</v>
      </c>
      <c r="N30" s="597" t="str">
        <f t="array" ref="N30">IFERROR(INDEX('Lớp 4 - Danh mục'!$M$14:$M$132,MATCH(J30,'Lớp 4 - Danh mục'!$I$14:$I$132,0)),"")</f>
        <v>Chiến lược/sống còn</v>
      </c>
      <c r="O30" s="597" t="str">
        <f t="array" ref="O30">IFERROR(INDEX('Lớp 4 - Danh mục'!$N$14:$N$132,MATCH(J30,'Lớp 4 - Danh mục'!$I$14:$I$132,0)),"")</f>
        <v>KHKD 2027&amp; HT lập KH theo tham số KD (bán tự động)</v>
      </c>
      <c r="P30" s="597" t="str">
        <f t="array" ref="P30">IFERROR(INDEX('Lớp 4 - Danh mục'!$O$14:$O$132,MATCH(J30,'Lớp 4 - Danh mục'!$I$14:$I$132,0)),"")</f>
        <v>Xây dựng công thức &amp; tạo HT tham số cho KH Online</v>
      </c>
      <c r="Q30" s="581" t="str">
        <f t="shared" ref="Q30:T30" si="65">B30</f>
        <v>Phản biện với TGĐ &amp; liên PB Online</v>
      </c>
      <c r="R30" s="420" t="str">
        <f t="shared" si="65"/>
        <v>P2</v>
      </c>
      <c r="S30" s="582">
        <f t="shared" si="65"/>
        <v>0</v>
      </c>
      <c r="T30" s="583">
        <f t="shared" si="65"/>
        <v>9</v>
      </c>
      <c r="U30" s="584">
        <f>IF($I30="","",LET(n,COUNTIFS('Lớp 6 - Chi tiết'!$J$14:$J$267,$I30,'Lớp 6 - Chi tiết'!$AE$14:$AE$267,"&lt;&gt;Hủy"),child,IFERROR(MAXIFS('Lớp 6 - Chi tiết'!$AH$14:$AH$267,'Lớp 6 - Chi tiết'!$J$14:$J$267,$I30,'Lớp 6 - Chi tiết'!$AE$14:$AE$267,"&lt;&gt;Hủy",'Lớp 6 - Chi tiết'!$AH$14:$AH$267,"&gt;0"),0),plan,'Trung tâm nhập liệu'!Q175,emergent,LOWER(TRIM('Trung tâm nhập liệu'!O175))="khi phát sinh",IF(n=0,IF(emergent,"",plan),IF(child=0,IF(emergent,"",plan),IF(OR(emergent,plan=""),child,MAX(plan,child))))))</f>
        <v>46310</v>
      </c>
      <c r="V30" s="584">
        <f>IF($I30="","",LET(n,COUNTIFS('Lớp 6 - Chi tiết'!$J$14:$J$267,$I30,'Lớp 6 - Chi tiết'!$AE$14:$AE$267,"&lt;&gt;Hủy"),child,IFERROR(MINIFS('Lớp 6 - Chi tiết'!$AG$14:$AG$267,'Lớp 6 - Chi tiết'!$J$14:$J$267,$I30,'Lớp 6 - Chi tiết'!$AE$14:$AE$267,"&lt;&gt;Hủy",'Lớp 6 - Chi tiết'!$AG$14:$AG$267,"&gt;0"),0),plan,'Trung tâm nhập liệu'!R175,emergent,LOWER(TRIM('Trung tâm nhập liệu'!O175))="khi phát sinh",IF(n=0,IF(emergent,"",plan),IF(child=0,IF(emergent,"",plan),IF(OR(emergent,plan=""),child,MIN(plan,child))))))</f>
        <v>46301</v>
      </c>
      <c r="W30" s="577" t="str">
        <f t="shared" si="15"/>
        <v>Không</v>
      </c>
      <c r="X30" s="577" t="str">
        <f>'Trung tâm nhập liệu'!G175</f>
        <v>Biên bản phản biện công thức Online và danh mục điều chỉnh được thống nhất.</v>
      </c>
      <c r="Y30" s="585" t="str">
        <f>'Trung tâm nhập liệu'!H175</f>
        <v/>
      </c>
      <c r="Z30" s="586" t="str">
        <f t="array" ref="Z30">IFERROR(INDEX('Lớp 4 - Danh mục'!$X$14:$X$132,MATCH(J30,'Lớp 4 - Danh mục'!$I$14:$I$132,0)),"")</f>
        <v>Dữ liệu điều hành</v>
      </c>
      <c r="AA30" s="577" t="str">
        <f>'Trung tâm nhập liệu'!K175</f>
        <v>Em Đại</v>
      </c>
      <c r="AB30" s="572" t="str">
        <f>'Trung tâm nhập liệu'!L175</f>
        <v>Chưa bắt đầu</v>
      </c>
      <c r="AC30" s="420" t="str">
        <f>'Trung tâm nhập liệu'!M175</f>
        <v>P2</v>
      </c>
      <c r="AD30" s="584">
        <f t="shared" si="16"/>
        <v>46301</v>
      </c>
      <c r="AE30" s="584">
        <f t="shared" si="17"/>
        <v>46310</v>
      </c>
      <c r="AF30" s="587">
        <f>IF(AM30&lt;&gt;"Có thời hạn","",IF(OR(AD30="",AE30=""),"",IF(AE30&lt;AD30,"",_xlfn.NETWORKDAYS.INTL(AD30,AE30,11,'Ngày nghỉ lễ'!$A$5:$A$80))))</f>
        <v>9</v>
      </c>
      <c r="AG30" s="588">
        <f>IF(I30="","",IF(L30="Công việc khác","",IF(OR(AB30="Chưa lên lịch",AB30="Đã lên lịch",AB30="Hủy"),"",IF(COUNTIFS('Lớp 6 - Chi tiết'!$J$14:$J$267,I30,'Lớp 6 - Chi tiết'!$AE$14:$AE$267,"&lt;&gt;",'Lớp 6 - Chi tiết'!$AE$14:$AE$267,"&lt;&gt;Hủy",'Lớp 6 - Chi tiết'!$AE$14:$AE$267,"&lt;&gt;Chưa lên lịch",'Lớp 6 - Chi tiết'!$AE$14:$AE$267,"&lt;&gt;Đã lên lịch")&gt;0,SUMIFS('Lớp 6 - Chi tiết'!$AJ$14:$AJ$267,'Lớp 6 - Chi tiết'!$J$14:$J$267,I30,'Lớp 6 - Chi tiết'!$AE$14:$AE$267,"&lt;&gt;",'Lớp 6 - Chi tiết'!$AE$14:$AE$267,"&lt;&gt;Hủy",'Lớp 6 - Chi tiết'!$AE$14:$AE$267,"&lt;&gt;Chưa lên lịch",'Lớp 6 - Chi tiết'!$AE$14:$AE$267,"&lt;&gt;Đã lên lịch")/COUNTIFS('Lớp 6 - Chi tiết'!$J$14:$J$267,I30,'Lớp 6 - Chi tiết'!$AE$14:$AE$267,"&lt;&gt;",'Lớp 6 - Chi tiết'!$AE$14:$AE$267,"&lt;&gt;Hủy",'Lớp 6 - Chi tiết'!$AE$14:$AE$267,"&lt;&gt;Chưa lên lịch",'Lớp 6 - Chi tiết'!$AE$14:$AE$267,"&lt;&gt;Đã lên lịch"),IF(AB30="Hoàn thành",1,0)))))</f>
        <v>0</v>
      </c>
      <c r="AH30" s="587">
        <f>IF(AM30&lt;&gt;"Có thời hạn","",IF(OR(I30="",AD30="",AE30=""),"",IF(OR(AB30="Hoàn thành",AB30="Hủy"),0,IF(AE30&lt;TODAY(),-_xlfn.NETWORKDAYS.INTL(AE30,TODAY()-1,11,'Ngày nghỉ lễ'!$A$5:$A$80),MAX(0,_xlfn.NETWORKDAYS.INTL(MAX(TODAY()+1,AD30),AE30,11,'Ngày nghỉ lễ'!$A$5:$A$80))))))</f>
        <v>9</v>
      </c>
      <c r="AI30" s="589">
        <f>IF($I30="","",LET(n,COUNTIFS('Lớp 6 - Chi tiết'!$J$14:$J$267,$I30,'Lớp 6 - Chi tiết'!$AE$14:$AE$267,"&lt;&gt;Hủy"),du,COUNTIFS('Lớp 6 - Chi tiết'!$J$14:$J$267,$I30,'Lớp 6 - Chi tiết'!$AE$14:$AE$267,"&lt;&gt;Hủy",'Lớp 6 - Chi tiết'!$AL$14:$AL$267,"&lt;&gt;"),IF(n=0,'Trung tâm nhập liệu'!T175,IF(du&lt;n,"",SUMIFS('Lớp 6 - Chi tiết'!$AL$14:$AL$267,'Lớp 6 - Chi tiết'!$J$14:$J$267,$I30,'Lớp 6 - Chi tiết'!$AE$14:$AE$267,"&lt;&gt;Hủy")))))</f>
        <v>8</v>
      </c>
      <c r="AJ30" s="468">
        <f>IF(I30="","",IF(OR(AB30="Hoàn thành",AB30="Hủy"),"",IF(COUNTIFS('Lớp 6 - Chi tiết'!$J$14:$J$267,I30,'Lớp 6 - Chi tiết'!$AE$14:$AE$267,"&lt;&gt;Hủy")&gt;0,"",IF(AS30="Ngày",AT30,IF(AS30="Tuần",AT30/5,"")))))</f>
        <v>0.8</v>
      </c>
      <c r="AK30" s="477" t="str">
        <f>IF(AM30="Chưa xếp lịch","Chưa xếp lịch",IF(AM30="Định kỳ",IF(AN30="","Thiếu chu kỳ","Theo chu kỳ"),IF(AM30="Khi phát sinh",IF(COUNTIFS('Lớp 6 - Chi tiết'!$J$14:$J$267,$I30,'Lớp 6 - Chi tiết'!$AE$14:$AE$267,"&lt;&gt;Hủy")=0,"Khi phát sinh – chờ việc con","Khi phát sinh – theo ngày con"),IF(I30="","",LET(n,COUNTIFS('Lớp 6 - Chi tiết'!$J$14:$J$267,$I30,'Lớp 6 - Chi tiết'!$AE$14:$AE$267,"&lt;&gt;Hủy"),cs,IFERROR(MINIFS('Lớp 6 - Chi tiết'!$AG$14:$AG$267,'Lớp 6 - Chi tiết'!$J$14:$J$267,$I30,'Lớp 6 - Chi tiết'!$AE$14:$AE$267,"&lt;&gt;Hủy",'Lớp 6 - Chi tiết'!$AG$14:$AG$267,"&gt;0"),0),ce,IFERROR(MAXIFS('Lớp 6 - Chi tiết'!$AH$14:$AH$267,'Lớp 6 - Chi tiết'!$J$14:$J$267,$I30,'Lớp 6 - Chi tiết'!$AE$14:$AE$267,"&lt;&gt;Hủy",'Lớp 6 - Chi tiết'!$AH$14:$AH$267,"&gt;0"),0),ps,'Trung tâm nhập liệu'!R175,pe,'Trung tâm nhập liệu'!Q175,IF(OR(AD30="",AE30=""),"Thiếu ngày L5",IF(n=0,"Chưa có L6",IF(OR(cs=0,ce=0),"Thiếu ngày L6",IF(OR(ps="",pe=""),"Thiếu ngày kế hoạch gốc L5",IF(OR(cs&lt;ps,ce&gt;pe),"Cảnh báo: Con vượt khung kế hoạch gốc","L6 đúng khung kế hoạch gốc"))))))))))</f>
        <v>Chưa có L6</v>
      </c>
      <c r="AL30" s="465" t="str">
        <f>IF(OR(AV30="Thiếu tham số phân bổ",AV30="Phân bổ phải &gt; 0"),AV30,SWITCH(AM30,"Chưa xếp lịch","Chưa tính tải","Định kỳ","Theo chu kỳ","Khi phát sinh","Khi phát sinh",IF(I30="","",IF(OR(AB30="Hoàn thành",AB30="Hủy"),AB30,IF(COUNTIFS('Lớp 6 - Chi tiết'!$J$14:$J$267,I30,'Lớp 6 - Chi tiết'!$AE$14:$AE$267,"&lt;&gt;Hủy")&gt;0,"Theo dõi tải tại Lớp 6",IF(AI30="","Chưa nhập khối lượng",IF(AA30="","Thiếu người thực hiện",IF(OR(AD30="",AE30=""),"Chưa nhập đủ thời gian",IF(AH30&lt;0,"Quá hạn – còn "&amp;TEXT(MAX(0,AI30*(1-AG30)),"0.0")&amp;" giờ",LET(bd,MAX(TODAY(),AD30),kt,AE30,nguoi,AA30,tai,SUMIFS('Lớp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20.0/8.0 giờ/ngày</v>
      </c>
      <c r="AM30" s="467" t="str">
        <f>'Trung tâm nhập liệu'!O175</f>
        <v>Có thời hạn</v>
      </c>
      <c r="AN30" s="469" t="str">
        <f>'Trung tâm nhập liệu'!P175</f>
        <v/>
      </c>
      <c r="AO30" s="470" t="str">
        <f>'Trung tâm nhập liệu'!S175</f>
        <v/>
      </c>
      <c r="AP30" s="470" t="str">
        <f>'Trung tâm nhập liệu'!X175</f>
        <v/>
      </c>
      <c r="AQ30" s="471" t="str">
        <f t="shared" si="18"/>
        <v/>
      </c>
      <c r="AR30" s="469" t="str">
        <f t="shared" si="19"/>
        <v/>
      </c>
      <c r="AS30" s="475" t="str">
        <f>'Trung tâm nhập liệu'!V175</f>
        <v>Tuần</v>
      </c>
      <c r="AT30" s="476">
        <f>'Trung tâm nhập liệu'!W175</f>
        <v>4</v>
      </c>
      <c r="AU30" s="478">
        <f>IF(AM30&lt;&gt;"Có thời hạn","",IF(OR(I30="",AI30="",AB30="Hoàn thành",AB30="Hủy",COUNTIFS('Lớp 6 - Chi tiết'!$J$14:$J$267,I30,'Lớp 6 - Chi tiết'!$AE$14:$AE$267,"&lt;&gt;Hủy")&gt;0),"",LET(canNgay,MAX(0,AI30*(1-AG30))/MAX(1,AH30),IF(AS30="Ngày",canNgay,IF(AS30="Tuần",canNgay*5,"")))))</f>
        <v>4.444444444</v>
      </c>
      <c r="AV30" s="465" t="str">
        <f>IF(I30="","",IF(COUNTIFS('Lớp 6 - Chi tiết'!$J$14:$J$267,I30,'Lớp 6 - Chi tiết'!$AE$14:$AE$267,"&lt;&gt;Hủy")&gt;0,"Theo dõi phân bổ tại Lớp 6",IF(OR(AB30="Hoàn thành",AB30="Hủy"),AB30,IF(AI30="","Thiếu tổng giờ",IF(OR(AS30="",AT30=""),"Thiếu tham số phân bổ",IF(AT30&lt;=0,"Phân bổ phải &gt; 0",IF(AM30&lt;&gt;"Có thời hạn","Đã có phân bổ",IF(AU30="","Chưa đủ dữ liệu hạn",IF(AT30&gt;=AU30,"Đủ phân bổ theo "&amp;LOWER(AS30),"Thiếu "&amp;TEXT(AU30-AT30,"0.0")&amp;" giờ/"&amp;LOWER(AS30))))))))))</f>
        <v>Thiếu 0.4 giờ/tuần</v>
      </c>
      <c r="AW30" s="465" t="str">
        <f t="shared" si="20"/>
        <v>Chưa đến ngày bắt đầu – nên Đã lên lịch</v>
      </c>
      <c r="AX30" s="479" t="str">
        <f>'Trung tâm nhập liệu'!Y175</f>
        <v/>
      </c>
    </row>
    <row r="31" ht="15.75" customHeight="1">
      <c r="A31" s="424">
        <f t="shared" si="11"/>
        <v>18</v>
      </c>
      <c r="B31" s="572" t="str">
        <f>'Trung tâm nhập liệu'!F176</f>
        <v>XD bảng Excel &amp; HT phần mềm (chạy demo) Online</v>
      </c>
      <c r="C31" s="591" t="str">
        <f>'Trung tâm nhập liệu'!M176</f>
        <v>P2</v>
      </c>
      <c r="D31" s="592">
        <f t="shared" ref="D31:E31" si="66">AG31</f>
        <v>0</v>
      </c>
      <c r="E31" s="593">
        <f t="shared" si="66"/>
        <v>0</v>
      </c>
      <c r="F31" s="575">
        <f t="shared" ref="F31:G31" si="67">U31</f>
        <v>46275</v>
      </c>
      <c r="G31" s="575">
        <f t="shared" si="67"/>
        <v>46301</v>
      </c>
      <c r="H31" s="576" t="str">
        <f>IF(B31="","",IF(COUNTIF('Lớp 6 - Chi tiết'!$J$14:$J$267,I31)&gt;0,"Có","Không"))</f>
        <v>Không</v>
      </c>
      <c r="I31" s="577" t="str">
        <f>'Trung tâm nhập liệu'!B176</f>
        <v>HHL5DL04-03</v>
      </c>
      <c r="J31" s="577" t="str">
        <f>'Trung tâm nhập liệu'!D176</f>
        <v>HHL4DL04</v>
      </c>
      <c r="K31" s="597" t="str">
        <f t="array" ref="K31">IFERROR(INDEX('Lớp 4 - Danh mục'!$J$14:$J$132,MATCH(J31,'Lớp 4 - Danh mục'!$I$14:$I$132,0)),"")</f>
        <v>HHL3CT03</v>
      </c>
      <c r="L31" s="598">
        <f t="array" ref="L31">IFERROR(INDEX('Lớp 4 - Danh mục'!$K$14:$K$132,MATCH(J31,'Lớp 4 - Danh mục'!$I$14:$I$132,0)),"")</f>
        <v>2026</v>
      </c>
      <c r="M31" s="438" t="str">
        <f t="array" ref="M31">IFERROR(INDEX('Lớp 4 - Danh mục'!$L$14:$L$132,MATCH(J31,'Lớp 4 - Danh mục'!$I$14:$I$132,0)),"")</f>
        <v>Cấp công ty</v>
      </c>
      <c r="N31" s="597" t="str">
        <f t="array" ref="N31">IFERROR(INDEX('Lớp 4 - Danh mục'!$M$14:$M$132,MATCH(J31,'Lớp 4 - Danh mục'!$I$14:$I$132,0)),"")</f>
        <v>Chiến lược/sống còn</v>
      </c>
      <c r="O31" s="597" t="str">
        <f t="array" ref="O31">IFERROR(INDEX('Lớp 4 - Danh mục'!$N$14:$N$132,MATCH(J31,'Lớp 4 - Danh mục'!$I$14:$I$132,0)),"")</f>
        <v>KHKD 2027&amp; HT lập KH theo tham số KD (bán tự động)</v>
      </c>
      <c r="P31" s="597" t="str">
        <f t="array" ref="P31">IFERROR(INDEX('Lớp 4 - Danh mục'!$O$14:$O$132,MATCH(J31,'Lớp 4 - Danh mục'!$I$14:$I$132,0)),"")</f>
        <v>Xây dựng công thức &amp; tạo HT tham số cho KH Online</v>
      </c>
      <c r="Q31" s="581" t="str">
        <f t="shared" ref="Q31:T31" si="68">B31</f>
        <v>XD bảng Excel &amp; HT phần mềm (chạy demo) Online</v>
      </c>
      <c r="R31" s="420" t="str">
        <f t="shared" si="68"/>
        <v>P2</v>
      </c>
      <c r="S31" s="582">
        <f t="shared" si="68"/>
        <v>0</v>
      </c>
      <c r="T31" s="583">
        <f t="shared" si="68"/>
        <v>0</v>
      </c>
      <c r="U31" s="584">
        <f>IF($I31="","",LET(n,COUNTIFS('Lớp 6 - Chi tiết'!$J$14:$J$267,$I31,'Lớp 6 - Chi tiết'!$AE$14:$AE$267,"&lt;&gt;Hủy"),child,IFERROR(MAXIFS('Lớp 6 - Chi tiết'!$AH$14:$AH$267,'Lớp 6 - Chi tiết'!$J$14:$J$267,$I31,'Lớp 6 - Chi tiết'!$AE$14:$AE$267,"&lt;&gt;Hủy",'Lớp 6 - Chi tiết'!$AH$14:$AH$267,"&gt;0"),0),plan,'Trung tâm nhập liệu'!Q176,emergent,LOWER(TRIM('Trung tâm nhập liệu'!O176))="khi phát sinh",IF(n=0,IF(emergent,"",plan),IF(child=0,IF(emergent,"",plan),IF(OR(emergent,plan=""),child,MAX(plan,child))))))</f>
        <v>46275</v>
      </c>
      <c r="V31" s="584">
        <f>IF($I31="","",LET(n,COUNTIFS('Lớp 6 - Chi tiết'!$J$14:$J$267,$I31,'Lớp 6 - Chi tiết'!$AE$14:$AE$267,"&lt;&gt;Hủy"),child,IFERROR(MINIFS('Lớp 6 - Chi tiết'!$AG$14:$AG$267,'Lớp 6 - Chi tiết'!$J$14:$J$267,$I31,'Lớp 6 - Chi tiết'!$AE$14:$AE$267,"&lt;&gt;Hủy",'Lớp 6 - Chi tiết'!$AG$14:$AG$267,"&gt;0"),0),plan,'Trung tâm nhập liệu'!R176,emergent,LOWER(TRIM('Trung tâm nhập liệu'!O176))="khi phát sinh",IF(n=0,IF(emergent,"",plan),IF(child=0,IF(emergent,"",plan),IF(OR(emergent,plan=""),child,MIN(plan,child))))))</f>
        <v>46301</v>
      </c>
      <c r="W31" s="577" t="str">
        <f t="shared" si="15"/>
        <v>Không</v>
      </c>
      <c r="X31" s="577" t="str">
        <f>'Trung tâm nhập liệu'!G176</f>
        <v>File Excel và bản demo hệ thống kế hoạch Online vận hành đúng công thức.</v>
      </c>
      <c r="Y31" s="585" t="str">
        <f>'Trung tâm nhập liệu'!H176</f>
        <v/>
      </c>
      <c r="Z31" s="586" t="str">
        <f t="array" ref="Z31">IFERROR(INDEX('Lớp 4 - Danh mục'!$X$14:$X$132,MATCH(J31,'Lớp 4 - Danh mục'!$I$14:$I$132,0)),"")</f>
        <v>Dữ liệu điều hành</v>
      </c>
      <c r="AA31" s="577" t="str">
        <f>'Trung tâm nhập liệu'!K176</f>
        <v>Em Đại</v>
      </c>
      <c r="AB31" s="572" t="str">
        <f>'Trung tâm nhập liệu'!L176</f>
        <v>Chưa bắt đầu</v>
      </c>
      <c r="AC31" s="420" t="str">
        <f>'Trung tâm nhập liệu'!M176</f>
        <v>P2</v>
      </c>
      <c r="AD31" s="584">
        <f t="shared" si="16"/>
        <v>46301</v>
      </c>
      <c r="AE31" s="584">
        <f t="shared" si="17"/>
        <v>46275</v>
      </c>
      <c r="AF31" s="587" t="str">
        <f>IF(AM31&lt;&gt;"Có thời hạn","",IF(OR(AD31="",AE31=""),"",IF(AE31&lt;AD31,"",_xlfn.NETWORKDAYS.INTL(AD31,AE31,11,'Ngày nghỉ lễ'!$A$5:$A$80))))</f>
        <v/>
      </c>
      <c r="AG31" s="588">
        <f>IF(I31="","",IF(L31="Công việc khác","",IF(OR(AB31="Chưa lên lịch",AB31="Đã lên lịch",AB31="Hủy"),"",IF(COUNTIFS('Lớp 6 - Chi tiết'!$J$14:$J$267,I31,'Lớp 6 - Chi tiết'!$AE$14:$AE$267,"&lt;&gt;",'Lớp 6 - Chi tiết'!$AE$14:$AE$267,"&lt;&gt;Hủy",'Lớp 6 - Chi tiết'!$AE$14:$AE$267,"&lt;&gt;Chưa lên lịch",'Lớp 6 - Chi tiết'!$AE$14:$AE$267,"&lt;&gt;Đã lên lịch")&gt;0,SUMIFS('Lớp 6 - Chi tiết'!$AJ$14:$AJ$267,'Lớp 6 - Chi tiết'!$J$14:$J$267,I31,'Lớp 6 - Chi tiết'!$AE$14:$AE$267,"&lt;&gt;",'Lớp 6 - Chi tiết'!$AE$14:$AE$267,"&lt;&gt;Hủy",'Lớp 6 - Chi tiết'!$AE$14:$AE$267,"&lt;&gt;Chưa lên lịch",'Lớp 6 - Chi tiết'!$AE$14:$AE$267,"&lt;&gt;Đã lên lịch")/COUNTIFS('Lớp 6 - Chi tiết'!$J$14:$J$267,I31,'Lớp 6 - Chi tiết'!$AE$14:$AE$267,"&lt;&gt;",'Lớp 6 - Chi tiết'!$AE$14:$AE$267,"&lt;&gt;Hủy",'Lớp 6 - Chi tiết'!$AE$14:$AE$267,"&lt;&gt;Chưa lên lịch",'Lớp 6 - Chi tiết'!$AE$14:$AE$267,"&lt;&gt;Đã lên lịch"),IF(AB31="Hoàn thành",1,0)))))</f>
        <v>0</v>
      </c>
      <c r="AH31" s="587">
        <f>IF(AM31&lt;&gt;"Có thời hạn","",IF(OR(I31="",AD31="",AE31=""),"",IF(OR(AB31="Hoàn thành",AB31="Hủy"),0,IF(AE31&lt;TODAY(),-_xlfn.NETWORKDAYS.INTL(AE31,TODAY()-1,11,'Ngày nghỉ lễ'!$A$5:$A$80),MAX(0,_xlfn.NETWORKDAYS.INTL(MAX(TODAY()+1,AD31),AE31,11,'Ngày nghỉ lễ'!$A$5:$A$80))))))</f>
        <v>0</v>
      </c>
      <c r="AI31" s="589">
        <f>IF($I31="","",LET(n,COUNTIFS('Lớp 6 - Chi tiết'!$J$14:$J$267,$I31,'Lớp 6 - Chi tiết'!$AE$14:$AE$267,"&lt;&gt;Hủy"),du,COUNTIFS('Lớp 6 - Chi tiết'!$J$14:$J$267,$I31,'Lớp 6 - Chi tiết'!$AE$14:$AE$267,"&lt;&gt;Hủy",'Lớp 6 - Chi tiết'!$AL$14:$AL$267,"&lt;&gt;"),IF(n=0,'Trung tâm nhập liệu'!T176,IF(du&lt;n,"",SUMIFS('Lớp 6 - Chi tiết'!$AL$14:$AL$267,'Lớp 6 - Chi tiết'!$J$14:$J$267,$I31,'Lớp 6 - Chi tiết'!$AE$14:$AE$267,"&lt;&gt;Hủy")))))</f>
        <v>24</v>
      </c>
      <c r="AJ31" s="468">
        <f>IF(I31="","",IF(OR(AB31="Hoàn thành",AB31="Hủy"),"",IF(COUNTIFS('Lớp 6 - Chi tiết'!$J$14:$J$267,I31,'Lớp 6 - Chi tiết'!$AE$14:$AE$267,"&lt;&gt;Hủy")&gt;0,"",IF(AS31="Ngày",AT31,IF(AS31="Tuần",AT31/5,"")))))</f>
        <v>0.8</v>
      </c>
      <c r="AK31" s="477" t="str">
        <f>IF(AM31="Chưa xếp lịch","Chưa xếp lịch",IF(AM31="Định kỳ",IF(AN31="","Thiếu chu kỳ","Theo chu kỳ"),IF(AM31="Khi phát sinh",IF(COUNTIFS('Lớp 6 - Chi tiết'!$J$14:$J$267,$I31,'Lớp 6 - Chi tiết'!$AE$14:$AE$267,"&lt;&gt;Hủy")=0,"Khi phát sinh – chờ việc con","Khi phát sinh – theo ngày con"),IF(I31="","",LET(n,COUNTIFS('Lớp 6 - Chi tiết'!$J$14:$J$267,$I31,'Lớp 6 - Chi tiết'!$AE$14:$AE$267,"&lt;&gt;Hủy"),cs,IFERROR(MINIFS('Lớp 6 - Chi tiết'!$AG$14:$AG$267,'Lớp 6 - Chi tiết'!$J$14:$J$267,$I31,'Lớp 6 - Chi tiết'!$AE$14:$AE$267,"&lt;&gt;Hủy",'Lớp 6 - Chi tiết'!$AG$14:$AG$267,"&gt;0"),0),ce,IFERROR(MAXIFS('Lớp 6 - Chi tiết'!$AH$14:$AH$267,'Lớp 6 - Chi tiết'!$J$14:$J$267,$I31,'Lớp 6 - Chi tiết'!$AE$14:$AE$267,"&lt;&gt;Hủy",'Lớp 6 - Chi tiết'!$AH$14:$AH$267,"&gt;0"),0),ps,'Trung tâm nhập liệu'!R176,pe,'Trung tâm nhập liệu'!Q176,IF(OR(AD31="",AE31=""),"Thiếu ngày L5",IF(n=0,"Chưa có L6",IF(OR(cs=0,ce=0),"Thiếu ngày L6",IF(OR(ps="",pe=""),"Thiếu ngày kế hoạch gốc L5",IF(OR(cs&lt;ps,ce&gt;pe),"Cảnh báo: Con vượt khung kế hoạch gốc","L6 đúng khung kế hoạch gốc"))))))))))</f>
        <v>Chưa có L6</v>
      </c>
      <c r="AL31" s="465" t="str">
        <f>IF(OR(AV31="Thiếu tham số phân bổ",AV31="Phân bổ phải &gt; 0"),AV31,SWITCH(AM31,"Chưa xếp lịch","Chưa tính tải","Định kỳ","Theo chu kỳ","Khi phát sinh","Khi phát sinh",IF(I31="","",IF(OR(AB31="Hoàn thành",AB31="Hủy"),AB31,IF(COUNTIFS('Lớp 6 - Chi tiết'!$J$14:$J$267,I31,'Lớp 6 - Chi tiết'!$AE$14:$AE$267,"&lt;&gt;Hủy")&gt;0,"Theo dõi tải tại Lớp 6",IF(AI31="","Chưa nhập khối lượng",IF(AA31="","Thiếu người thực hiện",IF(OR(AD31="",AE31=""),"Chưa nhập đủ thời gian",IF(AH31&lt;0,"Quá hạn – còn "&amp;TEXT(MAX(0,AI31*(1-AG31)),"0.0")&amp;" giờ",LET(bd,MAX(TODAY(),AD31),kt,AE31,nguoi,AA31,tai,SUMIFS('Lớp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Cận tải – tổng 7.2/8.0 giờ/ngày</v>
      </c>
      <c r="AM31" s="467" t="str">
        <f>'Trung tâm nhập liệu'!O176</f>
        <v>Có thời hạn</v>
      </c>
      <c r="AN31" s="469" t="str">
        <f>'Trung tâm nhập liệu'!P176</f>
        <v/>
      </c>
      <c r="AO31" s="470" t="str">
        <f>'Trung tâm nhập liệu'!S176</f>
        <v/>
      </c>
      <c r="AP31" s="470" t="str">
        <f>'Trung tâm nhập liệu'!X176</f>
        <v/>
      </c>
      <c r="AQ31" s="471" t="str">
        <f t="shared" si="18"/>
        <v/>
      </c>
      <c r="AR31" s="469" t="str">
        <f t="shared" si="19"/>
        <v/>
      </c>
      <c r="AS31" s="475" t="str">
        <f>'Trung tâm nhập liệu'!V176</f>
        <v>Tuần</v>
      </c>
      <c r="AT31" s="476">
        <f>'Trung tâm nhập liệu'!W176</f>
        <v>4</v>
      </c>
      <c r="AU31" s="478">
        <f>IF(AM31&lt;&gt;"Có thời hạn","",IF(OR(I31="",AI31="",AB31="Hoàn thành",AB31="Hủy",COUNTIFS('Lớp 6 - Chi tiết'!$J$14:$J$267,I31,'Lớp 6 - Chi tiết'!$AE$14:$AE$267,"&lt;&gt;Hủy")&gt;0),"",LET(canNgay,MAX(0,AI31*(1-AG31))/MAX(1,AH31),IF(AS31="Ngày",canNgay,IF(AS31="Tuần",canNgay*5,"")))))</f>
        <v>120</v>
      </c>
      <c r="AV31" s="465" t="str">
        <f>IF(I31="","",IF(COUNTIFS('Lớp 6 - Chi tiết'!$J$14:$J$267,I31,'Lớp 6 - Chi tiết'!$AE$14:$AE$267,"&lt;&gt;Hủy")&gt;0,"Theo dõi phân bổ tại Lớp 6",IF(OR(AB31="Hoàn thành",AB31="Hủy"),AB31,IF(AI31="","Thiếu tổng giờ",IF(OR(AS31="",AT31=""),"Thiếu tham số phân bổ",IF(AT31&lt;=0,"Phân bổ phải &gt; 0",IF(AM31&lt;&gt;"Có thời hạn","Đã có phân bổ",IF(AU31="","Chưa đủ dữ liệu hạn",IF(AT31&gt;=AU31,"Đủ phân bổ theo "&amp;LOWER(AS31),"Thiếu "&amp;TEXT(AU31-AT31,"0.0")&amp;" giờ/"&amp;LOWER(AS31))))))))))</f>
        <v>Thiếu 116.0 giờ/tuần</v>
      </c>
      <c r="AW31" s="465" t="str">
        <f t="shared" si="20"/>
        <v>Ngày kết thúc trước ngày bắt đầu</v>
      </c>
      <c r="AX31" s="479" t="str">
        <f>'Trung tâm nhập liệu'!Y176</f>
        <v/>
      </c>
    </row>
    <row r="32" ht="15.75" customHeight="1">
      <c r="A32" s="424">
        <f t="shared" si="11"/>
        <v>19</v>
      </c>
      <c r="B32" s="572" t="str">
        <f>'Trung tâm nhập liệu'!F177</f>
        <v>Chạy tham số Topdown Online</v>
      </c>
      <c r="C32" s="591" t="str">
        <f>'Trung tâm nhập liệu'!M177</f>
        <v>P2</v>
      </c>
      <c r="D32" s="592" t="str">
        <f t="shared" ref="D32:E32" si="69">AG32</f>
        <v/>
      </c>
      <c r="E32" s="593">
        <f t="shared" si="69"/>
        <v>1</v>
      </c>
      <c r="F32" s="575">
        <f t="shared" ref="F32:G32" si="70">U32</f>
        <v>46307</v>
      </c>
      <c r="G32" s="575">
        <f t="shared" si="70"/>
        <v>46306</v>
      </c>
      <c r="H32" s="576" t="str">
        <f>IF(B32="","",IF(COUNTIF('Lớp 6 - Chi tiết'!$J$14:$J$267,I32)&gt;0,"Có","Không"))</f>
        <v>Không</v>
      </c>
      <c r="I32" s="577" t="str">
        <f>'Trung tâm nhập liệu'!B177</f>
        <v>HHL5DL04-04</v>
      </c>
      <c r="J32" s="577" t="str">
        <f>'Trung tâm nhập liệu'!D177</f>
        <v>HHL4DL04</v>
      </c>
      <c r="K32" s="597" t="str">
        <f t="array" ref="K32">IFERROR(INDEX('Lớp 4 - Danh mục'!$J$14:$J$132,MATCH(J32,'Lớp 4 - Danh mục'!$I$14:$I$132,0)),"")</f>
        <v>HHL3CT03</v>
      </c>
      <c r="L32" s="598">
        <f t="array" ref="L32">IFERROR(INDEX('Lớp 4 - Danh mục'!$K$14:$K$132,MATCH(J32,'Lớp 4 - Danh mục'!$I$14:$I$132,0)),"")</f>
        <v>2026</v>
      </c>
      <c r="M32" s="438" t="str">
        <f t="array" ref="M32">IFERROR(INDEX('Lớp 4 - Danh mục'!$L$14:$L$132,MATCH(J32,'Lớp 4 - Danh mục'!$I$14:$I$132,0)),"")</f>
        <v>Cấp công ty</v>
      </c>
      <c r="N32" s="597" t="str">
        <f t="array" ref="N32">IFERROR(INDEX('Lớp 4 - Danh mục'!$M$14:$M$132,MATCH(J32,'Lớp 4 - Danh mục'!$I$14:$I$132,0)),"")</f>
        <v>Chiến lược/sống còn</v>
      </c>
      <c r="O32" s="597" t="str">
        <f t="array" ref="O32">IFERROR(INDEX('Lớp 4 - Danh mục'!$N$14:$N$132,MATCH(J32,'Lớp 4 - Danh mục'!$I$14:$I$132,0)),"")</f>
        <v>KHKD 2027&amp; HT lập KH theo tham số KD (bán tự động)</v>
      </c>
      <c r="P32" s="597" t="str">
        <f t="array" ref="P32">IFERROR(INDEX('Lớp 4 - Danh mục'!$O$14:$O$132,MATCH(J32,'Lớp 4 - Danh mục'!$I$14:$I$132,0)),"")</f>
        <v>Xây dựng công thức &amp; tạo HT tham số cho KH Online</v>
      </c>
      <c r="Q32" s="581" t="str">
        <f t="shared" ref="Q32:T32" si="71">B32</f>
        <v>Chạy tham số Topdown Online</v>
      </c>
      <c r="R32" s="420" t="str">
        <f t="shared" si="71"/>
        <v>P2</v>
      </c>
      <c r="S32" s="582" t="str">
        <f t="shared" si="71"/>
        <v/>
      </c>
      <c r="T32" s="583">
        <f t="shared" si="71"/>
        <v>1</v>
      </c>
      <c r="U32" s="584">
        <f>IF($I32="","",LET(n,COUNTIFS('Lớp 6 - Chi tiết'!$J$14:$J$267,$I32,'Lớp 6 - Chi tiết'!$AE$14:$AE$267,"&lt;&gt;Hủy"),child,IFERROR(MAXIFS('Lớp 6 - Chi tiết'!$AH$14:$AH$267,'Lớp 6 - Chi tiết'!$J$14:$J$267,$I32,'Lớp 6 - Chi tiết'!$AE$14:$AE$267,"&lt;&gt;Hủy",'Lớp 6 - Chi tiết'!$AH$14:$AH$267,"&gt;0"),0),plan,'Trung tâm nhập liệu'!Q177,emergent,LOWER(TRIM('Trung tâm nhập liệu'!O177))="khi phát sinh",IF(n=0,IF(emergent,"",plan),IF(child=0,IF(emergent,"",plan),IF(OR(emergent,plan=""),child,MAX(plan,child))))))</f>
        <v>46307</v>
      </c>
      <c r="V32" s="584">
        <f>IF($I32="","",LET(n,COUNTIFS('Lớp 6 - Chi tiết'!$J$14:$J$267,$I32,'Lớp 6 - Chi tiết'!$AE$14:$AE$267,"&lt;&gt;Hủy"),child,IFERROR(MINIFS('Lớp 6 - Chi tiết'!$AG$14:$AG$267,'Lớp 6 - Chi tiết'!$J$14:$J$267,$I32,'Lớp 6 - Chi tiết'!$AE$14:$AE$267,"&lt;&gt;Hủy",'Lớp 6 - Chi tiết'!$AG$14:$AG$267,"&gt;0"),0),plan,'Trung tâm nhập liệu'!R177,emergent,LOWER(TRIM('Trung tâm nhập liệu'!O177))="khi phát sinh",IF(n=0,IF(emergent,"",plan),IF(child=0,IF(emergent,"",plan),IF(OR(emergent,plan=""),child,MIN(plan,child))))))</f>
        <v>46306</v>
      </c>
      <c r="W32" s="577" t="str">
        <f t="shared" si="15"/>
        <v>Không</v>
      </c>
      <c r="X32" s="577" t="str">
        <f>'Trung tâm nhập liệu'!G177</f>
        <v>Bộ kết quả tham số Top-down kế hoạch Online được kiểm tra và xác nhận.</v>
      </c>
      <c r="Y32" s="585" t="str">
        <f>'Trung tâm nhập liệu'!H177</f>
        <v/>
      </c>
      <c r="Z32" s="586" t="str">
        <f t="array" ref="Z32">IFERROR(INDEX('Lớp 4 - Danh mục'!$X$14:$X$132,MATCH(J32,'Lớp 4 - Danh mục'!$I$14:$I$132,0)),"")</f>
        <v>Dữ liệu điều hành</v>
      </c>
      <c r="AA32" s="577" t="str">
        <f>'Trung tâm nhập liệu'!K177</f>
        <v>Em Đại</v>
      </c>
      <c r="AB32" s="572" t="str">
        <f>'Trung tâm nhập liệu'!L177</f>
        <v>Đã lên lịch</v>
      </c>
      <c r="AC32" s="420" t="str">
        <f>'Trung tâm nhập liệu'!M177</f>
        <v>P2</v>
      </c>
      <c r="AD32" s="584">
        <f t="shared" si="16"/>
        <v>46306</v>
      </c>
      <c r="AE32" s="584">
        <f t="shared" si="17"/>
        <v>46307</v>
      </c>
      <c r="AF32" s="587">
        <f>IF(AM32&lt;&gt;"Có thời hạn","",IF(OR(AD32="",AE32=""),"",IF(AE32&lt;AD32,"",_xlfn.NETWORKDAYS.INTL(AD32,AE32,11,'Ngày nghỉ lễ'!$A$5:$A$80))))</f>
        <v>1</v>
      </c>
      <c r="AG32" s="588" t="str">
        <f>IF(I32="","",IF(L32="Công việc khác","",IF(OR(AB32="Chưa lên lịch",AB32="Đã lên lịch",AB32="Hủy"),"",IF(COUNTIFS('Lớp 6 - Chi tiết'!$J$14:$J$267,I32,'Lớp 6 - Chi tiết'!$AE$14:$AE$267,"&lt;&gt;",'Lớp 6 - Chi tiết'!$AE$14:$AE$267,"&lt;&gt;Hủy",'Lớp 6 - Chi tiết'!$AE$14:$AE$267,"&lt;&gt;Chưa lên lịch",'Lớp 6 - Chi tiết'!$AE$14:$AE$267,"&lt;&gt;Đã lên lịch")&gt;0,SUMIFS('Lớp 6 - Chi tiết'!$AJ$14:$AJ$267,'Lớp 6 - Chi tiết'!$J$14:$J$267,I32,'Lớp 6 - Chi tiết'!$AE$14:$AE$267,"&lt;&gt;",'Lớp 6 - Chi tiết'!$AE$14:$AE$267,"&lt;&gt;Hủy",'Lớp 6 - Chi tiết'!$AE$14:$AE$267,"&lt;&gt;Chưa lên lịch",'Lớp 6 - Chi tiết'!$AE$14:$AE$267,"&lt;&gt;Đã lên lịch")/COUNTIFS('Lớp 6 - Chi tiết'!$J$14:$J$267,I32,'Lớp 6 - Chi tiết'!$AE$14:$AE$267,"&lt;&gt;",'Lớp 6 - Chi tiết'!$AE$14:$AE$267,"&lt;&gt;Hủy",'Lớp 6 - Chi tiết'!$AE$14:$AE$267,"&lt;&gt;Chưa lên lịch",'Lớp 6 - Chi tiết'!$AE$14:$AE$267,"&lt;&gt;Đã lên lịch"),IF(AB32="Hoàn thành",1,0)))))</f>
        <v/>
      </c>
      <c r="AH32" s="587">
        <f>IF(AM32&lt;&gt;"Có thời hạn","",IF(OR(I32="",AD32="",AE32=""),"",IF(OR(AB32="Hoàn thành",AB32="Hủy"),0,IF(AE32&lt;TODAY(),-_xlfn.NETWORKDAYS.INTL(AE32,TODAY()-1,11,'Ngày nghỉ lễ'!$A$5:$A$80),MAX(0,_xlfn.NETWORKDAYS.INTL(MAX(TODAY()+1,AD32),AE32,11,'Ngày nghỉ lễ'!$A$5:$A$80))))))</f>
        <v>1</v>
      </c>
      <c r="AI32" s="589">
        <f>IF($I32="","",LET(n,COUNTIFS('Lớp 6 - Chi tiết'!$J$14:$J$267,$I32,'Lớp 6 - Chi tiết'!$AE$14:$AE$267,"&lt;&gt;Hủy"),du,COUNTIFS('Lớp 6 - Chi tiết'!$J$14:$J$267,$I32,'Lớp 6 - Chi tiết'!$AE$14:$AE$267,"&lt;&gt;Hủy",'Lớp 6 - Chi tiết'!$AL$14:$AL$267,"&lt;&gt;"),IF(n=0,'Trung tâm nhập liệu'!T177,IF(du&lt;n,"",SUMIFS('Lớp 6 - Chi tiết'!$AL$14:$AL$267,'Lớp 6 - Chi tiết'!$J$14:$J$267,$I32,'Lớp 6 - Chi tiết'!$AE$14:$AE$267,"&lt;&gt;Hủy")))))</f>
        <v>16</v>
      </c>
      <c r="AJ32" s="468">
        <f>IF(I32="","",IF(OR(AB32="Hoàn thành",AB32="Hủy"),"",IF(COUNTIFS('Lớp 6 - Chi tiết'!$J$14:$J$267,I32,'Lớp 6 - Chi tiết'!$AE$14:$AE$267,"&lt;&gt;Hủy")&gt;0,"",IF(AS32="Ngày",AT32,IF(AS32="Tuần",AT32/5,"")))))</f>
        <v>0.8</v>
      </c>
      <c r="AK32" s="477" t="str">
        <f>IF(AM32="Chưa xếp lịch","Chưa xếp lịch",IF(AM32="Định kỳ",IF(AN32="","Thiếu chu kỳ","Theo chu kỳ"),IF(AM32="Khi phát sinh",IF(COUNTIFS('Lớp 6 - Chi tiết'!$J$14:$J$267,$I32,'Lớp 6 - Chi tiết'!$AE$14:$AE$267,"&lt;&gt;Hủy")=0,"Khi phát sinh – chờ việc con","Khi phát sinh – theo ngày con"),IF(I32="","",LET(n,COUNTIFS('Lớp 6 - Chi tiết'!$J$14:$J$267,$I32,'Lớp 6 - Chi tiết'!$AE$14:$AE$267,"&lt;&gt;Hủy"),cs,IFERROR(MINIFS('Lớp 6 - Chi tiết'!$AG$14:$AG$267,'Lớp 6 - Chi tiết'!$J$14:$J$267,$I32,'Lớp 6 - Chi tiết'!$AE$14:$AE$267,"&lt;&gt;Hủy",'Lớp 6 - Chi tiết'!$AG$14:$AG$267,"&gt;0"),0),ce,IFERROR(MAXIFS('Lớp 6 - Chi tiết'!$AH$14:$AH$267,'Lớp 6 - Chi tiết'!$J$14:$J$267,$I32,'Lớp 6 - Chi tiết'!$AE$14:$AE$267,"&lt;&gt;Hủy",'Lớp 6 - Chi tiết'!$AH$14:$AH$267,"&gt;0"),0),ps,'Trung tâm nhập liệu'!R177,pe,'Trung tâm nhập liệu'!Q177,IF(OR(AD32="",AE32=""),"Thiếu ngày L5",IF(n=0,"Chưa có L6",IF(OR(cs=0,ce=0),"Thiếu ngày L6",IF(OR(ps="",pe=""),"Thiếu ngày kế hoạch gốc L5",IF(OR(cs&lt;ps,ce&gt;pe),"Cảnh báo: Con vượt khung kế hoạch gốc","L6 đúng khung kế hoạch gốc"))))))))))</f>
        <v>Chưa có L6</v>
      </c>
      <c r="AL32" s="465" t="str">
        <f>IF(OR(AV32="Thiếu tham số phân bổ",AV32="Phân bổ phải &gt; 0"),AV32,SWITCH(AM32,"Chưa xếp lịch","Chưa tính tải","Định kỳ","Theo chu kỳ","Khi phát sinh","Khi phát sinh",IF(I32="","",IF(OR(AB32="Hoàn thành",AB32="Hủy"),AB32,IF(COUNTIFS('Lớp 6 - Chi tiết'!$J$14:$J$267,I32,'Lớp 6 - Chi tiết'!$AE$14:$AE$267,"&lt;&gt;Hủy")&gt;0,"Theo dõi tải tại Lớp 6",IF(AI32="","Chưa nhập khối lượng",IF(AA32="","Thiếu người thực hiện",IF(OR(AD32="",AE32=""),"Chưa nhập đủ thời gian",IF(AH32&lt;0,"Quá hạn – còn "&amp;TEXT(MAX(0,AI32*(1-AG32)),"0.0")&amp;" giờ",LET(bd,MAX(TODAY(),AD32),kt,AE32,nguoi,AA32,tai,SUMIFS('Lớp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Cận tải – tổng 8.0/8.0 giờ/ngày</v>
      </c>
      <c r="AM32" s="467" t="str">
        <f>'Trung tâm nhập liệu'!O177</f>
        <v>Có thời hạn</v>
      </c>
      <c r="AN32" s="469" t="str">
        <f>'Trung tâm nhập liệu'!P177</f>
        <v/>
      </c>
      <c r="AO32" s="470" t="str">
        <f>'Trung tâm nhập liệu'!S177</f>
        <v/>
      </c>
      <c r="AP32" s="470" t="str">
        <f>'Trung tâm nhập liệu'!X177</f>
        <v/>
      </c>
      <c r="AQ32" s="471" t="str">
        <f t="shared" si="18"/>
        <v/>
      </c>
      <c r="AR32" s="469" t="str">
        <f t="shared" si="19"/>
        <v/>
      </c>
      <c r="AS32" s="475" t="str">
        <f>'Trung tâm nhập liệu'!V177</f>
        <v>Tuần</v>
      </c>
      <c r="AT32" s="476">
        <f>'Trung tâm nhập liệu'!W177</f>
        <v>4</v>
      </c>
      <c r="AU32" s="478">
        <f>IF(AM32&lt;&gt;"Có thời hạn","",IF(OR(I32="",AI32="",AB32="Hoàn thành",AB32="Hủy",COUNTIFS('Lớp 6 - Chi tiết'!$J$14:$J$267,I32,'Lớp 6 - Chi tiết'!$AE$14:$AE$267,"&lt;&gt;Hủy")&gt;0),"",LET(canNgay,MAX(0,AI32*(1-AG32))/MAX(1,AH32),IF(AS32="Ngày",canNgay,IF(AS32="Tuần",canNgay*5,"")))))</f>
        <v>80</v>
      </c>
      <c r="AV32" s="465" t="str">
        <f>IF(I32="","",IF(COUNTIFS('Lớp 6 - Chi tiết'!$J$14:$J$267,I32,'Lớp 6 - Chi tiết'!$AE$14:$AE$267,"&lt;&gt;Hủy")&gt;0,"Theo dõi phân bổ tại Lớp 6",IF(OR(AB32="Hoàn thành",AB32="Hủy"),AB32,IF(AI32="","Thiếu tổng giờ",IF(OR(AS32="",AT32=""),"Thiếu tham số phân bổ",IF(AT32&lt;=0,"Phân bổ phải &gt; 0",IF(AM32&lt;&gt;"Có thời hạn","Đã có phân bổ",IF(AU32="","Chưa đủ dữ liệu hạn",IF(AT32&gt;=AU32,"Đủ phân bổ theo "&amp;LOWER(AS32),"Thiếu "&amp;TEXT(AU32-AT32,"0.0")&amp;" giờ/"&amp;LOWER(AS32))))))))))</f>
        <v>Thiếu 76.0 giờ/tuần</v>
      </c>
      <c r="AW32" s="465" t="str">
        <f t="shared" si="20"/>
        <v>OK</v>
      </c>
      <c r="AX32" s="479" t="str">
        <f>'Trung tâm nhập liệu'!Y177</f>
        <v/>
      </c>
    </row>
    <row r="33" ht="15.75" customHeight="1">
      <c r="A33" s="424">
        <f t="shared" si="11"/>
        <v>20</v>
      </c>
      <c r="B33" s="572" t="str">
        <f>'Trung tâm nhập liệu'!F178</f>
        <v>Chạy tham số Bottom-up theo khu vực vùng miền  Online</v>
      </c>
      <c r="C33" s="591" t="str">
        <f>'Trung tâm nhập liệu'!M178</f>
        <v>P2</v>
      </c>
      <c r="D33" s="592" t="str">
        <f t="shared" ref="D33:E33" si="72">AG33</f>
        <v/>
      </c>
      <c r="E33" s="593">
        <f t="shared" si="72"/>
        <v>11</v>
      </c>
      <c r="F33" s="575">
        <f t="shared" ref="F33:G33" si="73">U33</f>
        <v>46320</v>
      </c>
      <c r="G33" s="575">
        <f t="shared" si="73"/>
        <v>46308</v>
      </c>
      <c r="H33" s="576" t="str">
        <f>IF(B33="","",IF(COUNTIF('Lớp 6 - Chi tiết'!$J$14:$J$267,I33)&gt;0,"Có","Không"))</f>
        <v>Không</v>
      </c>
      <c r="I33" s="577" t="str">
        <f>'Trung tâm nhập liệu'!B178</f>
        <v>HHL5DL04-05</v>
      </c>
      <c r="J33" s="577" t="str">
        <f>'Trung tâm nhập liệu'!D178</f>
        <v>HHL4DL04</v>
      </c>
      <c r="K33" s="597" t="str">
        <f t="array" ref="K33">IFERROR(INDEX('Lớp 4 - Danh mục'!$J$14:$J$132,MATCH(J33,'Lớp 4 - Danh mục'!$I$14:$I$132,0)),"")</f>
        <v>HHL3CT03</v>
      </c>
      <c r="L33" s="598">
        <f t="array" ref="L33">IFERROR(INDEX('Lớp 4 - Danh mục'!$K$14:$K$132,MATCH(J33,'Lớp 4 - Danh mục'!$I$14:$I$132,0)),"")</f>
        <v>2026</v>
      </c>
      <c r="M33" s="438" t="str">
        <f t="array" ref="M33">IFERROR(INDEX('Lớp 4 - Danh mục'!$L$14:$L$132,MATCH(J33,'Lớp 4 - Danh mục'!$I$14:$I$132,0)),"")</f>
        <v>Cấp công ty</v>
      </c>
      <c r="N33" s="597" t="str">
        <f t="array" ref="N33">IFERROR(INDEX('Lớp 4 - Danh mục'!$M$14:$M$132,MATCH(J33,'Lớp 4 - Danh mục'!$I$14:$I$132,0)),"")</f>
        <v>Chiến lược/sống còn</v>
      </c>
      <c r="O33" s="597" t="str">
        <f t="array" ref="O33">IFERROR(INDEX('Lớp 4 - Danh mục'!$N$14:$N$132,MATCH(J33,'Lớp 4 - Danh mục'!$I$14:$I$132,0)),"")</f>
        <v>KHKD 2027&amp; HT lập KH theo tham số KD (bán tự động)</v>
      </c>
      <c r="P33" s="597" t="str">
        <f t="array" ref="P33">IFERROR(INDEX('Lớp 4 - Danh mục'!$O$14:$O$132,MATCH(J33,'Lớp 4 - Danh mục'!$I$14:$I$132,0)),"")</f>
        <v>Xây dựng công thức &amp; tạo HT tham số cho KH Online</v>
      </c>
      <c r="Q33" s="581" t="str">
        <f t="shared" ref="Q33:T33" si="74">B33</f>
        <v>Chạy tham số Bottom-up theo khu vực vùng miền  Online</v>
      </c>
      <c r="R33" s="420" t="str">
        <f t="shared" si="74"/>
        <v>P2</v>
      </c>
      <c r="S33" s="582" t="str">
        <f t="shared" si="74"/>
        <v/>
      </c>
      <c r="T33" s="583">
        <f t="shared" si="74"/>
        <v>11</v>
      </c>
      <c r="U33" s="584">
        <f>IF($I33="","",LET(n,COUNTIFS('Lớp 6 - Chi tiết'!$J$14:$J$267,$I33,'Lớp 6 - Chi tiết'!$AE$14:$AE$267,"&lt;&gt;Hủy"),child,IFERROR(MAXIFS('Lớp 6 - Chi tiết'!$AH$14:$AH$267,'Lớp 6 - Chi tiết'!$J$14:$J$267,$I33,'Lớp 6 - Chi tiết'!$AE$14:$AE$267,"&lt;&gt;Hủy",'Lớp 6 - Chi tiết'!$AH$14:$AH$267,"&gt;0"),0),plan,'Trung tâm nhập liệu'!Q178,emergent,LOWER(TRIM('Trung tâm nhập liệu'!O178))="khi phát sinh",IF(n=0,IF(emergent,"",plan),IF(child=0,IF(emergent,"",plan),IF(OR(emergent,plan=""),child,MAX(plan,child))))))</f>
        <v>46320</v>
      </c>
      <c r="V33" s="584">
        <f>IF($I33="","",LET(n,COUNTIFS('Lớp 6 - Chi tiết'!$J$14:$J$267,$I33,'Lớp 6 - Chi tiết'!$AE$14:$AE$267,"&lt;&gt;Hủy"),child,IFERROR(MINIFS('Lớp 6 - Chi tiết'!$AG$14:$AG$267,'Lớp 6 - Chi tiết'!$J$14:$J$267,$I33,'Lớp 6 - Chi tiết'!$AE$14:$AE$267,"&lt;&gt;Hủy",'Lớp 6 - Chi tiết'!$AG$14:$AG$267,"&gt;0"),0),plan,'Trung tâm nhập liệu'!R178,emergent,LOWER(TRIM('Trung tâm nhập liệu'!O178))="khi phát sinh",IF(n=0,IF(emergent,"",plan),IF(child=0,IF(emergent,"",plan),IF(OR(emergent,plan=""),child,MIN(plan,child))))))</f>
        <v>46308</v>
      </c>
      <c r="W33" s="577" t="str">
        <f t="shared" si="15"/>
        <v>Không</v>
      </c>
      <c r="X33" s="577" t="str">
        <f>'Trung tâm nhập liệu'!G178</f>
        <v>Bộ kết quả Bottom-up kế hoạch Online theo nền tảng và kênh được xác nhận.</v>
      </c>
      <c r="Y33" s="585" t="str">
        <f>'Trung tâm nhập liệu'!H178</f>
        <v/>
      </c>
      <c r="Z33" s="586" t="str">
        <f t="array" ref="Z33">IFERROR(INDEX('Lớp 4 - Danh mục'!$X$14:$X$132,MATCH(J33,'Lớp 4 - Danh mục'!$I$14:$I$132,0)),"")</f>
        <v>Dữ liệu điều hành</v>
      </c>
      <c r="AA33" s="577" t="str">
        <f>'Trung tâm nhập liệu'!K178</f>
        <v>Em Đại</v>
      </c>
      <c r="AB33" s="572" t="str">
        <f>'Trung tâm nhập liệu'!L178</f>
        <v>Đã lên lịch</v>
      </c>
      <c r="AC33" s="420" t="str">
        <f>'Trung tâm nhập liệu'!M178</f>
        <v>P2</v>
      </c>
      <c r="AD33" s="584">
        <f t="shared" si="16"/>
        <v>46308</v>
      </c>
      <c r="AE33" s="584">
        <f t="shared" si="17"/>
        <v>46320</v>
      </c>
      <c r="AF33" s="587">
        <f>IF(AM33&lt;&gt;"Có thời hạn","",IF(OR(AD33="",AE33=""),"",IF(AE33&lt;AD33,"",_xlfn.NETWORKDAYS.INTL(AD33,AE33,11,'Ngày nghỉ lễ'!$A$5:$A$80))))</f>
        <v>11</v>
      </c>
      <c r="AG33" s="588" t="str">
        <f>IF(I33="","",IF(L33="Công việc khác","",IF(OR(AB33="Chưa lên lịch",AB33="Đã lên lịch",AB33="Hủy"),"",IF(COUNTIFS('Lớp 6 - Chi tiết'!$J$14:$J$267,I33,'Lớp 6 - Chi tiết'!$AE$14:$AE$267,"&lt;&gt;",'Lớp 6 - Chi tiết'!$AE$14:$AE$267,"&lt;&gt;Hủy",'Lớp 6 - Chi tiết'!$AE$14:$AE$267,"&lt;&gt;Chưa lên lịch",'Lớp 6 - Chi tiết'!$AE$14:$AE$267,"&lt;&gt;Đã lên lịch")&gt;0,SUMIFS('Lớp 6 - Chi tiết'!$AJ$14:$AJ$267,'Lớp 6 - Chi tiết'!$J$14:$J$267,I33,'Lớp 6 - Chi tiết'!$AE$14:$AE$267,"&lt;&gt;",'Lớp 6 - Chi tiết'!$AE$14:$AE$267,"&lt;&gt;Hủy",'Lớp 6 - Chi tiết'!$AE$14:$AE$267,"&lt;&gt;Chưa lên lịch",'Lớp 6 - Chi tiết'!$AE$14:$AE$267,"&lt;&gt;Đã lên lịch")/COUNTIFS('Lớp 6 - Chi tiết'!$J$14:$J$267,I33,'Lớp 6 - Chi tiết'!$AE$14:$AE$267,"&lt;&gt;",'Lớp 6 - Chi tiết'!$AE$14:$AE$267,"&lt;&gt;Hủy",'Lớp 6 - Chi tiết'!$AE$14:$AE$267,"&lt;&gt;Chưa lên lịch",'Lớp 6 - Chi tiết'!$AE$14:$AE$267,"&lt;&gt;Đã lên lịch"),IF(AB33="Hoàn thành",1,0)))))</f>
        <v/>
      </c>
      <c r="AH33" s="587">
        <f>IF(AM33&lt;&gt;"Có thời hạn","",IF(OR(I33="",AD33="",AE33=""),"",IF(OR(AB33="Hoàn thành",AB33="Hủy"),0,IF(AE33&lt;TODAY(),-_xlfn.NETWORKDAYS.INTL(AE33,TODAY()-1,11,'Ngày nghỉ lễ'!$A$5:$A$80),MAX(0,_xlfn.NETWORKDAYS.INTL(MAX(TODAY()+1,AD33),AE33,11,'Ngày nghỉ lễ'!$A$5:$A$80))))))</f>
        <v>11</v>
      </c>
      <c r="AI33" s="589">
        <f>IF($I33="","",LET(n,COUNTIFS('Lớp 6 - Chi tiết'!$J$14:$J$267,$I33,'Lớp 6 - Chi tiết'!$AE$14:$AE$267,"&lt;&gt;Hủy"),du,COUNTIFS('Lớp 6 - Chi tiết'!$J$14:$J$267,$I33,'Lớp 6 - Chi tiết'!$AE$14:$AE$267,"&lt;&gt;Hủy",'Lớp 6 - Chi tiết'!$AL$14:$AL$267,"&lt;&gt;"),IF(n=0,'Trung tâm nhập liệu'!T178,IF(du&lt;n,"",SUMIFS('Lớp 6 - Chi tiết'!$AL$14:$AL$267,'Lớp 6 - Chi tiết'!$J$14:$J$267,$I33,'Lớp 6 - Chi tiết'!$AE$14:$AE$267,"&lt;&gt;Hủy")))))</f>
        <v>16</v>
      </c>
      <c r="AJ33" s="468">
        <f>IF(I33="","",IF(OR(AB33="Hoàn thành",AB33="Hủy"),"",IF(COUNTIFS('Lớp 6 - Chi tiết'!$J$14:$J$267,I33,'Lớp 6 - Chi tiết'!$AE$14:$AE$267,"&lt;&gt;Hủy")&gt;0,"",IF(AS33="Ngày",AT33,IF(AS33="Tuần",AT33/5,"")))))</f>
        <v>0.8</v>
      </c>
      <c r="AK33" s="477" t="str">
        <f>IF(AM33="Chưa xếp lịch","Chưa xếp lịch",IF(AM33="Định kỳ",IF(AN33="","Thiếu chu kỳ","Theo chu kỳ"),IF(AM33="Khi phát sinh",IF(COUNTIFS('Lớp 6 - Chi tiết'!$J$14:$J$267,$I33,'Lớp 6 - Chi tiết'!$AE$14:$AE$267,"&lt;&gt;Hủy")=0,"Khi phát sinh – chờ việc con","Khi phát sinh – theo ngày con"),IF(I33="","",LET(n,COUNTIFS('Lớp 6 - Chi tiết'!$J$14:$J$267,$I33,'Lớp 6 - Chi tiết'!$AE$14:$AE$267,"&lt;&gt;Hủy"),cs,IFERROR(MINIFS('Lớp 6 - Chi tiết'!$AG$14:$AG$267,'Lớp 6 - Chi tiết'!$J$14:$J$267,$I33,'Lớp 6 - Chi tiết'!$AE$14:$AE$267,"&lt;&gt;Hủy",'Lớp 6 - Chi tiết'!$AG$14:$AG$267,"&gt;0"),0),ce,IFERROR(MAXIFS('Lớp 6 - Chi tiết'!$AH$14:$AH$267,'Lớp 6 - Chi tiết'!$J$14:$J$267,$I33,'Lớp 6 - Chi tiết'!$AE$14:$AE$267,"&lt;&gt;Hủy",'Lớp 6 - Chi tiết'!$AH$14:$AH$267,"&gt;0"),0),ps,'Trung tâm nhập liệu'!R178,pe,'Trung tâm nhập liệu'!Q178,IF(OR(AD33="",AE33=""),"Thiếu ngày L5",IF(n=0,"Chưa có L6",IF(OR(cs=0,ce=0),"Thiếu ngày L6",IF(OR(ps="",pe=""),"Thiếu ngày kế hoạch gốc L5",IF(OR(cs&lt;ps,ce&gt;pe),"Cảnh báo: Con vượt khung kế hoạch gốc","L6 đúng khung kế hoạch gốc"))))))))))</f>
        <v>Chưa có L6</v>
      </c>
      <c r="AL33" s="465" t="str">
        <f>IF(OR(AV33="Thiếu tham số phân bổ",AV33="Phân bổ phải &gt; 0"),AV33,SWITCH(AM33,"Chưa xếp lịch","Chưa tính tải","Định kỳ","Theo chu kỳ","Khi phát sinh","Khi phát sinh",IF(I33="","",IF(OR(AB33="Hoàn thành",AB33="Hủy"),AB33,IF(COUNTIFS('Lớp 6 - Chi tiết'!$J$14:$J$267,I33,'Lớp 6 - Chi tiết'!$AE$14:$AE$267,"&lt;&gt;Hủy")&gt;0,"Theo dõi tải tại Lớp 6",IF(AI33="","Chưa nhập khối lượng",IF(AA33="","Thiếu người thực hiện",IF(OR(AD33="",AE33=""),"Chưa nhập đủ thời gian",IF(AH33&lt;0,"Quá hạn – còn "&amp;TEXT(MAX(0,AI33*(1-AG33)),"0.0")&amp;" giờ",LET(bd,MAX(TODAY(),AD33),kt,AE33,nguoi,AA33,tai,SUMIFS('Lớp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10.4/8.0 giờ/ngày</v>
      </c>
      <c r="AM33" s="467" t="str">
        <f>'Trung tâm nhập liệu'!O178</f>
        <v>Có thời hạn</v>
      </c>
      <c r="AN33" s="469" t="str">
        <f>'Trung tâm nhập liệu'!P178</f>
        <v/>
      </c>
      <c r="AO33" s="470" t="str">
        <f>'Trung tâm nhập liệu'!S178</f>
        <v/>
      </c>
      <c r="AP33" s="470" t="str">
        <f>'Trung tâm nhập liệu'!X178</f>
        <v/>
      </c>
      <c r="AQ33" s="471" t="str">
        <f t="shared" si="18"/>
        <v/>
      </c>
      <c r="AR33" s="469" t="str">
        <f t="shared" si="19"/>
        <v/>
      </c>
      <c r="AS33" s="475" t="str">
        <f>'Trung tâm nhập liệu'!V178</f>
        <v>Tuần</v>
      </c>
      <c r="AT33" s="476">
        <f>'Trung tâm nhập liệu'!W178</f>
        <v>4</v>
      </c>
      <c r="AU33" s="478">
        <f>IF(AM33&lt;&gt;"Có thời hạn","",IF(OR(I33="",AI33="",AB33="Hoàn thành",AB33="Hủy",COUNTIFS('Lớp 6 - Chi tiết'!$J$14:$J$267,I33,'Lớp 6 - Chi tiết'!$AE$14:$AE$267,"&lt;&gt;Hủy")&gt;0),"",LET(canNgay,MAX(0,AI33*(1-AG33))/MAX(1,AH33),IF(AS33="Ngày",canNgay,IF(AS33="Tuần",canNgay*5,"")))))</f>
        <v>7.272727273</v>
      </c>
      <c r="AV33" s="465" t="str">
        <f>IF(I33="","",IF(COUNTIFS('Lớp 6 - Chi tiết'!$J$14:$J$267,I33,'Lớp 6 - Chi tiết'!$AE$14:$AE$267,"&lt;&gt;Hủy")&gt;0,"Theo dõi phân bổ tại Lớp 6",IF(OR(AB33="Hoàn thành",AB33="Hủy"),AB33,IF(AI33="","Thiếu tổng giờ",IF(OR(AS33="",AT33=""),"Thiếu tham số phân bổ",IF(AT33&lt;=0,"Phân bổ phải &gt; 0",IF(AM33&lt;&gt;"Có thời hạn","Đã có phân bổ",IF(AU33="","Chưa đủ dữ liệu hạn",IF(AT33&gt;=AU33,"Đủ phân bổ theo "&amp;LOWER(AS33),"Thiếu "&amp;TEXT(AU33-AT33,"0.0")&amp;" giờ/"&amp;LOWER(AS33))))))))))</f>
        <v>Thiếu 3.3 giờ/tuần</v>
      </c>
      <c r="AW33" s="465" t="str">
        <f t="shared" si="20"/>
        <v>OK</v>
      </c>
      <c r="AX33" s="479" t="str">
        <f>'Trung tâm nhập liệu'!Y178</f>
        <v/>
      </c>
    </row>
    <row r="34" ht="15.75" customHeight="1">
      <c r="A34" s="424">
        <f t="shared" si="11"/>
        <v>21</v>
      </c>
      <c r="B34" s="572" t="str">
        <f>'Trung tâm nhập liệu'!F179</f>
        <v>XD &amp; phản biện công thức (nội bộ) XK</v>
      </c>
      <c r="C34" s="591" t="str">
        <f>'Trung tâm nhập liệu'!M179</f>
        <v>P2</v>
      </c>
      <c r="D34" s="592">
        <f t="shared" ref="D34:E34" si="75">AG34</f>
        <v>0</v>
      </c>
      <c r="E34" s="593">
        <f t="shared" si="75"/>
        <v>9</v>
      </c>
      <c r="F34" s="575">
        <f t="shared" ref="F34:G34" si="76">U34</f>
        <v>46300</v>
      </c>
      <c r="G34" s="575">
        <f t="shared" si="76"/>
        <v>46290</v>
      </c>
      <c r="H34" s="576" t="str">
        <f>IF(B34="","",IF(COUNTIF('Lớp 6 - Chi tiết'!$J$14:$J$267,I34)&gt;0,"Có","Không"))</f>
        <v>Không</v>
      </c>
      <c r="I34" s="577" t="str">
        <f>'Trung tâm nhập liệu'!B179</f>
        <v>HHL5DL05-01</v>
      </c>
      <c r="J34" s="577" t="str">
        <f>'Trung tâm nhập liệu'!D179</f>
        <v>HHL4DL05</v>
      </c>
      <c r="K34" s="597" t="str">
        <f t="array" ref="K34">IFERROR(INDEX('Lớp 4 - Danh mục'!$J$14:$J$132,MATCH(J34,'Lớp 4 - Danh mục'!$I$14:$I$132,0)),"")</f>
        <v>HHL3CT03</v>
      </c>
      <c r="L34" s="598">
        <f t="array" ref="L34">IFERROR(INDEX('Lớp 4 - Danh mục'!$K$14:$K$132,MATCH(J34,'Lớp 4 - Danh mục'!$I$14:$I$132,0)),"")</f>
        <v>2026</v>
      </c>
      <c r="M34" s="438" t="str">
        <f t="array" ref="M34">IFERROR(INDEX('Lớp 4 - Danh mục'!$L$14:$L$132,MATCH(J34,'Lớp 4 - Danh mục'!$I$14:$I$132,0)),"")</f>
        <v>Cấp công ty</v>
      </c>
      <c r="N34" s="597" t="str">
        <f t="array" ref="N34">IFERROR(INDEX('Lớp 4 - Danh mục'!$M$14:$M$132,MATCH(J34,'Lớp 4 - Danh mục'!$I$14:$I$132,0)),"")</f>
        <v>Chiến lược/sống còn</v>
      </c>
      <c r="O34" s="597" t="str">
        <f t="array" ref="O34">IFERROR(INDEX('Lớp 4 - Danh mục'!$N$14:$N$132,MATCH(J34,'Lớp 4 - Danh mục'!$I$14:$I$132,0)),"")</f>
        <v>KHKD 2027&amp; HT lập KH theo tham số KD (bán tự động)</v>
      </c>
      <c r="P34" s="597" t="str">
        <f t="array" ref="P34">IFERROR(INDEX('Lớp 4 - Danh mục'!$O$14:$O$132,MATCH(J34,'Lớp 4 - Danh mục'!$I$14:$I$132,0)),"")</f>
        <v>Xây dựng công thức &amp; tạo HT tham số cho KH XK</v>
      </c>
      <c r="Q34" s="581" t="str">
        <f t="shared" ref="Q34:T34" si="77">B34</f>
        <v>XD &amp; phản biện công thức (nội bộ) XK</v>
      </c>
      <c r="R34" s="420" t="str">
        <f t="shared" si="77"/>
        <v>P2</v>
      </c>
      <c r="S34" s="582">
        <f t="shared" si="77"/>
        <v>0</v>
      </c>
      <c r="T34" s="583">
        <f t="shared" si="77"/>
        <v>9</v>
      </c>
      <c r="U34" s="584">
        <f>IF($I34="","",LET(n,COUNTIFS('Lớp 6 - Chi tiết'!$J$14:$J$267,$I34,'Lớp 6 - Chi tiết'!$AE$14:$AE$267,"&lt;&gt;Hủy"),child,IFERROR(MAXIFS('Lớp 6 - Chi tiết'!$AH$14:$AH$267,'Lớp 6 - Chi tiết'!$J$14:$J$267,$I34,'Lớp 6 - Chi tiết'!$AE$14:$AE$267,"&lt;&gt;Hủy",'Lớp 6 - Chi tiết'!$AH$14:$AH$267,"&gt;0"),0),plan,'Trung tâm nhập liệu'!Q179,emergent,LOWER(TRIM('Trung tâm nhập liệu'!O179))="khi phát sinh",IF(n=0,IF(emergent,"",plan),IF(child=0,IF(emergent,"",plan),IF(OR(emergent,plan=""),child,MAX(plan,child))))))</f>
        <v>46300</v>
      </c>
      <c r="V34" s="584">
        <f>IF($I34="","",LET(n,COUNTIFS('Lớp 6 - Chi tiết'!$J$14:$J$267,$I34,'Lớp 6 - Chi tiết'!$AE$14:$AE$267,"&lt;&gt;Hủy"),child,IFERROR(MINIFS('Lớp 6 - Chi tiết'!$AG$14:$AG$267,'Lớp 6 - Chi tiết'!$J$14:$J$267,$I34,'Lớp 6 - Chi tiết'!$AE$14:$AE$267,"&lt;&gt;Hủy",'Lớp 6 - Chi tiết'!$AG$14:$AG$267,"&gt;0"),0),plan,'Trung tâm nhập liệu'!R179,emergent,LOWER(TRIM('Trung tâm nhập liệu'!O179))="khi phát sinh",IF(n=0,IF(emergent,"",plan),IF(child=0,IF(emergent,"",plan),IF(OR(emergent,plan=""),child,MIN(plan,child))))))</f>
        <v>46290</v>
      </c>
      <c r="W34" s="577" t="str">
        <f t="shared" si="15"/>
        <v>Không</v>
      </c>
      <c r="X34" s="577" t="str">
        <f>'Trung tâm nhập liệu'!G179</f>
        <v>Bộ công thức kế hoạch xuất khẩu được xây dựng, phản biện nội bộ và chốt phiên bản.</v>
      </c>
      <c r="Y34" s="585" t="str">
        <f>'Trung tâm nhập liệu'!H179</f>
        <v/>
      </c>
      <c r="Z34" s="586" t="str">
        <f t="array" ref="Z34">IFERROR(INDEX('Lớp 4 - Danh mục'!$X$14:$X$132,MATCH(J34,'Lớp 4 - Danh mục'!$I$14:$I$132,0)),"")</f>
        <v>Dữ liệu điều hành</v>
      </c>
      <c r="AA34" s="577" t="str">
        <f>'Trung tâm nhập liệu'!K179</f>
        <v>Em Đại</v>
      </c>
      <c r="AB34" s="572" t="str">
        <f>'Trung tâm nhập liệu'!L179</f>
        <v>Chưa bắt đầu</v>
      </c>
      <c r="AC34" s="420" t="str">
        <f>'Trung tâm nhập liệu'!M179</f>
        <v>P2</v>
      </c>
      <c r="AD34" s="584">
        <f t="shared" si="16"/>
        <v>46290</v>
      </c>
      <c r="AE34" s="584">
        <f t="shared" si="17"/>
        <v>46300</v>
      </c>
      <c r="AF34" s="587">
        <f>IF(AM34&lt;&gt;"Có thời hạn","",IF(OR(AD34="",AE34=""),"",IF(AE34&lt;AD34,"",_xlfn.NETWORKDAYS.INTL(AD34,AE34,11,'Ngày nghỉ lễ'!$A$5:$A$80))))</f>
        <v>9</v>
      </c>
      <c r="AG34" s="588">
        <f>IF(I34="","",IF(L34="Công việc khác","",IF(OR(AB34="Chưa lên lịch",AB34="Đã lên lịch",AB34="Hủy"),"",IF(COUNTIFS('Lớp 6 - Chi tiết'!$J$14:$J$267,I34,'Lớp 6 - Chi tiết'!$AE$14:$AE$267,"&lt;&gt;",'Lớp 6 - Chi tiết'!$AE$14:$AE$267,"&lt;&gt;Hủy",'Lớp 6 - Chi tiết'!$AE$14:$AE$267,"&lt;&gt;Chưa lên lịch",'Lớp 6 - Chi tiết'!$AE$14:$AE$267,"&lt;&gt;Đã lên lịch")&gt;0,SUMIFS('Lớp 6 - Chi tiết'!$AJ$14:$AJ$267,'Lớp 6 - Chi tiết'!$J$14:$J$267,I34,'Lớp 6 - Chi tiết'!$AE$14:$AE$267,"&lt;&gt;",'Lớp 6 - Chi tiết'!$AE$14:$AE$267,"&lt;&gt;Hủy",'Lớp 6 - Chi tiết'!$AE$14:$AE$267,"&lt;&gt;Chưa lên lịch",'Lớp 6 - Chi tiết'!$AE$14:$AE$267,"&lt;&gt;Đã lên lịch")/COUNTIFS('Lớp 6 - Chi tiết'!$J$14:$J$267,I34,'Lớp 6 - Chi tiết'!$AE$14:$AE$267,"&lt;&gt;",'Lớp 6 - Chi tiết'!$AE$14:$AE$267,"&lt;&gt;Hủy",'Lớp 6 - Chi tiết'!$AE$14:$AE$267,"&lt;&gt;Chưa lên lịch",'Lớp 6 - Chi tiết'!$AE$14:$AE$267,"&lt;&gt;Đã lên lịch"),IF(AB34="Hoàn thành",1,0)))))</f>
        <v>0</v>
      </c>
      <c r="AH34" s="587">
        <f>IF(AM34&lt;&gt;"Có thời hạn","",IF(OR(I34="",AD34="",AE34=""),"",IF(OR(AB34="Hoàn thành",AB34="Hủy"),0,IF(AE34&lt;TODAY(),-_xlfn.NETWORKDAYS.INTL(AE34,TODAY()-1,11,'Ngày nghỉ lễ'!$A$5:$A$80),MAX(0,_xlfn.NETWORKDAYS.INTL(MAX(TODAY()+1,AD34),AE34,11,'Ngày nghỉ lễ'!$A$5:$A$80))))))</f>
        <v>9</v>
      </c>
      <c r="AI34" s="589">
        <f>IF($I34="","",LET(n,COUNTIFS('Lớp 6 - Chi tiết'!$J$14:$J$267,$I34,'Lớp 6 - Chi tiết'!$AE$14:$AE$267,"&lt;&gt;Hủy"),du,COUNTIFS('Lớp 6 - Chi tiết'!$J$14:$J$267,$I34,'Lớp 6 - Chi tiết'!$AE$14:$AE$267,"&lt;&gt;Hủy",'Lớp 6 - Chi tiết'!$AL$14:$AL$267,"&lt;&gt;"),IF(n=0,'Trung tâm nhập liệu'!T179,IF(du&lt;n,"",SUMIFS('Lớp 6 - Chi tiết'!$AL$14:$AL$267,'Lớp 6 - Chi tiết'!$J$14:$J$267,$I34,'Lớp 6 - Chi tiết'!$AE$14:$AE$267,"&lt;&gt;Hủy")))))</f>
        <v>16</v>
      </c>
      <c r="AJ34" s="468">
        <f>IF(I34="","",IF(OR(AB34="Hoàn thành",AB34="Hủy"),"",IF(COUNTIFS('Lớp 6 - Chi tiết'!$J$14:$J$267,I34,'Lớp 6 - Chi tiết'!$AE$14:$AE$267,"&lt;&gt;Hủy")&gt;0,"",IF(AS34="Ngày",AT34,IF(AS34="Tuần",AT34/5,"")))))</f>
        <v>0.8</v>
      </c>
      <c r="AK34" s="477" t="str">
        <f>IF(AM34="Chưa xếp lịch","Chưa xếp lịch",IF(AM34="Định kỳ",IF(AN34="","Thiếu chu kỳ","Theo chu kỳ"),IF(AM34="Khi phát sinh",IF(COUNTIFS('Lớp 6 - Chi tiết'!$J$14:$J$267,$I34,'Lớp 6 - Chi tiết'!$AE$14:$AE$267,"&lt;&gt;Hủy")=0,"Khi phát sinh – chờ việc con","Khi phát sinh – theo ngày con"),IF(I34="","",LET(n,COUNTIFS('Lớp 6 - Chi tiết'!$J$14:$J$267,$I34,'Lớp 6 - Chi tiết'!$AE$14:$AE$267,"&lt;&gt;Hủy"),cs,IFERROR(MINIFS('Lớp 6 - Chi tiết'!$AG$14:$AG$267,'Lớp 6 - Chi tiết'!$J$14:$J$267,$I34,'Lớp 6 - Chi tiết'!$AE$14:$AE$267,"&lt;&gt;Hủy",'Lớp 6 - Chi tiết'!$AG$14:$AG$267,"&gt;0"),0),ce,IFERROR(MAXIFS('Lớp 6 - Chi tiết'!$AH$14:$AH$267,'Lớp 6 - Chi tiết'!$J$14:$J$267,$I34,'Lớp 6 - Chi tiết'!$AE$14:$AE$267,"&lt;&gt;Hủy",'Lớp 6 - Chi tiết'!$AH$14:$AH$267,"&gt;0"),0),ps,'Trung tâm nhập liệu'!R179,pe,'Trung tâm nhập liệu'!Q179,IF(OR(AD34="",AE34=""),"Thiếu ngày L5",IF(n=0,"Chưa có L6",IF(OR(cs=0,ce=0),"Thiếu ngày L6",IF(OR(ps="",pe=""),"Thiếu ngày kế hoạch gốc L5",IF(OR(cs&lt;ps,ce&gt;pe),"Cảnh báo: Con vượt khung kế hoạch gốc","L6 đúng khung kế hoạch gốc"))))))))))</f>
        <v>Chưa có L6</v>
      </c>
      <c r="AL34" s="465" t="str">
        <f>IF(OR(AV34="Thiếu tham số phân bổ",AV34="Phân bổ phải &gt; 0"),AV34,SWITCH(AM34,"Chưa xếp lịch","Chưa tính tải","Định kỳ","Theo chu kỳ","Khi phát sinh","Khi phát sinh",IF(I34="","",IF(OR(AB34="Hoàn thành",AB34="Hủy"),AB34,IF(COUNTIFS('Lớp 6 - Chi tiết'!$J$14:$J$267,I34,'Lớp 6 - Chi tiết'!$AE$14:$AE$267,"&lt;&gt;Hủy")&gt;0,"Theo dõi tải tại Lớp 6",IF(AI34="","Chưa nhập khối lượng",IF(AA34="","Thiếu người thực hiện",IF(OR(AD34="",AE34=""),"Chưa nhập đủ thời gian",IF(AH34&lt;0,"Quá hạn – còn "&amp;TEXT(MAX(0,AI34*(1-AG34)),"0.0")&amp;" giờ",LET(bd,MAX(TODAY(),AD34),kt,AE34,nguoi,AA34,tai,SUMIFS('Lớp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15.2/8.0 giờ/ngày</v>
      </c>
      <c r="AM34" s="467" t="str">
        <f>'Trung tâm nhập liệu'!O179</f>
        <v>Có thời hạn</v>
      </c>
      <c r="AN34" s="469" t="str">
        <f>'Trung tâm nhập liệu'!P179</f>
        <v/>
      </c>
      <c r="AO34" s="470" t="str">
        <f>'Trung tâm nhập liệu'!S179</f>
        <v/>
      </c>
      <c r="AP34" s="470" t="str">
        <f>'Trung tâm nhập liệu'!X179</f>
        <v/>
      </c>
      <c r="AQ34" s="471" t="str">
        <f t="shared" si="18"/>
        <v/>
      </c>
      <c r="AR34" s="469" t="str">
        <f t="shared" si="19"/>
        <v/>
      </c>
      <c r="AS34" s="475" t="str">
        <f>'Trung tâm nhập liệu'!V179</f>
        <v>Tuần</v>
      </c>
      <c r="AT34" s="476">
        <f>'Trung tâm nhập liệu'!W179</f>
        <v>4</v>
      </c>
      <c r="AU34" s="478">
        <f>IF(AM34&lt;&gt;"Có thời hạn","",IF(OR(I34="",AI34="",AB34="Hoàn thành",AB34="Hủy",COUNTIFS('Lớp 6 - Chi tiết'!$J$14:$J$267,I34,'Lớp 6 - Chi tiết'!$AE$14:$AE$267,"&lt;&gt;Hủy")&gt;0),"",LET(canNgay,MAX(0,AI34*(1-AG34))/MAX(1,AH34),IF(AS34="Ngày",canNgay,IF(AS34="Tuần",canNgay*5,"")))))</f>
        <v>8.888888889</v>
      </c>
      <c r="AV34" s="465" t="str">
        <f>IF(I34="","",IF(COUNTIFS('Lớp 6 - Chi tiết'!$J$14:$J$267,I34,'Lớp 6 - Chi tiết'!$AE$14:$AE$267,"&lt;&gt;Hủy")&gt;0,"Theo dõi phân bổ tại Lớp 6",IF(OR(AB34="Hoàn thành",AB34="Hủy"),AB34,IF(AI34="","Thiếu tổng giờ",IF(OR(AS34="",AT34=""),"Thiếu tham số phân bổ",IF(AT34&lt;=0,"Phân bổ phải &gt; 0",IF(AM34&lt;&gt;"Có thời hạn","Đã có phân bổ",IF(AU34="","Chưa đủ dữ liệu hạn",IF(AT34&gt;=AU34,"Đủ phân bổ theo "&amp;LOWER(AS34),"Thiếu "&amp;TEXT(AU34-AT34,"0.0")&amp;" giờ/"&amp;LOWER(AS34))))))))))</f>
        <v>Thiếu 4.9 giờ/tuần</v>
      </c>
      <c r="AW34" s="465" t="str">
        <f t="shared" si="20"/>
        <v>Chưa đến ngày bắt đầu – nên Đã lên lịch</v>
      </c>
      <c r="AX34" s="479" t="str">
        <f>'Trung tâm nhập liệu'!Y179</f>
        <v/>
      </c>
    </row>
    <row r="35" ht="15.75" customHeight="1">
      <c r="A35" s="424">
        <f t="shared" si="11"/>
        <v>22</v>
      </c>
      <c r="B35" s="572" t="str">
        <f>'Trung tâm nhập liệu'!F180</f>
        <v>Phản biện với TGĐ &amp; liên PB XK</v>
      </c>
      <c r="C35" s="591" t="str">
        <f>'Trung tâm nhập liệu'!M180</f>
        <v>P2</v>
      </c>
      <c r="D35" s="592">
        <f t="shared" ref="D35:E35" si="78">AG35</f>
        <v>0</v>
      </c>
      <c r="E35" s="593">
        <f t="shared" si="78"/>
        <v>34</v>
      </c>
      <c r="F35" s="575">
        <f t="shared" ref="F35:G35" si="79">U35</f>
        <v>46310</v>
      </c>
      <c r="G35" s="575">
        <f t="shared" si="79"/>
        <v>46271</v>
      </c>
      <c r="H35" s="576" t="str">
        <f>IF(B35="","",IF(COUNTIF('Lớp 6 - Chi tiết'!$J$14:$J$267,I35)&gt;0,"Có","Không"))</f>
        <v>Không</v>
      </c>
      <c r="I35" s="577" t="str">
        <f>'Trung tâm nhập liệu'!B180</f>
        <v>HHL5DL05-02</v>
      </c>
      <c r="J35" s="577" t="str">
        <f>'Trung tâm nhập liệu'!D180</f>
        <v>HHL4DL05</v>
      </c>
      <c r="K35" s="597" t="str">
        <f t="array" ref="K35">IFERROR(INDEX('Lớp 4 - Danh mục'!$J$14:$J$132,MATCH(J35,'Lớp 4 - Danh mục'!$I$14:$I$132,0)),"")</f>
        <v>HHL3CT03</v>
      </c>
      <c r="L35" s="598">
        <f t="array" ref="L35">IFERROR(INDEX('Lớp 4 - Danh mục'!$K$14:$K$132,MATCH(J35,'Lớp 4 - Danh mục'!$I$14:$I$132,0)),"")</f>
        <v>2026</v>
      </c>
      <c r="M35" s="438" t="str">
        <f t="array" ref="M35">IFERROR(INDEX('Lớp 4 - Danh mục'!$L$14:$L$132,MATCH(J35,'Lớp 4 - Danh mục'!$I$14:$I$132,0)),"")</f>
        <v>Cấp công ty</v>
      </c>
      <c r="N35" s="597" t="str">
        <f t="array" ref="N35">IFERROR(INDEX('Lớp 4 - Danh mục'!$M$14:$M$132,MATCH(J35,'Lớp 4 - Danh mục'!$I$14:$I$132,0)),"")</f>
        <v>Chiến lược/sống còn</v>
      </c>
      <c r="O35" s="597" t="str">
        <f t="array" ref="O35">IFERROR(INDEX('Lớp 4 - Danh mục'!$N$14:$N$132,MATCH(J35,'Lớp 4 - Danh mục'!$I$14:$I$132,0)),"")</f>
        <v>KHKD 2027&amp; HT lập KH theo tham số KD (bán tự động)</v>
      </c>
      <c r="P35" s="597" t="str">
        <f t="array" ref="P35">IFERROR(INDEX('Lớp 4 - Danh mục'!$O$14:$O$132,MATCH(J35,'Lớp 4 - Danh mục'!$I$14:$I$132,0)),"")</f>
        <v>Xây dựng công thức &amp; tạo HT tham số cho KH XK</v>
      </c>
      <c r="Q35" s="581" t="str">
        <f t="shared" ref="Q35:T35" si="80">B35</f>
        <v>Phản biện với TGĐ &amp; liên PB XK</v>
      </c>
      <c r="R35" s="420" t="str">
        <f t="shared" si="80"/>
        <v>P2</v>
      </c>
      <c r="S35" s="582">
        <f t="shared" si="80"/>
        <v>0</v>
      </c>
      <c r="T35" s="583">
        <f t="shared" si="80"/>
        <v>34</v>
      </c>
      <c r="U35" s="584">
        <f>IF($I35="","",LET(n,COUNTIFS('Lớp 6 - Chi tiết'!$J$14:$J$267,$I35,'Lớp 6 - Chi tiết'!$AE$14:$AE$267,"&lt;&gt;Hủy"),child,IFERROR(MAXIFS('Lớp 6 - Chi tiết'!$AH$14:$AH$267,'Lớp 6 - Chi tiết'!$J$14:$J$267,$I35,'Lớp 6 - Chi tiết'!$AE$14:$AE$267,"&lt;&gt;Hủy",'Lớp 6 - Chi tiết'!$AH$14:$AH$267,"&gt;0"),0),plan,'Trung tâm nhập liệu'!Q180,emergent,LOWER(TRIM('Trung tâm nhập liệu'!O180))="khi phát sinh",IF(n=0,IF(emergent,"",plan),IF(child=0,IF(emergent,"",plan),IF(OR(emergent,plan=""),child,MAX(plan,child))))))</f>
        <v>46310</v>
      </c>
      <c r="V35" s="584">
        <f>IF($I35="","",LET(n,COUNTIFS('Lớp 6 - Chi tiết'!$J$14:$J$267,$I35,'Lớp 6 - Chi tiết'!$AE$14:$AE$267,"&lt;&gt;Hủy"),child,IFERROR(MINIFS('Lớp 6 - Chi tiết'!$AG$14:$AG$267,'Lớp 6 - Chi tiết'!$J$14:$J$267,$I35,'Lớp 6 - Chi tiết'!$AE$14:$AE$267,"&lt;&gt;Hủy",'Lớp 6 - Chi tiết'!$AG$14:$AG$267,"&gt;0"),0),plan,'Trung tâm nhập liệu'!R180,emergent,LOWER(TRIM('Trung tâm nhập liệu'!O180))="khi phát sinh",IF(n=0,IF(emergent,"",plan),IF(child=0,IF(emergent,"",plan),IF(OR(emergent,plan=""),child,MIN(plan,child))))))</f>
        <v>46271</v>
      </c>
      <c r="W35" s="577" t="str">
        <f t="shared" si="15"/>
        <v>Không</v>
      </c>
      <c r="X35" s="577" t="str">
        <f>'Trung tâm nhập liệu'!G180</f>
        <v>Biên bản phản biện công thức xuất khẩu và danh mục điều chỉnh được thống nhất.</v>
      </c>
      <c r="Y35" s="585" t="str">
        <f>'Trung tâm nhập liệu'!H180</f>
        <v/>
      </c>
      <c r="Z35" s="586" t="str">
        <f t="array" ref="Z35">IFERROR(INDEX('Lớp 4 - Danh mục'!$X$14:$X$132,MATCH(J35,'Lớp 4 - Danh mục'!$I$14:$I$132,0)),"")</f>
        <v>Dữ liệu điều hành</v>
      </c>
      <c r="AA35" s="577" t="str">
        <f>'Trung tâm nhập liệu'!K180</f>
        <v>Em Đại</v>
      </c>
      <c r="AB35" s="572" t="str">
        <f>'Trung tâm nhập liệu'!L180</f>
        <v>Chưa bắt đầu</v>
      </c>
      <c r="AC35" s="420" t="str">
        <f>'Trung tâm nhập liệu'!M180</f>
        <v>P2</v>
      </c>
      <c r="AD35" s="584">
        <f t="shared" si="16"/>
        <v>46271</v>
      </c>
      <c r="AE35" s="584">
        <f t="shared" si="17"/>
        <v>46310</v>
      </c>
      <c r="AF35" s="587">
        <f>IF(AM35&lt;&gt;"Có thời hạn","",IF(OR(AD35="",AE35=""),"",IF(AE35&lt;AD35,"",_xlfn.NETWORKDAYS.INTL(AD35,AE35,11,'Ngày nghỉ lễ'!$A$5:$A$80))))</f>
        <v>34</v>
      </c>
      <c r="AG35" s="588">
        <f>IF(I35="","",IF(L35="Công việc khác","",IF(OR(AB35="Chưa lên lịch",AB35="Đã lên lịch",AB35="Hủy"),"",IF(COUNTIFS('Lớp 6 - Chi tiết'!$J$14:$J$267,I35,'Lớp 6 - Chi tiết'!$AE$14:$AE$267,"&lt;&gt;",'Lớp 6 - Chi tiết'!$AE$14:$AE$267,"&lt;&gt;Hủy",'Lớp 6 - Chi tiết'!$AE$14:$AE$267,"&lt;&gt;Chưa lên lịch",'Lớp 6 - Chi tiết'!$AE$14:$AE$267,"&lt;&gt;Đã lên lịch")&gt;0,SUMIFS('Lớp 6 - Chi tiết'!$AJ$14:$AJ$267,'Lớp 6 - Chi tiết'!$J$14:$J$267,I35,'Lớp 6 - Chi tiết'!$AE$14:$AE$267,"&lt;&gt;",'Lớp 6 - Chi tiết'!$AE$14:$AE$267,"&lt;&gt;Hủy",'Lớp 6 - Chi tiết'!$AE$14:$AE$267,"&lt;&gt;Chưa lên lịch",'Lớp 6 - Chi tiết'!$AE$14:$AE$267,"&lt;&gt;Đã lên lịch")/COUNTIFS('Lớp 6 - Chi tiết'!$J$14:$J$267,I35,'Lớp 6 - Chi tiết'!$AE$14:$AE$267,"&lt;&gt;",'Lớp 6 - Chi tiết'!$AE$14:$AE$267,"&lt;&gt;Hủy",'Lớp 6 - Chi tiết'!$AE$14:$AE$267,"&lt;&gt;Chưa lên lịch",'Lớp 6 - Chi tiết'!$AE$14:$AE$267,"&lt;&gt;Đã lên lịch"),IF(AB35="Hoàn thành",1,0)))))</f>
        <v>0</v>
      </c>
      <c r="AH35" s="587">
        <f>IF(AM35&lt;&gt;"Có thời hạn","",IF(OR(I35="",AD35="",AE35=""),"",IF(OR(AB35="Hoàn thành",AB35="Hủy"),0,IF(AE35&lt;TODAY(),-_xlfn.NETWORKDAYS.INTL(AE35,TODAY()-1,11,'Ngày nghỉ lễ'!$A$5:$A$80),MAX(0,_xlfn.NETWORKDAYS.INTL(MAX(TODAY()+1,AD35),AE35,11,'Ngày nghỉ lễ'!$A$5:$A$80))))))</f>
        <v>34</v>
      </c>
      <c r="AI35" s="589">
        <f>IF($I35="","",LET(n,COUNTIFS('Lớp 6 - Chi tiết'!$J$14:$J$267,$I35,'Lớp 6 - Chi tiết'!$AE$14:$AE$267,"&lt;&gt;Hủy"),du,COUNTIFS('Lớp 6 - Chi tiết'!$J$14:$J$267,$I35,'Lớp 6 - Chi tiết'!$AE$14:$AE$267,"&lt;&gt;Hủy",'Lớp 6 - Chi tiết'!$AL$14:$AL$267,"&lt;&gt;"),IF(n=0,'Trung tâm nhập liệu'!T180,IF(du&lt;n,"",SUMIFS('Lớp 6 - Chi tiết'!$AL$14:$AL$267,'Lớp 6 - Chi tiết'!$J$14:$J$267,$I35,'Lớp 6 - Chi tiết'!$AE$14:$AE$267,"&lt;&gt;Hủy")))))</f>
        <v>8</v>
      </c>
      <c r="AJ35" s="468">
        <f>IF(I35="","",IF(OR(AB35="Hoàn thành",AB35="Hủy"),"",IF(COUNTIFS('Lớp 6 - Chi tiết'!$J$14:$J$267,I35,'Lớp 6 - Chi tiết'!$AE$14:$AE$267,"&lt;&gt;Hủy")&gt;0,"",IF(AS35="Ngày",AT35,IF(AS35="Tuần",AT35/5,"")))))</f>
        <v>0.8</v>
      </c>
      <c r="AK35" s="477" t="str">
        <f>IF(AM35="Chưa xếp lịch","Chưa xếp lịch",IF(AM35="Định kỳ",IF(AN35="","Thiếu chu kỳ","Theo chu kỳ"),IF(AM35="Khi phát sinh",IF(COUNTIFS('Lớp 6 - Chi tiết'!$J$14:$J$267,$I35,'Lớp 6 - Chi tiết'!$AE$14:$AE$267,"&lt;&gt;Hủy")=0,"Khi phát sinh – chờ việc con","Khi phát sinh – theo ngày con"),IF(I35="","",LET(n,COUNTIFS('Lớp 6 - Chi tiết'!$J$14:$J$267,$I35,'Lớp 6 - Chi tiết'!$AE$14:$AE$267,"&lt;&gt;Hủy"),cs,IFERROR(MINIFS('Lớp 6 - Chi tiết'!$AG$14:$AG$267,'Lớp 6 - Chi tiết'!$J$14:$J$267,$I35,'Lớp 6 - Chi tiết'!$AE$14:$AE$267,"&lt;&gt;Hủy",'Lớp 6 - Chi tiết'!$AG$14:$AG$267,"&gt;0"),0),ce,IFERROR(MAXIFS('Lớp 6 - Chi tiết'!$AH$14:$AH$267,'Lớp 6 - Chi tiết'!$J$14:$J$267,$I35,'Lớp 6 - Chi tiết'!$AE$14:$AE$267,"&lt;&gt;Hủy",'Lớp 6 - Chi tiết'!$AH$14:$AH$267,"&gt;0"),0),ps,'Trung tâm nhập liệu'!R180,pe,'Trung tâm nhập liệu'!Q180,IF(OR(AD35="",AE35=""),"Thiếu ngày L5",IF(n=0,"Chưa có L6",IF(OR(cs=0,ce=0),"Thiếu ngày L6",IF(OR(ps="",pe=""),"Thiếu ngày kế hoạch gốc L5",IF(OR(cs&lt;ps,ce&gt;pe),"Cảnh báo: Con vượt khung kế hoạch gốc","L6 đúng khung kế hoạch gốc"))))))))))</f>
        <v>Chưa có L6</v>
      </c>
      <c r="AL35" s="465" t="str">
        <f>IF(OR(AV35="Thiếu tham số phân bổ",AV35="Phân bổ phải &gt; 0"),AV35,SWITCH(AM35,"Chưa xếp lịch","Chưa tính tải","Định kỳ","Theo chu kỳ","Khi phát sinh","Khi phát sinh",IF(I35="","",IF(OR(AB35="Hoàn thành",AB35="Hủy"),AB35,IF(COUNTIFS('Lớp 6 - Chi tiết'!$J$14:$J$267,I35,'Lớp 6 - Chi tiết'!$AE$14:$AE$267,"&lt;&gt;Hủy")&gt;0,"Theo dõi tải tại Lớp 6",IF(AI35="","Chưa nhập khối lượng",IF(AA35="","Thiếu người thực hiện",IF(OR(AD35="",AE35=""),"Chưa nhập đủ thời gian",IF(AH35&lt;0,"Quá hạn – còn "&amp;TEXT(MAX(0,AI35*(1-AG35)),"0.0")&amp;" giờ",LET(bd,MAX(TODAY(),AD35),kt,AE35,nguoi,AA35,tai,SUMIFS('Lớp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27.2/8.0 giờ/ngày</v>
      </c>
      <c r="AM35" s="467" t="str">
        <f>'Trung tâm nhập liệu'!O180</f>
        <v>Có thời hạn</v>
      </c>
      <c r="AN35" s="469" t="str">
        <f>'Trung tâm nhập liệu'!P180</f>
        <v/>
      </c>
      <c r="AO35" s="470" t="str">
        <f>'Trung tâm nhập liệu'!S180</f>
        <v/>
      </c>
      <c r="AP35" s="470" t="str">
        <f>'Trung tâm nhập liệu'!X180</f>
        <v/>
      </c>
      <c r="AQ35" s="471" t="str">
        <f t="shared" si="18"/>
        <v/>
      </c>
      <c r="AR35" s="469" t="str">
        <f t="shared" si="19"/>
        <v/>
      </c>
      <c r="AS35" s="475" t="str">
        <f>'Trung tâm nhập liệu'!V180</f>
        <v>Tuần</v>
      </c>
      <c r="AT35" s="476">
        <f>'Trung tâm nhập liệu'!W180</f>
        <v>4</v>
      </c>
      <c r="AU35" s="478">
        <f>IF(AM35&lt;&gt;"Có thời hạn","",IF(OR(I35="",AI35="",AB35="Hoàn thành",AB35="Hủy",COUNTIFS('Lớp 6 - Chi tiết'!$J$14:$J$267,I35,'Lớp 6 - Chi tiết'!$AE$14:$AE$267,"&lt;&gt;Hủy")&gt;0),"",LET(canNgay,MAX(0,AI35*(1-AG35))/MAX(1,AH35),IF(AS35="Ngày",canNgay,IF(AS35="Tuần",canNgay*5,"")))))</f>
        <v>1.176470588</v>
      </c>
      <c r="AV35" s="465" t="str">
        <f>IF(I35="","",IF(COUNTIFS('Lớp 6 - Chi tiết'!$J$14:$J$267,I35,'Lớp 6 - Chi tiết'!$AE$14:$AE$267,"&lt;&gt;Hủy")&gt;0,"Theo dõi phân bổ tại Lớp 6",IF(OR(AB35="Hoàn thành",AB35="Hủy"),AB35,IF(AI35="","Thiếu tổng giờ",IF(OR(AS35="",AT35=""),"Thiếu tham số phân bổ",IF(AT35&lt;=0,"Phân bổ phải &gt; 0",IF(AM35&lt;&gt;"Có thời hạn","Đã có phân bổ",IF(AU35="","Chưa đủ dữ liệu hạn",IF(AT35&gt;=AU35,"Đủ phân bổ theo "&amp;LOWER(AS35),"Thiếu "&amp;TEXT(AU35-AT35,"0.0")&amp;" giờ/"&amp;LOWER(AS35))))))))))</f>
        <v>Đủ phân bổ theo tuần</v>
      </c>
      <c r="AW35" s="465" t="str">
        <f t="shared" si="20"/>
        <v>Chưa đến ngày bắt đầu – nên Đã lên lịch</v>
      </c>
      <c r="AX35" s="479" t="str">
        <f>'Trung tâm nhập liệu'!Y180</f>
        <v/>
      </c>
    </row>
    <row r="36" ht="15.75" customHeight="1">
      <c r="A36" s="424">
        <f t="shared" si="11"/>
        <v>23</v>
      </c>
      <c r="B36" s="572" t="str">
        <f>'Trung tâm nhập liệu'!F181</f>
        <v>XD bảng Excel &amp; HT phần mềm (chạy demo) XK</v>
      </c>
      <c r="C36" s="591" t="str">
        <f>'Trung tâm nhập liệu'!M181</f>
        <v>P2</v>
      </c>
      <c r="D36" s="592">
        <f t="shared" ref="D36:E36" si="81">AG36</f>
        <v>0</v>
      </c>
      <c r="E36" s="593">
        <f t="shared" si="81"/>
        <v>5</v>
      </c>
      <c r="F36" s="575">
        <f t="shared" ref="F36:G36" si="82">U36</f>
        <v>46305</v>
      </c>
      <c r="G36" s="575">
        <f t="shared" si="82"/>
        <v>46301</v>
      </c>
      <c r="H36" s="576" t="str">
        <f>IF(B36="","",IF(COUNTIF('Lớp 6 - Chi tiết'!$J$14:$J$267,I36)&gt;0,"Có","Không"))</f>
        <v>Không</v>
      </c>
      <c r="I36" s="577" t="str">
        <f>'Trung tâm nhập liệu'!B181</f>
        <v>HHL5DL05-03</v>
      </c>
      <c r="J36" s="577" t="str">
        <f>'Trung tâm nhập liệu'!D181</f>
        <v>HHL4DL05</v>
      </c>
      <c r="K36" s="597" t="str">
        <f t="array" ref="K36">IFERROR(INDEX('Lớp 4 - Danh mục'!$J$14:$J$132,MATCH(J36,'Lớp 4 - Danh mục'!$I$14:$I$132,0)),"")</f>
        <v>HHL3CT03</v>
      </c>
      <c r="L36" s="598">
        <f t="array" ref="L36">IFERROR(INDEX('Lớp 4 - Danh mục'!$K$14:$K$132,MATCH(J36,'Lớp 4 - Danh mục'!$I$14:$I$132,0)),"")</f>
        <v>2026</v>
      </c>
      <c r="M36" s="438" t="str">
        <f t="array" ref="M36">IFERROR(INDEX('Lớp 4 - Danh mục'!$L$14:$L$132,MATCH(J36,'Lớp 4 - Danh mục'!$I$14:$I$132,0)),"")</f>
        <v>Cấp công ty</v>
      </c>
      <c r="N36" s="597" t="str">
        <f t="array" ref="N36">IFERROR(INDEX('Lớp 4 - Danh mục'!$M$14:$M$132,MATCH(J36,'Lớp 4 - Danh mục'!$I$14:$I$132,0)),"")</f>
        <v>Chiến lược/sống còn</v>
      </c>
      <c r="O36" s="597" t="str">
        <f t="array" ref="O36">IFERROR(INDEX('Lớp 4 - Danh mục'!$N$14:$N$132,MATCH(J36,'Lớp 4 - Danh mục'!$I$14:$I$132,0)),"")</f>
        <v>KHKD 2027&amp; HT lập KH theo tham số KD (bán tự động)</v>
      </c>
      <c r="P36" s="597" t="str">
        <f t="array" ref="P36">IFERROR(INDEX('Lớp 4 - Danh mục'!$O$14:$O$132,MATCH(J36,'Lớp 4 - Danh mục'!$I$14:$I$132,0)),"")</f>
        <v>Xây dựng công thức &amp; tạo HT tham số cho KH XK</v>
      </c>
      <c r="Q36" s="581" t="str">
        <f t="shared" ref="Q36:T36" si="83">B36</f>
        <v>XD bảng Excel &amp; HT phần mềm (chạy demo) XK</v>
      </c>
      <c r="R36" s="420" t="str">
        <f t="shared" si="83"/>
        <v>P2</v>
      </c>
      <c r="S36" s="582">
        <f t="shared" si="83"/>
        <v>0</v>
      </c>
      <c r="T36" s="583">
        <f t="shared" si="83"/>
        <v>5</v>
      </c>
      <c r="U36" s="584">
        <f>IF($I36="","",LET(n,COUNTIFS('Lớp 6 - Chi tiết'!$J$14:$J$267,$I36,'Lớp 6 - Chi tiết'!$AE$14:$AE$267,"&lt;&gt;Hủy"),child,IFERROR(MAXIFS('Lớp 6 - Chi tiết'!$AH$14:$AH$267,'Lớp 6 - Chi tiết'!$J$14:$J$267,$I36,'Lớp 6 - Chi tiết'!$AE$14:$AE$267,"&lt;&gt;Hủy",'Lớp 6 - Chi tiết'!$AH$14:$AH$267,"&gt;0"),0),plan,'Trung tâm nhập liệu'!Q181,emergent,LOWER(TRIM('Trung tâm nhập liệu'!O181))="khi phát sinh",IF(n=0,IF(emergent,"",plan),IF(child=0,IF(emergent,"",plan),IF(OR(emergent,plan=""),child,MAX(plan,child))))))</f>
        <v>46305</v>
      </c>
      <c r="V36" s="584">
        <f>IF($I36="","",LET(n,COUNTIFS('Lớp 6 - Chi tiết'!$J$14:$J$267,$I36,'Lớp 6 - Chi tiết'!$AE$14:$AE$267,"&lt;&gt;Hủy"),child,IFERROR(MINIFS('Lớp 6 - Chi tiết'!$AG$14:$AG$267,'Lớp 6 - Chi tiết'!$J$14:$J$267,$I36,'Lớp 6 - Chi tiết'!$AE$14:$AE$267,"&lt;&gt;Hủy",'Lớp 6 - Chi tiết'!$AG$14:$AG$267,"&gt;0"),0),plan,'Trung tâm nhập liệu'!R181,emergent,LOWER(TRIM('Trung tâm nhập liệu'!O181))="khi phát sinh",IF(n=0,IF(emergent,"",plan),IF(child=0,IF(emergent,"",plan),IF(OR(emergent,plan=""),child,MIN(plan,child))))))</f>
        <v>46301</v>
      </c>
      <c r="W36" s="577" t="str">
        <f t="shared" si="15"/>
        <v>Không</v>
      </c>
      <c r="X36" s="577" t="str">
        <f>'Trung tâm nhập liệu'!G181</f>
        <v>File Excel và bản demo hệ thống kế hoạch xuất khẩu vận hành đúng công thức.</v>
      </c>
      <c r="Y36" s="585" t="str">
        <f>'Trung tâm nhập liệu'!H181</f>
        <v/>
      </c>
      <c r="Z36" s="586" t="str">
        <f t="array" ref="Z36">IFERROR(INDEX('Lớp 4 - Danh mục'!$X$14:$X$132,MATCH(J36,'Lớp 4 - Danh mục'!$I$14:$I$132,0)),"")</f>
        <v>Dữ liệu điều hành</v>
      </c>
      <c r="AA36" s="577" t="str">
        <f>'Trung tâm nhập liệu'!K181</f>
        <v>Em Đại</v>
      </c>
      <c r="AB36" s="572" t="str">
        <f>'Trung tâm nhập liệu'!L181</f>
        <v>Chưa bắt đầu</v>
      </c>
      <c r="AC36" s="420" t="str">
        <f>'Trung tâm nhập liệu'!M181</f>
        <v>P2</v>
      </c>
      <c r="AD36" s="584">
        <f t="shared" si="16"/>
        <v>46301</v>
      </c>
      <c r="AE36" s="584">
        <f t="shared" si="17"/>
        <v>46305</v>
      </c>
      <c r="AF36" s="587">
        <f>IF(AM36&lt;&gt;"Có thời hạn","",IF(OR(AD36="",AE36=""),"",IF(AE36&lt;AD36,"",_xlfn.NETWORKDAYS.INTL(AD36,AE36,11,'Ngày nghỉ lễ'!$A$5:$A$80))))</f>
        <v>5</v>
      </c>
      <c r="AG36" s="588">
        <f>IF(I36="","",IF(L36="Công việc khác","",IF(OR(AB36="Chưa lên lịch",AB36="Đã lên lịch",AB36="Hủy"),"",IF(COUNTIFS('Lớp 6 - Chi tiết'!$J$14:$J$267,I36,'Lớp 6 - Chi tiết'!$AE$14:$AE$267,"&lt;&gt;",'Lớp 6 - Chi tiết'!$AE$14:$AE$267,"&lt;&gt;Hủy",'Lớp 6 - Chi tiết'!$AE$14:$AE$267,"&lt;&gt;Chưa lên lịch",'Lớp 6 - Chi tiết'!$AE$14:$AE$267,"&lt;&gt;Đã lên lịch")&gt;0,SUMIFS('Lớp 6 - Chi tiết'!$AJ$14:$AJ$267,'Lớp 6 - Chi tiết'!$J$14:$J$267,I36,'Lớp 6 - Chi tiết'!$AE$14:$AE$267,"&lt;&gt;",'Lớp 6 - Chi tiết'!$AE$14:$AE$267,"&lt;&gt;Hủy",'Lớp 6 - Chi tiết'!$AE$14:$AE$267,"&lt;&gt;Chưa lên lịch",'Lớp 6 - Chi tiết'!$AE$14:$AE$267,"&lt;&gt;Đã lên lịch")/COUNTIFS('Lớp 6 - Chi tiết'!$J$14:$J$267,I36,'Lớp 6 - Chi tiết'!$AE$14:$AE$267,"&lt;&gt;",'Lớp 6 - Chi tiết'!$AE$14:$AE$267,"&lt;&gt;Hủy",'Lớp 6 - Chi tiết'!$AE$14:$AE$267,"&lt;&gt;Chưa lên lịch",'Lớp 6 - Chi tiết'!$AE$14:$AE$267,"&lt;&gt;Đã lên lịch"),IF(AB36="Hoàn thành",1,0)))))</f>
        <v>0</v>
      </c>
      <c r="AH36" s="587">
        <f>IF(AM36&lt;&gt;"Có thời hạn","",IF(OR(I36="",AD36="",AE36=""),"",IF(OR(AB36="Hoàn thành",AB36="Hủy"),0,IF(AE36&lt;TODAY(),-_xlfn.NETWORKDAYS.INTL(AE36,TODAY()-1,11,'Ngày nghỉ lễ'!$A$5:$A$80),MAX(0,_xlfn.NETWORKDAYS.INTL(MAX(TODAY()+1,AD36),AE36,11,'Ngày nghỉ lễ'!$A$5:$A$80))))))</f>
        <v>5</v>
      </c>
      <c r="AI36" s="589">
        <f>IF($I36="","",LET(n,COUNTIFS('Lớp 6 - Chi tiết'!$J$14:$J$267,$I36,'Lớp 6 - Chi tiết'!$AE$14:$AE$267,"&lt;&gt;Hủy"),du,COUNTIFS('Lớp 6 - Chi tiết'!$J$14:$J$267,$I36,'Lớp 6 - Chi tiết'!$AE$14:$AE$267,"&lt;&gt;Hủy",'Lớp 6 - Chi tiết'!$AL$14:$AL$267,"&lt;&gt;"),IF(n=0,'Trung tâm nhập liệu'!T181,IF(du&lt;n,"",SUMIFS('Lớp 6 - Chi tiết'!$AL$14:$AL$267,'Lớp 6 - Chi tiết'!$J$14:$J$267,$I36,'Lớp 6 - Chi tiết'!$AE$14:$AE$267,"&lt;&gt;Hủy")))))</f>
        <v>24</v>
      </c>
      <c r="AJ36" s="468">
        <f>IF(I36="","",IF(OR(AB36="Hoàn thành",AB36="Hủy"),"",IF(COUNTIFS('Lớp 6 - Chi tiết'!$J$14:$J$267,I36,'Lớp 6 - Chi tiết'!$AE$14:$AE$267,"&lt;&gt;Hủy")&gt;0,"",IF(AS36="Ngày",AT36,IF(AS36="Tuần",AT36/5,"")))))</f>
        <v>0.8</v>
      </c>
      <c r="AK36" s="477" t="str">
        <f>IF(AM36="Chưa xếp lịch","Chưa xếp lịch",IF(AM36="Định kỳ",IF(AN36="","Thiếu chu kỳ","Theo chu kỳ"),IF(AM36="Khi phát sinh",IF(COUNTIFS('Lớp 6 - Chi tiết'!$J$14:$J$267,$I36,'Lớp 6 - Chi tiết'!$AE$14:$AE$267,"&lt;&gt;Hủy")=0,"Khi phát sinh – chờ việc con","Khi phát sinh – theo ngày con"),IF(I36="","",LET(n,COUNTIFS('Lớp 6 - Chi tiết'!$J$14:$J$267,$I36,'Lớp 6 - Chi tiết'!$AE$14:$AE$267,"&lt;&gt;Hủy"),cs,IFERROR(MINIFS('Lớp 6 - Chi tiết'!$AG$14:$AG$267,'Lớp 6 - Chi tiết'!$J$14:$J$267,$I36,'Lớp 6 - Chi tiết'!$AE$14:$AE$267,"&lt;&gt;Hủy",'Lớp 6 - Chi tiết'!$AG$14:$AG$267,"&gt;0"),0),ce,IFERROR(MAXIFS('Lớp 6 - Chi tiết'!$AH$14:$AH$267,'Lớp 6 - Chi tiết'!$J$14:$J$267,$I36,'Lớp 6 - Chi tiết'!$AE$14:$AE$267,"&lt;&gt;Hủy",'Lớp 6 - Chi tiết'!$AH$14:$AH$267,"&gt;0"),0),ps,'Trung tâm nhập liệu'!R181,pe,'Trung tâm nhập liệu'!Q181,IF(OR(AD36="",AE36=""),"Thiếu ngày L5",IF(n=0,"Chưa có L6",IF(OR(cs=0,ce=0),"Thiếu ngày L6",IF(OR(ps="",pe=""),"Thiếu ngày kế hoạch gốc L5",IF(OR(cs&lt;ps,ce&gt;pe),"Cảnh báo: Con vượt khung kế hoạch gốc","L6 đúng khung kế hoạch gốc"))))))))))</f>
        <v>Chưa có L6</v>
      </c>
      <c r="AL36" s="465" t="str">
        <f>IF(OR(AV36="Thiếu tham số phân bổ",AV36="Phân bổ phải &gt; 0"),AV36,SWITCH(AM36,"Chưa xếp lịch","Chưa tính tải","Định kỳ","Theo chu kỳ","Khi phát sinh","Khi phát sinh",IF(I36="","",IF(OR(AB36="Hoàn thành",AB36="Hủy"),AB36,IF(COUNTIFS('Lớp 6 - Chi tiết'!$J$14:$J$267,I36,'Lớp 6 - Chi tiết'!$AE$14:$AE$267,"&lt;&gt;Hủy")&gt;0,"Theo dõi tải tại Lớp 6",IF(AI36="","Chưa nhập khối lượng",IF(AA36="","Thiếu người thực hiện",IF(OR(AD36="",AE36=""),"Chưa nhập đủ thời gian",IF(AH36&lt;0,"Quá hạn – còn "&amp;TEXT(MAX(0,AI36*(1-AG36)),"0.0")&amp;" giờ",LET(bd,MAX(TODAY(),AD36),kt,AE36,nguoi,AA36,tai,SUMIFS('Lớp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13.6/8.0 giờ/ngày</v>
      </c>
      <c r="AM36" s="467" t="str">
        <f>'Trung tâm nhập liệu'!O181</f>
        <v>Có thời hạn</v>
      </c>
      <c r="AN36" s="469" t="str">
        <f>'Trung tâm nhập liệu'!P181</f>
        <v/>
      </c>
      <c r="AO36" s="470" t="str">
        <f>'Trung tâm nhập liệu'!S181</f>
        <v/>
      </c>
      <c r="AP36" s="470" t="str">
        <f>'Trung tâm nhập liệu'!X181</f>
        <v/>
      </c>
      <c r="AQ36" s="471" t="str">
        <f t="shared" si="18"/>
        <v/>
      </c>
      <c r="AR36" s="469" t="str">
        <f t="shared" si="19"/>
        <v/>
      </c>
      <c r="AS36" s="475" t="str">
        <f>'Trung tâm nhập liệu'!V181</f>
        <v>Tuần</v>
      </c>
      <c r="AT36" s="476">
        <f>'Trung tâm nhập liệu'!W181</f>
        <v>4</v>
      </c>
      <c r="AU36" s="478">
        <f>IF(AM36&lt;&gt;"Có thời hạn","",IF(OR(I36="",AI36="",AB36="Hoàn thành",AB36="Hủy",COUNTIFS('Lớp 6 - Chi tiết'!$J$14:$J$267,I36,'Lớp 6 - Chi tiết'!$AE$14:$AE$267,"&lt;&gt;Hủy")&gt;0),"",LET(canNgay,MAX(0,AI36*(1-AG36))/MAX(1,AH36),IF(AS36="Ngày",canNgay,IF(AS36="Tuần",canNgay*5,"")))))</f>
        <v>24</v>
      </c>
      <c r="AV36" s="465" t="str">
        <f>IF(I36="","",IF(COUNTIFS('Lớp 6 - Chi tiết'!$J$14:$J$267,I36,'Lớp 6 - Chi tiết'!$AE$14:$AE$267,"&lt;&gt;Hủy")&gt;0,"Theo dõi phân bổ tại Lớp 6",IF(OR(AB36="Hoàn thành",AB36="Hủy"),AB36,IF(AI36="","Thiếu tổng giờ",IF(OR(AS36="",AT36=""),"Thiếu tham số phân bổ",IF(AT36&lt;=0,"Phân bổ phải &gt; 0",IF(AM36&lt;&gt;"Có thời hạn","Đã có phân bổ",IF(AU36="","Chưa đủ dữ liệu hạn",IF(AT36&gt;=AU36,"Đủ phân bổ theo "&amp;LOWER(AS36),"Thiếu "&amp;TEXT(AU36-AT36,"0.0")&amp;" giờ/"&amp;LOWER(AS36))))))))))</f>
        <v>Thiếu 20.0 giờ/tuần</v>
      </c>
      <c r="AW36" s="465" t="str">
        <f t="shared" si="20"/>
        <v>Chưa đến ngày bắt đầu – nên Đã lên lịch</v>
      </c>
      <c r="AX36" s="479" t="str">
        <f>'Trung tâm nhập liệu'!Y181</f>
        <v/>
      </c>
    </row>
    <row r="37" ht="15.75" customHeight="1">
      <c r="A37" s="424">
        <f t="shared" si="11"/>
        <v>24</v>
      </c>
      <c r="B37" s="572" t="str">
        <f>'Trung tâm nhập liệu'!F182</f>
        <v>Chạy tham số Topdown XK</v>
      </c>
      <c r="C37" s="591" t="str">
        <f>'Trung tâm nhập liệu'!M182</f>
        <v>P2</v>
      </c>
      <c r="D37" s="592" t="str">
        <f t="shared" ref="D37:E37" si="84">AG37</f>
        <v/>
      </c>
      <c r="E37" s="593">
        <f t="shared" si="84"/>
        <v>1</v>
      </c>
      <c r="F37" s="575">
        <f t="shared" ref="F37:G37" si="85">U37</f>
        <v>46307</v>
      </c>
      <c r="G37" s="575">
        <f t="shared" si="85"/>
        <v>46306</v>
      </c>
      <c r="H37" s="576" t="str">
        <f>IF(B37="","",IF(COUNTIF('Lớp 6 - Chi tiết'!$J$14:$J$267,I37)&gt;0,"Có","Không"))</f>
        <v>Không</v>
      </c>
      <c r="I37" s="577" t="str">
        <f>'Trung tâm nhập liệu'!B182</f>
        <v>HHL5DL05-04</v>
      </c>
      <c r="J37" s="577" t="str">
        <f>'Trung tâm nhập liệu'!D182</f>
        <v>HHL4DL05</v>
      </c>
      <c r="K37" s="597" t="str">
        <f t="array" ref="K37">IFERROR(INDEX('Lớp 4 - Danh mục'!$J$14:$J$132,MATCH(J37,'Lớp 4 - Danh mục'!$I$14:$I$132,0)),"")</f>
        <v>HHL3CT03</v>
      </c>
      <c r="L37" s="598">
        <f t="array" ref="L37">IFERROR(INDEX('Lớp 4 - Danh mục'!$K$14:$K$132,MATCH(J37,'Lớp 4 - Danh mục'!$I$14:$I$132,0)),"")</f>
        <v>2026</v>
      </c>
      <c r="M37" s="438" t="str">
        <f t="array" ref="M37">IFERROR(INDEX('Lớp 4 - Danh mục'!$L$14:$L$132,MATCH(J37,'Lớp 4 - Danh mục'!$I$14:$I$132,0)),"")</f>
        <v>Cấp công ty</v>
      </c>
      <c r="N37" s="597" t="str">
        <f t="array" ref="N37">IFERROR(INDEX('Lớp 4 - Danh mục'!$M$14:$M$132,MATCH(J37,'Lớp 4 - Danh mục'!$I$14:$I$132,0)),"")</f>
        <v>Chiến lược/sống còn</v>
      </c>
      <c r="O37" s="597" t="str">
        <f t="array" ref="O37">IFERROR(INDEX('Lớp 4 - Danh mục'!$N$14:$N$132,MATCH(J37,'Lớp 4 - Danh mục'!$I$14:$I$132,0)),"")</f>
        <v>KHKD 2027&amp; HT lập KH theo tham số KD (bán tự động)</v>
      </c>
      <c r="P37" s="597" t="str">
        <f t="array" ref="P37">IFERROR(INDEX('Lớp 4 - Danh mục'!$O$14:$O$132,MATCH(J37,'Lớp 4 - Danh mục'!$I$14:$I$132,0)),"")</f>
        <v>Xây dựng công thức &amp; tạo HT tham số cho KH XK</v>
      </c>
      <c r="Q37" s="581" t="str">
        <f t="shared" ref="Q37:T37" si="86">B37</f>
        <v>Chạy tham số Topdown XK</v>
      </c>
      <c r="R37" s="420" t="str">
        <f t="shared" si="86"/>
        <v>P2</v>
      </c>
      <c r="S37" s="582" t="str">
        <f t="shared" si="86"/>
        <v/>
      </c>
      <c r="T37" s="583">
        <f t="shared" si="86"/>
        <v>1</v>
      </c>
      <c r="U37" s="584">
        <f>IF($I37="","",LET(n,COUNTIFS('Lớp 6 - Chi tiết'!$J$14:$J$267,$I37,'Lớp 6 - Chi tiết'!$AE$14:$AE$267,"&lt;&gt;Hủy"),child,IFERROR(MAXIFS('Lớp 6 - Chi tiết'!$AH$14:$AH$267,'Lớp 6 - Chi tiết'!$J$14:$J$267,$I37,'Lớp 6 - Chi tiết'!$AE$14:$AE$267,"&lt;&gt;Hủy",'Lớp 6 - Chi tiết'!$AH$14:$AH$267,"&gt;0"),0),plan,'Trung tâm nhập liệu'!Q182,emergent,LOWER(TRIM('Trung tâm nhập liệu'!O182))="khi phát sinh",IF(n=0,IF(emergent,"",plan),IF(child=0,IF(emergent,"",plan),IF(OR(emergent,plan=""),child,MAX(plan,child))))))</f>
        <v>46307</v>
      </c>
      <c r="V37" s="584">
        <f>IF($I37="","",LET(n,COUNTIFS('Lớp 6 - Chi tiết'!$J$14:$J$267,$I37,'Lớp 6 - Chi tiết'!$AE$14:$AE$267,"&lt;&gt;Hủy"),child,IFERROR(MINIFS('Lớp 6 - Chi tiết'!$AG$14:$AG$267,'Lớp 6 - Chi tiết'!$J$14:$J$267,$I37,'Lớp 6 - Chi tiết'!$AE$14:$AE$267,"&lt;&gt;Hủy",'Lớp 6 - Chi tiết'!$AG$14:$AG$267,"&gt;0"),0),plan,'Trung tâm nhập liệu'!R182,emergent,LOWER(TRIM('Trung tâm nhập liệu'!O182))="khi phát sinh",IF(n=0,IF(emergent,"",plan),IF(child=0,IF(emergent,"",plan),IF(OR(emergent,plan=""),child,MIN(plan,child))))))</f>
        <v>46306</v>
      </c>
      <c r="W37" s="577" t="str">
        <f t="shared" si="15"/>
        <v>Không</v>
      </c>
      <c r="X37" s="577" t="str">
        <f>'Trung tâm nhập liệu'!G182</f>
        <v>Bộ kết quả tham số Top-down kế hoạch xuất khẩu được kiểm tra và xác nhận.</v>
      </c>
      <c r="Y37" s="585" t="str">
        <f>'Trung tâm nhập liệu'!H182</f>
        <v/>
      </c>
      <c r="Z37" s="586" t="str">
        <f t="array" ref="Z37">IFERROR(INDEX('Lớp 4 - Danh mục'!$X$14:$X$132,MATCH(J37,'Lớp 4 - Danh mục'!$I$14:$I$132,0)),"")</f>
        <v>Dữ liệu điều hành</v>
      </c>
      <c r="AA37" s="577" t="str">
        <f>'Trung tâm nhập liệu'!K182</f>
        <v>Em Đại</v>
      </c>
      <c r="AB37" s="572" t="str">
        <f>'Trung tâm nhập liệu'!L182</f>
        <v>Đã lên lịch</v>
      </c>
      <c r="AC37" s="420" t="str">
        <f>'Trung tâm nhập liệu'!M182</f>
        <v>P2</v>
      </c>
      <c r="AD37" s="584">
        <f t="shared" si="16"/>
        <v>46306</v>
      </c>
      <c r="AE37" s="584">
        <f t="shared" si="17"/>
        <v>46307</v>
      </c>
      <c r="AF37" s="587">
        <f>IF(AM37&lt;&gt;"Có thời hạn","",IF(OR(AD37="",AE37=""),"",IF(AE37&lt;AD37,"",_xlfn.NETWORKDAYS.INTL(AD37,AE37,11,'Ngày nghỉ lễ'!$A$5:$A$80))))</f>
        <v>1</v>
      </c>
      <c r="AG37" s="588" t="str">
        <f>IF(I37="","",IF(L37="Công việc khác","",IF(OR(AB37="Chưa lên lịch",AB37="Đã lên lịch",AB37="Hủy"),"",IF(COUNTIFS('Lớp 6 - Chi tiết'!$J$14:$J$267,I37,'Lớp 6 - Chi tiết'!$AE$14:$AE$267,"&lt;&gt;",'Lớp 6 - Chi tiết'!$AE$14:$AE$267,"&lt;&gt;Hủy",'Lớp 6 - Chi tiết'!$AE$14:$AE$267,"&lt;&gt;Chưa lên lịch",'Lớp 6 - Chi tiết'!$AE$14:$AE$267,"&lt;&gt;Đã lên lịch")&gt;0,SUMIFS('Lớp 6 - Chi tiết'!$AJ$14:$AJ$267,'Lớp 6 - Chi tiết'!$J$14:$J$267,I37,'Lớp 6 - Chi tiết'!$AE$14:$AE$267,"&lt;&gt;",'Lớp 6 - Chi tiết'!$AE$14:$AE$267,"&lt;&gt;Hủy",'Lớp 6 - Chi tiết'!$AE$14:$AE$267,"&lt;&gt;Chưa lên lịch",'Lớp 6 - Chi tiết'!$AE$14:$AE$267,"&lt;&gt;Đã lên lịch")/COUNTIFS('Lớp 6 - Chi tiết'!$J$14:$J$267,I37,'Lớp 6 - Chi tiết'!$AE$14:$AE$267,"&lt;&gt;",'Lớp 6 - Chi tiết'!$AE$14:$AE$267,"&lt;&gt;Hủy",'Lớp 6 - Chi tiết'!$AE$14:$AE$267,"&lt;&gt;Chưa lên lịch",'Lớp 6 - Chi tiết'!$AE$14:$AE$267,"&lt;&gt;Đã lên lịch"),IF(AB37="Hoàn thành",1,0)))))</f>
        <v/>
      </c>
      <c r="AH37" s="587">
        <f>IF(AM37&lt;&gt;"Có thời hạn","",IF(OR(I37="",AD37="",AE37=""),"",IF(OR(AB37="Hoàn thành",AB37="Hủy"),0,IF(AE37&lt;TODAY(),-_xlfn.NETWORKDAYS.INTL(AE37,TODAY()-1,11,'Ngày nghỉ lễ'!$A$5:$A$80),MAX(0,_xlfn.NETWORKDAYS.INTL(MAX(TODAY()+1,AD37),AE37,11,'Ngày nghỉ lễ'!$A$5:$A$80))))))</f>
        <v>1</v>
      </c>
      <c r="AI37" s="589">
        <f>IF($I37="","",LET(n,COUNTIFS('Lớp 6 - Chi tiết'!$J$14:$J$267,$I37,'Lớp 6 - Chi tiết'!$AE$14:$AE$267,"&lt;&gt;Hủy"),du,COUNTIFS('Lớp 6 - Chi tiết'!$J$14:$J$267,$I37,'Lớp 6 - Chi tiết'!$AE$14:$AE$267,"&lt;&gt;Hủy",'Lớp 6 - Chi tiết'!$AL$14:$AL$267,"&lt;&gt;"),IF(n=0,'Trung tâm nhập liệu'!T182,IF(du&lt;n,"",SUMIFS('Lớp 6 - Chi tiết'!$AL$14:$AL$267,'Lớp 6 - Chi tiết'!$J$14:$J$267,$I37,'Lớp 6 - Chi tiết'!$AE$14:$AE$267,"&lt;&gt;Hủy")))))</f>
        <v>16</v>
      </c>
      <c r="AJ37" s="468">
        <f>IF(I37="","",IF(OR(AB37="Hoàn thành",AB37="Hủy"),"",IF(COUNTIFS('Lớp 6 - Chi tiết'!$J$14:$J$267,I37,'Lớp 6 - Chi tiết'!$AE$14:$AE$267,"&lt;&gt;Hủy")&gt;0,"",IF(AS37="Ngày",AT37,IF(AS37="Tuần",AT37/5,"")))))</f>
        <v>0.8</v>
      </c>
      <c r="AK37" s="477" t="str">
        <f>IF(AM37="Chưa xếp lịch","Chưa xếp lịch",IF(AM37="Định kỳ",IF(AN37="","Thiếu chu kỳ","Theo chu kỳ"),IF(AM37="Khi phát sinh",IF(COUNTIFS('Lớp 6 - Chi tiết'!$J$14:$J$267,$I37,'Lớp 6 - Chi tiết'!$AE$14:$AE$267,"&lt;&gt;Hủy")=0,"Khi phát sinh – chờ việc con","Khi phát sinh – theo ngày con"),IF(I37="","",LET(n,COUNTIFS('Lớp 6 - Chi tiết'!$J$14:$J$267,$I37,'Lớp 6 - Chi tiết'!$AE$14:$AE$267,"&lt;&gt;Hủy"),cs,IFERROR(MINIFS('Lớp 6 - Chi tiết'!$AG$14:$AG$267,'Lớp 6 - Chi tiết'!$J$14:$J$267,$I37,'Lớp 6 - Chi tiết'!$AE$14:$AE$267,"&lt;&gt;Hủy",'Lớp 6 - Chi tiết'!$AG$14:$AG$267,"&gt;0"),0),ce,IFERROR(MAXIFS('Lớp 6 - Chi tiết'!$AH$14:$AH$267,'Lớp 6 - Chi tiết'!$J$14:$J$267,$I37,'Lớp 6 - Chi tiết'!$AE$14:$AE$267,"&lt;&gt;Hủy",'Lớp 6 - Chi tiết'!$AH$14:$AH$267,"&gt;0"),0),ps,'Trung tâm nhập liệu'!R182,pe,'Trung tâm nhập liệu'!Q182,IF(OR(AD37="",AE37=""),"Thiếu ngày L5",IF(n=0,"Chưa có L6",IF(OR(cs=0,ce=0),"Thiếu ngày L6",IF(OR(ps="",pe=""),"Thiếu ngày kế hoạch gốc L5",IF(OR(cs&lt;ps,ce&gt;pe),"Cảnh báo: Con vượt khung kế hoạch gốc","L6 đúng khung kế hoạch gốc"))))))))))</f>
        <v>Chưa có L6</v>
      </c>
      <c r="AL37" s="465" t="str">
        <f>IF(OR(AV37="Thiếu tham số phân bổ",AV37="Phân bổ phải &gt; 0"),AV37,SWITCH(AM37,"Chưa xếp lịch","Chưa tính tải","Định kỳ","Theo chu kỳ","Khi phát sinh","Khi phát sinh",IF(I37="","",IF(OR(AB37="Hoàn thành",AB37="Hủy"),AB37,IF(COUNTIFS('Lớp 6 - Chi tiết'!$J$14:$J$267,I37,'Lớp 6 - Chi tiết'!$AE$14:$AE$267,"&lt;&gt;Hủy")&gt;0,"Theo dõi tải tại Lớp 6",IF(AI37="","Chưa nhập khối lượng",IF(AA37="","Thiếu người thực hiện",IF(OR(AD37="",AE37=""),"Chưa nhập đủ thời gian",IF(AH37&lt;0,"Quá hạn – còn "&amp;TEXT(MAX(0,AI37*(1-AG37)),"0.0")&amp;" giờ",LET(bd,MAX(TODAY(),AD37),kt,AE37,nguoi,AA37,tai,SUMIFS('Lớp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Cận tải – tổng 8.0/8.0 giờ/ngày</v>
      </c>
      <c r="AM37" s="467" t="str">
        <f>'Trung tâm nhập liệu'!O182</f>
        <v>Có thời hạn</v>
      </c>
      <c r="AN37" s="469" t="str">
        <f>'Trung tâm nhập liệu'!P182</f>
        <v/>
      </c>
      <c r="AO37" s="470" t="str">
        <f>'Trung tâm nhập liệu'!S182</f>
        <v/>
      </c>
      <c r="AP37" s="470" t="str">
        <f>'Trung tâm nhập liệu'!X182</f>
        <v/>
      </c>
      <c r="AQ37" s="471" t="str">
        <f t="shared" si="18"/>
        <v/>
      </c>
      <c r="AR37" s="469" t="str">
        <f t="shared" si="19"/>
        <v/>
      </c>
      <c r="AS37" s="475" t="str">
        <f>'Trung tâm nhập liệu'!V182</f>
        <v>Tuần</v>
      </c>
      <c r="AT37" s="476">
        <f>'Trung tâm nhập liệu'!W182</f>
        <v>4</v>
      </c>
      <c r="AU37" s="478">
        <f>IF(AM37&lt;&gt;"Có thời hạn","",IF(OR(I37="",AI37="",AB37="Hoàn thành",AB37="Hủy",COUNTIFS('Lớp 6 - Chi tiết'!$J$14:$J$267,I37,'Lớp 6 - Chi tiết'!$AE$14:$AE$267,"&lt;&gt;Hủy")&gt;0),"",LET(canNgay,MAX(0,AI37*(1-AG37))/MAX(1,AH37),IF(AS37="Ngày",canNgay,IF(AS37="Tuần",canNgay*5,"")))))</f>
        <v>80</v>
      </c>
      <c r="AV37" s="465" t="str">
        <f>IF(I37="","",IF(COUNTIFS('Lớp 6 - Chi tiết'!$J$14:$J$267,I37,'Lớp 6 - Chi tiết'!$AE$14:$AE$267,"&lt;&gt;Hủy")&gt;0,"Theo dõi phân bổ tại Lớp 6",IF(OR(AB37="Hoàn thành",AB37="Hủy"),AB37,IF(AI37="","Thiếu tổng giờ",IF(OR(AS37="",AT37=""),"Thiếu tham số phân bổ",IF(AT37&lt;=0,"Phân bổ phải &gt; 0",IF(AM37&lt;&gt;"Có thời hạn","Đã có phân bổ",IF(AU37="","Chưa đủ dữ liệu hạn",IF(AT37&gt;=AU37,"Đủ phân bổ theo "&amp;LOWER(AS37),"Thiếu "&amp;TEXT(AU37-AT37,"0.0")&amp;" giờ/"&amp;LOWER(AS37))))))))))</f>
        <v>Thiếu 76.0 giờ/tuần</v>
      </c>
      <c r="AW37" s="465" t="str">
        <f t="shared" si="20"/>
        <v>OK</v>
      </c>
      <c r="AX37" s="479" t="str">
        <f>'Trung tâm nhập liệu'!Y182</f>
        <v/>
      </c>
    </row>
    <row r="38" ht="15.75" customHeight="1">
      <c r="A38" s="424">
        <f t="shared" si="11"/>
        <v>25</v>
      </c>
      <c r="B38" s="572" t="str">
        <f>'Trung tâm nhập liệu'!F183</f>
        <v>Chạy tham số Bottom-up theo khu vực vùng miền XK</v>
      </c>
      <c r="C38" s="591" t="str">
        <f>'Trung tâm nhập liệu'!M183</f>
        <v>P2</v>
      </c>
      <c r="D38" s="592" t="str">
        <f t="shared" ref="D38:E38" si="87">AG38</f>
        <v/>
      </c>
      <c r="E38" s="593">
        <f t="shared" si="87"/>
        <v>11</v>
      </c>
      <c r="F38" s="575">
        <f t="shared" ref="F38:G38" si="88">U38</f>
        <v>46320</v>
      </c>
      <c r="G38" s="575">
        <f t="shared" si="88"/>
        <v>46308</v>
      </c>
      <c r="H38" s="576" t="str">
        <f>IF(B38="","",IF(COUNTIF('Lớp 6 - Chi tiết'!$J$14:$J$267,I38)&gt;0,"Có","Không"))</f>
        <v>Không</v>
      </c>
      <c r="I38" s="577" t="str">
        <f>'Trung tâm nhập liệu'!B183</f>
        <v>HHL5DL05-05</v>
      </c>
      <c r="J38" s="577" t="str">
        <f>'Trung tâm nhập liệu'!D183</f>
        <v>HHL4DL05</v>
      </c>
      <c r="K38" s="597" t="str">
        <f t="array" ref="K38">IFERROR(INDEX('Lớp 4 - Danh mục'!$J$14:$J$132,MATCH(J38,'Lớp 4 - Danh mục'!$I$14:$I$132,0)),"")</f>
        <v>HHL3CT03</v>
      </c>
      <c r="L38" s="598">
        <f t="array" ref="L38">IFERROR(INDEX('Lớp 4 - Danh mục'!$K$14:$K$132,MATCH(J38,'Lớp 4 - Danh mục'!$I$14:$I$132,0)),"")</f>
        <v>2026</v>
      </c>
      <c r="M38" s="438" t="str">
        <f t="array" ref="M38">IFERROR(INDEX('Lớp 4 - Danh mục'!$L$14:$L$132,MATCH(J38,'Lớp 4 - Danh mục'!$I$14:$I$132,0)),"")</f>
        <v>Cấp công ty</v>
      </c>
      <c r="N38" s="597" t="str">
        <f t="array" ref="N38">IFERROR(INDEX('Lớp 4 - Danh mục'!$M$14:$M$132,MATCH(J38,'Lớp 4 - Danh mục'!$I$14:$I$132,0)),"")</f>
        <v>Chiến lược/sống còn</v>
      </c>
      <c r="O38" s="597" t="str">
        <f t="array" ref="O38">IFERROR(INDEX('Lớp 4 - Danh mục'!$N$14:$N$132,MATCH(J38,'Lớp 4 - Danh mục'!$I$14:$I$132,0)),"")</f>
        <v>KHKD 2027&amp; HT lập KH theo tham số KD (bán tự động)</v>
      </c>
      <c r="P38" s="597" t="str">
        <f t="array" ref="P38">IFERROR(INDEX('Lớp 4 - Danh mục'!$O$14:$O$132,MATCH(J38,'Lớp 4 - Danh mục'!$I$14:$I$132,0)),"")</f>
        <v>Xây dựng công thức &amp; tạo HT tham số cho KH XK</v>
      </c>
      <c r="Q38" s="581" t="str">
        <f t="shared" ref="Q38:T38" si="89">B38</f>
        <v>Chạy tham số Bottom-up theo khu vực vùng miền XK</v>
      </c>
      <c r="R38" s="420" t="str">
        <f t="shared" si="89"/>
        <v>P2</v>
      </c>
      <c r="S38" s="582" t="str">
        <f t="shared" si="89"/>
        <v/>
      </c>
      <c r="T38" s="583">
        <f t="shared" si="89"/>
        <v>11</v>
      </c>
      <c r="U38" s="584">
        <f>IF($I38="","",LET(n,COUNTIFS('Lớp 6 - Chi tiết'!$J$14:$J$267,$I38,'Lớp 6 - Chi tiết'!$AE$14:$AE$267,"&lt;&gt;Hủy"),child,IFERROR(MAXIFS('Lớp 6 - Chi tiết'!$AH$14:$AH$267,'Lớp 6 - Chi tiết'!$J$14:$J$267,$I38,'Lớp 6 - Chi tiết'!$AE$14:$AE$267,"&lt;&gt;Hủy",'Lớp 6 - Chi tiết'!$AH$14:$AH$267,"&gt;0"),0),plan,'Trung tâm nhập liệu'!Q183,emergent,LOWER(TRIM('Trung tâm nhập liệu'!O183))="khi phát sinh",IF(n=0,IF(emergent,"",plan),IF(child=0,IF(emergent,"",plan),IF(OR(emergent,plan=""),child,MAX(plan,child))))))</f>
        <v>46320</v>
      </c>
      <c r="V38" s="584">
        <f>IF($I38="","",LET(n,COUNTIFS('Lớp 6 - Chi tiết'!$J$14:$J$267,$I38,'Lớp 6 - Chi tiết'!$AE$14:$AE$267,"&lt;&gt;Hủy"),child,IFERROR(MINIFS('Lớp 6 - Chi tiết'!$AG$14:$AG$267,'Lớp 6 - Chi tiết'!$J$14:$J$267,$I38,'Lớp 6 - Chi tiết'!$AE$14:$AE$267,"&lt;&gt;Hủy",'Lớp 6 - Chi tiết'!$AG$14:$AG$267,"&gt;0"),0),plan,'Trung tâm nhập liệu'!R183,emergent,LOWER(TRIM('Trung tâm nhập liệu'!O183))="khi phát sinh",IF(n=0,IF(emergent,"",plan),IF(child=0,IF(emergent,"",plan),IF(OR(emergent,plan=""),child,MIN(plan,child))))))</f>
        <v>46308</v>
      </c>
      <c r="W38" s="577" t="str">
        <f t="shared" si="15"/>
        <v>Không</v>
      </c>
      <c r="X38" s="577" t="str">
        <f>'Trung tâm nhập liệu'!G183</f>
        <v>Bộ kết quả Bottom-up kế hoạch xuất khẩu theo quốc gia và thị trường được xác nhận.</v>
      </c>
      <c r="Y38" s="585" t="str">
        <f>'Trung tâm nhập liệu'!H183</f>
        <v/>
      </c>
      <c r="Z38" s="586" t="str">
        <f t="array" ref="Z38">IFERROR(INDEX('Lớp 4 - Danh mục'!$X$14:$X$132,MATCH(J38,'Lớp 4 - Danh mục'!$I$14:$I$132,0)),"")</f>
        <v>Dữ liệu điều hành</v>
      </c>
      <c r="AA38" s="577" t="str">
        <f>'Trung tâm nhập liệu'!K183</f>
        <v>Em Đại</v>
      </c>
      <c r="AB38" s="572" t="str">
        <f>'Trung tâm nhập liệu'!L183</f>
        <v>Đã lên lịch</v>
      </c>
      <c r="AC38" s="420" t="str">
        <f>'Trung tâm nhập liệu'!M183</f>
        <v>P2</v>
      </c>
      <c r="AD38" s="584">
        <f t="shared" si="16"/>
        <v>46308</v>
      </c>
      <c r="AE38" s="584">
        <f t="shared" si="17"/>
        <v>46320</v>
      </c>
      <c r="AF38" s="587">
        <f>IF(AM38&lt;&gt;"Có thời hạn","",IF(OR(AD38="",AE38=""),"",IF(AE38&lt;AD38,"",_xlfn.NETWORKDAYS.INTL(AD38,AE38,11,'Ngày nghỉ lễ'!$A$5:$A$80))))</f>
        <v>11</v>
      </c>
      <c r="AG38" s="588" t="str">
        <f>IF(I38="","",IF(L38="Công việc khác","",IF(OR(AB38="Chưa lên lịch",AB38="Đã lên lịch",AB38="Hủy"),"",IF(COUNTIFS('Lớp 6 - Chi tiết'!$J$14:$J$267,I38,'Lớp 6 - Chi tiết'!$AE$14:$AE$267,"&lt;&gt;",'Lớp 6 - Chi tiết'!$AE$14:$AE$267,"&lt;&gt;Hủy",'Lớp 6 - Chi tiết'!$AE$14:$AE$267,"&lt;&gt;Chưa lên lịch",'Lớp 6 - Chi tiết'!$AE$14:$AE$267,"&lt;&gt;Đã lên lịch")&gt;0,SUMIFS('Lớp 6 - Chi tiết'!$AJ$14:$AJ$267,'Lớp 6 - Chi tiết'!$J$14:$J$267,I38,'Lớp 6 - Chi tiết'!$AE$14:$AE$267,"&lt;&gt;",'Lớp 6 - Chi tiết'!$AE$14:$AE$267,"&lt;&gt;Hủy",'Lớp 6 - Chi tiết'!$AE$14:$AE$267,"&lt;&gt;Chưa lên lịch",'Lớp 6 - Chi tiết'!$AE$14:$AE$267,"&lt;&gt;Đã lên lịch")/COUNTIFS('Lớp 6 - Chi tiết'!$J$14:$J$267,I38,'Lớp 6 - Chi tiết'!$AE$14:$AE$267,"&lt;&gt;",'Lớp 6 - Chi tiết'!$AE$14:$AE$267,"&lt;&gt;Hủy",'Lớp 6 - Chi tiết'!$AE$14:$AE$267,"&lt;&gt;Chưa lên lịch",'Lớp 6 - Chi tiết'!$AE$14:$AE$267,"&lt;&gt;Đã lên lịch"),IF(AB38="Hoàn thành",1,0)))))</f>
        <v/>
      </c>
      <c r="AH38" s="587">
        <f>IF(AM38&lt;&gt;"Có thời hạn","",IF(OR(I38="",AD38="",AE38=""),"",IF(OR(AB38="Hoàn thành",AB38="Hủy"),0,IF(AE38&lt;TODAY(),-_xlfn.NETWORKDAYS.INTL(AE38,TODAY()-1,11,'Ngày nghỉ lễ'!$A$5:$A$80),MAX(0,_xlfn.NETWORKDAYS.INTL(MAX(TODAY()+1,AD38),AE38,11,'Ngày nghỉ lễ'!$A$5:$A$80))))))</f>
        <v>11</v>
      </c>
      <c r="AI38" s="589">
        <f>IF($I38="","",LET(n,COUNTIFS('Lớp 6 - Chi tiết'!$J$14:$J$267,$I38,'Lớp 6 - Chi tiết'!$AE$14:$AE$267,"&lt;&gt;Hủy"),du,COUNTIFS('Lớp 6 - Chi tiết'!$J$14:$J$267,$I38,'Lớp 6 - Chi tiết'!$AE$14:$AE$267,"&lt;&gt;Hủy",'Lớp 6 - Chi tiết'!$AL$14:$AL$267,"&lt;&gt;"),IF(n=0,'Trung tâm nhập liệu'!T183,IF(du&lt;n,"",SUMIFS('Lớp 6 - Chi tiết'!$AL$14:$AL$267,'Lớp 6 - Chi tiết'!$J$14:$J$267,$I38,'Lớp 6 - Chi tiết'!$AE$14:$AE$267,"&lt;&gt;Hủy")))))</f>
        <v>16</v>
      </c>
      <c r="AJ38" s="468">
        <f>IF(I38="","",IF(OR(AB38="Hoàn thành",AB38="Hủy"),"",IF(COUNTIFS('Lớp 6 - Chi tiết'!$J$14:$J$267,I38,'Lớp 6 - Chi tiết'!$AE$14:$AE$267,"&lt;&gt;Hủy")&gt;0,"",IF(AS38="Ngày",AT38,IF(AS38="Tuần",AT38/5,"")))))</f>
        <v>0.8</v>
      </c>
      <c r="AK38" s="477" t="str">
        <f>IF(AM38="Chưa xếp lịch","Chưa xếp lịch",IF(AM38="Định kỳ",IF(AN38="","Thiếu chu kỳ","Theo chu kỳ"),IF(AM38="Khi phát sinh",IF(COUNTIFS('Lớp 6 - Chi tiết'!$J$14:$J$267,$I38,'Lớp 6 - Chi tiết'!$AE$14:$AE$267,"&lt;&gt;Hủy")=0,"Khi phát sinh – chờ việc con","Khi phát sinh – theo ngày con"),IF(I38="","",LET(n,COUNTIFS('Lớp 6 - Chi tiết'!$J$14:$J$267,$I38,'Lớp 6 - Chi tiết'!$AE$14:$AE$267,"&lt;&gt;Hủy"),cs,IFERROR(MINIFS('Lớp 6 - Chi tiết'!$AG$14:$AG$267,'Lớp 6 - Chi tiết'!$J$14:$J$267,$I38,'Lớp 6 - Chi tiết'!$AE$14:$AE$267,"&lt;&gt;Hủy",'Lớp 6 - Chi tiết'!$AG$14:$AG$267,"&gt;0"),0),ce,IFERROR(MAXIFS('Lớp 6 - Chi tiết'!$AH$14:$AH$267,'Lớp 6 - Chi tiết'!$J$14:$J$267,$I38,'Lớp 6 - Chi tiết'!$AE$14:$AE$267,"&lt;&gt;Hủy",'Lớp 6 - Chi tiết'!$AH$14:$AH$267,"&gt;0"),0),ps,'Trung tâm nhập liệu'!R183,pe,'Trung tâm nhập liệu'!Q183,IF(OR(AD38="",AE38=""),"Thiếu ngày L5",IF(n=0,"Chưa có L6",IF(OR(cs=0,ce=0),"Thiếu ngày L6",IF(OR(ps="",pe=""),"Thiếu ngày kế hoạch gốc L5",IF(OR(cs&lt;ps,ce&gt;pe),"Cảnh báo: Con vượt khung kế hoạch gốc","L6 đúng khung kế hoạch gốc"))))))))))</f>
        <v>Chưa có L6</v>
      </c>
      <c r="AL38" s="465" t="str">
        <f>IF(OR(AV38="Thiếu tham số phân bổ",AV38="Phân bổ phải &gt; 0"),AV38,SWITCH(AM38,"Chưa xếp lịch","Chưa tính tải","Định kỳ","Theo chu kỳ","Khi phát sinh","Khi phát sinh",IF(I38="","",IF(OR(AB38="Hoàn thành",AB38="Hủy"),AB38,IF(COUNTIFS('Lớp 6 - Chi tiết'!$J$14:$J$267,I38,'Lớp 6 - Chi tiết'!$AE$14:$AE$267,"&lt;&gt;Hủy")&gt;0,"Theo dõi tải tại Lớp 6",IF(AI38="","Chưa nhập khối lượng",IF(AA38="","Thiếu người thực hiện",IF(OR(AD38="",AE38=""),"Chưa nhập đủ thời gian",IF(AH38&lt;0,"Quá hạn – còn "&amp;TEXT(MAX(0,AI38*(1-AG38)),"0.0")&amp;" giờ",LET(bd,MAX(TODAY(),AD38),kt,AE38,nguoi,AA38,tai,SUMIFS('Lớp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10.4/8.0 giờ/ngày</v>
      </c>
      <c r="AM38" s="467" t="str">
        <f>'Trung tâm nhập liệu'!O183</f>
        <v>Có thời hạn</v>
      </c>
      <c r="AN38" s="469" t="str">
        <f>'Trung tâm nhập liệu'!P183</f>
        <v/>
      </c>
      <c r="AO38" s="470" t="str">
        <f>'Trung tâm nhập liệu'!S183</f>
        <v/>
      </c>
      <c r="AP38" s="470" t="str">
        <f>'Trung tâm nhập liệu'!X183</f>
        <v/>
      </c>
      <c r="AQ38" s="471" t="str">
        <f t="shared" si="18"/>
        <v/>
      </c>
      <c r="AR38" s="469" t="str">
        <f t="shared" si="19"/>
        <v/>
      </c>
      <c r="AS38" s="475" t="str">
        <f>'Trung tâm nhập liệu'!V183</f>
        <v>Tuần</v>
      </c>
      <c r="AT38" s="476">
        <f>'Trung tâm nhập liệu'!W183</f>
        <v>4</v>
      </c>
      <c r="AU38" s="478">
        <f>IF(AM38&lt;&gt;"Có thời hạn","",IF(OR(I38="",AI38="",AB38="Hoàn thành",AB38="Hủy",COUNTIFS('Lớp 6 - Chi tiết'!$J$14:$J$267,I38,'Lớp 6 - Chi tiết'!$AE$14:$AE$267,"&lt;&gt;Hủy")&gt;0),"",LET(canNgay,MAX(0,AI38*(1-AG38))/MAX(1,AH38),IF(AS38="Ngày",canNgay,IF(AS38="Tuần",canNgay*5,"")))))</f>
        <v>7.272727273</v>
      </c>
      <c r="AV38" s="465" t="str">
        <f>IF(I38="","",IF(COUNTIFS('Lớp 6 - Chi tiết'!$J$14:$J$267,I38,'Lớp 6 - Chi tiết'!$AE$14:$AE$267,"&lt;&gt;Hủy")&gt;0,"Theo dõi phân bổ tại Lớp 6",IF(OR(AB38="Hoàn thành",AB38="Hủy"),AB38,IF(AI38="","Thiếu tổng giờ",IF(OR(AS38="",AT38=""),"Thiếu tham số phân bổ",IF(AT38&lt;=0,"Phân bổ phải &gt; 0",IF(AM38&lt;&gt;"Có thời hạn","Đã có phân bổ",IF(AU38="","Chưa đủ dữ liệu hạn",IF(AT38&gt;=AU38,"Đủ phân bổ theo "&amp;LOWER(AS38),"Thiếu "&amp;TEXT(AU38-AT38,"0.0")&amp;" giờ/"&amp;LOWER(AS38))))))))))</f>
        <v>Thiếu 3.3 giờ/tuần</v>
      </c>
      <c r="AW38" s="465" t="str">
        <f t="shared" si="20"/>
        <v>OK</v>
      </c>
      <c r="AX38" s="479" t="str">
        <f>'Trung tâm nhập liệu'!Y183</f>
        <v/>
      </c>
    </row>
    <row r="39" ht="15.75" customHeight="1">
      <c r="A39" s="424">
        <f t="shared" si="11"/>
        <v>26</v>
      </c>
      <c r="B39" s="572" t="str">
        <f>'Trung tâm nhập liệu'!F184</f>
        <v>XD &amp; phản biện công thức (nội bộ) Showroom</v>
      </c>
      <c r="C39" s="591" t="str">
        <f>'Trung tâm nhập liệu'!M184</f>
        <v>P2</v>
      </c>
      <c r="D39" s="592">
        <f t="shared" ref="D39:E39" si="90">AG39</f>
        <v>0</v>
      </c>
      <c r="E39" s="593">
        <f t="shared" si="90"/>
        <v>9</v>
      </c>
      <c r="F39" s="575">
        <f t="shared" ref="F39:G39" si="91">U39</f>
        <v>46300</v>
      </c>
      <c r="G39" s="575">
        <f t="shared" si="91"/>
        <v>46290</v>
      </c>
      <c r="H39" s="576" t="str">
        <f>IF(B39="","",IF(COUNTIF('Lớp 6 - Chi tiết'!$J$14:$J$267,I39)&gt;0,"Có","Không"))</f>
        <v>Không</v>
      </c>
      <c r="I39" s="577" t="str">
        <f>'Trung tâm nhập liệu'!B184</f>
        <v>HHL5DL06-01</v>
      </c>
      <c r="J39" s="577" t="str">
        <f>'Trung tâm nhập liệu'!D184</f>
        <v>HHL4DL06</v>
      </c>
      <c r="K39" s="597" t="str">
        <f t="array" ref="K39">IFERROR(INDEX('Lớp 4 - Danh mục'!$J$14:$J$132,MATCH(J39,'Lớp 4 - Danh mục'!$I$14:$I$132,0)),"")</f>
        <v>HHL3CT03</v>
      </c>
      <c r="L39" s="598">
        <f t="array" ref="L39">IFERROR(INDEX('Lớp 4 - Danh mục'!$K$14:$K$132,MATCH(J39,'Lớp 4 - Danh mục'!$I$14:$I$132,0)),"")</f>
        <v>2026</v>
      </c>
      <c r="M39" s="438" t="str">
        <f t="array" ref="M39">IFERROR(INDEX('Lớp 4 - Danh mục'!$L$14:$L$132,MATCH(J39,'Lớp 4 - Danh mục'!$I$14:$I$132,0)),"")</f>
        <v>Cấp công ty</v>
      </c>
      <c r="N39" s="597" t="str">
        <f t="array" ref="N39">IFERROR(INDEX('Lớp 4 - Danh mục'!$M$14:$M$132,MATCH(J39,'Lớp 4 - Danh mục'!$I$14:$I$132,0)),"")</f>
        <v>Chiến lược/sống còn</v>
      </c>
      <c r="O39" s="597" t="str">
        <f t="array" ref="O39">IFERROR(INDEX('Lớp 4 - Danh mục'!$N$14:$N$132,MATCH(J39,'Lớp 4 - Danh mục'!$I$14:$I$132,0)),"")</f>
        <v>KHKD 2027&amp; HT lập KH theo tham số KD (bán tự động)</v>
      </c>
      <c r="P39" s="597" t="str">
        <f t="array" ref="P39">IFERROR(INDEX('Lớp 4 - Danh mục'!$O$14:$O$132,MATCH(J39,'Lớp 4 - Danh mục'!$I$14:$I$132,0)),"")</f>
        <v>Xây dựng công thức &amp; tạo HT tham số cho KH Showroom</v>
      </c>
      <c r="Q39" s="581" t="str">
        <f t="shared" ref="Q39:T39" si="92">B39</f>
        <v>XD &amp; phản biện công thức (nội bộ) Showroom</v>
      </c>
      <c r="R39" s="420" t="str">
        <f t="shared" si="92"/>
        <v>P2</v>
      </c>
      <c r="S39" s="582">
        <f t="shared" si="92"/>
        <v>0</v>
      </c>
      <c r="T39" s="583">
        <f t="shared" si="92"/>
        <v>9</v>
      </c>
      <c r="U39" s="584">
        <f>IF($I39="","",LET(n,COUNTIFS('Lớp 6 - Chi tiết'!$J$14:$J$267,$I39,'Lớp 6 - Chi tiết'!$AE$14:$AE$267,"&lt;&gt;Hủy"),child,IFERROR(MAXIFS('Lớp 6 - Chi tiết'!$AH$14:$AH$267,'Lớp 6 - Chi tiết'!$J$14:$J$267,$I39,'Lớp 6 - Chi tiết'!$AE$14:$AE$267,"&lt;&gt;Hủy",'Lớp 6 - Chi tiết'!$AH$14:$AH$267,"&gt;0"),0),plan,'Trung tâm nhập liệu'!Q184,emergent,LOWER(TRIM('Trung tâm nhập liệu'!O184))="khi phát sinh",IF(n=0,IF(emergent,"",plan),IF(child=0,IF(emergent,"",plan),IF(OR(emergent,plan=""),child,MAX(plan,child))))))</f>
        <v>46300</v>
      </c>
      <c r="V39" s="584">
        <f>IF($I39="","",LET(n,COUNTIFS('Lớp 6 - Chi tiết'!$J$14:$J$267,$I39,'Lớp 6 - Chi tiết'!$AE$14:$AE$267,"&lt;&gt;Hủy"),child,IFERROR(MINIFS('Lớp 6 - Chi tiết'!$AG$14:$AG$267,'Lớp 6 - Chi tiết'!$J$14:$J$267,$I39,'Lớp 6 - Chi tiết'!$AE$14:$AE$267,"&lt;&gt;Hủy",'Lớp 6 - Chi tiết'!$AG$14:$AG$267,"&gt;0"),0),plan,'Trung tâm nhập liệu'!R184,emergent,LOWER(TRIM('Trung tâm nhập liệu'!O184))="khi phát sinh",IF(n=0,IF(emergent,"",plan),IF(child=0,IF(emergent,"",plan),IF(OR(emergent,plan=""),child,MIN(plan,child))))))</f>
        <v>46290</v>
      </c>
      <c r="W39" s="577" t="str">
        <f t="shared" si="15"/>
        <v>Không</v>
      </c>
      <c r="X39" s="577" t="str">
        <f>'Trung tâm nhập liệu'!G184</f>
        <v>Bộ công thức kế hoạch Showroom được xây dựng, phản biện nội bộ và chốt phiên bản.</v>
      </c>
      <c r="Y39" s="585" t="str">
        <f>'Trung tâm nhập liệu'!H184</f>
        <v/>
      </c>
      <c r="Z39" s="586" t="str">
        <f t="array" ref="Z39">IFERROR(INDEX('Lớp 4 - Danh mục'!$X$14:$X$132,MATCH(J39,'Lớp 4 - Danh mục'!$I$14:$I$132,0)),"")</f>
        <v>Dữ liệu điều hành</v>
      </c>
      <c r="AA39" s="577" t="str">
        <f>'Trung tâm nhập liệu'!K184</f>
        <v>Em Đại</v>
      </c>
      <c r="AB39" s="572" t="str">
        <f>'Trung tâm nhập liệu'!L184</f>
        <v>Chưa bắt đầu</v>
      </c>
      <c r="AC39" s="420" t="str">
        <f>'Trung tâm nhập liệu'!M184</f>
        <v>P2</v>
      </c>
      <c r="AD39" s="584">
        <f t="shared" si="16"/>
        <v>46290</v>
      </c>
      <c r="AE39" s="584">
        <f t="shared" si="17"/>
        <v>46300</v>
      </c>
      <c r="AF39" s="587">
        <f>IF(AM39&lt;&gt;"Có thời hạn","",IF(OR(AD39="",AE39=""),"",IF(AE39&lt;AD39,"",_xlfn.NETWORKDAYS.INTL(AD39,AE39,11,'Ngày nghỉ lễ'!$A$5:$A$80))))</f>
        <v>9</v>
      </c>
      <c r="AG39" s="588">
        <f>IF(I39="","",IF(L39="Công việc khác","",IF(OR(AB39="Chưa lên lịch",AB39="Đã lên lịch",AB39="Hủy"),"",IF(COUNTIFS('Lớp 6 - Chi tiết'!$J$14:$J$267,I39,'Lớp 6 - Chi tiết'!$AE$14:$AE$267,"&lt;&gt;",'Lớp 6 - Chi tiết'!$AE$14:$AE$267,"&lt;&gt;Hủy",'Lớp 6 - Chi tiết'!$AE$14:$AE$267,"&lt;&gt;Chưa lên lịch",'Lớp 6 - Chi tiết'!$AE$14:$AE$267,"&lt;&gt;Đã lên lịch")&gt;0,SUMIFS('Lớp 6 - Chi tiết'!$AJ$14:$AJ$267,'Lớp 6 - Chi tiết'!$J$14:$J$267,I39,'Lớp 6 - Chi tiết'!$AE$14:$AE$267,"&lt;&gt;",'Lớp 6 - Chi tiết'!$AE$14:$AE$267,"&lt;&gt;Hủy",'Lớp 6 - Chi tiết'!$AE$14:$AE$267,"&lt;&gt;Chưa lên lịch",'Lớp 6 - Chi tiết'!$AE$14:$AE$267,"&lt;&gt;Đã lên lịch")/COUNTIFS('Lớp 6 - Chi tiết'!$J$14:$J$267,I39,'Lớp 6 - Chi tiết'!$AE$14:$AE$267,"&lt;&gt;",'Lớp 6 - Chi tiết'!$AE$14:$AE$267,"&lt;&gt;Hủy",'Lớp 6 - Chi tiết'!$AE$14:$AE$267,"&lt;&gt;Chưa lên lịch",'Lớp 6 - Chi tiết'!$AE$14:$AE$267,"&lt;&gt;Đã lên lịch"),IF(AB39="Hoàn thành",1,0)))))</f>
        <v>0</v>
      </c>
      <c r="AH39" s="587">
        <f>IF(AM39&lt;&gt;"Có thời hạn","",IF(OR(I39="",AD39="",AE39=""),"",IF(OR(AB39="Hoàn thành",AB39="Hủy"),0,IF(AE39&lt;TODAY(),-_xlfn.NETWORKDAYS.INTL(AE39,TODAY()-1,11,'Ngày nghỉ lễ'!$A$5:$A$80),MAX(0,_xlfn.NETWORKDAYS.INTL(MAX(TODAY()+1,AD39),AE39,11,'Ngày nghỉ lễ'!$A$5:$A$80))))))</f>
        <v>9</v>
      </c>
      <c r="AI39" s="589">
        <f>IF($I39="","",LET(n,COUNTIFS('Lớp 6 - Chi tiết'!$J$14:$J$267,$I39,'Lớp 6 - Chi tiết'!$AE$14:$AE$267,"&lt;&gt;Hủy"),du,COUNTIFS('Lớp 6 - Chi tiết'!$J$14:$J$267,$I39,'Lớp 6 - Chi tiết'!$AE$14:$AE$267,"&lt;&gt;Hủy",'Lớp 6 - Chi tiết'!$AL$14:$AL$267,"&lt;&gt;"),IF(n=0,'Trung tâm nhập liệu'!T184,IF(du&lt;n,"",SUMIFS('Lớp 6 - Chi tiết'!$AL$14:$AL$267,'Lớp 6 - Chi tiết'!$J$14:$J$267,$I39,'Lớp 6 - Chi tiết'!$AE$14:$AE$267,"&lt;&gt;Hủy")))))</f>
        <v>16</v>
      </c>
      <c r="AJ39" s="468">
        <f>IF(I39="","",IF(OR(AB39="Hoàn thành",AB39="Hủy"),"",IF(COUNTIFS('Lớp 6 - Chi tiết'!$J$14:$J$267,I39,'Lớp 6 - Chi tiết'!$AE$14:$AE$267,"&lt;&gt;Hủy")&gt;0,"",IF(AS39="Ngày",AT39,IF(AS39="Tuần",AT39/5,"")))))</f>
        <v>0.8</v>
      </c>
      <c r="AK39" s="477" t="str">
        <f>IF(AM39="Chưa xếp lịch","Chưa xếp lịch",IF(AM39="Định kỳ",IF(AN39="","Thiếu chu kỳ","Theo chu kỳ"),IF(AM39="Khi phát sinh",IF(COUNTIFS('Lớp 6 - Chi tiết'!$J$14:$J$267,$I39,'Lớp 6 - Chi tiết'!$AE$14:$AE$267,"&lt;&gt;Hủy")=0,"Khi phát sinh – chờ việc con","Khi phát sinh – theo ngày con"),IF(I39="","",LET(n,COUNTIFS('Lớp 6 - Chi tiết'!$J$14:$J$267,$I39,'Lớp 6 - Chi tiết'!$AE$14:$AE$267,"&lt;&gt;Hủy"),cs,IFERROR(MINIFS('Lớp 6 - Chi tiết'!$AG$14:$AG$267,'Lớp 6 - Chi tiết'!$J$14:$J$267,$I39,'Lớp 6 - Chi tiết'!$AE$14:$AE$267,"&lt;&gt;Hủy",'Lớp 6 - Chi tiết'!$AG$14:$AG$267,"&gt;0"),0),ce,IFERROR(MAXIFS('Lớp 6 - Chi tiết'!$AH$14:$AH$267,'Lớp 6 - Chi tiết'!$J$14:$J$267,$I39,'Lớp 6 - Chi tiết'!$AE$14:$AE$267,"&lt;&gt;Hủy",'Lớp 6 - Chi tiết'!$AH$14:$AH$267,"&gt;0"),0),ps,'Trung tâm nhập liệu'!R184,pe,'Trung tâm nhập liệu'!Q184,IF(OR(AD39="",AE39=""),"Thiếu ngày L5",IF(n=0,"Chưa có L6",IF(OR(cs=0,ce=0),"Thiếu ngày L6",IF(OR(ps="",pe=""),"Thiếu ngày kế hoạch gốc L5",IF(OR(cs&lt;ps,ce&gt;pe),"Cảnh báo: Con vượt khung kế hoạch gốc","L6 đúng khung kế hoạch gốc"))))))))))</f>
        <v>Chưa có L6</v>
      </c>
      <c r="AL39" s="465" t="str">
        <f>IF(OR(AV39="Thiếu tham số phân bổ",AV39="Phân bổ phải &gt; 0"),AV39,SWITCH(AM39,"Chưa xếp lịch","Chưa tính tải","Định kỳ","Theo chu kỳ","Khi phát sinh","Khi phát sinh",IF(I39="","",IF(OR(AB39="Hoàn thành",AB39="Hủy"),AB39,IF(COUNTIFS('Lớp 6 - Chi tiết'!$J$14:$J$267,I39,'Lớp 6 - Chi tiết'!$AE$14:$AE$267,"&lt;&gt;Hủy")&gt;0,"Theo dõi tải tại Lớp 6",IF(AI39="","Chưa nhập khối lượng",IF(AA39="","Thiếu người thực hiện",IF(OR(AD39="",AE39=""),"Chưa nhập đủ thời gian",IF(AH39&lt;0,"Quá hạn – còn "&amp;TEXT(MAX(0,AI39*(1-AG39)),"0.0")&amp;" giờ",LET(bd,MAX(TODAY(),AD39),kt,AE39,nguoi,AA39,tai,SUMIFS('Lớp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15.2/8.0 giờ/ngày</v>
      </c>
      <c r="AM39" s="467" t="str">
        <f>'Trung tâm nhập liệu'!O184</f>
        <v>Có thời hạn</v>
      </c>
      <c r="AN39" s="469" t="str">
        <f>'Trung tâm nhập liệu'!P184</f>
        <v/>
      </c>
      <c r="AO39" s="470" t="str">
        <f>'Trung tâm nhập liệu'!S184</f>
        <v/>
      </c>
      <c r="AP39" s="470" t="str">
        <f>'Trung tâm nhập liệu'!X184</f>
        <v/>
      </c>
      <c r="AQ39" s="471" t="str">
        <f t="shared" si="18"/>
        <v/>
      </c>
      <c r="AR39" s="469" t="str">
        <f t="shared" si="19"/>
        <v/>
      </c>
      <c r="AS39" s="475" t="str">
        <f>'Trung tâm nhập liệu'!V184</f>
        <v>Tuần</v>
      </c>
      <c r="AT39" s="476">
        <f>'Trung tâm nhập liệu'!W184</f>
        <v>4</v>
      </c>
      <c r="AU39" s="478">
        <f>IF(AM39&lt;&gt;"Có thời hạn","",IF(OR(I39="",AI39="",AB39="Hoàn thành",AB39="Hủy",COUNTIFS('Lớp 6 - Chi tiết'!$J$14:$J$267,I39,'Lớp 6 - Chi tiết'!$AE$14:$AE$267,"&lt;&gt;Hủy")&gt;0),"",LET(canNgay,MAX(0,AI39*(1-AG39))/MAX(1,AH39),IF(AS39="Ngày",canNgay,IF(AS39="Tuần",canNgay*5,"")))))</f>
        <v>8.888888889</v>
      </c>
      <c r="AV39" s="465" t="str">
        <f>IF(I39="","",IF(COUNTIFS('Lớp 6 - Chi tiết'!$J$14:$J$267,I39,'Lớp 6 - Chi tiết'!$AE$14:$AE$267,"&lt;&gt;Hủy")&gt;0,"Theo dõi phân bổ tại Lớp 6",IF(OR(AB39="Hoàn thành",AB39="Hủy"),AB39,IF(AI39="","Thiếu tổng giờ",IF(OR(AS39="",AT39=""),"Thiếu tham số phân bổ",IF(AT39&lt;=0,"Phân bổ phải &gt; 0",IF(AM39&lt;&gt;"Có thời hạn","Đã có phân bổ",IF(AU39="","Chưa đủ dữ liệu hạn",IF(AT39&gt;=AU39,"Đủ phân bổ theo "&amp;LOWER(AS39),"Thiếu "&amp;TEXT(AU39-AT39,"0.0")&amp;" giờ/"&amp;LOWER(AS39))))))))))</f>
        <v>Thiếu 4.9 giờ/tuần</v>
      </c>
      <c r="AW39" s="465" t="str">
        <f t="shared" si="20"/>
        <v>Chưa đến ngày bắt đầu – nên Đã lên lịch</v>
      </c>
      <c r="AX39" s="479" t="str">
        <f>'Trung tâm nhập liệu'!Y184</f>
        <v/>
      </c>
    </row>
    <row r="40" ht="15.75" customHeight="1">
      <c r="A40" s="424">
        <f t="shared" si="11"/>
        <v>27</v>
      </c>
      <c r="B40" s="572" t="str">
        <f>'Trung tâm nhập liệu'!F185</f>
        <v>Phản biện với TGĐ &amp; liên PB Showroom</v>
      </c>
      <c r="C40" s="591" t="str">
        <f>'Trung tâm nhập liệu'!M185</f>
        <v>P2</v>
      </c>
      <c r="D40" s="592">
        <f t="shared" ref="D40:E40" si="93">AG40</f>
        <v>0</v>
      </c>
      <c r="E40" s="593">
        <f t="shared" si="93"/>
        <v>9</v>
      </c>
      <c r="F40" s="575">
        <f t="shared" ref="F40:G40" si="94">U40</f>
        <v>46310</v>
      </c>
      <c r="G40" s="575">
        <f t="shared" si="94"/>
        <v>46301</v>
      </c>
      <c r="H40" s="576" t="str">
        <f>IF(B40="","",IF(COUNTIF('Lớp 6 - Chi tiết'!$J$14:$J$267,I40)&gt;0,"Có","Không"))</f>
        <v>Không</v>
      </c>
      <c r="I40" s="577" t="str">
        <f>'Trung tâm nhập liệu'!B185</f>
        <v>HHL5DL06-02</v>
      </c>
      <c r="J40" s="577" t="str">
        <f>'Trung tâm nhập liệu'!D185</f>
        <v>HHL4DL06</v>
      </c>
      <c r="K40" s="597" t="str">
        <f t="array" ref="K40">IFERROR(INDEX('Lớp 4 - Danh mục'!$J$14:$J$132,MATCH(J40,'Lớp 4 - Danh mục'!$I$14:$I$132,0)),"")</f>
        <v>HHL3CT03</v>
      </c>
      <c r="L40" s="598">
        <f t="array" ref="L40">IFERROR(INDEX('Lớp 4 - Danh mục'!$K$14:$K$132,MATCH(J40,'Lớp 4 - Danh mục'!$I$14:$I$132,0)),"")</f>
        <v>2026</v>
      </c>
      <c r="M40" s="438" t="str">
        <f t="array" ref="M40">IFERROR(INDEX('Lớp 4 - Danh mục'!$L$14:$L$132,MATCH(J40,'Lớp 4 - Danh mục'!$I$14:$I$132,0)),"")</f>
        <v>Cấp công ty</v>
      </c>
      <c r="N40" s="597" t="str">
        <f t="array" ref="N40">IFERROR(INDEX('Lớp 4 - Danh mục'!$M$14:$M$132,MATCH(J40,'Lớp 4 - Danh mục'!$I$14:$I$132,0)),"")</f>
        <v>Chiến lược/sống còn</v>
      </c>
      <c r="O40" s="597" t="str">
        <f t="array" ref="O40">IFERROR(INDEX('Lớp 4 - Danh mục'!$N$14:$N$132,MATCH(J40,'Lớp 4 - Danh mục'!$I$14:$I$132,0)),"")</f>
        <v>KHKD 2027&amp; HT lập KH theo tham số KD (bán tự động)</v>
      </c>
      <c r="P40" s="597" t="str">
        <f t="array" ref="P40">IFERROR(INDEX('Lớp 4 - Danh mục'!$O$14:$O$132,MATCH(J40,'Lớp 4 - Danh mục'!$I$14:$I$132,0)),"")</f>
        <v>Xây dựng công thức &amp; tạo HT tham số cho KH Showroom</v>
      </c>
      <c r="Q40" s="581" t="str">
        <f t="shared" ref="Q40:T40" si="95">B40</f>
        <v>Phản biện với TGĐ &amp; liên PB Showroom</v>
      </c>
      <c r="R40" s="420" t="str">
        <f t="shared" si="95"/>
        <v>P2</v>
      </c>
      <c r="S40" s="582">
        <f t="shared" si="95"/>
        <v>0</v>
      </c>
      <c r="T40" s="583">
        <f t="shared" si="95"/>
        <v>9</v>
      </c>
      <c r="U40" s="584">
        <f>IF($I40="","",LET(n,COUNTIFS('Lớp 6 - Chi tiết'!$J$14:$J$267,$I40,'Lớp 6 - Chi tiết'!$AE$14:$AE$267,"&lt;&gt;Hủy"),child,IFERROR(MAXIFS('Lớp 6 - Chi tiết'!$AH$14:$AH$267,'Lớp 6 - Chi tiết'!$J$14:$J$267,$I40,'Lớp 6 - Chi tiết'!$AE$14:$AE$267,"&lt;&gt;Hủy",'Lớp 6 - Chi tiết'!$AH$14:$AH$267,"&gt;0"),0),plan,'Trung tâm nhập liệu'!Q185,emergent,LOWER(TRIM('Trung tâm nhập liệu'!O185))="khi phát sinh",IF(n=0,IF(emergent,"",plan),IF(child=0,IF(emergent,"",plan),IF(OR(emergent,plan=""),child,MAX(plan,child))))))</f>
        <v>46310</v>
      </c>
      <c r="V40" s="584">
        <f>IF($I40="","",LET(n,COUNTIFS('Lớp 6 - Chi tiết'!$J$14:$J$267,$I40,'Lớp 6 - Chi tiết'!$AE$14:$AE$267,"&lt;&gt;Hủy"),child,IFERROR(MINIFS('Lớp 6 - Chi tiết'!$AG$14:$AG$267,'Lớp 6 - Chi tiết'!$J$14:$J$267,$I40,'Lớp 6 - Chi tiết'!$AE$14:$AE$267,"&lt;&gt;Hủy",'Lớp 6 - Chi tiết'!$AG$14:$AG$267,"&gt;0"),0),plan,'Trung tâm nhập liệu'!R185,emergent,LOWER(TRIM('Trung tâm nhập liệu'!O185))="khi phát sinh",IF(n=0,IF(emergent,"",plan),IF(child=0,IF(emergent,"",plan),IF(OR(emergent,plan=""),child,MIN(plan,child))))))</f>
        <v>46301</v>
      </c>
      <c r="W40" s="577" t="str">
        <f t="shared" si="15"/>
        <v>Không</v>
      </c>
      <c r="X40" s="577" t="str">
        <f>'Trung tâm nhập liệu'!G185</f>
        <v>Biên bản phản biện công thức Showroom và danh mục điều chỉnh được thống nhất.</v>
      </c>
      <c r="Y40" s="585" t="str">
        <f>'Trung tâm nhập liệu'!H185</f>
        <v/>
      </c>
      <c r="Z40" s="586" t="str">
        <f t="array" ref="Z40">IFERROR(INDEX('Lớp 4 - Danh mục'!$X$14:$X$132,MATCH(J40,'Lớp 4 - Danh mục'!$I$14:$I$132,0)),"")</f>
        <v>Dữ liệu điều hành</v>
      </c>
      <c r="AA40" s="577" t="str">
        <f>'Trung tâm nhập liệu'!K185</f>
        <v>Em Đại</v>
      </c>
      <c r="AB40" s="572" t="str">
        <f>'Trung tâm nhập liệu'!L185</f>
        <v>Chưa bắt đầu</v>
      </c>
      <c r="AC40" s="420" t="str">
        <f>'Trung tâm nhập liệu'!M185</f>
        <v>P2</v>
      </c>
      <c r="AD40" s="584">
        <f t="shared" si="16"/>
        <v>46301</v>
      </c>
      <c r="AE40" s="584">
        <f t="shared" si="17"/>
        <v>46310</v>
      </c>
      <c r="AF40" s="587">
        <f>IF(AM40&lt;&gt;"Có thời hạn","",IF(OR(AD40="",AE40=""),"",IF(AE40&lt;AD40,"",_xlfn.NETWORKDAYS.INTL(AD40,AE40,11,'Ngày nghỉ lễ'!$A$5:$A$80))))</f>
        <v>9</v>
      </c>
      <c r="AG40" s="588">
        <f>IF(I40="","",IF(L40="Công việc khác","",IF(OR(AB40="Chưa lên lịch",AB40="Đã lên lịch",AB40="Hủy"),"",IF(COUNTIFS('Lớp 6 - Chi tiết'!$J$14:$J$267,I40,'Lớp 6 - Chi tiết'!$AE$14:$AE$267,"&lt;&gt;",'Lớp 6 - Chi tiết'!$AE$14:$AE$267,"&lt;&gt;Hủy",'Lớp 6 - Chi tiết'!$AE$14:$AE$267,"&lt;&gt;Chưa lên lịch",'Lớp 6 - Chi tiết'!$AE$14:$AE$267,"&lt;&gt;Đã lên lịch")&gt;0,SUMIFS('Lớp 6 - Chi tiết'!$AJ$14:$AJ$267,'Lớp 6 - Chi tiết'!$J$14:$J$267,I40,'Lớp 6 - Chi tiết'!$AE$14:$AE$267,"&lt;&gt;",'Lớp 6 - Chi tiết'!$AE$14:$AE$267,"&lt;&gt;Hủy",'Lớp 6 - Chi tiết'!$AE$14:$AE$267,"&lt;&gt;Chưa lên lịch",'Lớp 6 - Chi tiết'!$AE$14:$AE$267,"&lt;&gt;Đã lên lịch")/COUNTIFS('Lớp 6 - Chi tiết'!$J$14:$J$267,I40,'Lớp 6 - Chi tiết'!$AE$14:$AE$267,"&lt;&gt;",'Lớp 6 - Chi tiết'!$AE$14:$AE$267,"&lt;&gt;Hủy",'Lớp 6 - Chi tiết'!$AE$14:$AE$267,"&lt;&gt;Chưa lên lịch",'Lớp 6 - Chi tiết'!$AE$14:$AE$267,"&lt;&gt;Đã lên lịch"),IF(AB40="Hoàn thành",1,0)))))</f>
        <v>0</v>
      </c>
      <c r="AH40" s="587">
        <f>IF(AM40&lt;&gt;"Có thời hạn","",IF(OR(I40="",AD40="",AE40=""),"",IF(OR(AB40="Hoàn thành",AB40="Hủy"),0,IF(AE40&lt;TODAY(),-_xlfn.NETWORKDAYS.INTL(AE40,TODAY()-1,11,'Ngày nghỉ lễ'!$A$5:$A$80),MAX(0,_xlfn.NETWORKDAYS.INTL(MAX(TODAY()+1,AD40),AE40,11,'Ngày nghỉ lễ'!$A$5:$A$80))))))</f>
        <v>9</v>
      </c>
      <c r="AI40" s="589">
        <f>IF($I40="","",LET(n,COUNTIFS('Lớp 6 - Chi tiết'!$J$14:$J$267,$I40,'Lớp 6 - Chi tiết'!$AE$14:$AE$267,"&lt;&gt;Hủy"),du,COUNTIFS('Lớp 6 - Chi tiết'!$J$14:$J$267,$I40,'Lớp 6 - Chi tiết'!$AE$14:$AE$267,"&lt;&gt;Hủy",'Lớp 6 - Chi tiết'!$AL$14:$AL$267,"&lt;&gt;"),IF(n=0,'Trung tâm nhập liệu'!T185,IF(du&lt;n,"",SUMIFS('Lớp 6 - Chi tiết'!$AL$14:$AL$267,'Lớp 6 - Chi tiết'!$J$14:$J$267,$I40,'Lớp 6 - Chi tiết'!$AE$14:$AE$267,"&lt;&gt;Hủy")))))</f>
        <v>8</v>
      </c>
      <c r="AJ40" s="468">
        <f>IF(I40="","",IF(OR(AB40="Hoàn thành",AB40="Hủy"),"",IF(COUNTIFS('Lớp 6 - Chi tiết'!$J$14:$J$267,I40,'Lớp 6 - Chi tiết'!$AE$14:$AE$267,"&lt;&gt;Hủy")&gt;0,"",IF(AS40="Ngày",AT40,IF(AS40="Tuần",AT40/5,"")))))</f>
        <v>0.8</v>
      </c>
      <c r="AK40" s="477" t="str">
        <f>IF(AM40="Chưa xếp lịch","Chưa xếp lịch",IF(AM40="Định kỳ",IF(AN40="","Thiếu chu kỳ","Theo chu kỳ"),IF(AM40="Khi phát sinh",IF(COUNTIFS('Lớp 6 - Chi tiết'!$J$14:$J$267,$I40,'Lớp 6 - Chi tiết'!$AE$14:$AE$267,"&lt;&gt;Hủy")=0,"Khi phát sinh – chờ việc con","Khi phát sinh – theo ngày con"),IF(I40="","",LET(n,COUNTIFS('Lớp 6 - Chi tiết'!$J$14:$J$267,$I40,'Lớp 6 - Chi tiết'!$AE$14:$AE$267,"&lt;&gt;Hủy"),cs,IFERROR(MINIFS('Lớp 6 - Chi tiết'!$AG$14:$AG$267,'Lớp 6 - Chi tiết'!$J$14:$J$267,$I40,'Lớp 6 - Chi tiết'!$AE$14:$AE$267,"&lt;&gt;Hủy",'Lớp 6 - Chi tiết'!$AG$14:$AG$267,"&gt;0"),0),ce,IFERROR(MAXIFS('Lớp 6 - Chi tiết'!$AH$14:$AH$267,'Lớp 6 - Chi tiết'!$J$14:$J$267,$I40,'Lớp 6 - Chi tiết'!$AE$14:$AE$267,"&lt;&gt;Hủy",'Lớp 6 - Chi tiết'!$AH$14:$AH$267,"&gt;0"),0),ps,'Trung tâm nhập liệu'!R185,pe,'Trung tâm nhập liệu'!Q185,IF(OR(AD40="",AE40=""),"Thiếu ngày L5",IF(n=0,"Chưa có L6",IF(OR(cs=0,ce=0),"Thiếu ngày L6",IF(OR(ps="",pe=""),"Thiếu ngày kế hoạch gốc L5",IF(OR(cs&lt;ps,ce&gt;pe),"Cảnh báo: Con vượt khung kế hoạch gốc","L6 đúng khung kế hoạch gốc"))))))))))</f>
        <v>Chưa có L6</v>
      </c>
      <c r="AL40" s="465" t="str">
        <f>IF(OR(AV40="Thiếu tham số phân bổ",AV40="Phân bổ phải &gt; 0"),AV40,SWITCH(AM40,"Chưa xếp lịch","Chưa tính tải","Định kỳ","Theo chu kỳ","Khi phát sinh","Khi phát sinh",IF(I40="","",IF(OR(AB40="Hoàn thành",AB40="Hủy"),AB40,IF(COUNTIFS('Lớp 6 - Chi tiết'!$J$14:$J$267,I40,'Lớp 6 - Chi tiết'!$AE$14:$AE$267,"&lt;&gt;Hủy")&gt;0,"Theo dõi tải tại Lớp 6",IF(AI40="","Chưa nhập khối lượng",IF(AA40="","Thiếu người thực hiện",IF(OR(AD40="",AE40=""),"Chưa nhập đủ thời gian",IF(AH40&lt;0,"Quá hạn – còn "&amp;TEXT(MAX(0,AI40*(1-AG40)),"0.0")&amp;" giờ",LET(bd,MAX(TODAY(),AD40),kt,AE40,nguoi,AA40,tai,SUMIFS('Lớp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20.0/8.0 giờ/ngày</v>
      </c>
      <c r="AM40" s="467" t="str">
        <f>'Trung tâm nhập liệu'!O185</f>
        <v>Có thời hạn</v>
      </c>
      <c r="AN40" s="469" t="str">
        <f>'Trung tâm nhập liệu'!P185</f>
        <v/>
      </c>
      <c r="AO40" s="470" t="str">
        <f>'Trung tâm nhập liệu'!S185</f>
        <v/>
      </c>
      <c r="AP40" s="470" t="str">
        <f>'Trung tâm nhập liệu'!X185</f>
        <v/>
      </c>
      <c r="AQ40" s="471" t="str">
        <f t="shared" si="18"/>
        <v/>
      </c>
      <c r="AR40" s="469" t="str">
        <f t="shared" si="19"/>
        <v/>
      </c>
      <c r="AS40" s="475" t="str">
        <f>'Trung tâm nhập liệu'!V185</f>
        <v>Tuần</v>
      </c>
      <c r="AT40" s="476">
        <f>'Trung tâm nhập liệu'!W185</f>
        <v>4</v>
      </c>
      <c r="AU40" s="478">
        <f>IF(AM40&lt;&gt;"Có thời hạn","",IF(OR(I40="",AI40="",AB40="Hoàn thành",AB40="Hủy",COUNTIFS('Lớp 6 - Chi tiết'!$J$14:$J$267,I40,'Lớp 6 - Chi tiết'!$AE$14:$AE$267,"&lt;&gt;Hủy")&gt;0),"",LET(canNgay,MAX(0,AI40*(1-AG40))/MAX(1,AH40),IF(AS40="Ngày",canNgay,IF(AS40="Tuần",canNgay*5,"")))))</f>
        <v>4.444444444</v>
      </c>
      <c r="AV40" s="465" t="str">
        <f>IF(I40="","",IF(COUNTIFS('Lớp 6 - Chi tiết'!$J$14:$J$267,I40,'Lớp 6 - Chi tiết'!$AE$14:$AE$267,"&lt;&gt;Hủy")&gt;0,"Theo dõi phân bổ tại Lớp 6",IF(OR(AB40="Hoàn thành",AB40="Hủy"),AB40,IF(AI40="","Thiếu tổng giờ",IF(OR(AS40="",AT40=""),"Thiếu tham số phân bổ",IF(AT40&lt;=0,"Phân bổ phải &gt; 0",IF(AM40&lt;&gt;"Có thời hạn","Đã có phân bổ",IF(AU40="","Chưa đủ dữ liệu hạn",IF(AT40&gt;=AU40,"Đủ phân bổ theo "&amp;LOWER(AS40),"Thiếu "&amp;TEXT(AU40-AT40,"0.0")&amp;" giờ/"&amp;LOWER(AS40))))))))))</f>
        <v>Thiếu 0.4 giờ/tuần</v>
      </c>
      <c r="AW40" s="465" t="str">
        <f t="shared" si="20"/>
        <v>Chưa đến ngày bắt đầu – nên Đã lên lịch</v>
      </c>
      <c r="AX40" s="479" t="str">
        <f>'Trung tâm nhập liệu'!Y185</f>
        <v/>
      </c>
    </row>
    <row r="41" ht="15.75" customHeight="1">
      <c r="A41" s="424">
        <f t="shared" si="11"/>
        <v>28</v>
      </c>
      <c r="B41" s="572" t="str">
        <f>'Trung tâm nhập liệu'!F186</f>
        <v>XD bảng Excel &amp; HT phần mềm (chạy demo) Showroom</v>
      </c>
      <c r="C41" s="591" t="str">
        <f>'Trung tâm nhập liệu'!M186</f>
        <v>P2</v>
      </c>
      <c r="D41" s="592">
        <f t="shared" ref="D41:E41" si="96">AG41</f>
        <v>0</v>
      </c>
      <c r="E41" s="593">
        <f t="shared" si="96"/>
        <v>5</v>
      </c>
      <c r="F41" s="575">
        <f t="shared" ref="F41:G41" si="97">U41</f>
        <v>46305</v>
      </c>
      <c r="G41" s="575">
        <f t="shared" si="97"/>
        <v>46301</v>
      </c>
      <c r="H41" s="576" t="str">
        <f>IF(B41="","",IF(COUNTIF('Lớp 6 - Chi tiết'!$J$14:$J$267,I41)&gt;0,"Có","Không"))</f>
        <v>Không</v>
      </c>
      <c r="I41" s="577" t="str">
        <f>'Trung tâm nhập liệu'!B186</f>
        <v>HHL5DL06-03</v>
      </c>
      <c r="J41" s="577" t="str">
        <f>'Trung tâm nhập liệu'!D186</f>
        <v>HHL4DL06</v>
      </c>
      <c r="K41" s="597" t="str">
        <f t="array" ref="K41">IFERROR(INDEX('Lớp 4 - Danh mục'!$J$14:$J$132,MATCH(J41,'Lớp 4 - Danh mục'!$I$14:$I$132,0)),"")</f>
        <v>HHL3CT03</v>
      </c>
      <c r="L41" s="598">
        <f t="array" ref="L41">IFERROR(INDEX('Lớp 4 - Danh mục'!$K$14:$K$132,MATCH(J41,'Lớp 4 - Danh mục'!$I$14:$I$132,0)),"")</f>
        <v>2026</v>
      </c>
      <c r="M41" s="438" t="str">
        <f t="array" ref="M41">IFERROR(INDEX('Lớp 4 - Danh mục'!$L$14:$L$132,MATCH(J41,'Lớp 4 - Danh mục'!$I$14:$I$132,0)),"")</f>
        <v>Cấp công ty</v>
      </c>
      <c r="N41" s="597" t="str">
        <f t="array" ref="N41">IFERROR(INDEX('Lớp 4 - Danh mục'!$M$14:$M$132,MATCH(J41,'Lớp 4 - Danh mục'!$I$14:$I$132,0)),"")</f>
        <v>Chiến lược/sống còn</v>
      </c>
      <c r="O41" s="597" t="str">
        <f t="array" ref="O41">IFERROR(INDEX('Lớp 4 - Danh mục'!$N$14:$N$132,MATCH(J41,'Lớp 4 - Danh mục'!$I$14:$I$132,0)),"")</f>
        <v>KHKD 2027&amp; HT lập KH theo tham số KD (bán tự động)</v>
      </c>
      <c r="P41" s="597" t="str">
        <f t="array" ref="P41">IFERROR(INDEX('Lớp 4 - Danh mục'!$O$14:$O$132,MATCH(J41,'Lớp 4 - Danh mục'!$I$14:$I$132,0)),"")</f>
        <v>Xây dựng công thức &amp; tạo HT tham số cho KH Showroom</v>
      </c>
      <c r="Q41" s="581" t="str">
        <f t="shared" ref="Q41:T41" si="98">B41</f>
        <v>XD bảng Excel &amp; HT phần mềm (chạy demo) Showroom</v>
      </c>
      <c r="R41" s="420" t="str">
        <f t="shared" si="98"/>
        <v>P2</v>
      </c>
      <c r="S41" s="582">
        <f t="shared" si="98"/>
        <v>0</v>
      </c>
      <c r="T41" s="583">
        <f t="shared" si="98"/>
        <v>5</v>
      </c>
      <c r="U41" s="584">
        <f>IF($I41="","",LET(n,COUNTIFS('Lớp 6 - Chi tiết'!$J$14:$J$267,$I41,'Lớp 6 - Chi tiết'!$AE$14:$AE$267,"&lt;&gt;Hủy"),child,IFERROR(MAXIFS('Lớp 6 - Chi tiết'!$AH$14:$AH$267,'Lớp 6 - Chi tiết'!$J$14:$J$267,$I41,'Lớp 6 - Chi tiết'!$AE$14:$AE$267,"&lt;&gt;Hủy",'Lớp 6 - Chi tiết'!$AH$14:$AH$267,"&gt;0"),0),plan,'Trung tâm nhập liệu'!Q186,emergent,LOWER(TRIM('Trung tâm nhập liệu'!O186))="khi phát sinh",IF(n=0,IF(emergent,"",plan),IF(child=0,IF(emergent,"",plan),IF(OR(emergent,plan=""),child,MAX(plan,child))))))</f>
        <v>46305</v>
      </c>
      <c r="V41" s="584">
        <f>IF($I41="","",LET(n,COUNTIFS('Lớp 6 - Chi tiết'!$J$14:$J$267,$I41,'Lớp 6 - Chi tiết'!$AE$14:$AE$267,"&lt;&gt;Hủy"),child,IFERROR(MINIFS('Lớp 6 - Chi tiết'!$AG$14:$AG$267,'Lớp 6 - Chi tiết'!$J$14:$J$267,$I41,'Lớp 6 - Chi tiết'!$AE$14:$AE$267,"&lt;&gt;Hủy",'Lớp 6 - Chi tiết'!$AG$14:$AG$267,"&gt;0"),0),plan,'Trung tâm nhập liệu'!R186,emergent,LOWER(TRIM('Trung tâm nhập liệu'!O186))="khi phát sinh",IF(n=0,IF(emergent,"",plan),IF(child=0,IF(emergent,"",plan),IF(OR(emergent,plan=""),child,MIN(plan,child))))))</f>
        <v>46301</v>
      </c>
      <c r="W41" s="577" t="str">
        <f t="shared" si="15"/>
        <v>Không</v>
      </c>
      <c r="X41" s="577" t="str">
        <f>'Trung tâm nhập liệu'!G186</f>
        <v>File Excel và bản demo hệ thống kế hoạch Showroom vận hành đúng công thức.</v>
      </c>
      <c r="Y41" s="585" t="str">
        <f>'Trung tâm nhập liệu'!H186</f>
        <v/>
      </c>
      <c r="Z41" s="586" t="str">
        <f t="array" ref="Z41">IFERROR(INDEX('Lớp 4 - Danh mục'!$X$14:$X$132,MATCH(J41,'Lớp 4 - Danh mục'!$I$14:$I$132,0)),"")</f>
        <v>Dữ liệu điều hành</v>
      </c>
      <c r="AA41" s="577" t="str">
        <f>'Trung tâm nhập liệu'!K186</f>
        <v>Em Đại</v>
      </c>
      <c r="AB41" s="572" t="str">
        <f>'Trung tâm nhập liệu'!L186</f>
        <v>Chưa bắt đầu</v>
      </c>
      <c r="AC41" s="420" t="str">
        <f>'Trung tâm nhập liệu'!M186</f>
        <v>P2</v>
      </c>
      <c r="AD41" s="584">
        <f t="shared" si="16"/>
        <v>46301</v>
      </c>
      <c r="AE41" s="584">
        <f t="shared" si="17"/>
        <v>46305</v>
      </c>
      <c r="AF41" s="587">
        <f>IF(AM41&lt;&gt;"Có thời hạn","",IF(OR(AD41="",AE41=""),"",IF(AE41&lt;AD41,"",_xlfn.NETWORKDAYS.INTL(AD41,AE41,11,'Ngày nghỉ lễ'!$A$5:$A$80))))</f>
        <v>5</v>
      </c>
      <c r="AG41" s="588">
        <f>IF(I41="","",IF(L41="Công việc khác","",IF(OR(AB41="Chưa lên lịch",AB41="Đã lên lịch",AB41="Hủy"),"",IF(COUNTIFS('Lớp 6 - Chi tiết'!$J$14:$J$267,I41,'Lớp 6 - Chi tiết'!$AE$14:$AE$267,"&lt;&gt;",'Lớp 6 - Chi tiết'!$AE$14:$AE$267,"&lt;&gt;Hủy",'Lớp 6 - Chi tiết'!$AE$14:$AE$267,"&lt;&gt;Chưa lên lịch",'Lớp 6 - Chi tiết'!$AE$14:$AE$267,"&lt;&gt;Đã lên lịch")&gt;0,SUMIFS('Lớp 6 - Chi tiết'!$AJ$14:$AJ$267,'Lớp 6 - Chi tiết'!$J$14:$J$267,I41,'Lớp 6 - Chi tiết'!$AE$14:$AE$267,"&lt;&gt;",'Lớp 6 - Chi tiết'!$AE$14:$AE$267,"&lt;&gt;Hủy",'Lớp 6 - Chi tiết'!$AE$14:$AE$267,"&lt;&gt;Chưa lên lịch",'Lớp 6 - Chi tiết'!$AE$14:$AE$267,"&lt;&gt;Đã lên lịch")/COUNTIFS('Lớp 6 - Chi tiết'!$J$14:$J$267,I41,'Lớp 6 - Chi tiết'!$AE$14:$AE$267,"&lt;&gt;",'Lớp 6 - Chi tiết'!$AE$14:$AE$267,"&lt;&gt;Hủy",'Lớp 6 - Chi tiết'!$AE$14:$AE$267,"&lt;&gt;Chưa lên lịch",'Lớp 6 - Chi tiết'!$AE$14:$AE$267,"&lt;&gt;Đã lên lịch"),IF(AB41="Hoàn thành",1,0)))))</f>
        <v>0</v>
      </c>
      <c r="AH41" s="587">
        <f>IF(AM41&lt;&gt;"Có thời hạn","",IF(OR(I41="",AD41="",AE41=""),"",IF(OR(AB41="Hoàn thành",AB41="Hủy"),0,IF(AE41&lt;TODAY(),-_xlfn.NETWORKDAYS.INTL(AE41,TODAY()-1,11,'Ngày nghỉ lễ'!$A$5:$A$80),MAX(0,_xlfn.NETWORKDAYS.INTL(MAX(TODAY()+1,AD41),AE41,11,'Ngày nghỉ lễ'!$A$5:$A$80))))))</f>
        <v>5</v>
      </c>
      <c r="AI41" s="589">
        <f>IF($I41="","",LET(n,COUNTIFS('Lớp 6 - Chi tiết'!$J$14:$J$267,$I41,'Lớp 6 - Chi tiết'!$AE$14:$AE$267,"&lt;&gt;Hủy"),du,COUNTIFS('Lớp 6 - Chi tiết'!$J$14:$J$267,$I41,'Lớp 6 - Chi tiết'!$AE$14:$AE$267,"&lt;&gt;Hủy",'Lớp 6 - Chi tiết'!$AL$14:$AL$267,"&lt;&gt;"),IF(n=0,'Trung tâm nhập liệu'!T186,IF(du&lt;n,"",SUMIFS('Lớp 6 - Chi tiết'!$AL$14:$AL$267,'Lớp 6 - Chi tiết'!$J$14:$J$267,$I41,'Lớp 6 - Chi tiết'!$AE$14:$AE$267,"&lt;&gt;Hủy")))))</f>
        <v>24</v>
      </c>
      <c r="AJ41" s="468">
        <f>IF(I41="","",IF(OR(AB41="Hoàn thành",AB41="Hủy"),"",IF(COUNTIFS('Lớp 6 - Chi tiết'!$J$14:$J$267,I41,'Lớp 6 - Chi tiết'!$AE$14:$AE$267,"&lt;&gt;Hủy")&gt;0,"",IF(AS41="Ngày",AT41,IF(AS41="Tuần",AT41/5,"")))))</f>
        <v>0.8</v>
      </c>
      <c r="AK41" s="477" t="str">
        <f>IF(AM41="Chưa xếp lịch","Chưa xếp lịch",IF(AM41="Định kỳ",IF(AN41="","Thiếu chu kỳ","Theo chu kỳ"),IF(AM41="Khi phát sinh",IF(COUNTIFS('Lớp 6 - Chi tiết'!$J$14:$J$267,$I41,'Lớp 6 - Chi tiết'!$AE$14:$AE$267,"&lt;&gt;Hủy")=0,"Khi phát sinh – chờ việc con","Khi phát sinh – theo ngày con"),IF(I41="","",LET(n,COUNTIFS('Lớp 6 - Chi tiết'!$J$14:$J$267,$I41,'Lớp 6 - Chi tiết'!$AE$14:$AE$267,"&lt;&gt;Hủy"),cs,IFERROR(MINIFS('Lớp 6 - Chi tiết'!$AG$14:$AG$267,'Lớp 6 - Chi tiết'!$J$14:$J$267,$I41,'Lớp 6 - Chi tiết'!$AE$14:$AE$267,"&lt;&gt;Hủy",'Lớp 6 - Chi tiết'!$AG$14:$AG$267,"&gt;0"),0),ce,IFERROR(MAXIFS('Lớp 6 - Chi tiết'!$AH$14:$AH$267,'Lớp 6 - Chi tiết'!$J$14:$J$267,$I41,'Lớp 6 - Chi tiết'!$AE$14:$AE$267,"&lt;&gt;Hủy",'Lớp 6 - Chi tiết'!$AH$14:$AH$267,"&gt;0"),0),ps,'Trung tâm nhập liệu'!R186,pe,'Trung tâm nhập liệu'!Q186,IF(OR(AD41="",AE41=""),"Thiếu ngày L5",IF(n=0,"Chưa có L6",IF(OR(cs=0,ce=0),"Thiếu ngày L6",IF(OR(ps="",pe=""),"Thiếu ngày kế hoạch gốc L5",IF(OR(cs&lt;ps,ce&gt;pe),"Cảnh báo: Con vượt khung kế hoạch gốc","L6 đúng khung kế hoạch gốc"))))))))))</f>
        <v>Chưa có L6</v>
      </c>
      <c r="AL41" s="465" t="str">
        <f>IF(OR(AV41="Thiếu tham số phân bổ",AV41="Phân bổ phải &gt; 0"),AV41,SWITCH(AM41,"Chưa xếp lịch","Chưa tính tải","Định kỳ","Theo chu kỳ","Khi phát sinh","Khi phát sinh",IF(I41="","",IF(OR(AB41="Hoàn thành",AB41="Hủy"),AB41,IF(COUNTIFS('Lớp 6 - Chi tiết'!$J$14:$J$267,I41,'Lớp 6 - Chi tiết'!$AE$14:$AE$267,"&lt;&gt;Hủy")&gt;0,"Theo dõi tải tại Lớp 6",IF(AI41="","Chưa nhập khối lượng",IF(AA41="","Thiếu người thực hiện",IF(OR(AD41="",AE41=""),"Chưa nhập đủ thời gian",IF(AH41&lt;0,"Quá hạn – còn "&amp;TEXT(MAX(0,AI41*(1-AG41)),"0.0")&amp;" giờ",LET(bd,MAX(TODAY(),AD41),kt,AE41,nguoi,AA41,tai,SUMIFS('Lớp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13.6/8.0 giờ/ngày</v>
      </c>
      <c r="AM41" s="467" t="str">
        <f>'Trung tâm nhập liệu'!O186</f>
        <v>Có thời hạn</v>
      </c>
      <c r="AN41" s="469" t="str">
        <f>'Trung tâm nhập liệu'!P186</f>
        <v/>
      </c>
      <c r="AO41" s="470" t="str">
        <f>'Trung tâm nhập liệu'!S186</f>
        <v/>
      </c>
      <c r="AP41" s="470" t="str">
        <f>'Trung tâm nhập liệu'!X186</f>
        <v/>
      </c>
      <c r="AQ41" s="471" t="str">
        <f t="shared" si="18"/>
        <v/>
      </c>
      <c r="AR41" s="469" t="str">
        <f t="shared" si="19"/>
        <v/>
      </c>
      <c r="AS41" s="475" t="str">
        <f>'Trung tâm nhập liệu'!V186</f>
        <v>Tuần</v>
      </c>
      <c r="AT41" s="476">
        <f>'Trung tâm nhập liệu'!W186</f>
        <v>4</v>
      </c>
      <c r="AU41" s="478">
        <f>IF(AM41&lt;&gt;"Có thời hạn","",IF(OR(I41="",AI41="",AB41="Hoàn thành",AB41="Hủy",COUNTIFS('Lớp 6 - Chi tiết'!$J$14:$J$267,I41,'Lớp 6 - Chi tiết'!$AE$14:$AE$267,"&lt;&gt;Hủy")&gt;0),"",LET(canNgay,MAX(0,AI41*(1-AG41))/MAX(1,AH41),IF(AS41="Ngày",canNgay,IF(AS41="Tuần",canNgay*5,"")))))</f>
        <v>24</v>
      </c>
      <c r="AV41" s="465" t="str">
        <f>IF(I41="","",IF(COUNTIFS('Lớp 6 - Chi tiết'!$J$14:$J$267,I41,'Lớp 6 - Chi tiết'!$AE$14:$AE$267,"&lt;&gt;Hủy")&gt;0,"Theo dõi phân bổ tại Lớp 6",IF(OR(AB41="Hoàn thành",AB41="Hủy"),AB41,IF(AI41="","Thiếu tổng giờ",IF(OR(AS41="",AT41=""),"Thiếu tham số phân bổ",IF(AT41&lt;=0,"Phân bổ phải &gt; 0",IF(AM41&lt;&gt;"Có thời hạn","Đã có phân bổ",IF(AU41="","Chưa đủ dữ liệu hạn",IF(AT41&gt;=AU41,"Đủ phân bổ theo "&amp;LOWER(AS41),"Thiếu "&amp;TEXT(AU41-AT41,"0.0")&amp;" giờ/"&amp;LOWER(AS41))))))))))</f>
        <v>Thiếu 20.0 giờ/tuần</v>
      </c>
      <c r="AW41" s="465" t="str">
        <f t="shared" si="20"/>
        <v>Chưa đến ngày bắt đầu – nên Đã lên lịch</v>
      </c>
      <c r="AX41" s="479" t="str">
        <f>'Trung tâm nhập liệu'!Y186</f>
        <v/>
      </c>
    </row>
    <row r="42" ht="15.75" customHeight="1">
      <c r="A42" s="424">
        <f t="shared" si="11"/>
        <v>29</v>
      </c>
      <c r="B42" s="572" t="str">
        <f>'Trung tâm nhập liệu'!F187</f>
        <v>Chạy tham số. Topdown Showroom</v>
      </c>
      <c r="C42" s="591" t="str">
        <f>'Trung tâm nhập liệu'!M187</f>
        <v>P2</v>
      </c>
      <c r="D42" s="592" t="str">
        <f t="shared" ref="D42:E42" si="99">AG42</f>
        <v/>
      </c>
      <c r="E42" s="593">
        <f t="shared" si="99"/>
        <v>1</v>
      </c>
      <c r="F42" s="575">
        <f t="shared" ref="F42:G42" si="100">U42</f>
        <v>46307</v>
      </c>
      <c r="G42" s="575">
        <f t="shared" si="100"/>
        <v>46306</v>
      </c>
      <c r="H42" s="576" t="str">
        <f>IF(B42="","",IF(COUNTIF('Lớp 6 - Chi tiết'!$J$14:$J$267,I42)&gt;0,"Có","Không"))</f>
        <v>Không</v>
      </c>
      <c r="I42" s="577" t="str">
        <f>'Trung tâm nhập liệu'!B187</f>
        <v>HHL5DL06-04</v>
      </c>
      <c r="J42" s="577" t="str">
        <f>'Trung tâm nhập liệu'!D187</f>
        <v>HHL4DL06</v>
      </c>
      <c r="K42" s="597" t="str">
        <f t="array" ref="K42">IFERROR(INDEX('Lớp 4 - Danh mục'!$J$14:$J$132,MATCH(J42,'Lớp 4 - Danh mục'!$I$14:$I$132,0)),"")</f>
        <v>HHL3CT03</v>
      </c>
      <c r="L42" s="598">
        <f t="array" ref="L42">IFERROR(INDEX('Lớp 4 - Danh mục'!$K$14:$K$132,MATCH(J42,'Lớp 4 - Danh mục'!$I$14:$I$132,0)),"")</f>
        <v>2026</v>
      </c>
      <c r="M42" s="438" t="str">
        <f t="array" ref="M42">IFERROR(INDEX('Lớp 4 - Danh mục'!$L$14:$L$132,MATCH(J42,'Lớp 4 - Danh mục'!$I$14:$I$132,0)),"")</f>
        <v>Cấp công ty</v>
      </c>
      <c r="N42" s="597" t="str">
        <f t="array" ref="N42">IFERROR(INDEX('Lớp 4 - Danh mục'!$M$14:$M$132,MATCH(J42,'Lớp 4 - Danh mục'!$I$14:$I$132,0)),"")</f>
        <v>Chiến lược/sống còn</v>
      </c>
      <c r="O42" s="597" t="str">
        <f t="array" ref="O42">IFERROR(INDEX('Lớp 4 - Danh mục'!$N$14:$N$132,MATCH(J42,'Lớp 4 - Danh mục'!$I$14:$I$132,0)),"")</f>
        <v>KHKD 2027&amp; HT lập KH theo tham số KD (bán tự động)</v>
      </c>
      <c r="P42" s="597" t="str">
        <f t="array" ref="P42">IFERROR(INDEX('Lớp 4 - Danh mục'!$O$14:$O$132,MATCH(J42,'Lớp 4 - Danh mục'!$I$14:$I$132,0)),"")</f>
        <v>Xây dựng công thức &amp; tạo HT tham số cho KH Showroom</v>
      </c>
      <c r="Q42" s="581" t="str">
        <f t="shared" ref="Q42:T42" si="101">B42</f>
        <v>Chạy tham số. Topdown Showroom</v>
      </c>
      <c r="R42" s="420" t="str">
        <f t="shared" si="101"/>
        <v>P2</v>
      </c>
      <c r="S42" s="582" t="str">
        <f t="shared" si="101"/>
        <v/>
      </c>
      <c r="T42" s="583">
        <f t="shared" si="101"/>
        <v>1</v>
      </c>
      <c r="U42" s="584">
        <f>IF($I42="","",LET(n,COUNTIFS('Lớp 6 - Chi tiết'!$J$14:$J$267,$I42,'Lớp 6 - Chi tiết'!$AE$14:$AE$267,"&lt;&gt;Hủy"),child,IFERROR(MAXIFS('Lớp 6 - Chi tiết'!$AH$14:$AH$267,'Lớp 6 - Chi tiết'!$J$14:$J$267,$I42,'Lớp 6 - Chi tiết'!$AE$14:$AE$267,"&lt;&gt;Hủy",'Lớp 6 - Chi tiết'!$AH$14:$AH$267,"&gt;0"),0),plan,'Trung tâm nhập liệu'!Q187,emergent,LOWER(TRIM('Trung tâm nhập liệu'!O187))="khi phát sinh",IF(n=0,IF(emergent,"",plan),IF(child=0,IF(emergent,"",plan),IF(OR(emergent,plan=""),child,MAX(plan,child))))))</f>
        <v>46307</v>
      </c>
      <c r="V42" s="584">
        <f>IF($I42="","",LET(n,COUNTIFS('Lớp 6 - Chi tiết'!$J$14:$J$267,$I42,'Lớp 6 - Chi tiết'!$AE$14:$AE$267,"&lt;&gt;Hủy"),child,IFERROR(MINIFS('Lớp 6 - Chi tiết'!$AG$14:$AG$267,'Lớp 6 - Chi tiết'!$J$14:$J$267,$I42,'Lớp 6 - Chi tiết'!$AE$14:$AE$267,"&lt;&gt;Hủy",'Lớp 6 - Chi tiết'!$AG$14:$AG$267,"&gt;0"),0),plan,'Trung tâm nhập liệu'!R187,emergent,LOWER(TRIM('Trung tâm nhập liệu'!O187))="khi phát sinh",IF(n=0,IF(emergent,"",plan),IF(child=0,IF(emergent,"",plan),IF(OR(emergent,plan=""),child,MIN(plan,child))))))</f>
        <v>46306</v>
      </c>
      <c r="W42" s="577" t="str">
        <f t="shared" si="15"/>
        <v>Không</v>
      </c>
      <c r="X42" s="577" t="str">
        <f>'Trung tâm nhập liệu'!G187</f>
        <v>Bộ kết quả tham số Top-down kế hoạch Showroom được kiểm tra và xác nhận.</v>
      </c>
      <c r="Y42" s="585" t="str">
        <f>'Trung tâm nhập liệu'!H187</f>
        <v/>
      </c>
      <c r="Z42" s="586" t="str">
        <f t="array" ref="Z42">IFERROR(INDEX('Lớp 4 - Danh mục'!$X$14:$X$132,MATCH(J42,'Lớp 4 - Danh mục'!$I$14:$I$132,0)),"")</f>
        <v>Dữ liệu điều hành</v>
      </c>
      <c r="AA42" s="577" t="str">
        <f>'Trung tâm nhập liệu'!K187</f>
        <v>Em Đại</v>
      </c>
      <c r="AB42" s="572" t="str">
        <f>'Trung tâm nhập liệu'!L187</f>
        <v>Đã lên lịch</v>
      </c>
      <c r="AC42" s="420" t="str">
        <f>'Trung tâm nhập liệu'!M187</f>
        <v>P2</v>
      </c>
      <c r="AD42" s="584">
        <f t="shared" si="16"/>
        <v>46306</v>
      </c>
      <c r="AE42" s="584">
        <f t="shared" si="17"/>
        <v>46307</v>
      </c>
      <c r="AF42" s="587">
        <f>IF(AM42&lt;&gt;"Có thời hạn","",IF(OR(AD42="",AE42=""),"",IF(AE42&lt;AD42,"",_xlfn.NETWORKDAYS.INTL(AD42,AE42,11,'Ngày nghỉ lễ'!$A$5:$A$80))))</f>
        <v>1</v>
      </c>
      <c r="AG42" s="588" t="str">
        <f>IF(I42="","",IF(L42="Công việc khác","",IF(OR(AB42="Chưa lên lịch",AB42="Đã lên lịch",AB42="Hủy"),"",IF(COUNTIFS('Lớp 6 - Chi tiết'!$J$14:$J$267,I42,'Lớp 6 - Chi tiết'!$AE$14:$AE$267,"&lt;&gt;",'Lớp 6 - Chi tiết'!$AE$14:$AE$267,"&lt;&gt;Hủy",'Lớp 6 - Chi tiết'!$AE$14:$AE$267,"&lt;&gt;Chưa lên lịch",'Lớp 6 - Chi tiết'!$AE$14:$AE$267,"&lt;&gt;Đã lên lịch")&gt;0,SUMIFS('Lớp 6 - Chi tiết'!$AJ$14:$AJ$267,'Lớp 6 - Chi tiết'!$J$14:$J$267,I42,'Lớp 6 - Chi tiết'!$AE$14:$AE$267,"&lt;&gt;",'Lớp 6 - Chi tiết'!$AE$14:$AE$267,"&lt;&gt;Hủy",'Lớp 6 - Chi tiết'!$AE$14:$AE$267,"&lt;&gt;Chưa lên lịch",'Lớp 6 - Chi tiết'!$AE$14:$AE$267,"&lt;&gt;Đã lên lịch")/COUNTIFS('Lớp 6 - Chi tiết'!$J$14:$J$267,I42,'Lớp 6 - Chi tiết'!$AE$14:$AE$267,"&lt;&gt;",'Lớp 6 - Chi tiết'!$AE$14:$AE$267,"&lt;&gt;Hủy",'Lớp 6 - Chi tiết'!$AE$14:$AE$267,"&lt;&gt;Chưa lên lịch",'Lớp 6 - Chi tiết'!$AE$14:$AE$267,"&lt;&gt;Đã lên lịch"),IF(AB42="Hoàn thành",1,0)))))</f>
        <v/>
      </c>
      <c r="AH42" s="587">
        <f>IF(AM42&lt;&gt;"Có thời hạn","",IF(OR(I42="",AD42="",AE42=""),"",IF(OR(AB42="Hoàn thành",AB42="Hủy"),0,IF(AE42&lt;TODAY(),-_xlfn.NETWORKDAYS.INTL(AE42,TODAY()-1,11,'Ngày nghỉ lễ'!$A$5:$A$80),MAX(0,_xlfn.NETWORKDAYS.INTL(MAX(TODAY()+1,AD42),AE42,11,'Ngày nghỉ lễ'!$A$5:$A$80))))))</f>
        <v>1</v>
      </c>
      <c r="AI42" s="589">
        <f>IF($I42="","",LET(n,COUNTIFS('Lớp 6 - Chi tiết'!$J$14:$J$267,$I42,'Lớp 6 - Chi tiết'!$AE$14:$AE$267,"&lt;&gt;Hủy"),du,COUNTIFS('Lớp 6 - Chi tiết'!$J$14:$J$267,$I42,'Lớp 6 - Chi tiết'!$AE$14:$AE$267,"&lt;&gt;Hủy",'Lớp 6 - Chi tiết'!$AL$14:$AL$267,"&lt;&gt;"),IF(n=0,'Trung tâm nhập liệu'!T187,IF(du&lt;n,"",SUMIFS('Lớp 6 - Chi tiết'!$AL$14:$AL$267,'Lớp 6 - Chi tiết'!$J$14:$J$267,$I42,'Lớp 6 - Chi tiết'!$AE$14:$AE$267,"&lt;&gt;Hủy")))))</f>
        <v>16</v>
      </c>
      <c r="AJ42" s="468">
        <f>IF(I42="","",IF(OR(AB42="Hoàn thành",AB42="Hủy"),"",IF(COUNTIFS('Lớp 6 - Chi tiết'!$J$14:$J$267,I42,'Lớp 6 - Chi tiết'!$AE$14:$AE$267,"&lt;&gt;Hủy")&gt;0,"",IF(AS42="Ngày",AT42,IF(AS42="Tuần",AT42/5,"")))))</f>
        <v>0.8</v>
      </c>
      <c r="AK42" s="477" t="str">
        <f>IF(AM42="Chưa xếp lịch","Chưa xếp lịch",IF(AM42="Định kỳ",IF(AN42="","Thiếu chu kỳ","Theo chu kỳ"),IF(AM42="Khi phát sinh",IF(COUNTIFS('Lớp 6 - Chi tiết'!$J$14:$J$267,$I42,'Lớp 6 - Chi tiết'!$AE$14:$AE$267,"&lt;&gt;Hủy")=0,"Khi phát sinh – chờ việc con","Khi phát sinh – theo ngày con"),IF(I42="","",LET(n,COUNTIFS('Lớp 6 - Chi tiết'!$J$14:$J$267,$I42,'Lớp 6 - Chi tiết'!$AE$14:$AE$267,"&lt;&gt;Hủy"),cs,IFERROR(MINIFS('Lớp 6 - Chi tiết'!$AG$14:$AG$267,'Lớp 6 - Chi tiết'!$J$14:$J$267,$I42,'Lớp 6 - Chi tiết'!$AE$14:$AE$267,"&lt;&gt;Hủy",'Lớp 6 - Chi tiết'!$AG$14:$AG$267,"&gt;0"),0),ce,IFERROR(MAXIFS('Lớp 6 - Chi tiết'!$AH$14:$AH$267,'Lớp 6 - Chi tiết'!$J$14:$J$267,$I42,'Lớp 6 - Chi tiết'!$AE$14:$AE$267,"&lt;&gt;Hủy",'Lớp 6 - Chi tiết'!$AH$14:$AH$267,"&gt;0"),0),ps,'Trung tâm nhập liệu'!R187,pe,'Trung tâm nhập liệu'!Q187,IF(OR(AD42="",AE42=""),"Thiếu ngày L5",IF(n=0,"Chưa có L6",IF(OR(cs=0,ce=0),"Thiếu ngày L6",IF(OR(ps="",pe=""),"Thiếu ngày kế hoạch gốc L5",IF(OR(cs&lt;ps,ce&gt;pe),"Cảnh báo: Con vượt khung kế hoạch gốc","L6 đúng khung kế hoạch gốc"))))))))))</f>
        <v>Chưa có L6</v>
      </c>
      <c r="AL42" s="465" t="str">
        <f>IF(OR(AV42="Thiếu tham số phân bổ",AV42="Phân bổ phải &gt; 0"),AV42,SWITCH(AM42,"Chưa xếp lịch","Chưa tính tải","Định kỳ","Theo chu kỳ","Khi phát sinh","Khi phát sinh",IF(I42="","",IF(OR(AB42="Hoàn thành",AB42="Hủy"),AB42,IF(COUNTIFS('Lớp 6 - Chi tiết'!$J$14:$J$267,I42,'Lớp 6 - Chi tiết'!$AE$14:$AE$267,"&lt;&gt;Hủy")&gt;0,"Theo dõi tải tại Lớp 6",IF(AI42="","Chưa nhập khối lượng",IF(AA42="","Thiếu người thực hiện",IF(OR(AD42="",AE42=""),"Chưa nhập đủ thời gian",IF(AH42&lt;0,"Quá hạn – còn "&amp;TEXT(MAX(0,AI42*(1-AG42)),"0.0")&amp;" giờ",LET(bd,MAX(TODAY(),AD42),kt,AE42,nguoi,AA42,tai,SUMIFS('Lớp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Cận tải – tổng 8.0/8.0 giờ/ngày</v>
      </c>
      <c r="AM42" s="467" t="str">
        <f>'Trung tâm nhập liệu'!O187</f>
        <v>Có thời hạn</v>
      </c>
      <c r="AN42" s="469" t="str">
        <f>'Trung tâm nhập liệu'!P187</f>
        <v/>
      </c>
      <c r="AO42" s="470" t="str">
        <f>'Trung tâm nhập liệu'!S187</f>
        <v/>
      </c>
      <c r="AP42" s="470" t="str">
        <f>'Trung tâm nhập liệu'!X187</f>
        <v/>
      </c>
      <c r="AQ42" s="471" t="str">
        <f t="shared" si="18"/>
        <v/>
      </c>
      <c r="AR42" s="469" t="str">
        <f t="shared" si="19"/>
        <v/>
      </c>
      <c r="AS42" s="475" t="str">
        <f>'Trung tâm nhập liệu'!V187</f>
        <v>Tuần</v>
      </c>
      <c r="AT42" s="476">
        <f>'Trung tâm nhập liệu'!W187</f>
        <v>4</v>
      </c>
      <c r="AU42" s="478">
        <f>IF(AM42&lt;&gt;"Có thời hạn","",IF(OR(I42="",AI42="",AB42="Hoàn thành",AB42="Hủy",COUNTIFS('Lớp 6 - Chi tiết'!$J$14:$J$267,I42,'Lớp 6 - Chi tiết'!$AE$14:$AE$267,"&lt;&gt;Hủy")&gt;0),"",LET(canNgay,MAX(0,AI42*(1-AG42))/MAX(1,AH42),IF(AS42="Ngày",canNgay,IF(AS42="Tuần",canNgay*5,"")))))</f>
        <v>80</v>
      </c>
      <c r="AV42" s="465" t="str">
        <f>IF(I42="","",IF(COUNTIFS('Lớp 6 - Chi tiết'!$J$14:$J$267,I42,'Lớp 6 - Chi tiết'!$AE$14:$AE$267,"&lt;&gt;Hủy")&gt;0,"Theo dõi phân bổ tại Lớp 6",IF(OR(AB42="Hoàn thành",AB42="Hủy"),AB42,IF(AI42="","Thiếu tổng giờ",IF(OR(AS42="",AT42=""),"Thiếu tham số phân bổ",IF(AT42&lt;=0,"Phân bổ phải &gt; 0",IF(AM42&lt;&gt;"Có thời hạn","Đã có phân bổ",IF(AU42="","Chưa đủ dữ liệu hạn",IF(AT42&gt;=AU42,"Đủ phân bổ theo "&amp;LOWER(AS42),"Thiếu "&amp;TEXT(AU42-AT42,"0.0")&amp;" giờ/"&amp;LOWER(AS42))))))))))</f>
        <v>Thiếu 76.0 giờ/tuần</v>
      </c>
      <c r="AW42" s="465" t="str">
        <f t="shared" si="20"/>
        <v>OK</v>
      </c>
      <c r="AX42" s="479" t="str">
        <f>'Trung tâm nhập liệu'!Y187</f>
        <v/>
      </c>
    </row>
    <row r="43" ht="15.75" customHeight="1">
      <c r="A43" s="424">
        <f t="shared" si="11"/>
        <v>30</v>
      </c>
      <c r="B43" s="572" t="str">
        <f>'Trung tâm nhập liệu'!F188</f>
        <v>Chạy tham số Bottom-up theo khu vực vùng miền Showroom</v>
      </c>
      <c r="C43" s="591" t="str">
        <f>'Trung tâm nhập liệu'!M188</f>
        <v>P2</v>
      </c>
      <c r="D43" s="592" t="str">
        <f t="shared" ref="D43:E43" si="102">AG43</f>
        <v/>
      </c>
      <c r="E43" s="593">
        <f t="shared" si="102"/>
        <v>11</v>
      </c>
      <c r="F43" s="575">
        <f t="shared" ref="F43:G43" si="103">U43</f>
        <v>46320</v>
      </c>
      <c r="G43" s="575">
        <f t="shared" si="103"/>
        <v>46308</v>
      </c>
      <c r="H43" s="576" t="str">
        <f>IF(B43="","",IF(COUNTIF('Lớp 6 - Chi tiết'!$J$14:$J$267,I43)&gt;0,"Có","Không"))</f>
        <v>Không</v>
      </c>
      <c r="I43" s="577" t="str">
        <f>'Trung tâm nhập liệu'!B188</f>
        <v>HHL5DL06-05</v>
      </c>
      <c r="J43" s="577" t="str">
        <f>'Trung tâm nhập liệu'!D188</f>
        <v>HHL4DL06</v>
      </c>
      <c r="K43" s="597" t="str">
        <f t="array" ref="K43">IFERROR(INDEX('Lớp 4 - Danh mục'!$J$14:$J$132,MATCH(J43,'Lớp 4 - Danh mục'!$I$14:$I$132,0)),"")</f>
        <v>HHL3CT03</v>
      </c>
      <c r="L43" s="598">
        <f t="array" ref="L43">IFERROR(INDEX('Lớp 4 - Danh mục'!$K$14:$K$132,MATCH(J43,'Lớp 4 - Danh mục'!$I$14:$I$132,0)),"")</f>
        <v>2026</v>
      </c>
      <c r="M43" s="438" t="str">
        <f t="array" ref="M43">IFERROR(INDEX('Lớp 4 - Danh mục'!$L$14:$L$132,MATCH(J43,'Lớp 4 - Danh mục'!$I$14:$I$132,0)),"")</f>
        <v>Cấp công ty</v>
      </c>
      <c r="N43" s="597" t="str">
        <f t="array" ref="N43">IFERROR(INDEX('Lớp 4 - Danh mục'!$M$14:$M$132,MATCH(J43,'Lớp 4 - Danh mục'!$I$14:$I$132,0)),"")</f>
        <v>Chiến lược/sống còn</v>
      </c>
      <c r="O43" s="597" t="str">
        <f t="array" ref="O43">IFERROR(INDEX('Lớp 4 - Danh mục'!$N$14:$N$132,MATCH(J43,'Lớp 4 - Danh mục'!$I$14:$I$132,0)),"")</f>
        <v>KHKD 2027&amp; HT lập KH theo tham số KD (bán tự động)</v>
      </c>
      <c r="P43" s="597" t="str">
        <f t="array" ref="P43">IFERROR(INDEX('Lớp 4 - Danh mục'!$O$14:$O$132,MATCH(J43,'Lớp 4 - Danh mục'!$I$14:$I$132,0)),"")</f>
        <v>Xây dựng công thức &amp; tạo HT tham số cho KH Showroom</v>
      </c>
      <c r="Q43" s="581" t="str">
        <f t="shared" ref="Q43:T43" si="104">B43</f>
        <v>Chạy tham số Bottom-up theo khu vực vùng miền Showroom</v>
      </c>
      <c r="R43" s="420" t="str">
        <f t="shared" si="104"/>
        <v>P2</v>
      </c>
      <c r="S43" s="582" t="str">
        <f t="shared" si="104"/>
        <v/>
      </c>
      <c r="T43" s="583">
        <f t="shared" si="104"/>
        <v>11</v>
      </c>
      <c r="U43" s="584">
        <f>IF($I43="","",LET(n,COUNTIFS('Lớp 6 - Chi tiết'!$J$14:$J$267,$I43,'Lớp 6 - Chi tiết'!$AE$14:$AE$267,"&lt;&gt;Hủy"),child,IFERROR(MAXIFS('Lớp 6 - Chi tiết'!$AH$14:$AH$267,'Lớp 6 - Chi tiết'!$J$14:$J$267,$I43,'Lớp 6 - Chi tiết'!$AE$14:$AE$267,"&lt;&gt;Hủy",'Lớp 6 - Chi tiết'!$AH$14:$AH$267,"&gt;0"),0),plan,'Trung tâm nhập liệu'!Q188,emergent,LOWER(TRIM('Trung tâm nhập liệu'!O188))="khi phát sinh",IF(n=0,IF(emergent,"",plan),IF(child=0,IF(emergent,"",plan),IF(OR(emergent,plan=""),child,MAX(plan,child))))))</f>
        <v>46320</v>
      </c>
      <c r="V43" s="584">
        <f>IF($I43="","",LET(n,COUNTIFS('Lớp 6 - Chi tiết'!$J$14:$J$267,$I43,'Lớp 6 - Chi tiết'!$AE$14:$AE$267,"&lt;&gt;Hủy"),child,IFERROR(MINIFS('Lớp 6 - Chi tiết'!$AG$14:$AG$267,'Lớp 6 - Chi tiết'!$J$14:$J$267,$I43,'Lớp 6 - Chi tiết'!$AE$14:$AE$267,"&lt;&gt;Hủy",'Lớp 6 - Chi tiết'!$AG$14:$AG$267,"&gt;0"),0),plan,'Trung tâm nhập liệu'!R188,emergent,LOWER(TRIM('Trung tâm nhập liệu'!O188))="khi phát sinh",IF(n=0,IF(emergent,"",plan),IF(child=0,IF(emergent,"",plan),IF(OR(emergent,plan=""),child,MIN(plan,child))))))</f>
        <v>46308</v>
      </c>
      <c r="W43" s="577" t="str">
        <f t="shared" si="15"/>
        <v>Không</v>
      </c>
      <c r="X43" s="577" t="str">
        <f>'Trung tâm nhập liệu'!G188</f>
        <v>Bộ kết quả Bottom-up kế hoạch Showroom theo cửa hàng và khu vực được xác nhận.</v>
      </c>
      <c r="Y43" s="585" t="str">
        <f>'Trung tâm nhập liệu'!H188</f>
        <v/>
      </c>
      <c r="Z43" s="586" t="str">
        <f t="array" ref="Z43">IFERROR(INDEX('Lớp 4 - Danh mục'!$X$14:$X$132,MATCH(J43,'Lớp 4 - Danh mục'!$I$14:$I$132,0)),"")</f>
        <v>Dữ liệu điều hành</v>
      </c>
      <c r="AA43" s="577" t="str">
        <f>'Trung tâm nhập liệu'!K188</f>
        <v>Em Đại</v>
      </c>
      <c r="AB43" s="572" t="str">
        <f>'Trung tâm nhập liệu'!L188</f>
        <v>Đã lên lịch</v>
      </c>
      <c r="AC43" s="420" t="str">
        <f>'Trung tâm nhập liệu'!M188</f>
        <v>P2</v>
      </c>
      <c r="AD43" s="584">
        <f t="shared" si="16"/>
        <v>46308</v>
      </c>
      <c r="AE43" s="584">
        <f t="shared" si="17"/>
        <v>46320</v>
      </c>
      <c r="AF43" s="587">
        <f>IF(AM43&lt;&gt;"Có thời hạn","",IF(OR(AD43="",AE43=""),"",IF(AE43&lt;AD43,"",_xlfn.NETWORKDAYS.INTL(AD43,AE43,11,'Ngày nghỉ lễ'!$A$5:$A$80))))</f>
        <v>11</v>
      </c>
      <c r="AG43" s="588" t="str">
        <f>IF(I43="","",IF(L43="Công việc khác","",IF(OR(AB43="Chưa lên lịch",AB43="Đã lên lịch",AB43="Hủy"),"",IF(COUNTIFS('Lớp 6 - Chi tiết'!$J$14:$J$267,I43,'Lớp 6 - Chi tiết'!$AE$14:$AE$267,"&lt;&gt;",'Lớp 6 - Chi tiết'!$AE$14:$AE$267,"&lt;&gt;Hủy",'Lớp 6 - Chi tiết'!$AE$14:$AE$267,"&lt;&gt;Chưa lên lịch",'Lớp 6 - Chi tiết'!$AE$14:$AE$267,"&lt;&gt;Đã lên lịch")&gt;0,SUMIFS('Lớp 6 - Chi tiết'!$AJ$14:$AJ$267,'Lớp 6 - Chi tiết'!$J$14:$J$267,I43,'Lớp 6 - Chi tiết'!$AE$14:$AE$267,"&lt;&gt;",'Lớp 6 - Chi tiết'!$AE$14:$AE$267,"&lt;&gt;Hủy",'Lớp 6 - Chi tiết'!$AE$14:$AE$267,"&lt;&gt;Chưa lên lịch",'Lớp 6 - Chi tiết'!$AE$14:$AE$267,"&lt;&gt;Đã lên lịch")/COUNTIFS('Lớp 6 - Chi tiết'!$J$14:$J$267,I43,'Lớp 6 - Chi tiết'!$AE$14:$AE$267,"&lt;&gt;",'Lớp 6 - Chi tiết'!$AE$14:$AE$267,"&lt;&gt;Hủy",'Lớp 6 - Chi tiết'!$AE$14:$AE$267,"&lt;&gt;Chưa lên lịch",'Lớp 6 - Chi tiết'!$AE$14:$AE$267,"&lt;&gt;Đã lên lịch"),IF(AB43="Hoàn thành",1,0)))))</f>
        <v/>
      </c>
      <c r="AH43" s="587">
        <f>IF(AM43&lt;&gt;"Có thời hạn","",IF(OR(I43="",AD43="",AE43=""),"",IF(OR(AB43="Hoàn thành",AB43="Hủy"),0,IF(AE43&lt;TODAY(),-_xlfn.NETWORKDAYS.INTL(AE43,TODAY()-1,11,'Ngày nghỉ lễ'!$A$5:$A$80),MAX(0,_xlfn.NETWORKDAYS.INTL(MAX(TODAY()+1,AD43),AE43,11,'Ngày nghỉ lễ'!$A$5:$A$80))))))</f>
        <v>11</v>
      </c>
      <c r="AI43" s="589">
        <f>IF($I43="","",LET(n,COUNTIFS('Lớp 6 - Chi tiết'!$J$14:$J$267,$I43,'Lớp 6 - Chi tiết'!$AE$14:$AE$267,"&lt;&gt;Hủy"),du,COUNTIFS('Lớp 6 - Chi tiết'!$J$14:$J$267,$I43,'Lớp 6 - Chi tiết'!$AE$14:$AE$267,"&lt;&gt;Hủy",'Lớp 6 - Chi tiết'!$AL$14:$AL$267,"&lt;&gt;"),IF(n=0,'Trung tâm nhập liệu'!T188,IF(du&lt;n,"",SUMIFS('Lớp 6 - Chi tiết'!$AL$14:$AL$267,'Lớp 6 - Chi tiết'!$J$14:$J$267,$I43,'Lớp 6 - Chi tiết'!$AE$14:$AE$267,"&lt;&gt;Hủy")))))</f>
        <v>16</v>
      </c>
      <c r="AJ43" s="468">
        <f>IF(I43="","",IF(OR(AB43="Hoàn thành",AB43="Hủy"),"",IF(COUNTIFS('Lớp 6 - Chi tiết'!$J$14:$J$267,I43,'Lớp 6 - Chi tiết'!$AE$14:$AE$267,"&lt;&gt;Hủy")&gt;0,"",IF(AS43="Ngày",AT43,IF(AS43="Tuần",AT43/5,"")))))</f>
        <v>0.8</v>
      </c>
      <c r="AK43" s="477" t="str">
        <f>IF(AM43="Chưa xếp lịch","Chưa xếp lịch",IF(AM43="Định kỳ",IF(AN43="","Thiếu chu kỳ","Theo chu kỳ"),IF(AM43="Khi phát sinh",IF(COUNTIFS('Lớp 6 - Chi tiết'!$J$14:$J$267,$I43,'Lớp 6 - Chi tiết'!$AE$14:$AE$267,"&lt;&gt;Hủy")=0,"Khi phát sinh – chờ việc con","Khi phát sinh – theo ngày con"),IF(I43="","",LET(n,COUNTIFS('Lớp 6 - Chi tiết'!$J$14:$J$267,$I43,'Lớp 6 - Chi tiết'!$AE$14:$AE$267,"&lt;&gt;Hủy"),cs,IFERROR(MINIFS('Lớp 6 - Chi tiết'!$AG$14:$AG$267,'Lớp 6 - Chi tiết'!$J$14:$J$267,$I43,'Lớp 6 - Chi tiết'!$AE$14:$AE$267,"&lt;&gt;Hủy",'Lớp 6 - Chi tiết'!$AG$14:$AG$267,"&gt;0"),0),ce,IFERROR(MAXIFS('Lớp 6 - Chi tiết'!$AH$14:$AH$267,'Lớp 6 - Chi tiết'!$J$14:$J$267,$I43,'Lớp 6 - Chi tiết'!$AE$14:$AE$267,"&lt;&gt;Hủy",'Lớp 6 - Chi tiết'!$AH$14:$AH$267,"&gt;0"),0),ps,'Trung tâm nhập liệu'!R188,pe,'Trung tâm nhập liệu'!Q188,IF(OR(AD43="",AE43=""),"Thiếu ngày L5",IF(n=0,"Chưa có L6",IF(OR(cs=0,ce=0),"Thiếu ngày L6",IF(OR(ps="",pe=""),"Thiếu ngày kế hoạch gốc L5",IF(OR(cs&lt;ps,ce&gt;pe),"Cảnh báo: Con vượt khung kế hoạch gốc","L6 đúng khung kế hoạch gốc"))))))))))</f>
        <v>Chưa có L6</v>
      </c>
      <c r="AL43" s="465" t="str">
        <f>IF(OR(AV43="Thiếu tham số phân bổ",AV43="Phân bổ phải &gt; 0"),AV43,SWITCH(AM43,"Chưa xếp lịch","Chưa tính tải","Định kỳ","Theo chu kỳ","Khi phát sinh","Khi phát sinh",IF(I43="","",IF(OR(AB43="Hoàn thành",AB43="Hủy"),AB43,IF(COUNTIFS('Lớp 6 - Chi tiết'!$J$14:$J$267,I43,'Lớp 6 - Chi tiết'!$AE$14:$AE$267,"&lt;&gt;Hủy")&gt;0,"Theo dõi tải tại Lớp 6",IF(AI43="","Chưa nhập khối lượng",IF(AA43="","Thiếu người thực hiện",IF(OR(AD43="",AE43=""),"Chưa nhập đủ thời gian",IF(AH43&lt;0,"Quá hạn – còn "&amp;TEXT(MAX(0,AI43*(1-AG43)),"0.0")&amp;" giờ",LET(bd,MAX(TODAY(),AD43),kt,AE43,nguoi,AA43,tai,SUMIFS('Lớp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10.4/8.0 giờ/ngày</v>
      </c>
      <c r="AM43" s="467" t="str">
        <f>'Trung tâm nhập liệu'!O188</f>
        <v>Có thời hạn</v>
      </c>
      <c r="AN43" s="469" t="str">
        <f>'Trung tâm nhập liệu'!P188</f>
        <v/>
      </c>
      <c r="AO43" s="470" t="str">
        <f>'Trung tâm nhập liệu'!S188</f>
        <v/>
      </c>
      <c r="AP43" s="470" t="str">
        <f>'Trung tâm nhập liệu'!X188</f>
        <v/>
      </c>
      <c r="AQ43" s="471" t="str">
        <f t="shared" si="18"/>
        <v/>
      </c>
      <c r="AR43" s="469" t="str">
        <f t="shared" si="19"/>
        <v/>
      </c>
      <c r="AS43" s="475" t="str">
        <f>'Trung tâm nhập liệu'!V188</f>
        <v>Tuần</v>
      </c>
      <c r="AT43" s="476">
        <f>'Trung tâm nhập liệu'!W188</f>
        <v>4</v>
      </c>
      <c r="AU43" s="478">
        <f>IF(AM43&lt;&gt;"Có thời hạn","",IF(OR(I43="",AI43="",AB43="Hoàn thành",AB43="Hủy",COUNTIFS('Lớp 6 - Chi tiết'!$J$14:$J$267,I43,'Lớp 6 - Chi tiết'!$AE$14:$AE$267,"&lt;&gt;Hủy")&gt;0),"",LET(canNgay,MAX(0,AI43*(1-AG43))/MAX(1,AH43),IF(AS43="Ngày",canNgay,IF(AS43="Tuần",canNgay*5,"")))))</f>
        <v>7.272727273</v>
      </c>
      <c r="AV43" s="465" t="str">
        <f>IF(I43="","",IF(COUNTIFS('Lớp 6 - Chi tiết'!$J$14:$J$267,I43,'Lớp 6 - Chi tiết'!$AE$14:$AE$267,"&lt;&gt;Hủy")&gt;0,"Theo dõi phân bổ tại Lớp 6",IF(OR(AB43="Hoàn thành",AB43="Hủy"),AB43,IF(AI43="","Thiếu tổng giờ",IF(OR(AS43="",AT43=""),"Thiếu tham số phân bổ",IF(AT43&lt;=0,"Phân bổ phải &gt; 0",IF(AM43&lt;&gt;"Có thời hạn","Đã có phân bổ",IF(AU43="","Chưa đủ dữ liệu hạn",IF(AT43&gt;=AU43,"Đủ phân bổ theo "&amp;LOWER(AS43),"Thiếu "&amp;TEXT(AU43-AT43,"0.0")&amp;" giờ/"&amp;LOWER(AS43))))))))))</f>
        <v>Thiếu 3.3 giờ/tuần</v>
      </c>
      <c r="AW43" s="465" t="str">
        <f t="shared" si="20"/>
        <v>OK</v>
      </c>
      <c r="AX43" s="479" t="str">
        <f>'Trung tâm nhập liệu'!Y188</f>
        <v/>
      </c>
    </row>
    <row r="44" ht="15.75" customHeight="1">
      <c r="A44" s="424">
        <f t="shared" si="11"/>
        <v>31</v>
      </c>
      <c r="B44" s="572" t="str">
        <f>'Trung tâm nhập liệu'!F189</f>
        <v>Chốt đề bài DL phần mềm</v>
      </c>
      <c r="C44" s="591" t="str">
        <f>'Trung tâm nhập liệu'!M189</f>
        <v>P2</v>
      </c>
      <c r="D44" s="592">
        <f t="shared" ref="D44:E44" si="105">AG44</f>
        <v>0</v>
      </c>
      <c r="E44" s="593">
        <f t="shared" si="105"/>
        <v>10</v>
      </c>
      <c r="F44" s="575">
        <f t="shared" ref="F44:G44" si="106">U44</f>
        <v>46310</v>
      </c>
      <c r="G44" s="575">
        <f t="shared" si="106"/>
        <v>46300</v>
      </c>
      <c r="H44" s="576" t="str">
        <f>IF(B44="","",IF(COUNTIF('Lớp 6 - Chi tiết'!$J$14:$J$267,I44)&gt;0,"Có","Không"))</f>
        <v>Không</v>
      </c>
      <c r="I44" s="577" t="str">
        <f>'Trung tâm nhập liệu'!B189</f>
        <v>HHL5DL07-01</v>
      </c>
      <c r="J44" s="577" t="str">
        <f>'Trung tâm nhập liệu'!D189</f>
        <v>HHL4DL07</v>
      </c>
      <c r="K44" s="597" t="str">
        <f t="array" ref="K44">IFERROR(INDEX('Lớp 4 - Danh mục'!$J$14:$J$132,MATCH(J44,'Lớp 4 - Danh mục'!$I$14:$I$132,0)),"")</f>
        <v>HHL3CT03</v>
      </c>
      <c r="L44" s="598">
        <f t="array" ref="L44">IFERROR(INDEX('Lớp 4 - Danh mục'!$K$14:$K$132,MATCH(J44,'Lớp 4 - Danh mục'!$I$14:$I$132,0)),"")</f>
        <v>2026</v>
      </c>
      <c r="M44" s="438" t="str">
        <f t="array" ref="M44">IFERROR(INDEX('Lớp 4 - Danh mục'!$L$14:$L$132,MATCH(J44,'Lớp 4 - Danh mục'!$I$14:$I$132,0)),"")</f>
        <v>Cấp công ty</v>
      </c>
      <c r="N44" s="597" t="str">
        <f t="array" ref="N44">IFERROR(INDEX('Lớp 4 - Danh mục'!$M$14:$M$132,MATCH(J44,'Lớp 4 - Danh mục'!$I$14:$I$132,0)),"")</f>
        <v>Chiến lược/sống còn</v>
      </c>
      <c r="O44" s="597" t="str">
        <f t="array" ref="O44">IFERROR(INDEX('Lớp 4 - Danh mục'!$N$14:$N$132,MATCH(J44,'Lớp 4 - Danh mục'!$I$14:$I$132,0)),"")</f>
        <v>KHKD 2027&amp; HT lập KH theo tham số KD (bán tự động)</v>
      </c>
      <c r="P44" s="597" t="str">
        <f t="array" ref="P44">IFERROR(INDEX('Lớp 4 - Danh mục'!$O$14:$O$132,MATCH(J44,'Lớp 4 - Danh mục'!$I$14:$I$132,0)),"")</f>
        <v>Xây dựng phần mềm &amp; Chạy Topdown thử nghiệm</v>
      </c>
      <c r="Q44" s="581" t="str">
        <f t="shared" ref="Q44:T44" si="107">B44</f>
        <v>Chốt đề bài DL phần mềm</v>
      </c>
      <c r="R44" s="420" t="str">
        <f t="shared" si="107"/>
        <v>P2</v>
      </c>
      <c r="S44" s="582">
        <f t="shared" si="107"/>
        <v>0</v>
      </c>
      <c r="T44" s="583">
        <f t="shared" si="107"/>
        <v>10</v>
      </c>
      <c r="U44" s="584">
        <f>IF($I44="","",LET(n,COUNTIFS('Lớp 6 - Chi tiết'!$J$14:$J$267,$I44,'Lớp 6 - Chi tiết'!$AE$14:$AE$267,"&lt;&gt;Hủy"),child,IFERROR(MAXIFS('Lớp 6 - Chi tiết'!$AH$14:$AH$267,'Lớp 6 - Chi tiết'!$J$14:$J$267,$I44,'Lớp 6 - Chi tiết'!$AE$14:$AE$267,"&lt;&gt;Hủy",'Lớp 6 - Chi tiết'!$AH$14:$AH$267,"&gt;0"),0),plan,'Trung tâm nhập liệu'!Q189,emergent,LOWER(TRIM('Trung tâm nhập liệu'!O189))="khi phát sinh",IF(n=0,IF(emergent,"",plan),IF(child=0,IF(emergent,"",plan),IF(OR(emergent,plan=""),child,MAX(plan,child))))))</f>
        <v>46310</v>
      </c>
      <c r="V44" s="584">
        <f>IF($I44="","",LET(n,COUNTIFS('Lớp 6 - Chi tiết'!$J$14:$J$267,$I44,'Lớp 6 - Chi tiết'!$AE$14:$AE$267,"&lt;&gt;Hủy"),child,IFERROR(MINIFS('Lớp 6 - Chi tiết'!$AG$14:$AG$267,'Lớp 6 - Chi tiết'!$J$14:$J$267,$I44,'Lớp 6 - Chi tiết'!$AE$14:$AE$267,"&lt;&gt;Hủy",'Lớp 6 - Chi tiết'!$AG$14:$AG$267,"&gt;0"),0),plan,'Trung tâm nhập liệu'!R189,emergent,LOWER(TRIM('Trung tâm nhập liệu'!O189))="khi phát sinh",IF(n=0,IF(emergent,"",plan),IF(child=0,IF(emergent,"",plan),IF(OR(emergent,plan=""),child,MIN(plan,child))))))</f>
        <v>46300</v>
      </c>
      <c r="W44" s="577" t="str">
        <f t="shared" si="15"/>
        <v>Không</v>
      </c>
      <c r="X44" s="577" t="str">
        <f>'Trung tâm nhập liệu'!G189</f>
        <v>Bộ công thức kế hoạch doanh thu khác được xây dựng, phản biện nội bộ và chốt.</v>
      </c>
      <c r="Y44" s="585" t="str">
        <f>'Trung tâm nhập liệu'!H189</f>
        <v/>
      </c>
      <c r="Z44" s="586" t="str">
        <f t="array" ref="Z44">IFERROR(INDEX('Lớp 4 - Danh mục'!$X$14:$X$132,MATCH(J44,'Lớp 4 - Danh mục'!$I$14:$I$132,0)),"")</f>
        <v>Dữ liệu điều hành</v>
      </c>
      <c r="AA44" s="577" t="str">
        <f>'Trung tâm nhập liệu'!K189</f>
        <v>Em Đại</v>
      </c>
      <c r="AB44" s="572" t="str">
        <f>'Trung tâm nhập liệu'!L189</f>
        <v>Chưa bắt đầu</v>
      </c>
      <c r="AC44" s="420" t="str">
        <f>'Trung tâm nhập liệu'!M189</f>
        <v>P2</v>
      </c>
      <c r="AD44" s="584">
        <f t="shared" si="16"/>
        <v>46300</v>
      </c>
      <c r="AE44" s="584">
        <f t="shared" si="17"/>
        <v>46310</v>
      </c>
      <c r="AF44" s="587">
        <f>IF(AM44&lt;&gt;"Có thời hạn","",IF(OR(AD44="",AE44=""),"",IF(AE44&lt;AD44,"",_xlfn.NETWORKDAYS.INTL(AD44,AE44,11,'Ngày nghỉ lễ'!$A$5:$A$80))))</f>
        <v>10</v>
      </c>
      <c r="AG44" s="588">
        <f>IF(I44="","",IF(L44="Công việc khác","",IF(OR(AB44="Chưa lên lịch",AB44="Đã lên lịch",AB44="Hủy"),"",IF(COUNTIFS('Lớp 6 - Chi tiết'!$J$14:$J$267,I44,'Lớp 6 - Chi tiết'!$AE$14:$AE$267,"&lt;&gt;",'Lớp 6 - Chi tiết'!$AE$14:$AE$267,"&lt;&gt;Hủy",'Lớp 6 - Chi tiết'!$AE$14:$AE$267,"&lt;&gt;Chưa lên lịch",'Lớp 6 - Chi tiết'!$AE$14:$AE$267,"&lt;&gt;Đã lên lịch")&gt;0,SUMIFS('Lớp 6 - Chi tiết'!$AJ$14:$AJ$267,'Lớp 6 - Chi tiết'!$J$14:$J$267,I44,'Lớp 6 - Chi tiết'!$AE$14:$AE$267,"&lt;&gt;",'Lớp 6 - Chi tiết'!$AE$14:$AE$267,"&lt;&gt;Hủy",'Lớp 6 - Chi tiết'!$AE$14:$AE$267,"&lt;&gt;Chưa lên lịch",'Lớp 6 - Chi tiết'!$AE$14:$AE$267,"&lt;&gt;Đã lên lịch")/COUNTIFS('Lớp 6 - Chi tiết'!$J$14:$J$267,I44,'Lớp 6 - Chi tiết'!$AE$14:$AE$267,"&lt;&gt;",'Lớp 6 - Chi tiết'!$AE$14:$AE$267,"&lt;&gt;Hủy",'Lớp 6 - Chi tiết'!$AE$14:$AE$267,"&lt;&gt;Chưa lên lịch",'Lớp 6 - Chi tiết'!$AE$14:$AE$267,"&lt;&gt;Đã lên lịch"),IF(AB44="Hoàn thành",1,0)))))</f>
        <v>0</v>
      </c>
      <c r="AH44" s="587">
        <f>IF(AM44&lt;&gt;"Có thời hạn","",IF(OR(I44="",AD44="",AE44=""),"",IF(OR(AB44="Hoàn thành",AB44="Hủy"),0,IF(AE44&lt;TODAY(),-_xlfn.NETWORKDAYS.INTL(AE44,TODAY()-1,11,'Ngày nghỉ lễ'!$A$5:$A$80),MAX(0,_xlfn.NETWORKDAYS.INTL(MAX(TODAY()+1,AD44),AE44,11,'Ngày nghỉ lễ'!$A$5:$A$80))))))</f>
        <v>10</v>
      </c>
      <c r="AI44" s="589">
        <f>IF($I44="","",LET(n,COUNTIFS('Lớp 6 - Chi tiết'!$J$14:$J$267,$I44,'Lớp 6 - Chi tiết'!$AE$14:$AE$267,"&lt;&gt;Hủy"),du,COUNTIFS('Lớp 6 - Chi tiết'!$J$14:$J$267,$I44,'Lớp 6 - Chi tiết'!$AE$14:$AE$267,"&lt;&gt;Hủy",'Lớp 6 - Chi tiết'!$AL$14:$AL$267,"&lt;&gt;"),IF(n=0,'Trung tâm nhập liệu'!T189,IF(du&lt;n,"",SUMIFS('Lớp 6 - Chi tiết'!$AL$14:$AL$267,'Lớp 6 - Chi tiết'!$J$14:$J$267,$I44,'Lớp 6 - Chi tiết'!$AE$14:$AE$267,"&lt;&gt;Hủy")))))</f>
        <v>16</v>
      </c>
      <c r="AJ44" s="468">
        <f>IF(I44="","",IF(OR(AB44="Hoàn thành",AB44="Hủy"),"",IF(COUNTIFS('Lớp 6 - Chi tiết'!$J$14:$J$267,I44,'Lớp 6 - Chi tiết'!$AE$14:$AE$267,"&lt;&gt;Hủy")&gt;0,"",IF(AS44="Ngày",AT44,IF(AS44="Tuần",AT44/5,"")))))</f>
        <v>0.8</v>
      </c>
      <c r="AK44" s="477" t="str">
        <f>IF(AM44="Chưa xếp lịch","Chưa xếp lịch",IF(AM44="Định kỳ",IF(AN44="","Thiếu chu kỳ","Theo chu kỳ"),IF(AM44="Khi phát sinh",IF(COUNTIFS('Lớp 6 - Chi tiết'!$J$14:$J$267,$I44,'Lớp 6 - Chi tiết'!$AE$14:$AE$267,"&lt;&gt;Hủy")=0,"Khi phát sinh – chờ việc con","Khi phát sinh – theo ngày con"),IF(I44="","",LET(n,COUNTIFS('Lớp 6 - Chi tiết'!$J$14:$J$267,$I44,'Lớp 6 - Chi tiết'!$AE$14:$AE$267,"&lt;&gt;Hủy"),cs,IFERROR(MINIFS('Lớp 6 - Chi tiết'!$AG$14:$AG$267,'Lớp 6 - Chi tiết'!$J$14:$J$267,$I44,'Lớp 6 - Chi tiết'!$AE$14:$AE$267,"&lt;&gt;Hủy",'Lớp 6 - Chi tiết'!$AG$14:$AG$267,"&gt;0"),0),ce,IFERROR(MAXIFS('Lớp 6 - Chi tiết'!$AH$14:$AH$267,'Lớp 6 - Chi tiết'!$J$14:$J$267,$I44,'Lớp 6 - Chi tiết'!$AE$14:$AE$267,"&lt;&gt;Hủy",'Lớp 6 - Chi tiết'!$AH$14:$AH$267,"&gt;0"),0),ps,'Trung tâm nhập liệu'!R189,pe,'Trung tâm nhập liệu'!Q189,IF(OR(AD44="",AE44=""),"Thiếu ngày L5",IF(n=0,"Chưa có L6",IF(OR(cs=0,ce=0),"Thiếu ngày L6",IF(OR(ps="",pe=""),"Thiếu ngày kế hoạch gốc L5",IF(OR(cs&lt;ps,ce&gt;pe),"Cảnh báo: Con vượt khung kế hoạch gốc","L6 đúng khung kế hoạch gốc"))))))))))</f>
        <v>Chưa có L6</v>
      </c>
      <c r="AL44" s="465" t="str">
        <f>IF(OR(AV44="Thiếu tham số phân bổ",AV44="Phân bổ phải &gt; 0"),AV44,SWITCH(AM44,"Chưa xếp lịch","Chưa tính tải","Định kỳ","Theo chu kỳ","Khi phát sinh","Khi phát sinh",IF(I44="","",IF(OR(AB44="Hoàn thành",AB44="Hủy"),AB44,IF(COUNTIFS('Lớp 6 - Chi tiết'!$J$14:$J$267,I44,'Lớp 6 - Chi tiết'!$AE$14:$AE$267,"&lt;&gt;Hủy")&gt;0,"Theo dõi tải tại Lớp 6",IF(AI44="","Chưa nhập khối lượng",IF(AA44="","Thiếu người thực hiện",IF(OR(AD44="",AE44=""),"Chưa nhập đủ thời gian",IF(AH44&lt;0,"Quá hạn – còn "&amp;TEXT(MAX(0,AI44*(1-AG44)),"0.0")&amp;" giờ",LET(bd,MAX(TODAY(),AD44),kt,AE44,nguoi,AA44,tai,SUMIFS('Lớp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Quá tải – tổng 24.0/8.0 giờ/ngày</v>
      </c>
      <c r="AM44" s="467" t="str">
        <f>'Trung tâm nhập liệu'!O189</f>
        <v>Có thời hạn</v>
      </c>
      <c r="AN44" s="469" t="str">
        <f>'Trung tâm nhập liệu'!P189</f>
        <v/>
      </c>
      <c r="AO44" s="470" t="str">
        <f>'Trung tâm nhập liệu'!S189</f>
        <v/>
      </c>
      <c r="AP44" s="470" t="str">
        <f>'Trung tâm nhập liệu'!X189</f>
        <v/>
      </c>
      <c r="AQ44" s="471" t="str">
        <f t="shared" si="18"/>
        <v/>
      </c>
      <c r="AR44" s="469" t="str">
        <f t="shared" si="19"/>
        <v/>
      </c>
      <c r="AS44" s="475" t="str">
        <f>'Trung tâm nhập liệu'!V189</f>
        <v>Tuần</v>
      </c>
      <c r="AT44" s="476">
        <f>'Trung tâm nhập liệu'!W189</f>
        <v>4</v>
      </c>
      <c r="AU44" s="478">
        <f>IF(AM44&lt;&gt;"Có thời hạn","",IF(OR(I44="",AI44="",AB44="Hoàn thành",AB44="Hủy",COUNTIFS('Lớp 6 - Chi tiết'!$J$14:$J$267,I44,'Lớp 6 - Chi tiết'!$AE$14:$AE$267,"&lt;&gt;Hủy")&gt;0),"",LET(canNgay,MAX(0,AI44*(1-AG44))/MAX(1,AH44),IF(AS44="Ngày",canNgay,IF(AS44="Tuần",canNgay*5,"")))))</f>
        <v>8</v>
      </c>
      <c r="AV44" s="465" t="str">
        <f>IF(I44="","",IF(COUNTIFS('Lớp 6 - Chi tiết'!$J$14:$J$267,I44,'Lớp 6 - Chi tiết'!$AE$14:$AE$267,"&lt;&gt;Hủy")&gt;0,"Theo dõi phân bổ tại Lớp 6",IF(OR(AB44="Hoàn thành",AB44="Hủy"),AB44,IF(AI44="","Thiếu tổng giờ",IF(OR(AS44="",AT44=""),"Thiếu tham số phân bổ",IF(AT44&lt;=0,"Phân bổ phải &gt; 0",IF(AM44&lt;&gt;"Có thời hạn","Đã có phân bổ",IF(AU44="","Chưa đủ dữ liệu hạn",IF(AT44&gt;=AU44,"Đủ phân bổ theo "&amp;LOWER(AS44),"Thiếu "&amp;TEXT(AU44-AT44,"0.0")&amp;" giờ/"&amp;LOWER(AS44))))))))))</f>
        <v>Thiếu 4.0 giờ/tuần</v>
      </c>
      <c r="AW44" s="465" t="str">
        <f t="shared" si="20"/>
        <v>Chưa đến ngày bắt đầu – nên Đã lên lịch</v>
      </c>
      <c r="AX44" s="479" t="str">
        <f>'Trung tâm nhập liệu'!Y189</f>
        <v/>
      </c>
    </row>
    <row r="45" ht="15.75" customHeight="1">
      <c r="A45" s="424">
        <f t="shared" si="11"/>
        <v>32</v>
      </c>
      <c r="B45" s="572" t="str">
        <f>'Trung tâm nhập liệu'!F190</f>
        <v>Chạy thử nghiệm topdown Total bằng phần mềm </v>
      </c>
      <c r="C45" s="591" t="str">
        <f>'Trung tâm nhập liệu'!M190</f>
        <v>P2</v>
      </c>
      <c r="D45" s="592">
        <f t="shared" ref="D45:E45" si="108">AG45</f>
        <v>0</v>
      </c>
      <c r="E45" s="593">
        <f t="shared" si="108"/>
        <v>8</v>
      </c>
      <c r="F45" s="575">
        <f t="shared" ref="F45:G45" si="109">U45</f>
        <v>46320</v>
      </c>
      <c r="G45" s="575">
        <f t="shared" si="109"/>
        <v>46311</v>
      </c>
      <c r="H45" s="576" t="str">
        <f>IF(B45="","",IF(COUNTIF('Lớp 6 - Chi tiết'!$J$14:$J$267,I45)&gt;0,"Có","Không"))</f>
        <v>Không</v>
      </c>
      <c r="I45" s="577" t="str">
        <f>'Trung tâm nhập liệu'!B190</f>
        <v>HHL5DL07-02</v>
      </c>
      <c r="J45" s="577" t="str">
        <f>'Trung tâm nhập liệu'!D190</f>
        <v>HHL4DL07</v>
      </c>
      <c r="K45" s="597" t="str">
        <f t="array" ref="K45">IFERROR(INDEX('Lớp 4 - Danh mục'!$J$14:$J$132,MATCH(J45,'Lớp 4 - Danh mục'!$I$14:$I$132,0)),"")</f>
        <v>HHL3CT03</v>
      </c>
      <c r="L45" s="598">
        <f t="array" ref="L45">IFERROR(INDEX('Lớp 4 - Danh mục'!$K$14:$K$132,MATCH(J45,'Lớp 4 - Danh mục'!$I$14:$I$132,0)),"")</f>
        <v>2026</v>
      </c>
      <c r="M45" s="438" t="str">
        <f t="array" ref="M45">IFERROR(INDEX('Lớp 4 - Danh mục'!$L$14:$L$132,MATCH(J45,'Lớp 4 - Danh mục'!$I$14:$I$132,0)),"")</f>
        <v>Cấp công ty</v>
      </c>
      <c r="N45" s="597" t="str">
        <f t="array" ref="N45">IFERROR(INDEX('Lớp 4 - Danh mục'!$M$14:$M$132,MATCH(J45,'Lớp 4 - Danh mục'!$I$14:$I$132,0)),"")</f>
        <v>Chiến lược/sống còn</v>
      </c>
      <c r="O45" s="597" t="str">
        <f t="array" ref="O45">IFERROR(INDEX('Lớp 4 - Danh mục'!$N$14:$N$132,MATCH(J45,'Lớp 4 - Danh mục'!$I$14:$I$132,0)),"")</f>
        <v>KHKD 2027&amp; HT lập KH theo tham số KD (bán tự động)</v>
      </c>
      <c r="P45" s="597" t="str">
        <f t="array" ref="P45">IFERROR(INDEX('Lớp 4 - Danh mục'!$O$14:$O$132,MATCH(J45,'Lớp 4 - Danh mục'!$I$14:$I$132,0)),"")</f>
        <v>Xây dựng phần mềm &amp; Chạy Topdown thử nghiệm</v>
      </c>
      <c r="Q45" s="581" t="str">
        <f t="shared" ref="Q45:T45" si="110">B45</f>
        <v>Chạy thử nghiệm topdown Total bằng phần mềm </v>
      </c>
      <c r="R45" s="420" t="str">
        <f t="shared" si="110"/>
        <v>P2</v>
      </c>
      <c r="S45" s="582">
        <f t="shared" si="110"/>
        <v>0</v>
      </c>
      <c r="T45" s="583">
        <f t="shared" si="110"/>
        <v>8</v>
      </c>
      <c r="U45" s="584">
        <f>IF($I45="","",LET(n,COUNTIFS('Lớp 6 - Chi tiết'!$J$14:$J$267,$I45,'Lớp 6 - Chi tiết'!$AE$14:$AE$267,"&lt;&gt;Hủy"),child,IFERROR(MAXIFS('Lớp 6 - Chi tiết'!$AH$14:$AH$267,'Lớp 6 - Chi tiết'!$J$14:$J$267,$I45,'Lớp 6 - Chi tiết'!$AE$14:$AE$267,"&lt;&gt;Hủy",'Lớp 6 - Chi tiết'!$AH$14:$AH$267,"&gt;0"),0),plan,'Trung tâm nhập liệu'!Q190,emergent,LOWER(TRIM('Trung tâm nhập liệu'!O190))="khi phát sinh",IF(n=0,IF(emergent,"",plan),IF(child=0,IF(emergent,"",plan),IF(OR(emergent,plan=""),child,MAX(plan,child))))))</f>
        <v>46320</v>
      </c>
      <c r="V45" s="584">
        <f>IF($I45="","",LET(n,COUNTIFS('Lớp 6 - Chi tiết'!$J$14:$J$267,$I45,'Lớp 6 - Chi tiết'!$AE$14:$AE$267,"&lt;&gt;Hủy"),child,IFERROR(MINIFS('Lớp 6 - Chi tiết'!$AG$14:$AG$267,'Lớp 6 - Chi tiết'!$J$14:$J$267,$I45,'Lớp 6 - Chi tiết'!$AE$14:$AE$267,"&lt;&gt;Hủy",'Lớp 6 - Chi tiết'!$AG$14:$AG$267,"&gt;0"),0),plan,'Trung tâm nhập liệu'!R190,emergent,LOWER(TRIM('Trung tâm nhập liệu'!O190))="khi phát sinh",IF(n=0,IF(emergent,"",plan),IF(child=0,IF(emergent,"",plan),IF(OR(emergent,plan=""),child,MIN(plan,child))))))</f>
        <v>46311</v>
      </c>
      <c r="W45" s="577" t="str">
        <f t="shared" si="15"/>
        <v>Không</v>
      </c>
      <c r="X45" s="577" t="str">
        <f>'Trung tâm nhập liệu'!G190</f>
        <v>Biên bản phản biện công thức doanh thu khác và danh mục điều chỉnh được thống nhất.</v>
      </c>
      <c r="Y45" s="585" t="str">
        <f>'Trung tâm nhập liệu'!H190</f>
        <v/>
      </c>
      <c r="Z45" s="586" t="str">
        <f t="array" ref="Z45">IFERROR(INDEX('Lớp 4 - Danh mục'!$X$14:$X$132,MATCH(J45,'Lớp 4 - Danh mục'!$I$14:$I$132,0)),"")</f>
        <v>Dữ liệu điều hành</v>
      </c>
      <c r="AA45" s="577" t="str">
        <f>'Trung tâm nhập liệu'!K190</f>
        <v>Em Đại</v>
      </c>
      <c r="AB45" s="572" t="str">
        <f>'Trung tâm nhập liệu'!L190</f>
        <v>Chưa bắt đầu</v>
      </c>
      <c r="AC45" s="420" t="str">
        <f>'Trung tâm nhập liệu'!M190</f>
        <v>P2</v>
      </c>
      <c r="AD45" s="584">
        <f t="shared" si="16"/>
        <v>46311</v>
      </c>
      <c r="AE45" s="584">
        <f t="shared" si="17"/>
        <v>46320</v>
      </c>
      <c r="AF45" s="587">
        <f>IF(AM45&lt;&gt;"Có thời hạn","",IF(OR(AD45="",AE45=""),"",IF(AE45&lt;AD45,"",_xlfn.NETWORKDAYS.INTL(AD45,AE45,11,'Ngày nghỉ lễ'!$A$5:$A$80))))</f>
        <v>8</v>
      </c>
      <c r="AG45" s="588">
        <f>IF(I45="","",IF(L45="Công việc khác","",IF(OR(AB45="Chưa lên lịch",AB45="Đã lên lịch",AB45="Hủy"),"",IF(COUNTIFS('Lớp 6 - Chi tiết'!$J$14:$J$267,I45,'Lớp 6 - Chi tiết'!$AE$14:$AE$267,"&lt;&gt;",'Lớp 6 - Chi tiết'!$AE$14:$AE$267,"&lt;&gt;Hủy",'Lớp 6 - Chi tiết'!$AE$14:$AE$267,"&lt;&gt;Chưa lên lịch",'Lớp 6 - Chi tiết'!$AE$14:$AE$267,"&lt;&gt;Đã lên lịch")&gt;0,SUMIFS('Lớp 6 - Chi tiết'!$AJ$14:$AJ$267,'Lớp 6 - Chi tiết'!$J$14:$J$267,I45,'Lớp 6 - Chi tiết'!$AE$14:$AE$267,"&lt;&gt;",'Lớp 6 - Chi tiết'!$AE$14:$AE$267,"&lt;&gt;Hủy",'Lớp 6 - Chi tiết'!$AE$14:$AE$267,"&lt;&gt;Chưa lên lịch",'Lớp 6 - Chi tiết'!$AE$14:$AE$267,"&lt;&gt;Đã lên lịch")/COUNTIFS('Lớp 6 - Chi tiết'!$J$14:$J$267,I45,'Lớp 6 - Chi tiết'!$AE$14:$AE$267,"&lt;&gt;",'Lớp 6 - Chi tiết'!$AE$14:$AE$267,"&lt;&gt;Hủy",'Lớp 6 - Chi tiết'!$AE$14:$AE$267,"&lt;&gt;Chưa lên lịch",'Lớp 6 - Chi tiết'!$AE$14:$AE$267,"&lt;&gt;Đã lên lịch"),IF(AB45="Hoàn thành",1,0)))))</f>
        <v>0</v>
      </c>
      <c r="AH45" s="587">
        <f>IF(AM45&lt;&gt;"Có thời hạn","",IF(OR(I45="",AD45="",AE45=""),"",IF(OR(AB45="Hoàn thành",AB45="Hủy"),0,IF(AE45&lt;TODAY(),-_xlfn.NETWORKDAYS.INTL(AE45,TODAY()-1,11,'Ngày nghỉ lễ'!$A$5:$A$80),MAX(0,_xlfn.NETWORKDAYS.INTL(MAX(TODAY()+1,AD45),AE45,11,'Ngày nghỉ lễ'!$A$5:$A$80))))))</f>
        <v>8</v>
      </c>
      <c r="AI45" s="589">
        <f>IF($I45="","",LET(n,COUNTIFS('Lớp 6 - Chi tiết'!$J$14:$J$267,$I45,'Lớp 6 - Chi tiết'!$AE$14:$AE$267,"&lt;&gt;Hủy"),du,COUNTIFS('Lớp 6 - Chi tiết'!$J$14:$J$267,$I45,'Lớp 6 - Chi tiết'!$AE$14:$AE$267,"&lt;&gt;Hủy",'Lớp 6 - Chi tiết'!$AL$14:$AL$267,"&lt;&gt;"),IF(n=0,'Trung tâm nhập liệu'!T190,IF(du&lt;n,"",SUMIFS('Lớp 6 - Chi tiết'!$AL$14:$AL$267,'Lớp 6 - Chi tiết'!$J$14:$J$267,$I45,'Lớp 6 - Chi tiết'!$AE$14:$AE$267,"&lt;&gt;Hủy")))))</f>
        <v>8</v>
      </c>
      <c r="AJ45" s="468">
        <f>IF(I45="","",IF(OR(AB45="Hoàn thành",AB45="Hủy"),"",IF(COUNTIFS('Lớp 6 - Chi tiết'!$J$14:$J$267,I45,'Lớp 6 - Chi tiết'!$AE$14:$AE$267,"&lt;&gt;Hủy")&gt;0,"",IF(AS45="Ngày",AT45,IF(AS45="Tuần",AT45/5,"")))))</f>
        <v>0.8</v>
      </c>
      <c r="AK45" s="477" t="str">
        <f>IF(AM45="Chưa xếp lịch","Chưa xếp lịch",IF(AM45="Định kỳ",IF(AN45="","Thiếu chu kỳ","Theo chu kỳ"),IF(AM45="Khi phát sinh",IF(COUNTIFS('Lớp 6 - Chi tiết'!$J$14:$J$267,$I45,'Lớp 6 - Chi tiết'!$AE$14:$AE$267,"&lt;&gt;Hủy")=0,"Khi phát sinh – chờ việc con","Khi phát sinh – theo ngày con"),IF(I45="","",LET(n,COUNTIFS('Lớp 6 - Chi tiết'!$J$14:$J$267,$I45,'Lớp 6 - Chi tiết'!$AE$14:$AE$267,"&lt;&gt;Hủy"),cs,IFERROR(MINIFS('Lớp 6 - Chi tiết'!$AG$14:$AG$267,'Lớp 6 - Chi tiết'!$J$14:$J$267,$I45,'Lớp 6 - Chi tiết'!$AE$14:$AE$267,"&lt;&gt;Hủy",'Lớp 6 - Chi tiết'!$AG$14:$AG$267,"&gt;0"),0),ce,IFERROR(MAXIFS('Lớp 6 - Chi tiết'!$AH$14:$AH$267,'Lớp 6 - Chi tiết'!$J$14:$J$267,$I45,'Lớp 6 - Chi tiết'!$AE$14:$AE$267,"&lt;&gt;Hủy",'Lớp 6 - Chi tiết'!$AH$14:$AH$267,"&gt;0"),0),ps,'Trung tâm nhập liệu'!R190,pe,'Trung tâm nhập liệu'!Q190,IF(OR(AD45="",AE45=""),"Thiếu ngày L5",IF(n=0,"Chưa có L6",IF(OR(cs=0,ce=0),"Thiếu ngày L6",IF(OR(ps="",pe=""),"Thiếu ngày kế hoạch gốc L5",IF(OR(cs&lt;ps,ce&gt;pe),"Cảnh báo: Con vượt khung kế hoạch gốc","L6 đúng khung kế hoạch gốc"))))))))))</f>
        <v>Chưa có L6</v>
      </c>
      <c r="AL45" s="465" t="str">
        <f>IF(OR(AV45="Thiếu tham số phân bổ",AV45="Phân bổ phải &gt; 0"),AV45,SWITCH(AM45,"Chưa xếp lịch","Chưa tính tải","Định kỳ","Theo chu kỳ","Khi phát sinh","Khi phát sinh",IF(I45="","",IF(OR(AB45="Hoàn thành",AB45="Hủy"),AB45,IF(COUNTIFS('Lớp 6 - Chi tiết'!$J$14:$J$267,I45,'Lớp 6 - Chi tiết'!$AE$14:$AE$267,"&lt;&gt;Hủy")&gt;0,"Theo dõi tải tại Lớp 6",IF(AI45="","Chưa nhập khối lượng",IF(AA45="","Thiếu người thực hiện",IF(OR(AD45="",AE45=""),"Chưa nhập đủ thời gian",IF(AH45&lt;0,"Quá hạn – còn "&amp;TEXT(MAX(0,AI45*(1-AG45)),"0.0")&amp;" giờ",LET(bd,MAX(TODAY(),AD45),kt,AE45,nguoi,AA45,tai,SUMIFS('Lớp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5.6/8.0 giờ/ngày</v>
      </c>
      <c r="AM45" s="467" t="str">
        <f>'Trung tâm nhập liệu'!O190</f>
        <v>Có thời hạn</v>
      </c>
      <c r="AN45" s="469" t="str">
        <f>'Trung tâm nhập liệu'!P190</f>
        <v/>
      </c>
      <c r="AO45" s="470" t="str">
        <f>'Trung tâm nhập liệu'!S190</f>
        <v/>
      </c>
      <c r="AP45" s="470" t="str">
        <f>'Trung tâm nhập liệu'!X190</f>
        <v/>
      </c>
      <c r="AQ45" s="471" t="str">
        <f t="shared" si="18"/>
        <v/>
      </c>
      <c r="AR45" s="469" t="str">
        <f t="shared" si="19"/>
        <v/>
      </c>
      <c r="AS45" s="475" t="str">
        <f>'Trung tâm nhập liệu'!V190</f>
        <v>Tuần</v>
      </c>
      <c r="AT45" s="476">
        <f>'Trung tâm nhập liệu'!W190</f>
        <v>4</v>
      </c>
      <c r="AU45" s="478">
        <f>IF(AM45&lt;&gt;"Có thời hạn","",IF(OR(I45="",AI45="",AB45="Hoàn thành",AB45="Hủy",COUNTIFS('Lớp 6 - Chi tiết'!$J$14:$J$267,I45,'Lớp 6 - Chi tiết'!$AE$14:$AE$267,"&lt;&gt;Hủy")&gt;0),"",LET(canNgay,MAX(0,AI45*(1-AG45))/MAX(1,AH45),IF(AS45="Ngày",canNgay,IF(AS45="Tuần",canNgay*5,"")))))</f>
        <v>5</v>
      </c>
      <c r="AV45" s="465" t="str">
        <f>IF(I45="","",IF(COUNTIFS('Lớp 6 - Chi tiết'!$J$14:$J$267,I45,'Lớp 6 - Chi tiết'!$AE$14:$AE$267,"&lt;&gt;Hủy")&gt;0,"Theo dõi phân bổ tại Lớp 6",IF(OR(AB45="Hoàn thành",AB45="Hủy"),AB45,IF(AI45="","Thiếu tổng giờ",IF(OR(AS45="",AT45=""),"Thiếu tham số phân bổ",IF(AT45&lt;=0,"Phân bổ phải &gt; 0",IF(AM45&lt;&gt;"Có thời hạn","Đã có phân bổ",IF(AU45="","Chưa đủ dữ liệu hạn",IF(AT45&gt;=AU45,"Đủ phân bổ theo "&amp;LOWER(AS45),"Thiếu "&amp;TEXT(AU45-AT45,"0.0")&amp;" giờ/"&amp;LOWER(AS45))))))))))</f>
        <v>Thiếu 1.0 giờ/tuần</v>
      </c>
      <c r="AW45" s="465" t="str">
        <f t="shared" si="20"/>
        <v>Chưa đến ngày bắt đầu – nên Đã lên lịch</v>
      </c>
      <c r="AX45" s="479" t="str">
        <f>'Trung tâm nhập liệu'!Y190</f>
        <v/>
      </c>
    </row>
    <row r="46" ht="15.75" customHeight="1">
      <c r="A46" s="424">
        <f t="shared" si="11"/>
        <v>33</v>
      </c>
      <c r="B46" s="572" t="str">
        <f>'Trung tâm nhập liệu'!F191</f>
        <v>Đào tạo phần mềm</v>
      </c>
      <c r="C46" s="591" t="str">
        <f>'Trung tâm nhập liệu'!M191</f>
        <v>P2</v>
      </c>
      <c r="D46" s="592">
        <f t="shared" ref="D46:E46" si="111">AG46</f>
        <v>0</v>
      </c>
      <c r="E46" s="593">
        <f t="shared" si="111"/>
        <v>0</v>
      </c>
      <c r="F46" s="575">
        <f t="shared" ref="F46:G46" si="112">U46</f>
        <v>46254</v>
      </c>
      <c r="G46" s="575">
        <f t="shared" si="112"/>
        <v>46311</v>
      </c>
      <c r="H46" s="576" t="str">
        <f>IF(B46="","",IF(COUNTIF('Lớp 6 - Chi tiết'!$J$14:$J$267,I46)&gt;0,"Có","Không"))</f>
        <v>Không</v>
      </c>
      <c r="I46" s="577" t="str">
        <f>'Trung tâm nhập liệu'!B191</f>
        <v>HHL5DL07-03</v>
      </c>
      <c r="J46" s="577" t="str">
        <f>'Trung tâm nhập liệu'!D191</f>
        <v>HHL4DL07</v>
      </c>
      <c r="K46" s="597" t="str">
        <f t="array" ref="K46">IFERROR(INDEX('Lớp 4 - Danh mục'!$J$14:$J$132,MATCH(J46,'Lớp 4 - Danh mục'!$I$14:$I$132,0)),"")</f>
        <v>HHL3CT03</v>
      </c>
      <c r="L46" s="598">
        <f t="array" ref="L46">IFERROR(INDEX('Lớp 4 - Danh mục'!$K$14:$K$132,MATCH(J46,'Lớp 4 - Danh mục'!$I$14:$I$132,0)),"")</f>
        <v>2026</v>
      </c>
      <c r="M46" s="438" t="str">
        <f t="array" ref="M46">IFERROR(INDEX('Lớp 4 - Danh mục'!$L$14:$L$132,MATCH(J46,'Lớp 4 - Danh mục'!$I$14:$I$132,0)),"")</f>
        <v>Cấp công ty</v>
      </c>
      <c r="N46" s="597" t="str">
        <f t="array" ref="N46">IFERROR(INDEX('Lớp 4 - Danh mục'!$M$14:$M$132,MATCH(J46,'Lớp 4 - Danh mục'!$I$14:$I$132,0)),"")</f>
        <v>Chiến lược/sống còn</v>
      </c>
      <c r="O46" s="597" t="str">
        <f t="array" ref="O46">IFERROR(INDEX('Lớp 4 - Danh mục'!$N$14:$N$132,MATCH(J46,'Lớp 4 - Danh mục'!$I$14:$I$132,0)),"")</f>
        <v>KHKD 2027&amp; HT lập KH theo tham số KD (bán tự động)</v>
      </c>
      <c r="P46" s="597" t="str">
        <f t="array" ref="P46">IFERROR(INDEX('Lớp 4 - Danh mục'!$O$14:$O$132,MATCH(J46,'Lớp 4 - Danh mục'!$I$14:$I$132,0)),"")</f>
        <v>Xây dựng phần mềm &amp; Chạy Topdown thử nghiệm</v>
      </c>
      <c r="Q46" s="581" t="str">
        <f t="shared" ref="Q46:T46" si="113">B46</f>
        <v>Đào tạo phần mềm</v>
      </c>
      <c r="R46" s="420" t="str">
        <f t="shared" si="113"/>
        <v>P2</v>
      </c>
      <c r="S46" s="582">
        <f t="shared" si="113"/>
        <v>0</v>
      </c>
      <c r="T46" s="583">
        <f t="shared" si="113"/>
        <v>0</v>
      </c>
      <c r="U46" s="584">
        <f>IF($I46="","",LET(n,COUNTIFS('Lớp 6 - Chi tiết'!$J$14:$J$267,$I46,'Lớp 6 - Chi tiết'!$AE$14:$AE$267,"&lt;&gt;Hủy"),child,IFERROR(MAXIFS('Lớp 6 - Chi tiết'!$AH$14:$AH$267,'Lớp 6 - Chi tiết'!$J$14:$J$267,$I46,'Lớp 6 - Chi tiết'!$AE$14:$AE$267,"&lt;&gt;Hủy",'Lớp 6 - Chi tiết'!$AH$14:$AH$267,"&gt;0"),0),plan,'Trung tâm nhập liệu'!Q191,emergent,LOWER(TRIM('Trung tâm nhập liệu'!O191))="khi phát sinh",IF(n=0,IF(emergent,"",plan),IF(child=0,IF(emergent,"",plan),IF(OR(emergent,plan=""),child,MAX(plan,child))))))</f>
        <v>46254</v>
      </c>
      <c r="V46" s="584">
        <f>IF($I46="","",LET(n,COUNTIFS('Lớp 6 - Chi tiết'!$J$14:$J$267,$I46,'Lớp 6 - Chi tiết'!$AE$14:$AE$267,"&lt;&gt;Hủy"),child,IFERROR(MINIFS('Lớp 6 - Chi tiết'!$AG$14:$AG$267,'Lớp 6 - Chi tiết'!$J$14:$J$267,$I46,'Lớp 6 - Chi tiết'!$AE$14:$AE$267,"&lt;&gt;Hủy",'Lớp 6 - Chi tiết'!$AG$14:$AG$267,"&gt;0"),0),plan,'Trung tâm nhập liệu'!R191,emergent,LOWER(TRIM('Trung tâm nhập liệu'!O191))="khi phát sinh",IF(n=0,IF(emergent,"",plan),IF(child=0,IF(emergent,"",plan),IF(OR(emergent,plan=""),child,MIN(plan,child))))))</f>
        <v>46311</v>
      </c>
      <c r="W46" s="577" t="str">
        <f t="shared" si="15"/>
        <v>Không</v>
      </c>
      <c r="X46" s="577" t="str">
        <f>'Trung tâm nhập liệu'!G191</f>
        <v>File Excel và bản demo hệ thống kế hoạch doanh thu khác vận hành đúng công thức.</v>
      </c>
      <c r="Y46" s="585" t="str">
        <f>'Trung tâm nhập liệu'!H191</f>
        <v/>
      </c>
      <c r="Z46" s="586" t="str">
        <f t="array" ref="Z46">IFERROR(INDEX('Lớp 4 - Danh mục'!$X$14:$X$132,MATCH(J46,'Lớp 4 - Danh mục'!$I$14:$I$132,0)),"")</f>
        <v>Dữ liệu điều hành</v>
      </c>
      <c r="AA46" s="577" t="str">
        <f>'Trung tâm nhập liệu'!K191</f>
        <v>Em Đại</v>
      </c>
      <c r="AB46" s="572" t="str">
        <f>'Trung tâm nhập liệu'!L191</f>
        <v>Chưa bắt đầu</v>
      </c>
      <c r="AC46" s="420" t="str">
        <f>'Trung tâm nhập liệu'!M191</f>
        <v>P2</v>
      </c>
      <c r="AD46" s="584">
        <f t="shared" si="16"/>
        <v>46311</v>
      </c>
      <c r="AE46" s="584">
        <f t="shared" si="17"/>
        <v>46254</v>
      </c>
      <c r="AF46" s="587" t="str">
        <f>IF(AM46&lt;&gt;"Có thời hạn","",IF(OR(AD46="",AE46=""),"",IF(AE46&lt;AD46,"",_xlfn.NETWORKDAYS.INTL(AD46,AE46,11,'Ngày nghỉ lễ'!$A$5:$A$80))))</f>
        <v/>
      </c>
      <c r="AG46" s="588">
        <f>IF(I46="","",IF(L46="Công việc khác","",IF(OR(AB46="Chưa lên lịch",AB46="Đã lên lịch",AB46="Hủy"),"",IF(COUNTIFS('Lớp 6 - Chi tiết'!$J$14:$J$267,I46,'Lớp 6 - Chi tiết'!$AE$14:$AE$267,"&lt;&gt;",'Lớp 6 - Chi tiết'!$AE$14:$AE$267,"&lt;&gt;Hủy",'Lớp 6 - Chi tiết'!$AE$14:$AE$267,"&lt;&gt;Chưa lên lịch",'Lớp 6 - Chi tiết'!$AE$14:$AE$267,"&lt;&gt;Đã lên lịch")&gt;0,SUMIFS('Lớp 6 - Chi tiết'!$AJ$14:$AJ$267,'Lớp 6 - Chi tiết'!$J$14:$J$267,I46,'Lớp 6 - Chi tiết'!$AE$14:$AE$267,"&lt;&gt;",'Lớp 6 - Chi tiết'!$AE$14:$AE$267,"&lt;&gt;Hủy",'Lớp 6 - Chi tiết'!$AE$14:$AE$267,"&lt;&gt;Chưa lên lịch",'Lớp 6 - Chi tiết'!$AE$14:$AE$267,"&lt;&gt;Đã lên lịch")/COUNTIFS('Lớp 6 - Chi tiết'!$J$14:$J$267,I46,'Lớp 6 - Chi tiết'!$AE$14:$AE$267,"&lt;&gt;",'Lớp 6 - Chi tiết'!$AE$14:$AE$267,"&lt;&gt;Hủy",'Lớp 6 - Chi tiết'!$AE$14:$AE$267,"&lt;&gt;Chưa lên lịch",'Lớp 6 - Chi tiết'!$AE$14:$AE$267,"&lt;&gt;Đã lên lịch"),IF(AB46="Hoàn thành",1,0)))))</f>
        <v>0</v>
      </c>
      <c r="AH46" s="587">
        <f>IF(AM46&lt;&gt;"Có thời hạn","",IF(OR(I46="",AD46="",AE46=""),"",IF(OR(AB46="Hoàn thành",AB46="Hủy"),0,IF(AE46&lt;TODAY(),-_xlfn.NETWORKDAYS.INTL(AE46,TODAY()-1,11,'Ngày nghỉ lễ'!$A$5:$A$80),MAX(0,_xlfn.NETWORKDAYS.INTL(MAX(TODAY()+1,AD46),AE46,11,'Ngày nghỉ lễ'!$A$5:$A$80))))))</f>
        <v>0</v>
      </c>
      <c r="AI46" s="589">
        <f>IF($I46="","",LET(n,COUNTIFS('Lớp 6 - Chi tiết'!$J$14:$J$267,$I46,'Lớp 6 - Chi tiết'!$AE$14:$AE$267,"&lt;&gt;Hủy"),du,COUNTIFS('Lớp 6 - Chi tiết'!$J$14:$J$267,$I46,'Lớp 6 - Chi tiết'!$AE$14:$AE$267,"&lt;&gt;Hủy",'Lớp 6 - Chi tiết'!$AL$14:$AL$267,"&lt;&gt;"),IF(n=0,'Trung tâm nhập liệu'!T191,IF(du&lt;n,"",SUMIFS('Lớp 6 - Chi tiết'!$AL$14:$AL$267,'Lớp 6 - Chi tiết'!$J$14:$J$267,$I46,'Lớp 6 - Chi tiết'!$AE$14:$AE$267,"&lt;&gt;Hủy")))))</f>
        <v>24</v>
      </c>
      <c r="AJ46" s="468">
        <f>IF(I46="","",IF(OR(AB46="Hoàn thành",AB46="Hủy"),"",IF(COUNTIFS('Lớp 6 - Chi tiết'!$J$14:$J$267,I46,'Lớp 6 - Chi tiết'!$AE$14:$AE$267,"&lt;&gt;Hủy")&gt;0,"",IF(AS46="Ngày",AT46,IF(AS46="Tuần",AT46/5,"")))))</f>
        <v>0.8</v>
      </c>
      <c r="AK46" s="477" t="str">
        <f>IF(AM46="Chưa xếp lịch","Chưa xếp lịch",IF(AM46="Định kỳ",IF(AN46="","Thiếu chu kỳ","Theo chu kỳ"),IF(AM46="Khi phát sinh",IF(COUNTIFS('Lớp 6 - Chi tiết'!$J$14:$J$267,$I46,'Lớp 6 - Chi tiết'!$AE$14:$AE$267,"&lt;&gt;Hủy")=0,"Khi phát sinh – chờ việc con","Khi phát sinh – theo ngày con"),IF(I46="","",LET(n,COUNTIFS('Lớp 6 - Chi tiết'!$J$14:$J$267,$I46,'Lớp 6 - Chi tiết'!$AE$14:$AE$267,"&lt;&gt;Hủy"),cs,IFERROR(MINIFS('Lớp 6 - Chi tiết'!$AG$14:$AG$267,'Lớp 6 - Chi tiết'!$J$14:$J$267,$I46,'Lớp 6 - Chi tiết'!$AE$14:$AE$267,"&lt;&gt;Hủy",'Lớp 6 - Chi tiết'!$AG$14:$AG$267,"&gt;0"),0),ce,IFERROR(MAXIFS('Lớp 6 - Chi tiết'!$AH$14:$AH$267,'Lớp 6 - Chi tiết'!$J$14:$J$267,$I46,'Lớp 6 - Chi tiết'!$AE$14:$AE$267,"&lt;&gt;Hủy",'Lớp 6 - Chi tiết'!$AH$14:$AH$267,"&gt;0"),0),ps,'Trung tâm nhập liệu'!R191,pe,'Trung tâm nhập liệu'!Q191,IF(OR(AD46="",AE46=""),"Thiếu ngày L5",IF(n=0,"Chưa có L6",IF(OR(cs=0,ce=0),"Thiếu ngày L6",IF(OR(ps="",pe=""),"Thiếu ngày kế hoạch gốc L5",IF(OR(cs&lt;ps,ce&gt;pe),"Cảnh báo: Con vượt khung kế hoạch gốc","L6 đúng khung kế hoạch gốc"))))))))))</f>
        <v>Chưa có L6</v>
      </c>
      <c r="AL46" s="465" t="str">
        <f>IF(OR(AV46="Thiếu tham số phân bổ",AV46="Phân bổ phải &gt; 0"),AV46,SWITCH(AM46,"Chưa xếp lịch","Chưa tính tải","Định kỳ","Theo chu kỳ","Khi phát sinh","Khi phát sinh",IF(I46="","",IF(OR(AB46="Hoàn thành",AB46="Hủy"),AB46,IF(COUNTIFS('Lớp 6 - Chi tiết'!$J$14:$J$267,I46,'Lớp 6 - Chi tiết'!$AE$14:$AE$267,"&lt;&gt;Hủy")&gt;0,"Theo dõi tải tại Lớp 6",IF(AI46="","Chưa nhập khối lượng",IF(AA46="","Thiếu người thực hiện",IF(OR(AD46="",AE46=""),"Chưa nhập đủ thời gian",IF(AH46&lt;0,"Quá hạn – còn "&amp;TEXT(MAX(0,AI46*(1-AG46)),"0.0")&amp;" giờ",LET(bd,MAX(TODAY(),AD46),kt,AE46,nguoi,AA46,tai,SUMIFS('Lớp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0.0/8.0 giờ/ngày</v>
      </c>
      <c r="AM46" s="467" t="str">
        <f>'Trung tâm nhập liệu'!O191</f>
        <v>Có thời hạn</v>
      </c>
      <c r="AN46" s="469" t="str">
        <f>'Trung tâm nhập liệu'!P191</f>
        <v/>
      </c>
      <c r="AO46" s="470" t="str">
        <f>'Trung tâm nhập liệu'!S191</f>
        <v/>
      </c>
      <c r="AP46" s="470" t="str">
        <f>'Trung tâm nhập liệu'!X191</f>
        <v/>
      </c>
      <c r="AQ46" s="471" t="str">
        <f t="shared" si="18"/>
        <v/>
      </c>
      <c r="AR46" s="469" t="str">
        <f t="shared" si="19"/>
        <v/>
      </c>
      <c r="AS46" s="475" t="str">
        <f>'Trung tâm nhập liệu'!V191</f>
        <v>Tuần</v>
      </c>
      <c r="AT46" s="476">
        <f>'Trung tâm nhập liệu'!W191</f>
        <v>4</v>
      </c>
      <c r="AU46" s="478">
        <f>IF(AM46&lt;&gt;"Có thời hạn","",IF(OR(I46="",AI46="",AB46="Hoàn thành",AB46="Hủy",COUNTIFS('Lớp 6 - Chi tiết'!$J$14:$J$267,I46,'Lớp 6 - Chi tiết'!$AE$14:$AE$267,"&lt;&gt;Hủy")&gt;0),"",LET(canNgay,MAX(0,AI46*(1-AG46))/MAX(1,AH46),IF(AS46="Ngày",canNgay,IF(AS46="Tuần",canNgay*5,"")))))</f>
        <v>120</v>
      </c>
      <c r="AV46" s="465" t="str">
        <f>IF(I46="","",IF(COUNTIFS('Lớp 6 - Chi tiết'!$J$14:$J$267,I46,'Lớp 6 - Chi tiết'!$AE$14:$AE$267,"&lt;&gt;Hủy")&gt;0,"Theo dõi phân bổ tại Lớp 6",IF(OR(AB46="Hoàn thành",AB46="Hủy"),AB46,IF(AI46="","Thiếu tổng giờ",IF(OR(AS46="",AT46=""),"Thiếu tham số phân bổ",IF(AT46&lt;=0,"Phân bổ phải &gt; 0",IF(AM46&lt;&gt;"Có thời hạn","Đã có phân bổ",IF(AU46="","Chưa đủ dữ liệu hạn",IF(AT46&gt;=AU46,"Đủ phân bổ theo "&amp;LOWER(AS46),"Thiếu "&amp;TEXT(AU46-AT46,"0.0")&amp;" giờ/"&amp;LOWER(AS46))))))))))</f>
        <v>Thiếu 116.0 giờ/tuần</v>
      </c>
      <c r="AW46" s="465" t="str">
        <f t="shared" si="20"/>
        <v>Ngày kết thúc trước ngày bắt đầu</v>
      </c>
      <c r="AX46" s="479" t="str">
        <f>'Trung tâm nhập liệu'!Y191</f>
        <v/>
      </c>
    </row>
    <row r="47" ht="15.75" customHeight="1">
      <c r="A47" s="424">
        <f t="shared" si="11"/>
        <v>34</v>
      </c>
      <c r="B47" s="572" t="str">
        <f>'Trung tâm nhập liệu'!F192</f>
        <v>Chạy thử nghiệm bottom-up Total bằng phần mềm</v>
      </c>
      <c r="C47" s="591" t="str">
        <f>'Trung tâm nhập liệu'!M192</f>
        <v>P2</v>
      </c>
      <c r="D47" s="592" t="str">
        <f t="shared" ref="D47:E47" si="114">AG47</f>
        <v/>
      </c>
      <c r="E47" s="593">
        <f t="shared" si="114"/>
        <v>2</v>
      </c>
      <c r="F47" s="575">
        <f t="shared" ref="F47:G47" si="115">U47</f>
        <v>46317</v>
      </c>
      <c r="G47" s="575">
        <f t="shared" si="115"/>
        <v>46316</v>
      </c>
      <c r="H47" s="576" t="str">
        <f>IF(B47="","",IF(COUNTIF('Lớp 6 - Chi tiết'!$J$14:$J$267,I47)&gt;0,"Có","Không"))</f>
        <v>Không</v>
      </c>
      <c r="I47" s="577" t="str">
        <f>'Trung tâm nhập liệu'!B192</f>
        <v>HHL5DL07-04</v>
      </c>
      <c r="J47" s="577" t="str">
        <f>'Trung tâm nhập liệu'!D192</f>
        <v>HHL4DL07</v>
      </c>
      <c r="K47" s="597" t="str">
        <f t="array" ref="K47">IFERROR(INDEX('Lớp 4 - Danh mục'!$J$14:$J$132,MATCH(J47,'Lớp 4 - Danh mục'!$I$14:$I$132,0)),"")</f>
        <v>HHL3CT03</v>
      </c>
      <c r="L47" s="598">
        <f t="array" ref="L47">IFERROR(INDEX('Lớp 4 - Danh mục'!$K$14:$K$132,MATCH(J47,'Lớp 4 - Danh mục'!$I$14:$I$132,0)),"")</f>
        <v>2026</v>
      </c>
      <c r="M47" s="438" t="str">
        <f t="array" ref="M47">IFERROR(INDEX('Lớp 4 - Danh mục'!$L$14:$L$132,MATCH(J47,'Lớp 4 - Danh mục'!$I$14:$I$132,0)),"")</f>
        <v>Cấp công ty</v>
      </c>
      <c r="N47" s="597" t="str">
        <f t="array" ref="N47">IFERROR(INDEX('Lớp 4 - Danh mục'!$M$14:$M$132,MATCH(J47,'Lớp 4 - Danh mục'!$I$14:$I$132,0)),"")</f>
        <v>Chiến lược/sống còn</v>
      </c>
      <c r="O47" s="597" t="str">
        <f t="array" ref="O47">IFERROR(INDEX('Lớp 4 - Danh mục'!$N$14:$N$132,MATCH(J47,'Lớp 4 - Danh mục'!$I$14:$I$132,0)),"")</f>
        <v>KHKD 2027&amp; HT lập KH theo tham số KD (bán tự động)</v>
      </c>
      <c r="P47" s="597" t="str">
        <f t="array" ref="P47">IFERROR(INDEX('Lớp 4 - Danh mục'!$O$14:$O$132,MATCH(J47,'Lớp 4 - Danh mục'!$I$14:$I$132,0)),"")</f>
        <v>Xây dựng phần mềm &amp; Chạy Topdown thử nghiệm</v>
      </c>
      <c r="Q47" s="581" t="str">
        <f t="shared" ref="Q47:T47" si="116">B47</f>
        <v>Chạy thử nghiệm bottom-up Total bằng phần mềm</v>
      </c>
      <c r="R47" s="420" t="str">
        <f t="shared" si="116"/>
        <v>P2</v>
      </c>
      <c r="S47" s="582" t="str">
        <f t="shared" si="116"/>
        <v/>
      </c>
      <c r="T47" s="583">
        <f t="shared" si="116"/>
        <v>2</v>
      </c>
      <c r="U47" s="584">
        <f>IF($I47="","",LET(n,COUNTIFS('Lớp 6 - Chi tiết'!$J$14:$J$267,$I47,'Lớp 6 - Chi tiết'!$AE$14:$AE$267,"&lt;&gt;Hủy"),child,IFERROR(MAXIFS('Lớp 6 - Chi tiết'!$AH$14:$AH$267,'Lớp 6 - Chi tiết'!$J$14:$J$267,$I47,'Lớp 6 - Chi tiết'!$AE$14:$AE$267,"&lt;&gt;Hủy",'Lớp 6 - Chi tiết'!$AH$14:$AH$267,"&gt;0"),0),plan,'Trung tâm nhập liệu'!Q192,emergent,LOWER(TRIM('Trung tâm nhập liệu'!O192))="khi phát sinh",IF(n=0,IF(emergent,"",plan),IF(child=0,IF(emergent,"",plan),IF(OR(emergent,plan=""),child,MAX(plan,child))))))</f>
        <v>46317</v>
      </c>
      <c r="V47" s="584">
        <f>IF($I47="","",LET(n,COUNTIFS('Lớp 6 - Chi tiết'!$J$14:$J$267,$I47,'Lớp 6 - Chi tiết'!$AE$14:$AE$267,"&lt;&gt;Hủy"),child,IFERROR(MINIFS('Lớp 6 - Chi tiết'!$AG$14:$AG$267,'Lớp 6 - Chi tiết'!$J$14:$J$267,$I47,'Lớp 6 - Chi tiết'!$AE$14:$AE$267,"&lt;&gt;Hủy",'Lớp 6 - Chi tiết'!$AG$14:$AG$267,"&gt;0"),0),plan,'Trung tâm nhập liệu'!R192,emergent,LOWER(TRIM('Trung tâm nhập liệu'!O192))="khi phát sinh",IF(n=0,IF(emergent,"",plan),IF(child=0,IF(emergent,"",plan),IF(OR(emergent,plan=""),child,MIN(plan,child))))))</f>
        <v>46316</v>
      </c>
      <c r="W47" s="577" t="str">
        <f t="shared" si="15"/>
        <v>Không</v>
      </c>
      <c r="X47" s="577" t="str">
        <f>'Trung tâm nhập liệu'!G192</f>
        <v>Bộ kết quả tham số Top-down kế hoạch doanh thu khác được kiểm tra và xác nhận.</v>
      </c>
      <c r="Y47" s="585" t="str">
        <f>'Trung tâm nhập liệu'!H192</f>
        <v/>
      </c>
      <c r="Z47" s="586" t="str">
        <f t="array" ref="Z47">IFERROR(INDEX('Lớp 4 - Danh mục'!$X$14:$X$132,MATCH(J47,'Lớp 4 - Danh mục'!$I$14:$I$132,0)),"")</f>
        <v>Dữ liệu điều hành</v>
      </c>
      <c r="AA47" s="577" t="str">
        <f>'Trung tâm nhập liệu'!K192</f>
        <v>Em Đại</v>
      </c>
      <c r="AB47" s="572" t="str">
        <f>'Trung tâm nhập liệu'!L192</f>
        <v>Đã lên lịch</v>
      </c>
      <c r="AC47" s="420" t="str">
        <f>'Trung tâm nhập liệu'!M192</f>
        <v>P2</v>
      </c>
      <c r="AD47" s="584">
        <f t="shared" si="16"/>
        <v>46316</v>
      </c>
      <c r="AE47" s="584">
        <f t="shared" si="17"/>
        <v>46317</v>
      </c>
      <c r="AF47" s="587">
        <f>IF(AM47&lt;&gt;"Có thời hạn","",IF(OR(AD47="",AE47=""),"",IF(AE47&lt;AD47,"",_xlfn.NETWORKDAYS.INTL(AD47,AE47,11,'Ngày nghỉ lễ'!$A$5:$A$80))))</f>
        <v>2</v>
      </c>
      <c r="AG47" s="588" t="str">
        <f>IF(I47="","",IF(L47="Công việc khác","",IF(OR(AB47="Chưa lên lịch",AB47="Đã lên lịch",AB47="Hủy"),"",IF(COUNTIFS('Lớp 6 - Chi tiết'!$J$14:$J$267,I47,'Lớp 6 - Chi tiết'!$AE$14:$AE$267,"&lt;&gt;",'Lớp 6 - Chi tiết'!$AE$14:$AE$267,"&lt;&gt;Hủy",'Lớp 6 - Chi tiết'!$AE$14:$AE$267,"&lt;&gt;Chưa lên lịch",'Lớp 6 - Chi tiết'!$AE$14:$AE$267,"&lt;&gt;Đã lên lịch")&gt;0,SUMIFS('Lớp 6 - Chi tiết'!$AJ$14:$AJ$267,'Lớp 6 - Chi tiết'!$J$14:$J$267,I47,'Lớp 6 - Chi tiết'!$AE$14:$AE$267,"&lt;&gt;",'Lớp 6 - Chi tiết'!$AE$14:$AE$267,"&lt;&gt;Hủy",'Lớp 6 - Chi tiết'!$AE$14:$AE$267,"&lt;&gt;Chưa lên lịch",'Lớp 6 - Chi tiết'!$AE$14:$AE$267,"&lt;&gt;Đã lên lịch")/COUNTIFS('Lớp 6 - Chi tiết'!$J$14:$J$267,I47,'Lớp 6 - Chi tiết'!$AE$14:$AE$267,"&lt;&gt;",'Lớp 6 - Chi tiết'!$AE$14:$AE$267,"&lt;&gt;Hủy",'Lớp 6 - Chi tiết'!$AE$14:$AE$267,"&lt;&gt;Chưa lên lịch",'Lớp 6 - Chi tiết'!$AE$14:$AE$267,"&lt;&gt;Đã lên lịch"),IF(AB47="Hoàn thành",1,0)))))</f>
        <v/>
      </c>
      <c r="AH47" s="587">
        <f>IF(AM47&lt;&gt;"Có thời hạn","",IF(OR(I47="",AD47="",AE47=""),"",IF(OR(AB47="Hoàn thành",AB47="Hủy"),0,IF(AE47&lt;TODAY(),-_xlfn.NETWORKDAYS.INTL(AE47,TODAY()-1,11,'Ngày nghỉ lễ'!$A$5:$A$80),MAX(0,_xlfn.NETWORKDAYS.INTL(MAX(TODAY()+1,AD47),AE47,11,'Ngày nghỉ lễ'!$A$5:$A$80))))))</f>
        <v>2</v>
      </c>
      <c r="AI47" s="589">
        <f>IF($I47="","",LET(n,COUNTIFS('Lớp 6 - Chi tiết'!$J$14:$J$267,$I47,'Lớp 6 - Chi tiết'!$AE$14:$AE$267,"&lt;&gt;Hủy"),du,COUNTIFS('Lớp 6 - Chi tiết'!$J$14:$J$267,$I47,'Lớp 6 - Chi tiết'!$AE$14:$AE$267,"&lt;&gt;Hủy",'Lớp 6 - Chi tiết'!$AL$14:$AL$267,"&lt;&gt;"),IF(n=0,'Trung tâm nhập liệu'!T192,IF(du&lt;n,"",SUMIFS('Lớp 6 - Chi tiết'!$AL$14:$AL$267,'Lớp 6 - Chi tiết'!$J$14:$J$267,$I47,'Lớp 6 - Chi tiết'!$AE$14:$AE$267,"&lt;&gt;Hủy")))))</f>
        <v>16</v>
      </c>
      <c r="AJ47" s="468">
        <f>IF(I47="","",IF(OR(AB47="Hoàn thành",AB47="Hủy"),"",IF(COUNTIFS('Lớp 6 - Chi tiết'!$J$14:$J$267,I47,'Lớp 6 - Chi tiết'!$AE$14:$AE$267,"&lt;&gt;Hủy")&gt;0,"",IF(AS47="Ngày",AT47,IF(AS47="Tuần",AT47/5,"")))))</f>
        <v>0.8</v>
      </c>
      <c r="AK47" s="477" t="str">
        <f>IF(AM47="Chưa xếp lịch","Chưa xếp lịch",IF(AM47="Định kỳ",IF(AN47="","Thiếu chu kỳ","Theo chu kỳ"),IF(AM47="Khi phát sinh",IF(COUNTIFS('Lớp 6 - Chi tiết'!$J$14:$J$267,$I47,'Lớp 6 - Chi tiết'!$AE$14:$AE$267,"&lt;&gt;Hủy")=0,"Khi phát sinh – chờ việc con","Khi phát sinh – theo ngày con"),IF(I47="","",LET(n,COUNTIFS('Lớp 6 - Chi tiết'!$J$14:$J$267,$I47,'Lớp 6 - Chi tiết'!$AE$14:$AE$267,"&lt;&gt;Hủy"),cs,IFERROR(MINIFS('Lớp 6 - Chi tiết'!$AG$14:$AG$267,'Lớp 6 - Chi tiết'!$J$14:$J$267,$I47,'Lớp 6 - Chi tiết'!$AE$14:$AE$267,"&lt;&gt;Hủy",'Lớp 6 - Chi tiết'!$AG$14:$AG$267,"&gt;0"),0),ce,IFERROR(MAXIFS('Lớp 6 - Chi tiết'!$AH$14:$AH$267,'Lớp 6 - Chi tiết'!$J$14:$J$267,$I47,'Lớp 6 - Chi tiết'!$AE$14:$AE$267,"&lt;&gt;Hủy",'Lớp 6 - Chi tiết'!$AH$14:$AH$267,"&gt;0"),0),ps,'Trung tâm nhập liệu'!R192,pe,'Trung tâm nhập liệu'!Q192,IF(OR(AD47="",AE47=""),"Thiếu ngày L5",IF(n=0,"Chưa có L6",IF(OR(cs=0,ce=0),"Thiếu ngày L6",IF(OR(ps="",pe=""),"Thiếu ngày kế hoạch gốc L5",IF(OR(cs&lt;ps,ce&gt;pe),"Cảnh báo: Con vượt khung kế hoạch gốc","L6 đúng khung kế hoạch gốc"))))))))))</f>
        <v>Chưa có L6</v>
      </c>
      <c r="AL47" s="465" t="str">
        <f>IF(OR(AV47="Thiếu tham số phân bổ",AV47="Phân bổ phải &gt; 0"),AV47,SWITCH(AM47,"Chưa xếp lịch","Chưa tính tải","Định kỳ","Theo chu kỳ","Khi phát sinh","Khi phát sinh",IF(I47="","",IF(OR(AB47="Hoàn thành",AB47="Hủy"),AB47,IF(COUNTIFS('Lớp 6 - Chi tiết'!$J$14:$J$267,I47,'Lớp 6 - Chi tiết'!$AE$14:$AE$267,"&lt;&gt;Hủy")&gt;0,"Theo dõi tải tại Lớp 6",IF(AI47="","Chưa nhập khối lượng",IF(AA47="","Thiếu người thực hiện",IF(OR(AD47="",AE47=""),"Chưa nhập đủ thời gian",IF(AH47&lt;0,"Quá hạn – còn "&amp;TEXT(MAX(0,AI47*(1-AG47)),"0.0")&amp;" giờ",LET(bd,MAX(TODAY(),AD47),kt,AE47,nguoi,AA47,tai,SUMIFS('Lớp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4.8/8.0 giờ/ngày</v>
      </c>
      <c r="AM47" s="467" t="str">
        <f>'Trung tâm nhập liệu'!O192</f>
        <v>Có thời hạn</v>
      </c>
      <c r="AN47" s="469" t="str">
        <f>'Trung tâm nhập liệu'!P192</f>
        <v/>
      </c>
      <c r="AO47" s="470" t="str">
        <f>'Trung tâm nhập liệu'!S192</f>
        <v/>
      </c>
      <c r="AP47" s="470" t="str">
        <f>'Trung tâm nhập liệu'!X192</f>
        <v/>
      </c>
      <c r="AQ47" s="471" t="str">
        <f t="shared" si="18"/>
        <v/>
      </c>
      <c r="AR47" s="469" t="str">
        <f t="shared" si="19"/>
        <v/>
      </c>
      <c r="AS47" s="475" t="str">
        <f>'Trung tâm nhập liệu'!V192</f>
        <v>Tuần</v>
      </c>
      <c r="AT47" s="476">
        <f>'Trung tâm nhập liệu'!W192</f>
        <v>4</v>
      </c>
      <c r="AU47" s="478">
        <f>IF(AM47&lt;&gt;"Có thời hạn","",IF(OR(I47="",AI47="",AB47="Hoàn thành",AB47="Hủy",COUNTIFS('Lớp 6 - Chi tiết'!$J$14:$J$267,I47,'Lớp 6 - Chi tiết'!$AE$14:$AE$267,"&lt;&gt;Hủy")&gt;0),"",LET(canNgay,MAX(0,AI47*(1-AG47))/MAX(1,AH47),IF(AS47="Ngày",canNgay,IF(AS47="Tuần",canNgay*5,"")))))</f>
        <v>40</v>
      </c>
      <c r="AV47" s="465" t="str">
        <f>IF(I47="","",IF(COUNTIFS('Lớp 6 - Chi tiết'!$J$14:$J$267,I47,'Lớp 6 - Chi tiết'!$AE$14:$AE$267,"&lt;&gt;Hủy")&gt;0,"Theo dõi phân bổ tại Lớp 6",IF(OR(AB47="Hoàn thành",AB47="Hủy"),AB47,IF(AI47="","Thiếu tổng giờ",IF(OR(AS47="",AT47=""),"Thiếu tham số phân bổ",IF(AT47&lt;=0,"Phân bổ phải &gt; 0",IF(AM47&lt;&gt;"Có thời hạn","Đã có phân bổ",IF(AU47="","Chưa đủ dữ liệu hạn",IF(AT47&gt;=AU47,"Đủ phân bổ theo "&amp;LOWER(AS47),"Thiếu "&amp;TEXT(AU47-AT47,"0.0")&amp;" giờ/"&amp;LOWER(AS47))))))))))</f>
        <v>Thiếu 36.0 giờ/tuần</v>
      </c>
      <c r="AW47" s="465" t="str">
        <f t="shared" si="20"/>
        <v>OK</v>
      </c>
      <c r="AX47" s="479" t="str">
        <f>'Trung tâm nhập liệu'!Y192</f>
        <v/>
      </c>
    </row>
    <row r="48" ht="15.75" customHeight="1">
      <c r="A48" s="424">
        <f t="shared" si="11"/>
        <v>35</v>
      </c>
      <c r="B48" s="572" t="str">
        <f>'Trung tâm nhập liệu'!F193</f>
        <v>Chốt số KH V1 2027 Total</v>
      </c>
      <c r="C48" s="591" t="str">
        <f>'Trung tâm nhập liệu'!M193</f>
        <v>P2</v>
      </c>
      <c r="D48" s="528" t="str">
        <f t="shared" ref="D48:E48" si="117">AG48</f>
        <v/>
      </c>
      <c r="E48" s="593">
        <f t="shared" si="117"/>
        <v>12</v>
      </c>
      <c r="F48" s="575">
        <f t="shared" ref="F48:G48" si="118">U48</f>
        <v>46331</v>
      </c>
      <c r="G48" s="575">
        <f t="shared" si="118"/>
        <v>46318</v>
      </c>
      <c r="H48" s="576" t="str">
        <f>IF(B48="","",IF(COUNTIF('Lớp 6 - Chi tiết'!$J$14:$J$267,I48)&gt;0,"Có","Không"))</f>
        <v>Không</v>
      </c>
      <c r="I48" s="577" t="str">
        <f>'Trung tâm nhập liệu'!B193</f>
        <v>HHL5DL07-05</v>
      </c>
      <c r="J48" s="577" t="str">
        <f>'Trung tâm nhập liệu'!D193</f>
        <v>HHL4DL07</v>
      </c>
      <c r="K48" s="597" t="str">
        <f t="array" ref="K48">IFERROR(INDEX('Lớp 4 - Danh mục'!$J$14:$J$132,MATCH(J48,'Lớp 4 - Danh mục'!$I$14:$I$132,0)),"")</f>
        <v>HHL3CT03</v>
      </c>
      <c r="L48" s="598">
        <f t="array" ref="L48">IFERROR(INDEX('Lớp 4 - Danh mục'!$K$14:$K$132,MATCH(J48,'Lớp 4 - Danh mục'!$I$14:$I$132,0)),"")</f>
        <v>2026</v>
      </c>
      <c r="M48" s="438" t="str">
        <f t="array" ref="M48">IFERROR(INDEX('Lớp 4 - Danh mục'!$L$14:$L$132,MATCH(J48,'Lớp 4 - Danh mục'!$I$14:$I$132,0)),"")</f>
        <v>Cấp công ty</v>
      </c>
      <c r="N48" s="597" t="str">
        <f t="array" ref="N48">IFERROR(INDEX('Lớp 4 - Danh mục'!$M$14:$M$132,MATCH(J48,'Lớp 4 - Danh mục'!$I$14:$I$132,0)),"")</f>
        <v>Chiến lược/sống còn</v>
      </c>
      <c r="O48" s="597" t="str">
        <f t="array" ref="O48">IFERROR(INDEX('Lớp 4 - Danh mục'!$N$14:$N$132,MATCH(J48,'Lớp 4 - Danh mục'!$I$14:$I$132,0)),"")</f>
        <v>KHKD 2027&amp; HT lập KH theo tham số KD (bán tự động)</v>
      </c>
      <c r="P48" s="597" t="str">
        <f t="array" ref="P48">IFERROR(INDEX('Lớp 4 - Danh mục'!$O$14:$O$132,MATCH(J48,'Lớp 4 - Danh mục'!$I$14:$I$132,0)),"")</f>
        <v>Xây dựng phần mềm &amp; Chạy Topdown thử nghiệm</v>
      </c>
      <c r="Q48" s="581" t="str">
        <f t="shared" ref="Q48:T48" si="119">B48</f>
        <v>Chốt số KH V1 2027 Total</v>
      </c>
      <c r="R48" s="420" t="str">
        <f t="shared" si="119"/>
        <v>P2</v>
      </c>
      <c r="S48" s="582" t="str">
        <f t="shared" si="119"/>
        <v/>
      </c>
      <c r="T48" s="583">
        <f t="shared" si="119"/>
        <v>12</v>
      </c>
      <c r="U48" s="584">
        <f>IF($I48="","",LET(n,COUNTIFS('Lớp 6 - Chi tiết'!$J$14:$J$267,$I48,'Lớp 6 - Chi tiết'!$AE$14:$AE$267,"&lt;&gt;Hủy"),child,IFERROR(MAXIFS('Lớp 6 - Chi tiết'!$AH$14:$AH$267,'Lớp 6 - Chi tiết'!$J$14:$J$267,$I48,'Lớp 6 - Chi tiết'!$AE$14:$AE$267,"&lt;&gt;Hủy",'Lớp 6 - Chi tiết'!$AH$14:$AH$267,"&gt;0"),0),plan,'Trung tâm nhập liệu'!Q193,emergent,LOWER(TRIM('Trung tâm nhập liệu'!O193))="khi phát sinh",IF(n=0,IF(emergent,"",plan),IF(child=0,IF(emergent,"",plan),IF(OR(emergent,plan=""),child,MAX(plan,child))))))</f>
        <v>46331</v>
      </c>
      <c r="V48" s="584">
        <f>IF($I48="","",LET(n,COUNTIFS('Lớp 6 - Chi tiết'!$J$14:$J$267,$I48,'Lớp 6 - Chi tiết'!$AE$14:$AE$267,"&lt;&gt;Hủy"),child,IFERROR(MINIFS('Lớp 6 - Chi tiết'!$AG$14:$AG$267,'Lớp 6 - Chi tiết'!$J$14:$J$267,$I48,'Lớp 6 - Chi tiết'!$AE$14:$AE$267,"&lt;&gt;Hủy",'Lớp 6 - Chi tiết'!$AG$14:$AG$267,"&gt;0"),0),plan,'Trung tâm nhập liệu'!R193,emergent,LOWER(TRIM('Trung tâm nhập liệu'!O193))="khi phát sinh",IF(n=0,IF(emergent,"",plan),IF(child=0,IF(emergent,"",plan),IF(OR(emergent,plan=""),child,MIN(plan,child))))))</f>
        <v>46318</v>
      </c>
      <c r="W48" s="577" t="str">
        <f t="shared" si="15"/>
        <v>Không</v>
      </c>
      <c r="X48" s="577" t="str">
        <f>'Trung tâm nhập liệu'!G193</f>
        <v>Bộ kết quả Bottom-up kế hoạch doanh thu khác theo từng nguồn được xác nhận.</v>
      </c>
      <c r="Y48" s="585" t="str">
        <f>'Trung tâm nhập liệu'!H193</f>
        <v/>
      </c>
      <c r="Z48" s="586" t="str">
        <f t="array" ref="Z48">IFERROR(INDEX('Lớp 4 - Danh mục'!$X$14:$X$132,MATCH(J48,'Lớp 4 - Danh mục'!$I$14:$I$132,0)),"")</f>
        <v>Dữ liệu điều hành</v>
      </c>
      <c r="AA48" s="577" t="str">
        <f>'Trung tâm nhập liệu'!K193</f>
        <v>Em Đại</v>
      </c>
      <c r="AB48" s="572" t="str">
        <f>'Trung tâm nhập liệu'!L193</f>
        <v>Đã lên lịch</v>
      </c>
      <c r="AC48" s="420" t="str">
        <f>'Trung tâm nhập liệu'!M193</f>
        <v>P2</v>
      </c>
      <c r="AD48" s="584">
        <f t="shared" si="16"/>
        <v>46318</v>
      </c>
      <c r="AE48" s="584">
        <f t="shared" si="17"/>
        <v>46331</v>
      </c>
      <c r="AF48" s="587">
        <f>IF(AM48&lt;&gt;"Có thời hạn","",IF(OR(AD48="",AE48=""),"",IF(AE48&lt;AD48,"",_xlfn.NETWORKDAYS.INTL(AD48,AE48,11,'Ngày nghỉ lễ'!$A$5:$A$80))))</f>
        <v>12</v>
      </c>
      <c r="AG48" s="588" t="str">
        <f>IF(I48="","",IF(L48="Công việc khác","",IF(OR(AB48="Chưa lên lịch",AB48="Đã lên lịch",AB48="Hủy"),"",IF(COUNTIFS('Lớp 6 - Chi tiết'!$J$14:$J$267,I48,'Lớp 6 - Chi tiết'!$AE$14:$AE$267,"&lt;&gt;",'Lớp 6 - Chi tiết'!$AE$14:$AE$267,"&lt;&gt;Hủy",'Lớp 6 - Chi tiết'!$AE$14:$AE$267,"&lt;&gt;Chưa lên lịch",'Lớp 6 - Chi tiết'!$AE$14:$AE$267,"&lt;&gt;Đã lên lịch")&gt;0,SUMIFS('Lớp 6 - Chi tiết'!$AJ$14:$AJ$267,'Lớp 6 - Chi tiết'!$J$14:$J$267,I48,'Lớp 6 - Chi tiết'!$AE$14:$AE$267,"&lt;&gt;",'Lớp 6 - Chi tiết'!$AE$14:$AE$267,"&lt;&gt;Hủy",'Lớp 6 - Chi tiết'!$AE$14:$AE$267,"&lt;&gt;Chưa lên lịch",'Lớp 6 - Chi tiết'!$AE$14:$AE$267,"&lt;&gt;Đã lên lịch")/COUNTIFS('Lớp 6 - Chi tiết'!$J$14:$J$267,I48,'Lớp 6 - Chi tiết'!$AE$14:$AE$267,"&lt;&gt;",'Lớp 6 - Chi tiết'!$AE$14:$AE$267,"&lt;&gt;Hủy",'Lớp 6 - Chi tiết'!$AE$14:$AE$267,"&lt;&gt;Chưa lên lịch",'Lớp 6 - Chi tiết'!$AE$14:$AE$267,"&lt;&gt;Đã lên lịch"),IF(AB48="Hoàn thành",1,0)))))</f>
        <v/>
      </c>
      <c r="AH48" s="587">
        <f>IF(AM48&lt;&gt;"Có thời hạn","",IF(OR(I48="",AD48="",AE48=""),"",IF(OR(AB48="Hoàn thành",AB48="Hủy"),0,IF(AE48&lt;TODAY(),-_xlfn.NETWORKDAYS.INTL(AE48,TODAY()-1,11,'Ngày nghỉ lễ'!$A$5:$A$80),MAX(0,_xlfn.NETWORKDAYS.INTL(MAX(TODAY()+1,AD48),AE48,11,'Ngày nghỉ lễ'!$A$5:$A$80))))))</f>
        <v>12</v>
      </c>
      <c r="AI48" s="589">
        <f>IF($I48="","",LET(n,COUNTIFS('Lớp 6 - Chi tiết'!$J$14:$J$267,$I48,'Lớp 6 - Chi tiết'!$AE$14:$AE$267,"&lt;&gt;Hủy"),du,COUNTIFS('Lớp 6 - Chi tiết'!$J$14:$J$267,$I48,'Lớp 6 - Chi tiết'!$AE$14:$AE$267,"&lt;&gt;Hủy",'Lớp 6 - Chi tiết'!$AL$14:$AL$267,"&lt;&gt;"),IF(n=0,'Trung tâm nhập liệu'!T193,IF(du&lt;n,"",SUMIFS('Lớp 6 - Chi tiết'!$AL$14:$AL$267,'Lớp 6 - Chi tiết'!$J$14:$J$267,$I48,'Lớp 6 - Chi tiết'!$AE$14:$AE$267,"&lt;&gt;Hủy")))))</f>
        <v>16</v>
      </c>
      <c r="AJ48" s="468">
        <f>IF(I48="","",IF(OR(AB48="Hoàn thành",AB48="Hủy"),"",IF(COUNTIFS('Lớp 6 - Chi tiết'!$J$14:$J$267,I48,'Lớp 6 - Chi tiết'!$AE$14:$AE$267,"&lt;&gt;Hủy")&gt;0,"",IF(AS48="Ngày",AT48,IF(AS48="Tuần",AT48/5,"")))))</f>
        <v>0.8</v>
      </c>
      <c r="AK48" s="477" t="str">
        <f>IF(AM48="Chưa xếp lịch","Chưa xếp lịch",IF(AM48="Định kỳ",IF(AN48="","Thiếu chu kỳ","Theo chu kỳ"),IF(AM48="Khi phát sinh",IF(COUNTIFS('Lớp 6 - Chi tiết'!$J$14:$J$267,$I48,'Lớp 6 - Chi tiết'!$AE$14:$AE$267,"&lt;&gt;Hủy")=0,"Khi phát sinh – chờ việc con","Khi phát sinh – theo ngày con"),IF(I48="","",LET(n,COUNTIFS('Lớp 6 - Chi tiết'!$J$14:$J$267,$I48,'Lớp 6 - Chi tiết'!$AE$14:$AE$267,"&lt;&gt;Hủy"),cs,IFERROR(MINIFS('Lớp 6 - Chi tiết'!$AG$14:$AG$267,'Lớp 6 - Chi tiết'!$J$14:$J$267,$I48,'Lớp 6 - Chi tiết'!$AE$14:$AE$267,"&lt;&gt;Hủy",'Lớp 6 - Chi tiết'!$AG$14:$AG$267,"&gt;0"),0),ce,IFERROR(MAXIFS('Lớp 6 - Chi tiết'!$AH$14:$AH$267,'Lớp 6 - Chi tiết'!$J$14:$J$267,$I48,'Lớp 6 - Chi tiết'!$AE$14:$AE$267,"&lt;&gt;Hủy",'Lớp 6 - Chi tiết'!$AH$14:$AH$267,"&gt;0"),0),ps,'Trung tâm nhập liệu'!R193,pe,'Trung tâm nhập liệu'!Q193,IF(OR(AD48="",AE48=""),"Thiếu ngày L5",IF(n=0,"Chưa có L6",IF(OR(cs=0,ce=0),"Thiếu ngày L6",IF(OR(ps="",pe=""),"Thiếu ngày kế hoạch gốc L5",IF(OR(cs&lt;ps,ce&gt;pe),"Cảnh báo: Con vượt khung kế hoạch gốc","L6 đúng khung kế hoạch gốc"))))))))))</f>
        <v>Chưa có L6</v>
      </c>
      <c r="AL48" s="465" t="str">
        <f>IF(OR(AV48="Thiếu tham số phân bổ",AV48="Phân bổ phải &gt; 0"),AV48,SWITCH(AM48,"Chưa xếp lịch","Chưa tính tải","Định kỳ","Theo chu kỳ","Khi phát sinh","Khi phát sinh",IF(I48="","",IF(OR(AB48="Hoàn thành",AB48="Hủy"),AB48,IF(COUNTIFS('Lớp 6 - Chi tiết'!$J$14:$J$267,I48,'Lớp 6 - Chi tiết'!$AE$14:$AE$267,"&lt;&gt;Hủy")&gt;0,"Theo dõi tải tại Lớp 6",IF(AI48="","Chưa nhập khối lượng",IF(AA48="","Thiếu người thực hiện",IF(OR(AD48="",AE48=""),"Chưa nhập đủ thời gian",IF(AH48&lt;0,"Quá hạn – còn "&amp;TEXT(MAX(0,AI48*(1-AG48)),"0.0")&amp;" giờ",LET(bd,MAX(TODAY(),AD48),kt,AE48,nguoi,AA48,tai,SUMIFS('Lớp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Bình thường – tổng 4.8/8.0 giờ/ngày</v>
      </c>
      <c r="AM48" s="467" t="str">
        <f>'Trung tâm nhập liệu'!O193</f>
        <v>Có thời hạn</v>
      </c>
      <c r="AN48" s="469" t="str">
        <f>'Trung tâm nhập liệu'!P193</f>
        <v/>
      </c>
      <c r="AO48" s="470" t="str">
        <f>'Trung tâm nhập liệu'!S193</f>
        <v/>
      </c>
      <c r="AP48" s="470" t="str">
        <f>'Trung tâm nhập liệu'!X193</f>
        <v/>
      </c>
      <c r="AQ48" s="471" t="str">
        <f t="shared" si="18"/>
        <v/>
      </c>
      <c r="AR48" s="469" t="str">
        <f t="shared" si="19"/>
        <v/>
      </c>
      <c r="AS48" s="475" t="str">
        <f>'Trung tâm nhập liệu'!V193</f>
        <v>Tuần</v>
      </c>
      <c r="AT48" s="476">
        <f>'Trung tâm nhập liệu'!W193</f>
        <v>4</v>
      </c>
      <c r="AU48" s="478">
        <f>IF(AM48&lt;&gt;"Có thời hạn","",IF(OR(I48="",AI48="",AB48="Hoàn thành",AB48="Hủy",COUNTIFS('Lớp 6 - Chi tiết'!$J$14:$J$267,I48,'Lớp 6 - Chi tiết'!$AE$14:$AE$267,"&lt;&gt;Hủy")&gt;0),"",LET(canNgay,MAX(0,AI48*(1-AG48))/MAX(1,AH48),IF(AS48="Ngày",canNgay,IF(AS48="Tuần",canNgay*5,"")))))</f>
        <v>6.666666667</v>
      </c>
      <c r="AV48" s="465" t="str">
        <f>IF(I48="","",IF(COUNTIFS('Lớp 6 - Chi tiết'!$J$14:$J$267,I48,'Lớp 6 - Chi tiết'!$AE$14:$AE$267,"&lt;&gt;Hủy")&gt;0,"Theo dõi phân bổ tại Lớp 6",IF(OR(AB48="Hoàn thành",AB48="Hủy"),AB48,IF(AI48="","Thiếu tổng giờ",IF(OR(AS48="",AT48=""),"Thiếu tham số phân bổ",IF(AT48&lt;=0,"Phân bổ phải &gt; 0",IF(AM48&lt;&gt;"Có thời hạn","Đã có phân bổ",IF(AU48="","Chưa đủ dữ liệu hạn",IF(AT48&gt;=AU48,"Đủ phân bổ theo "&amp;LOWER(AS48),"Thiếu "&amp;TEXT(AU48-AT48,"0.0")&amp;" giờ/"&amp;LOWER(AS48))))))))))</f>
        <v>Thiếu 2.7 giờ/tuần</v>
      </c>
      <c r="AW48" s="465" t="str">
        <f t="shared" si="20"/>
        <v>OK</v>
      </c>
      <c r="AX48" s="479" t="str">
        <f>'Trung tâm nhập liệu'!Y193</f>
        <v/>
      </c>
    </row>
    <row r="49" ht="15.75" customHeight="1">
      <c r="A49" s="424" t="str">
        <f t="shared" si="11"/>
        <v>#REF!</v>
      </c>
      <c r="B49" s="572" t="str">
        <f t="shared" ref="B49:C49" si="120">#REF!</f>
        <v>#REF!</v>
      </c>
      <c r="C49" s="591" t="str">
        <f t="shared" si="120"/>
        <v>#REF!</v>
      </c>
      <c r="D49" s="566" t="str">
        <f t="shared" ref="D49:E49" si="121">AG49</f>
        <v>#REF!</v>
      </c>
      <c r="E49" s="617" t="str">
        <f t="shared" si="121"/>
        <v>#REF!</v>
      </c>
      <c r="F49" s="575" t="str">
        <f t="shared" ref="F49:G49" si="122">U49</f>
        <v>#REF!</v>
      </c>
      <c r="G49" s="575" t="str">
        <f t="shared" si="122"/>
        <v>#REF!</v>
      </c>
      <c r="H49" s="576" t="str">
        <f>IF(B49="","",IF(COUNTIF('Lớp 6 - Chi tiết'!$J$14:$J$267,I49)&gt;0,"Có","Không"))</f>
        <v>#REF!</v>
      </c>
      <c r="I49" s="577" t="str">
        <f t="shared" ref="I49:J49" si="123">#REF!</f>
        <v>#REF!</v>
      </c>
      <c r="J49" s="577" t="str">
        <f t="shared" si="123"/>
        <v>#REF!</v>
      </c>
      <c r="K49" s="597" t="str">
        <f t="array" ref="K49">IFERROR(INDEX('Lớp 4 - Danh mục'!$J$14:$J$132,MATCH(J49,'Lớp 4 - Danh mục'!$I$14:$I$132,0)),"")</f>
        <v/>
      </c>
      <c r="L49" s="598" t="str">
        <f t="array" ref="L49">IFERROR(INDEX('Lớp 4 - Danh mục'!$K$14:$K$132,MATCH(J49,'Lớp 4 - Danh mục'!$I$14:$I$132,0)),"")</f>
        <v/>
      </c>
      <c r="M49" s="438" t="str">
        <f t="array" ref="M49">IFERROR(INDEX('Lớp 4 - Danh mục'!$L$14:$L$132,MATCH(J49,'Lớp 4 - Danh mục'!$I$14:$I$132,0)),"")</f>
        <v/>
      </c>
      <c r="N49" s="597" t="str">
        <f t="array" ref="N49">IFERROR(INDEX('Lớp 4 - Danh mục'!$M$14:$M$132,MATCH(J49,'Lớp 4 - Danh mục'!$I$14:$I$132,0)),"")</f>
        <v/>
      </c>
      <c r="O49" s="597" t="str">
        <f t="array" ref="O49">IFERROR(INDEX('Lớp 4 - Danh mục'!$N$14:$N$132,MATCH(J49,'Lớp 4 - Danh mục'!$I$14:$I$132,0)),"")</f>
        <v/>
      </c>
      <c r="P49" s="597" t="str">
        <f t="array" ref="P49">IFERROR(INDEX('Lớp 4 - Danh mục'!$O$14:$O$132,MATCH(J49,'Lớp 4 - Danh mục'!$I$14:$I$132,0)),"")</f>
        <v/>
      </c>
      <c r="Q49" s="581" t="str">
        <f t="shared" ref="Q49:T49" si="124">B49</f>
        <v>#REF!</v>
      </c>
      <c r="R49" s="420" t="str">
        <f t="shared" si="124"/>
        <v>#REF!</v>
      </c>
      <c r="S49" s="582" t="str">
        <f t="shared" si="124"/>
        <v>#REF!</v>
      </c>
      <c r="T49" s="583" t="str">
        <f t="shared" si="124"/>
        <v>#REF!</v>
      </c>
      <c r="U49" s="584" t="str">
        <f>IF($I49="","",LET(n,COUNTIFS('Lớp 6 - Chi tiết'!$J$14:$J$267,$I49,'Lớp 6 - Chi tiết'!$AE$14:$AE$267,"&lt;&gt;Hủy"),child,IFERROR(MAXIFS('Lớp 6 - Chi tiết'!$AH$14:$AH$267,'Lớp 6 - Chi tiết'!$J$14:$J$267,$I49,'Lớp 6 - Chi tiết'!$AE$14:$AE$267,"&lt;&gt;Hủy",'Lớp 6 - Chi tiết'!$AH$14:$AH$267,"&gt;0"),0),plan,#REF!,emergent,LOWER(TRIM(#REF!))="khi phát sinh",IF(n=0,IF(emergent,"",plan),IF(child=0,IF(emergent,"",plan),IF(OR(emergent,plan=""),child,MAX(plan,child))))))</f>
        <v>#REF!</v>
      </c>
      <c r="V49" s="584" t="str">
        <f>IF($I49="","",LET(n,COUNTIFS('Lớp 6 - Chi tiết'!$J$14:$J$267,$I49,'Lớp 6 - Chi tiết'!$AE$14:$AE$267,"&lt;&gt;Hủy"),child,IFERROR(MINIFS('Lớp 6 - Chi tiết'!$AG$14:$AG$267,'Lớp 6 - Chi tiết'!$J$14:$J$267,$I49,'Lớp 6 - Chi tiết'!$AE$14:$AE$267,"&lt;&gt;Hủy",'Lớp 6 - Chi tiết'!$AG$14:$AG$267,"&gt;0"),0),plan,#REF!,emergent,LOWER(TRIM(#REF!))="khi phát sinh",IF(n=0,IF(emergent,"",plan),IF(child=0,IF(emergent,"",plan),IF(OR(emergent,plan=""),child,MIN(plan,child))))))</f>
        <v>#REF!</v>
      </c>
      <c r="W49" s="577" t="str">
        <f t="shared" si="15"/>
        <v>#REF!</v>
      </c>
      <c r="X49" s="577" t="str">
        <f t="shared" ref="X49:Y49" si="125">#REF!</f>
        <v>#REF!</v>
      </c>
      <c r="Y49" s="585" t="str">
        <f t="shared" si="125"/>
        <v>#REF!</v>
      </c>
      <c r="Z49" s="586" t="str">
        <f t="array" ref="Z49">IFERROR(INDEX('Lớp 4 - Danh mục'!$X$14:$X$132,MATCH(J49,'Lớp 4 - Danh mục'!$I$14:$I$132,0)),"")</f>
        <v/>
      </c>
      <c r="AA49" s="577" t="str">
        <f t="shared" ref="AA49:AC49" si="126">#REF!</f>
        <v>#REF!</v>
      </c>
      <c r="AB49" s="572" t="str">
        <f t="shared" si="126"/>
        <v>#REF!</v>
      </c>
      <c r="AC49" s="420" t="str">
        <f t="shared" si="126"/>
        <v>#REF!</v>
      </c>
      <c r="AD49" s="584" t="str">
        <f t="shared" si="16"/>
        <v>#REF!</v>
      </c>
      <c r="AE49" s="584" t="str">
        <f t="shared" si="17"/>
        <v>#REF!</v>
      </c>
      <c r="AF49" s="587" t="str">
        <f>IF(AM49&lt;&gt;"Có thời hạn","",IF(OR(AD49="",AE49=""),"",IF(AE49&lt;AD49,"",_xlfn.NETWORKDAYS.INTL(AD49,AE49,11,'Ngày nghỉ lễ'!$A$5:$A$80))))</f>
        <v>#REF!</v>
      </c>
      <c r="AG49" s="588" t="str">
        <f>IF(I49="","",IF(L49="Công việc khác","",IF(OR(AB49="Chưa lên lịch",AB49="Đã lên lịch",AB49="Hủy"),"",IF(COUNTIFS('Lớp 6 - Chi tiết'!$J$14:$J$267,I49,'Lớp 6 - Chi tiết'!$AE$14:$AE$267,"&lt;&gt;",'Lớp 6 - Chi tiết'!$AE$14:$AE$267,"&lt;&gt;Hủy",'Lớp 6 - Chi tiết'!$AE$14:$AE$267,"&lt;&gt;Chưa lên lịch",'Lớp 6 - Chi tiết'!$AE$14:$AE$267,"&lt;&gt;Đã lên lịch")&gt;0,SUMIFS('Lớp 6 - Chi tiết'!$AJ$14:$AJ$267,'Lớp 6 - Chi tiết'!$J$14:$J$267,I49,'Lớp 6 - Chi tiết'!$AE$14:$AE$267,"&lt;&gt;",'Lớp 6 - Chi tiết'!$AE$14:$AE$267,"&lt;&gt;Hủy",'Lớp 6 - Chi tiết'!$AE$14:$AE$267,"&lt;&gt;Chưa lên lịch",'Lớp 6 - Chi tiết'!$AE$14:$AE$267,"&lt;&gt;Đã lên lịch")/COUNTIFS('Lớp 6 - Chi tiết'!$J$14:$J$267,I49,'Lớp 6 - Chi tiết'!$AE$14:$AE$267,"&lt;&gt;",'Lớp 6 - Chi tiết'!$AE$14:$AE$267,"&lt;&gt;Hủy",'Lớp 6 - Chi tiết'!$AE$14:$AE$267,"&lt;&gt;Chưa lên lịch",'Lớp 6 - Chi tiết'!$AE$14:$AE$267,"&lt;&gt;Đã lên lịch"),IF(AB49="Hoàn thành",1,0)))))</f>
        <v>#REF!</v>
      </c>
      <c r="AH49" s="587" t="str">
        <f>IF(AM49&lt;&gt;"Có thời hạn","",IF(OR(I49="",AD49="",AE49=""),"",IF(OR(AB49="Hoàn thành",AB49="Hủy"),0,IF(AE49&lt;TODAY(),-_xlfn.NETWORKDAYS.INTL(AE49,TODAY()-1,11,'Ngày nghỉ lễ'!$A$5:$A$80),MAX(0,_xlfn.NETWORKDAYS.INTL(MAX(TODAY()+1,AD49),AE49,11,'Ngày nghỉ lễ'!$A$5:$A$80))))))</f>
        <v>#REF!</v>
      </c>
      <c r="AI49" s="589" t="str">
        <f>IF($I49="","",LET(n,COUNTIFS('Lớp 6 - Chi tiết'!$J$14:$J$267,$I49,'Lớp 6 - Chi tiết'!$AE$14:$AE$267,"&lt;&gt;Hủy"),du,COUNTIFS('Lớp 6 - Chi tiết'!$J$14:$J$267,$I49,'Lớp 6 - Chi tiết'!$AE$14:$AE$267,"&lt;&gt;Hủy",'Lớp 6 - Chi tiết'!$AL$14:$AL$267,"&lt;&gt;"),IF(n=0,#REF!,IF(du&lt;n,"",SUMIFS('Lớp 6 - Chi tiết'!$AL$14:$AL$267,'Lớp 6 - Chi tiết'!$J$14:$J$267,$I49,'Lớp 6 - Chi tiết'!$AE$14:$AE$267,"&lt;&gt;Hủy")))))</f>
        <v>#REF!</v>
      </c>
      <c r="AJ49" s="468" t="str">
        <f>IF(I49="","",IF(OR(AB49="Hoàn thành",AB49="Hủy"),"",IF(COUNTIFS('Lớp 6 - Chi tiết'!$J$14:$J$267,I49,'Lớp 6 - Chi tiết'!$AE$14:$AE$267,"&lt;&gt;Hủy")&gt;0,"",IF(AS49="Ngày",AT49,IF(AS49="Tuần",AT49/5,"")))))</f>
        <v>#REF!</v>
      </c>
      <c r="AK49" s="477" t="str">
        <f>IF(AM49="Chưa xếp lịch","Chưa xếp lịch",IF(AM49="Định kỳ",IF(AN49="","Thiếu chu kỳ","Theo chu kỳ"),IF(AM49="Khi phát sinh",IF(COUNTIFS('Lớp 6 - Chi tiết'!$J$14:$J$267,$I49,'Lớp 6 - Chi tiết'!$AE$14:$AE$267,"&lt;&gt;Hủy")=0,"Khi phát sinh – chờ việc con","Khi phát sinh – theo ngày con"),IF(I49="","",LET(n,COUNTIFS('Lớp 6 - Chi tiết'!$J$14:$J$267,$I49,'Lớp 6 - Chi tiết'!$AE$14:$AE$267,"&lt;&gt;Hủy"),cs,IFERROR(MINIFS('Lớp 6 - Chi tiết'!$AG$14:$AG$267,'Lớp 6 - Chi tiết'!$J$14:$J$267,$I49,'Lớp 6 - Chi tiết'!$AE$14:$AE$267,"&lt;&gt;Hủy",'Lớp 6 - Chi tiết'!$AG$14:$AG$267,"&gt;0"),0),ce,IFERROR(MAXIFS('Lớp 6 - Chi tiết'!$AH$14:$AH$267,'Lớp 6 - Chi tiết'!$J$14:$J$267,$I49,'Lớp 6 - Chi tiết'!$AE$14:$AE$267,"&lt;&gt;Hủy",'Lớp 6 - Chi tiết'!$AH$14:$AH$267,"&gt;0"),0),ps,#REF!,pe,#REF!,IF(OR(AD49="",AE49=""),"Thiếu ngày L5",IF(n=0,"Chưa có L6",IF(OR(cs=0,ce=0),"Thiếu ngày L6",IF(OR(ps="",pe=""),"Thiếu ngày kế hoạch gốc L5",IF(OR(cs&lt;ps,ce&gt;pe),"Cảnh báo: Con vượt khung kế hoạch gốc","L6 đúng khung kế hoạch gốc"))))))))))</f>
        <v>#REF!</v>
      </c>
      <c r="AL49" s="465" t="str">
        <f>IF(OR(AV49="Thiếu tham số phân bổ",AV49="Phân bổ phải &gt; 0"),AV49,SWITCH(AM49,"Chưa xếp lịch","Chưa tính tải","Định kỳ","Theo chu kỳ","Khi phát sinh","Khi phát sinh",IF(I49="","",IF(OR(AB49="Hoàn thành",AB49="Hủy"),AB49,IF(COUNTIFS('Lớp 6 - Chi tiết'!$J$14:$J$267,I49,'Lớp 6 - Chi tiết'!$AE$14:$AE$267,"&lt;&gt;Hủy")&gt;0,"Theo dõi tải tại Lớp 6",IF(AI49="","Chưa nhập khối lượng",IF(AA49="","Thiếu người thực hiện",IF(OR(AD49="",AE49=""),"Chưa nhập đủ thời gian",IF(AH49&lt;0,"Quá hạn – còn "&amp;TEXT(MAX(0,AI49*(1-AG49)),"0.0")&amp;" giờ",LET(bd,MAX(TODAY(),AD49),kt,AE49,nguoi,AA49,tai,SUMIFS('Lớp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#REF!</v>
      </c>
      <c r="AM49" s="467" t="str">
        <f t="shared" ref="AM49:AP49" si="127">#REF!</f>
        <v>#REF!</v>
      </c>
      <c r="AN49" s="469" t="str">
        <f t="shared" si="127"/>
        <v>#REF!</v>
      </c>
      <c r="AO49" s="470" t="str">
        <f t="shared" si="127"/>
        <v>#REF!</v>
      </c>
      <c r="AP49" s="470" t="str">
        <f t="shared" si="127"/>
        <v>#REF!</v>
      </c>
      <c r="AQ49" s="471" t="str">
        <f t="shared" si="18"/>
        <v>#REF!</v>
      </c>
      <c r="AR49" s="469" t="str">
        <f t="shared" si="19"/>
        <v>#REF!</v>
      </c>
      <c r="AS49" s="475" t="str">
        <f t="shared" ref="AS49:AT49" si="128">#REF!</f>
        <v>#REF!</v>
      </c>
      <c r="AT49" s="476" t="str">
        <f t="shared" si="128"/>
        <v>#REF!</v>
      </c>
      <c r="AU49" s="478" t="str">
        <f>IF(AM49&lt;&gt;"Có thời hạn","",IF(OR(I49="",AI49="",AB49="Hoàn thành",AB49="Hủy",COUNTIFS('Lớp 6 - Chi tiết'!$J$14:$J$267,I49,'Lớp 6 - Chi tiết'!$AE$14:$AE$267,"&lt;&gt;Hủy")&gt;0),"",LET(canNgay,MAX(0,AI49*(1-AG49))/MAX(1,AH49),IF(AS49="Ngày",canNgay,IF(AS49="Tuần",canNgay*5,"")))))</f>
        <v>#REF!</v>
      </c>
      <c r="AV49" s="465" t="str">
        <f>IF(I49="","",IF(COUNTIFS('Lớp 6 - Chi tiết'!$J$14:$J$267,I49,'Lớp 6 - Chi tiết'!$AE$14:$AE$267,"&lt;&gt;Hủy")&gt;0,"Theo dõi phân bổ tại Lớp 6",IF(OR(AB49="Hoàn thành",AB49="Hủy"),AB49,IF(AI49="","Thiếu tổng giờ",IF(OR(AS49="",AT49=""),"Thiếu tham số phân bổ",IF(AT49&lt;=0,"Phân bổ phải &gt; 0",IF(AM49&lt;&gt;"Có thời hạn","Đã có phân bổ",IF(AU49="","Chưa đủ dữ liệu hạn",IF(AT49&gt;=AU49,"Đủ phân bổ theo "&amp;LOWER(AS49),"Thiếu "&amp;TEXT(AU49-AT49,"0.0")&amp;" giờ/"&amp;LOWER(AS49))))))))))</f>
        <v>#REF!</v>
      </c>
      <c r="AW49" s="465" t="str">
        <f t="shared" si="20"/>
        <v>#REF!</v>
      </c>
      <c r="AX49" s="479" t="str">
        <f>#REF!</f>
        <v>#REF!</v>
      </c>
    </row>
    <row r="50" ht="15.75" customHeight="1">
      <c r="A50" s="424">
        <f t="shared" si="11"/>
        <v>37</v>
      </c>
      <c r="B50" s="572" t="str">
        <f>'Trung tâm nhập liệu'!F197</f>
        <v>Báo cáo phân tích nội tại hiện trạng hàng HHa SX</v>
      </c>
      <c r="C50" s="591" t="str">
        <f>'Trung tâm nhập liệu'!M197</f>
        <v/>
      </c>
      <c r="D50" s="623">
        <f t="shared" ref="D50:E50" si="129">AG50</f>
        <v>0</v>
      </c>
      <c r="E50" s="617" t="str">
        <f t="shared" si="129"/>
        <v/>
      </c>
      <c r="F50" s="575" t="str">
        <f t="shared" ref="F50:G50" si="130">U50</f>
        <v/>
      </c>
      <c r="G50" s="575" t="str">
        <f t="shared" si="130"/>
        <v/>
      </c>
      <c r="H50" s="576" t="str">
        <f>IF(B50="","",IF(COUNTIF('Lớp 6 - Chi tiết'!$J$14:$J$267,I50)&gt;0,"Có","Không"))</f>
        <v>Không</v>
      </c>
      <c r="I50" s="577" t="str">
        <f>'Trung tâm nhập liệu'!B197</f>
        <v>HHL5RD01-02</v>
      </c>
      <c r="J50" s="577" t="str">
        <f>'Trung tâm nhập liệu'!D197</f>
        <v>HHL4RD26</v>
      </c>
      <c r="K50" s="597" t="str">
        <f t="array" ref="K50">IFERROR(INDEX('Lớp 4 - Danh mục'!$J$14:$J$132,MATCH(J50,'Lớp 4 - Danh mục'!$I$14:$I$132,0)),"")</f>
        <v/>
      </c>
      <c r="L50" s="598" t="str">
        <f t="array" ref="L50">IFERROR(INDEX('Lớp 4 - Danh mục'!$K$14:$K$132,MATCH(J50,'Lớp 4 - Danh mục'!$I$14:$I$132,0)),"")</f>
        <v/>
      </c>
      <c r="M50" s="438" t="str">
        <f t="array" ref="M50">IFERROR(INDEX('Lớp 4 - Danh mục'!$L$14:$L$132,MATCH(J50,'Lớp 4 - Danh mục'!$I$14:$I$132,0)),"")</f>
        <v/>
      </c>
      <c r="N50" s="597" t="str">
        <f t="array" ref="N50">IFERROR(INDEX('Lớp 4 - Danh mục'!$M$14:$M$132,MATCH(J50,'Lớp 4 - Danh mục'!$I$14:$I$132,0)),"")</f>
        <v/>
      </c>
      <c r="O50" s="597" t="str">
        <f t="array" ref="O50">IFERROR(INDEX('Lớp 4 - Danh mục'!$N$14:$N$132,MATCH(J50,'Lớp 4 - Danh mục'!$I$14:$I$132,0)),"")</f>
        <v/>
      </c>
      <c r="P50" s="597" t="str">
        <f t="array" ref="P50">IFERROR(INDEX('Lớp 4 - Danh mục'!$O$14:$O$132,MATCH(J50,'Lớp 4 - Danh mục'!$I$14:$I$132,0)),"")</f>
        <v/>
      </c>
      <c r="Q50" s="581" t="str">
        <f t="shared" ref="Q50:T50" si="131">B50</f>
        <v>Báo cáo phân tích nội tại hiện trạng hàng HHa SX</v>
      </c>
      <c r="R50" s="420" t="str">
        <f t="shared" si="131"/>
        <v/>
      </c>
      <c r="S50" s="582">
        <f t="shared" si="131"/>
        <v>0</v>
      </c>
      <c r="T50" s="583" t="str">
        <f t="shared" si="131"/>
        <v/>
      </c>
      <c r="U50" s="584" t="str">
        <f>IF($I50="","",LET(n,COUNTIFS('Lớp 6 - Chi tiết'!$J$14:$J$267,$I50,'Lớp 6 - Chi tiết'!$AE$14:$AE$267,"&lt;&gt;Hủy"),child,IFERROR(MAXIFS('Lớp 6 - Chi tiết'!$AH$14:$AH$267,'Lớp 6 - Chi tiết'!$J$14:$J$267,$I50,'Lớp 6 - Chi tiết'!$AE$14:$AE$267,"&lt;&gt;Hủy",'Lớp 6 - Chi tiết'!$AH$14:$AH$267,"&gt;0"),0),plan,'Trung tâm nhập liệu'!Q197,emergent,LOWER(TRIM('Trung tâm nhập liệu'!O197))="khi phát sinh",IF(n=0,IF(emergent,"",plan),IF(child=0,IF(emergent,"",plan),IF(OR(emergent,plan=""),child,MAX(plan,child))))))</f>
        <v/>
      </c>
      <c r="V50" s="584" t="str">
        <f>IF($I50="","",LET(n,COUNTIFS('Lớp 6 - Chi tiết'!$J$14:$J$267,$I50,'Lớp 6 - Chi tiết'!$AE$14:$AE$267,"&lt;&gt;Hủy"),child,IFERROR(MINIFS('Lớp 6 - Chi tiết'!$AG$14:$AG$267,'Lớp 6 - Chi tiết'!$J$14:$J$267,$I50,'Lớp 6 - Chi tiết'!$AE$14:$AE$267,"&lt;&gt;Hủy",'Lớp 6 - Chi tiết'!$AG$14:$AG$267,"&gt;0"),0),plan,'Trung tâm nhập liệu'!R197,emergent,LOWER(TRIM('Trung tâm nhập liệu'!O197))="khi phát sinh",IF(n=0,IF(emergent,"",plan),IF(child=0,IF(emergent,"",plan),IF(OR(emergent,plan=""),child,MIN(plan,child))))))</f>
        <v/>
      </c>
      <c r="W50" s="577" t="str">
        <f t="shared" si="15"/>
        <v>Không</v>
      </c>
      <c r="X50" s="577" t="str">
        <f>'Trung tâm nhập liệu'!G197</f>
        <v/>
      </c>
      <c r="Y50" s="585" t="str">
        <f>'Trung tâm nhập liệu'!H197</f>
        <v/>
      </c>
      <c r="Z50" s="586" t="str">
        <f t="array" ref="Z50">IFERROR(INDEX('Lớp 4 - Danh mục'!$X$14:$X$132,MATCH(J50,'Lớp 4 - Danh mục'!$I$14:$I$132,0)),"")</f>
        <v/>
      </c>
      <c r="AA50" s="577" t="str">
        <f>'Trung tâm nhập liệu'!K197</f>
        <v/>
      </c>
      <c r="AB50" s="572" t="str">
        <f>'Trung tâm nhập liệu'!L197</f>
        <v/>
      </c>
      <c r="AC50" s="420" t="str">
        <f>'Trung tâm nhập liệu'!M197</f>
        <v/>
      </c>
      <c r="AD50" s="584" t="str">
        <f t="shared" si="16"/>
        <v/>
      </c>
      <c r="AE50" s="584" t="str">
        <f t="shared" si="17"/>
        <v/>
      </c>
      <c r="AF50" s="587" t="str">
        <f>IF(AM50&lt;&gt;"Có thời hạn","",IF(OR(AD50="",AE50=""),"",IF(AE50&lt;AD50,"",_xlfn.NETWORKDAYS.INTL(AD50,AE50,11,'Ngày nghỉ lễ'!$A$5:$A$80))))</f>
        <v/>
      </c>
      <c r="AG50" s="588">
        <f>IF(I50="","",IF(L50="Công việc khác","",IF(OR(AB50="Chưa lên lịch",AB50="Đã lên lịch",AB50="Hủy"),"",IF(COUNTIFS('Lớp 6 - Chi tiết'!$J$14:$J$267,I50,'Lớp 6 - Chi tiết'!$AE$14:$AE$267,"&lt;&gt;",'Lớp 6 - Chi tiết'!$AE$14:$AE$267,"&lt;&gt;Hủy",'Lớp 6 - Chi tiết'!$AE$14:$AE$267,"&lt;&gt;Chưa lên lịch",'Lớp 6 - Chi tiết'!$AE$14:$AE$267,"&lt;&gt;Đã lên lịch")&gt;0,SUMIFS('Lớp 6 - Chi tiết'!$AJ$14:$AJ$267,'Lớp 6 - Chi tiết'!$J$14:$J$267,I50,'Lớp 6 - Chi tiết'!$AE$14:$AE$267,"&lt;&gt;",'Lớp 6 - Chi tiết'!$AE$14:$AE$267,"&lt;&gt;Hủy",'Lớp 6 - Chi tiết'!$AE$14:$AE$267,"&lt;&gt;Chưa lên lịch",'Lớp 6 - Chi tiết'!$AE$14:$AE$267,"&lt;&gt;Đã lên lịch")/COUNTIFS('Lớp 6 - Chi tiết'!$J$14:$J$267,I50,'Lớp 6 - Chi tiết'!$AE$14:$AE$267,"&lt;&gt;",'Lớp 6 - Chi tiết'!$AE$14:$AE$267,"&lt;&gt;Hủy",'Lớp 6 - Chi tiết'!$AE$14:$AE$267,"&lt;&gt;Chưa lên lịch",'Lớp 6 - Chi tiết'!$AE$14:$AE$267,"&lt;&gt;Đã lên lịch"),IF(AB50="Hoàn thành",1,0)))))</f>
        <v>0</v>
      </c>
      <c r="AH50" s="587" t="str">
        <f>IF(AM50&lt;&gt;"Có thời hạn","",IF(OR(I50="",AD50="",AE50=""),"",IF(OR(AB50="Hoàn thành",AB50="Hủy"),0,IF(AE50&lt;TODAY(),-_xlfn.NETWORKDAYS.INTL(AE50,TODAY()-1,11,'Ngày nghỉ lễ'!$A$5:$A$80),MAX(0,_xlfn.NETWORKDAYS.INTL(MAX(TODAY()+1,AD50),AE50,11,'Ngày nghỉ lễ'!$A$5:$A$80))))))</f>
        <v/>
      </c>
      <c r="AI50" s="589" t="str">
        <f>IF($I50="","",LET(n,COUNTIFS('Lớp 6 - Chi tiết'!$J$14:$J$267,$I50,'Lớp 6 - Chi tiết'!$AE$14:$AE$267,"&lt;&gt;Hủy"),du,COUNTIFS('Lớp 6 - Chi tiết'!$J$14:$J$267,$I50,'Lớp 6 - Chi tiết'!$AE$14:$AE$267,"&lt;&gt;Hủy",'Lớp 6 - Chi tiết'!$AL$14:$AL$267,"&lt;&gt;"),IF(n=0,'Trung tâm nhập liệu'!T197,IF(du&lt;n,"",SUMIFS('Lớp 6 - Chi tiết'!$AL$14:$AL$267,'Lớp 6 - Chi tiết'!$J$14:$J$267,$I50,'Lớp 6 - Chi tiết'!$AE$14:$AE$267,"&lt;&gt;Hủy")))))</f>
        <v/>
      </c>
      <c r="AJ50" s="468" t="str">
        <f>IF(I50="","",IF(OR(AB50="Hoàn thành",AB50="Hủy"),"",IF(COUNTIFS('Lớp 6 - Chi tiết'!$J$14:$J$267,I50,'Lớp 6 - Chi tiết'!$AE$14:$AE$267,"&lt;&gt;Hủy")&gt;0,"",IF(AS50="Ngày",AT50,IF(AS50="Tuần",AT50/5,"")))))</f>
        <v/>
      </c>
      <c r="AK50" s="477" t="str">
        <f>IF(AM50="Chưa xếp lịch","Chưa xếp lịch",IF(AM50="Định kỳ",IF(AN50="","Thiếu chu kỳ","Theo chu kỳ"),IF(AM50="Khi phát sinh",IF(COUNTIFS('Lớp 6 - Chi tiết'!$J$14:$J$267,$I50,'Lớp 6 - Chi tiết'!$AE$14:$AE$267,"&lt;&gt;Hủy")=0,"Khi phát sinh – chờ việc con","Khi phát sinh – theo ngày con"),IF(I50="","",LET(n,COUNTIFS('Lớp 6 - Chi tiết'!$J$14:$J$267,$I50,'Lớp 6 - Chi tiết'!$AE$14:$AE$267,"&lt;&gt;Hủy"),cs,IFERROR(MINIFS('Lớp 6 - Chi tiết'!$AG$14:$AG$267,'Lớp 6 - Chi tiết'!$J$14:$J$267,$I50,'Lớp 6 - Chi tiết'!$AE$14:$AE$267,"&lt;&gt;Hủy",'Lớp 6 - Chi tiết'!$AG$14:$AG$267,"&gt;0"),0),ce,IFERROR(MAXIFS('Lớp 6 - Chi tiết'!$AH$14:$AH$267,'Lớp 6 - Chi tiết'!$J$14:$J$267,$I50,'Lớp 6 - Chi tiết'!$AE$14:$AE$267,"&lt;&gt;Hủy",'Lớp 6 - Chi tiết'!$AH$14:$AH$267,"&gt;0"),0),ps,'Trung tâm nhập liệu'!R197,pe,'Trung tâm nhập liệu'!Q197,IF(OR(AD50="",AE50=""),"Thiếu ngày L5",IF(n=0,"Chưa có L6",IF(OR(cs=0,ce=0),"Thiếu ngày L6",IF(OR(ps="",pe=""),"Thiếu ngày kế hoạch gốc L5",IF(OR(cs&lt;ps,ce&gt;pe),"Cảnh báo: Con vượt khung kế hoạch gốc","L6 đúng khung kế hoạch gốc"))))))))))</f>
        <v>Thiếu ngày L5</v>
      </c>
      <c r="AL50" s="465" t="str">
        <f>IF(OR(AV50="Thiếu tham số phân bổ",AV50="Phân bổ phải &gt; 0"),AV50,SWITCH(AM50,"Chưa xếp lịch","Chưa tính tải","Định kỳ","Theo chu kỳ","Khi phát sinh","Khi phát sinh",IF(I50="","",IF(OR(AB50="Hoàn thành",AB50="Hủy"),AB50,IF(COUNTIFS('Lớp 6 - Chi tiết'!$J$14:$J$267,I50,'Lớp 6 - Chi tiết'!$AE$14:$AE$267,"&lt;&gt;Hủy")&gt;0,"Theo dõi tải tại Lớp 6",IF(AI50="","Chưa nhập khối lượng",IF(AA50="","Thiếu người thực hiện",IF(OR(AD50="",AE50=""),"Chưa nhập đủ thời gian",IF(AH50&lt;0,"Quá hạn – còn "&amp;TEXT(MAX(0,AI50*(1-AG50)),"0.0")&amp;" giờ",LET(bd,MAX(TODAY(),AD50),kt,AE50,nguoi,AA50,tai,SUMIFS('Lớp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M50" s="467" t="str">
        <f>'Trung tâm nhập liệu'!O197</f>
        <v/>
      </c>
      <c r="AN50" s="469" t="str">
        <f>'Trung tâm nhập liệu'!P197</f>
        <v/>
      </c>
      <c r="AO50" s="470" t="str">
        <f>'Trung tâm nhập liệu'!S197</f>
        <v/>
      </c>
      <c r="AP50" s="470" t="str">
        <f>'Trung tâm nhập liệu'!X197</f>
        <v/>
      </c>
      <c r="AQ50" s="471" t="str">
        <f t="shared" si="18"/>
        <v/>
      </c>
      <c r="AR50" s="469" t="str">
        <f t="shared" si="19"/>
        <v/>
      </c>
      <c r="AS50" s="475" t="str">
        <f>'Trung tâm nhập liệu'!V197</f>
        <v/>
      </c>
      <c r="AT50" s="476" t="str">
        <f>'Trung tâm nhập liệu'!W197</f>
        <v/>
      </c>
      <c r="AU50" s="478" t="str">
        <f>IF(AM50&lt;&gt;"Có thời hạn","",IF(OR(I50="",AI50="",AB50="Hoàn thành",AB50="Hủy",COUNTIFS('Lớp 6 - Chi tiết'!$J$14:$J$267,I50,'Lớp 6 - Chi tiết'!$AE$14:$AE$267,"&lt;&gt;Hủy")&gt;0),"",LET(canNgay,MAX(0,AI50*(1-AG50))/MAX(1,AH50),IF(AS50="Ngày",canNgay,IF(AS50="Tuần",canNgay*5,"")))))</f>
        <v/>
      </c>
      <c r="AV50" s="465" t="str">
        <f>IF(I50="","",IF(COUNTIFS('Lớp 6 - Chi tiết'!$J$14:$J$267,I50,'Lớp 6 - Chi tiết'!$AE$14:$AE$267,"&lt;&gt;Hủy")&gt;0,"Theo dõi phân bổ tại Lớp 6",IF(OR(AB50="Hoàn thành",AB50="Hủy"),AB50,IF(AI50="","Thiếu tổng giờ",IF(OR(AS50="",AT50=""),"Thiếu tham số phân bổ",IF(AT50&lt;=0,"Phân bổ phải &gt; 0",IF(AM50&lt;&gt;"Có thời hạn","Đã có phân bổ",IF(AU50="","Chưa đủ dữ liệu hạn",IF(AT50&gt;=AU50,"Đủ phân bổ theo "&amp;LOWER(AS50),"Thiếu "&amp;TEXT(AU50-AT50,"0.0")&amp;" giờ/"&amp;LOWER(AS50))))))))))</f>
        <v>Thiếu tổng giờ</v>
      </c>
      <c r="AW50" s="465" t="str">
        <f t="shared" si="20"/>
        <v>Thiếu trạng thái</v>
      </c>
      <c r="AX50" s="479" t="str">
        <f>'Trung tâm nhập liệu'!Y197</f>
        <v/>
      </c>
    </row>
    <row r="51" ht="15.75" customHeight="1">
      <c r="A51" s="424">
        <f t="shared" si="11"/>
        <v>38</v>
      </c>
      <c r="B51" s="572" t="str">
        <f>'Trung tâm nhập liệu'!F198</f>
        <v>Báo cáo phân tích NLSX</v>
      </c>
      <c r="C51" s="591" t="str">
        <f>'Trung tâm nhập liệu'!M198</f>
        <v/>
      </c>
      <c r="D51" s="623">
        <f t="shared" ref="D51:E51" si="132">AG51</f>
        <v>0</v>
      </c>
      <c r="E51" s="617" t="str">
        <f t="shared" si="132"/>
        <v/>
      </c>
      <c r="F51" s="575" t="str">
        <f t="shared" ref="F51:G51" si="133">U51</f>
        <v/>
      </c>
      <c r="G51" s="575" t="str">
        <f t="shared" si="133"/>
        <v/>
      </c>
      <c r="H51" s="576" t="str">
        <f>IF(B51="","",IF(COUNTIF('Lớp 6 - Chi tiết'!$J$14:$J$267,I51)&gt;0,"Có","Không"))</f>
        <v>Không</v>
      </c>
      <c r="I51" s="577" t="str">
        <f>'Trung tâm nhập liệu'!B198</f>
        <v>HHL5RD01-03</v>
      </c>
      <c r="J51" s="577" t="str">
        <f>'Trung tâm nhập liệu'!D198</f>
        <v>HHL4RD26</v>
      </c>
      <c r="K51" s="597" t="str">
        <f t="array" ref="K51">IFERROR(INDEX('Lớp 4 - Danh mục'!$J$14:$J$132,MATCH(J51,'Lớp 4 - Danh mục'!$I$14:$I$132,0)),"")</f>
        <v/>
      </c>
      <c r="L51" s="598" t="str">
        <f t="array" ref="L51">IFERROR(INDEX('Lớp 4 - Danh mục'!$K$14:$K$132,MATCH(J51,'Lớp 4 - Danh mục'!$I$14:$I$132,0)),"")</f>
        <v/>
      </c>
      <c r="M51" s="438" t="str">
        <f t="array" ref="M51">IFERROR(INDEX('Lớp 4 - Danh mục'!$L$14:$L$132,MATCH(J51,'Lớp 4 - Danh mục'!$I$14:$I$132,0)),"")</f>
        <v/>
      </c>
      <c r="N51" s="597" t="str">
        <f t="array" ref="N51">IFERROR(INDEX('Lớp 4 - Danh mục'!$M$14:$M$132,MATCH(J51,'Lớp 4 - Danh mục'!$I$14:$I$132,0)),"")</f>
        <v/>
      </c>
      <c r="O51" s="597" t="str">
        <f t="array" ref="O51">IFERROR(INDEX('Lớp 4 - Danh mục'!$N$14:$N$132,MATCH(J51,'Lớp 4 - Danh mục'!$I$14:$I$132,0)),"")</f>
        <v/>
      </c>
      <c r="P51" s="597" t="str">
        <f t="array" ref="P51">IFERROR(INDEX('Lớp 4 - Danh mục'!$O$14:$O$132,MATCH(J51,'Lớp 4 - Danh mục'!$I$14:$I$132,0)),"")</f>
        <v/>
      </c>
      <c r="Q51" s="581" t="str">
        <f t="shared" ref="Q51:T51" si="134">B51</f>
        <v>Báo cáo phân tích NLSX</v>
      </c>
      <c r="R51" s="420" t="str">
        <f t="shared" si="134"/>
        <v/>
      </c>
      <c r="S51" s="582">
        <f t="shared" si="134"/>
        <v>0</v>
      </c>
      <c r="T51" s="583" t="str">
        <f t="shared" si="134"/>
        <v/>
      </c>
      <c r="U51" s="584" t="str">
        <f>IF($I51="","",LET(n,COUNTIFS('Lớp 6 - Chi tiết'!$J$14:$J$267,$I51,'Lớp 6 - Chi tiết'!$AE$14:$AE$267,"&lt;&gt;Hủy"),child,IFERROR(MAXIFS('Lớp 6 - Chi tiết'!$AH$14:$AH$267,'Lớp 6 - Chi tiết'!$J$14:$J$267,$I51,'Lớp 6 - Chi tiết'!$AE$14:$AE$267,"&lt;&gt;Hủy",'Lớp 6 - Chi tiết'!$AH$14:$AH$267,"&gt;0"),0),plan,'Trung tâm nhập liệu'!Q198,emergent,LOWER(TRIM('Trung tâm nhập liệu'!O198))="khi phát sinh",IF(n=0,IF(emergent,"",plan),IF(child=0,IF(emergent,"",plan),IF(OR(emergent,plan=""),child,MAX(plan,child))))))</f>
        <v/>
      </c>
      <c r="V51" s="584" t="str">
        <f>IF($I51="","",LET(n,COUNTIFS('Lớp 6 - Chi tiết'!$J$14:$J$267,$I51,'Lớp 6 - Chi tiết'!$AE$14:$AE$267,"&lt;&gt;Hủy"),child,IFERROR(MINIFS('Lớp 6 - Chi tiết'!$AG$14:$AG$267,'Lớp 6 - Chi tiết'!$J$14:$J$267,$I51,'Lớp 6 - Chi tiết'!$AE$14:$AE$267,"&lt;&gt;Hủy",'Lớp 6 - Chi tiết'!$AG$14:$AG$267,"&gt;0"),0),plan,'Trung tâm nhập liệu'!R198,emergent,LOWER(TRIM('Trung tâm nhập liệu'!O198))="khi phát sinh",IF(n=0,IF(emergent,"",plan),IF(child=0,IF(emergent,"",plan),IF(OR(emergent,plan=""),child,MIN(plan,child))))))</f>
        <v/>
      </c>
      <c r="W51" s="577" t="str">
        <f t="shared" si="15"/>
        <v>Không</v>
      </c>
      <c r="X51" s="577" t="str">
        <f>'Trung tâm nhập liệu'!G198</f>
        <v/>
      </c>
      <c r="Y51" s="585" t="str">
        <f>'Trung tâm nhập liệu'!H198</f>
        <v/>
      </c>
      <c r="Z51" s="586" t="str">
        <f t="array" ref="Z51">IFERROR(INDEX('Lớp 4 - Danh mục'!$X$14:$X$132,MATCH(J51,'Lớp 4 - Danh mục'!$I$14:$I$132,0)),"")</f>
        <v/>
      </c>
      <c r="AA51" s="577" t="str">
        <f>'Trung tâm nhập liệu'!K198</f>
        <v/>
      </c>
      <c r="AB51" s="572" t="str">
        <f>'Trung tâm nhập liệu'!L198</f>
        <v/>
      </c>
      <c r="AC51" s="420" t="str">
        <f>'Trung tâm nhập liệu'!M198</f>
        <v/>
      </c>
      <c r="AD51" s="584" t="str">
        <f t="shared" si="16"/>
        <v/>
      </c>
      <c r="AE51" s="584" t="str">
        <f t="shared" si="17"/>
        <v/>
      </c>
      <c r="AF51" s="587" t="str">
        <f>IF(AM51&lt;&gt;"Có thời hạn","",IF(OR(AD51="",AE51=""),"",IF(AE51&lt;AD51,"",_xlfn.NETWORKDAYS.INTL(AD51,AE51,11,'Ngày nghỉ lễ'!$A$5:$A$80))))</f>
        <v/>
      </c>
      <c r="AG51" s="588">
        <f>IF(I51="","",IF(L51="Công việc khác","",IF(OR(AB51="Chưa lên lịch",AB51="Đã lên lịch",AB51="Hủy"),"",IF(COUNTIFS('Lớp 6 - Chi tiết'!$J$14:$J$267,I51,'Lớp 6 - Chi tiết'!$AE$14:$AE$267,"&lt;&gt;",'Lớp 6 - Chi tiết'!$AE$14:$AE$267,"&lt;&gt;Hủy",'Lớp 6 - Chi tiết'!$AE$14:$AE$267,"&lt;&gt;Chưa lên lịch",'Lớp 6 - Chi tiết'!$AE$14:$AE$267,"&lt;&gt;Đã lên lịch")&gt;0,SUMIFS('Lớp 6 - Chi tiết'!$AJ$14:$AJ$267,'Lớp 6 - Chi tiết'!$J$14:$J$267,I51,'Lớp 6 - Chi tiết'!$AE$14:$AE$267,"&lt;&gt;",'Lớp 6 - Chi tiết'!$AE$14:$AE$267,"&lt;&gt;Hủy",'Lớp 6 - Chi tiết'!$AE$14:$AE$267,"&lt;&gt;Chưa lên lịch",'Lớp 6 - Chi tiết'!$AE$14:$AE$267,"&lt;&gt;Đã lên lịch")/COUNTIFS('Lớp 6 - Chi tiết'!$J$14:$J$267,I51,'Lớp 6 - Chi tiết'!$AE$14:$AE$267,"&lt;&gt;",'Lớp 6 - Chi tiết'!$AE$14:$AE$267,"&lt;&gt;Hủy",'Lớp 6 - Chi tiết'!$AE$14:$AE$267,"&lt;&gt;Chưa lên lịch",'Lớp 6 - Chi tiết'!$AE$14:$AE$267,"&lt;&gt;Đã lên lịch"),IF(AB51="Hoàn thành",1,0)))))</f>
        <v>0</v>
      </c>
      <c r="AH51" s="587" t="str">
        <f>IF(AM51&lt;&gt;"Có thời hạn","",IF(OR(I51="",AD51="",AE51=""),"",IF(OR(AB51="Hoàn thành",AB51="Hủy"),0,IF(AE51&lt;TODAY(),-_xlfn.NETWORKDAYS.INTL(AE51,TODAY()-1,11,'Ngày nghỉ lễ'!$A$5:$A$80),MAX(0,_xlfn.NETWORKDAYS.INTL(MAX(TODAY()+1,AD51),AE51,11,'Ngày nghỉ lễ'!$A$5:$A$80))))))</f>
        <v/>
      </c>
      <c r="AI51" s="589" t="str">
        <f>IF($I51="","",LET(n,COUNTIFS('Lớp 6 - Chi tiết'!$J$14:$J$267,$I51,'Lớp 6 - Chi tiết'!$AE$14:$AE$267,"&lt;&gt;Hủy"),du,COUNTIFS('Lớp 6 - Chi tiết'!$J$14:$J$267,$I51,'Lớp 6 - Chi tiết'!$AE$14:$AE$267,"&lt;&gt;Hủy",'Lớp 6 - Chi tiết'!$AL$14:$AL$267,"&lt;&gt;"),IF(n=0,'Trung tâm nhập liệu'!T198,IF(du&lt;n,"",SUMIFS('Lớp 6 - Chi tiết'!$AL$14:$AL$267,'Lớp 6 - Chi tiết'!$J$14:$J$267,$I51,'Lớp 6 - Chi tiết'!$AE$14:$AE$267,"&lt;&gt;Hủy")))))</f>
        <v/>
      </c>
      <c r="AJ51" s="468" t="str">
        <f>IF(I51="","",IF(OR(AB51="Hoàn thành",AB51="Hủy"),"",IF(COUNTIFS('Lớp 6 - Chi tiết'!$J$14:$J$267,I51,'Lớp 6 - Chi tiết'!$AE$14:$AE$267,"&lt;&gt;Hủy")&gt;0,"",IF(AS51="Ngày",AT51,IF(AS51="Tuần",AT51/5,"")))))</f>
        <v/>
      </c>
      <c r="AK51" s="477" t="str">
        <f>IF(AM51="Chưa xếp lịch","Chưa xếp lịch",IF(AM51="Định kỳ",IF(AN51="","Thiếu chu kỳ","Theo chu kỳ"),IF(AM51="Khi phát sinh",IF(COUNTIFS('Lớp 6 - Chi tiết'!$J$14:$J$267,$I51,'Lớp 6 - Chi tiết'!$AE$14:$AE$267,"&lt;&gt;Hủy")=0,"Khi phát sinh – chờ việc con","Khi phát sinh – theo ngày con"),IF(I51="","",LET(n,COUNTIFS('Lớp 6 - Chi tiết'!$J$14:$J$267,$I51,'Lớp 6 - Chi tiết'!$AE$14:$AE$267,"&lt;&gt;Hủy"),cs,IFERROR(MINIFS('Lớp 6 - Chi tiết'!$AG$14:$AG$267,'Lớp 6 - Chi tiết'!$J$14:$J$267,$I51,'Lớp 6 - Chi tiết'!$AE$14:$AE$267,"&lt;&gt;Hủy",'Lớp 6 - Chi tiết'!$AG$14:$AG$267,"&gt;0"),0),ce,IFERROR(MAXIFS('Lớp 6 - Chi tiết'!$AH$14:$AH$267,'Lớp 6 - Chi tiết'!$J$14:$J$267,$I51,'Lớp 6 - Chi tiết'!$AE$14:$AE$267,"&lt;&gt;Hủy",'Lớp 6 - Chi tiết'!$AH$14:$AH$267,"&gt;0"),0),ps,'Trung tâm nhập liệu'!R198,pe,'Trung tâm nhập liệu'!Q198,IF(OR(AD51="",AE51=""),"Thiếu ngày L5",IF(n=0,"Chưa có L6",IF(OR(cs=0,ce=0),"Thiếu ngày L6",IF(OR(ps="",pe=""),"Thiếu ngày kế hoạch gốc L5",IF(OR(cs&lt;ps,ce&gt;pe),"Cảnh báo: Con vượt khung kế hoạch gốc","L6 đúng khung kế hoạch gốc"))))))))))</f>
        <v>Thiếu ngày L5</v>
      </c>
      <c r="AL51" s="465" t="str">
        <f>IF(OR(AV51="Thiếu tham số phân bổ",AV51="Phân bổ phải &gt; 0"),AV51,SWITCH(AM51,"Chưa xếp lịch","Chưa tính tải","Định kỳ","Theo chu kỳ","Khi phát sinh","Khi phát sinh",IF(I51="","",IF(OR(AB51="Hoàn thành",AB51="Hủy"),AB51,IF(COUNTIFS('Lớp 6 - Chi tiết'!$J$14:$J$267,I51,'Lớp 6 - Chi tiết'!$AE$14:$AE$267,"&lt;&gt;Hủy")&gt;0,"Theo dõi tải tại Lớp 6",IF(AI51="","Chưa nhập khối lượng",IF(AA51="","Thiếu người thực hiện",IF(OR(AD51="",AE51=""),"Chưa nhập đủ thời gian",IF(AH51&lt;0,"Quá hạn – còn "&amp;TEXT(MAX(0,AI51*(1-AG51)),"0.0")&amp;" giờ",LET(bd,MAX(TODAY(),AD51),kt,AE51,nguoi,AA51,tai,SUMIFS('Lớp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M51" s="467" t="str">
        <f>'Trung tâm nhập liệu'!O198</f>
        <v/>
      </c>
      <c r="AN51" s="469" t="str">
        <f>'Trung tâm nhập liệu'!P198</f>
        <v/>
      </c>
      <c r="AO51" s="470" t="str">
        <f>'Trung tâm nhập liệu'!S198</f>
        <v/>
      </c>
      <c r="AP51" s="470" t="str">
        <f>'Trung tâm nhập liệu'!X198</f>
        <v/>
      </c>
      <c r="AQ51" s="471" t="str">
        <f t="shared" si="18"/>
        <v/>
      </c>
      <c r="AR51" s="469" t="str">
        <f t="shared" si="19"/>
        <v/>
      </c>
      <c r="AS51" s="475" t="str">
        <f>'Trung tâm nhập liệu'!V198</f>
        <v/>
      </c>
      <c r="AT51" s="476" t="str">
        <f>'Trung tâm nhập liệu'!W198</f>
        <v/>
      </c>
      <c r="AU51" s="478" t="str">
        <f>IF(AM51&lt;&gt;"Có thời hạn","",IF(OR(I51="",AI51="",AB51="Hoàn thành",AB51="Hủy",COUNTIFS('Lớp 6 - Chi tiết'!$J$14:$J$267,I51,'Lớp 6 - Chi tiết'!$AE$14:$AE$267,"&lt;&gt;Hủy")&gt;0),"",LET(canNgay,MAX(0,AI51*(1-AG51))/MAX(1,AH51),IF(AS51="Ngày",canNgay,IF(AS51="Tuần",canNgay*5,"")))))</f>
        <v/>
      </c>
      <c r="AV51" s="465" t="str">
        <f>IF(I51="","",IF(COUNTIFS('Lớp 6 - Chi tiết'!$J$14:$J$267,I51,'Lớp 6 - Chi tiết'!$AE$14:$AE$267,"&lt;&gt;Hủy")&gt;0,"Theo dõi phân bổ tại Lớp 6",IF(OR(AB51="Hoàn thành",AB51="Hủy"),AB51,IF(AI51="","Thiếu tổng giờ",IF(OR(AS51="",AT51=""),"Thiếu tham số phân bổ",IF(AT51&lt;=0,"Phân bổ phải &gt; 0",IF(AM51&lt;&gt;"Có thời hạn","Đã có phân bổ",IF(AU51="","Chưa đủ dữ liệu hạn",IF(AT51&gt;=AU51,"Đủ phân bổ theo "&amp;LOWER(AS51),"Thiếu "&amp;TEXT(AU51-AT51,"0.0")&amp;" giờ/"&amp;LOWER(AS51))))))))))</f>
        <v>Thiếu tổng giờ</v>
      </c>
      <c r="AW51" s="465" t="str">
        <f t="shared" si="20"/>
        <v>Thiếu trạng thái</v>
      </c>
      <c r="AX51" s="479" t="str">
        <f>'Trung tâm nhập liệu'!Y198</f>
        <v/>
      </c>
    </row>
    <row r="52" ht="15.75" customHeight="1">
      <c r="A52" s="424" t="str">
        <f t="shared" si="11"/>
        <v/>
      </c>
      <c r="B52" s="572" t="str">
        <f>'Trung tâm nhập liệu'!F202</f>
        <v/>
      </c>
      <c r="C52" s="591" t="str">
        <f>'Trung tâm nhập liệu'!M202</f>
        <v/>
      </c>
      <c r="D52" s="623" t="str">
        <f t="shared" ref="D52:E52" si="135">AG52</f>
        <v/>
      </c>
      <c r="E52" s="617" t="str">
        <f t="shared" si="135"/>
        <v/>
      </c>
      <c r="F52" s="575" t="str">
        <f t="shared" ref="F52:G52" si="136">U52</f>
        <v/>
      </c>
      <c r="G52" s="575" t="str">
        <f t="shared" si="136"/>
        <v/>
      </c>
      <c r="H52" s="576" t="str">
        <f>IF(B52="","",IF(COUNTIF('Lớp 6 - Chi tiết'!$J$14:$J$267,I52)&gt;0,"Có","Không"))</f>
        <v/>
      </c>
      <c r="I52" s="577" t="str">
        <f>'Trung tâm nhập liệu'!B202</f>
        <v/>
      </c>
      <c r="J52" s="577" t="str">
        <f>'Trung tâm nhập liệu'!D202</f>
        <v/>
      </c>
      <c r="K52" s="597" t="str">
        <f t="array" ref="K52">IFERROR(INDEX('Lớp 4 - Danh mục'!$J$14:$J$132,MATCH(J52,'Lớp 4 - Danh mục'!$I$14:$I$132,0)),"")</f>
        <v/>
      </c>
      <c r="L52" s="598" t="str">
        <f t="array" ref="L52">IFERROR(INDEX('Lớp 4 - Danh mục'!$K$14:$K$132,MATCH(J52,'Lớp 4 - Danh mục'!$I$14:$I$132,0)),"")</f>
        <v/>
      </c>
      <c r="M52" s="438" t="str">
        <f t="array" ref="M52">IFERROR(INDEX('Lớp 4 - Danh mục'!$L$14:$L$132,MATCH(J52,'Lớp 4 - Danh mục'!$I$14:$I$132,0)),"")</f>
        <v/>
      </c>
      <c r="N52" s="597" t="str">
        <f t="array" ref="N52">IFERROR(INDEX('Lớp 4 - Danh mục'!$M$14:$M$132,MATCH(J52,'Lớp 4 - Danh mục'!$I$14:$I$132,0)),"")</f>
        <v/>
      </c>
      <c r="O52" s="597" t="str">
        <f t="array" ref="O52">IFERROR(INDEX('Lớp 4 - Danh mục'!$N$14:$N$132,MATCH(J52,'Lớp 4 - Danh mục'!$I$14:$I$132,0)),"")</f>
        <v/>
      </c>
      <c r="P52" s="597" t="str">
        <f t="array" ref="P52">IFERROR(INDEX('Lớp 4 - Danh mục'!$O$14:$O$132,MATCH(J52,'Lớp 4 - Danh mục'!$I$14:$I$132,0)),"")</f>
        <v/>
      </c>
      <c r="Q52" s="581" t="str">
        <f t="shared" ref="Q52:T52" si="137">B52</f>
        <v/>
      </c>
      <c r="R52" s="420" t="str">
        <f t="shared" si="137"/>
        <v/>
      </c>
      <c r="S52" s="582" t="str">
        <f t="shared" si="137"/>
        <v/>
      </c>
      <c r="T52" s="583" t="str">
        <f t="shared" si="137"/>
        <v/>
      </c>
      <c r="U52" s="584" t="str">
        <f>IF($I52="","",LET(n,COUNTIFS('Lớp 6 - Chi tiết'!$J$14:$J$267,$I52,'Lớp 6 - Chi tiết'!$AE$14:$AE$267,"&lt;&gt;Hủy"),child,IFERROR(MAXIFS('Lớp 6 - Chi tiết'!$AH$14:$AH$267,'Lớp 6 - Chi tiết'!$J$14:$J$267,$I52,'Lớp 6 - Chi tiết'!$AE$14:$AE$267,"&lt;&gt;Hủy",'Lớp 6 - Chi tiết'!$AH$14:$AH$267,"&gt;0"),0),plan,'Trung tâm nhập liệu'!Q202,emergent,LOWER(TRIM('Trung tâm nhập liệu'!O202))="khi phát sinh",IF(n=0,IF(emergent,"",plan),IF(child=0,IF(emergent,"",plan),IF(OR(emergent,plan=""),child,MAX(plan,child))))))</f>
        <v/>
      </c>
      <c r="V52" s="584" t="str">
        <f>IF($I52="","",LET(n,COUNTIFS('Lớp 6 - Chi tiết'!$J$14:$J$267,$I52,'Lớp 6 - Chi tiết'!$AE$14:$AE$267,"&lt;&gt;Hủy"),child,IFERROR(MINIFS('Lớp 6 - Chi tiết'!$AG$14:$AG$267,'Lớp 6 - Chi tiết'!$J$14:$J$267,$I52,'Lớp 6 - Chi tiết'!$AE$14:$AE$267,"&lt;&gt;Hủy",'Lớp 6 - Chi tiết'!$AG$14:$AG$267,"&gt;0"),0),plan,'Trung tâm nhập liệu'!R202,emergent,LOWER(TRIM('Trung tâm nhập liệu'!O202))="khi phát sinh",IF(n=0,IF(emergent,"",plan),IF(child=0,IF(emergent,"",plan),IF(OR(emergent,plan=""),child,MIN(plan,child))))))</f>
        <v/>
      </c>
      <c r="W52" s="577" t="str">
        <f t="shared" si="15"/>
        <v/>
      </c>
      <c r="X52" s="577" t="str">
        <f>'Trung tâm nhập liệu'!G202</f>
        <v/>
      </c>
      <c r="Y52" s="585" t="str">
        <f>'Trung tâm nhập liệu'!H202</f>
        <v/>
      </c>
      <c r="Z52" s="586" t="str">
        <f t="array" ref="Z52">IFERROR(INDEX('Lớp 4 - Danh mục'!$X$14:$X$132,MATCH(J52,'Lớp 4 - Danh mục'!$I$14:$I$132,0)),"")</f>
        <v/>
      </c>
      <c r="AA52" s="577" t="str">
        <f>'Trung tâm nhập liệu'!K202</f>
        <v/>
      </c>
      <c r="AB52" s="572" t="str">
        <f>'Trung tâm nhập liệu'!L202</f>
        <v/>
      </c>
      <c r="AC52" s="420" t="str">
        <f>'Trung tâm nhập liệu'!M202</f>
        <v/>
      </c>
      <c r="AD52" s="584" t="str">
        <f t="shared" si="16"/>
        <v/>
      </c>
      <c r="AE52" s="584" t="str">
        <f t="shared" si="17"/>
        <v/>
      </c>
      <c r="AF52" s="587" t="str">
        <f>IF(AM52&lt;&gt;"Có thời hạn","",IF(OR(AD52="",AE52=""),"",IF(AE52&lt;AD52,"",_xlfn.NETWORKDAYS.INTL(AD52,AE52,11,'Ngày nghỉ lễ'!$A$5:$A$80))))</f>
        <v/>
      </c>
      <c r="AG52" s="588" t="str">
        <f>IF(I52="","",IF(L52="Công việc khác","",IF(OR(AB52="Chưa lên lịch",AB52="Đã lên lịch",AB52="Hủy"),"",IF(COUNTIFS('Lớp 6 - Chi tiết'!$J$14:$J$267,I52,'Lớp 6 - Chi tiết'!$AE$14:$AE$267,"&lt;&gt;",'Lớp 6 - Chi tiết'!$AE$14:$AE$267,"&lt;&gt;Hủy",'Lớp 6 - Chi tiết'!$AE$14:$AE$267,"&lt;&gt;Chưa lên lịch",'Lớp 6 - Chi tiết'!$AE$14:$AE$267,"&lt;&gt;Đã lên lịch")&gt;0,SUMIFS('Lớp 6 - Chi tiết'!$AJ$14:$AJ$267,'Lớp 6 - Chi tiết'!$J$14:$J$267,I52,'Lớp 6 - Chi tiết'!$AE$14:$AE$267,"&lt;&gt;",'Lớp 6 - Chi tiết'!$AE$14:$AE$267,"&lt;&gt;Hủy",'Lớp 6 - Chi tiết'!$AE$14:$AE$267,"&lt;&gt;Chưa lên lịch",'Lớp 6 - Chi tiết'!$AE$14:$AE$267,"&lt;&gt;Đã lên lịch")/COUNTIFS('Lớp 6 - Chi tiết'!$J$14:$J$267,I52,'Lớp 6 - Chi tiết'!$AE$14:$AE$267,"&lt;&gt;",'Lớp 6 - Chi tiết'!$AE$14:$AE$267,"&lt;&gt;Hủy",'Lớp 6 - Chi tiết'!$AE$14:$AE$267,"&lt;&gt;Chưa lên lịch",'Lớp 6 - Chi tiết'!$AE$14:$AE$267,"&lt;&gt;Đã lên lịch"),IF(AB52="Hoàn thành",1,0)))))</f>
        <v/>
      </c>
      <c r="AH52" s="587" t="str">
        <f>IF(AM52&lt;&gt;"Có thời hạn","",IF(OR(I52="",AD52="",AE52=""),"",IF(OR(AB52="Hoàn thành",AB52="Hủy"),0,IF(AE52&lt;TODAY(),-_xlfn.NETWORKDAYS.INTL(AE52,TODAY()-1,11,'Ngày nghỉ lễ'!$A$5:$A$80),MAX(0,_xlfn.NETWORKDAYS.INTL(MAX(TODAY()+1,AD52),AE52,11,'Ngày nghỉ lễ'!$A$5:$A$80))))))</f>
        <v/>
      </c>
      <c r="AI52" s="589" t="str">
        <f>IF($I52="","",LET(n,COUNTIFS('Lớp 6 - Chi tiết'!$J$14:$J$267,$I52,'Lớp 6 - Chi tiết'!$AE$14:$AE$267,"&lt;&gt;Hủy"),du,COUNTIFS('Lớp 6 - Chi tiết'!$J$14:$J$267,$I52,'Lớp 6 - Chi tiết'!$AE$14:$AE$267,"&lt;&gt;Hủy",'Lớp 6 - Chi tiết'!$AL$14:$AL$267,"&lt;&gt;"),IF(n=0,'Trung tâm nhập liệu'!T202,IF(du&lt;n,"",SUMIFS('Lớp 6 - Chi tiết'!$AL$14:$AL$267,'Lớp 6 - Chi tiết'!$J$14:$J$267,$I52,'Lớp 6 - Chi tiết'!$AE$14:$AE$267,"&lt;&gt;Hủy")))))</f>
        <v/>
      </c>
      <c r="AJ52" s="468" t="str">
        <f>IF(I52="","",IF(OR(AB52="Hoàn thành",AB52="Hủy"),"",IF(COUNTIFS('Lớp 6 - Chi tiết'!$J$14:$J$267,I52,'Lớp 6 - Chi tiết'!$AE$14:$AE$267,"&lt;&gt;Hủy")&gt;0,"",IF(AS52="Ngày",AT52,IF(AS52="Tuần",AT52/5,"")))))</f>
        <v/>
      </c>
      <c r="AK52" s="477" t="str">
        <f>IF(AM52="Chưa xếp lịch","Chưa xếp lịch",IF(AM52="Định kỳ",IF(AN52="","Thiếu chu kỳ","Theo chu kỳ"),IF(AM52="Khi phát sinh",IF(COUNTIFS('Lớp 6 - Chi tiết'!$J$14:$J$267,$I52,'Lớp 6 - Chi tiết'!$AE$14:$AE$267,"&lt;&gt;Hủy")=0,"Khi phát sinh – chờ việc con","Khi phát sinh – theo ngày con"),IF(I52="","",LET(n,COUNTIFS('Lớp 6 - Chi tiết'!$J$14:$J$267,$I52,'Lớp 6 - Chi tiết'!$AE$14:$AE$267,"&lt;&gt;Hủy"),cs,IFERROR(MINIFS('Lớp 6 - Chi tiết'!$AG$14:$AG$267,'Lớp 6 - Chi tiết'!$J$14:$J$267,$I52,'Lớp 6 - Chi tiết'!$AE$14:$AE$267,"&lt;&gt;Hủy",'Lớp 6 - Chi tiết'!$AG$14:$AG$267,"&gt;0"),0),ce,IFERROR(MAXIFS('Lớp 6 - Chi tiết'!$AH$14:$AH$267,'Lớp 6 - Chi tiết'!$J$14:$J$267,$I52,'Lớp 6 - Chi tiết'!$AE$14:$AE$267,"&lt;&gt;Hủy",'Lớp 6 - Chi tiết'!$AH$14:$AH$267,"&gt;0"),0),ps,'Trung tâm nhập liệu'!R202,pe,'Trung tâm nhập liệu'!Q202,IF(OR(AD52="",AE52=""),"Thiếu ngày L5",IF(n=0,"Chưa có L6",IF(OR(cs=0,ce=0),"Thiếu ngày L6",IF(OR(ps="",pe=""),"Thiếu ngày kế hoạch gốc L5",IF(OR(cs&lt;ps,ce&gt;pe),"Cảnh báo: Con vượt khung kế hoạch gốc","L6 đúng khung kế hoạch gốc"))))))))))</f>
        <v/>
      </c>
      <c r="AL52" s="465" t="str">
        <f>IF(OR(AV52="Thiếu tham số phân bổ",AV52="Phân bổ phải &gt; 0"),AV52,SWITCH(AM52,"Chưa xếp lịch","Chưa tính tải","Định kỳ","Theo chu kỳ","Khi phát sinh","Khi phát sinh",IF(I52="","",IF(OR(AB52="Hoàn thành",AB52="Hủy"),AB52,IF(COUNTIFS('Lớp 6 - Chi tiết'!$J$14:$J$267,I52,'Lớp 6 - Chi tiết'!$AE$14:$AE$267,"&lt;&gt;Hủy")&gt;0,"Theo dõi tải tại Lớp 6",IF(AI52="","Chưa nhập khối lượng",IF(AA52="","Thiếu người thực hiện",IF(OR(AD52="",AE52=""),"Chưa nhập đủ thời gian",IF(AH52&lt;0,"Quá hạn – còn "&amp;TEXT(MAX(0,AI52*(1-AG52)),"0.0")&amp;" giờ",LET(bd,MAX(TODAY(),AD52),kt,AE52,nguoi,AA52,tai,SUMIFS('Lớp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M52" s="467" t="str">
        <f>'Trung tâm nhập liệu'!O202</f>
        <v/>
      </c>
      <c r="AN52" s="469" t="str">
        <f>'Trung tâm nhập liệu'!P202</f>
        <v/>
      </c>
      <c r="AO52" s="470" t="str">
        <f>'Trung tâm nhập liệu'!S202</f>
        <v/>
      </c>
      <c r="AP52" s="470" t="str">
        <f>'Trung tâm nhập liệu'!X202</f>
        <v/>
      </c>
      <c r="AQ52" s="471" t="str">
        <f t="shared" si="18"/>
        <v/>
      </c>
      <c r="AR52" s="469" t="str">
        <f t="shared" si="19"/>
        <v/>
      </c>
      <c r="AS52" s="475" t="str">
        <f>'Trung tâm nhập liệu'!V202</f>
        <v/>
      </c>
      <c r="AT52" s="476" t="str">
        <f>'Trung tâm nhập liệu'!W202</f>
        <v/>
      </c>
      <c r="AU52" s="478" t="str">
        <f>IF(AM52&lt;&gt;"Có thời hạn","",IF(OR(I52="",AI52="",AB52="Hoàn thành",AB52="Hủy",COUNTIFS('Lớp 6 - Chi tiết'!$J$14:$J$267,I52,'Lớp 6 - Chi tiết'!$AE$14:$AE$267,"&lt;&gt;Hủy")&gt;0),"",LET(canNgay,MAX(0,AI52*(1-AG52))/MAX(1,AH52),IF(AS52="Ngày",canNgay,IF(AS52="Tuần",canNgay*5,"")))))</f>
        <v/>
      </c>
      <c r="AV52" s="465" t="str">
        <f>IF(I52="","",IF(COUNTIFS('Lớp 6 - Chi tiết'!$J$14:$J$267,I52,'Lớp 6 - Chi tiết'!$AE$14:$AE$267,"&lt;&gt;Hủy")&gt;0,"Theo dõi phân bổ tại Lớp 6",IF(OR(AB52="Hoàn thành",AB52="Hủy"),AB52,IF(AI52="","Thiếu tổng giờ",IF(OR(AS52="",AT52=""),"Thiếu tham số phân bổ",IF(AT52&lt;=0,"Phân bổ phải &gt; 0",IF(AM52&lt;&gt;"Có thời hạn","Đã có phân bổ",IF(AU52="","Chưa đủ dữ liệu hạn",IF(AT52&gt;=AU52,"Đủ phân bổ theo "&amp;LOWER(AS52),"Thiếu "&amp;TEXT(AU52-AT52,"0.0")&amp;" giờ/"&amp;LOWER(AS52))))))))))</f>
        <v/>
      </c>
      <c r="AW52" s="465" t="str">
        <f t="shared" si="20"/>
        <v/>
      </c>
      <c r="AX52" s="479" t="str">
        <f>'Trung tâm nhập liệu'!Y202</f>
        <v/>
      </c>
    </row>
    <row r="53" ht="15.75" customHeight="1">
      <c r="A53" s="424" t="str">
        <f t="shared" si="11"/>
        <v/>
      </c>
      <c r="B53" s="572" t="str">
        <f>'Trung tâm nhập liệu'!F203</f>
        <v/>
      </c>
      <c r="C53" s="591" t="str">
        <f>'Trung tâm nhập liệu'!M203</f>
        <v/>
      </c>
      <c r="D53" s="623" t="str">
        <f t="shared" ref="D53:E53" si="138">AG53</f>
        <v/>
      </c>
      <c r="E53" s="617" t="str">
        <f t="shared" si="138"/>
        <v/>
      </c>
      <c r="F53" s="575" t="str">
        <f t="shared" ref="F53:G53" si="139">U53</f>
        <v/>
      </c>
      <c r="G53" s="575" t="str">
        <f t="shared" si="139"/>
        <v/>
      </c>
      <c r="H53" s="576" t="str">
        <f>IF(B53="","",IF(COUNTIF('Lớp 6 - Chi tiết'!$J$14:$J$267,I53)&gt;0,"Có","Không"))</f>
        <v/>
      </c>
      <c r="I53" s="577" t="str">
        <f>'Trung tâm nhập liệu'!B203</f>
        <v/>
      </c>
      <c r="J53" s="577" t="str">
        <f>'Trung tâm nhập liệu'!D203</f>
        <v/>
      </c>
      <c r="K53" s="597" t="str">
        <f t="array" ref="K53">IFERROR(INDEX('Lớp 4 - Danh mục'!$J$14:$J$132,MATCH(J53,'Lớp 4 - Danh mục'!$I$14:$I$132,0)),"")</f>
        <v/>
      </c>
      <c r="L53" s="598" t="str">
        <f t="array" ref="L53">IFERROR(INDEX('Lớp 4 - Danh mục'!$K$14:$K$132,MATCH(J53,'Lớp 4 - Danh mục'!$I$14:$I$132,0)),"")</f>
        <v/>
      </c>
      <c r="M53" s="438" t="str">
        <f t="array" ref="M53">IFERROR(INDEX('Lớp 4 - Danh mục'!$L$14:$L$132,MATCH(J53,'Lớp 4 - Danh mục'!$I$14:$I$132,0)),"")</f>
        <v/>
      </c>
      <c r="N53" s="597" t="str">
        <f t="array" ref="N53">IFERROR(INDEX('Lớp 4 - Danh mục'!$M$14:$M$132,MATCH(J53,'Lớp 4 - Danh mục'!$I$14:$I$132,0)),"")</f>
        <v/>
      </c>
      <c r="O53" s="597" t="str">
        <f t="array" ref="O53">IFERROR(INDEX('Lớp 4 - Danh mục'!$N$14:$N$132,MATCH(J53,'Lớp 4 - Danh mục'!$I$14:$I$132,0)),"")</f>
        <v/>
      </c>
      <c r="P53" s="597" t="str">
        <f t="array" ref="P53">IFERROR(INDEX('Lớp 4 - Danh mục'!$O$14:$O$132,MATCH(J53,'Lớp 4 - Danh mục'!$I$14:$I$132,0)),"")</f>
        <v/>
      </c>
      <c r="Q53" s="581" t="str">
        <f t="shared" ref="Q53:T53" si="140">B53</f>
        <v/>
      </c>
      <c r="R53" s="420" t="str">
        <f t="shared" si="140"/>
        <v/>
      </c>
      <c r="S53" s="582" t="str">
        <f t="shared" si="140"/>
        <v/>
      </c>
      <c r="T53" s="583" t="str">
        <f t="shared" si="140"/>
        <v/>
      </c>
      <c r="U53" s="584" t="str">
        <f>IF($I53="","",LET(n,COUNTIFS('Lớp 6 - Chi tiết'!$J$14:$J$267,$I53,'Lớp 6 - Chi tiết'!$AE$14:$AE$267,"&lt;&gt;Hủy"),child,IFERROR(MAXIFS('Lớp 6 - Chi tiết'!$AH$14:$AH$267,'Lớp 6 - Chi tiết'!$J$14:$J$267,$I53,'Lớp 6 - Chi tiết'!$AE$14:$AE$267,"&lt;&gt;Hủy",'Lớp 6 - Chi tiết'!$AH$14:$AH$267,"&gt;0"),0),plan,'Trung tâm nhập liệu'!Q203,emergent,LOWER(TRIM('Trung tâm nhập liệu'!O203))="khi phát sinh",IF(n=0,IF(emergent,"",plan),IF(child=0,IF(emergent,"",plan),IF(OR(emergent,plan=""),child,MAX(plan,child))))))</f>
        <v/>
      </c>
      <c r="V53" s="584" t="str">
        <f>IF($I53="","",LET(n,COUNTIFS('Lớp 6 - Chi tiết'!$J$14:$J$267,$I53,'Lớp 6 - Chi tiết'!$AE$14:$AE$267,"&lt;&gt;Hủy"),child,IFERROR(MINIFS('Lớp 6 - Chi tiết'!$AG$14:$AG$267,'Lớp 6 - Chi tiết'!$J$14:$J$267,$I53,'Lớp 6 - Chi tiết'!$AE$14:$AE$267,"&lt;&gt;Hủy",'Lớp 6 - Chi tiết'!$AG$14:$AG$267,"&gt;0"),0),plan,'Trung tâm nhập liệu'!R203,emergent,LOWER(TRIM('Trung tâm nhập liệu'!O203))="khi phát sinh",IF(n=0,IF(emergent,"",plan),IF(child=0,IF(emergent,"",plan),IF(OR(emergent,plan=""),child,MIN(plan,child))))))</f>
        <v/>
      </c>
      <c r="W53" s="577" t="str">
        <f t="shared" si="15"/>
        <v/>
      </c>
      <c r="X53" s="577" t="str">
        <f>'Trung tâm nhập liệu'!G203</f>
        <v/>
      </c>
      <c r="Y53" s="585" t="str">
        <f>'Trung tâm nhập liệu'!H203</f>
        <v/>
      </c>
      <c r="Z53" s="586" t="str">
        <f t="array" ref="Z53">IFERROR(INDEX('Lớp 4 - Danh mục'!$X$14:$X$132,MATCH(J53,'Lớp 4 - Danh mục'!$I$14:$I$132,0)),"")</f>
        <v/>
      </c>
      <c r="AA53" s="577" t="str">
        <f>'Trung tâm nhập liệu'!K203</f>
        <v/>
      </c>
      <c r="AB53" s="572" t="str">
        <f>'Trung tâm nhập liệu'!L203</f>
        <v/>
      </c>
      <c r="AC53" s="420" t="str">
        <f>'Trung tâm nhập liệu'!M203</f>
        <v/>
      </c>
      <c r="AD53" s="584" t="str">
        <f t="shared" si="16"/>
        <v/>
      </c>
      <c r="AE53" s="584" t="str">
        <f t="shared" si="17"/>
        <v/>
      </c>
      <c r="AF53" s="587" t="str">
        <f>IF(AM53&lt;&gt;"Có thời hạn","",IF(OR(AD53="",AE53=""),"",IF(AE53&lt;AD53,"",_xlfn.NETWORKDAYS.INTL(AD53,AE53,11,'Ngày nghỉ lễ'!$A$5:$A$80))))</f>
        <v/>
      </c>
      <c r="AG53" s="588" t="str">
        <f>IF(I53="","",IF(L53="Công việc khác","",IF(OR(AB53="Chưa lên lịch",AB53="Đã lên lịch",AB53="Hủy"),"",IF(COUNTIFS('Lớp 6 - Chi tiết'!$J$14:$J$267,I53,'Lớp 6 - Chi tiết'!$AE$14:$AE$267,"&lt;&gt;",'Lớp 6 - Chi tiết'!$AE$14:$AE$267,"&lt;&gt;Hủy",'Lớp 6 - Chi tiết'!$AE$14:$AE$267,"&lt;&gt;Chưa lên lịch",'Lớp 6 - Chi tiết'!$AE$14:$AE$267,"&lt;&gt;Đã lên lịch")&gt;0,SUMIFS('Lớp 6 - Chi tiết'!$AJ$14:$AJ$267,'Lớp 6 - Chi tiết'!$J$14:$J$267,I53,'Lớp 6 - Chi tiết'!$AE$14:$AE$267,"&lt;&gt;",'Lớp 6 - Chi tiết'!$AE$14:$AE$267,"&lt;&gt;Hủy",'Lớp 6 - Chi tiết'!$AE$14:$AE$267,"&lt;&gt;Chưa lên lịch",'Lớp 6 - Chi tiết'!$AE$14:$AE$267,"&lt;&gt;Đã lên lịch")/COUNTIFS('Lớp 6 - Chi tiết'!$J$14:$J$267,I53,'Lớp 6 - Chi tiết'!$AE$14:$AE$267,"&lt;&gt;",'Lớp 6 - Chi tiết'!$AE$14:$AE$267,"&lt;&gt;Hủy",'Lớp 6 - Chi tiết'!$AE$14:$AE$267,"&lt;&gt;Chưa lên lịch",'Lớp 6 - Chi tiết'!$AE$14:$AE$267,"&lt;&gt;Đã lên lịch"),IF(AB53="Hoàn thành",1,0)))))</f>
        <v/>
      </c>
      <c r="AH53" s="587" t="str">
        <f>IF(AM53&lt;&gt;"Có thời hạn","",IF(OR(I53="",AD53="",AE53=""),"",IF(OR(AB53="Hoàn thành",AB53="Hủy"),0,IF(AE53&lt;TODAY(),-_xlfn.NETWORKDAYS.INTL(AE53,TODAY()-1,11,'Ngày nghỉ lễ'!$A$5:$A$80),MAX(0,_xlfn.NETWORKDAYS.INTL(MAX(TODAY()+1,AD53),AE53,11,'Ngày nghỉ lễ'!$A$5:$A$80))))))</f>
        <v/>
      </c>
      <c r="AI53" s="589" t="str">
        <f>IF($I53="","",LET(n,COUNTIFS('Lớp 6 - Chi tiết'!$J$14:$J$267,$I53,'Lớp 6 - Chi tiết'!$AE$14:$AE$267,"&lt;&gt;Hủy"),du,COUNTIFS('Lớp 6 - Chi tiết'!$J$14:$J$267,$I53,'Lớp 6 - Chi tiết'!$AE$14:$AE$267,"&lt;&gt;Hủy",'Lớp 6 - Chi tiết'!$AL$14:$AL$267,"&lt;&gt;"),IF(n=0,'Trung tâm nhập liệu'!T203,IF(du&lt;n,"",SUMIFS('Lớp 6 - Chi tiết'!$AL$14:$AL$267,'Lớp 6 - Chi tiết'!$J$14:$J$267,$I53,'Lớp 6 - Chi tiết'!$AE$14:$AE$267,"&lt;&gt;Hủy")))))</f>
        <v/>
      </c>
      <c r="AJ53" s="468" t="str">
        <f>IF(I53="","",IF(OR(AB53="Hoàn thành",AB53="Hủy"),"",IF(COUNTIFS('Lớp 6 - Chi tiết'!$J$14:$J$267,I53,'Lớp 6 - Chi tiết'!$AE$14:$AE$267,"&lt;&gt;Hủy")&gt;0,"",IF(AS53="Ngày",AT53,IF(AS53="Tuần",AT53/5,"")))))</f>
        <v/>
      </c>
      <c r="AK53" s="477" t="str">
        <f>IF(AM53="Chưa xếp lịch","Chưa xếp lịch",IF(AM53="Định kỳ",IF(AN53="","Thiếu chu kỳ","Theo chu kỳ"),IF(AM53="Khi phát sinh",IF(COUNTIFS('Lớp 6 - Chi tiết'!$J$14:$J$267,$I53,'Lớp 6 - Chi tiết'!$AE$14:$AE$267,"&lt;&gt;Hủy")=0,"Khi phát sinh – chờ việc con","Khi phát sinh – theo ngày con"),IF(I53="","",LET(n,COUNTIFS('Lớp 6 - Chi tiết'!$J$14:$J$267,$I53,'Lớp 6 - Chi tiết'!$AE$14:$AE$267,"&lt;&gt;Hủy"),cs,IFERROR(MINIFS('Lớp 6 - Chi tiết'!$AG$14:$AG$267,'Lớp 6 - Chi tiết'!$J$14:$J$267,$I53,'Lớp 6 - Chi tiết'!$AE$14:$AE$267,"&lt;&gt;Hủy",'Lớp 6 - Chi tiết'!$AG$14:$AG$267,"&gt;0"),0),ce,IFERROR(MAXIFS('Lớp 6 - Chi tiết'!$AH$14:$AH$267,'Lớp 6 - Chi tiết'!$J$14:$J$267,$I53,'Lớp 6 - Chi tiết'!$AE$14:$AE$267,"&lt;&gt;Hủy",'Lớp 6 - Chi tiết'!$AH$14:$AH$267,"&gt;0"),0),ps,'Trung tâm nhập liệu'!R203,pe,'Trung tâm nhập liệu'!Q203,IF(OR(AD53="",AE53=""),"Thiếu ngày L5",IF(n=0,"Chưa có L6",IF(OR(cs=0,ce=0),"Thiếu ngày L6",IF(OR(ps="",pe=""),"Thiếu ngày kế hoạch gốc L5",IF(OR(cs&lt;ps,ce&gt;pe),"Cảnh báo: Con vượt khung kế hoạch gốc","L6 đúng khung kế hoạch gốc"))))))))))</f>
        <v/>
      </c>
      <c r="AL53" s="465" t="str">
        <f>IF(OR(AV53="Thiếu tham số phân bổ",AV53="Phân bổ phải &gt; 0"),AV53,SWITCH(AM53,"Chưa xếp lịch","Chưa tính tải","Định kỳ","Theo chu kỳ","Khi phát sinh","Khi phát sinh",IF(I53="","",IF(OR(AB53="Hoàn thành",AB53="Hủy"),AB53,IF(COUNTIFS('Lớp 6 - Chi tiết'!$J$14:$J$267,I53,'Lớp 6 - Chi tiết'!$AE$14:$AE$267,"&lt;&gt;Hủy")&gt;0,"Theo dõi tải tại Lớp 6",IF(AI53="","Chưa nhập khối lượng",IF(AA53="","Thiếu người thực hiện",IF(OR(AD53="",AE53=""),"Chưa nhập đủ thời gian",IF(AH53&lt;0,"Quá hạn – còn "&amp;TEXT(MAX(0,AI53*(1-AG53)),"0.0")&amp;" giờ",LET(bd,MAX(TODAY(),AD53),kt,AE53,nguoi,AA53,tai,SUMIFS('Lớp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M53" s="467" t="str">
        <f>'Trung tâm nhập liệu'!O203</f>
        <v/>
      </c>
      <c r="AN53" s="469" t="str">
        <f>'Trung tâm nhập liệu'!P203</f>
        <v/>
      </c>
      <c r="AO53" s="470" t="str">
        <f>'Trung tâm nhập liệu'!S203</f>
        <v/>
      </c>
      <c r="AP53" s="470" t="str">
        <f>'Trung tâm nhập liệu'!X203</f>
        <v/>
      </c>
      <c r="AQ53" s="471" t="str">
        <f t="shared" si="18"/>
        <v/>
      </c>
      <c r="AR53" s="469" t="str">
        <f t="shared" si="19"/>
        <v/>
      </c>
      <c r="AS53" s="475" t="str">
        <f>'Trung tâm nhập liệu'!V203</f>
        <v/>
      </c>
      <c r="AT53" s="476" t="str">
        <f>'Trung tâm nhập liệu'!W203</f>
        <v/>
      </c>
      <c r="AU53" s="478" t="str">
        <f>IF(AM53&lt;&gt;"Có thời hạn","",IF(OR(I53="",AI53="",AB53="Hoàn thành",AB53="Hủy",COUNTIFS('Lớp 6 - Chi tiết'!$J$14:$J$267,I53,'Lớp 6 - Chi tiết'!$AE$14:$AE$267,"&lt;&gt;Hủy")&gt;0),"",LET(canNgay,MAX(0,AI53*(1-AG53))/MAX(1,AH53),IF(AS53="Ngày",canNgay,IF(AS53="Tuần",canNgay*5,"")))))</f>
        <v/>
      </c>
      <c r="AV53" s="465" t="str">
        <f>IF(I53="","",IF(COUNTIFS('Lớp 6 - Chi tiết'!$J$14:$J$267,I53,'Lớp 6 - Chi tiết'!$AE$14:$AE$267,"&lt;&gt;Hủy")&gt;0,"Theo dõi phân bổ tại Lớp 6",IF(OR(AB53="Hoàn thành",AB53="Hủy"),AB53,IF(AI53="","Thiếu tổng giờ",IF(OR(AS53="",AT53=""),"Thiếu tham số phân bổ",IF(AT53&lt;=0,"Phân bổ phải &gt; 0",IF(AM53&lt;&gt;"Có thời hạn","Đã có phân bổ",IF(AU53="","Chưa đủ dữ liệu hạn",IF(AT53&gt;=AU53,"Đủ phân bổ theo "&amp;LOWER(AS53),"Thiếu "&amp;TEXT(AU53-AT53,"0.0")&amp;" giờ/"&amp;LOWER(AS53))))))))))</f>
        <v/>
      </c>
      <c r="AW53" s="465" t="str">
        <f t="shared" si="20"/>
        <v/>
      </c>
      <c r="AX53" s="479" t="str">
        <f>'Trung tâm nhập liệu'!Y203</f>
        <v/>
      </c>
    </row>
    <row r="54" ht="15.75" customHeight="1">
      <c r="A54" s="424"/>
      <c r="B54" s="572"/>
      <c r="C54" s="591"/>
      <c r="D54" s="623"/>
      <c r="E54" s="617"/>
      <c r="F54" s="575"/>
      <c r="G54" s="575"/>
      <c r="H54" s="576"/>
      <c r="I54" s="577"/>
      <c r="J54" s="577"/>
      <c r="K54" s="597"/>
      <c r="L54" s="598"/>
      <c r="M54" s="438"/>
      <c r="N54" s="597"/>
      <c r="O54" s="597"/>
      <c r="P54" s="597"/>
      <c r="Q54" s="581"/>
      <c r="R54" s="420"/>
      <c r="S54" s="582"/>
      <c r="T54" s="583"/>
      <c r="U54" s="584" t="str">
        <f>IF($I54="","",LET(n,COUNTIFS('Lớp 6 - Chi tiết'!$J$14:$J$267,$I54,'Lớp 6 - Chi tiết'!$AE$14:$AE$267,"&lt;&gt;Hủy"),child,IFERROR(MAXIFS('Lớp 6 - Chi tiết'!$AH$14:$AH$267,'Lớp 6 - Chi tiết'!$J$14:$J$267,$I54,'Lớp 6 - Chi tiết'!$AE$14:$AE$267,"&lt;&gt;Hủy",'Lớp 6 - Chi tiết'!$AH$14:$AH$267,"&gt;0"),0),plan,'Trung tâm nhập liệu'!Q204,emergent,LOWER(TRIM('Trung tâm nhập liệu'!O204))="khi phát sinh",IF(n=0,IF(emergent,"",plan),IF(child=0,IF(emergent,"",plan),IF(OR(emergent,plan=""),child,MAX(plan,child))))))</f>
        <v/>
      </c>
      <c r="V54" s="584" t="str">
        <f>IF($I54="","",LET(n,COUNTIFS('Lớp 6 - Chi tiết'!$J$14:$J$267,$I54,'Lớp 6 - Chi tiết'!$AE$14:$AE$267,"&lt;&gt;Hủy"),child,IFERROR(MINIFS('Lớp 6 - Chi tiết'!$AG$14:$AG$267,'Lớp 6 - Chi tiết'!$J$14:$J$267,$I54,'Lớp 6 - Chi tiết'!$AE$14:$AE$267,"&lt;&gt;Hủy",'Lớp 6 - Chi tiết'!$AG$14:$AG$267,"&gt;0"),0),plan,'Trung tâm nhập liệu'!R204,emergent,LOWER(TRIM('Trung tâm nhập liệu'!O204))="khi phát sinh",IF(n=0,IF(emergent,"",plan),IF(child=0,IF(emergent,"",plan),IF(OR(emergent,plan=""),child,MIN(plan,child))))))</f>
        <v/>
      </c>
      <c r="W54" s="577"/>
      <c r="X54" s="577"/>
      <c r="Y54" s="585"/>
      <c r="Z54" s="586"/>
      <c r="AA54" s="577"/>
      <c r="AB54" s="572"/>
      <c r="AC54" s="420"/>
      <c r="AD54" s="584"/>
      <c r="AE54" s="584"/>
      <c r="AF54" s="587"/>
      <c r="AG54" s="588"/>
      <c r="AH54" s="587"/>
      <c r="AI54" s="589"/>
      <c r="AJ54" s="468"/>
      <c r="AK54" s="477" t="str">
        <f>IF(AM54="Chưa xếp lịch","Chưa xếp lịch",IF(AM54="Định kỳ",IF(AN54="","Thiếu chu kỳ","Theo chu kỳ"),IF(AM54="Khi phát sinh",IF(COUNTIFS('Lớp 6 - Chi tiết'!$J$14:$J$267,$I54,'Lớp 6 - Chi tiết'!$AE$14:$AE$267,"&lt;&gt;Hủy")=0,"Khi phát sinh – chờ việc con","Khi phát sinh – theo ngày con"),IF(I54="","",LET(n,COUNTIFS('Lớp 6 - Chi tiết'!$J$14:$J$267,$I54,'Lớp 6 - Chi tiết'!$AE$14:$AE$267,"&lt;&gt;Hủy"),cs,IFERROR(MINIFS('Lớp 6 - Chi tiết'!$AG$14:$AG$267,'Lớp 6 - Chi tiết'!$J$14:$J$267,$I54,'Lớp 6 - Chi tiết'!$AE$14:$AE$267,"&lt;&gt;Hủy",'Lớp 6 - Chi tiết'!$AG$14:$AG$267,"&gt;0"),0),ce,IFERROR(MAXIFS('Lớp 6 - Chi tiết'!$AH$14:$AH$267,'Lớp 6 - Chi tiết'!$J$14:$J$267,$I54,'Lớp 6 - Chi tiết'!$AE$14:$AE$267,"&lt;&gt;Hủy",'Lớp 6 - Chi tiết'!$AH$14:$AH$267,"&gt;0"),0),ps,'Trung tâm nhập liệu'!R204,pe,'Trung tâm nhập liệu'!Q204,IF(OR(AD54="",AE54=""),"Thiếu ngày L5",IF(n=0,"Chưa có L6",IF(OR(cs=0,ce=0),"Thiếu ngày L6",IF(OR(ps="",pe=""),"Thiếu ngày kế hoạch gốc L5",IF(OR(cs&lt;ps,ce&gt;pe),"Cảnh báo: Con vượt khung kế hoạch gốc","L6 đúng khung kế hoạch gốc"))))))))))</f>
        <v/>
      </c>
      <c r="AL54" s="465"/>
      <c r="AM54" s="467"/>
      <c r="AN54" s="469"/>
      <c r="AO54" s="470"/>
      <c r="AP54" s="470"/>
      <c r="AQ54" s="471"/>
      <c r="AR54" s="469"/>
      <c r="AS54" s="475"/>
      <c r="AT54" s="476"/>
      <c r="AU54" s="478"/>
      <c r="AV54" s="465"/>
      <c r="AW54" s="465"/>
      <c r="AX54" s="479"/>
    </row>
    <row r="55" ht="15.75" customHeight="1">
      <c r="A55" s="424"/>
      <c r="B55" s="572"/>
      <c r="C55" s="591"/>
      <c r="D55" s="623"/>
      <c r="E55" s="617"/>
      <c r="F55" s="575"/>
      <c r="G55" s="575"/>
      <c r="H55" s="576"/>
      <c r="I55" s="577"/>
      <c r="J55" s="577"/>
      <c r="K55" s="597"/>
      <c r="L55" s="598"/>
      <c r="M55" s="438"/>
      <c r="N55" s="597"/>
      <c r="O55" s="597"/>
      <c r="P55" s="597"/>
      <c r="Q55" s="581"/>
      <c r="R55" s="420"/>
      <c r="S55" s="582"/>
      <c r="T55" s="583"/>
      <c r="U55" s="584" t="str">
        <f>IF($I55="","",LET(n,COUNTIFS('Lớp 6 - Chi tiết'!$J$14:$J$267,$I55,'Lớp 6 - Chi tiết'!$AE$14:$AE$267,"&lt;&gt;Hủy"),child,IFERROR(MAXIFS('Lớp 6 - Chi tiết'!$AH$14:$AH$267,'Lớp 6 - Chi tiết'!$J$14:$J$267,$I55,'Lớp 6 - Chi tiết'!$AE$14:$AE$267,"&lt;&gt;Hủy",'Lớp 6 - Chi tiết'!$AH$14:$AH$267,"&gt;0"),0),plan,'Trung tâm nhập liệu'!Q205,emergent,LOWER(TRIM('Trung tâm nhập liệu'!O205))="khi phát sinh",IF(n=0,IF(emergent,"",plan),IF(child=0,IF(emergent,"",plan),IF(OR(emergent,plan=""),child,MAX(plan,child))))))</f>
        <v/>
      </c>
      <c r="V55" s="584" t="str">
        <f>IF($I55="","",LET(n,COUNTIFS('Lớp 6 - Chi tiết'!$J$14:$J$267,$I55,'Lớp 6 - Chi tiết'!$AE$14:$AE$267,"&lt;&gt;Hủy"),child,IFERROR(MINIFS('Lớp 6 - Chi tiết'!$AG$14:$AG$267,'Lớp 6 - Chi tiết'!$J$14:$J$267,$I55,'Lớp 6 - Chi tiết'!$AE$14:$AE$267,"&lt;&gt;Hủy",'Lớp 6 - Chi tiết'!$AG$14:$AG$267,"&gt;0"),0),plan,'Trung tâm nhập liệu'!R205,emergent,LOWER(TRIM('Trung tâm nhập liệu'!O205))="khi phát sinh",IF(n=0,IF(emergent,"",plan),IF(child=0,IF(emergent,"",plan),IF(OR(emergent,plan=""),child,MIN(plan,child))))))</f>
        <v/>
      </c>
      <c r="W55" s="577"/>
      <c r="X55" s="577"/>
      <c r="Y55" s="585"/>
      <c r="Z55" s="586"/>
      <c r="AA55" s="577"/>
      <c r="AB55" s="572"/>
      <c r="AC55" s="420"/>
      <c r="AD55" s="584"/>
      <c r="AE55" s="584"/>
      <c r="AF55" s="587"/>
      <c r="AG55" s="588"/>
      <c r="AH55" s="587"/>
      <c r="AI55" s="589"/>
      <c r="AJ55" s="468"/>
      <c r="AK55" s="477" t="str">
        <f>IF(AM55="Chưa xếp lịch","Chưa xếp lịch",IF(AM55="Định kỳ",IF(AN55="","Thiếu chu kỳ","Theo chu kỳ"),IF(AM55="Khi phát sinh",IF(COUNTIFS('Lớp 6 - Chi tiết'!$J$14:$J$267,$I55,'Lớp 6 - Chi tiết'!$AE$14:$AE$267,"&lt;&gt;Hủy")=0,"Khi phát sinh – chờ việc con","Khi phát sinh – theo ngày con"),IF(I55="","",LET(n,COUNTIFS('Lớp 6 - Chi tiết'!$J$14:$J$267,$I55,'Lớp 6 - Chi tiết'!$AE$14:$AE$267,"&lt;&gt;Hủy"),cs,IFERROR(MINIFS('Lớp 6 - Chi tiết'!$AG$14:$AG$267,'Lớp 6 - Chi tiết'!$J$14:$J$267,$I55,'Lớp 6 - Chi tiết'!$AE$14:$AE$267,"&lt;&gt;Hủy",'Lớp 6 - Chi tiết'!$AG$14:$AG$267,"&gt;0"),0),ce,IFERROR(MAXIFS('Lớp 6 - Chi tiết'!$AH$14:$AH$267,'Lớp 6 - Chi tiết'!$J$14:$J$267,$I55,'Lớp 6 - Chi tiết'!$AE$14:$AE$267,"&lt;&gt;Hủy",'Lớp 6 - Chi tiết'!$AH$14:$AH$267,"&gt;0"),0),ps,'Trung tâm nhập liệu'!R205,pe,'Trung tâm nhập liệu'!Q205,IF(OR(AD55="",AE55=""),"Thiếu ngày L5",IF(n=0,"Chưa có L6",IF(OR(cs=0,ce=0),"Thiếu ngày L6",IF(OR(ps="",pe=""),"Thiếu ngày kế hoạch gốc L5",IF(OR(cs&lt;ps,ce&gt;pe),"Cảnh báo: Con vượt khung kế hoạch gốc","L6 đúng khung kế hoạch gốc"))))))))))</f>
        <v/>
      </c>
      <c r="AL55" s="465"/>
      <c r="AM55" s="467"/>
      <c r="AN55" s="469"/>
      <c r="AO55" s="470"/>
      <c r="AP55" s="470"/>
      <c r="AQ55" s="471"/>
      <c r="AR55" s="469"/>
      <c r="AS55" s="475"/>
      <c r="AT55" s="476"/>
      <c r="AU55" s="478"/>
      <c r="AV55" s="465"/>
      <c r="AW55" s="465"/>
      <c r="AX55" s="479"/>
    </row>
    <row r="56" ht="15.75" customHeight="1">
      <c r="A56" s="424"/>
      <c r="B56" s="572"/>
      <c r="C56" s="591"/>
      <c r="D56" s="623"/>
      <c r="E56" s="617"/>
      <c r="F56" s="575"/>
      <c r="G56" s="575"/>
      <c r="H56" s="576"/>
      <c r="I56" s="577"/>
      <c r="J56" s="577"/>
      <c r="K56" s="597"/>
      <c r="L56" s="598"/>
      <c r="M56" s="438"/>
      <c r="N56" s="597"/>
      <c r="O56" s="597"/>
      <c r="P56" s="597"/>
      <c r="Q56" s="581"/>
      <c r="R56" s="420"/>
      <c r="S56" s="582"/>
      <c r="T56" s="583"/>
      <c r="U56" s="584" t="str">
        <f>IF($I56="","",LET(n,COUNTIFS('Lớp 6 - Chi tiết'!$J$14:$J$267,$I56,'Lớp 6 - Chi tiết'!$AE$14:$AE$267,"&lt;&gt;Hủy"),child,IFERROR(MAXIFS('Lớp 6 - Chi tiết'!$AH$14:$AH$267,'Lớp 6 - Chi tiết'!$J$14:$J$267,$I56,'Lớp 6 - Chi tiết'!$AE$14:$AE$267,"&lt;&gt;Hủy",'Lớp 6 - Chi tiết'!$AH$14:$AH$267,"&gt;0"),0),plan,'Trung tâm nhập liệu'!Q206,emergent,LOWER(TRIM('Trung tâm nhập liệu'!O206))="khi phát sinh",IF(n=0,IF(emergent,"",plan),IF(child=0,IF(emergent,"",plan),IF(OR(emergent,plan=""),child,MAX(plan,child))))))</f>
        <v/>
      </c>
      <c r="V56" s="584" t="str">
        <f>IF($I56="","",LET(n,COUNTIFS('Lớp 6 - Chi tiết'!$J$14:$J$267,$I56,'Lớp 6 - Chi tiết'!$AE$14:$AE$267,"&lt;&gt;Hủy"),child,IFERROR(MINIFS('Lớp 6 - Chi tiết'!$AG$14:$AG$267,'Lớp 6 - Chi tiết'!$J$14:$J$267,$I56,'Lớp 6 - Chi tiết'!$AE$14:$AE$267,"&lt;&gt;Hủy",'Lớp 6 - Chi tiết'!$AG$14:$AG$267,"&gt;0"),0),plan,'Trung tâm nhập liệu'!R206,emergent,LOWER(TRIM('Trung tâm nhập liệu'!O206))="khi phát sinh",IF(n=0,IF(emergent,"",plan),IF(child=0,IF(emergent,"",plan),IF(OR(emergent,plan=""),child,MIN(plan,child))))))</f>
        <v/>
      </c>
      <c r="W56" s="577"/>
      <c r="X56" s="577"/>
      <c r="Y56" s="585"/>
      <c r="Z56" s="586"/>
      <c r="AA56" s="577"/>
      <c r="AB56" s="572"/>
      <c r="AC56" s="420"/>
      <c r="AD56" s="584"/>
      <c r="AE56" s="584"/>
      <c r="AF56" s="587"/>
      <c r="AG56" s="588"/>
      <c r="AH56" s="587"/>
      <c r="AI56" s="589"/>
      <c r="AJ56" s="468"/>
      <c r="AK56" s="477" t="str">
        <f>IF(AM56="Chưa xếp lịch","Chưa xếp lịch",IF(AM56="Định kỳ",IF(AN56="","Thiếu chu kỳ","Theo chu kỳ"),IF(AM56="Khi phát sinh",IF(COUNTIFS('Lớp 6 - Chi tiết'!$J$14:$J$267,$I56,'Lớp 6 - Chi tiết'!$AE$14:$AE$267,"&lt;&gt;Hủy")=0,"Khi phát sinh – chờ việc con","Khi phát sinh – theo ngày con"),IF(I56="","",LET(n,COUNTIFS('Lớp 6 - Chi tiết'!$J$14:$J$267,$I56,'Lớp 6 - Chi tiết'!$AE$14:$AE$267,"&lt;&gt;Hủy"),cs,IFERROR(MINIFS('Lớp 6 - Chi tiết'!$AG$14:$AG$267,'Lớp 6 - Chi tiết'!$J$14:$J$267,$I56,'Lớp 6 - Chi tiết'!$AE$14:$AE$267,"&lt;&gt;Hủy",'Lớp 6 - Chi tiết'!$AG$14:$AG$267,"&gt;0"),0),ce,IFERROR(MAXIFS('Lớp 6 - Chi tiết'!$AH$14:$AH$267,'Lớp 6 - Chi tiết'!$J$14:$J$267,$I56,'Lớp 6 - Chi tiết'!$AE$14:$AE$267,"&lt;&gt;Hủy",'Lớp 6 - Chi tiết'!$AH$14:$AH$267,"&gt;0"),0),ps,'Trung tâm nhập liệu'!R206,pe,'Trung tâm nhập liệu'!Q206,IF(OR(AD56="",AE56=""),"Thiếu ngày L5",IF(n=0,"Chưa có L6",IF(OR(cs=0,ce=0),"Thiếu ngày L6",IF(OR(ps="",pe=""),"Thiếu ngày kế hoạch gốc L5",IF(OR(cs&lt;ps,ce&gt;pe),"Cảnh báo: Con vượt khung kế hoạch gốc","L6 đúng khung kế hoạch gốc"))))))))))</f>
        <v/>
      </c>
      <c r="AL56" s="465"/>
      <c r="AM56" s="467"/>
      <c r="AN56" s="469"/>
      <c r="AO56" s="470"/>
      <c r="AP56" s="470"/>
      <c r="AQ56" s="471"/>
      <c r="AR56" s="469"/>
      <c r="AS56" s="475"/>
      <c r="AT56" s="476"/>
      <c r="AU56" s="478"/>
      <c r="AV56" s="465"/>
      <c r="AW56" s="465"/>
      <c r="AX56" s="479"/>
    </row>
    <row r="57" ht="15.75" customHeight="1">
      <c r="A57" s="424"/>
      <c r="B57" s="572"/>
      <c r="C57" s="591"/>
      <c r="D57" s="623"/>
      <c r="E57" s="617"/>
      <c r="F57" s="575"/>
      <c r="G57" s="575"/>
      <c r="H57" s="576"/>
      <c r="I57" s="577"/>
      <c r="J57" s="577"/>
      <c r="K57" s="597"/>
      <c r="L57" s="598"/>
      <c r="M57" s="438"/>
      <c r="N57" s="597"/>
      <c r="O57" s="597"/>
      <c r="P57" s="597"/>
      <c r="Q57" s="581"/>
      <c r="R57" s="420"/>
      <c r="S57" s="582"/>
      <c r="T57" s="583"/>
      <c r="U57" s="584" t="str">
        <f>IF($I57="","",LET(n,COUNTIFS('Lớp 6 - Chi tiết'!$J$14:$J$267,$I57,'Lớp 6 - Chi tiết'!$AE$14:$AE$267,"&lt;&gt;Hủy"),child,IFERROR(MAXIFS('Lớp 6 - Chi tiết'!$AH$14:$AH$267,'Lớp 6 - Chi tiết'!$J$14:$J$267,$I57,'Lớp 6 - Chi tiết'!$AE$14:$AE$267,"&lt;&gt;Hủy",'Lớp 6 - Chi tiết'!$AH$14:$AH$267,"&gt;0"),0),plan,'Trung tâm nhập liệu'!Q207,emergent,LOWER(TRIM('Trung tâm nhập liệu'!O207))="khi phát sinh",IF(n=0,IF(emergent,"",plan),IF(child=0,IF(emergent,"",plan),IF(OR(emergent,plan=""),child,MAX(plan,child))))))</f>
        <v/>
      </c>
      <c r="V57" s="584" t="str">
        <f>IF($I57="","",LET(n,COUNTIFS('Lớp 6 - Chi tiết'!$J$14:$J$267,$I57,'Lớp 6 - Chi tiết'!$AE$14:$AE$267,"&lt;&gt;Hủy"),child,IFERROR(MINIFS('Lớp 6 - Chi tiết'!$AG$14:$AG$267,'Lớp 6 - Chi tiết'!$J$14:$J$267,$I57,'Lớp 6 - Chi tiết'!$AE$14:$AE$267,"&lt;&gt;Hủy",'Lớp 6 - Chi tiết'!$AG$14:$AG$267,"&gt;0"),0),plan,'Trung tâm nhập liệu'!R207,emergent,LOWER(TRIM('Trung tâm nhập liệu'!O207))="khi phát sinh",IF(n=0,IF(emergent,"",plan),IF(child=0,IF(emergent,"",plan),IF(OR(emergent,plan=""),child,MIN(plan,child))))))</f>
        <v/>
      </c>
      <c r="W57" s="577"/>
      <c r="X57" s="577"/>
      <c r="Y57" s="585"/>
      <c r="Z57" s="586"/>
      <c r="AA57" s="577"/>
      <c r="AB57" s="572"/>
      <c r="AC57" s="420"/>
      <c r="AD57" s="584"/>
      <c r="AE57" s="584"/>
      <c r="AF57" s="587"/>
      <c r="AG57" s="588"/>
      <c r="AH57" s="587"/>
      <c r="AI57" s="589"/>
      <c r="AJ57" s="468"/>
      <c r="AK57" s="477" t="str">
        <f>IF(AM57="Chưa xếp lịch","Chưa xếp lịch",IF(AM57="Định kỳ",IF(AN57="","Thiếu chu kỳ","Theo chu kỳ"),IF(AM57="Khi phát sinh",IF(COUNTIFS('Lớp 6 - Chi tiết'!$J$14:$J$267,$I57,'Lớp 6 - Chi tiết'!$AE$14:$AE$267,"&lt;&gt;Hủy")=0,"Khi phát sinh – chờ việc con","Khi phát sinh – theo ngày con"),IF(I57="","",LET(n,COUNTIFS('Lớp 6 - Chi tiết'!$J$14:$J$267,$I57,'Lớp 6 - Chi tiết'!$AE$14:$AE$267,"&lt;&gt;Hủy"),cs,IFERROR(MINIFS('Lớp 6 - Chi tiết'!$AG$14:$AG$267,'Lớp 6 - Chi tiết'!$J$14:$J$267,$I57,'Lớp 6 - Chi tiết'!$AE$14:$AE$267,"&lt;&gt;Hủy",'Lớp 6 - Chi tiết'!$AG$14:$AG$267,"&gt;0"),0),ce,IFERROR(MAXIFS('Lớp 6 - Chi tiết'!$AH$14:$AH$267,'Lớp 6 - Chi tiết'!$J$14:$J$267,$I57,'Lớp 6 - Chi tiết'!$AE$14:$AE$267,"&lt;&gt;Hủy",'Lớp 6 - Chi tiết'!$AH$14:$AH$267,"&gt;0"),0),ps,'Trung tâm nhập liệu'!R207,pe,'Trung tâm nhập liệu'!Q207,IF(OR(AD57="",AE57=""),"Thiếu ngày L5",IF(n=0,"Chưa có L6",IF(OR(cs=0,ce=0),"Thiếu ngày L6",IF(OR(ps="",pe=""),"Thiếu ngày kế hoạch gốc L5",IF(OR(cs&lt;ps,ce&gt;pe),"Cảnh báo: Con vượt khung kế hoạch gốc","L6 đúng khung kế hoạch gốc"))))))))))</f>
        <v/>
      </c>
      <c r="AL57" s="465"/>
      <c r="AM57" s="467"/>
      <c r="AN57" s="469"/>
      <c r="AO57" s="470"/>
      <c r="AP57" s="470"/>
      <c r="AQ57" s="471"/>
      <c r="AR57" s="469"/>
      <c r="AS57" s="475"/>
      <c r="AT57" s="476"/>
      <c r="AU57" s="478"/>
      <c r="AV57" s="465"/>
      <c r="AW57" s="465"/>
      <c r="AX57" s="479"/>
    </row>
    <row r="58" ht="15.75" customHeight="1">
      <c r="A58" s="424"/>
      <c r="B58" s="572"/>
      <c r="C58" s="591"/>
      <c r="D58" s="623"/>
      <c r="E58" s="617"/>
      <c r="F58" s="575"/>
      <c r="G58" s="575"/>
      <c r="H58" s="576"/>
      <c r="I58" s="577"/>
      <c r="J58" s="577"/>
      <c r="K58" s="597"/>
      <c r="L58" s="598"/>
      <c r="M58" s="438"/>
      <c r="N58" s="597"/>
      <c r="O58" s="597"/>
      <c r="P58" s="597"/>
      <c r="Q58" s="581"/>
      <c r="R58" s="420"/>
      <c r="S58" s="582"/>
      <c r="T58" s="583"/>
      <c r="U58" s="584" t="str">
        <f>IF($I58="","",LET(n,COUNTIFS('Lớp 6 - Chi tiết'!$J$14:$J$267,$I58,'Lớp 6 - Chi tiết'!$AE$14:$AE$267,"&lt;&gt;Hủy"),child,IFERROR(MAXIFS('Lớp 6 - Chi tiết'!$AH$14:$AH$267,'Lớp 6 - Chi tiết'!$J$14:$J$267,$I58,'Lớp 6 - Chi tiết'!$AE$14:$AE$267,"&lt;&gt;Hủy",'Lớp 6 - Chi tiết'!$AH$14:$AH$267,"&gt;0"),0),plan,'Trung tâm nhập liệu'!Q208,emergent,LOWER(TRIM('Trung tâm nhập liệu'!O208))="khi phát sinh",IF(n=0,IF(emergent,"",plan),IF(child=0,IF(emergent,"",plan),IF(OR(emergent,plan=""),child,MAX(plan,child))))))</f>
        <v/>
      </c>
      <c r="V58" s="584" t="str">
        <f>IF($I58="","",LET(n,COUNTIFS('Lớp 6 - Chi tiết'!$J$14:$J$267,$I58,'Lớp 6 - Chi tiết'!$AE$14:$AE$267,"&lt;&gt;Hủy"),child,IFERROR(MINIFS('Lớp 6 - Chi tiết'!$AG$14:$AG$267,'Lớp 6 - Chi tiết'!$J$14:$J$267,$I58,'Lớp 6 - Chi tiết'!$AE$14:$AE$267,"&lt;&gt;Hủy",'Lớp 6 - Chi tiết'!$AG$14:$AG$267,"&gt;0"),0),plan,'Trung tâm nhập liệu'!R208,emergent,LOWER(TRIM('Trung tâm nhập liệu'!O208))="khi phát sinh",IF(n=0,IF(emergent,"",plan),IF(child=0,IF(emergent,"",plan),IF(OR(emergent,plan=""),child,MIN(plan,child))))))</f>
        <v/>
      </c>
      <c r="W58" s="577"/>
      <c r="X58" s="577"/>
      <c r="Y58" s="585"/>
      <c r="Z58" s="586"/>
      <c r="AA58" s="577"/>
      <c r="AB58" s="572"/>
      <c r="AC58" s="420"/>
      <c r="AD58" s="584"/>
      <c r="AE58" s="584"/>
      <c r="AF58" s="587"/>
      <c r="AG58" s="588"/>
      <c r="AH58" s="587"/>
      <c r="AI58" s="589"/>
      <c r="AJ58" s="468"/>
      <c r="AK58" s="477" t="str">
        <f>IF(AM58="Chưa xếp lịch","Chưa xếp lịch",IF(AM58="Định kỳ",IF(AN58="","Thiếu chu kỳ","Theo chu kỳ"),IF(AM58="Khi phát sinh",IF(COUNTIFS('Lớp 6 - Chi tiết'!$J$14:$J$267,$I58,'Lớp 6 - Chi tiết'!$AE$14:$AE$267,"&lt;&gt;Hủy")=0,"Khi phát sinh – chờ việc con","Khi phát sinh – theo ngày con"),IF(I58="","",LET(n,COUNTIFS('Lớp 6 - Chi tiết'!$J$14:$J$267,$I58,'Lớp 6 - Chi tiết'!$AE$14:$AE$267,"&lt;&gt;Hủy"),cs,IFERROR(MINIFS('Lớp 6 - Chi tiết'!$AG$14:$AG$267,'Lớp 6 - Chi tiết'!$J$14:$J$267,$I58,'Lớp 6 - Chi tiết'!$AE$14:$AE$267,"&lt;&gt;Hủy",'Lớp 6 - Chi tiết'!$AG$14:$AG$267,"&gt;0"),0),ce,IFERROR(MAXIFS('Lớp 6 - Chi tiết'!$AH$14:$AH$267,'Lớp 6 - Chi tiết'!$J$14:$J$267,$I58,'Lớp 6 - Chi tiết'!$AE$14:$AE$267,"&lt;&gt;Hủy",'Lớp 6 - Chi tiết'!$AH$14:$AH$267,"&gt;0"),0),ps,'Trung tâm nhập liệu'!R208,pe,'Trung tâm nhập liệu'!Q208,IF(OR(AD58="",AE58=""),"Thiếu ngày L5",IF(n=0,"Chưa có L6",IF(OR(cs=0,ce=0),"Thiếu ngày L6",IF(OR(ps="",pe=""),"Thiếu ngày kế hoạch gốc L5",IF(OR(cs&lt;ps,ce&gt;pe),"Cảnh báo: Con vượt khung kế hoạch gốc","L6 đúng khung kế hoạch gốc"))))))))))</f>
        <v/>
      </c>
      <c r="AL58" s="465"/>
      <c r="AM58" s="467"/>
      <c r="AN58" s="469"/>
      <c r="AO58" s="470"/>
      <c r="AP58" s="470"/>
      <c r="AQ58" s="471"/>
      <c r="AR58" s="469"/>
      <c r="AS58" s="475"/>
      <c r="AT58" s="476"/>
      <c r="AU58" s="478"/>
      <c r="AV58" s="465"/>
      <c r="AW58" s="465"/>
      <c r="AX58" s="479"/>
    </row>
    <row r="59" ht="15.75" customHeight="1">
      <c r="A59" s="424"/>
      <c r="B59" s="572"/>
      <c r="C59" s="591"/>
      <c r="D59" s="623"/>
      <c r="E59" s="617"/>
      <c r="F59" s="575"/>
      <c r="G59" s="575"/>
      <c r="H59" s="576"/>
      <c r="I59" s="577"/>
      <c r="J59" s="577"/>
      <c r="K59" s="597"/>
      <c r="L59" s="598"/>
      <c r="M59" s="438"/>
      <c r="N59" s="597"/>
      <c r="O59" s="597"/>
      <c r="P59" s="597"/>
      <c r="Q59" s="581"/>
      <c r="R59" s="420"/>
      <c r="S59" s="582"/>
      <c r="T59" s="583"/>
      <c r="U59" s="584" t="str">
        <f>IF($I59="","",LET(n,COUNTIFS('Lớp 6 - Chi tiết'!$J$14:$J$267,$I59,'Lớp 6 - Chi tiết'!$AE$14:$AE$267,"&lt;&gt;Hủy"),child,IFERROR(MAXIFS('Lớp 6 - Chi tiết'!$AH$14:$AH$267,'Lớp 6 - Chi tiết'!$J$14:$J$267,$I59,'Lớp 6 - Chi tiết'!$AE$14:$AE$267,"&lt;&gt;Hủy",'Lớp 6 - Chi tiết'!$AH$14:$AH$267,"&gt;0"),0),plan,'Trung tâm nhập liệu'!Q209,emergent,LOWER(TRIM('Trung tâm nhập liệu'!O209))="khi phát sinh",IF(n=0,IF(emergent,"",plan),IF(child=0,IF(emergent,"",plan),IF(OR(emergent,plan=""),child,MAX(plan,child))))))</f>
        <v/>
      </c>
      <c r="V59" s="584" t="str">
        <f>IF($I59="","",LET(n,COUNTIFS('Lớp 6 - Chi tiết'!$J$14:$J$267,$I59,'Lớp 6 - Chi tiết'!$AE$14:$AE$267,"&lt;&gt;Hủy"),child,IFERROR(MINIFS('Lớp 6 - Chi tiết'!$AG$14:$AG$267,'Lớp 6 - Chi tiết'!$J$14:$J$267,$I59,'Lớp 6 - Chi tiết'!$AE$14:$AE$267,"&lt;&gt;Hủy",'Lớp 6 - Chi tiết'!$AG$14:$AG$267,"&gt;0"),0),plan,'Trung tâm nhập liệu'!R209,emergent,LOWER(TRIM('Trung tâm nhập liệu'!O209))="khi phát sinh",IF(n=0,IF(emergent,"",plan),IF(child=0,IF(emergent,"",plan),IF(OR(emergent,plan=""),child,MIN(plan,child))))))</f>
        <v/>
      </c>
      <c r="W59" s="577"/>
      <c r="X59" s="577"/>
      <c r="Y59" s="585"/>
      <c r="Z59" s="586"/>
      <c r="AA59" s="577"/>
      <c r="AB59" s="572"/>
      <c r="AC59" s="420"/>
      <c r="AD59" s="584"/>
      <c r="AE59" s="584"/>
      <c r="AF59" s="587"/>
      <c r="AG59" s="588"/>
      <c r="AH59" s="587"/>
      <c r="AI59" s="589"/>
      <c r="AJ59" s="468"/>
      <c r="AK59" s="477" t="str">
        <f>IF(AM59="Chưa xếp lịch","Chưa xếp lịch",IF(AM59="Định kỳ",IF(AN59="","Thiếu chu kỳ","Theo chu kỳ"),IF(AM59="Khi phát sinh",IF(COUNTIFS('Lớp 6 - Chi tiết'!$J$14:$J$267,$I59,'Lớp 6 - Chi tiết'!$AE$14:$AE$267,"&lt;&gt;Hủy")=0,"Khi phát sinh – chờ việc con","Khi phát sinh – theo ngày con"),IF(I59="","",LET(n,COUNTIFS('Lớp 6 - Chi tiết'!$J$14:$J$267,$I59,'Lớp 6 - Chi tiết'!$AE$14:$AE$267,"&lt;&gt;Hủy"),cs,IFERROR(MINIFS('Lớp 6 - Chi tiết'!$AG$14:$AG$267,'Lớp 6 - Chi tiết'!$J$14:$J$267,$I59,'Lớp 6 - Chi tiết'!$AE$14:$AE$267,"&lt;&gt;Hủy",'Lớp 6 - Chi tiết'!$AG$14:$AG$267,"&gt;0"),0),ce,IFERROR(MAXIFS('Lớp 6 - Chi tiết'!$AH$14:$AH$267,'Lớp 6 - Chi tiết'!$J$14:$J$267,$I59,'Lớp 6 - Chi tiết'!$AE$14:$AE$267,"&lt;&gt;Hủy",'Lớp 6 - Chi tiết'!$AH$14:$AH$267,"&gt;0"),0),ps,'Trung tâm nhập liệu'!R209,pe,'Trung tâm nhập liệu'!Q209,IF(OR(AD59="",AE59=""),"Thiếu ngày L5",IF(n=0,"Chưa có L6",IF(OR(cs=0,ce=0),"Thiếu ngày L6",IF(OR(ps="",pe=""),"Thiếu ngày kế hoạch gốc L5",IF(OR(cs&lt;ps,ce&gt;pe),"Cảnh báo: Con vượt khung kế hoạch gốc","L6 đúng khung kế hoạch gốc"))))))))))</f>
        <v/>
      </c>
      <c r="AL59" s="465"/>
      <c r="AM59" s="467"/>
      <c r="AN59" s="469"/>
      <c r="AO59" s="470"/>
      <c r="AP59" s="470"/>
      <c r="AQ59" s="471"/>
      <c r="AR59" s="469"/>
      <c r="AS59" s="475"/>
      <c r="AT59" s="476"/>
      <c r="AU59" s="478"/>
      <c r="AV59" s="465"/>
      <c r="AW59" s="465"/>
      <c r="AX59" s="479"/>
    </row>
    <row r="60" ht="15.75" customHeight="1">
      <c r="A60" s="424"/>
      <c r="B60" s="572"/>
      <c r="C60" s="591"/>
      <c r="D60" s="623"/>
      <c r="E60" s="617"/>
      <c r="F60" s="575"/>
      <c r="G60" s="575"/>
      <c r="H60" s="576"/>
      <c r="I60" s="577"/>
      <c r="J60" s="577"/>
      <c r="K60" s="597"/>
      <c r="L60" s="598"/>
      <c r="M60" s="438"/>
      <c r="N60" s="597"/>
      <c r="O60" s="597"/>
      <c r="P60" s="597"/>
      <c r="Q60" s="581"/>
      <c r="R60" s="420"/>
      <c r="S60" s="582"/>
      <c r="T60" s="583"/>
      <c r="U60" s="584" t="str">
        <f>IF($I60="","",LET(n,COUNTIFS('Lớp 6 - Chi tiết'!$J$14:$J$267,$I60,'Lớp 6 - Chi tiết'!$AE$14:$AE$267,"&lt;&gt;Hủy"),child,IFERROR(MAXIFS('Lớp 6 - Chi tiết'!$AH$14:$AH$267,'Lớp 6 - Chi tiết'!$J$14:$J$267,$I60,'Lớp 6 - Chi tiết'!$AE$14:$AE$267,"&lt;&gt;Hủy",'Lớp 6 - Chi tiết'!$AH$14:$AH$267,"&gt;0"),0),plan,'Trung tâm nhập liệu'!Q210,emergent,LOWER(TRIM('Trung tâm nhập liệu'!O210))="khi phát sinh",IF(n=0,IF(emergent,"",plan),IF(child=0,IF(emergent,"",plan),IF(OR(emergent,plan=""),child,MAX(plan,child))))))</f>
        <v/>
      </c>
      <c r="V60" s="584" t="str">
        <f>IF($I60="","",LET(n,COUNTIFS('Lớp 6 - Chi tiết'!$J$14:$J$267,$I60,'Lớp 6 - Chi tiết'!$AE$14:$AE$267,"&lt;&gt;Hủy"),child,IFERROR(MINIFS('Lớp 6 - Chi tiết'!$AG$14:$AG$267,'Lớp 6 - Chi tiết'!$J$14:$J$267,$I60,'Lớp 6 - Chi tiết'!$AE$14:$AE$267,"&lt;&gt;Hủy",'Lớp 6 - Chi tiết'!$AG$14:$AG$267,"&gt;0"),0),plan,'Trung tâm nhập liệu'!R210,emergent,LOWER(TRIM('Trung tâm nhập liệu'!O210))="khi phát sinh",IF(n=0,IF(emergent,"",plan),IF(child=0,IF(emergent,"",plan),IF(OR(emergent,plan=""),child,MIN(plan,child))))))</f>
        <v/>
      </c>
      <c r="W60" s="577"/>
      <c r="X60" s="577"/>
      <c r="Y60" s="585"/>
      <c r="Z60" s="586"/>
      <c r="AA60" s="577"/>
      <c r="AB60" s="572"/>
      <c r="AC60" s="420"/>
      <c r="AD60" s="584"/>
      <c r="AE60" s="584"/>
      <c r="AF60" s="587"/>
      <c r="AG60" s="588"/>
      <c r="AH60" s="587"/>
      <c r="AI60" s="589"/>
      <c r="AJ60" s="468"/>
      <c r="AK60" s="477" t="str">
        <f>IF(AM60="Chưa xếp lịch","Chưa xếp lịch",IF(AM60="Định kỳ",IF(AN60="","Thiếu chu kỳ","Theo chu kỳ"),IF(AM60="Khi phát sinh",IF(COUNTIFS('Lớp 6 - Chi tiết'!$J$14:$J$267,$I60,'Lớp 6 - Chi tiết'!$AE$14:$AE$267,"&lt;&gt;Hủy")=0,"Khi phát sinh – chờ việc con","Khi phát sinh – theo ngày con"),IF(I60="","",LET(n,COUNTIFS('Lớp 6 - Chi tiết'!$J$14:$J$267,$I60,'Lớp 6 - Chi tiết'!$AE$14:$AE$267,"&lt;&gt;Hủy"),cs,IFERROR(MINIFS('Lớp 6 - Chi tiết'!$AG$14:$AG$267,'Lớp 6 - Chi tiết'!$J$14:$J$267,$I60,'Lớp 6 - Chi tiết'!$AE$14:$AE$267,"&lt;&gt;Hủy",'Lớp 6 - Chi tiết'!$AG$14:$AG$267,"&gt;0"),0),ce,IFERROR(MAXIFS('Lớp 6 - Chi tiết'!$AH$14:$AH$267,'Lớp 6 - Chi tiết'!$J$14:$J$267,$I60,'Lớp 6 - Chi tiết'!$AE$14:$AE$267,"&lt;&gt;Hủy",'Lớp 6 - Chi tiết'!$AH$14:$AH$267,"&gt;0"),0),ps,'Trung tâm nhập liệu'!R210,pe,'Trung tâm nhập liệu'!Q210,IF(OR(AD60="",AE60=""),"Thiếu ngày L5",IF(n=0,"Chưa có L6",IF(OR(cs=0,ce=0),"Thiếu ngày L6",IF(OR(ps="",pe=""),"Thiếu ngày kế hoạch gốc L5",IF(OR(cs&lt;ps,ce&gt;pe),"Cảnh báo: Con vượt khung kế hoạch gốc","L6 đúng khung kế hoạch gốc"))))))))))</f>
        <v/>
      </c>
      <c r="AL60" s="465"/>
      <c r="AM60" s="467"/>
      <c r="AN60" s="469"/>
      <c r="AO60" s="470"/>
      <c r="AP60" s="470"/>
      <c r="AQ60" s="471"/>
      <c r="AR60" s="469"/>
      <c r="AS60" s="475"/>
      <c r="AT60" s="476"/>
      <c r="AU60" s="478"/>
      <c r="AV60" s="465"/>
      <c r="AW60" s="465"/>
      <c r="AX60" s="479"/>
    </row>
    <row r="61" ht="15.75" customHeight="1">
      <c r="A61" s="424"/>
      <c r="B61" s="572"/>
      <c r="C61" s="591"/>
      <c r="D61" s="623"/>
      <c r="E61" s="617"/>
      <c r="F61" s="575"/>
      <c r="G61" s="575"/>
      <c r="H61" s="576"/>
      <c r="I61" s="577"/>
      <c r="J61" s="577"/>
      <c r="K61" s="597"/>
      <c r="L61" s="598"/>
      <c r="M61" s="438"/>
      <c r="N61" s="597"/>
      <c r="O61" s="597"/>
      <c r="P61" s="597"/>
      <c r="Q61" s="581"/>
      <c r="R61" s="420"/>
      <c r="S61" s="582"/>
      <c r="T61" s="583"/>
      <c r="U61" s="584" t="str">
        <f>IF($I61="","",LET(n,COUNTIFS('Lớp 6 - Chi tiết'!$J$14:$J$267,$I61,'Lớp 6 - Chi tiết'!$AE$14:$AE$267,"&lt;&gt;Hủy"),child,IFERROR(MAXIFS('Lớp 6 - Chi tiết'!$AH$14:$AH$267,'Lớp 6 - Chi tiết'!$J$14:$J$267,$I61,'Lớp 6 - Chi tiết'!$AE$14:$AE$267,"&lt;&gt;Hủy",'Lớp 6 - Chi tiết'!$AH$14:$AH$267,"&gt;0"),0),plan,'Trung tâm nhập liệu'!Q211,emergent,LOWER(TRIM('Trung tâm nhập liệu'!O211))="khi phát sinh",IF(n=0,IF(emergent,"",plan),IF(child=0,IF(emergent,"",plan),IF(OR(emergent,plan=""),child,MAX(plan,child))))))</f>
        <v/>
      </c>
      <c r="V61" s="584" t="str">
        <f>IF($I61="","",LET(n,COUNTIFS('Lớp 6 - Chi tiết'!$J$14:$J$267,$I61,'Lớp 6 - Chi tiết'!$AE$14:$AE$267,"&lt;&gt;Hủy"),child,IFERROR(MINIFS('Lớp 6 - Chi tiết'!$AG$14:$AG$267,'Lớp 6 - Chi tiết'!$J$14:$J$267,$I61,'Lớp 6 - Chi tiết'!$AE$14:$AE$267,"&lt;&gt;Hủy",'Lớp 6 - Chi tiết'!$AG$14:$AG$267,"&gt;0"),0),plan,'Trung tâm nhập liệu'!R211,emergent,LOWER(TRIM('Trung tâm nhập liệu'!O211))="khi phát sinh",IF(n=0,IF(emergent,"",plan),IF(child=0,IF(emergent,"",plan),IF(OR(emergent,plan=""),child,MIN(plan,child))))))</f>
        <v/>
      </c>
      <c r="W61" s="577"/>
      <c r="X61" s="577"/>
      <c r="Y61" s="585"/>
      <c r="Z61" s="586"/>
      <c r="AA61" s="577"/>
      <c r="AB61" s="572"/>
      <c r="AC61" s="420"/>
      <c r="AD61" s="584"/>
      <c r="AE61" s="584"/>
      <c r="AF61" s="587"/>
      <c r="AG61" s="588"/>
      <c r="AH61" s="587"/>
      <c r="AI61" s="589"/>
      <c r="AJ61" s="468"/>
      <c r="AK61" s="477" t="str">
        <f>IF(AM61="Chưa xếp lịch","Chưa xếp lịch",IF(AM61="Định kỳ",IF(AN61="","Thiếu chu kỳ","Theo chu kỳ"),IF(AM61="Khi phát sinh",IF(COUNTIFS('Lớp 6 - Chi tiết'!$J$14:$J$267,$I61,'Lớp 6 - Chi tiết'!$AE$14:$AE$267,"&lt;&gt;Hủy")=0,"Khi phát sinh – chờ việc con","Khi phát sinh – theo ngày con"),IF(I61="","",LET(n,COUNTIFS('Lớp 6 - Chi tiết'!$J$14:$J$267,$I61,'Lớp 6 - Chi tiết'!$AE$14:$AE$267,"&lt;&gt;Hủy"),cs,IFERROR(MINIFS('Lớp 6 - Chi tiết'!$AG$14:$AG$267,'Lớp 6 - Chi tiết'!$J$14:$J$267,$I61,'Lớp 6 - Chi tiết'!$AE$14:$AE$267,"&lt;&gt;Hủy",'Lớp 6 - Chi tiết'!$AG$14:$AG$267,"&gt;0"),0),ce,IFERROR(MAXIFS('Lớp 6 - Chi tiết'!$AH$14:$AH$267,'Lớp 6 - Chi tiết'!$J$14:$J$267,$I61,'Lớp 6 - Chi tiết'!$AE$14:$AE$267,"&lt;&gt;Hủy",'Lớp 6 - Chi tiết'!$AH$14:$AH$267,"&gt;0"),0),ps,'Trung tâm nhập liệu'!R211,pe,'Trung tâm nhập liệu'!Q211,IF(OR(AD61="",AE61=""),"Thiếu ngày L5",IF(n=0,"Chưa có L6",IF(OR(cs=0,ce=0),"Thiếu ngày L6",IF(OR(ps="",pe=""),"Thiếu ngày kế hoạch gốc L5",IF(OR(cs&lt;ps,ce&gt;pe),"Cảnh báo: Con vượt khung kế hoạch gốc","L6 đúng khung kế hoạch gốc"))))))))))</f>
        <v/>
      </c>
      <c r="AL61" s="465"/>
      <c r="AM61" s="467"/>
      <c r="AN61" s="469"/>
      <c r="AO61" s="470"/>
      <c r="AP61" s="470"/>
      <c r="AQ61" s="471"/>
      <c r="AR61" s="469"/>
      <c r="AS61" s="475"/>
      <c r="AT61" s="476"/>
      <c r="AU61" s="478"/>
      <c r="AV61" s="465"/>
      <c r="AW61" s="465"/>
      <c r="AX61" s="479"/>
    </row>
    <row r="62" ht="15.75" customHeight="1">
      <c r="A62" s="424"/>
      <c r="B62" s="572"/>
      <c r="C62" s="591"/>
      <c r="D62" s="623"/>
      <c r="E62" s="617"/>
      <c r="F62" s="575"/>
      <c r="G62" s="575"/>
      <c r="H62" s="576"/>
      <c r="I62" s="577"/>
      <c r="J62" s="577"/>
      <c r="K62" s="597"/>
      <c r="L62" s="598"/>
      <c r="M62" s="438"/>
      <c r="N62" s="597"/>
      <c r="O62" s="597"/>
      <c r="P62" s="597"/>
      <c r="Q62" s="581"/>
      <c r="R62" s="420"/>
      <c r="S62" s="582"/>
      <c r="T62" s="583"/>
      <c r="U62" s="584" t="str">
        <f>IF($I62="","",LET(n,COUNTIFS('Lớp 6 - Chi tiết'!$J$14:$J$267,$I62,'Lớp 6 - Chi tiết'!$AE$14:$AE$267,"&lt;&gt;Hủy"),child,IFERROR(MAXIFS('Lớp 6 - Chi tiết'!$AH$14:$AH$267,'Lớp 6 - Chi tiết'!$J$14:$J$267,$I62,'Lớp 6 - Chi tiết'!$AE$14:$AE$267,"&lt;&gt;Hủy",'Lớp 6 - Chi tiết'!$AH$14:$AH$267,"&gt;0"),0),plan,'Trung tâm nhập liệu'!Q212,emergent,LOWER(TRIM('Trung tâm nhập liệu'!O212))="khi phát sinh",IF(n=0,IF(emergent,"",plan),IF(child=0,IF(emergent,"",plan),IF(OR(emergent,plan=""),child,MAX(plan,child))))))</f>
        <v/>
      </c>
      <c r="V62" s="584" t="str">
        <f>IF($I62="","",LET(n,COUNTIFS('Lớp 6 - Chi tiết'!$J$14:$J$267,$I62,'Lớp 6 - Chi tiết'!$AE$14:$AE$267,"&lt;&gt;Hủy"),child,IFERROR(MINIFS('Lớp 6 - Chi tiết'!$AG$14:$AG$267,'Lớp 6 - Chi tiết'!$J$14:$J$267,$I62,'Lớp 6 - Chi tiết'!$AE$14:$AE$267,"&lt;&gt;Hủy",'Lớp 6 - Chi tiết'!$AG$14:$AG$267,"&gt;0"),0),plan,'Trung tâm nhập liệu'!R212,emergent,LOWER(TRIM('Trung tâm nhập liệu'!O212))="khi phát sinh",IF(n=0,IF(emergent,"",plan),IF(child=0,IF(emergent,"",plan),IF(OR(emergent,plan=""),child,MIN(plan,child))))))</f>
        <v/>
      </c>
      <c r="W62" s="577"/>
      <c r="X62" s="577"/>
      <c r="Y62" s="585"/>
      <c r="Z62" s="586"/>
      <c r="AA62" s="577"/>
      <c r="AB62" s="572"/>
      <c r="AC62" s="420"/>
      <c r="AD62" s="584"/>
      <c r="AE62" s="584"/>
      <c r="AF62" s="587"/>
      <c r="AG62" s="588"/>
      <c r="AH62" s="587"/>
      <c r="AI62" s="589"/>
      <c r="AJ62" s="468"/>
      <c r="AK62" s="477" t="str">
        <f>IF(AM62="Chưa xếp lịch","Chưa xếp lịch",IF(AM62="Định kỳ",IF(AN62="","Thiếu chu kỳ","Theo chu kỳ"),IF(AM62="Khi phát sinh",IF(COUNTIFS('Lớp 6 - Chi tiết'!$J$14:$J$267,$I62,'Lớp 6 - Chi tiết'!$AE$14:$AE$267,"&lt;&gt;Hủy")=0,"Khi phát sinh – chờ việc con","Khi phát sinh – theo ngày con"),IF(I62="","",LET(n,COUNTIFS('Lớp 6 - Chi tiết'!$J$14:$J$267,$I62,'Lớp 6 - Chi tiết'!$AE$14:$AE$267,"&lt;&gt;Hủy"),cs,IFERROR(MINIFS('Lớp 6 - Chi tiết'!$AG$14:$AG$267,'Lớp 6 - Chi tiết'!$J$14:$J$267,$I62,'Lớp 6 - Chi tiết'!$AE$14:$AE$267,"&lt;&gt;Hủy",'Lớp 6 - Chi tiết'!$AG$14:$AG$267,"&gt;0"),0),ce,IFERROR(MAXIFS('Lớp 6 - Chi tiết'!$AH$14:$AH$267,'Lớp 6 - Chi tiết'!$J$14:$J$267,$I62,'Lớp 6 - Chi tiết'!$AE$14:$AE$267,"&lt;&gt;Hủy",'Lớp 6 - Chi tiết'!$AH$14:$AH$267,"&gt;0"),0),ps,'Trung tâm nhập liệu'!R212,pe,'Trung tâm nhập liệu'!Q212,IF(OR(AD62="",AE62=""),"Thiếu ngày L5",IF(n=0,"Chưa có L6",IF(OR(cs=0,ce=0),"Thiếu ngày L6",IF(OR(ps="",pe=""),"Thiếu ngày kế hoạch gốc L5",IF(OR(cs&lt;ps,ce&gt;pe),"Cảnh báo: Con vượt khung kế hoạch gốc","L6 đúng khung kế hoạch gốc"))))))))))</f>
        <v/>
      </c>
      <c r="AL62" s="465"/>
      <c r="AM62" s="467"/>
      <c r="AN62" s="469"/>
      <c r="AO62" s="470"/>
      <c r="AP62" s="470"/>
      <c r="AQ62" s="471"/>
      <c r="AR62" s="469"/>
      <c r="AS62" s="475"/>
      <c r="AT62" s="476"/>
      <c r="AU62" s="478"/>
      <c r="AV62" s="465"/>
      <c r="AW62" s="465"/>
      <c r="AX62" s="479"/>
    </row>
    <row r="63" ht="15.75" customHeight="1">
      <c r="A63" s="424"/>
      <c r="B63" s="572"/>
      <c r="C63" s="591"/>
      <c r="D63" s="623"/>
      <c r="E63" s="617"/>
      <c r="F63" s="575"/>
      <c r="G63" s="575"/>
      <c r="H63" s="576"/>
      <c r="I63" s="577"/>
      <c r="J63" s="577"/>
      <c r="K63" s="597"/>
      <c r="L63" s="598"/>
      <c r="M63" s="438"/>
      <c r="N63" s="597"/>
      <c r="O63" s="597"/>
      <c r="P63" s="597"/>
      <c r="Q63" s="581"/>
      <c r="R63" s="420"/>
      <c r="S63" s="582"/>
      <c r="T63" s="583"/>
      <c r="U63" s="584" t="str">
        <f>IF($I63="","",LET(n,COUNTIFS('Lớp 6 - Chi tiết'!$J$14:$J$267,$I63,'Lớp 6 - Chi tiết'!$AE$14:$AE$267,"&lt;&gt;Hủy"),child,IFERROR(MAXIFS('Lớp 6 - Chi tiết'!$AH$14:$AH$267,'Lớp 6 - Chi tiết'!$J$14:$J$267,$I63,'Lớp 6 - Chi tiết'!$AE$14:$AE$267,"&lt;&gt;Hủy",'Lớp 6 - Chi tiết'!$AH$14:$AH$267,"&gt;0"),0),plan,'Trung tâm nhập liệu'!Q213,emergent,LOWER(TRIM('Trung tâm nhập liệu'!O213))="khi phát sinh",IF(n=0,IF(emergent,"",plan),IF(child=0,IF(emergent,"",plan),IF(OR(emergent,plan=""),child,MAX(plan,child))))))</f>
        <v/>
      </c>
      <c r="V63" s="584" t="str">
        <f>IF($I63="","",LET(n,COUNTIFS('Lớp 6 - Chi tiết'!$J$14:$J$267,$I63,'Lớp 6 - Chi tiết'!$AE$14:$AE$267,"&lt;&gt;Hủy"),child,IFERROR(MINIFS('Lớp 6 - Chi tiết'!$AG$14:$AG$267,'Lớp 6 - Chi tiết'!$J$14:$J$267,$I63,'Lớp 6 - Chi tiết'!$AE$14:$AE$267,"&lt;&gt;Hủy",'Lớp 6 - Chi tiết'!$AG$14:$AG$267,"&gt;0"),0),plan,'Trung tâm nhập liệu'!R213,emergent,LOWER(TRIM('Trung tâm nhập liệu'!O213))="khi phát sinh",IF(n=0,IF(emergent,"",plan),IF(child=0,IF(emergent,"",plan),IF(OR(emergent,plan=""),child,MIN(plan,child))))))</f>
        <v/>
      </c>
      <c r="W63" s="577"/>
      <c r="X63" s="577"/>
      <c r="Y63" s="585"/>
      <c r="Z63" s="586"/>
      <c r="AA63" s="577"/>
      <c r="AB63" s="572"/>
      <c r="AC63" s="420"/>
      <c r="AD63" s="584"/>
      <c r="AE63" s="584"/>
      <c r="AF63" s="587"/>
      <c r="AG63" s="588"/>
      <c r="AH63" s="587"/>
      <c r="AI63" s="589"/>
      <c r="AJ63" s="468"/>
      <c r="AK63" s="477" t="str">
        <f>IF(AM63="Chưa xếp lịch","Chưa xếp lịch",IF(AM63="Định kỳ",IF(AN63="","Thiếu chu kỳ","Theo chu kỳ"),IF(AM63="Khi phát sinh",IF(COUNTIFS('Lớp 6 - Chi tiết'!$J$14:$J$267,$I63,'Lớp 6 - Chi tiết'!$AE$14:$AE$267,"&lt;&gt;Hủy")=0,"Khi phát sinh – chờ việc con","Khi phát sinh – theo ngày con"),IF(I63="","",LET(n,COUNTIFS('Lớp 6 - Chi tiết'!$J$14:$J$267,$I63,'Lớp 6 - Chi tiết'!$AE$14:$AE$267,"&lt;&gt;Hủy"),cs,IFERROR(MINIFS('Lớp 6 - Chi tiết'!$AG$14:$AG$267,'Lớp 6 - Chi tiết'!$J$14:$J$267,$I63,'Lớp 6 - Chi tiết'!$AE$14:$AE$267,"&lt;&gt;Hủy",'Lớp 6 - Chi tiết'!$AG$14:$AG$267,"&gt;0"),0),ce,IFERROR(MAXIFS('Lớp 6 - Chi tiết'!$AH$14:$AH$267,'Lớp 6 - Chi tiết'!$J$14:$J$267,$I63,'Lớp 6 - Chi tiết'!$AE$14:$AE$267,"&lt;&gt;Hủy",'Lớp 6 - Chi tiết'!$AH$14:$AH$267,"&gt;0"),0),ps,'Trung tâm nhập liệu'!R213,pe,'Trung tâm nhập liệu'!Q213,IF(OR(AD63="",AE63=""),"Thiếu ngày L5",IF(n=0,"Chưa có L6",IF(OR(cs=0,ce=0),"Thiếu ngày L6",IF(OR(ps="",pe=""),"Thiếu ngày kế hoạch gốc L5",IF(OR(cs&lt;ps,ce&gt;pe),"Cảnh báo: Con vượt khung kế hoạch gốc","L6 đúng khung kế hoạch gốc"))))))))))</f>
        <v/>
      </c>
      <c r="AL63" s="465"/>
      <c r="AM63" s="467"/>
      <c r="AN63" s="469"/>
      <c r="AO63" s="470"/>
      <c r="AP63" s="470"/>
      <c r="AQ63" s="471"/>
      <c r="AR63" s="469"/>
      <c r="AS63" s="475"/>
      <c r="AT63" s="476"/>
      <c r="AU63" s="478"/>
      <c r="AV63" s="465"/>
      <c r="AW63" s="465"/>
      <c r="AX63" s="479"/>
    </row>
    <row r="64" ht="15.75" customHeight="1">
      <c r="A64" s="424"/>
      <c r="B64" s="572"/>
      <c r="C64" s="591"/>
      <c r="D64" s="623"/>
      <c r="E64" s="617"/>
      <c r="F64" s="575"/>
      <c r="G64" s="575"/>
      <c r="H64" s="576"/>
      <c r="I64" s="577"/>
      <c r="J64" s="577"/>
      <c r="K64" s="597"/>
      <c r="L64" s="598"/>
      <c r="M64" s="438"/>
      <c r="N64" s="597"/>
      <c r="O64" s="597"/>
      <c r="P64" s="597"/>
      <c r="Q64" s="581"/>
      <c r="R64" s="420"/>
      <c r="S64" s="582"/>
      <c r="T64" s="583"/>
      <c r="U64" s="584" t="str">
        <f>IF($I64="","",LET(n,COUNTIFS('Lớp 6 - Chi tiết'!$J$14:$J$267,$I64,'Lớp 6 - Chi tiết'!$AE$14:$AE$267,"&lt;&gt;Hủy"),child,IFERROR(MAXIFS('Lớp 6 - Chi tiết'!$AH$14:$AH$267,'Lớp 6 - Chi tiết'!$J$14:$J$267,$I64,'Lớp 6 - Chi tiết'!$AE$14:$AE$267,"&lt;&gt;Hủy",'Lớp 6 - Chi tiết'!$AH$14:$AH$267,"&gt;0"),0),plan,'Trung tâm nhập liệu'!Q214,emergent,LOWER(TRIM('Trung tâm nhập liệu'!O214))="khi phát sinh",IF(n=0,IF(emergent,"",plan),IF(child=0,IF(emergent,"",plan),IF(OR(emergent,plan=""),child,MAX(plan,child))))))</f>
        <v/>
      </c>
      <c r="V64" s="584" t="str">
        <f>IF($I64="","",LET(n,COUNTIFS('Lớp 6 - Chi tiết'!$J$14:$J$267,$I64,'Lớp 6 - Chi tiết'!$AE$14:$AE$267,"&lt;&gt;Hủy"),child,IFERROR(MINIFS('Lớp 6 - Chi tiết'!$AG$14:$AG$267,'Lớp 6 - Chi tiết'!$J$14:$J$267,$I64,'Lớp 6 - Chi tiết'!$AE$14:$AE$267,"&lt;&gt;Hủy",'Lớp 6 - Chi tiết'!$AG$14:$AG$267,"&gt;0"),0),plan,'Trung tâm nhập liệu'!R214,emergent,LOWER(TRIM('Trung tâm nhập liệu'!O214))="khi phát sinh",IF(n=0,IF(emergent,"",plan),IF(child=0,IF(emergent,"",plan),IF(OR(emergent,plan=""),child,MIN(plan,child))))))</f>
        <v/>
      </c>
      <c r="W64" s="577"/>
      <c r="X64" s="577"/>
      <c r="Y64" s="585"/>
      <c r="Z64" s="586"/>
      <c r="AA64" s="577"/>
      <c r="AB64" s="572"/>
      <c r="AC64" s="420"/>
      <c r="AD64" s="584"/>
      <c r="AE64" s="584"/>
      <c r="AF64" s="587"/>
      <c r="AG64" s="588"/>
      <c r="AH64" s="587"/>
      <c r="AI64" s="589"/>
      <c r="AJ64" s="468"/>
      <c r="AK64" s="477" t="str">
        <f>IF(AM64="Chưa xếp lịch","Chưa xếp lịch",IF(AM64="Định kỳ",IF(AN64="","Thiếu chu kỳ","Theo chu kỳ"),IF(AM64="Khi phát sinh",IF(COUNTIFS('Lớp 6 - Chi tiết'!$J$14:$J$267,$I64,'Lớp 6 - Chi tiết'!$AE$14:$AE$267,"&lt;&gt;Hủy")=0,"Khi phát sinh – chờ việc con","Khi phát sinh – theo ngày con"),IF(I64="","",LET(n,COUNTIFS('Lớp 6 - Chi tiết'!$J$14:$J$267,$I64,'Lớp 6 - Chi tiết'!$AE$14:$AE$267,"&lt;&gt;Hủy"),cs,IFERROR(MINIFS('Lớp 6 - Chi tiết'!$AG$14:$AG$267,'Lớp 6 - Chi tiết'!$J$14:$J$267,$I64,'Lớp 6 - Chi tiết'!$AE$14:$AE$267,"&lt;&gt;Hủy",'Lớp 6 - Chi tiết'!$AG$14:$AG$267,"&gt;0"),0),ce,IFERROR(MAXIFS('Lớp 6 - Chi tiết'!$AH$14:$AH$267,'Lớp 6 - Chi tiết'!$J$14:$J$267,$I64,'Lớp 6 - Chi tiết'!$AE$14:$AE$267,"&lt;&gt;Hủy",'Lớp 6 - Chi tiết'!$AH$14:$AH$267,"&gt;0"),0),ps,'Trung tâm nhập liệu'!R214,pe,'Trung tâm nhập liệu'!Q214,IF(OR(AD64="",AE64=""),"Thiếu ngày L5",IF(n=0,"Chưa có L6",IF(OR(cs=0,ce=0),"Thiếu ngày L6",IF(OR(ps="",pe=""),"Thiếu ngày kế hoạch gốc L5",IF(OR(cs&lt;ps,ce&gt;pe),"Cảnh báo: Con vượt khung kế hoạch gốc","L6 đúng khung kế hoạch gốc"))))))))))</f>
        <v/>
      </c>
      <c r="AL64" s="465"/>
      <c r="AM64" s="467"/>
      <c r="AN64" s="469"/>
      <c r="AO64" s="470"/>
      <c r="AP64" s="470"/>
      <c r="AQ64" s="471"/>
      <c r="AR64" s="469"/>
      <c r="AS64" s="475"/>
      <c r="AT64" s="476"/>
      <c r="AU64" s="478"/>
      <c r="AV64" s="465"/>
      <c r="AW64" s="465"/>
      <c r="AX64" s="479"/>
    </row>
    <row r="65" ht="15.75" customHeight="1">
      <c r="A65" s="424"/>
      <c r="B65" s="572"/>
      <c r="C65" s="591"/>
      <c r="D65" s="623"/>
      <c r="E65" s="617"/>
      <c r="F65" s="575"/>
      <c r="G65" s="575"/>
      <c r="H65" s="576"/>
      <c r="I65" s="577"/>
      <c r="J65" s="577"/>
      <c r="K65" s="597"/>
      <c r="L65" s="598"/>
      <c r="M65" s="438"/>
      <c r="N65" s="597"/>
      <c r="O65" s="597"/>
      <c r="P65" s="597"/>
      <c r="Q65" s="581"/>
      <c r="R65" s="420"/>
      <c r="S65" s="582"/>
      <c r="T65" s="583"/>
      <c r="U65" s="584" t="str">
        <f>IF($I65="","",LET(n,COUNTIFS('Lớp 6 - Chi tiết'!$J$14:$J$267,$I65,'Lớp 6 - Chi tiết'!$AE$14:$AE$267,"&lt;&gt;Hủy"),child,IFERROR(MAXIFS('Lớp 6 - Chi tiết'!$AH$14:$AH$267,'Lớp 6 - Chi tiết'!$J$14:$J$267,$I65,'Lớp 6 - Chi tiết'!$AE$14:$AE$267,"&lt;&gt;Hủy",'Lớp 6 - Chi tiết'!$AH$14:$AH$267,"&gt;0"),0),plan,'Trung tâm nhập liệu'!Q215,emergent,LOWER(TRIM('Trung tâm nhập liệu'!O215))="khi phát sinh",IF(n=0,IF(emergent,"",plan),IF(child=0,IF(emergent,"",plan),IF(OR(emergent,plan=""),child,MAX(plan,child))))))</f>
        <v/>
      </c>
      <c r="V65" s="584" t="str">
        <f>IF($I65="","",LET(n,COUNTIFS('Lớp 6 - Chi tiết'!$J$14:$J$267,$I65,'Lớp 6 - Chi tiết'!$AE$14:$AE$267,"&lt;&gt;Hủy"),child,IFERROR(MINIFS('Lớp 6 - Chi tiết'!$AG$14:$AG$267,'Lớp 6 - Chi tiết'!$J$14:$J$267,$I65,'Lớp 6 - Chi tiết'!$AE$14:$AE$267,"&lt;&gt;Hủy",'Lớp 6 - Chi tiết'!$AG$14:$AG$267,"&gt;0"),0),plan,'Trung tâm nhập liệu'!R215,emergent,LOWER(TRIM('Trung tâm nhập liệu'!O215))="khi phát sinh",IF(n=0,IF(emergent,"",plan),IF(child=0,IF(emergent,"",plan),IF(OR(emergent,plan=""),child,MIN(plan,child))))))</f>
        <v/>
      </c>
      <c r="W65" s="577"/>
      <c r="X65" s="577"/>
      <c r="Y65" s="585"/>
      <c r="Z65" s="586"/>
      <c r="AA65" s="577"/>
      <c r="AB65" s="572"/>
      <c r="AC65" s="420"/>
      <c r="AD65" s="584"/>
      <c r="AE65" s="584"/>
      <c r="AF65" s="587"/>
      <c r="AG65" s="588"/>
      <c r="AH65" s="587"/>
      <c r="AI65" s="589"/>
      <c r="AJ65" s="468"/>
      <c r="AK65" s="477" t="str">
        <f>IF(AM65="Chưa xếp lịch","Chưa xếp lịch",IF(AM65="Định kỳ",IF(AN65="","Thiếu chu kỳ","Theo chu kỳ"),IF(AM65="Khi phát sinh",IF(COUNTIFS('Lớp 6 - Chi tiết'!$J$14:$J$267,$I65,'Lớp 6 - Chi tiết'!$AE$14:$AE$267,"&lt;&gt;Hủy")=0,"Khi phát sinh – chờ việc con","Khi phát sinh – theo ngày con"),IF(I65="","",LET(n,COUNTIFS('Lớp 6 - Chi tiết'!$J$14:$J$267,$I65,'Lớp 6 - Chi tiết'!$AE$14:$AE$267,"&lt;&gt;Hủy"),cs,IFERROR(MINIFS('Lớp 6 - Chi tiết'!$AG$14:$AG$267,'Lớp 6 - Chi tiết'!$J$14:$J$267,$I65,'Lớp 6 - Chi tiết'!$AE$14:$AE$267,"&lt;&gt;Hủy",'Lớp 6 - Chi tiết'!$AG$14:$AG$267,"&gt;0"),0),ce,IFERROR(MAXIFS('Lớp 6 - Chi tiết'!$AH$14:$AH$267,'Lớp 6 - Chi tiết'!$J$14:$J$267,$I65,'Lớp 6 - Chi tiết'!$AE$14:$AE$267,"&lt;&gt;Hủy",'Lớp 6 - Chi tiết'!$AH$14:$AH$267,"&gt;0"),0),ps,'Trung tâm nhập liệu'!R215,pe,'Trung tâm nhập liệu'!Q215,IF(OR(AD65="",AE65=""),"Thiếu ngày L5",IF(n=0,"Chưa có L6",IF(OR(cs=0,ce=0),"Thiếu ngày L6",IF(OR(ps="",pe=""),"Thiếu ngày kế hoạch gốc L5",IF(OR(cs&lt;ps,ce&gt;pe),"Cảnh báo: Con vượt khung kế hoạch gốc","L6 đúng khung kế hoạch gốc"))))))))))</f>
        <v/>
      </c>
      <c r="AL65" s="465"/>
      <c r="AM65" s="467"/>
      <c r="AN65" s="469"/>
      <c r="AO65" s="470"/>
      <c r="AP65" s="470"/>
      <c r="AQ65" s="471"/>
      <c r="AR65" s="469"/>
      <c r="AS65" s="475"/>
      <c r="AT65" s="476"/>
      <c r="AU65" s="478"/>
      <c r="AV65" s="465"/>
      <c r="AW65" s="465"/>
      <c r="AX65" s="479"/>
    </row>
    <row r="66" ht="15.75" customHeight="1">
      <c r="A66" s="424"/>
      <c r="B66" s="572"/>
      <c r="C66" s="591"/>
      <c r="D66" s="623"/>
      <c r="E66" s="617"/>
      <c r="F66" s="575"/>
      <c r="G66" s="575"/>
      <c r="H66" s="576"/>
      <c r="I66" s="577"/>
      <c r="J66" s="577"/>
      <c r="K66" s="597"/>
      <c r="L66" s="598"/>
      <c r="M66" s="438"/>
      <c r="N66" s="597"/>
      <c r="O66" s="597"/>
      <c r="P66" s="597"/>
      <c r="Q66" s="581"/>
      <c r="R66" s="420"/>
      <c r="S66" s="582"/>
      <c r="T66" s="583"/>
      <c r="U66" s="584" t="str">
        <f>IF($I66="","",LET(n,COUNTIFS('Lớp 6 - Chi tiết'!$J$14:$J$267,$I66,'Lớp 6 - Chi tiết'!$AE$14:$AE$267,"&lt;&gt;Hủy"),child,IFERROR(MAXIFS('Lớp 6 - Chi tiết'!$AH$14:$AH$267,'Lớp 6 - Chi tiết'!$J$14:$J$267,$I66,'Lớp 6 - Chi tiết'!$AE$14:$AE$267,"&lt;&gt;Hủy",'Lớp 6 - Chi tiết'!$AH$14:$AH$267,"&gt;0"),0),plan,'Trung tâm nhập liệu'!Q216,emergent,LOWER(TRIM('Trung tâm nhập liệu'!O216))="khi phát sinh",IF(n=0,IF(emergent,"",plan),IF(child=0,IF(emergent,"",plan),IF(OR(emergent,plan=""),child,MAX(plan,child))))))</f>
        <v/>
      </c>
      <c r="V66" s="584" t="str">
        <f>IF($I66="","",LET(n,COUNTIFS('Lớp 6 - Chi tiết'!$J$14:$J$267,$I66,'Lớp 6 - Chi tiết'!$AE$14:$AE$267,"&lt;&gt;Hủy"),child,IFERROR(MINIFS('Lớp 6 - Chi tiết'!$AG$14:$AG$267,'Lớp 6 - Chi tiết'!$J$14:$J$267,$I66,'Lớp 6 - Chi tiết'!$AE$14:$AE$267,"&lt;&gt;Hủy",'Lớp 6 - Chi tiết'!$AG$14:$AG$267,"&gt;0"),0),plan,'Trung tâm nhập liệu'!R216,emergent,LOWER(TRIM('Trung tâm nhập liệu'!O216))="khi phát sinh",IF(n=0,IF(emergent,"",plan),IF(child=0,IF(emergent,"",plan),IF(OR(emergent,plan=""),child,MIN(plan,child))))))</f>
        <v/>
      </c>
      <c r="W66" s="577"/>
      <c r="X66" s="577"/>
      <c r="Y66" s="585"/>
      <c r="Z66" s="586"/>
      <c r="AA66" s="577"/>
      <c r="AB66" s="572"/>
      <c r="AC66" s="420"/>
      <c r="AD66" s="584"/>
      <c r="AE66" s="584"/>
      <c r="AF66" s="587"/>
      <c r="AG66" s="588"/>
      <c r="AH66" s="587"/>
      <c r="AI66" s="589"/>
      <c r="AJ66" s="468"/>
      <c r="AK66" s="477" t="str">
        <f>IF(AM66="Chưa xếp lịch","Chưa xếp lịch",IF(AM66="Định kỳ",IF(AN66="","Thiếu chu kỳ","Theo chu kỳ"),IF(AM66="Khi phát sinh",IF(COUNTIFS('Lớp 6 - Chi tiết'!$J$14:$J$267,$I66,'Lớp 6 - Chi tiết'!$AE$14:$AE$267,"&lt;&gt;Hủy")=0,"Khi phát sinh – chờ việc con","Khi phát sinh – theo ngày con"),IF(I66="","",LET(n,COUNTIFS('Lớp 6 - Chi tiết'!$J$14:$J$267,$I66,'Lớp 6 - Chi tiết'!$AE$14:$AE$267,"&lt;&gt;Hủy"),cs,IFERROR(MINIFS('Lớp 6 - Chi tiết'!$AG$14:$AG$267,'Lớp 6 - Chi tiết'!$J$14:$J$267,$I66,'Lớp 6 - Chi tiết'!$AE$14:$AE$267,"&lt;&gt;Hủy",'Lớp 6 - Chi tiết'!$AG$14:$AG$267,"&gt;0"),0),ce,IFERROR(MAXIFS('Lớp 6 - Chi tiết'!$AH$14:$AH$267,'Lớp 6 - Chi tiết'!$J$14:$J$267,$I66,'Lớp 6 - Chi tiết'!$AE$14:$AE$267,"&lt;&gt;Hủy",'Lớp 6 - Chi tiết'!$AH$14:$AH$267,"&gt;0"),0),ps,'Trung tâm nhập liệu'!R216,pe,'Trung tâm nhập liệu'!Q216,IF(OR(AD66="",AE66=""),"Thiếu ngày L5",IF(n=0,"Chưa có L6",IF(OR(cs=0,ce=0),"Thiếu ngày L6",IF(OR(ps="",pe=""),"Thiếu ngày kế hoạch gốc L5",IF(OR(cs&lt;ps,ce&gt;pe),"Cảnh báo: Con vượt khung kế hoạch gốc","L6 đúng khung kế hoạch gốc"))))))))))</f>
        <v/>
      </c>
      <c r="AL66" s="465"/>
      <c r="AM66" s="467"/>
      <c r="AN66" s="469"/>
      <c r="AO66" s="470"/>
      <c r="AP66" s="470"/>
      <c r="AQ66" s="471"/>
      <c r="AR66" s="469"/>
      <c r="AS66" s="475"/>
      <c r="AT66" s="476"/>
      <c r="AU66" s="478"/>
      <c r="AV66" s="465"/>
      <c r="AW66" s="465"/>
      <c r="AX66" s="479"/>
    </row>
    <row r="67" ht="15.75" customHeight="1">
      <c r="A67" s="424"/>
      <c r="B67" s="572"/>
      <c r="C67" s="591"/>
      <c r="D67" s="623"/>
      <c r="E67" s="617"/>
      <c r="F67" s="575"/>
      <c r="G67" s="575"/>
      <c r="H67" s="576"/>
      <c r="I67" s="577"/>
      <c r="J67" s="577"/>
      <c r="K67" s="597"/>
      <c r="L67" s="598"/>
      <c r="M67" s="438"/>
      <c r="N67" s="597"/>
      <c r="O67" s="597"/>
      <c r="P67" s="597"/>
      <c r="Q67" s="581"/>
      <c r="R67" s="420"/>
      <c r="S67" s="582"/>
      <c r="T67" s="583"/>
      <c r="U67" s="584" t="str">
        <f>IF($I67="","",LET(n,COUNTIFS('Lớp 6 - Chi tiết'!$J$14:$J$267,$I67,'Lớp 6 - Chi tiết'!$AE$14:$AE$267,"&lt;&gt;Hủy"),child,IFERROR(MAXIFS('Lớp 6 - Chi tiết'!$AH$14:$AH$267,'Lớp 6 - Chi tiết'!$J$14:$J$267,$I67,'Lớp 6 - Chi tiết'!$AE$14:$AE$267,"&lt;&gt;Hủy",'Lớp 6 - Chi tiết'!$AH$14:$AH$267,"&gt;0"),0),plan,'Trung tâm nhập liệu'!Q217,emergent,LOWER(TRIM('Trung tâm nhập liệu'!O217))="khi phát sinh",IF(n=0,IF(emergent,"",plan),IF(child=0,IF(emergent,"",plan),IF(OR(emergent,plan=""),child,MAX(plan,child))))))</f>
        <v/>
      </c>
      <c r="V67" s="584" t="str">
        <f>IF($I67="","",LET(n,COUNTIFS('Lớp 6 - Chi tiết'!$J$14:$J$267,$I67,'Lớp 6 - Chi tiết'!$AE$14:$AE$267,"&lt;&gt;Hủy"),child,IFERROR(MINIFS('Lớp 6 - Chi tiết'!$AG$14:$AG$267,'Lớp 6 - Chi tiết'!$J$14:$J$267,$I67,'Lớp 6 - Chi tiết'!$AE$14:$AE$267,"&lt;&gt;Hủy",'Lớp 6 - Chi tiết'!$AG$14:$AG$267,"&gt;0"),0),plan,'Trung tâm nhập liệu'!R217,emergent,LOWER(TRIM('Trung tâm nhập liệu'!O217))="khi phát sinh",IF(n=0,IF(emergent,"",plan),IF(child=0,IF(emergent,"",plan),IF(OR(emergent,plan=""),child,MIN(plan,child))))))</f>
        <v/>
      </c>
      <c r="W67" s="577"/>
      <c r="X67" s="577"/>
      <c r="Y67" s="585"/>
      <c r="Z67" s="586"/>
      <c r="AA67" s="577"/>
      <c r="AB67" s="572"/>
      <c r="AC67" s="420"/>
      <c r="AD67" s="584"/>
      <c r="AE67" s="584"/>
      <c r="AF67" s="587"/>
      <c r="AG67" s="588"/>
      <c r="AH67" s="587"/>
      <c r="AI67" s="589"/>
      <c r="AJ67" s="468"/>
      <c r="AK67" s="477" t="str">
        <f>IF(AM67="Chưa xếp lịch","Chưa xếp lịch",IF(AM67="Định kỳ",IF(AN67="","Thiếu chu kỳ","Theo chu kỳ"),IF(AM67="Khi phát sinh",IF(COUNTIFS('Lớp 6 - Chi tiết'!$J$14:$J$267,$I67,'Lớp 6 - Chi tiết'!$AE$14:$AE$267,"&lt;&gt;Hủy")=0,"Khi phát sinh – chờ việc con","Khi phát sinh – theo ngày con"),IF(I67="","",LET(n,COUNTIFS('Lớp 6 - Chi tiết'!$J$14:$J$267,$I67,'Lớp 6 - Chi tiết'!$AE$14:$AE$267,"&lt;&gt;Hủy"),cs,IFERROR(MINIFS('Lớp 6 - Chi tiết'!$AG$14:$AG$267,'Lớp 6 - Chi tiết'!$J$14:$J$267,$I67,'Lớp 6 - Chi tiết'!$AE$14:$AE$267,"&lt;&gt;Hủy",'Lớp 6 - Chi tiết'!$AG$14:$AG$267,"&gt;0"),0),ce,IFERROR(MAXIFS('Lớp 6 - Chi tiết'!$AH$14:$AH$267,'Lớp 6 - Chi tiết'!$J$14:$J$267,$I67,'Lớp 6 - Chi tiết'!$AE$14:$AE$267,"&lt;&gt;Hủy",'Lớp 6 - Chi tiết'!$AH$14:$AH$267,"&gt;0"),0),ps,'Trung tâm nhập liệu'!R217,pe,'Trung tâm nhập liệu'!Q217,IF(OR(AD67="",AE67=""),"Thiếu ngày L5",IF(n=0,"Chưa có L6",IF(OR(cs=0,ce=0),"Thiếu ngày L6",IF(OR(ps="",pe=""),"Thiếu ngày kế hoạch gốc L5",IF(OR(cs&lt;ps,ce&gt;pe),"Cảnh báo: Con vượt khung kế hoạch gốc","L6 đúng khung kế hoạch gốc"))))))))))</f>
        <v/>
      </c>
      <c r="AL67" s="465"/>
      <c r="AM67" s="467"/>
      <c r="AN67" s="469"/>
      <c r="AO67" s="470"/>
      <c r="AP67" s="470"/>
      <c r="AQ67" s="471"/>
      <c r="AR67" s="469"/>
      <c r="AS67" s="475"/>
      <c r="AT67" s="476"/>
      <c r="AU67" s="478"/>
      <c r="AV67" s="465"/>
      <c r="AW67" s="465"/>
      <c r="AX67" s="479"/>
    </row>
    <row r="68" ht="15.75" customHeight="1">
      <c r="A68" s="424"/>
      <c r="B68" s="572"/>
      <c r="C68" s="591"/>
      <c r="D68" s="623"/>
      <c r="E68" s="617"/>
      <c r="F68" s="575"/>
      <c r="G68" s="575"/>
      <c r="H68" s="576"/>
      <c r="I68" s="577"/>
      <c r="J68" s="577"/>
      <c r="K68" s="597"/>
      <c r="L68" s="598"/>
      <c r="M68" s="438"/>
      <c r="N68" s="597"/>
      <c r="O68" s="597"/>
      <c r="P68" s="597"/>
      <c r="Q68" s="581"/>
      <c r="R68" s="420"/>
      <c r="S68" s="582"/>
      <c r="T68" s="583"/>
      <c r="U68" s="584" t="str">
        <f>IF($I68="","",LET(n,COUNTIFS('Lớp 6 - Chi tiết'!$J$14:$J$267,$I68,'Lớp 6 - Chi tiết'!$AE$14:$AE$267,"&lt;&gt;Hủy"),child,IFERROR(MAXIFS('Lớp 6 - Chi tiết'!$AH$14:$AH$267,'Lớp 6 - Chi tiết'!$J$14:$J$267,$I68,'Lớp 6 - Chi tiết'!$AE$14:$AE$267,"&lt;&gt;Hủy",'Lớp 6 - Chi tiết'!$AH$14:$AH$267,"&gt;0"),0),plan,'Trung tâm nhập liệu'!Q218,emergent,LOWER(TRIM('Trung tâm nhập liệu'!O218))="khi phát sinh",IF(n=0,IF(emergent,"",plan),IF(child=0,IF(emergent,"",plan),IF(OR(emergent,plan=""),child,MAX(plan,child))))))</f>
        <v/>
      </c>
      <c r="V68" s="584" t="str">
        <f>IF($I68="","",LET(n,COUNTIFS('Lớp 6 - Chi tiết'!$J$14:$J$267,$I68,'Lớp 6 - Chi tiết'!$AE$14:$AE$267,"&lt;&gt;Hủy"),child,IFERROR(MINIFS('Lớp 6 - Chi tiết'!$AG$14:$AG$267,'Lớp 6 - Chi tiết'!$J$14:$J$267,$I68,'Lớp 6 - Chi tiết'!$AE$14:$AE$267,"&lt;&gt;Hủy",'Lớp 6 - Chi tiết'!$AG$14:$AG$267,"&gt;0"),0),plan,'Trung tâm nhập liệu'!R218,emergent,LOWER(TRIM('Trung tâm nhập liệu'!O218))="khi phát sinh",IF(n=0,IF(emergent,"",plan),IF(child=0,IF(emergent,"",plan),IF(OR(emergent,plan=""),child,MIN(plan,child))))))</f>
        <v/>
      </c>
      <c r="W68" s="577"/>
      <c r="X68" s="577"/>
      <c r="Y68" s="585"/>
      <c r="Z68" s="586"/>
      <c r="AA68" s="577"/>
      <c r="AB68" s="572"/>
      <c r="AC68" s="420"/>
      <c r="AD68" s="584"/>
      <c r="AE68" s="584"/>
      <c r="AF68" s="587"/>
      <c r="AG68" s="588"/>
      <c r="AH68" s="587"/>
      <c r="AI68" s="589"/>
      <c r="AJ68" s="468"/>
      <c r="AK68" s="477" t="str">
        <f>IF(AM68="Chưa xếp lịch","Chưa xếp lịch",IF(AM68="Định kỳ",IF(AN68="","Thiếu chu kỳ","Theo chu kỳ"),IF(AM68="Khi phát sinh",IF(COUNTIFS('Lớp 6 - Chi tiết'!$J$14:$J$267,$I68,'Lớp 6 - Chi tiết'!$AE$14:$AE$267,"&lt;&gt;Hủy")=0,"Khi phát sinh – chờ việc con","Khi phát sinh – theo ngày con"),IF(I68="","",LET(n,COUNTIFS('Lớp 6 - Chi tiết'!$J$14:$J$267,$I68,'Lớp 6 - Chi tiết'!$AE$14:$AE$267,"&lt;&gt;Hủy"),cs,IFERROR(MINIFS('Lớp 6 - Chi tiết'!$AG$14:$AG$267,'Lớp 6 - Chi tiết'!$J$14:$J$267,$I68,'Lớp 6 - Chi tiết'!$AE$14:$AE$267,"&lt;&gt;Hủy",'Lớp 6 - Chi tiết'!$AG$14:$AG$267,"&gt;0"),0),ce,IFERROR(MAXIFS('Lớp 6 - Chi tiết'!$AH$14:$AH$267,'Lớp 6 - Chi tiết'!$J$14:$J$267,$I68,'Lớp 6 - Chi tiết'!$AE$14:$AE$267,"&lt;&gt;Hủy",'Lớp 6 - Chi tiết'!$AH$14:$AH$267,"&gt;0"),0),ps,'Trung tâm nhập liệu'!R218,pe,'Trung tâm nhập liệu'!Q218,IF(OR(AD68="",AE68=""),"Thiếu ngày L5",IF(n=0,"Chưa có L6",IF(OR(cs=0,ce=0),"Thiếu ngày L6",IF(OR(ps="",pe=""),"Thiếu ngày kế hoạch gốc L5",IF(OR(cs&lt;ps,ce&gt;pe),"Cảnh báo: Con vượt khung kế hoạch gốc","L6 đúng khung kế hoạch gốc"))))))))))</f>
        <v/>
      </c>
      <c r="AL68" s="465"/>
      <c r="AM68" s="467"/>
      <c r="AN68" s="469"/>
      <c r="AO68" s="470"/>
      <c r="AP68" s="470"/>
      <c r="AQ68" s="471"/>
      <c r="AR68" s="469"/>
      <c r="AS68" s="475"/>
      <c r="AT68" s="476"/>
      <c r="AU68" s="478"/>
      <c r="AV68" s="465"/>
      <c r="AW68" s="465"/>
      <c r="AX68" s="479"/>
    </row>
    <row r="69" ht="15.75" customHeight="1">
      <c r="A69" s="424"/>
      <c r="B69" s="572"/>
      <c r="C69" s="591"/>
      <c r="D69" s="623"/>
      <c r="E69" s="617"/>
      <c r="F69" s="575"/>
      <c r="G69" s="575"/>
      <c r="H69" s="576"/>
      <c r="I69" s="577"/>
      <c r="J69" s="577"/>
      <c r="K69" s="597"/>
      <c r="L69" s="598"/>
      <c r="M69" s="438"/>
      <c r="N69" s="597"/>
      <c r="O69" s="597"/>
      <c r="P69" s="597"/>
      <c r="Q69" s="581"/>
      <c r="R69" s="420"/>
      <c r="S69" s="582"/>
      <c r="T69" s="583"/>
      <c r="U69" s="584" t="str">
        <f>IF($I69="","",LET(n,COUNTIFS('Lớp 6 - Chi tiết'!$J$14:$J$267,$I69,'Lớp 6 - Chi tiết'!$AE$14:$AE$267,"&lt;&gt;Hủy"),child,IFERROR(MAXIFS('Lớp 6 - Chi tiết'!$AH$14:$AH$267,'Lớp 6 - Chi tiết'!$J$14:$J$267,$I69,'Lớp 6 - Chi tiết'!$AE$14:$AE$267,"&lt;&gt;Hủy",'Lớp 6 - Chi tiết'!$AH$14:$AH$267,"&gt;0"),0),plan,'Trung tâm nhập liệu'!Q219,emergent,LOWER(TRIM('Trung tâm nhập liệu'!O219))="khi phát sinh",IF(n=0,IF(emergent,"",plan),IF(child=0,IF(emergent,"",plan),IF(OR(emergent,plan=""),child,MAX(plan,child))))))</f>
        <v/>
      </c>
      <c r="V69" s="584" t="str">
        <f>IF($I69="","",LET(n,COUNTIFS('Lớp 6 - Chi tiết'!$J$14:$J$267,$I69,'Lớp 6 - Chi tiết'!$AE$14:$AE$267,"&lt;&gt;Hủy"),child,IFERROR(MINIFS('Lớp 6 - Chi tiết'!$AG$14:$AG$267,'Lớp 6 - Chi tiết'!$J$14:$J$267,$I69,'Lớp 6 - Chi tiết'!$AE$14:$AE$267,"&lt;&gt;Hủy",'Lớp 6 - Chi tiết'!$AG$14:$AG$267,"&gt;0"),0),plan,'Trung tâm nhập liệu'!R219,emergent,LOWER(TRIM('Trung tâm nhập liệu'!O219))="khi phát sinh",IF(n=0,IF(emergent,"",plan),IF(child=0,IF(emergent,"",plan),IF(OR(emergent,plan=""),child,MIN(plan,child))))))</f>
        <v/>
      </c>
      <c r="W69" s="577"/>
      <c r="X69" s="577"/>
      <c r="Y69" s="585"/>
      <c r="Z69" s="586"/>
      <c r="AA69" s="577"/>
      <c r="AB69" s="572"/>
      <c r="AC69" s="420"/>
      <c r="AD69" s="584"/>
      <c r="AE69" s="584"/>
      <c r="AF69" s="587"/>
      <c r="AG69" s="588"/>
      <c r="AH69" s="587"/>
      <c r="AI69" s="589"/>
      <c r="AJ69" s="468"/>
      <c r="AK69" s="477" t="str">
        <f>IF(AM69="Chưa xếp lịch","Chưa xếp lịch",IF(AM69="Định kỳ",IF(AN69="","Thiếu chu kỳ","Theo chu kỳ"),IF(AM69="Khi phát sinh",IF(COUNTIFS('Lớp 6 - Chi tiết'!$J$14:$J$267,$I69,'Lớp 6 - Chi tiết'!$AE$14:$AE$267,"&lt;&gt;Hủy")=0,"Khi phát sinh – chờ việc con","Khi phát sinh – theo ngày con"),IF(I69="","",LET(n,COUNTIFS('Lớp 6 - Chi tiết'!$J$14:$J$267,$I69,'Lớp 6 - Chi tiết'!$AE$14:$AE$267,"&lt;&gt;Hủy"),cs,IFERROR(MINIFS('Lớp 6 - Chi tiết'!$AG$14:$AG$267,'Lớp 6 - Chi tiết'!$J$14:$J$267,$I69,'Lớp 6 - Chi tiết'!$AE$14:$AE$267,"&lt;&gt;Hủy",'Lớp 6 - Chi tiết'!$AG$14:$AG$267,"&gt;0"),0),ce,IFERROR(MAXIFS('Lớp 6 - Chi tiết'!$AH$14:$AH$267,'Lớp 6 - Chi tiết'!$J$14:$J$267,$I69,'Lớp 6 - Chi tiết'!$AE$14:$AE$267,"&lt;&gt;Hủy",'Lớp 6 - Chi tiết'!$AH$14:$AH$267,"&gt;0"),0),ps,'Trung tâm nhập liệu'!R219,pe,'Trung tâm nhập liệu'!Q219,IF(OR(AD69="",AE69=""),"Thiếu ngày L5",IF(n=0,"Chưa có L6",IF(OR(cs=0,ce=0),"Thiếu ngày L6",IF(OR(ps="",pe=""),"Thiếu ngày kế hoạch gốc L5",IF(OR(cs&lt;ps,ce&gt;pe),"Cảnh báo: Con vượt khung kế hoạch gốc","L6 đúng khung kế hoạch gốc"))))))))))</f>
        <v/>
      </c>
      <c r="AL69" s="465"/>
      <c r="AM69" s="467"/>
      <c r="AN69" s="469"/>
      <c r="AO69" s="470"/>
      <c r="AP69" s="470"/>
      <c r="AQ69" s="471"/>
      <c r="AR69" s="469"/>
      <c r="AS69" s="475"/>
      <c r="AT69" s="476"/>
      <c r="AU69" s="478"/>
      <c r="AV69" s="465"/>
      <c r="AW69" s="465"/>
      <c r="AX69" s="479"/>
    </row>
    <row r="70" ht="15.75" customHeight="1">
      <c r="A70" s="424"/>
      <c r="B70" s="572"/>
      <c r="C70" s="591"/>
      <c r="D70" s="623"/>
      <c r="E70" s="617"/>
      <c r="F70" s="575"/>
      <c r="G70" s="575"/>
      <c r="H70" s="576"/>
      <c r="I70" s="577"/>
      <c r="J70" s="577"/>
      <c r="K70" s="597"/>
      <c r="L70" s="598"/>
      <c r="M70" s="438"/>
      <c r="N70" s="597"/>
      <c r="O70" s="597"/>
      <c r="P70" s="597"/>
      <c r="Q70" s="581"/>
      <c r="R70" s="420"/>
      <c r="S70" s="582"/>
      <c r="T70" s="583"/>
      <c r="U70" s="584" t="str">
        <f>IF($I70="","",LET(n,COUNTIFS('Lớp 6 - Chi tiết'!$J$14:$J$267,$I70,'Lớp 6 - Chi tiết'!$AE$14:$AE$267,"&lt;&gt;Hủy"),child,IFERROR(MAXIFS('Lớp 6 - Chi tiết'!$AH$14:$AH$267,'Lớp 6 - Chi tiết'!$J$14:$J$267,$I70,'Lớp 6 - Chi tiết'!$AE$14:$AE$267,"&lt;&gt;Hủy",'Lớp 6 - Chi tiết'!$AH$14:$AH$267,"&gt;0"),0),plan,'Trung tâm nhập liệu'!Q220,emergent,LOWER(TRIM('Trung tâm nhập liệu'!O220))="khi phát sinh",IF(n=0,IF(emergent,"",plan),IF(child=0,IF(emergent,"",plan),IF(OR(emergent,plan=""),child,MAX(plan,child))))))</f>
        <v/>
      </c>
      <c r="V70" s="584" t="str">
        <f>IF($I70="","",LET(n,COUNTIFS('Lớp 6 - Chi tiết'!$J$14:$J$267,$I70,'Lớp 6 - Chi tiết'!$AE$14:$AE$267,"&lt;&gt;Hủy"),child,IFERROR(MINIFS('Lớp 6 - Chi tiết'!$AG$14:$AG$267,'Lớp 6 - Chi tiết'!$J$14:$J$267,$I70,'Lớp 6 - Chi tiết'!$AE$14:$AE$267,"&lt;&gt;Hủy",'Lớp 6 - Chi tiết'!$AG$14:$AG$267,"&gt;0"),0),plan,'Trung tâm nhập liệu'!R220,emergent,LOWER(TRIM('Trung tâm nhập liệu'!O220))="khi phát sinh",IF(n=0,IF(emergent,"",plan),IF(child=0,IF(emergent,"",plan),IF(OR(emergent,plan=""),child,MIN(plan,child))))))</f>
        <v/>
      </c>
      <c r="W70" s="577"/>
      <c r="X70" s="577"/>
      <c r="Y70" s="585"/>
      <c r="Z70" s="586"/>
      <c r="AA70" s="577"/>
      <c r="AB70" s="572"/>
      <c r="AC70" s="420"/>
      <c r="AD70" s="584"/>
      <c r="AE70" s="584"/>
      <c r="AF70" s="587"/>
      <c r="AG70" s="588"/>
      <c r="AH70" s="587"/>
      <c r="AI70" s="589"/>
      <c r="AJ70" s="468"/>
      <c r="AK70" s="477" t="str">
        <f>IF(AM70="Chưa xếp lịch","Chưa xếp lịch",IF(AM70="Định kỳ",IF(AN70="","Thiếu chu kỳ","Theo chu kỳ"),IF(AM70="Khi phát sinh",IF(COUNTIFS('Lớp 6 - Chi tiết'!$J$14:$J$267,$I70,'Lớp 6 - Chi tiết'!$AE$14:$AE$267,"&lt;&gt;Hủy")=0,"Khi phát sinh – chờ việc con","Khi phát sinh – theo ngày con"),IF(I70="","",LET(n,COUNTIFS('Lớp 6 - Chi tiết'!$J$14:$J$267,$I70,'Lớp 6 - Chi tiết'!$AE$14:$AE$267,"&lt;&gt;Hủy"),cs,IFERROR(MINIFS('Lớp 6 - Chi tiết'!$AG$14:$AG$267,'Lớp 6 - Chi tiết'!$J$14:$J$267,$I70,'Lớp 6 - Chi tiết'!$AE$14:$AE$267,"&lt;&gt;Hủy",'Lớp 6 - Chi tiết'!$AG$14:$AG$267,"&gt;0"),0),ce,IFERROR(MAXIFS('Lớp 6 - Chi tiết'!$AH$14:$AH$267,'Lớp 6 - Chi tiết'!$J$14:$J$267,$I70,'Lớp 6 - Chi tiết'!$AE$14:$AE$267,"&lt;&gt;Hủy",'Lớp 6 - Chi tiết'!$AH$14:$AH$267,"&gt;0"),0),ps,'Trung tâm nhập liệu'!R220,pe,'Trung tâm nhập liệu'!Q220,IF(OR(AD70="",AE70=""),"Thiếu ngày L5",IF(n=0,"Chưa có L6",IF(OR(cs=0,ce=0),"Thiếu ngày L6",IF(OR(ps="",pe=""),"Thiếu ngày kế hoạch gốc L5",IF(OR(cs&lt;ps,ce&gt;pe),"Cảnh báo: Con vượt khung kế hoạch gốc","L6 đúng khung kế hoạch gốc"))))))))))</f>
        <v/>
      </c>
      <c r="AL70" s="465"/>
      <c r="AM70" s="467"/>
      <c r="AN70" s="469"/>
      <c r="AO70" s="470"/>
      <c r="AP70" s="470"/>
      <c r="AQ70" s="471"/>
      <c r="AR70" s="469"/>
      <c r="AS70" s="475"/>
      <c r="AT70" s="476"/>
      <c r="AU70" s="478"/>
      <c r="AV70" s="465"/>
      <c r="AW70" s="465"/>
      <c r="AX70" s="479"/>
    </row>
    <row r="71" ht="15.75" customHeight="1">
      <c r="A71" s="424"/>
      <c r="B71" s="572"/>
      <c r="C71" s="591"/>
      <c r="D71" s="623"/>
      <c r="E71" s="617"/>
      <c r="F71" s="575"/>
      <c r="G71" s="575"/>
      <c r="H71" s="576"/>
      <c r="I71" s="577"/>
      <c r="J71" s="577"/>
      <c r="K71" s="597"/>
      <c r="L71" s="598"/>
      <c r="M71" s="438"/>
      <c r="N71" s="597"/>
      <c r="O71" s="597"/>
      <c r="P71" s="597"/>
      <c r="Q71" s="581"/>
      <c r="R71" s="420"/>
      <c r="S71" s="582"/>
      <c r="T71" s="583"/>
      <c r="U71" s="584" t="str">
        <f>IF($I71="","",LET(n,COUNTIFS('Lớp 6 - Chi tiết'!$J$14:$J$267,$I71,'Lớp 6 - Chi tiết'!$AE$14:$AE$267,"&lt;&gt;Hủy"),child,IFERROR(MAXIFS('Lớp 6 - Chi tiết'!$AH$14:$AH$267,'Lớp 6 - Chi tiết'!$J$14:$J$267,$I71,'Lớp 6 - Chi tiết'!$AE$14:$AE$267,"&lt;&gt;Hủy",'Lớp 6 - Chi tiết'!$AH$14:$AH$267,"&gt;0"),0),plan,'Trung tâm nhập liệu'!Q221,emergent,LOWER(TRIM('Trung tâm nhập liệu'!O221))="khi phát sinh",IF(n=0,IF(emergent,"",plan),IF(child=0,IF(emergent,"",plan),IF(OR(emergent,plan=""),child,MAX(plan,child))))))</f>
        <v/>
      </c>
      <c r="V71" s="584" t="str">
        <f>IF($I71="","",LET(n,COUNTIFS('Lớp 6 - Chi tiết'!$J$14:$J$267,$I71,'Lớp 6 - Chi tiết'!$AE$14:$AE$267,"&lt;&gt;Hủy"),child,IFERROR(MINIFS('Lớp 6 - Chi tiết'!$AG$14:$AG$267,'Lớp 6 - Chi tiết'!$J$14:$J$267,$I71,'Lớp 6 - Chi tiết'!$AE$14:$AE$267,"&lt;&gt;Hủy",'Lớp 6 - Chi tiết'!$AG$14:$AG$267,"&gt;0"),0),plan,'Trung tâm nhập liệu'!R221,emergent,LOWER(TRIM('Trung tâm nhập liệu'!O221))="khi phát sinh",IF(n=0,IF(emergent,"",plan),IF(child=0,IF(emergent,"",plan),IF(OR(emergent,plan=""),child,MIN(plan,child))))))</f>
        <v/>
      </c>
      <c r="W71" s="577"/>
      <c r="X71" s="577"/>
      <c r="Y71" s="585"/>
      <c r="Z71" s="586"/>
      <c r="AA71" s="577"/>
      <c r="AB71" s="572"/>
      <c r="AC71" s="420"/>
      <c r="AD71" s="584"/>
      <c r="AE71" s="584"/>
      <c r="AF71" s="587"/>
      <c r="AG71" s="588"/>
      <c r="AH71" s="587"/>
      <c r="AI71" s="589"/>
      <c r="AJ71" s="468"/>
      <c r="AK71" s="477" t="str">
        <f>IF(AM71="Chưa xếp lịch","Chưa xếp lịch",IF(AM71="Định kỳ",IF(AN71="","Thiếu chu kỳ","Theo chu kỳ"),IF(AM71="Khi phát sinh",IF(COUNTIFS('Lớp 6 - Chi tiết'!$J$14:$J$267,$I71,'Lớp 6 - Chi tiết'!$AE$14:$AE$267,"&lt;&gt;Hủy")=0,"Khi phát sinh – chờ việc con","Khi phát sinh – theo ngày con"),IF(I71="","",LET(n,COUNTIFS('Lớp 6 - Chi tiết'!$J$14:$J$267,$I71,'Lớp 6 - Chi tiết'!$AE$14:$AE$267,"&lt;&gt;Hủy"),cs,IFERROR(MINIFS('Lớp 6 - Chi tiết'!$AG$14:$AG$267,'Lớp 6 - Chi tiết'!$J$14:$J$267,$I71,'Lớp 6 - Chi tiết'!$AE$14:$AE$267,"&lt;&gt;Hủy",'Lớp 6 - Chi tiết'!$AG$14:$AG$267,"&gt;0"),0),ce,IFERROR(MAXIFS('Lớp 6 - Chi tiết'!$AH$14:$AH$267,'Lớp 6 - Chi tiết'!$J$14:$J$267,$I71,'Lớp 6 - Chi tiết'!$AE$14:$AE$267,"&lt;&gt;Hủy",'Lớp 6 - Chi tiết'!$AH$14:$AH$267,"&gt;0"),0),ps,'Trung tâm nhập liệu'!R221,pe,'Trung tâm nhập liệu'!Q221,IF(OR(AD71="",AE71=""),"Thiếu ngày L5",IF(n=0,"Chưa có L6",IF(OR(cs=0,ce=0),"Thiếu ngày L6",IF(OR(ps="",pe=""),"Thiếu ngày kế hoạch gốc L5",IF(OR(cs&lt;ps,ce&gt;pe),"Cảnh báo: Con vượt khung kế hoạch gốc","L6 đúng khung kế hoạch gốc"))))))))))</f>
        <v/>
      </c>
      <c r="AL71" s="465"/>
      <c r="AM71" s="467"/>
      <c r="AN71" s="469"/>
      <c r="AO71" s="470"/>
      <c r="AP71" s="470"/>
      <c r="AQ71" s="471"/>
      <c r="AR71" s="469"/>
      <c r="AS71" s="475"/>
      <c r="AT71" s="476"/>
      <c r="AU71" s="478"/>
      <c r="AV71" s="465"/>
      <c r="AW71" s="465"/>
      <c r="AX71" s="479"/>
    </row>
    <row r="72" ht="15.75" customHeight="1">
      <c r="A72" s="424"/>
      <c r="B72" s="572"/>
      <c r="C72" s="591"/>
      <c r="D72" s="623"/>
      <c r="E72" s="617"/>
      <c r="F72" s="575"/>
      <c r="G72" s="575"/>
      <c r="H72" s="576"/>
      <c r="I72" s="577"/>
      <c r="J72" s="577"/>
      <c r="K72" s="597"/>
      <c r="L72" s="598"/>
      <c r="M72" s="438"/>
      <c r="N72" s="597"/>
      <c r="O72" s="597"/>
      <c r="P72" s="597"/>
      <c r="Q72" s="581"/>
      <c r="R72" s="420"/>
      <c r="S72" s="582"/>
      <c r="T72" s="583"/>
      <c r="U72" s="584" t="str">
        <f>IF($I72="","",LET(n,COUNTIFS('Lớp 6 - Chi tiết'!$J$14:$J$267,$I72,'Lớp 6 - Chi tiết'!$AE$14:$AE$267,"&lt;&gt;Hủy"),child,IFERROR(MAXIFS('Lớp 6 - Chi tiết'!$AH$14:$AH$267,'Lớp 6 - Chi tiết'!$J$14:$J$267,$I72,'Lớp 6 - Chi tiết'!$AE$14:$AE$267,"&lt;&gt;Hủy",'Lớp 6 - Chi tiết'!$AH$14:$AH$267,"&gt;0"),0),plan,'Trung tâm nhập liệu'!Q222,emergent,LOWER(TRIM('Trung tâm nhập liệu'!O222))="khi phát sinh",IF(n=0,IF(emergent,"",plan),IF(child=0,IF(emergent,"",plan),IF(OR(emergent,plan=""),child,MAX(plan,child))))))</f>
        <v/>
      </c>
      <c r="V72" s="584" t="str">
        <f>IF($I72="","",LET(n,COUNTIFS('Lớp 6 - Chi tiết'!$J$14:$J$267,$I72,'Lớp 6 - Chi tiết'!$AE$14:$AE$267,"&lt;&gt;Hủy"),child,IFERROR(MINIFS('Lớp 6 - Chi tiết'!$AG$14:$AG$267,'Lớp 6 - Chi tiết'!$J$14:$J$267,$I72,'Lớp 6 - Chi tiết'!$AE$14:$AE$267,"&lt;&gt;Hủy",'Lớp 6 - Chi tiết'!$AG$14:$AG$267,"&gt;0"),0),plan,'Trung tâm nhập liệu'!R222,emergent,LOWER(TRIM('Trung tâm nhập liệu'!O222))="khi phát sinh",IF(n=0,IF(emergent,"",plan),IF(child=0,IF(emergent,"",plan),IF(OR(emergent,plan=""),child,MIN(plan,child))))))</f>
        <v/>
      </c>
      <c r="W72" s="577"/>
      <c r="X72" s="577"/>
      <c r="Y72" s="585"/>
      <c r="Z72" s="586"/>
      <c r="AA72" s="577"/>
      <c r="AB72" s="572"/>
      <c r="AC72" s="420"/>
      <c r="AD72" s="584"/>
      <c r="AE72" s="584"/>
      <c r="AF72" s="587"/>
      <c r="AG72" s="588"/>
      <c r="AH72" s="587"/>
      <c r="AI72" s="589"/>
      <c r="AJ72" s="468"/>
      <c r="AK72" s="477" t="str">
        <f>IF(AM72="Chưa xếp lịch","Chưa xếp lịch",IF(AM72="Định kỳ",IF(AN72="","Thiếu chu kỳ","Theo chu kỳ"),IF(AM72="Khi phát sinh",IF(COUNTIFS('Lớp 6 - Chi tiết'!$J$14:$J$267,$I72,'Lớp 6 - Chi tiết'!$AE$14:$AE$267,"&lt;&gt;Hủy")=0,"Khi phát sinh – chờ việc con","Khi phát sinh – theo ngày con"),IF(I72="","",LET(n,COUNTIFS('Lớp 6 - Chi tiết'!$J$14:$J$267,$I72,'Lớp 6 - Chi tiết'!$AE$14:$AE$267,"&lt;&gt;Hủy"),cs,IFERROR(MINIFS('Lớp 6 - Chi tiết'!$AG$14:$AG$267,'Lớp 6 - Chi tiết'!$J$14:$J$267,$I72,'Lớp 6 - Chi tiết'!$AE$14:$AE$267,"&lt;&gt;Hủy",'Lớp 6 - Chi tiết'!$AG$14:$AG$267,"&gt;0"),0),ce,IFERROR(MAXIFS('Lớp 6 - Chi tiết'!$AH$14:$AH$267,'Lớp 6 - Chi tiết'!$J$14:$J$267,$I72,'Lớp 6 - Chi tiết'!$AE$14:$AE$267,"&lt;&gt;Hủy",'Lớp 6 - Chi tiết'!$AH$14:$AH$267,"&gt;0"),0),ps,'Trung tâm nhập liệu'!R222,pe,'Trung tâm nhập liệu'!Q222,IF(OR(AD72="",AE72=""),"Thiếu ngày L5",IF(n=0,"Chưa có L6",IF(OR(cs=0,ce=0),"Thiếu ngày L6",IF(OR(ps="",pe=""),"Thiếu ngày kế hoạch gốc L5",IF(OR(cs&lt;ps,ce&gt;pe),"Cảnh báo: Con vượt khung kế hoạch gốc","L6 đúng khung kế hoạch gốc"))))))))))</f>
        <v/>
      </c>
      <c r="AL72" s="465"/>
      <c r="AM72" s="467"/>
      <c r="AN72" s="469"/>
      <c r="AO72" s="470"/>
      <c r="AP72" s="470"/>
      <c r="AQ72" s="471"/>
      <c r="AR72" s="469"/>
      <c r="AS72" s="475"/>
      <c r="AT72" s="476"/>
      <c r="AU72" s="478"/>
      <c r="AV72" s="465"/>
      <c r="AW72" s="465"/>
      <c r="AX72" s="479"/>
    </row>
    <row r="73" ht="15.75" customHeight="1">
      <c r="A73" s="424"/>
      <c r="B73" s="572"/>
      <c r="C73" s="591"/>
      <c r="D73" s="623"/>
      <c r="E73" s="617"/>
      <c r="F73" s="575"/>
      <c r="G73" s="575"/>
      <c r="H73" s="576"/>
      <c r="I73" s="577"/>
      <c r="J73" s="577"/>
      <c r="K73" s="597"/>
      <c r="L73" s="598"/>
      <c r="M73" s="438"/>
      <c r="N73" s="597"/>
      <c r="O73" s="597"/>
      <c r="P73" s="597"/>
      <c r="Q73" s="581"/>
      <c r="R73" s="420"/>
      <c r="S73" s="582"/>
      <c r="T73" s="583"/>
      <c r="U73" s="584" t="str">
        <f>IF($I73="","",LET(n,COUNTIFS('Lớp 6 - Chi tiết'!$J$14:$J$267,$I73,'Lớp 6 - Chi tiết'!$AE$14:$AE$267,"&lt;&gt;Hủy"),child,IFERROR(MAXIFS('Lớp 6 - Chi tiết'!$AH$14:$AH$267,'Lớp 6 - Chi tiết'!$J$14:$J$267,$I73,'Lớp 6 - Chi tiết'!$AE$14:$AE$267,"&lt;&gt;Hủy",'Lớp 6 - Chi tiết'!$AH$14:$AH$267,"&gt;0"),0),plan,'Trung tâm nhập liệu'!Q223,emergent,LOWER(TRIM('Trung tâm nhập liệu'!O223))="khi phát sinh",IF(n=0,IF(emergent,"",plan),IF(child=0,IF(emergent,"",plan),IF(OR(emergent,plan=""),child,MAX(plan,child))))))</f>
        <v/>
      </c>
      <c r="V73" s="584" t="str">
        <f>IF($I73="","",LET(n,COUNTIFS('Lớp 6 - Chi tiết'!$J$14:$J$267,$I73,'Lớp 6 - Chi tiết'!$AE$14:$AE$267,"&lt;&gt;Hủy"),child,IFERROR(MINIFS('Lớp 6 - Chi tiết'!$AG$14:$AG$267,'Lớp 6 - Chi tiết'!$J$14:$J$267,$I73,'Lớp 6 - Chi tiết'!$AE$14:$AE$267,"&lt;&gt;Hủy",'Lớp 6 - Chi tiết'!$AG$14:$AG$267,"&gt;0"),0),plan,'Trung tâm nhập liệu'!R223,emergent,LOWER(TRIM('Trung tâm nhập liệu'!O223))="khi phát sinh",IF(n=0,IF(emergent,"",plan),IF(child=0,IF(emergent,"",plan),IF(OR(emergent,plan=""),child,MIN(plan,child))))))</f>
        <v/>
      </c>
      <c r="W73" s="577"/>
      <c r="X73" s="577"/>
      <c r="Y73" s="585"/>
      <c r="Z73" s="586"/>
      <c r="AA73" s="577"/>
      <c r="AB73" s="572"/>
      <c r="AC73" s="420"/>
      <c r="AD73" s="584"/>
      <c r="AE73" s="584"/>
      <c r="AF73" s="587"/>
      <c r="AG73" s="588"/>
      <c r="AH73" s="587"/>
      <c r="AI73" s="589"/>
      <c r="AJ73" s="468"/>
      <c r="AK73" s="477" t="str">
        <f>IF(AM73="Chưa xếp lịch","Chưa xếp lịch",IF(AM73="Định kỳ",IF(AN73="","Thiếu chu kỳ","Theo chu kỳ"),IF(AM73="Khi phát sinh",IF(COUNTIFS('Lớp 6 - Chi tiết'!$J$14:$J$267,$I73,'Lớp 6 - Chi tiết'!$AE$14:$AE$267,"&lt;&gt;Hủy")=0,"Khi phát sinh – chờ việc con","Khi phát sinh – theo ngày con"),IF(I73="","",LET(n,COUNTIFS('Lớp 6 - Chi tiết'!$J$14:$J$267,$I73,'Lớp 6 - Chi tiết'!$AE$14:$AE$267,"&lt;&gt;Hủy"),cs,IFERROR(MINIFS('Lớp 6 - Chi tiết'!$AG$14:$AG$267,'Lớp 6 - Chi tiết'!$J$14:$J$267,$I73,'Lớp 6 - Chi tiết'!$AE$14:$AE$267,"&lt;&gt;Hủy",'Lớp 6 - Chi tiết'!$AG$14:$AG$267,"&gt;0"),0),ce,IFERROR(MAXIFS('Lớp 6 - Chi tiết'!$AH$14:$AH$267,'Lớp 6 - Chi tiết'!$J$14:$J$267,$I73,'Lớp 6 - Chi tiết'!$AE$14:$AE$267,"&lt;&gt;Hủy",'Lớp 6 - Chi tiết'!$AH$14:$AH$267,"&gt;0"),0),ps,'Trung tâm nhập liệu'!R223,pe,'Trung tâm nhập liệu'!Q223,IF(OR(AD73="",AE73=""),"Thiếu ngày L5",IF(n=0,"Chưa có L6",IF(OR(cs=0,ce=0),"Thiếu ngày L6",IF(OR(ps="",pe=""),"Thiếu ngày kế hoạch gốc L5",IF(OR(cs&lt;ps,ce&gt;pe),"Cảnh báo: Con vượt khung kế hoạch gốc","L6 đúng khung kế hoạch gốc"))))))))))</f>
        <v/>
      </c>
      <c r="AL73" s="465"/>
      <c r="AM73" s="467"/>
      <c r="AN73" s="469"/>
      <c r="AO73" s="470"/>
      <c r="AP73" s="470"/>
      <c r="AQ73" s="471"/>
      <c r="AR73" s="469"/>
      <c r="AS73" s="475"/>
      <c r="AT73" s="476"/>
      <c r="AU73" s="478"/>
      <c r="AV73" s="465"/>
      <c r="AW73" s="465"/>
      <c r="AX73" s="479"/>
    </row>
    <row r="74" ht="15.75" customHeight="1">
      <c r="A74" s="424"/>
      <c r="B74" s="572"/>
      <c r="C74" s="591"/>
      <c r="D74" s="623"/>
      <c r="E74" s="617"/>
      <c r="F74" s="575"/>
      <c r="G74" s="575"/>
      <c r="H74" s="576"/>
      <c r="I74" s="577"/>
      <c r="J74" s="577"/>
      <c r="K74" s="597"/>
      <c r="L74" s="598"/>
      <c r="M74" s="438"/>
      <c r="N74" s="597"/>
      <c r="O74" s="597"/>
      <c r="P74" s="597"/>
      <c r="Q74" s="581"/>
      <c r="R74" s="420"/>
      <c r="S74" s="582"/>
      <c r="T74" s="583"/>
      <c r="U74" s="584" t="str">
        <f>IF($I74="","",LET(n,COUNTIFS('Lớp 6 - Chi tiết'!$J$14:$J$267,$I74,'Lớp 6 - Chi tiết'!$AE$14:$AE$267,"&lt;&gt;Hủy"),child,IFERROR(MAXIFS('Lớp 6 - Chi tiết'!$AH$14:$AH$267,'Lớp 6 - Chi tiết'!$J$14:$J$267,$I74,'Lớp 6 - Chi tiết'!$AE$14:$AE$267,"&lt;&gt;Hủy",'Lớp 6 - Chi tiết'!$AH$14:$AH$267,"&gt;0"),0),plan,'Trung tâm nhập liệu'!Q224,emergent,LOWER(TRIM('Trung tâm nhập liệu'!O224))="khi phát sinh",IF(n=0,IF(emergent,"",plan),IF(child=0,IF(emergent,"",plan),IF(OR(emergent,plan=""),child,MAX(plan,child))))))</f>
        <v/>
      </c>
      <c r="V74" s="584" t="str">
        <f>IF($I74="","",LET(n,COUNTIFS('Lớp 6 - Chi tiết'!$J$14:$J$267,$I74,'Lớp 6 - Chi tiết'!$AE$14:$AE$267,"&lt;&gt;Hủy"),child,IFERROR(MINIFS('Lớp 6 - Chi tiết'!$AG$14:$AG$267,'Lớp 6 - Chi tiết'!$J$14:$J$267,$I74,'Lớp 6 - Chi tiết'!$AE$14:$AE$267,"&lt;&gt;Hủy",'Lớp 6 - Chi tiết'!$AG$14:$AG$267,"&gt;0"),0),plan,'Trung tâm nhập liệu'!R224,emergent,LOWER(TRIM('Trung tâm nhập liệu'!O224))="khi phát sinh",IF(n=0,IF(emergent,"",plan),IF(child=0,IF(emergent,"",plan),IF(OR(emergent,plan=""),child,MIN(plan,child))))))</f>
        <v/>
      </c>
      <c r="W74" s="577"/>
      <c r="X74" s="577"/>
      <c r="Y74" s="585"/>
      <c r="Z74" s="586"/>
      <c r="AA74" s="577"/>
      <c r="AB74" s="572"/>
      <c r="AC74" s="420"/>
      <c r="AD74" s="584"/>
      <c r="AE74" s="584"/>
      <c r="AF74" s="587"/>
      <c r="AG74" s="588"/>
      <c r="AH74" s="587"/>
      <c r="AI74" s="589"/>
      <c r="AJ74" s="468"/>
      <c r="AK74" s="477" t="str">
        <f>IF(AM74="Chưa xếp lịch","Chưa xếp lịch",IF(AM74="Định kỳ",IF(AN74="","Thiếu chu kỳ","Theo chu kỳ"),IF(AM74="Khi phát sinh",IF(COUNTIFS('Lớp 6 - Chi tiết'!$J$14:$J$267,$I74,'Lớp 6 - Chi tiết'!$AE$14:$AE$267,"&lt;&gt;Hủy")=0,"Khi phát sinh – chờ việc con","Khi phát sinh – theo ngày con"),IF(I74="","",LET(n,COUNTIFS('Lớp 6 - Chi tiết'!$J$14:$J$267,$I74,'Lớp 6 - Chi tiết'!$AE$14:$AE$267,"&lt;&gt;Hủy"),cs,IFERROR(MINIFS('Lớp 6 - Chi tiết'!$AG$14:$AG$267,'Lớp 6 - Chi tiết'!$J$14:$J$267,$I74,'Lớp 6 - Chi tiết'!$AE$14:$AE$267,"&lt;&gt;Hủy",'Lớp 6 - Chi tiết'!$AG$14:$AG$267,"&gt;0"),0),ce,IFERROR(MAXIFS('Lớp 6 - Chi tiết'!$AH$14:$AH$267,'Lớp 6 - Chi tiết'!$J$14:$J$267,$I74,'Lớp 6 - Chi tiết'!$AE$14:$AE$267,"&lt;&gt;Hủy",'Lớp 6 - Chi tiết'!$AH$14:$AH$267,"&gt;0"),0),ps,'Trung tâm nhập liệu'!R224,pe,'Trung tâm nhập liệu'!Q224,IF(OR(AD74="",AE74=""),"Thiếu ngày L5",IF(n=0,"Chưa có L6",IF(OR(cs=0,ce=0),"Thiếu ngày L6",IF(OR(ps="",pe=""),"Thiếu ngày kế hoạch gốc L5",IF(OR(cs&lt;ps,ce&gt;pe),"Cảnh báo: Con vượt khung kế hoạch gốc","L6 đúng khung kế hoạch gốc"))))))))))</f>
        <v/>
      </c>
      <c r="AL74" s="465"/>
      <c r="AM74" s="467"/>
      <c r="AN74" s="469"/>
      <c r="AO74" s="470"/>
      <c r="AP74" s="470"/>
      <c r="AQ74" s="471"/>
      <c r="AR74" s="469"/>
      <c r="AS74" s="475"/>
      <c r="AT74" s="476"/>
      <c r="AU74" s="478"/>
      <c r="AV74" s="465"/>
      <c r="AW74" s="465"/>
      <c r="AX74" s="479"/>
    </row>
    <row r="75" ht="15.75" customHeight="1">
      <c r="A75" s="424"/>
      <c r="B75" s="572"/>
      <c r="C75" s="591"/>
      <c r="D75" s="623"/>
      <c r="E75" s="617"/>
      <c r="F75" s="575"/>
      <c r="G75" s="575"/>
      <c r="H75" s="576"/>
      <c r="I75" s="577"/>
      <c r="J75" s="577"/>
      <c r="K75" s="597"/>
      <c r="L75" s="598"/>
      <c r="M75" s="438"/>
      <c r="N75" s="597"/>
      <c r="O75" s="597"/>
      <c r="P75" s="597"/>
      <c r="Q75" s="581"/>
      <c r="R75" s="420"/>
      <c r="S75" s="582"/>
      <c r="T75" s="583"/>
      <c r="U75" s="584" t="str">
        <f>IF($I75="","",LET(n,COUNTIFS('Lớp 6 - Chi tiết'!$J$14:$J$267,$I75,'Lớp 6 - Chi tiết'!$AE$14:$AE$267,"&lt;&gt;Hủy"),child,IFERROR(MAXIFS('Lớp 6 - Chi tiết'!$AH$14:$AH$267,'Lớp 6 - Chi tiết'!$J$14:$J$267,$I75,'Lớp 6 - Chi tiết'!$AE$14:$AE$267,"&lt;&gt;Hủy",'Lớp 6 - Chi tiết'!$AH$14:$AH$267,"&gt;0"),0),plan,'Trung tâm nhập liệu'!Q225,emergent,LOWER(TRIM('Trung tâm nhập liệu'!O225))="khi phát sinh",IF(n=0,IF(emergent,"",plan),IF(child=0,IF(emergent,"",plan),IF(OR(emergent,plan=""),child,MAX(plan,child))))))</f>
        <v/>
      </c>
      <c r="V75" s="584" t="str">
        <f>IF($I75="","",LET(n,COUNTIFS('Lớp 6 - Chi tiết'!$J$14:$J$267,$I75,'Lớp 6 - Chi tiết'!$AE$14:$AE$267,"&lt;&gt;Hủy"),child,IFERROR(MINIFS('Lớp 6 - Chi tiết'!$AG$14:$AG$267,'Lớp 6 - Chi tiết'!$J$14:$J$267,$I75,'Lớp 6 - Chi tiết'!$AE$14:$AE$267,"&lt;&gt;Hủy",'Lớp 6 - Chi tiết'!$AG$14:$AG$267,"&gt;0"),0),plan,'Trung tâm nhập liệu'!R225,emergent,LOWER(TRIM('Trung tâm nhập liệu'!O225))="khi phát sinh",IF(n=0,IF(emergent,"",plan),IF(child=0,IF(emergent,"",plan),IF(OR(emergent,plan=""),child,MIN(plan,child))))))</f>
        <v/>
      </c>
      <c r="W75" s="577"/>
      <c r="X75" s="577"/>
      <c r="Y75" s="585"/>
      <c r="Z75" s="586"/>
      <c r="AA75" s="577"/>
      <c r="AB75" s="572"/>
      <c r="AC75" s="420"/>
      <c r="AD75" s="584"/>
      <c r="AE75" s="584"/>
      <c r="AF75" s="587"/>
      <c r="AG75" s="588"/>
      <c r="AH75" s="587"/>
      <c r="AI75" s="589"/>
      <c r="AJ75" s="468"/>
      <c r="AK75" s="477" t="str">
        <f>IF(AM75="Chưa xếp lịch","Chưa xếp lịch",IF(AM75="Định kỳ",IF(AN75="","Thiếu chu kỳ","Theo chu kỳ"),IF(AM75="Khi phát sinh",IF(COUNTIFS('Lớp 6 - Chi tiết'!$J$14:$J$267,$I75,'Lớp 6 - Chi tiết'!$AE$14:$AE$267,"&lt;&gt;Hủy")=0,"Khi phát sinh – chờ việc con","Khi phát sinh – theo ngày con"),IF(I75="","",LET(n,COUNTIFS('Lớp 6 - Chi tiết'!$J$14:$J$267,$I75,'Lớp 6 - Chi tiết'!$AE$14:$AE$267,"&lt;&gt;Hủy"),cs,IFERROR(MINIFS('Lớp 6 - Chi tiết'!$AG$14:$AG$267,'Lớp 6 - Chi tiết'!$J$14:$J$267,$I75,'Lớp 6 - Chi tiết'!$AE$14:$AE$267,"&lt;&gt;Hủy",'Lớp 6 - Chi tiết'!$AG$14:$AG$267,"&gt;0"),0),ce,IFERROR(MAXIFS('Lớp 6 - Chi tiết'!$AH$14:$AH$267,'Lớp 6 - Chi tiết'!$J$14:$J$267,$I75,'Lớp 6 - Chi tiết'!$AE$14:$AE$267,"&lt;&gt;Hủy",'Lớp 6 - Chi tiết'!$AH$14:$AH$267,"&gt;0"),0),ps,'Trung tâm nhập liệu'!R225,pe,'Trung tâm nhập liệu'!Q225,IF(OR(AD75="",AE75=""),"Thiếu ngày L5",IF(n=0,"Chưa có L6",IF(OR(cs=0,ce=0),"Thiếu ngày L6",IF(OR(ps="",pe=""),"Thiếu ngày kế hoạch gốc L5",IF(OR(cs&lt;ps,ce&gt;pe),"Cảnh báo: Con vượt khung kế hoạch gốc","L6 đúng khung kế hoạch gốc"))))))))))</f>
        <v/>
      </c>
      <c r="AL75" s="465"/>
      <c r="AM75" s="467"/>
      <c r="AN75" s="469"/>
      <c r="AO75" s="470"/>
      <c r="AP75" s="470"/>
      <c r="AQ75" s="471"/>
      <c r="AR75" s="469"/>
      <c r="AS75" s="475"/>
      <c r="AT75" s="476"/>
      <c r="AU75" s="478"/>
      <c r="AV75" s="465"/>
      <c r="AW75" s="465"/>
      <c r="AX75" s="479"/>
    </row>
    <row r="76" ht="15.75" customHeight="1">
      <c r="A76" s="424"/>
      <c r="B76" s="572"/>
      <c r="C76" s="591"/>
      <c r="D76" s="623"/>
      <c r="E76" s="617"/>
      <c r="F76" s="575"/>
      <c r="G76" s="575"/>
      <c r="H76" s="576"/>
      <c r="I76" s="577"/>
      <c r="J76" s="577"/>
      <c r="K76" s="597"/>
      <c r="L76" s="598"/>
      <c r="M76" s="438"/>
      <c r="N76" s="597"/>
      <c r="O76" s="597"/>
      <c r="P76" s="597"/>
      <c r="Q76" s="581"/>
      <c r="R76" s="420"/>
      <c r="S76" s="582"/>
      <c r="T76" s="583"/>
      <c r="U76" s="584" t="str">
        <f>IF($I76="","",LET(n,COUNTIFS('Lớp 6 - Chi tiết'!$J$14:$J$267,$I76,'Lớp 6 - Chi tiết'!$AE$14:$AE$267,"&lt;&gt;Hủy"),child,IFERROR(MAXIFS('Lớp 6 - Chi tiết'!$AH$14:$AH$267,'Lớp 6 - Chi tiết'!$J$14:$J$267,$I76,'Lớp 6 - Chi tiết'!$AE$14:$AE$267,"&lt;&gt;Hủy",'Lớp 6 - Chi tiết'!$AH$14:$AH$267,"&gt;0"),0),plan,'Trung tâm nhập liệu'!Q226,emergent,LOWER(TRIM('Trung tâm nhập liệu'!O226))="khi phát sinh",IF(n=0,IF(emergent,"",plan),IF(child=0,IF(emergent,"",plan),IF(OR(emergent,plan=""),child,MAX(plan,child))))))</f>
        <v/>
      </c>
      <c r="V76" s="584" t="str">
        <f>IF($I76="","",LET(n,COUNTIFS('Lớp 6 - Chi tiết'!$J$14:$J$267,$I76,'Lớp 6 - Chi tiết'!$AE$14:$AE$267,"&lt;&gt;Hủy"),child,IFERROR(MINIFS('Lớp 6 - Chi tiết'!$AG$14:$AG$267,'Lớp 6 - Chi tiết'!$J$14:$J$267,$I76,'Lớp 6 - Chi tiết'!$AE$14:$AE$267,"&lt;&gt;Hủy",'Lớp 6 - Chi tiết'!$AG$14:$AG$267,"&gt;0"),0),plan,'Trung tâm nhập liệu'!R226,emergent,LOWER(TRIM('Trung tâm nhập liệu'!O226))="khi phát sinh",IF(n=0,IF(emergent,"",plan),IF(child=0,IF(emergent,"",plan),IF(OR(emergent,plan=""),child,MIN(plan,child))))))</f>
        <v/>
      </c>
      <c r="W76" s="577"/>
      <c r="X76" s="577"/>
      <c r="Y76" s="585"/>
      <c r="Z76" s="586"/>
      <c r="AA76" s="577"/>
      <c r="AB76" s="572"/>
      <c r="AC76" s="420"/>
      <c r="AD76" s="584"/>
      <c r="AE76" s="584"/>
      <c r="AF76" s="587"/>
      <c r="AG76" s="588"/>
      <c r="AH76" s="587"/>
      <c r="AI76" s="589"/>
      <c r="AJ76" s="468"/>
      <c r="AK76" s="477" t="str">
        <f>IF(AM76="Chưa xếp lịch","Chưa xếp lịch",IF(AM76="Định kỳ",IF(AN76="","Thiếu chu kỳ","Theo chu kỳ"),IF(AM76="Khi phát sinh",IF(COUNTIFS('Lớp 6 - Chi tiết'!$J$14:$J$267,$I76,'Lớp 6 - Chi tiết'!$AE$14:$AE$267,"&lt;&gt;Hủy")=0,"Khi phát sinh – chờ việc con","Khi phát sinh – theo ngày con"),IF(I76="","",LET(n,COUNTIFS('Lớp 6 - Chi tiết'!$J$14:$J$267,$I76,'Lớp 6 - Chi tiết'!$AE$14:$AE$267,"&lt;&gt;Hủy"),cs,IFERROR(MINIFS('Lớp 6 - Chi tiết'!$AG$14:$AG$267,'Lớp 6 - Chi tiết'!$J$14:$J$267,$I76,'Lớp 6 - Chi tiết'!$AE$14:$AE$267,"&lt;&gt;Hủy",'Lớp 6 - Chi tiết'!$AG$14:$AG$267,"&gt;0"),0),ce,IFERROR(MAXIFS('Lớp 6 - Chi tiết'!$AH$14:$AH$267,'Lớp 6 - Chi tiết'!$J$14:$J$267,$I76,'Lớp 6 - Chi tiết'!$AE$14:$AE$267,"&lt;&gt;Hủy",'Lớp 6 - Chi tiết'!$AH$14:$AH$267,"&gt;0"),0),ps,'Trung tâm nhập liệu'!R226,pe,'Trung tâm nhập liệu'!Q226,IF(OR(AD76="",AE76=""),"Thiếu ngày L5",IF(n=0,"Chưa có L6",IF(OR(cs=0,ce=0),"Thiếu ngày L6",IF(OR(ps="",pe=""),"Thiếu ngày kế hoạch gốc L5",IF(OR(cs&lt;ps,ce&gt;pe),"Cảnh báo: Con vượt khung kế hoạch gốc","L6 đúng khung kế hoạch gốc"))))))))))</f>
        <v/>
      </c>
      <c r="AL76" s="465"/>
      <c r="AM76" s="467"/>
      <c r="AN76" s="469"/>
      <c r="AO76" s="470"/>
      <c r="AP76" s="470"/>
      <c r="AQ76" s="471"/>
      <c r="AR76" s="469"/>
      <c r="AS76" s="475"/>
      <c r="AT76" s="476"/>
      <c r="AU76" s="478"/>
      <c r="AV76" s="465"/>
      <c r="AW76" s="465"/>
      <c r="AX76" s="479"/>
    </row>
    <row r="77" ht="15.75" customHeight="1">
      <c r="A77" s="424"/>
      <c r="B77" s="572"/>
      <c r="C77" s="591"/>
      <c r="D77" s="623"/>
      <c r="E77" s="617"/>
      <c r="F77" s="575"/>
      <c r="G77" s="575"/>
      <c r="H77" s="576"/>
      <c r="I77" s="577"/>
      <c r="J77" s="577"/>
      <c r="K77" s="597"/>
      <c r="L77" s="598"/>
      <c r="M77" s="438"/>
      <c r="N77" s="597"/>
      <c r="O77" s="597"/>
      <c r="P77" s="597"/>
      <c r="Q77" s="581"/>
      <c r="R77" s="420"/>
      <c r="S77" s="582"/>
      <c r="T77" s="583"/>
      <c r="U77" s="584" t="str">
        <f>IF($I77="","",LET(n,COUNTIFS('Lớp 6 - Chi tiết'!$J$14:$J$267,$I77,'Lớp 6 - Chi tiết'!$AE$14:$AE$267,"&lt;&gt;Hủy"),child,IFERROR(MAXIFS('Lớp 6 - Chi tiết'!$AH$14:$AH$267,'Lớp 6 - Chi tiết'!$J$14:$J$267,$I77,'Lớp 6 - Chi tiết'!$AE$14:$AE$267,"&lt;&gt;Hủy",'Lớp 6 - Chi tiết'!$AH$14:$AH$267,"&gt;0"),0),plan,'Trung tâm nhập liệu'!Q227,emergent,LOWER(TRIM('Trung tâm nhập liệu'!O227))="khi phát sinh",IF(n=0,IF(emergent,"",plan),IF(child=0,IF(emergent,"",plan),IF(OR(emergent,plan=""),child,MAX(plan,child))))))</f>
        <v/>
      </c>
      <c r="V77" s="584" t="str">
        <f>IF($I77="","",LET(n,COUNTIFS('Lớp 6 - Chi tiết'!$J$14:$J$267,$I77,'Lớp 6 - Chi tiết'!$AE$14:$AE$267,"&lt;&gt;Hủy"),child,IFERROR(MINIFS('Lớp 6 - Chi tiết'!$AG$14:$AG$267,'Lớp 6 - Chi tiết'!$J$14:$J$267,$I77,'Lớp 6 - Chi tiết'!$AE$14:$AE$267,"&lt;&gt;Hủy",'Lớp 6 - Chi tiết'!$AG$14:$AG$267,"&gt;0"),0),plan,'Trung tâm nhập liệu'!R227,emergent,LOWER(TRIM('Trung tâm nhập liệu'!O227))="khi phát sinh",IF(n=0,IF(emergent,"",plan),IF(child=0,IF(emergent,"",plan),IF(OR(emergent,plan=""),child,MIN(plan,child))))))</f>
        <v/>
      </c>
      <c r="W77" s="577"/>
      <c r="X77" s="577"/>
      <c r="Y77" s="585"/>
      <c r="Z77" s="586"/>
      <c r="AA77" s="577"/>
      <c r="AB77" s="572"/>
      <c r="AC77" s="420"/>
      <c r="AD77" s="584"/>
      <c r="AE77" s="584"/>
      <c r="AF77" s="587"/>
      <c r="AG77" s="588"/>
      <c r="AH77" s="587"/>
      <c r="AI77" s="589"/>
      <c r="AJ77" s="468"/>
      <c r="AK77" s="477" t="str">
        <f>IF(AM77="Chưa xếp lịch","Chưa xếp lịch",IF(AM77="Định kỳ",IF(AN77="","Thiếu chu kỳ","Theo chu kỳ"),IF(AM77="Khi phát sinh",IF(COUNTIFS('Lớp 6 - Chi tiết'!$J$14:$J$267,$I77,'Lớp 6 - Chi tiết'!$AE$14:$AE$267,"&lt;&gt;Hủy")=0,"Khi phát sinh – chờ việc con","Khi phát sinh – theo ngày con"),IF(I77="","",LET(n,COUNTIFS('Lớp 6 - Chi tiết'!$J$14:$J$267,$I77,'Lớp 6 - Chi tiết'!$AE$14:$AE$267,"&lt;&gt;Hủy"),cs,IFERROR(MINIFS('Lớp 6 - Chi tiết'!$AG$14:$AG$267,'Lớp 6 - Chi tiết'!$J$14:$J$267,$I77,'Lớp 6 - Chi tiết'!$AE$14:$AE$267,"&lt;&gt;Hủy",'Lớp 6 - Chi tiết'!$AG$14:$AG$267,"&gt;0"),0),ce,IFERROR(MAXIFS('Lớp 6 - Chi tiết'!$AH$14:$AH$267,'Lớp 6 - Chi tiết'!$J$14:$J$267,$I77,'Lớp 6 - Chi tiết'!$AE$14:$AE$267,"&lt;&gt;Hủy",'Lớp 6 - Chi tiết'!$AH$14:$AH$267,"&gt;0"),0),ps,'Trung tâm nhập liệu'!R227,pe,'Trung tâm nhập liệu'!Q227,IF(OR(AD77="",AE77=""),"Thiếu ngày L5",IF(n=0,"Chưa có L6",IF(OR(cs=0,ce=0),"Thiếu ngày L6",IF(OR(ps="",pe=""),"Thiếu ngày kế hoạch gốc L5",IF(OR(cs&lt;ps,ce&gt;pe),"Cảnh báo: Con vượt khung kế hoạch gốc","L6 đúng khung kế hoạch gốc"))))))))))</f>
        <v/>
      </c>
      <c r="AL77" s="465"/>
      <c r="AM77" s="467"/>
      <c r="AN77" s="469"/>
      <c r="AO77" s="470"/>
      <c r="AP77" s="470"/>
      <c r="AQ77" s="471"/>
      <c r="AR77" s="469"/>
      <c r="AS77" s="475"/>
      <c r="AT77" s="476"/>
      <c r="AU77" s="478"/>
      <c r="AV77" s="465"/>
      <c r="AW77" s="465"/>
      <c r="AX77" s="479"/>
    </row>
    <row r="78" ht="15.75" customHeight="1">
      <c r="A78" s="424"/>
      <c r="B78" s="572"/>
      <c r="C78" s="591"/>
      <c r="D78" s="623"/>
      <c r="E78" s="617"/>
      <c r="F78" s="575"/>
      <c r="G78" s="575"/>
      <c r="H78" s="576"/>
      <c r="I78" s="577"/>
      <c r="J78" s="577"/>
      <c r="K78" s="597"/>
      <c r="L78" s="598"/>
      <c r="M78" s="438"/>
      <c r="N78" s="597"/>
      <c r="O78" s="597"/>
      <c r="P78" s="597"/>
      <c r="Q78" s="581"/>
      <c r="R78" s="420"/>
      <c r="S78" s="582"/>
      <c r="T78" s="583"/>
      <c r="U78" s="584" t="str">
        <f>IF($I78="","",LET(n,COUNTIFS('Lớp 6 - Chi tiết'!$J$14:$J$267,$I78,'Lớp 6 - Chi tiết'!$AE$14:$AE$267,"&lt;&gt;Hủy"),child,IFERROR(MAXIFS('Lớp 6 - Chi tiết'!$AH$14:$AH$267,'Lớp 6 - Chi tiết'!$J$14:$J$267,$I78,'Lớp 6 - Chi tiết'!$AE$14:$AE$267,"&lt;&gt;Hủy",'Lớp 6 - Chi tiết'!$AH$14:$AH$267,"&gt;0"),0),plan,'Trung tâm nhập liệu'!Q228,emergent,LOWER(TRIM('Trung tâm nhập liệu'!O228))="khi phát sinh",IF(n=0,IF(emergent,"",plan),IF(child=0,IF(emergent,"",plan),IF(OR(emergent,plan=""),child,MAX(plan,child))))))</f>
        <v/>
      </c>
      <c r="V78" s="584" t="str">
        <f>IF($I78="","",LET(n,COUNTIFS('Lớp 6 - Chi tiết'!$J$14:$J$267,$I78,'Lớp 6 - Chi tiết'!$AE$14:$AE$267,"&lt;&gt;Hủy"),child,IFERROR(MINIFS('Lớp 6 - Chi tiết'!$AG$14:$AG$267,'Lớp 6 - Chi tiết'!$J$14:$J$267,$I78,'Lớp 6 - Chi tiết'!$AE$14:$AE$267,"&lt;&gt;Hủy",'Lớp 6 - Chi tiết'!$AG$14:$AG$267,"&gt;0"),0),plan,'Trung tâm nhập liệu'!R228,emergent,LOWER(TRIM('Trung tâm nhập liệu'!O228))="khi phát sinh",IF(n=0,IF(emergent,"",plan),IF(child=0,IF(emergent,"",plan),IF(OR(emergent,plan=""),child,MIN(plan,child))))))</f>
        <v/>
      </c>
      <c r="W78" s="577"/>
      <c r="X78" s="577"/>
      <c r="Y78" s="585"/>
      <c r="Z78" s="586"/>
      <c r="AA78" s="577"/>
      <c r="AB78" s="572"/>
      <c r="AC78" s="420"/>
      <c r="AD78" s="584"/>
      <c r="AE78" s="584"/>
      <c r="AF78" s="587"/>
      <c r="AG78" s="588"/>
      <c r="AH78" s="587"/>
      <c r="AI78" s="589"/>
      <c r="AJ78" s="468"/>
      <c r="AK78" s="477" t="str">
        <f>IF(AM78="Chưa xếp lịch","Chưa xếp lịch",IF(AM78="Định kỳ",IF(AN78="","Thiếu chu kỳ","Theo chu kỳ"),IF(AM78="Khi phát sinh",IF(COUNTIFS('Lớp 6 - Chi tiết'!$J$14:$J$267,$I78,'Lớp 6 - Chi tiết'!$AE$14:$AE$267,"&lt;&gt;Hủy")=0,"Khi phát sinh – chờ việc con","Khi phát sinh – theo ngày con"),IF(I78="","",LET(n,COUNTIFS('Lớp 6 - Chi tiết'!$J$14:$J$267,$I78,'Lớp 6 - Chi tiết'!$AE$14:$AE$267,"&lt;&gt;Hủy"),cs,IFERROR(MINIFS('Lớp 6 - Chi tiết'!$AG$14:$AG$267,'Lớp 6 - Chi tiết'!$J$14:$J$267,$I78,'Lớp 6 - Chi tiết'!$AE$14:$AE$267,"&lt;&gt;Hủy",'Lớp 6 - Chi tiết'!$AG$14:$AG$267,"&gt;0"),0),ce,IFERROR(MAXIFS('Lớp 6 - Chi tiết'!$AH$14:$AH$267,'Lớp 6 - Chi tiết'!$J$14:$J$267,$I78,'Lớp 6 - Chi tiết'!$AE$14:$AE$267,"&lt;&gt;Hủy",'Lớp 6 - Chi tiết'!$AH$14:$AH$267,"&gt;0"),0),ps,'Trung tâm nhập liệu'!R228,pe,'Trung tâm nhập liệu'!Q228,IF(OR(AD78="",AE78=""),"Thiếu ngày L5",IF(n=0,"Chưa có L6",IF(OR(cs=0,ce=0),"Thiếu ngày L6",IF(OR(ps="",pe=""),"Thiếu ngày kế hoạch gốc L5",IF(OR(cs&lt;ps,ce&gt;pe),"Cảnh báo: Con vượt khung kế hoạch gốc","L6 đúng khung kế hoạch gốc"))))))))))</f>
        <v/>
      </c>
      <c r="AL78" s="465"/>
      <c r="AM78" s="467"/>
      <c r="AN78" s="469"/>
      <c r="AO78" s="470"/>
      <c r="AP78" s="470"/>
      <c r="AQ78" s="471"/>
      <c r="AR78" s="469"/>
      <c r="AS78" s="475"/>
      <c r="AT78" s="476"/>
      <c r="AU78" s="478"/>
      <c r="AV78" s="465"/>
      <c r="AW78" s="465"/>
      <c r="AX78" s="479"/>
    </row>
    <row r="79" ht="15.75" customHeight="1">
      <c r="A79" s="424"/>
      <c r="B79" s="572"/>
      <c r="C79" s="591"/>
      <c r="D79" s="623"/>
      <c r="E79" s="617"/>
      <c r="F79" s="575"/>
      <c r="G79" s="575"/>
      <c r="H79" s="576"/>
      <c r="I79" s="577"/>
      <c r="J79" s="577"/>
      <c r="K79" s="597"/>
      <c r="L79" s="598"/>
      <c r="M79" s="438"/>
      <c r="N79" s="597"/>
      <c r="O79" s="597"/>
      <c r="P79" s="597"/>
      <c r="Q79" s="581"/>
      <c r="R79" s="420"/>
      <c r="S79" s="582"/>
      <c r="T79" s="583"/>
      <c r="U79" s="584" t="str">
        <f>IF($I79="","",LET(n,COUNTIFS('Lớp 6 - Chi tiết'!$J$14:$J$267,$I79,'Lớp 6 - Chi tiết'!$AE$14:$AE$267,"&lt;&gt;Hủy"),child,IFERROR(MAXIFS('Lớp 6 - Chi tiết'!$AH$14:$AH$267,'Lớp 6 - Chi tiết'!$J$14:$J$267,$I79,'Lớp 6 - Chi tiết'!$AE$14:$AE$267,"&lt;&gt;Hủy",'Lớp 6 - Chi tiết'!$AH$14:$AH$267,"&gt;0"),0),plan,'Trung tâm nhập liệu'!Q229,emergent,LOWER(TRIM('Trung tâm nhập liệu'!O229))="khi phát sinh",IF(n=0,IF(emergent,"",plan),IF(child=0,IF(emergent,"",plan),IF(OR(emergent,plan=""),child,MAX(plan,child))))))</f>
        <v/>
      </c>
      <c r="V79" s="584" t="str">
        <f>IF($I79="","",LET(n,COUNTIFS('Lớp 6 - Chi tiết'!$J$14:$J$267,$I79,'Lớp 6 - Chi tiết'!$AE$14:$AE$267,"&lt;&gt;Hủy"),child,IFERROR(MINIFS('Lớp 6 - Chi tiết'!$AG$14:$AG$267,'Lớp 6 - Chi tiết'!$J$14:$J$267,$I79,'Lớp 6 - Chi tiết'!$AE$14:$AE$267,"&lt;&gt;Hủy",'Lớp 6 - Chi tiết'!$AG$14:$AG$267,"&gt;0"),0),plan,'Trung tâm nhập liệu'!R229,emergent,LOWER(TRIM('Trung tâm nhập liệu'!O229))="khi phát sinh",IF(n=0,IF(emergent,"",plan),IF(child=0,IF(emergent,"",plan),IF(OR(emergent,plan=""),child,MIN(plan,child))))))</f>
        <v/>
      </c>
      <c r="W79" s="577"/>
      <c r="X79" s="577"/>
      <c r="Y79" s="585"/>
      <c r="Z79" s="586"/>
      <c r="AA79" s="577"/>
      <c r="AB79" s="572"/>
      <c r="AC79" s="420"/>
      <c r="AD79" s="584"/>
      <c r="AE79" s="584"/>
      <c r="AF79" s="587"/>
      <c r="AG79" s="588"/>
      <c r="AH79" s="587"/>
      <c r="AI79" s="589"/>
      <c r="AJ79" s="468"/>
      <c r="AK79" s="477" t="str">
        <f>IF(AM79="Chưa xếp lịch","Chưa xếp lịch",IF(AM79="Định kỳ",IF(AN79="","Thiếu chu kỳ","Theo chu kỳ"),IF(AM79="Khi phát sinh",IF(COUNTIFS('Lớp 6 - Chi tiết'!$J$14:$J$267,$I79,'Lớp 6 - Chi tiết'!$AE$14:$AE$267,"&lt;&gt;Hủy")=0,"Khi phát sinh – chờ việc con","Khi phát sinh – theo ngày con"),IF(I79="","",LET(n,COUNTIFS('Lớp 6 - Chi tiết'!$J$14:$J$267,$I79,'Lớp 6 - Chi tiết'!$AE$14:$AE$267,"&lt;&gt;Hủy"),cs,IFERROR(MINIFS('Lớp 6 - Chi tiết'!$AG$14:$AG$267,'Lớp 6 - Chi tiết'!$J$14:$J$267,$I79,'Lớp 6 - Chi tiết'!$AE$14:$AE$267,"&lt;&gt;Hủy",'Lớp 6 - Chi tiết'!$AG$14:$AG$267,"&gt;0"),0),ce,IFERROR(MAXIFS('Lớp 6 - Chi tiết'!$AH$14:$AH$267,'Lớp 6 - Chi tiết'!$J$14:$J$267,$I79,'Lớp 6 - Chi tiết'!$AE$14:$AE$267,"&lt;&gt;Hủy",'Lớp 6 - Chi tiết'!$AH$14:$AH$267,"&gt;0"),0),ps,'Trung tâm nhập liệu'!R229,pe,'Trung tâm nhập liệu'!Q229,IF(OR(AD79="",AE79=""),"Thiếu ngày L5",IF(n=0,"Chưa có L6",IF(OR(cs=0,ce=0),"Thiếu ngày L6",IF(OR(ps="",pe=""),"Thiếu ngày kế hoạch gốc L5",IF(OR(cs&lt;ps,ce&gt;pe),"Cảnh báo: Con vượt khung kế hoạch gốc","L6 đúng khung kế hoạch gốc"))))))))))</f>
        <v/>
      </c>
      <c r="AL79" s="465"/>
      <c r="AM79" s="467"/>
      <c r="AN79" s="469"/>
      <c r="AO79" s="470"/>
      <c r="AP79" s="470"/>
      <c r="AQ79" s="471"/>
      <c r="AR79" s="469"/>
      <c r="AS79" s="475"/>
      <c r="AT79" s="476"/>
      <c r="AU79" s="478"/>
      <c r="AV79" s="465"/>
      <c r="AW79" s="465"/>
      <c r="AX79" s="479"/>
    </row>
    <row r="80" ht="15.75" customHeight="1">
      <c r="A80" s="424"/>
      <c r="B80" s="572"/>
      <c r="C80" s="591"/>
      <c r="D80" s="623"/>
      <c r="E80" s="617"/>
      <c r="F80" s="575"/>
      <c r="G80" s="575"/>
      <c r="H80" s="576"/>
      <c r="I80" s="577"/>
      <c r="J80" s="577"/>
      <c r="K80" s="597"/>
      <c r="L80" s="598"/>
      <c r="M80" s="438"/>
      <c r="N80" s="597"/>
      <c r="O80" s="597"/>
      <c r="P80" s="597"/>
      <c r="Q80" s="581"/>
      <c r="R80" s="420"/>
      <c r="S80" s="582"/>
      <c r="T80" s="583"/>
      <c r="U80" s="584" t="str">
        <f>IF($I80="","",LET(n,COUNTIFS('Lớp 6 - Chi tiết'!$J$14:$J$267,$I80,'Lớp 6 - Chi tiết'!$AE$14:$AE$267,"&lt;&gt;Hủy"),child,IFERROR(MAXIFS('Lớp 6 - Chi tiết'!$AH$14:$AH$267,'Lớp 6 - Chi tiết'!$J$14:$J$267,$I80,'Lớp 6 - Chi tiết'!$AE$14:$AE$267,"&lt;&gt;Hủy",'Lớp 6 - Chi tiết'!$AH$14:$AH$267,"&gt;0"),0),plan,'Trung tâm nhập liệu'!Q230,emergent,LOWER(TRIM('Trung tâm nhập liệu'!O230))="khi phát sinh",IF(n=0,IF(emergent,"",plan),IF(child=0,IF(emergent,"",plan),IF(OR(emergent,plan=""),child,MAX(plan,child))))))</f>
        <v/>
      </c>
      <c r="V80" s="584" t="str">
        <f>IF($I80="","",LET(n,COUNTIFS('Lớp 6 - Chi tiết'!$J$14:$J$267,$I80,'Lớp 6 - Chi tiết'!$AE$14:$AE$267,"&lt;&gt;Hủy"),child,IFERROR(MINIFS('Lớp 6 - Chi tiết'!$AG$14:$AG$267,'Lớp 6 - Chi tiết'!$J$14:$J$267,$I80,'Lớp 6 - Chi tiết'!$AE$14:$AE$267,"&lt;&gt;Hủy",'Lớp 6 - Chi tiết'!$AG$14:$AG$267,"&gt;0"),0),plan,'Trung tâm nhập liệu'!R230,emergent,LOWER(TRIM('Trung tâm nhập liệu'!O230))="khi phát sinh",IF(n=0,IF(emergent,"",plan),IF(child=0,IF(emergent,"",plan),IF(OR(emergent,plan=""),child,MIN(plan,child))))))</f>
        <v/>
      </c>
      <c r="W80" s="577"/>
      <c r="X80" s="577"/>
      <c r="Y80" s="585"/>
      <c r="Z80" s="586"/>
      <c r="AA80" s="577"/>
      <c r="AB80" s="572"/>
      <c r="AC80" s="420"/>
      <c r="AD80" s="584"/>
      <c r="AE80" s="584"/>
      <c r="AF80" s="587"/>
      <c r="AG80" s="588"/>
      <c r="AH80" s="587"/>
      <c r="AI80" s="589"/>
      <c r="AJ80" s="468"/>
      <c r="AK80" s="477" t="str">
        <f>IF(AM80="Chưa xếp lịch","Chưa xếp lịch",IF(AM80="Định kỳ",IF(AN80="","Thiếu chu kỳ","Theo chu kỳ"),IF(AM80="Khi phát sinh",IF(COUNTIFS('Lớp 6 - Chi tiết'!$J$14:$J$267,$I80,'Lớp 6 - Chi tiết'!$AE$14:$AE$267,"&lt;&gt;Hủy")=0,"Khi phát sinh – chờ việc con","Khi phát sinh – theo ngày con"),IF(I80="","",LET(n,COUNTIFS('Lớp 6 - Chi tiết'!$J$14:$J$267,$I80,'Lớp 6 - Chi tiết'!$AE$14:$AE$267,"&lt;&gt;Hủy"),cs,IFERROR(MINIFS('Lớp 6 - Chi tiết'!$AG$14:$AG$267,'Lớp 6 - Chi tiết'!$J$14:$J$267,$I80,'Lớp 6 - Chi tiết'!$AE$14:$AE$267,"&lt;&gt;Hủy",'Lớp 6 - Chi tiết'!$AG$14:$AG$267,"&gt;0"),0),ce,IFERROR(MAXIFS('Lớp 6 - Chi tiết'!$AH$14:$AH$267,'Lớp 6 - Chi tiết'!$J$14:$J$267,$I80,'Lớp 6 - Chi tiết'!$AE$14:$AE$267,"&lt;&gt;Hủy",'Lớp 6 - Chi tiết'!$AH$14:$AH$267,"&gt;0"),0),ps,'Trung tâm nhập liệu'!R230,pe,'Trung tâm nhập liệu'!Q230,IF(OR(AD80="",AE80=""),"Thiếu ngày L5",IF(n=0,"Chưa có L6",IF(OR(cs=0,ce=0),"Thiếu ngày L6",IF(OR(ps="",pe=""),"Thiếu ngày kế hoạch gốc L5",IF(OR(cs&lt;ps,ce&gt;pe),"Cảnh báo: Con vượt khung kế hoạch gốc","L6 đúng khung kế hoạch gốc"))))))))))</f>
        <v/>
      </c>
      <c r="AL80" s="465"/>
      <c r="AM80" s="467"/>
      <c r="AN80" s="469"/>
      <c r="AO80" s="470"/>
      <c r="AP80" s="470"/>
      <c r="AQ80" s="471"/>
      <c r="AR80" s="469"/>
      <c r="AS80" s="475"/>
      <c r="AT80" s="476"/>
      <c r="AU80" s="478"/>
      <c r="AV80" s="465"/>
      <c r="AW80" s="465"/>
      <c r="AX80" s="479"/>
    </row>
    <row r="81" ht="15.75" customHeight="1">
      <c r="A81" s="424"/>
      <c r="B81" s="572"/>
      <c r="C81" s="591"/>
      <c r="D81" s="623"/>
      <c r="E81" s="617"/>
      <c r="F81" s="575"/>
      <c r="G81" s="575"/>
      <c r="H81" s="576"/>
      <c r="I81" s="577"/>
      <c r="J81" s="577"/>
      <c r="K81" s="597"/>
      <c r="L81" s="598"/>
      <c r="M81" s="438"/>
      <c r="N81" s="597"/>
      <c r="O81" s="597"/>
      <c r="P81" s="597"/>
      <c r="Q81" s="581"/>
      <c r="R81" s="420"/>
      <c r="S81" s="582"/>
      <c r="T81" s="583"/>
      <c r="U81" s="584" t="str">
        <f>IF($I81="","",LET(n,COUNTIFS('Lớp 6 - Chi tiết'!$J$14:$J$267,$I81,'Lớp 6 - Chi tiết'!$AE$14:$AE$267,"&lt;&gt;Hủy"),child,IFERROR(MAXIFS('Lớp 6 - Chi tiết'!$AH$14:$AH$267,'Lớp 6 - Chi tiết'!$J$14:$J$267,$I81,'Lớp 6 - Chi tiết'!$AE$14:$AE$267,"&lt;&gt;Hủy",'Lớp 6 - Chi tiết'!$AH$14:$AH$267,"&gt;0"),0),plan,'Trung tâm nhập liệu'!Q231,emergent,LOWER(TRIM('Trung tâm nhập liệu'!O231))="khi phát sinh",IF(n=0,IF(emergent,"",plan),IF(child=0,IF(emergent,"",plan),IF(OR(emergent,plan=""),child,MAX(plan,child))))))</f>
        <v/>
      </c>
      <c r="V81" s="584" t="str">
        <f>IF($I81="","",LET(n,COUNTIFS('Lớp 6 - Chi tiết'!$J$14:$J$267,$I81,'Lớp 6 - Chi tiết'!$AE$14:$AE$267,"&lt;&gt;Hủy"),child,IFERROR(MINIFS('Lớp 6 - Chi tiết'!$AG$14:$AG$267,'Lớp 6 - Chi tiết'!$J$14:$J$267,$I81,'Lớp 6 - Chi tiết'!$AE$14:$AE$267,"&lt;&gt;Hủy",'Lớp 6 - Chi tiết'!$AG$14:$AG$267,"&gt;0"),0),plan,'Trung tâm nhập liệu'!R231,emergent,LOWER(TRIM('Trung tâm nhập liệu'!O231))="khi phát sinh",IF(n=0,IF(emergent,"",plan),IF(child=0,IF(emergent,"",plan),IF(OR(emergent,plan=""),child,MIN(plan,child))))))</f>
        <v/>
      </c>
      <c r="W81" s="577"/>
      <c r="X81" s="577"/>
      <c r="Y81" s="585"/>
      <c r="Z81" s="586"/>
      <c r="AA81" s="577"/>
      <c r="AB81" s="572"/>
      <c r="AC81" s="420"/>
      <c r="AD81" s="584"/>
      <c r="AE81" s="584"/>
      <c r="AF81" s="587"/>
      <c r="AG81" s="588"/>
      <c r="AH81" s="587"/>
      <c r="AI81" s="589"/>
      <c r="AJ81" s="468"/>
      <c r="AK81" s="477" t="str">
        <f>IF(AM81="Chưa xếp lịch","Chưa xếp lịch",IF(AM81="Định kỳ",IF(AN81="","Thiếu chu kỳ","Theo chu kỳ"),IF(AM81="Khi phát sinh",IF(COUNTIFS('Lớp 6 - Chi tiết'!$J$14:$J$267,$I81,'Lớp 6 - Chi tiết'!$AE$14:$AE$267,"&lt;&gt;Hủy")=0,"Khi phát sinh – chờ việc con","Khi phát sinh – theo ngày con"),IF(I81="","",LET(n,COUNTIFS('Lớp 6 - Chi tiết'!$J$14:$J$267,$I81,'Lớp 6 - Chi tiết'!$AE$14:$AE$267,"&lt;&gt;Hủy"),cs,IFERROR(MINIFS('Lớp 6 - Chi tiết'!$AG$14:$AG$267,'Lớp 6 - Chi tiết'!$J$14:$J$267,$I81,'Lớp 6 - Chi tiết'!$AE$14:$AE$267,"&lt;&gt;Hủy",'Lớp 6 - Chi tiết'!$AG$14:$AG$267,"&gt;0"),0),ce,IFERROR(MAXIFS('Lớp 6 - Chi tiết'!$AH$14:$AH$267,'Lớp 6 - Chi tiết'!$J$14:$J$267,$I81,'Lớp 6 - Chi tiết'!$AE$14:$AE$267,"&lt;&gt;Hủy",'Lớp 6 - Chi tiết'!$AH$14:$AH$267,"&gt;0"),0),ps,'Trung tâm nhập liệu'!R231,pe,'Trung tâm nhập liệu'!Q231,IF(OR(AD81="",AE81=""),"Thiếu ngày L5",IF(n=0,"Chưa có L6",IF(OR(cs=0,ce=0),"Thiếu ngày L6",IF(OR(ps="",pe=""),"Thiếu ngày kế hoạch gốc L5",IF(OR(cs&lt;ps,ce&gt;pe),"Cảnh báo: Con vượt khung kế hoạch gốc","L6 đúng khung kế hoạch gốc"))))))))))</f>
        <v/>
      </c>
      <c r="AL81" s="465"/>
      <c r="AM81" s="467"/>
      <c r="AN81" s="469"/>
      <c r="AO81" s="470"/>
      <c r="AP81" s="470"/>
      <c r="AQ81" s="471"/>
      <c r="AR81" s="469"/>
      <c r="AS81" s="475"/>
      <c r="AT81" s="476"/>
      <c r="AU81" s="478"/>
      <c r="AV81" s="465"/>
      <c r="AW81" s="465"/>
      <c r="AX81" s="479"/>
    </row>
    <row r="82" ht="15.75" customHeight="1">
      <c r="A82" s="424"/>
      <c r="B82" s="572"/>
      <c r="C82" s="591"/>
      <c r="D82" s="623"/>
      <c r="E82" s="617"/>
      <c r="F82" s="575"/>
      <c r="G82" s="575"/>
      <c r="H82" s="576"/>
      <c r="I82" s="577"/>
      <c r="J82" s="577"/>
      <c r="K82" s="597"/>
      <c r="L82" s="598"/>
      <c r="M82" s="438"/>
      <c r="N82" s="597"/>
      <c r="O82" s="597"/>
      <c r="P82" s="597"/>
      <c r="Q82" s="581"/>
      <c r="R82" s="420"/>
      <c r="S82" s="582"/>
      <c r="T82" s="583"/>
      <c r="U82" s="584" t="str">
        <f>IF($I82="","",LET(n,COUNTIFS('Lớp 6 - Chi tiết'!$J$14:$J$267,$I82,'Lớp 6 - Chi tiết'!$AE$14:$AE$267,"&lt;&gt;Hủy"),child,IFERROR(MAXIFS('Lớp 6 - Chi tiết'!$AH$14:$AH$267,'Lớp 6 - Chi tiết'!$J$14:$J$267,$I82,'Lớp 6 - Chi tiết'!$AE$14:$AE$267,"&lt;&gt;Hủy",'Lớp 6 - Chi tiết'!$AH$14:$AH$267,"&gt;0"),0),plan,'Trung tâm nhập liệu'!Q232,emergent,LOWER(TRIM('Trung tâm nhập liệu'!O232))="khi phát sinh",IF(n=0,IF(emergent,"",plan),IF(child=0,IF(emergent,"",plan),IF(OR(emergent,plan=""),child,MAX(plan,child))))))</f>
        <v/>
      </c>
      <c r="V82" s="584" t="str">
        <f>IF($I82="","",LET(n,COUNTIFS('Lớp 6 - Chi tiết'!$J$14:$J$267,$I82,'Lớp 6 - Chi tiết'!$AE$14:$AE$267,"&lt;&gt;Hủy"),child,IFERROR(MINIFS('Lớp 6 - Chi tiết'!$AG$14:$AG$267,'Lớp 6 - Chi tiết'!$J$14:$J$267,$I82,'Lớp 6 - Chi tiết'!$AE$14:$AE$267,"&lt;&gt;Hủy",'Lớp 6 - Chi tiết'!$AG$14:$AG$267,"&gt;0"),0),plan,'Trung tâm nhập liệu'!R232,emergent,LOWER(TRIM('Trung tâm nhập liệu'!O232))="khi phát sinh",IF(n=0,IF(emergent,"",plan),IF(child=0,IF(emergent,"",plan),IF(OR(emergent,plan=""),child,MIN(plan,child))))))</f>
        <v/>
      </c>
      <c r="W82" s="577"/>
      <c r="X82" s="577"/>
      <c r="Y82" s="585"/>
      <c r="Z82" s="586"/>
      <c r="AA82" s="577"/>
      <c r="AB82" s="572"/>
      <c r="AC82" s="420"/>
      <c r="AD82" s="584"/>
      <c r="AE82" s="584"/>
      <c r="AF82" s="587"/>
      <c r="AG82" s="588"/>
      <c r="AH82" s="587"/>
      <c r="AI82" s="589"/>
      <c r="AJ82" s="468"/>
      <c r="AK82" s="477" t="str">
        <f>IF(AM82="Chưa xếp lịch","Chưa xếp lịch",IF(AM82="Định kỳ",IF(AN82="","Thiếu chu kỳ","Theo chu kỳ"),IF(AM82="Khi phát sinh",IF(COUNTIFS('Lớp 6 - Chi tiết'!$J$14:$J$267,$I82,'Lớp 6 - Chi tiết'!$AE$14:$AE$267,"&lt;&gt;Hủy")=0,"Khi phát sinh – chờ việc con","Khi phát sinh – theo ngày con"),IF(I82="","",LET(n,COUNTIFS('Lớp 6 - Chi tiết'!$J$14:$J$267,$I82,'Lớp 6 - Chi tiết'!$AE$14:$AE$267,"&lt;&gt;Hủy"),cs,IFERROR(MINIFS('Lớp 6 - Chi tiết'!$AG$14:$AG$267,'Lớp 6 - Chi tiết'!$J$14:$J$267,$I82,'Lớp 6 - Chi tiết'!$AE$14:$AE$267,"&lt;&gt;Hủy",'Lớp 6 - Chi tiết'!$AG$14:$AG$267,"&gt;0"),0),ce,IFERROR(MAXIFS('Lớp 6 - Chi tiết'!$AH$14:$AH$267,'Lớp 6 - Chi tiết'!$J$14:$J$267,$I82,'Lớp 6 - Chi tiết'!$AE$14:$AE$267,"&lt;&gt;Hủy",'Lớp 6 - Chi tiết'!$AH$14:$AH$267,"&gt;0"),0),ps,'Trung tâm nhập liệu'!R232,pe,'Trung tâm nhập liệu'!Q232,IF(OR(AD82="",AE82=""),"Thiếu ngày L5",IF(n=0,"Chưa có L6",IF(OR(cs=0,ce=0),"Thiếu ngày L6",IF(OR(ps="",pe=""),"Thiếu ngày kế hoạch gốc L5",IF(OR(cs&lt;ps,ce&gt;pe),"Cảnh báo: Con vượt khung kế hoạch gốc","L6 đúng khung kế hoạch gốc"))))))))))</f>
        <v/>
      </c>
      <c r="AL82" s="465"/>
      <c r="AM82" s="467"/>
      <c r="AN82" s="469"/>
      <c r="AO82" s="470"/>
      <c r="AP82" s="470"/>
      <c r="AQ82" s="471"/>
      <c r="AR82" s="469"/>
      <c r="AS82" s="475"/>
      <c r="AT82" s="476"/>
      <c r="AU82" s="478"/>
      <c r="AV82" s="465"/>
      <c r="AW82" s="465"/>
      <c r="AX82" s="479"/>
    </row>
    <row r="83" ht="15.75" customHeight="1">
      <c r="A83" s="424"/>
      <c r="B83" s="572"/>
      <c r="C83" s="591"/>
      <c r="D83" s="623"/>
      <c r="E83" s="617"/>
      <c r="F83" s="575"/>
      <c r="G83" s="575"/>
      <c r="H83" s="576"/>
      <c r="I83" s="577"/>
      <c r="J83" s="577"/>
      <c r="K83" s="597"/>
      <c r="L83" s="598"/>
      <c r="M83" s="438"/>
      <c r="N83" s="597"/>
      <c r="O83" s="597"/>
      <c r="P83" s="597"/>
      <c r="Q83" s="581"/>
      <c r="R83" s="420"/>
      <c r="S83" s="582"/>
      <c r="T83" s="583"/>
      <c r="U83" s="584" t="str">
        <f>IF($I83="","",LET(n,COUNTIFS('Lớp 6 - Chi tiết'!$J$14:$J$267,$I83,'Lớp 6 - Chi tiết'!$AE$14:$AE$267,"&lt;&gt;Hủy"),child,IFERROR(MAXIFS('Lớp 6 - Chi tiết'!$AH$14:$AH$267,'Lớp 6 - Chi tiết'!$J$14:$J$267,$I83,'Lớp 6 - Chi tiết'!$AE$14:$AE$267,"&lt;&gt;Hủy",'Lớp 6 - Chi tiết'!$AH$14:$AH$267,"&gt;0"),0),plan,'Trung tâm nhập liệu'!Q233,emergent,LOWER(TRIM('Trung tâm nhập liệu'!O233))="khi phát sinh",IF(n=0,IF(emergent,"",plan),IF(child=0,IF(emergent,"",plan),IF(OR(emergent,plan=""),child,MAX(plan,child))))))</f>
        <v/>
      </c>
      <c r="V83" s="584" t="str">
        <f>IF($I83="","",LET(n,COUNTIFS('Lớp 6 - Chi tiết'!$J$14:$J$267,$I83,'Lớp 6 - Chi tiết'!$AE$14:$AE$267,"&lt;&gt;Hủy"),child,IFERROR(MINIFS('Lớp 6 - Chi tiết'!$AG$14:$AG$267,'Lớp 6 - Chi tiết'!$J$14:$J$267,$I83,'Lớp 6 - Chi tiết'!$AE$14:$AE$267,"&lt;&gt;Hủy",'Lớp 6 - Chi tiết'!$AG$14:$AG$267,"&gt;0"),0),plan,'Trung tâm nhập liệu'!R233,emergent,LOWER(TRIM('Trung tâm nhập liệu'!O233))="khi phát sinh",IF(n=0,IF(emergent,"",plan),IF(child=0,IF(emergent,"",plan),IF(OR(emergent,plan=""),child,MIN(plan,child))))))</f>
        <v/>
      </c>
      <c r="W83" s="577"/>
      <c r="X83" s="577"/>
      <c r="Y83" s="585"/>
      <c r="Z83" s="586"/>
      <c r="AA83" s="577"/>
      <c r="AB83" s="572"/>
      <c r="AC83" s="420"/>
      <c r="AD83" s="584"/>
      <c r="AE83" s="584"/>
      <c r="AF83" s="587"/>
      <c r="AG83" s="588"/>
      <c r="AH83" s="587"/>
      <c r="AI83" s="589"/>
      <c r="AJ83" s="468"/>
      <c r="AK83" s="477" t="str">
        <f>IF(AM83="Chưa xếp lịch","Chưa xếp lịch",IF(AM83="Định kỳ",IF(AN83="","Thiếu chu kỳ","Theo chu kỳ"),IF(AM83="Khi phát sinh",IF(COUNTIFS('Lớp 6 - Chi tiết'!$J$14:$J$267,$I83,'Lớp 6 - Chi tiết'!$AE$14:$AE$267,"&lt;&gt;Hủy")=0,"Khi phát sinh – chờ việc con","Khi phát sinh – theo ngày con"),IF(I83="","",LET(n,COUNTIFS('Lớp 6 - Chi tiết'!$J$14:$J$267,$I83,'Lớp 6 - Chi tiết'!$AE$14:$AE$267,"&lt;&gt;Hủy"),cs,IFERROR(MINIFS('Lớp 6 - Chi tiết'!$AG$14:$AG$267,'Lớp 6 - Chi tiết'!$J$14:$J$267,$I83,'Lớp 6 - Chi tiết'!$AE$14:$AE$267,"&lt;&gt;Hủy",'Lớp 6 - Chi tiết'!$AG$14:$AG$267,"&gt;0"),0),ce,IFERROR(MAXIFS('Lớp 6 - Chi tiết'!$AH$14:$AH$267,'Lớp 6 - Chi tiết'!$J$14:$J$267,$I83,'Lớp 6 - Chi tiết'!$AE$14:$AE$267,"&lt;&gt;Hủy",'Lớp 6 - Chi tiết'!$AH$14:$AH$267,"&gt;0"),0),ps,'Trung tâm nhập liệu'!R233,pe,'Trung tâm nhập liệu'!Q233,IF(OR(AD83="",AE83=""),"Thiếu ngày L5",IF(n=0,"Chưa có L6",IF(OR(cs=0,ce=0),"Thiếu ngày L6",IF(OR(ps="",pe=""),"Thiếu ngày kế hoạch gốc L5",IF(OR(cs&lt;ps,ce&gt;pe),"Cảnh báo: Con vượt khung kế hoạch gốc","L6 đúng khung kế hoạch gốc"))))))))))</f>
        <v/>
      </c>
      <c r="AL83" s="465"/>
      <c r="AM83" s="467"/>
      <c r="AN83" s="469"/>
      <c r="AO83" s="470"/>
      <c r="AP83" s="470"/>
      <c r="AQ83" s="471"/>
      <c r="AR83" s="469"/>
      <c r="AS83" s="475"/>
      <c r="AT83" s="476"/>
      <c r="AU83" s="478"/>
      <c r="AV83" s="465"/>
      <c r="AW83" s="465"/>
      <c r="AX83" s="479"/>
    </row>
    <row r="84" ht="15.75" customHeight="1">
      <c r="A84" s="424"/>
      <c r="B84" s="572"/>
      <c r="C84" s="591"/>
      <c r="D84" s="623"/>
      <c r="E84" s="617"/>
      <c r="F84" s="575"/>
      <c r="G84" s="575"/>
      <c r="H84" s="576"/>
      <c r="I84" s="577"/>
      <c r="J84" s="577"/>
      <c r="K84" s="597"/>
      <c r="L84" s="598"/>
      <c r="M84" s="438"/>
      <c r="N84" s="597"/>
      <c r="O84" s="597"/>
      <c r="P84" s="597"/>
      <c r="Q84" s="581"/>
      <c r="R84" s="420"/>
      <c r="S84" s="582"/>
      <c r="T84" s="583"/>
      <c r="U84" s="584" t="str">
        <f>IF($I84="","",LET(n,COUNTIFS('Lớp 6 - Chi tiết'!$J$14:$J$267,$I84,'Lớp 6 - Chi tiết'!$AE$14:$AE$267,"&lt;&gt;Hủy"),child,IFERROR(MAXIFS('Lớp 6 - Chi tiết'!$AH$14:$AH$267,'Lớp 6 - Chi tiết'!$J$14:$J$267,$I84,'Lớp 6 - Chi tiết'!$AE$14:$AE$267,"&lt;&gt;Hủy",'Lớp 6 - Chi tiết'!$AH$14:$AH$267,"&gt;0"),0),plan,'Trung tâm nhập liệu'!Q234,emergent,LOWER(TRIM('Trung tâm nhập liệu'!O234))="khi phát sinh",IF(n=0,IF(emergent,"",plan),IF(child=0,IF(emergent,"",plan),IF(OR(emergent,plan=""),child,MAX(plan,child))))))</f>
        <v/>
      </c>
      <c r="V84" s="584" t="str">
        <f>IF($I84="","",LET(n,COUNTIFS('Lớp 6 - Chi tiết'!$J$14:$J$267,$I84,'Lớp 6 - Chi tiết'!$AE$14:$AE$267,"&lt;&gt;Hủy"),child,IFERROR(MINIFS('Lớp 6 - Chi tiết'!$AG$14:$AG$267,'Lớp 6 - Chi tiết'!$J$14:$J$267,$I84,'Lớp 6 - Chi tiết'!$AE$14:$AE$267,"&lt;&gt;Hủy",'Lớp 6 - Chi tiết'!$AG$14:$AG$267,"&gt;0"),0),plan,'Trung tâm nhập liệu'!R234,emergent,LOWER(TRIM('Trung tâm nhập liệu'!O234))="khi phát sinh",IF(n=0,IF(emergent,"",plan),IF(child=0,IF(emergent,"",plan),IF(OR(emergent,plan=""),child,MIN(plan,child))))))</f>
        <v/>
      </c>
      <c r="W84" s="577"/>
      <c r="X84" s="577"/>
      <c r="Y84" s="585"/>
      <c r="Z84" s="586"/>
      <c r="AA84" s="577"/>
      <c r="AB84" s="572"/>
      <c r="AC84" s="420"/>
      <c r="AD84" s="584"/>
      <c r="AE84" s="584"/>
      <c r="AF84" s="587"/>
      <c r="AG84" s="588"/>
      <c r="AH84" s="587"/>
      <c r="AI84" s="589"/>
      <c r="AJ84" s="468"/>
      <c r="AK84" s="477" t="str">
        <f>IF(AM84="Chưa xếp lịch","Chưa xếp lịch",IF(AM84="Định kỳ",IF(AN84="","Thiếu chu kỳ","Theo chu kỳ"),IF(AM84="Khi phát sinh",IF(COUNTIFS('Lớp 6 - Chi tiết'!$J$14:$J$267,$I84,'Lớp 6 - Chi tiết'!$AE$14:$AE$267,"&lt;&gt;Hủy")=0,"Khi phát sinh – chờ việc con","Khi phát sinh – theo ngày con"),IF(I84="","",LET(n,COUNTIFS('Lớp 6 - Chi tiết'!$J$14:$J$267,$I84,'Lớp 6 - Chi tiết'!$AE$14:$AE$267,"&lt;&gt;Hủy"),cs,IFERROR(MINIFS('Lớp 6 - Chi tiết'!$AG$14:$AG$267,'Lớp 6 - Chi tiết'!$J$14:$J$267,$I84,'Lớp 6 - Chi tiết'!$AE$14:$AE$267,"&lt;&gt;Hủy",'Lớp 6 - Chi tiết'!$AG$14:$AG$267,"&gt;0"),0),ce,IFERROR(MAXIFS('Lớp 6 - Chi tiết'!$AH$14:$AH$267,'Lớp 6 - Chi tiết'!$J$14:$J$267,$I84,'Lớp 6 - Chi tiết'!$AE$14:$AE$267,"&lt;&gt;Hủy",'Lớp 6 - Chi tiết'!$AH$14:$AH$267,"&gt;0"),0),ps,'Trung tâm nhập liệu'!R234,pe,'Trung tâm nhập liệu'!Q234,IF(OR(AD84="",AE84=""),"Thiếu ngày L5",IF(n=0,"Chưa có L6",IF(OR(cs=0,ce=0),"Thiếu ngày L6",IF(OR(ps="",pe=""),"Thiếu ngày kế hoạch gốc L5",IF(OR(cs&lt;ps,ce&gt;pe),"Cảnh báo: Con vượt khung kế hoạch gốc","L6 đúng khung kế hoạch gốc"))))))))))</f>
        <v/>
      </c>
      <c r="AL84" s="465"/>
      <c r="AM84" s="467"/>
      <c r="AN84" s="469"/>
      <c r="AO84" s="470"/>
      <c r="AP84" s="470"/>
      <c r="AQ84" s="471"/>
      <c r="AR84" s="469"/>
      <c r="AS84" s="475"/>
      <c r="AT84" s="476"/>
      <c r="AU84" s="478"/>
      <c r="AV84" s="465"/>
      <c r="AW84" s="465"/>
      <c r="AX84" s="479"/>
    </row>
    <row r="85" ht="15.75" customHeight="1">
      <c r="A85" s="424"/>
      <c r="B85" s="572"/>
      <c r="C85" s="591"/>
      <c r="D85" s="623"/>
      <c r="E85" s="617"/>
      <c r="F85" s="575"/>
      <c r="G85" s="575"/>
      <c r="H85" s="576"/>
      <c r="I85" s="577"/>
      <c r="J85" s="577"/>
      <c r="K85" s="597"/>
      <c r="L85" s="598"/>
      <c r="M85" s="438"/>
      <c r="N85" s="597"/>
      <c r="O85" s="597"/>
      <c r="P85" s="597"/>
      <c r="Q85" s="581"/>
      <c r="R85" s="420"/>
      <c r="S85" s="582"/>
      <c r="T85" s="583"/>
      <c r="U85" s="584" t="str">
        <f>IF($I85="","",LET(n,COUNTIFS('Lớp 6 - Chi tiết'!$J$14:$J$267,$I85,'Lớp 6 - Chi tiết'!$AE$14:$AE$267,"&lt;&gt;Hủy"),child,IFERROR(MAXIFS('Lớp 6 - Chi tiết'!$AH$14:$AH$267,'Lớp 6 - Chi tiết'!$J$14:$J$267,$I85,'Lớp 6 - Chi tiết'!$AE$14:$AE$267,"&lt;&gt;Hủy",'Lớp 6 - Chi tiết'!$AH$14:$AH$267,"&gt;0"),0),plan,'Trung tâm nhập liệu'!Q235,emergent,LOWER(TRIM('Trung tâm nhập liệu'!O235))="khi phát sinh",IF(n=0,IF(emergent,"",plan),IF(child=0,IF(emergent,"",plan),IF(OR(emergent,plan=""),child,MAX(plan,child))))))</f>
        <v/>
      </c>
      <c r="V85" s="584" t="str">
        <f>IF($I85="","",LET(n,COUNTIFS('Lớp 6 - Chi tiết'!$J$14:$J$267,$I85,'Lớp 6 - Chi tiết'!$AE$14:$AE$267,"&lt;&gt;Hủy"),child,IFERROR(MINIFS('Lớp 6 - Chi tiết'!$AG$14:$AG$267,'Lớp 6 - Chi tiết'!$J$14:$J$267,$I85,'Lớp 6 - Chi tiết'!$AE$14:$AE$267,"&lt;&gt;Hủy",'Lớp 6 - Chi tiết'!$AG$14:$AG$267,"&gt;0"),0),plan,'Trung tâm nhập liệu'!R235,emergent,LOWER(TRIM('Trung tâm nhập liệu'!O235))="khi phát sinh",IF(n=0,IF(emergent,"",plan),IF(child=0,IF(emergent,"",plan),IF(OR(emergent,plan=""),child,MIN(plan,child))))))</f>
        <v/>
      </c>
      <c r="W85" s="577"/>
      <c r="X85" s="577"/>
      <c r="Y85" s="585"/>
      <c r="Z85" s="586"/>
      <c r="AA85" s="577"/>
      <c r="AB85" s="572"/>
      <c r="AC85" s="420"/>
      <c r="AD85" s="584"/>
      <c r="AE85" s="584"/>
      <c r="AF85" s="587"/>
      <c r="AG85" s="588"/>
      <c r="AH85" s="587"/>
      <c r="AI85" s="589"/>
      <c r="AJ85" s="468"/>
      <c r="AK85" s="477" t="str">
        <f>IF(AM85="Chưa xếp lịch","Chưa xếp lịch",IF(AM85="Định kỳ",IF(AN85="","Thiếu chu kỳ","Theo chu kỳ"),IF(AM85="Khi phát sinh",IF(COUNTIFS('Lớp 6 - Chi tiết'!$J$14:$J$267,$I85,'Lớp 6 - Chi tiết'!$AE$14:$AE$267,"&lt;&gt;Hủy")=0,"Khi phát sinh – chờ việc con","Khi phát sinh – theo ngày con"),IF(I85="","",LET(n,COUNTIFS('Lớp 6 - Chi tiết'!$J$14:$J$267,$I85,'Lớp 6 - Chi tiết'!$AE$14:$AE$267,"&lt;&gt;Hủy"),cs,IFERROR(MINIFS('Lớp 6 - Chi tiết'!$AG$14:$AG$267,'Lớp 6 - Chi tiết'!$J$14:$J$267,$I85,'Lớp 6 - Chi tiết'!$AE$14:$AE$267,"&lt;&gt;Hủy",'Lớp 6 - Chi tiết'!$AG$14:$AG$267,"&gt;0"),0),ce,IFERROR(MAXIFS('Lớp 6 - Chi tiết'!$AH$14:$AH$267,'Lớp 6 - Chi tiết'!$J$14:$J$267,$I85,'Lớp 6 - Chi tiết'!$AE$14:$AE$267,"&lt;&gt;Hủy",'Lớp 6 - Chi tiết'!$AH$14:$AH$267,"&gt;0"),0),ps,'Trung tâm nhập liệu'!R235,pe,'Trung tâm nhập liệu'!Q235,IF(OR(AD85="",AE85=""),"Thiếu ngày L5",IF(n=0,"Chưa có L6",IF(OR(cs=0,ce=0),"Thiếu ngày L6",IF(OR(ps="",pe=""),"Thiếu ngày kế hoạch gốc L5",IF(OR(cs&lt;ps,ce&gt;pe),"Cảnh báo: Con vượt khung kế hoạch gốc","L6 đúng khung kế hoạch gốc"))))))))))</f>
        <v/>
      </c>
      <c r="AL85" s="465"/>
      <c r="AM85" s="467"/>
      <c r="AN85" s="469"/>
      <c r="AO85" s="470"/>
      <c r="AP85" s="470"/>
      <c r="AQ85" s="471"/>
      <c r="AR85" s="469"/>
      <c r="AS85" s="475"/>
      <c r="AT85" s="476"/>
      <c r="AU85" s="478"/>
      <c r="AV85" s="465"/>
      <c r="AW85" s="465"/>
      <c r="AX85" s="479"/>
    </row>
    <row r="86" ht="15.75" customHeight="1">
      <c r="A86" s="424"/>
      <c r="B86" s="572"/>
      <c r="C86" s="591"/>
      <c r="D86" s="623"/>
      <c r="E86" s="617"/>
      <c r="F86" s="575"/>
      <c r="G86" s="575"/>
      <c r="H86" s="576"/>
      <c r="I86" s="577"/>
      <c r="J86" s="577"/>
      <c r="K86" s="597"/>
      <c r="L86" s="598"/>
      <c r="M86" s="438"/>
      <c r="N86" s="597"/>
      <c r="O86" s="597"/>
      <c r="P86" s="597"/>
      <c r="Q86" s="581"/>
      <c r="R86" s="420"/>
      <c r="S86" s="582"/>
      <c r="T86" s="583"/>
      <c r="U86" s="584" t="str">
        <f>IF($I86="","",LET(n,COUNTIFS('Lớp 6 - Chi tiết'!$J$14:$J$267,$I86,'Lớp 6 - Chi tiết'!$AE$14:$AE$267,"&lt;&gt;Hủy"),child,IFERROR(MAXIFS('Lớp 6 - Chi tiết'!$AH$14:$AH$267,'Lớp 6 - Chi tiết'!$J$14:$J$267,$I86,'Lớp 6 - Chi tiết'!$AE$14:$AE$267,"&lt;&gt;Hủy",'Lớp 6 - Chi tiết'!$AH$14:$AH$267,"&gt;0"),0),plan,'Trung tâm nhập liệu'!Q236,emergent,LOWER(TRIM('Trung tâm nhập liệu'!O236))="khi phát sinh",IF(n=0,IF(emergent,"",plan),IF(child=0,IF(emergent,"",plan),IF(OR(emergent,plan=""),child,MAX(plan,child))))))</f>
        <v/>
      </c>
      <c r="V86" s="584" t="str">
        <f>IF($I86="","",LET(n,COUNTIFS('Lớp 6 - Chi tiết'!$J$14:$J$267,$I86,'Lớp 6 - Chi tiết'!$AE$14:$AE$267,"&lt;&gt;Hủy"),child,IFERROR(MINIFS('Lớp 6 - Chi tiết'!$AG$14:$AG$267,'Lớp 6 - Chi tiết'!$J$14:$J$267,$I86,'Lớp 6 - Chi tiết'!$AE$14:$AE$267,"&lt;&gt;Hủy",'Lớp 6 - Chi tiết'!$AG$14:$AG$267,"&gt;0"),0),plan,'Trung tâm nhập liệu'!R236,emergent,LOWER(TRIM('Trung tâm nhập liệu'!O236))="khi phát sinh",IF(n=0,IF(emergent,"",plan),IF(child=0,IF(emergent,"",plan),IF(OR(emergent,plan=""),child,MIN(plan,child))))))</f>
        <v/>
      </c>
      <c r="W86" s="577"/>
      <c r="X86" s="577"/>
      <c r="Y86" s="585"/>
      <c r="Z86" s="586"/>
      <c r="AA86" s="577"/>
      <c r="AB86" s="572"/>
      <c r="AC86" s="420"/>
      <c r="AD86" s="584"/>
      <c r="AE86" s="584"/>
      <c r="AF86" s="587"/>
      <c r="AG86" s="588"/>
      <c r="AH86" s="587"/>
      <c r="AI86" s="589"/>
      <c r="AJ86" s="468"/>
      <c r="AK86" s="477" t="str">
        <f>IF(AM86="Chưa xếp lịch","Chưa xếp lịch",IF(AM86="Định kỳ",IF(AN86="","Thiếu chu kỳ","Theo chu kỳ"),IF(AM86="Khi phát sinh",IF(COUNTIFS('Lớp 6 - Chi tiết'!$J$14:$J$267,$I86,'Lớp 6 - Chi tiết'!$AE$14:$AE$267,"&lt;&gt;Hủy")=0,"Khi phát sinh – chờ việc con","Khi phát sinh – theo ngày con"),IF(I86="","",LET(n,COUNTIFS('Lớp 6 - Chi tiết'!$J$14:$J$267,$I86,'Lớp 6 - Chi tiết'!$AE$14:$AE$267,"&lt;&gt;Hủy"),cs,IFERROR(MINIFS('Lớp 6 - Chi tiết'!$AG$14:$AG$267,'Lớp 6 - Chi tiết'!$J$14:$J$267,$I86,'Lớp 6 - Chi tiết'!$AE$14:$AE$267,"&lt;&gt;Hủy",'Lớp 6 - Chi tiết'!$AG$14:$AG$267,"&gt;0"),0),ce,IFERROR(MAXIFS('Lớp 6 - Chi tiết'!$AH$14:$AH$267,'Lớp 6 - Chi tiết'!$J$14:$J$267,$I86,'Lớp 6 - Chi tiết'!$AE$14:$AE$267,"&lt;&gt;Hủy",'Lớp 6 - Chi tiết'!$AH$14:$AH$267,"&gt;0"),0),ps,'Trung tâm nhập liệu'!R236,pe,'Trung tâm nhập liệu'!Q236,IF(OR(AD86="",AE86=""),"Thiếu ngày L5",IF(n=0,"Chưa có L6",IF(OR(cs=0,ce=0),"Thiếu ngày L6",IF(OR(ps="",pe=""),"Thiếu ngày kế hoạch gốc L5",IF(OR(cs&lt;ps,ce&gt;pe),"Cảnh báo: Con vượt khung kế hoạch gốc","L6 đúng khung kế hoạch gốc"))))))))))</f>
        <v/>
      </c>
      <c r="AL86" s="465"/>
      <c r="AM86" s="467"/>
      <c r="AN86" s="469"/>
      <c r="AO86" s="470"/>
      <c r="AP86" s="470"/>
      <c r="AQ86" s="471"/>
      <c r="AR86" s="469"/>
      <c r="AS86" s="475"/>
      <c r="AT86" s="476"/>
      <c r="AU86" s="478"/>
      <c r="AV86" s="465"/>
      <c r="AW86" s="465"/>
      <c r="AX86" s="479"/>
    </row>
    <row r="87" ht="15.75" customHeight="1">
      <c r="A87" s="424"/>
      <c r="B87" s="572"/>
      <c r="C87" s="591"/>
      <c r="D87" s="623"/>
      <c r="E87" s="617"/>
      <c r="F87" s="575"/>
      <c r="G87" s="575"/>
      <c r="H87" s="576"/>
      <c r="I87" s="577"/>
      <c r="J87" s="577"/>
      <c r="K87" s="597"/>
      <c r="L87" s="598"/>
      <c r="M87" s="438"/>
      <c r="N87" s="597"/>
      <c r="O87" s="597"/>
      <c r="P87" s="597"/>
      <c r="Q87" s="581"/>
      <c r="R87" s="420"/>
      <c r="S87" s="582"/>
      <c r="T87" s="583"/>
      <c r="U87" s="584" t="str">
        <f>IF($I87="","",LET(n,COUNTIFS('Lớp 6 - Chi tiết'!$J$14:$J$267,$I87,'Lớp 6 - Chi tiết'!$AE$14:$AE$267,"&lt;&gt;Hủy"),child,IFERROR(MAXIFS('Lớp 6 - Chi tiết'!$AH$14:$AH$267,'Lớp 6 - Chi tiết'!$J$14:$J$267,$I87,'Lớp 6 - Chi tiết'!$AE$14:$AE$267,"&lt;&gt;Hủy",'Lớp 6 - Chi tiết'!$AH$14:$AH$267,"&gt;0"),0),plan,'Trung tâm nhập liệu'!Q237,emergent,LOWER(TRIM('Trung tâm nhập liệu'!O237))="khi phát sinh",IF(n=0,IF(emergent,"",plan),IF(child=0,IF(emergent,"",plan),IF(OR(emergent,plan=""),child,MAX(plan,child))))))</f>
        <v/>
      </c>
      <c r="V87" s="584" t="str">
        <f>IF($I87="","",LET(n,COUNTIFS('Lớp 6 - Chi tiết'!$J$14:$J$267,$I87,'Lớp 6 - Chi tiết'!$AE$14:$AE$267,"&lt;&gt;Hủy"),child,IFERROR(MINIFS('Lớp 6 - Chi tiết'!$AG$14:$AG$267,'Lớp 6 - Chi tiết'!$J$14:$J$267,$I87,'Lớp 6 - Chi tiết'!$AE$14:$AE$267,"&lt;&gt;Hủy",'Lớp 6 - Chi tiết'!$AG$14:$AG$267,"&gt;0"),0),plan,'Trung tâm nhập liệu'!R237,emergent,LOWER(TRIM('Trung tâm nhập liệu'!O237))="khi phát sinh",IF(n=0,IF(emergent,"",plan),IF(child=0,IF(emergent,"",plan),IF(OR(emergent,plan=""),child,MIN(plan,child))))))</f>
        <v/>
      </c>
      <c r="W87" s="577"/>
      <c r="X87" s="577"/>
      <c r="Y87" s="585"/>
      <c r="Z87" s="586"/>
      <c r="AA87" s="577"/>
      <c r="AB87" s="572"/>
      <c r="AC87" s="420"/>
      <c r="AD87" s="584"/>
      <c r="AE87" s="584"/>
      <c r="AF87" s="587"/>
      <c r="AG87" s="588"/>
      <c r="AH87" s="587"/>
      <c r="AI87" s="589"/>
      <c r="AJ87" s="468"/>
      <c r="AK87" s="477" t="str">
        <f>IF(AM87="Chưa xếp lịch","Chưa xếp lịch",IF(AM87="Định kỳ",IF(AN87="","Thiếu chu kỳ","Theo chu kỳ"),IF(AM87="Khi phát sinh",IF(COUNTIFS('Lớp 6 - Chi tiết'!$J$14:$J$267,$I87,'Lớp 6 - Chi tiết'!$AE$14:$AE$267,"&lt;&gt;Hủy")=0,"Khi phát sinh – chờ việc con","Khi phát sinh – theo ngày con"),IF(I87="","",LET(n,COUNTIFS('Lớp 6 - Chi tiết'!$J$14:$J$267,$I87,'Lớp 6 - Chi tiết'!$AE$14:$AE$267,"&lt;&gt;Hủy"),cs,IFERROR(MINIFS('Lớp 6 - Chi tiết'!$AG$14:$AG$267,'Lớp 6 - Chi tiết'!$J$14:$J$267,$I87,'Lớp 6 - Chi tiết'!$AE$14:$AE$267,"&lt;&gt;Hủy",'Lớp 6 - Chi tiết'!$AG$14:$AG$267,"&gt;0"),0),ce,IFERROR(MAXIFS('Lớp 6 - Chi tiết'!$AH$14:$AH$267,'Lớp 6 - Chi tiết'!$J$14:$J$267,$I87,'Lớp 6 - Chi tiết'!$AE$14:$AE$267,"&lt;&gt;Hủy",'Lớp 6 - Chi tiết'!$AH$14:$AH$267,"&gt;0"),0),ps,'Trung tâm nhập liệu'!R237,pe,'Trung tâm nhập liệu'!Q237,IF(OR(AD87="",AE87=""),"Thiếu ngày L5",IF(n=0,"Chưa có L6",IF(OR(cs=0,ce=0),"Thiếu ngày L6",IF(OR(ps="",pe=""),"Thiếu ngày kế hoạch gốc L5",IF(OR(cs&lt;ps,ce&gt;pe),"Cảnh báo: Con vượt khung kế hoạch gốc","L6 đúng khung kế hoạch gốc"))))))))))</f>
        <v/>
      </c>
      <c r="AL87" s="465"/>
      <c r="AM87" s="467"/>
      <c r="AN87" s="469"/>
      <c r="AO87" s="470"/>
      <c r="AP87" s="470"/>
      <c r="AQ87" s="471"/>
      <c r="AR87" s="469"/>
      <c r="AS87" s="475"/>
      <c r="AT87" s="476"/>
      <c r="AU87" s="478"/>
      <c r="AV87" s="465"/>
      <c r="AW87" s="465"/>
      <c r="AX87" s="479"/>
    </row>
    <row r="88" ht="15.75" customHeight="1">
      <c r="A88" s="424"/>
      <c r="B88" s="572"/>
      <c r="C88" s="591"/>
      <c r="D88" s="623"/>
      <c r="E88" s="617"/>
      <c r="F88" s="575"/>
      <c r="G88" s="575"/>
      <c r="H88" s="576"/>
      <c r="I88" s="577"/>
      <c r="J88" s="577"/>
      <c r="K88" s="597"/>
      <c r="L88" s="598"/>
      <c r="M88" s="438"/>
      <c r="N88" s="597"/>
      <c r="O88" s="597"/>
      <c r="P88" s="597"/>
      <c r="Q88" s="581"/>
      <c r="R88" s="420"/>
      <c r="S88" s="582"/>
      <c r="T88" s="583"/>
      <c r="U88" s="584" t="str">
        <f>IF($I88="","",LET(n,COUNTIFS('Lớp 6 - Chi tiết'!$J$14:$J$267,$I88,'Lớp 6 - Chi tiết'!$AE$14:$AE$267,"&lt;&gt;Hủy"),child,IFERROR(MAXIFS('Lớp 6 - Chi tiết'!$AH$14:$AH$267,'Lớp 6 - Chi tiết'!$J$14:$J$267,$I88,'Lớp 6 - Chi tiết'!$AE$14:$AE$267,"&lt;&gt;Hủy",'Lớp 6 - Chi tiết'!$AH$14:$AH$267,"&gt;0"),0),plan,'Trung tâm nhập liệu'!Q238,emergent,LOWER(TRIM('Trung tâm nhập liệu'!O238))="khi phát sinh",IF(n=0,IF(emergent,"",plan),IF(child=0,IF(emergent,"",plan),IF(OR(emergent,plan=""),child,MAX(plan,child))))))</f>
        <v/>
      </c>
      <c r="V88" s="584" t="str">
        <f>IF($I88="","",LET(n,COUNTIFS('Lớp 6 - Chi tiết'!$J$14:$J$267,$I88,'Lớp 6 - Chi tiết'!$AE$14:$AE$267,"&lt;&gt;Hủy"),child,IFERROR(MINIFS('Lớp 6 - Chi tiết'!$AG$14:$AG$267,'Lớp 6 - Chi tiết'!$J$14:$J$267,$I88,'Lớp 6 - Chi tiết'!$AE$14:$AE$267,"&lt;&gt;Hủy",'Lớp 6 - Chi tiết'!$AG$14:$AG$267,"&gt;0"),0),plan,'Trung tâm nhập liệu'!R238,emergent,LOWER(TRIM('Trung tâm nhập liệu'!O238))="khi phát sinh",IF(n=0,IF(emergent,"",plan),IF(child=0,IF(emergent,"",plan),IF(OR(emergent,plan=""),child,MIN(plan,child))))))</f>
        <v/>
      </c>
      <c r="W88" s="577"/>
      <c r="X88" s="577"/>
      <c r="Y88" s="585"/>
      <c r="Z88" s="586"/>
      <c r="AA88" s="577"/>
      <c r="AB88" s="572"/>
      <c r="AC88" s="420"/>
      <c r="AD88" s="584"/>
      <c r="AE88" s="584"/>
      <c r="AF88" s="587"/>
      <c r="AG88" s="588"/>
      <c r="AH88" s="587"/>
      <c r="AI88" s="589"/>
      <c r="AJ88" s="468"/>
      <c r="AK88" s="477" t="str">
        <f>IF(AM88="Chưa xếp lịch","Chưa xếp lịch",IF(AM88="Định kỳ",IF(AN88="","Thiếu chu kỳ","Theo chu kỳ"),IF(AM88="Khi phát sinh",IF(COUNTIFS('Lớp 6 - Chi tiết'!$J$14:$J$267,$I88,'Lớp 6 - Chi tiết'!$AE$14:$AE$267,"&lt;&gt;Hủy")=0,"Khi phát sinh – chờ việc con","Khi phát sinh – theo ngày con"),IF(I88="","",LET(n,COUNTIFS('Lớp 6 - Chi tiết'!$J$14:$J$267,$I88,'Lớp 6 - Chi tiết'!$AE$14:$AE$267,"&lt;&gt;Hủy"),cs,IFERROR(MINIFS('Lớp 6 - Chi tiết'!$AG$14:$AG$267,'Lớp 6 - Chi tiết'!$J$14:$J$267,$I88,'Lớp 6 - Chi tiết'!$AE$14:$AE$267,"&lt;&gt;Hủy",'Lớp 6 - Chi tiết'!$AG$14:$AG$267,"&gt;0"),0),ce,IFERROR(MAXIFS('Lớp 6 - Chi tiết'!$AH$14:$AH$267,'Lớp 6 - Chi tiết'!$J$14:$J$267,$I88,'Lớp 6 - Chi tiết'!$AE$14:$AE$267,"&lt;&gt;Hủy",'Lớp 6 - Chi tiết'!$AH$14:$AH$267,"&gt;0"),0),ps,'Trung tâm nhập liệu'!R238,pe,'Trung tâm nhập liệu'!Q238,IF(OR(AD88="",AE88=""),"Thiếu ngày L5",IF(n=0,"Chưa có L6",IF(OR(cs=0,ce=0),"Thiếu ngày L6",IF(OR(ps="",pe=""),"Thiếu ngày kế hoạch gốc L5",IF(OR(cs&lt;ps,ce&gt;pe),"Cảnh báo: Con vượt khung kế hoạch gốc","L6 đúng khung kế hoạch gốc"))))))))))</f>
        <v/>
      </c>
      <c r="AL88" s="465"/>
      <c r="AM88" s="467"/>
      <c r="AN88" s="469"/>
      <c r="AO88" s="470"/>
      <c r="AP88" s="470"/>
      <c r="AQ88" s="471"/>
      <c r="AR88" s="469"/>
      <c r="AS88" s="475"/>
      <c r="AT88" s="476"/>
      <c r="AU88" s="478"/>
      <c r="AV88" s="465"/>
      <c r="AW88" s="465"/>
      <c r="AX88" s="479"/>
    </row>
    <row r="89" ht="15.75" customHeight="1">
      <c r="A89" s="424"/>
      <c r="B89" s="572"/>
      <c r="C89" s="591"/>
      <c r="D89" s="623"/>
      <c r="E89" s="617"/>
      <c r="F89" s="575"/>
      <c r="G89" s="575"/>
      <c r="H89" s="576"/>
      <c r="I89" s="577"/>
      <c r="J89" s="577"/>
      <c r="K89" s="597"/>
      <c r="L89" s="598"/>
      <c r="M89" s="438"/>
      <c r="N89" s="597"/>
      <c r="O89" s="597"/>
      <c r="P89" s="597"/>
      <c r="Q89" s="581"/>
      <c r="R89" s="420"/>
      <c r="S89" s="582"/>
      <c r="T89" s="583"/>
      <c r="U89" s="584" t="str">
        <f>IF($I89="","",LET(n,COUNTIFS('Lớp 6 - Chi tiết'!$J$14:$J$267,$I89,'Lớp 6 - Chi tiết'!$AE$14:$AE$267,"&lt;&gt;Hủy"),child,IFERROR(MAXIFS('Lớp 6 - Chi tiết'!$AH$14:$AH$267,'Lớp 6 - Chi tiết'!$J$14:$J$267,$I89,'Lớp 6 - Chi tiết'!$AE$14:$AE$267,"&lt;&gt;Hủy",'Lớp 6 - Chi tiết'!$AH$14:$AH$267,"&gt;0"),0),plan,'Trung tâm nhập liệu'!Q239,emergent,LOWER(TRIM('Trung tâm nhập liệu'!O239))="khi phát sinh",IF(n=0,IF(emergent,"",plan),IF(child=0,IF(emergent,"",plan),IF(OR(emergent,plan=""),child,MAX(plan,child))))))</f>
        <v/>
      </c>
      <c r="V89" s="584" t="str">
        <f>IF($I89="","",LET(n,COUNTIFS('Lớp 6 - Chi tiết'!$J$14:$J$267,$I89,'Lớp 6 - Chi tiết'!$AE$14:$AE$267,"&lt;&gt;Hủy"),child,IFERROR(MINIFS('Lớp 6 - Chi tiết'!$AG$14:$AG$267,'Lớp 6 - Chi tiết'!$J$14:$J$267,$I89,'Lớp 6 - Chi tiết'!$AE$14:$AE$267,"&lt;&gt;Hủy",'Lớp 6 - Chi tiết'!$AG$14:$AG$267,"&gt;0"),0),plan,'Trung tâm nhập liệu'!R239,emergent,LOWER(TRIM('Trung tâm nhập liệu'!O239))="khi phát sinh",IF(n=0,IF(emergent,"",plan),IF(child=0,IF(emergent,"",plan),IF(OR(emergent,plan=""),child,MIN(plan,child))))))</f>
        <v/>
      </c>
      <c r="W89" s="577"/>
      <c r="X89" s="577"/>
      <c r="Y89" s="585"/>
      <c r="Z89" s="586"/>
      <c r="AA89" s="577"/>
      <c r="AB89" s="572"/>
      <c r="AC89" s="420"/>
      <c r="AD89" s="584"/>
      <c r="AE89" s="584"/>
      <c r="AF89" s="587"/>
      <c r="AG89" s="588"/>
      <c r="AH89" s="587"/>
      <c r="AI89" s="589"/>
      <c r="AJ89" s="468"/>
      <c r="AK89" s="477" t="str">
        <f>IF(AM89="Chưa xếp lịch","Chưa xếp lịch",IF(AM89="Định kỳ",IF(AN89="","Thiếu chu kỳ","Theo chu kỳ"),IF(AM89="Khi phát sinh",IF(COUNTIFS('Lớp 6 - Chi tiết'!$J$14:$J$267,$I89,'Lớp 6 - Chi tiết'!$AE$14:$AE$267,"&lt;&gt;Hủy")=0,"Khi phát sinh – chờ việc con","Khi phát sinh – theo ngày con"),IF(I89="","",LET(n,COUNTIFS('Lớp 6 - Chi tiết'!$J$14:$J$267,$I89,'Lớp 6 - Chi tiết'!$AE$14:$AE$267,"&lt;&gt;Hủy"),cs,IFERROR(MINIFS('Lớp 6 - Chi tiết'!$AG$14:$AG$267,'Lớp 6 - Chi tiết'!$J$14:$J$267,$I89,'Lớp 6 - Chi tiết'!$AE$14:$AE$267,"&lt;&gt;Hủy",'Lớp 6 - Chi tiết'!$AG$14:$AG$267,"&gt;0"),0),ce,IFERROR(MAXIFS('Lớp 6 - Chi tiết'!$AH$14:$AH$267,'Lớp 6 - Chi tiết'!$J$14:$J$267,$I89,'Lớp 6 - Chi tiết'!$AE$14:$AE$267,"&lt;&gt;Hủy",'Lớp 6 - Chi tiết'!$AH$14:$AH$267,"&gt;0"),0),ps,'Trung tâm nhập liệu'!R239,pe,'Trung tâm nhập liệu'!Q239,IF(OR(AD89="",AE89=""),"Thiếu ngày L5",IF(n=0,"Chưa có L6",IF(OR(cs=0,ce=0),"Thiếu ngày L6",IF(OR(ps="",pe=""),"Thiếu ngày kế hoạch gốc L5",IF(OR(cs&lt;ps,ce&gt;pe),"Cảnh báo: Con vượt khung kế hoạch gốc","L6 đúng khung kế hoạch gốc"))))))))))</f>
        <v/>
      </c>
      <c r="AL89" s="465"/>
      <c r="AM89" s="467"/>
      <c r="AN89" s="469"/>
      <c r="AO89" s="470"/>
      <c r="AP89" s="470"/>
      <c r="AQ89" s="471"/>
      <c r="AR89" s="469"/>
      <c r="AS89" s="475"/>
      <c r="AT89" s="476"/>
      <c r="AU89" s="478"/>
      <c r="AV89" s="465"/>
      <c r="AW89" s="465"/>
      <c r="AX89" s="479"/>
    </row>
    <row r="90" ht="15.75" customHeight="1">
      <c r="A90" s="424"/>
      <c r="B90" s="572"/>
      <c r="C90" s="591"/>
      <c r="D90" s="623"/>
      <c r="E90" s="617"/>
      <c r="F90" s="575"/>
      <c r="G90" s="575"/>
      <c r="H90" s="576"/>
      <c r="I90" s="577"/>
      <c r="J90" s="577"/>
      <c r="K90" s="597"/>
      <c r="L90" s="598"/>
      <c r="M90" s="438"/>
      <c r="N90" s="597"/>
      <c r="O90" s="597"/>
      <c r="P90" s="597"/>
      <c r="Q90" s="581"/>
      <c r="R90" s="420"/>
      <c r="S90" s="582"/>
      <c r="T90" s="583"/>
      <c r="U90" s="584" t="str">
        <f>IF($I90="","",LET(n,COUNTIFS('Lớp 6 - Chi tiết'!$J$14:$J$267,$I90,'Lớp 6 - Chi tiết'!$AE$14:$AE$267,"&lt;&gt;Hủy"),child,IFERROR(MAXIFS('Lớp 6 - Chi tiết'!$AH$14:$AH$267,'Lớp 6 - Chi tiết'!$J$14:$J$267,$I90,'Lớp 6 - Chi tiết'!$AE$14:$AE$267,"&lt;&gt;Hủy",'Lớp 6 - Chi tiết'!$AH$14:$AH$267,"&gt;0"),0),plan,'Trung tâm nhập liệu'!Q240,emergent,LOWER(TRIM('Trung tâm nhập liệu'!O240))="khi phát sinh",IF(n=0,IF(emergent,"",plan),IF(child=0,IF(emergent,"",plan),IF(OR(emergent,plan=""),child,MAX(plan,child))))))</f>
        <v/>
      </c>
      <c r="V90" s="584" t="str">
        <f>IF($I90="","",LET(n,COUNTIFS('Lớp 6 - Chi tiết'!$J$14:$J$267,$I90,'Lớp 6 - Chi tiết'!$AE$14:$AE$267,"&lt;&gt;Hủy"),child,IFERROR(MINIFS('Lớp 6 - Chi tiết'!$AG$14:$AG$267,'Lớp 6 - Chi tiết'!$J$14:$J$267,$I90,'Lớp 6 - Chi tiết'!$AE$14:$AE$267,"&lt;&gt;Hủy",'Lớp 6 - Chi tiết'!$AG$14:$AG$267,"&gt;0"),0),plan,'Trung tâm nhập liệu'!R240,emergent,LOWER(TRIM('Trung tâm nhập liệu'!O240))="khi phát sinh",IF(n=0,IF(emergent,"",plan),IF(child=0,IF(emergent,"",plan),IF(OR(emergent,plan=""),child,MIN(plan,child))))))</f>
        <v/>
      </c>
      <c r="W90" s="577"/>
      <c r="X90" s="577"/>
      <c r="Y90" s="585"/>
      <c r="Z90" s="586"/>
      <c r="AA90" s="577"/>
      <c r="AB90" s="572"/>
      <c r="AC90" s="420"/>
      <c r="AD90" s="584"/>
      <c r="AE90" s="584"/>
      <c r="AF90" s="587"/>
      <c r="AG90" s="588"/>
      <c r="AH90" s="587"/>
      <c r="AI90" s="589"/>
      <c r="AJ90" s="468"/>
      <c r="AK90" s="477" t="str">
        <f>IF(AM90="Chưa xếp lịch","Chưa xếp lịch",IF(AM90="Định kỳ",IF(AN90="","Thiếu chu kỳ","Theo chu kỳ"),IF(AM90="Khi phát sinh",IF(COUNTIFS('Lớp 6 - Chi tiết'!$J$14:$J$267,$I90,'Lớp 6 - Chi tiết'!$AE$14:$AE$267,"&lt;&gt;Hủy")=0,"Khi phát sinh – chờ việc con","Khi phát sinh – theo ngày con"),IF(I90="","",LET(n,COUNTIFS('Lớp 6 - Chi tiết'!$J$14:$J$267,$I90,'Lớp 6 - Chi tiết'!$AE$14:$AE$267,"&lt;&gt;Hủy"),cs,IFERROR(MINIFS('Lớp 6 - Chi tiết'!$AG$14:$AG$267,'Lớp 6 - Chi tiết'!$J$14:$J$267,$I90,'Lớp 6 - Chi tiết'!$AE$14:$AE$267,"&lt;&gt;Hủy",'Lớp 6 - Chi tiết'!$AG$14:$AG$267,"&gt;0"),0),ce,IFERROR(MAXIFS('Lớp 6 - Chi tiết'!$AH$14:$AH$267,'Lớp 6 - Chi tiết'!$J$14:$J$267,$I90,'Lớp 6 - Chi tiết'!$AE$14:$AE$267,"&lt;&gt;Hủy",'Lớp 6 - Chi tiết'!$AH$14:$AH$267,"&gt;0"),0),ps,'Trung tâm nhập liệu'!R240,pe,'Trung tâm nhập liệu'!Q240,IF(OR(AD90="",AE90=""),"Thiếu ngày L5",IF(n=0,"Chưa có L6",IF(OR(cs=0,ce=0),"Thiếu ngày L6",IF(OR(ps="",pe=""),"Thiếu ngày kế hoạch gốc L5",IF(OR(cs&lt;ps,ce&gt;pe),"Cảnh báo: Con vượt khung kế hoạch gốc","L6 đúng khung kế hoạch gốc"))))))))))</f>
        <v/>
      </c>
      <c r="AL90" s="465"/>
      <c r="AM90" s="467"/>
      <c r="AN90" s="469"/>
      <c r="AO90" s="470"/>
      <c r="AP90" s="470"/>
      <c r="AQ90" s="471"/>
      <c r="AR90" s="469"/>
      <c r="AS90" s="475"/>
      <c r="AT90" s="476"/>
      <c r="AU90" s="478"/>
      <c r="AV90" s="465"/>
      <c r="AW90" s="465"/>
      <c r="AX90" s="479"/>
    </row>
    <row r="91" ht="15.75" customHeight="1">
      <c r="A91" s="424"/>
      <c r="B91" s="572"/>
      <c r="C91" s="591"/>
      <c r="D91" s="623"/>
      <c r="E91" s="617"/>
      <c r="F91" s="575"/>
      <c r="G91" s="575"/>
      <c r="H91" s="576"/>
      <c r="I91" s="577"/>
      <c r="J91" s="577"/>
      <c r="K91" s="597"/>
      <c r="L91" s="598"/>
      <c r="M91" s="438"/>
      <c r="N91" s="597"/>
      <c r="O91" s="597"/>
      <c r="P91" s="597"/>
      <c r="Q91" s="581"/>
      <c r="R91" s="420"/>
      <c r="S91" s="582"/>
      <c r="T91" s="583"/>
      <c r="U91" s="584" t="str">
        <f>IF($I91="","",LET(n,COUNTIFS('Lớp 6 - Chi tiết'!$J$14:$J$267,$I91,'Lớp 6 - Chi tiết'!$AE$14:$AE$267,"&lt;&gt;Hủy"),child,IFERROR(MAXIFS('Lớp 6 - Chi tiết'!$AH$14:$AH$267,'Lớp 6 - Chi tiết'!$J$14:$J$267,$I91,'Lớp 6 - Chi tiết'!$AE$14:$AE$267,"&lt;&gt;Hủy",'Lớp 6 - Chi tiết'!$AH$14:$AH$267,"&gt;0"),0),plan,'Trung tâm nhập liệu'!Q241,emergent,LOWER(TRIM('Trung tâm nhập liệu'!O241))="khi phát sinh",IF(n=0,IF(emergent,"",plan),IF(child=0,IF(emergent,"",plan),IF(OR(emergent,plan=""),child,MAX(plan,child))))))</f>
        <v/>
      </c>
      <c r="V91" s="584" t="str">
        <f>IF($I91="","",LET(n,COUNTIFS('Lớp 6 - Chi tiết'!$J$14:$J$267,$I91,'Lớp 6 - Chi tiết'!$AE$14:$AE$267,"&lt;&gt;Hủy"),child,IFERROR(MINIFS('Lớp 6 - Chi tiết'!$AG$14:$AG$267,'Lớp 6 - Chi tiết'!$J$14:$J$267,$I91,'Lớp 6 - Chi tiết'!$AE$14:$AE$267,"&lt;&gt;Hủy",'Lớp 6 - Chi tiết'!$AG$14:$AG$267,"&gt;0"),0),plan,'Trung tâm nhập liệu'!R241,emergent,LOWER(TRIM('Trung tâm nhập liệu'!O241))="khi phát sinh",IF(n=0,IF(emergent,"",plan),IF(child=0,IF(emergent,"",plan),IF(OR(emergent,plan=""),child,MIN(plan,child))))))</f>
        <v/>
      </c>
      <c r="W91" s="577"/>
      <c r="X91" s="577"/>
      <c r="Y91" s="585"/>
      <c r="Z91" s="586"/>
      <c r="AA91" s="577"/>
      <c r="AB91" s="572"/>
      <c r="AC91" s="420"/>
      <c r="AD91" s="584"/>
      <c r="AE91" s="584"/>
      <c r="AF91" s="587"/>
      <c r="AG91" s="588"/>
      <c r="AH91" s="587"/>
      <c r="AI91" s="589"/>
      <c r="AJ91" s="468"/>
      <c r="AK91" s="477" t="str">
        <f>IF(AM91="Chưa xếp lịch","Chưa xếp lịch",IF(AM91="Định kỳ",IF(AN91="","Thiếu chu kỳ","Theo chu kỳ"),IF(AM91="Khi phát sinh",IF(COUNTIFS('Lớp 6 - Chi tiết'!$J$14:$J$267,$I91,'Lớp 6 - Chi tiết'!$AE$14:$AE$267,"&lt;&gt;Hủy")=0,"Khi phát sinh – chờ việc con","Khi phát sinh – theo ngày con"),IF(I91="","",LET(n,COUNTIFS('Lớp 6 - Chi tiết'!$J$14:$J$267,$I91,'Lớp 6 - Chi tiết'!$AE$14:$AE$267,"&lt;&gt;Hủy"),cs,IFERROR(MINIFS('Lớp 6 - Chi tiết'!$AG$14:$AG$267,'Lớp 6 - Chi tiết'!$J$14:$J$267,$I91,'Lớp 6 - Chi tiết'!$AE$14:$AE$267,"&lt;&gt;Hủy",'Lớp 6 - Chi tiết'!$AG$14:$AG$267,"&gt;0"),0),ce,IFERROR(MAXIFS('Lớp 6 - Chi tiết'!$AH$14:$AH$267,'Lớp 6 - Chi tiết'!$J$14:$J$267,$I91,'Lớp 6 - Chi tiết'!$AE$14:$AE$267,"&lt;&gt;Hủy",'Lớp 6 - Chi tiết'!$AH$14:$AH$267,"&gt;0"),0),ps,'Trung tâm nhập liệu'!R241,pe,'Trung tâm nhập liệu'!Q241,IF(OR(AD91="",AE91=""),"Thiếu ngày L5",IF(n=0,"Chưa có L6",IF(OR(cs=0,ce=0),"Thiếu ngày L6",IF(OR(ps="",pe=""),"Thiếu ngày kế hoạch gốc L5",IF(OR(cs&lt;ps,ce&gt;pe),"Cảnh báo: Con vượt khung kế hoạch gốc","L6 đúng khung kế hoạch gốc"))))))))))</f>
        <v/>
      </c>
      <c r="AL91" s="465"/>
      <c r="AM91" s="467"/>
      <c r="AN91" s="469"/>
      <c r="AO91" s="470"/>
      <c r="AP91" s="470"/>
      <c r="AQ91" s="471"/>
      <c r="AR91" s="469"/>
      <c r="AS91" s="475"/>
      <c r="AT91" s="476"/>
      <c r="AU91" s="478"/>
      <c r="AV91" s="465"/>
      <c r="AW91" s="465"/>
      <c r="AX91" s="479"/>
    </row>
    <row r="92" ht="15.75" customHeight="1">
      <c r="A92" s="424"/>
      <c r="B92" s="572"/>
      <c r="C92" s="591"/>
      <c r="D92" s="623"/>
      <c r="E92" s="617"/>
      <c r="F92" s="575"/>
      <c r="G92" s="575"/>
      <c r="H92" s="576"/>
      <c r="I92" s="577"/>
      <c r="J92" s="577"/>
      <c r="K92" s="597"/>
      <c r="L92" s="598"/>
      <c r="M92" s="438"/>
      <c r="N92" s="597"/>
      <c r="O92" s="597"/>
      <c r="P92" s="597"/>
      <c r="Q92" s="581"/>
      <c r="R92" s="420"/>
      <c r="S92" s="582"/>
      <c r="T92" s="583"/>
      <c r="U92" s="584" t="str">
        <f>IF($I92="","",LET(n,COUNTIFS('Lớp 6 - Chi tiết'!$J$14:$J$267,$I92,'Lớp 6 - Chi tiết'!$AE$14:$AE$267,"&lt;&gt;Hủy"),child,IFERROR(MAXIFS('Lớp 6 - Chi tiết'!$AH$14:$AH$267,'Lớp 6 - Chi tiết'!$J$14:$J$267,$I92,'Lớp 6 - Chi tiết'!$AE$14:$AE$267,"&lt;&gt;Hủy",'Lớp 6 - Chi tiết'!$AH$14:$AH$267,"&gt;0"),0),plan,'Trung tâm nhập liệu'!Q242,emergent,LOWER(TRIM('Trung tâm nhập liệu'!O242))="khi phát sinh",IF(n=0,IF(emergent,"",plan),IF(child=0,IF(emergent,"",plan),IF(OR(emergent,plan=""),child,MAX(plan,child))))))</f>
        <v/>
      </c>
      <c r="V92" s="584" t="str">
        <f>IF($I92="","",LET(n,COUNTIFS('Lớp 6 - Chi tiết'!$J$14:$J$267,$I92,'Lớp 6 - Chi tiết'!$AE$14:$AE$267,"&lt;&gt;Hủy"),child,IFERROR(MINIFS('Lớp 6 - Chi tiết'!$AG$14:$AG$267,'Lớp 6 - Chi tiết'!$J$14:$J$267,$I92,'Lớp 6 - Chi tiết'!$AE$14:$AE$267,"&lt;&gt;Hủy",'Lớp 6 - Chi tiết'!$AG$14:$AG$267,"&gt;0"),0),plan,'Trung tâm nhập liệu'!R242,emergent,LOWER(TRIM('Trung tâm nhập liệu'!O242))="khi phát sinh",IF(n=0,IF(emergent,"",plan),IF(child=0,IF(emergent,"",plan),IF(OR(emergent,plan=""),child,MIN(plan,child))))))</f>
        <v/>
      </c>
      <c r="W92" s="577"/>
      <c r="X92" s="577"/>
      <c r="Y92" s="585"/>
      <c r="Z92" s="586"/>
      <c r="AA92" s="577"/>
      <c r="AB92" s="572"/>
      <c r="AC92" s="420"/>
      <c r="AD92" s="584"/>
      <c r="AE92" s="584"/>
      <c r="AF92" s="587"/>
      <c r="AG92" s="588"/>
      <c r="AH92" s="587"/>
      <c r="AI92" s="589"/>
      <c r="AJ92" s="468"/>
      <c r="AK92" s="477" t="str">
        <f>IF(AM92="Chưa xếp lịch","Chưa xếp lịch",IF(AM92="Định kỳ",IF(AN92="","Thiếu chu kỳ","Theo chu kỳ"),IF(AM92="Khi phát sinh",IF(COUNTIFS('Lớp 6 - Chi tiết'!$J$14:$J$267,$I92,'Lớp 6 - Chi tiết'!$AE$14:$AE$267,"&lt;&gt;Hủy")=0,"Khi phát sinh – chờ việc con","Khi phát sinh – theo ngày con"),IF(I92="","",LET(n,COUNTIFS('Lớp 6 - Chi tiết'!$J$14:$J$267,$I92,'Lớp 6 - Chi tiết'!$AE$14:$AE$267,"&lt;&gt;Hủy"),cs,IFERROR(MINIFS('Lớp 6 - Chi tiết'!$AG$14:$AG$267,'Lớp 6 - Chi tiết'!$J$14:$J$267,$I92,'Lớp 6 - Chi tiết'!$AE$14:$AE$267,"&lt;&gt;Hủy",'Lớp 6 - Chi tiết'!$AG$14:$AG$267,"&gt;0"),0),ce,IFERROR(MAXIFS('Lớp 6 - Chi tiết'!$AH$14:$AH$267,'Lớp 6 - Chi tiết'!$J$14:$J$267,$I92,'Lớp 6 - Chi tiết'!$AE$14:$AE$267,"&lt;&gt;Hủy",'Lớp 6 - Chi tiết'!$AH$14:$AH$267,"&gt;0"),0),ps,'Trung tâm nhập liệu'!R242,pe,'Trung tâm nhập liệu'!Q242,IF(OR(AD92="",AE92=""),"Thiếu ngày L5",IF(n=0,"Chưa có L6",IF(OR(cs=0,ce=0),"Thiếu ngày L6",IF(OR(ps="",pe=""),"Thiếu ngày kế hoạch gốc L5",IF(OR(cs&lt;ps,ce&gt;pe),"Cảnh báo: Con vượt khung kế hoạch gốc","L6 đúng khung kế hoạch gốc"))))))))))</f>
        <v/>
      </c>
      <c r="AL92" s="465"/>
      <c r="AM92" s="467"/>
      <c r="AN92" s="469"/>
      <c r="AO92" s="470"/>
      <c r="AP92" s="470"/>
      <c r="AQ92" s="471"/>
      <c r="AR92" s="469"/>
      <c r="AS92" s="475"/>
      <c r="AT92" s="476"/>
      <c r="AU92" s="478"/>
      <c r="AV92" s="465"/>
      <c r="AW92" s="465"/>
      <c r="AX92" s="479"/>
    </row>
    <row r="93" ht="15.75" customHeight="1">
      <c r="A93" s="424"/>
      <c r="B93" s="572"/>
      <c r="C93" s="591"/>
      <c r="D93" s="623"/>
      <c r="E93" s="617"/>
      <c r="F93" s="575"/>
      <c r="G93" s="575"/>
      <c r="H93" s="576"/>
      <c r="I93" s="577"/>
      <c r="J93" s="577"/>
      <c r="K93" s="597"/>
      <c r="L93" s="598"/>
      <c r="M93" s="438"/>
      <c r="N93" s="597"/>
      <c r="O93" s="597"/>
      <c r="P93" s="597"/>
      <c r="Q93" s="581"/>
      <c r="R93" s="420"/>
      <c r="S93" s="582"/>
      <c r="T93" s="583"/>
      <c r="U93" s="584" t="str">
        <f>IF($I93="","",LET(n,COUNTIFS('Lớp 6 - Chi tiết'!$J$14:$J$267,$I93,'Lớp 6 - Chi tiết'!$AE$14:$AE$267,"&lt;&gt;Hủy"),child,IFERROR(MAXIFS('Lớp 6 - Chi tiết'!$AH$14:$AH$267,'Lớp 6 - Chi tiết'!$J$14:$J$267,$I93,'Lớp 6 - Chi tiết'!$AE$14:$AE$267,"&lt;&gt;Hủy",'Lớp 6 - Chi tiết'!$AH$14:$AH$267,"&gt;0"),0),plan,'Trung tâm nhập liệu'!Q243,emergent,LOWER(TRIM('Trung tâm nhập liệu'!O243))="khi phát sinh",IF(n=0,IF(emergent,"",plan),IF(child=0,IF(emergent,"",plan),IF(OR(emergent,plan=""),child,MAX(plan,child))))))</f>
        <v/>
      </c>
      <c r="V93" s="584" t="str">
        <f>IF($I93="","",LET(n,COUNTIFS('Lớp 6 - Chi tiết'!$J$14:$J$267,$I93,'Lớp 6 - Chi tiết'!$AE$14:$AE$267,"&lt;&gt;Hủy"),child,IFERROR(MINIFS('Lớp 6 - Chi tiết'!$AG$14:$AG$267,'Lớp 6 - Chi tiết'!$J$14:$J$267,$I93,'Lớp 6 - Chi tiết'!$AE$14:$AE$267,"&lt;&gt;Hủy",'Lớp 6 - Chi tiết'!$AG$14:$AG$267,"&gt;0"),0),plan,'Trung tâm nhập liệu'!R243,emergent,LOWER(TRIM('Trung tâm nhập liệu'!O243))="khi phát sinh",IF(n=0,IF(emergent,"",plan),IF(child=0,IF(emergent,"",plan),IF(OR(emergent,plan=""),child,MIN(plan,child))))))</f>
        <v/>
      </c>
      <c r="W93" s="577"/>
      <c r="X93" s="577"/>
      <c r="Y93" s="585"/>
      <c r="Z93" s="586"/>
      <c r="AA93" s="577"/>
      <c r="AB93" s="572"/>
      <c r="AC93" s="420"/>
      <c r="AD93" s="584"/>
      <c r="AE93" s="584"/>
      <c r="AF93" s="587"/>
      <c r="AG93" s="588"/>
      <c r="AH93" s="587"/>
      <c r="AI93" s="589"/>
      <c r="AJ93" s="468"/>
      <c r="AK93" s="477" t="str">
        <f>IF(AM93="Chưa xếp lịch","Chưa xếp lịch",IF(AM93="Định kỳ",IF(AN93="","Thiếu chu kỳ","Theo chu kỳ"),IF(AM93="Khi phát sinh",IF(COUNTIFS('Lớp 6 - Chi tiết'!$J$14:$J$267,$I93,'Lớp 6 - Chi tiết'!$AE$14:$AE$267,"&lt;&gt;Hủy")=0,"Khi phát sinh – chờ việc con","Khi phát sinh – theo ngày con"),IF(I93="","",LET(n,COUNTIFS('Lớp 6 - Chi tiết'!$J$14:$J$267,$I93,'Lớp 6 - Chi tiết'!$AE$14:$AE$267,"&lt;&gt;Hủy"),cs,IFERROR(MINIFS('Lớp 6 - Chi tiết'!$AG$14:$AG$267,'Lớp 6 - Chi tiết'!$J$14:$J$267,$I93,'Lớp 6 - Chi tiết'!$AE$14:$AE$267,"&lt;&gt;Hủy",'Lớp 6 - Chi tiết'!$AG$14:$AG$267,"&gt;0"),0),ce,IFERROR(MAXIFS('Lớp 6 - Chi tiết'!$AH$14:$AH$267,'Lớp 6 - Chi tiết'!$J$14:$J$267,$I93,'Lớp 6 - Chi tiết'!$AE$14:$AE$267,"&lt;&gt;Hủy",'Lớp 6 - Chi tiết'!$AH$14:$AH$267,"&gt;0"),0),ps,'Trung tâm nhập liệu'!R243,pe,'Trung tâm nhập liệu'!Q243,IF(OR(AD93="",AE93=""),"Thiếu ngày L5",IF(n=0,"Chưa có L6",IF(OR(cs=0,ce=0),"Thiếu ngày L6",IF(OR(ps="",pe=""),"Thiếu ngày kế hoạch gốc L5",IF(OR(cs&lt;ps,ce&gt;pe),"Cảnh báo: Con vượt khung kế hoạch gốc","L6 đúng khung kế hoạch gốc"))))))))))</f>
        <v/>
      </c>
      <c r="AL93" s="465"/>
      <c r="AM93" s="467"/>
      <c r="AN93" s="469"/>
      <c r="AO93" s="470"/>
      <c r="AP93" s="470"/>
      <c r="AQ93" s="471"/>
      <c r="AR93" s="469"/>
      <c r="AS93" s="475"/>
      <c r="AT93" s="476"/>
      <c r="AU93" s="478"/>
      <c r="AV93" s="465"/>
      <c r="AW93" s="465"/>
      <c r="AX93" s="479"/>
    </row>
    <row r="94" ht="15.75" customHeight="1">
      <c r="A94" s="424"/>
      <c r="B94" s="572"/>
      <c r="C94" s="591"/>
      <c r="D94" s="623"/>
      <c r="E94" s="617"/>
      <c r="F94" s="575"/>
      <c r="G94" s="575"/>
      <c r="H94" s="576"/>
      <c r="I94" s="577"/>
      <c r="J94" s="577"/>
      <c r="K94" s="597"/>
      <c r="L94" s="598"/>
      <c r="M94" s="438"/>
      <c r="N94" s="597"/>
      <c r="O94" s="597"/>
      <c r="P94" s="597"/>
      <c r="Q94" s="581"/>
      <c r="R94" s="420"/>
      <c r="S94" s="582"/>
      <c r="T94" s="583"/>
      <c r="U94" s="584" t="str">
        <f>IF($I94="","",LET(n,COUNTIFS('Lớp 6 - Chi tiết'!$J$14:$J$267,$I94,'Lớp 6 - Chi tiết'!$AE$14:$AE$267,"&lt;&gt;Hủy"),child,IFERROR(MAXIFS('Lớp 6 - Chi tiết'!$AH$14:$AH$267,'Lớp 6 - Chi tiết'!$J$14:$J$267,$I94,'Lớp 6 - Chi tiết'!$AE$14:$AE$267,"&lt;&gt;Hủy",'Lớp 6 - Chi tiết'!$AH$14:$AH$267,"&gt;0"),0),plan,'Trung tâm nhập liệu'!Q244,emergent,LOWER(TRIM('Trung tâm nhập liệu'!O244))="khi phát sinh",IF(n=0,IF(emergent,"",plan),IF(child=0,IF(emergent,"",plan),IF(OR(emergent,plan=""),child,MAX(plan,child))))))</f>
        <v/>
      </c>
      <c r="V94" s="584" t="str">
        <f>IF($I94="","",LET(n,COUNTIFS('Lớp 6 - Chi tiết'!$J$14:$J$267,$I94,'Lớp 6 - Chi tiết'!$AE$14:$AE$267,"&lt;&gt;Hủy"),child,IFERROR(MINIFS('Lớp 6 - Chi tiết'!$AG$14:$AG$267,'Lớp 6 - Chi tiết'!$J$14:$J$267,$I94,'Lớp 6 - Chi tiết'!$AE$14:$AE$267,"&lt;&gt;Hủy",'Lớp 6 - Chi tiết'!$AG$14:$AG$267,"&gt;0"),0),plan,'Trung tâm nhập liệu'!R244,emergent,LOWER(TRIM('Trung tâm nhập liệu'!O244))="khi phát sinh",IF(n=0,IF(emergent,"",plan),IF(child=0,IF(emergent,"",plan),IF(OR(emergent,plan=""),child,MIN(plan,child))))))</f>
        <v/>
      </c>
      <c r="W94" s="577"/>
      <c r="X94" s="577"/>
      <c r="Y94" s="585"/>
      <c r="Z94" s="586"/>
      <c r="AA94" s="577"/>
      <c r="AB94" s="572"/>
      <c r="AC94" s="420"/>
      <c r="AD94" s="584"/>
      <c r="AE94" s="584"/>
      <c r="AF94" s="587"/>
      <c r="AG94" s="588"/>
      <c r="AH94" s="587"/>
      <c r="AI94" s="589"/>
      <c r="AJ94" s="468"/>
      <c r="AK94" s="477" t="str">
        <f>IF(AM94="Chưa xếp lịch","Chưa xếp lịch",IF(AM94="Định kỳ",IF(AN94="","Thiếu chu kỳ","Theo chu kỳ"),IF(AM94="Khi phát sinh",IF(COUNTIFS('Lớp 6 - Chi tiết'!$J$14:$J$267,$I94,'Lớp 6 - Chi tiết'!$AE$14:$AE$267,"&lt;&gt;Hủy")=0,"Khi phát sinh – chờ việc con","Khi phát sinh – theo ngày con"),IF(I94="","",LET(n,COUNTIFS('Lớp 6 - Chi tiết'!$J$14:$J$267,$I94,'Lớp 6 - Chi tiết'!$AE$14:$AE$267,"&lt;&gt;Hủy"),cs,IFERROR(MINIFS('Lớp 6 - Chi tiết'!$AG$14:$AG$267,'Lớp 6 - Chi tiết'!$J$14:$J$267,$I94,'Lớp 6 - Chi tiết'!$AE$14:$AE$267,"&lt;&gt;Hủy",'Lớp 6 - Chi tiết'!$AG$14:$AG$267,"&gt;0"),0),ce,IFERROR(MAXIFS('Lớp 6 - Chi tiết'!$AH$14:$AH$267,'Lớp 6 - Chi tiết'!$J$14:$J$267,$I94,'Lớp 6 - Chi tiết'!$AE$14:$AE$267,"&lt;&gt;Hủy",'Lớp 6 - Chi tiết'!$AH$14:$AH$267,"&gt;0"),0),ps,'Trung tâm nhập liệu'!R244,pe,'Trung tâm nhập liệu'!Q244,IF(OR(AD94="",AE94=""),"Thiếu ngày L5",IF(n=0,"Chưa có L6",IF(OR(cs=0,ce=0),"Thiếu ngày L6",IF(OR(ps="",pe=""),"Thiếu ngày kế hoạch gốc L5",IF(OR(cs&lt;ps,ce&gt;pe),"Cảnh báo: Con vượt khung kế hoạch gốc","L6 đúng khung kế hoạch gốc"))))))))))</f>
        <v/>
      </c>
      <c r="AL94" s="465"/>
      <c r="AM94" s="467"/>
      <c r="AN94" s="469"/>
      <c r="AO94" s="470"/>
      <c r="AP94" s="470"/>
      <c r="AQ94" s="471"/>
      <c r="AR94" s="469"/>
      <c r="AS94" s="475"/>
      <c r="AT94" s="476"/>
      <c r="AU94" s="478"/>
      <c r="AV94" s="465"/>
      <c r="AW94" s="465"/>
      <c r="AX94" s="479"/>
    </row>
    <row r="95" ht="15.75" customHeight="1">
      <c r="A95" s="424"/>
      <c r="B95" s="572"/>
      <c r="C95" s="591"/>
      <c r="D95" s="623"/>
      <c r="E95" s="617"/>
      <c r="F95" s="575"/>
      <c r="G95" s="575"/>
      <c r="H95" s="576"/>
      <c r="I95" s="577"/>
      <c r="J95" s="577"/>
      <c r="K95" s="597"/>
      <c r="L95" s="598"/>
      <c r="M95" s="438"/>
      <c r="N95" s="597"/>
      <c r="O95" s="597"/>
      <c r="P95" s="597"/>
      <c r="Q95" s="581"/>
      <c r="R95" s="420"/>
      <c r="S95" s="582"/>
      <c r="T95" s="583"/>
      <c r="U95" s="584" t="str">
        <f>IF($I95="","",LET(n,COUNTIFS('Lớp 6 - Chi tiết'!$J$14:$J$267,$I95,'Lớp 6 - Chi tiết'!$AE$14:$AE$267,"&lt;&gt;Hủy"),child,IFERROR(MAXIFS('Lớp 6 - Chi tiết'!$AH$14:$AH$267,'Lớp 6 - Chi tiết'!$J$14:$J$267,$I95,'Lớp 6 - Chi tiết'!$AE$14:$AE$267,"&lt;&gt;Hủy",'Lớp 6 - Chi tiết'!$AH$14:$AH$267,"&gt;0"),0),plan,'Trung tâm nhập liệu'!Q245,emergent,LOWER(TRIM('Trung tâm nhập liệu'!O245))="khi phát sinh",IF(n=0,IF(emergent,"",plan),IF(child=0,IF(emergent,"",plan),IF(OR(emergent,plan=""),child,MAX(plan,child))))))</f>
        <v/>
      </c>
      <c r="V95" s="584" t="str">
        <f>IF($I95="","",LET(n,COUNTIFS('Lớp 6 - Chi tiết'!$J$14:$J$267,$I95,'Lớp 6 - Chi tiết'!$AE$14:$AE$267,"&lt;&gt;Hủy"),child,IFERROR(MINIFS('Lớp 6 - Chi tiết'!$AG$14:$AG$267,'Lớp 6 - Chi tiết'!$J$14:$J$267,$I95,'Lớp 6 - Chi tiết'!$AE$14:$AE$267,"&lt;&gt;Hủy",'Lớp 6 - Chi tiết'!$AG$14:$AG$267,"&gt;0"),0),plan,'Trung tâm nhập liệu'!R245,emergent,LOWER(TRIM('Trung tâm nhập liệu'!O245))="khi phát sinh",IF(n=0,IF(emergent,"",plan),IF(child=0,IF(emergent,"",plan),IF(OR(emergent,plan=""),child,MIN(plan,child))))))</f>
        <v/>
      </c>
      <c r="W95" s="577"/>
      <c r="X95" s="577"/>
      <c r="Y95" s="585"/>
      <c r="Z95" s="586"/>
      <c r="AA95" s="577"/>
      <c r="AB95" s="572"/>
      <c r="AC95" s="420"/>
      <c r="AD95" s="584"/>
      <c r="AE95" s="584"/>
      <c r="AF95" s="587"/>
      <c r="AG95" s="588"/>
      <c r="AH95" s="587"/>
      <c r="AI95" s="589"/>
      <c r="AJ95" s="468"/>
      <c r="AK95" s="477" t="str">
        <f>IF(AM95="Chưa xếp lịch","Chưa xếp lịch",IF(AM95="Định kỳ",IF(AN95="","Thiếu chu kỳ","Theo chu kỳ"),IF(AM95="Khi phát sinh",IF(COUNTIFS('Lớp 6 - Chi tiết'!$J$14:$J$267,$I95,'Lớp 6 - Chi tiết'!$AE$14:$AE$267,"&lt;&gt;Hủy")=0,"Khi phát sinh – chờ việc con","Khi phát sinh – theo ngày con"),IF(I95="","",LET(n,COUNTIFS('Lớp 6 - Chi tiết'!$J$14:$J$267,$I95,'Lớp 6 - Chi tiết'!$AE$14:$AE$267,"&lt;&gt;Hủy"),cs,IFERROR(MINIFS('Lớp 6 - Chi tiết'!$AG$14:$AG$267,'Lớp 6 - Chi tiết'!$J$14:$J$267,$I95,'Lớp 6 - Chi tiết'!$AE$14:$AE$267,"&lt;&gt;Hủy",'Lớp 6 - Chi tiết'!$AG$14:$AG$267,"&gt;0"),0),ce,IFERROR(MAXIFS('Lớp 6 - Chi tiết'!$AH$14:$AH$267,'Lớp 6 - Chi tiết'!$J$14:$J$267,$I95,'Lớp 6 - Chi tiết'!$AE$14:$AE$267,"&lt;&gt;Hủy",'Lớp 6 - Chi tiết'!$AH$14:$AH$267,"&gt;0"),0),ps,'Trung tâm nhập liệu'!R245,pe,'Trung tâm nhập liệu'!Q245,IF(OR(AD95="",AE95=""),"Thiếu ngày L5",IF(n=0,"Chưa có L6",IF(OR(cs=0,ce=0),"Thiếu ngày L6",IF(OR(ps="",pe=""),"Thiếu ngày kế hoạch gốc L5",IF(OR(cs&lt;ps,ce&gt;pe),"Cảnh báo: Con vượt khung kế hoạch gốc","L6 đúng khung kế hoạch gốc"))))))))))</f>
        <v/>
      </c>
      <c r="AL95" s="465"/>
      <c r="AM95" s="467"/>
      <c r="AN95" s="469"/>
      <c r="AO95" s="470"/>
      <c r="AP95" s="470"/>
      <c r="AQ95" s="471"/>
      <c r="AR95" s="469"/>
      <c r="AS95" s="475"/>
      <c r="AT95" s="476"/>
      <c r="AU95" s="478"/>
      <c r="AV95" s="465"/>
      <c r="AW95" s="465"/>
      <c r="AX95" s="479"/>
    </row>
    <row r="96" ht="15.75" customHeight="1">
      <c r="A96" s="424"/>
      <c r="B96" s="572"/>
      <c r="C96" s="591"/>
      <c r="D96" s="623"/>
      <c r="E96" s="617"/>
      <c r="F96" s="575"/>
      <c r="G96" s="575"/>
      <c r="H96" s="576"/>
      <c r="I96" s="577"/>
      <c r="J96" s="577"/>
      <c r="K96" s="597"/>
      <c r="L96" s="598"/>
      <c r="M96" s="438"/>
      <c r="N96" s="597"/>
      <c r="O96" s="597"/>
      <c r="P96" s="597"/>
      <c r="Q96" s="581"/>
      <c r="R96" s="420"/>
      <c r="S96" s="582"/>
      <c r="T96" s="583"/>
      <c r="U96" s="584" t="str">
        <f>IF($I96="","",LET(n,COUNTIFS('Lớp 6 - Chi tiết'!$J$14:$J$267,$I96,'Lớp 6 - Chi tiết'!$AE$14:$AE$267,"&lt;&gt;Hủy"),child,IFERROR(MAXIFS('Lớp 6 - Chi tiết'!$AH$14:$AH$267,'Lớp 6 - Chi tiết'!$J$14:$J$267,$I96,'Lớp 6 - Chi tiết'!$AE$14:$AE$267,"&lt;&gt;Hủy",'Lớp 6 - Chi tiết'!$AH$14:$AH$267,"&gt;0"),0),plan,'Trung tâm nhập liệu'!Q246,emergent,LOWER(TRIM('Trung tâm nhập liệu'!O246))="khi phát sinh",IF(n=0,IF(emergent,"",plan),IF(child=0,IF(emergent,"",plan),IF(OR(emergent,plan=""),child,MAX(plan,child))))))</f>
        <v/>
      </c>
      <c r="V96" s="584" t="str">
        <f>IF($I96="","",LET(n,COUNTIFS('Lớp 6 - Chi tiết'!$J$14:$J$267,$I96,'Lớp 6 - Chi tiết'!$AE$14:$AE$267,"&lt;&gt;Hủy"),child,IFERROR(MINIFS('Lớp 6 - Chi tiết'!$AG$14:$AG$267,'Lớp 6 - Chi tiết'!$J$14:$J$267,$I96,'Lớp 6 - Chi tiết'!$AE$14:$AE$267,"&lt;&gt;Hủy",'Lớp 6 - Chi tiết'!$AG$14:$AG$267,"&gt;0"),0),plan,'Trung tâm nhập liệu'!R246,emergent,LOWER(TRIM('Trung tâm nhập liệu'!O246))="khi phát sinh",IF(n=0,IF(emergent,"",plan),IF(child=0,IF(emergent,"",plan),IF(OR(emergent,plan=""),child,MIN(plan,child))))))</f>
        <v/>
      </c>
      <c r="W96" s="577"/>
      <c r="X96" s="577"/>
      <c r="Y96" s="585"/>
      <c r="Z96" s="586"/>
      <c r="AA96" s="577"/>
      <c r="AB96" s="572"/>
      <c r="AC96" s="420"/>
      <c r="AD96" s="584"/>
      <c r="AE96" s="584"/>
      <c r="AF96" s="587"/>
      <c r="AG96" s="588"/>
      <c r="AH96" s="587"/>
      <c r="AI96" s="589"/>
      <c r="AJ96" s="468"/>
      <c r="AK96" s="477" t="str">
        <f>IF(AM96="Chưa xếp lịch","Chưa xếp lịch",IF(AM96="Định kỳ",IF(AN96="","Thiếu chu kỳ","Theo chu kỳ"),IF(AM96="Khi phát sinh",IF(COUNTIFS('Lớp 6 - Chi tiết'!$J$14:$J$267,$I96,'Lớp 6 - Chi tiết'!$AE$14:$AE$267,"&lt;&gt;Hủy")=0,"Khi phát sinh – chờ việc con","Khi phát sinh – theo ngày con"),IF(I96="","",LET(n,COUNTIFS('Lớp 6 - Chi tiết'!$J$14:$J$267,$I96,'Lớp 6 - Chi tiết'!$AE$14:$AE$267,"&lt;&gt;Hủy"),cs,IFERROR(MINIFS('Lớp 6 - Chi tiết'!$AG$14:$AG$267,'Lớp 6 - Chi tiết'!$J$14:$J$267,$I96,'Lớp 6 - Chi tiết'!$AE$14:$AE$267,"&lt;&gt;Hủy",'Lớp 6 - Chi tiết'!$AG$14:$AG$267,"&gt;0"),0),ce,IFERROR(MAXIFS('Lớp 6 - Chi tiết'!$AH$14:$AH$267,'Lớp 6 - Chi tiết'!$J$14:$J$267,$I96,'Lớp 6 - Chi tiết'!$AE$14:$AE$267,"&lt;&gt;Hủy",'Lớp 6 - Chi tiết'!$AH$14:$AH$267,"&gt;0"),0),ps,'Trung tâm nhập liệu'!R246,pe,'Trung tâm nhập liệu'!Q246,IF(OR(AD96="",AE96=""),"Thiếu ngày L5",IF(n=0,"Chưa có L6",IF(OR(cs=0,ce=0),"Thiếu ngày L6",IF(OR(ps="",pe=""),"Thiếu ngày kế hoạch gốc L5",IF(OR(cs&lt;ps,ce&gt;pe),"Cảnh báo: Con vượt khung kế hoạch gốc","L6 đúng khung kế hoạch gốc"))))))))))</f>
        <v/>
      </c>
      <c r="AL96" s="465"/>
      <c r="AM96" s="467"/>
      <c r="AN96" s="469"/>
      <c r="AO96" s="470"/>
      <c r="AP96" s="470"/>
      <c r="AQ96" s="471"/>
      <c r="AR96" s="469"/>
      <c r="AS96" s="475"/>
      <c r="AT96" s="476"/>
      <c r="AU96" s="478"/>
      <c r="AV96" s="465"/>
      <c r="AW96" s="465"/>
      <c r="AX96" s="479"/>
    </row>
    <row r="97" ht="15.75" customHeight="1">
      <c r="A97" s="424"/>
      <c r="B97" s="572"/>
      <c r="C97" s="591"/>
      <c r="D97" s="623"/>
      <c r="E97" s="617"/>
      <c r="F97" s="575"/>
      <c r="G97" s="575"/>
      <c r="H97" s="576"/>
      <c r="I97" s="577"/>
      <c r="J97" s="577"/>
      <c r="K97" s="597"/>
      <c r="L97" s="598"/>
      <c r="M97" s="438"/>
      <c r="N97" s="597"/>
      <c r="O97" s="597"/>
      <c r="P97" s="597"/>
      <c r="Q97" s="581"/>
      <c r="R97" s="420"/>
      <c r="S97" s="582"/>
      <c r="T97" s="583"/>
      <c r="U97" s="584" t="str">
        <f>IF($I97="","",LET(n,COUNTIFS('Lớp 6 - Chi tiết'!$J$14:$J$267,$I97,'Lớp 6 - Chi tiết'!$AE$14:$AE$267,"&lt;&gt;Hủy"),child,IFERROR(MAXIFS('Lớp 6 - Chi tiết'!$AH$14:$AH$267,'Lớp 6 - Chi tiết'!$J$14:$J$267,$I97,'Lớp 6 - Chi tiết'!$AE$14:$AE$267,"&lt;&gt;Hủy",'Lớp 6 - Chi tiết'!$AH$14:$AH$267,"&gt;0"),0),plan,'Trung tâm nhập liệu'!Q247,emergent,LOWER(TRIM('Trung tâm nhập liệu'!O247))="khi phát sinh",IF(n=0,IF(emergent,"",plan),IF(child=0,IF(emergent,"",plan),IF(OR(emergent,plan=""),child,MAX(plan,child))))))</f>
        <v/>
      </c>
      <c r="V97" s="584" t="str">
        <f>IF($I97="","",LET(n,COUNTIFS('Lớp 6 - Chi tiết'!$J$14:$J$267,$I97,'Lớp 6 - Chi tiết'!$AE$14:$AE$267,"&lt;&gt;Hủy"),child,IFERROR(MINIFS('Lớp 6 - Chi tiết'!$AG$14:$AG$267,'Lớp 6 - Chi tiết'!$J$14:$J$267,$I97,'Lớp 6 - Chi tiết'!$AE$14:$AE$267,"&lt;&gt;Hủy",'Lớp 6 - Chi tiết'!$AG$14:$AG$267,"&gt;0"),0),plan,'Trung tâm nhập liệu'!R247,emergent,LOWER(TRIM('Trung tâm nhập liệu'!O247))="khi phát sinh",IF(n=0,IF(emergent,"",plan),IF(child=0,IF(emergent,"",plan),IF(OR(emergent,plan=""),child,MIN(plan,child))))))</f>
        <v/>
      </c>
      <c r="W97" s="577"/>
      <c r="X97" s="577"/>
      <c r="Y97" s="585"/>
      <c r="Z97" s="586"/>
      <c r="AA97" s="577"/>
      <c r="AB97" s="572"/>
      <c r="AC97" s="420"/>
      <c r="AD97" s="584"/>
      <c r="AE97" s="584"/>
      <c r="AF97" s="587"/>
      <c r="AG97" s="588"/>
      <c r="AH97" s="587"/>
      <c r="AI97" s="589"/>
      <c r="AJ97" s="468"/>
      <c r="AK97" s="477" t="str">
        <f>IF(AM97="Chưa xếp lịch","Chưa xếp lịch",IF(AM97="Định kỳ",IF(AN97="","Thiếu chu kỳ","Theo chu kỳ"),IF(AM97="Khi phát sinh",IF(COUNTIFS('Lớp 6 - Chi tiết'!$J$14:$J$267,$I97,'Lớp 6 - Chi tiết'!$AE$14:$AE$267,"&lt;&gt;Hủy")=0,"Khi phát sinh – chờ việc con","Khi phát sinh – theo ngày con"),IF(I97="","",LET(n,COUNTIFS('Lớp 6 - Chi tiết'!$J$14:$J$267,$I97,'Lớp 6 - Chi tiết'!$AE$14:$AE$267,"&lt;&gt;Hủy"),cs,IFERROR(MINIFS('Lớp 6 - Chi tiết'!$AG$14:$AG$267,'Lớp 6 - Chi tiết'!$J$14:$J$267,$I97,'Lớp 6 - Chi tiết'!$AE$14:$AE$267,"&lt;&gt;Hủy",'Lớp 6 - Chi tiết'!$AG$14:$AG$267,"&gt;0"),0),ce,IFERROR(MAXIFS('Lớp 6 - Chi tiết'!$AH$14:$AH$267,'Lớp 6 - Chi tiết'!$J$14:$J$267,$I97,'Lớp 6 - Chi tiết'!$AE$14:$AE$267,"&lt;&gt;Hủy",'Lớp 6 - Chi tiết'!$AH$14:$AH$267,"&gt;0"),0),ps,'Trung tâm nhập liệu'!R247,pe,'Trung tâm nhập liệu'!Q247,IF(OR(AD97="",AE97=""),"Thiếu ngày L5",IF(n=0,"Chưa có L6",IF(OR(cs=0,ce=0),"Thiếu ngày L6",IF(OR(ps="",pe=""),"Thiếu ngày kế hoạch gốc L5",IF(OR(cs&lt;ps,ce&gt;pe),"Cảnh báo: Con vượt khung kế hoạch gốc","L6 đúng khung kế hoạch gốc"))))))))))</f>
        <v/>
      </c>
      <c r="AL97" s="465"/>
      <c r="AM97" s="467"/>
      <c r="AN97" s="469"/>
      <c r="AO97" s="470"/>
      <c r="AP97" s="470"/>
      <c r="AQ97" s="471"/>
      <c r="AR97" s="469"/>
      <c r="AS97" s="475"/>
      <c r="AT97" s="476"/>
      <c r="AU97" s="478"/>
      <c r="AV97" s="465"/>
      <c r="AW97" s="465"/>
      <c r="AX97" s="479"/>
    </row>
    <row r="98" ht="15.75" customHeight="1">
      <c r="A98" s="424"/>
      <c r="B98" s="572"/>
      <c r="C98" s="591"/>
      <c r="D98" s="623"/>
      <c r="E98" s="617"/>
      <c r="F98" s="575"/>
      <c r="G98" s="575"/>
      <c r="H98" s="576"/>
      <c r="I98" s="577"/>
      <c r="J98" s="577"/>
      <c r="K98" s="597"/>
      <c r="L98" s="598"/>
      <c r="M98" s="438"/>
      <c r="N98" s="597"/>
      <c r="O98" s="597"/>
      <c r="P98" s="597"/>
      <c r="Q98" s="581"/>
      <c r="R98" s="420"/>
      <c r="S98" s="582"/>
      <c r="T98" s="583"/>
      <c r="U98" s="584" t="str">
        <f>IF($I98="","",LET(n,COUNTIFS('Lớp 6 - Chi tiết'!$J$14:$J$267,$I98,'Lớp 6 - Chi tiết'!$AE$14:$AE$267,"&lt;&gt;Hủy"),child,IFERROR(MAXIFS('Lớp 6 - Chi tiết'!$AH$14:$AH$267,'Lớp 6 - Chi tiết'!$J$14:$J$267,$I98,'Lớp 6 - Chi tiết'!$AE$14:$AE$267,"&lt;&gt;Hủy",'Lớp 6 - Chi tiết'!$AH$14:$AH$267,"&gt;0"),0),plan,'Trung tâm nhập liệu'!Q248,emergent,LOWER(TRIM('Trung tâm nhập liệu'!O248))="khi phát sinh",IF(n=0,IF(emergent,"",plan),IF(child=0,IF(emergent,"",plan),IF(OR(emergent,plan=""),child,MAX(plan,child))))))</f>
        <v/>
      </c>
      <c r="V98" s="584" t="str">
        <f>IF($I98="","",LET(n,COUNTIFS('Lớp 6 - Chi tiết'!$J$14:$J$267,$I98,'Lớp 6 - Chi tiết'!$AE$14:$AE$267,"&lt;&gt;Hủy"),child,IFERROR(MINIFS('Lớp 6 - Chi tiết'!$AG$14:$AG$267,'Lớp 6 - Chi tiết'!$J$14:$J$267,$I98,'Lớp 6 - Chi tiết'!$AE$14:$AE$267,"&lt;&gt;Hủy",'Lớp 6 - Chi tiết'!$AG$14:$AG$267,"&gt;0"),0),plan,'Trung tâm nhập liệu'!R248,emergent,LOWER(TRIM('Trung tâm nhập liệu'!O248))="khi phát sinh",IF(n=0,IF(emergent,"",plan),IF(child=0,IF(emergent,"",plan),IF(OR(emergent,plan=""),child,MIN(plan,child))))))</f>
        <v/>
      </c>
      <c r="W98" s="577"/>
      <c r="X98" s="577"/>
      <c r="Y98" s="585"/>
      <c r="Z98" s="586"/>
      <c r="AA98" s="577"/>
      <c r="AB98" s="572"/>
      <c r="AC98" s="420"/>
      <c r="AD98" s="584"/>
      <c r="AE98" s="584"/>
      <c r="AF98" s="587"/>
      <c r="AG98" s="588"/>
      <c r="AH98" s="587"/>
      <c r="AI98" s="589"/>
      <c r="AJ98" s="468"/>
      <c r="AK98" s="477" t="str">
        <f>IF(AM98="Chưa xếp lịch","Chưa xếp lịch",IF(AM98="Định kỳ",IF(AN98="","Thiếu chu kỳ","Theo chu kỳ"),IF(AM98="Khi phát sinh",IF(COUNTIFS('Lớp 6 - Chi tiết'!$J$14:$J$267,$I98,'Lớp 6 - Chi tiết'!$AE$14:$AE$267,"&lt;&gt;Hủy")=0,"Khi phát sinh – chờ việc con","Khi phát sinh – theo ngày con"),IF(I98="","",LET(n,COUNTIFS('Lớp 6 - Chi tiết'!$J$14:$J$267,$I98,'Lớp 6 - Chi tiết'!$AE$14:$AE$267,"&lt;&gt;Hủy"),cs,IFERROR(MINIFS('Lớp 6 - Chi tiết'!$AG$14:$AG$267,'Lớp 6 - Chi tiết'!$J$14:$J$267,$I98,'Lớp 6 - Chi tiết'!$AE$14:$AE$267,"&lt;&gt;Hủy",'Lớp 6 - Chi tiết'!$AG$14:$AG$267,"&gt;0"),0),ce,IFERROR(MAXIFS('Lớp 6 - Chi tiết'!$AH$14:$AH$267,'Lớp 6 - Chi tiết'!$J$14:$J$267,$I98,'Lớp 6 - Chi tiết'!$AE$14:$AE$267,"&lt;&gt;Hủy",'Lớp 6 - Chi tiết'!$AH$14:$AH$267,"&gt;0"),0),ps,'Trung tâm nhập liệu'!R248,pe,'Trung tâm nhập liệu'!Q248,IF(OR(AD98="",AE98=""),"Thiếu ngày L5",IF(n=0,"Chưa có L6",IF(OR(cs=0,ce=0),"Thiếu ngày L6",IF(OR(ps="",pe=""),"Thiếu ngày kế hoạch gốc L5",IF(OR(cs&lt;ps,ce&gt;pe),"Cảnh báo: Con vượt khung kế hoạch gốc","L6 đúng khung kế hoạch gốc"))))))))))</f>
        <v/>
      </c>
      <c r="AL98" s="465"/>
      <c r="AM98" s="467"/>
      <c r="AN98" s="469"/>
      <c r="AO98" s="470"/>
      <c r="AP98" s="470"/>
      <c r="AQ98" s="471"/>
      <c r="AR98" s="469"/>
      <c r="AS98" s="475"/>
      <c r="AT98" s="476"/>
      <c r="AU98" s="478"/>
      <c r="AV98" s="465"/>
      <c r="AW98" s="465"/>
      <c r="AX98" s="479"/>
    </row>
    <row r="99" ht="15.75" customHeight="1">
      <c r="A99" s="424"/>
      <c r="B99" s="572"/>
      <c r="C99" s="591"/>
      <c r="D99" s="623"/>
      <c r="E99" s="617"/>
      <c r="F99" s="575"/>
      <c r="G99" s="575"/>
      <c r="H99" s="576"/>
      <c r="I99" s="577"/>
      <c r="J99" s="577"/>
      <c r="K99" s="597"/>
      <c r="L99" s="598"/>
      <c r="M99" s="438"/>
      <c r="N99" s="597"/>
      <c r="O99" s="597"/>
      <c r="P99" s="597"/>
      <c r="Q99" s="581"/>
      <c r="R99" s="420"/>
      <c r="S99" s="582"/>
      <c r="T99" s="583"/>
      <c r="U99" s="584" t="str">
        <f>IF($I99="","",LET(n,COUNTIFS('Lớp 6 - Chi tiết'!$J$14:$J$267,$I99,'Lớp 6 - Chi tiết'!$AE$14:$AE$267,"&lt;&gt;Hủy"),child,IFERROR(MAXIFS('Lớp 6 - Chi tiết'!$AH$14:$AH$267,'Lớp 6 - Chi tiết'!$J$14:$J$267,$I99,'Lớp 6 - Chi tiết'!$AE$14:$AE$267,"&lt;&gt;Hủy",'Lớp 6 - Chi tiết'!$AH$14:$AH$267,"&gt;0"),0),plan,'Trung tâm nhập liệu'!Q249,emergent,LOWER(TRIM('Trung tâm nhập liệu'!O249))="khi phát sinh",IF(n=0,IF(emergent,"",plan),IF(child=0,IF(emergent,"",plan),IF(OR(emergent,plan=""),child,MAX(plan,child))))))</f>
        <v/>
      </c>
      <c r="V99" s="584" t="str">
        <f>IF($I99="","",LET(n,COUNTIFS('Lớp 6 - Chi tiết'!$J$14:$J$267,$I99,'Lớp 6 - Chi tiết'!$AE$14:$AE$267,"&lt;&gt;Hủy"),child,IFERROR(MINIFS('Lớp 6 - Chi tiết'!$AG$14:$AG$267,'Lớp 6 - Chi tiết'!$J$14:$J$267,$I99,'Lớp 6 - Chi tiết'!$AE$14:$AE$267,"&lt;&gt;Hủy",'Lớp 6 - Chi tiết'!$AG$14:$AG$267,"&gt;0"),0),plan,'Trung tâm nhập liệu'!R249,emergent,LOWER(TRIM('Trung tâm nhập liệu'!O249))="khi phát sinh",IF(n=0,IF(emergent,"",plan),IF(child=0,IF(emergent,"",plan),IF(OR(emergent,plan=""),child,MIN(plan,child))))))</f>
        <v/>
      </c>
      <c r="W99" s="577"/>
      <c r="X99" s="577"/>
      <c r="Y99" s="585"/>
      <c r="Z99" s="586"/>
      <c r="AA99" s="577"/>
      <c r="AB99" s="572"/>
      <c r="AC99" s="420"/>
      <c r="AD99" s="584"/>
      <c r="AE99" s="584"/>
      <c r="AF99" s="587"/>
      <c r="AG99" s="588"/>
      <c r="AH99" s="587"/>
      <c r="AI99" s="589"/>
      <c r="AJ99" s="468"/>
      <c r="AK99" s="477" t="str">
        <f>IF(AM99="Chưa xếp lịch","Chưa xếp lịch",IF(AM99="Định kỳ",IF(AN99="","Thiếu chu kỳ","Theo chu kỳ"),IF(AM99="Khi phát sinh",IF(COUNTIFS('Lớp 6 - Chi tiết'!$J$14:$J$267,$I99,'Lớp 6 - Chi tiết'!$AE$14:$AE$267,"&lt;&gt;Hủy")=0,"Khi phát sinh – chờ việc con","Khi phát sinh – theo ngày con"),IF(I99="","",LET(n,COUNTIFS('Lớp 6 - Chi tiết'!$J$14:$J$267,$I99,'Lớp 6 - Chi tiết'!$AE$14:$AE$267,"&lt;&gt;Hủy"),cs,IFERROR(MINIFS('Lớp 6 - Chi tiết'!$AG$14:$AG$267,'Lớp 6 - Chi tiết'!$J$14:$J$267,$I99,'Lớp 6 - Chi tiết'!$AE$14:$AE$267,"&lt;&gt;Hủy",'Lớp 6 - Chi tiết'!$AG$14:$AG$267,"&gt;0"),0),ce,IFERROR(MAXIFS('Lớp 6 - Chi tiết'!$AH$14:$AH$267,'Lớp 6 - Chi tiết'!$J$14:$J$267,$I99,'Lớp 6 - Chi tiết'!$AE$14:$AE$267,"&lt;&gt;Hủy",'Lớp 6 - Chi tiết'!$AH$14:$AH$267,"&gt;0"),0),ps,'Trung tâm nhập liệu'!R249,pe,'Trung tâm nhập liệu'!Q249,IF(OR(AD99="",AE99=""),"Thiếu ngày L5",IF(n=0,"Chưa có L6",IF(OR(cs=0,ce=0),"Thiếu ngày L6",IF(OR(ps="",pe=""),"Thiếu ngày kế hoạch gốc L5",IF(OR(cs&lt;ps,ce&gt;pe),"Cảnh báo: Con vượt khung kế hoạch gốc","L6 đúng khung kế hoạch gốc"))))))))))</f>
        <v/>
      </c>
      <c r="AL99" s="465"/>
      <c r="AM99" s="467"/>
      <c r="AN99" s="469"/>
      <c r="AO99" s="470"/>
      <c r="AP99" s="470"/>
      <c r="AQ99" s="471"/>
      <c r="AR99" s="469"/>
      <c r="AS99" s="475"/>
      <c r="AT99" s="476"/>
      <c r="AU99" s="478"/>
      <c r="AV99" s="465"/>
      <c r="AW99" s="465"/>
      <c r="AX99" s="479"/>
    </row>
    <row r="100" ht="15.75" customHeight="1">
      <c r="A100" s="424"/>
      <c r="B100" s="572"/>
      <c r="C100" s="591"/>
      <c r="D100" s="623"/>
      <c r="E100" s="617"/>
      <c r="F100" s="575"/>
      <c r="G100" s="575"/>
      <c r="H100" s="576"/>
      <c r="I100" s="577"/>
      <c r="J100" s="577"/>
      <c r="K100" s="597"/>
      <c r="L100" s="598"/>
      <c r="M100" s="438"/>
      <c r="N100" s="597"/>
      <c r="O100" s="597"/>
      <c r="P100" s="597"/>
      <c r="Q100" s="581"/>
      <c r="R100" s="420"/>
      <c r="S100" s="582"/>
      <c r="T100" s="583"/>
      <c r="U100" s="584" t="str">
        <f>IF($I100="","",LET(n,COUNTIFS('Lớp 6 - Chi tiết'!$J$14:$J$267,$I100,'Lớp 6 - Chi tiết'!$AE$14:$AE$267,"&lt;&gt;Hủy"),child,IFERROR(MAXIFS('Lớp 6 - Chi tiết'!$AH$14:$AH$267,'Lớp 6 - Chi tiết'!$J$14:$J$267,$I100,'Lớp 6 - Chi tiết'!$AE$14:$AE$267,"&lt;&gt;Hủy",'Lớp 6 - Chi tiết'!$AH$14:$AH$267,"&gt;0"),0),plan,'Trung tâm nhập liệu'!Q250,emergent,LOWER(TRIM('Trung tâm nhập liệu'!O250))="khi phát sinh",IF(n=0,IF(emergent,"",plan),IF(child=0,IF(emergent,"",plan),IF(OR(emergent,plan=""),child,MAX(plan,child))))))</f>
        <v/>
      </c>
      <c r="V100" s="584" t="str">
        <f>IF($I100="","",LET(n,COUNTIFS('Lớp 6 - Chi tiết'!$J$14:$J$267,$I100,'Lớp 6 - Chi tiết'!$AE$14:$AE$267,"&lt;&gt;Hủy"),child,IFERROR(MINIFS('Lớp 6 - Chi tiết'!$AG$14:$AG$267,'Lớp 6 - Chi tiết'!$J$14:$J$267,$I100,'Lớp 6 - Chi tiết'!$AE$14:$AE$267,"&lt;&gt;Hủy",'Lớp 6 - Chi tiết'!$AG$14:$AG$267,"&gt;0"),0),plan,'Trung tâm nhập liệu'!R250,emergent,LOWER(TRIM('Trung tâm nhập liệu'!O250))="khi phát sinh",IF(n=0,IF(emergent,"",plan),IF(child=0,IF(emergent,"",plan),IF(OR(emergent,plan=""),child,MIN(plan,child))))))</f>
        <v/>
      </c>
      <c r="W100" s="577"/>
      <c r="X100" s="577"/>
      <c r="Y100" s="585"/>
      <c r="Z100" s="586"/>
      <c r="AA100" s="577"/>
      <c r="AB100" s="572"/>
      <c r="AC100" s="420"/>
      <c r="AD100" s="584"/>
      <c r="AE100" s="584"/>
      <c r="AF100" s="587"/>
      <c r="AG100" s="588"/>
      <c r="AH100" s="587"/>
      <c r="AI100" s="589"/>
      <c r="AJ100" s="468"/>
      <c r="AK100" s="477" t="str">
        <f>IF(AM100="Chưa xếp lịch","Chưa xếp lịch",IF(AM100="Định kỳ",IF(AN100="","Thiếu chu kỳ","Theo chu kỳ"),IF(AM100="Khi phát sinh",IF(COUNTIFS('Lớp 6 - Chi tiết'!$J$14:$J$267,$I100,'Lớp 6 - Chi tiết'!$AE$14:$AE$267,"&lt;&gt;Hủy")=0,"Khi phát sinh – chờ việc con","Khi phát sinh – theo ngày con"),IF(I100="","",LET(n,COUNTIFS('Lớp 6 - Chi tiết'!$J$14:$J$267,$I100,'Lớp 6 - Chi tiết'!$AE$14:$AE$267,"&lt;&gt;Hủy"),cs,IFERROR(MINIFS('Lớp 6 - Chi tiết'!$AG$14:$AG$267,'Lớp 6 - Chi tiết'!$J$14:$J$267,$I100,'Lớp 6 - Chi tiết'!$AE$14:$AE$267,"&lt;&gt;Hủy",'Lớp 6 - Chi tiết'!$AG$14:$AG$267,"&gt;0"),0),ce,IFERROR(MAXIFS('Lớp 6 - Chi tiết'!$AH$14:$AH$267,'Lớp 6 - Chi tiết'!$J$14:$J$267,$I100,'Lớp 6 - Chi tiết'!$AE$14:$AE$267,"&lt;&gt;Hủy",'Lớp 6 - Chi tiết'!$AH$14:$AH$267,"&gt;0"),0),ps,'Trung tâm nhập liệu'!R250,pe,'Trung tâm nhập liệu'!Q250,IF(OR(AD100="",AE100=""),"Thiếu ngày L5",IF(n=0,"Chưa có L6",IF(OR(cs=0,ce=0),"Thiếu ngày L6",IF(OR(ps="",pe=""),"Thiếu ngày kế hoạch gốc L5",IF(OR(cs&lt;ps,ce&gt;pe),"Cảnh báo: Con vượt khung kế hoạch gốc","L6 đúng khung kế hoạch gốc"))))))))))</f>
        <v/>
      </c>
      <c r="AL100" s="465"/>
      <c r="AM100" s="467"/>
      <c r="AN100" s="469"/>
      <c r="AO100" s="470"/>
      <c r="AP100" s="470"/>
      <c r="AQ100" s="471"/>
      <c r="AR100" s="469"/>
      <c r="AS100" s="475"/>
      <c r="AT100" s="476"/>
      <c r="AU100" s="478"/>
      <c r="AV100" s="465"/>
      <c r="AW100" s="465"/>
      <c r="AX100" s="479"/>
    </row>
    <row r="101" ht="15.75" customHeight="1">
      <c r="A101" s="424"/>
      <c r="B101" s="572"/>
      <c r="C101" s="591"/>
      <c r="D101" s="623"/>
      <c r="E101" s="617"/>
      <c r="F101" s="575"/>
      <c r="G101" s="575"/>
      <c r="H101" s="576"/>
      <c r="I101" s="577"/>
      <c r="J101" s="577"/>
      <c r="K101" s="597"/>
      <c r="L101" s="598"/>
      <c r="M101" s="438"/>
      <c r="N101" s="597"/>
      <c r="O101" s="597"/>
      <c r="P101" s="597"/>
      <c r="Q101" s="581"/>
      <c r="R101" s="420"/>
      <c r="S101" s="582"/>
      <c r="T101" s="583"/>
      <c r="U101" s="584" t="str">
        <f>IF($I101="","",LET(n,COUNTIFS('Lớp 6 - Chi tiết'!$J$14:$J$267,$I101,'Lớp 6 - Chi tiết'!$AE$14:$AE$267,"&lt;&gt;Hủy"),child,IFERROR(MAXIFS('Lớp 6 - Chi tiết'!$AH$14:$AH$267,'Lớp 6 - Chi tiết'!$J$14:$J$267,$I101,'Lớp 6 - Chi tiết'!$AE$14:$AE$267,"&lt;&gt;Hủy",'Lớp 6 - Chi tiết'!$AH$14:$AH$267,"&gt;0"),0),plan,'Trung tâm nhập liệu'!Q251,emergent,LOWER(TRIM('Trung tâm nhập liệu'!O251))="khi phát sinh",IF(n=0,IF(emergent,"",plan),IF(child=0,IF(emergent,"",plan),IF(OR(emergent,plan=""),child,MAX(plan,child))))))</f>
        <v/>
      </c>
      <c r="V101" s="584" t="str">
        <f>IF($I101="","",LET(n,COUNTIFS('Lớp 6 - Chi tiết'!$J$14:$J$267,$I101,'Lớp 6 - Chi tiết'!$AE$14:$AE$267,"&lt;&gt;Hủy"),child,IFERROR(MINIFS('Lớp 6 - Chi tiết'!$AG$14:$AG$267,'Lớp 6 - Chi tiết'!$J$14:$J$267,$I101,'Lớp 6 - Chi tiết'!$AE$14:$AE$267,"&lt;&gt;Hủy",'Lớp 6 - Chi tiết'!$AG$14:$AG$267,"&gt;0"),0),plan,'Trung tâm nhập liệu'!R251,emergent,LOWER(TRIM('Trung tâm nhập liệu'!O251))="khi phát sinh",IF(n=0,IF(emergent,"",plan),IF(child=0,IF(emergent,"",plan),IF(OR(emergent,plan=""),child,MIN(plan,child))))))</f>
        <v/>
      </c>
      <c r="W101" s="577"/>
      <c r="X101" s="577"/>
      <c r="Y101" s="585"/>
      <c r="Z101" s="586"/>
      <c r="AA101" s="577"/>
      <c r="AB101" s="572"/>
      <c r="AC101" s="420"/>
      <c r="AD101" s="584"/>
      <c r="AE101" s="584"/>
      <c r="AF101" s="587"/>
      <c r="AG101" s="588"/>
      <c r="AH101" s="587"/>
      <c r="AI101" s="589"/>
      <c r="AJ101" s="468"/>
      <c r="AK101" s="477" t="str">
        <f>IF(AM101="Chưa xếp lịch","Chưa xếp lịch",IF(AM101="Định kỳ",IF(AN101="","Thiếu chu kỳ","Theo chu kỳ"),IF(AM101="Khi phát sinh",IF(COUNTIFS('Lớp 6 - Chi tiết'!$J$14:$J$267,$I101,'Lớp 6 - Chi tiết'!$AE$14:$AE$267,"&lt;&gt;Hủy")=0,"Khi phát sinh – chờ việc con","Khi phát sinh – theo ngày con"),IF(I101="","",LET(n,COUNTIFS('Lớp 6 - Chi tiết'!$J$14:$J$267,$I101,'Lớp 6 - Chi tiết'!$AE$14:$AE$267,"&lt;&gt;Hủy"),cs,IFERROR(MINIFS('Lớp 6 - Chi tiết'!$AG$14:$AG$267,'Lớp 6 - Chi tiết'!$J$14:$J$267,$I101,'Lớp 6 - Chi tiết'!$AE$14:$AE$267,"&lt;&gt;Hủy",'Lớp 6 - Chi tiết'!$AG$14:$AG$267,"&gt;0"),0),ce,IFERROR(MAXIFS('Lớp 6 - Chi tiết'!$AH$14:$AH$267,'Lớp 6 - Chi tiết'!$J$14:$J$267,$I101,'Lớp 6 - Chi tiết'!$AE$14:$AE$267,"&lt;&gt;Hủy",'Lớp 6 - Chi tiết'!$AH$14:$AH$267,"&gt;0"),0),ps,'Trung tâm nhập liệu'!R251,pe,'Trung tâm nhập liệu'!Q251,IF(OR(AD101="",AE101=""),"Thiếu ngày L5",IF(n=0,"Chưa có L6",IF(OR(cs=0,ce=0),"Thiếu ngày L6",IF(OR(ps="",pe=""),"Thiếu ngày kế hoạch gốc L5",IF(OR(cs&lt;ps,ce&gt;pe),"Cảnh báo: Con vượt khung kế hoạch gốc","L6 đúng khung kế hoạch gốc"))))))))))</f>
        <v/>
      </c>
      <c r="AL101" s="465"/>
      <c r="AM101" s="467"/>
      <c r="AN101" s="469"/>
      <c r="AO101" s="470"/>
      <c r="AP101" s="470"/>
      <c r="AQ101" s="471"/>
      <c r="AR101" s="469"/>
      <c r="AS101" s="475"/>
      <c r="AT101" s="476"/>
      <c r="AU101" s="478"/>
      <c r="AV101" s="465"/>
      <c r="AW101" s="465"/>
      <c r="AX101" s="479"/>
    </row>
    <row r="102" ht="15.75" customHeight="1">
      <c r="A102" s="424"/>
      <c r="B102" s="572"/>
      <c r="C102" s="591"/>
      <c r="D102" s="623"/>
      <c r="E102" s="617"/>
      <c r="F102" s="575"/>
      <c r="G102" s="575"/>
      <c r="H102" s="576"/>
      <c r="I102" s="577"/>
      <c r="J102" s="577"/>
      <c r="K102" s="597"/>
      <c r="L102" s="598"/>
      <c r="M102" s="438"/>
      <c r="N102" s="597"/>
      <c r="O102" s="597"/>
      <c r="P102" s="597"/>
      <c r="Q102" s="581"/>
      <c r="R102" s="420"/>
      <c r="S102" s="582"/>
      <c r="T102" s="583"/>
      <c r="U102" s="584" t="str">
        <f>IF($I102="","",LET(n,COUNTIFS('Lớp 6 - Chi tiết'!$J$14:$J$267,$I102,'Lớp 6 - Chi tiết'!$AE$14:$AE$267,"&lt;&gt;Hủy"),child,IFERROR(MAXIFS('Lớp 6 - Chi tiết'!$AH$14:$AH$267,'Lớp 6 - Chi tiết'!$J$14:$J$267,$I102,'Lớp 6 - Chi tiết'!$AE$14:$AE$267,"&lt;&gt;Hủy",'Lớp 6 - Chi tiết'!$AH$14:$AH$267,"&gt;0"),0),plan,'Trung tâm nhập liệu'!Q252,emergent,LOWER(TRIM('Trung tâm nhập liệu'!O252))="khi phát sinh",IF(n=0,IF(emergent,"",plan),IF(child=0,IF(emergent,"",plan),IF(OR(emergent,plan=""),child,MAX(plan,child))))))</f>
        <v/>
      </c>
      <c r="V102" s="584" t="str">
        <f>IF($I102="","",LET(n,COUNTIFS('Lớp 6 - Chi tiết'!$J$14:$J$267,$I102,'Lớp 6 - Chi tiết'!$AE$14:$AE$267,"&lt;&gt;Hủy"),child,IFERROR(MINIFS('Lớp 6 - Chi tiết'!$AG$14:$AG$267,'Lớp 6 - Chi tiết'!$J$14:$J$267,$I102,'Lớp 6 - Chi tiết'!$AE$14:$AE$267,"&lt;&gt;Hủy",'Lớp 6 - Chi tiết'!$AG$14:$AG$267,"&gt;0"),0),plan,'Trung tâm nhập liệu'!R252,emergent,LOWER(TRIM('Trung tâm nhập liệu'!O252))="khi phát sinh",IF(n=0,IF(emergent,"",plan),IF(child=0,IF(emergent,"",plan),IF(OR(emergent,plan=""),child,MIN(plan,child))))))</f>
        <v/>
      </c>
      <c r="W102" s="577"/>
      <c r="X102" s="577"/>
      <c r="Y102" s="585"/>
      <c r="Z102" s="586"/>
      <c r="AA102" s="577"/>
      <c r="AB102" s="572"/>
      <c r="AC102" s="420"/>
      <c r="AD102" s="584"/>
      <c r="AE102" s="584"/>
      <c r="AF102" s="587"/>
      <c r="AG102" s="588"/>
      <c r="AH102" s="587"/>
      <c r="AI102" s="589"/>
      <c r="AJ102" s="468"/>
      <c r="AK102" s="477" t="str">
        <f>IF(AM102="Chưa xếp lịch","Chưa xếp lịch",IF(AM102="Định kỳ",IF(AN102="","Thiếu chu kỳ","Theo chu kỳ"),IF(AM102="Khi phát sinh",IF(COUNTIFS('Lớp 6 - Chi tiết'!$J$14:$J$267,$I102,'Lớp 6 - Chi tiết'!$AE$14:$AE$267,"&lt;&gt;Hủy")=0,"Khi phát sinh – chờ việc con","Khi phát sinh – theo ngày con"),IF(I102="","",LET(n,COUNTIFS('Lớp 6 - Chi tiết'!$J$14:$J$267,$I102,'Lớp 6 - Chi tiết'!$AE$14:$AE$267,"&lt;&gt;Hủy"),cs,IFERROR(MINIFS('Lớp 6 - Chi tiết'!$AG$14:$AG$267,'Lớp 6 - Chi tiết'!$J$14:$J$267,$I102,'Lớp 6 - Chi tiết'!$AE$14:$AE$267,"&lt;&gt;Hủy",'Lớp 6 - Chi tiết'!$AG$14:$AG$267,"&gt;0"),0),ce,IFERROR(MAXIFS('Lớp 6 - Chi tiết'!$AH$14:$AH$267,'Lớp 6 - Chi tiết'!$J$14:$J$267,$I102,'Lớp 6 - Chi tiết'!$AE$14:$AE$267,"&lt;&gt;Hủy",'Lớp 6 - Chi tiết'!$AH$14:$AH$267,"&gt;0"),0),ps,'Trung tâm nhập liệu'!R252,pe,'Trung tâm nhập liệu'!Q252,IF(OR(AD102="",AE102=""),"Thiếu ngày L5",IF(n=0,"Chưa có L6",IF(OR(cs=0,ce=0),"Thiếu ngày L6",IF(OR(ps="",pe=""),"Thiếu ngày kế hoạch gốc L5",IF(OR(cs&lt;ps,ce&gt;pe),"Cảnh báo: Con vượt khung kế hoạch gốc","L6 đúng khung kế hoạch gốc"))))))))))</f>
        <v/>
      </c>
      <c r="AL102" s="465"/>
      <c r="AM102" s="467"/>
      <c r="AN102" s="469"/>
      <c r="AO102" s="470"/>
      <c r="AP102" s="470"/>
      <c r="AQ102" s="471"/>
      <c r="AR102" s="469"/>
      <c r="AS102" s="475"/>
      <c r="AT102" s="476"/>
      <c r="AU102" s="478"/>
      <c r="AV102" s="465"/>
      <c r="AW102" s="465"/>
      <c r="AX102" s="479"/>
    </row>
    <row r="103" ht="15.75" customHeight="1">
      <c r="A103" s="424"/>
      <c r="B103" s="572"/>
      <c r="C103" s="591"/>
      <c r="D103" s="623"/>
      <c r="E103" s="617"/>
      <c r="F103" s="575"/>
      <c r="G103" s="575"/>
      <c r="H103" s="576"/>
      <c r="I103" s="577"/>
      <c r="J103" s="577"/>
      <c r="K103" s="597"/>
      <c r="L103" s="598"/>
      <c r="M103" s="438"/>
      <c r="N103" s="597"/>
      <c r="O103" s="597"/>
      <c r="P103" s="597"/>
      <c r="Q103" s="581"/>
      <c r="R103" s="420"/>
      <c r="S103" s="582"/>
      <c r="T103" s="583"/>
      <c r="U103" s="584" t="str">
        <f>IF($I103="","",LET(n,COUNTIFS('Lớp 6 - Chi tiết'!$J$14:$J$267,$I103,'Lớp 6 - Chi tiết'!$AE$14:$AE$267,"&lt;&gt;Hủy"),child,IFERROR(MAXIFS('Lớp 6 - Chi tiết'!$AH$14:$AH$267,'Lớp 6 - Chi tiết'!$J$14:$J$267,$I103,'Lớp 6 - Chi tiết'!$AE$14:$AE$267,"&lt;&gt;Hủy",'Lớp 6 - Chi tiết'!$AH$14:$AH$267,"&gt;0"),0),plan,'Trung tâm nhập liệu'!Q253,emergent,LOWER(TRIM('Trung tâm nhập liệu'!O253))="khi phát sinh",IF(n=0,IF(emergent,"",plan),IF(child=0,IF(emergent,"",plan),IF(OR(emergent,plan=""),child,MAX(plan,child))))))</f>
        <v/>
      </c>
      <c r="V103" s="584" t="str">
        <f>IF($I103="","",LET(n,COUNTIFS('Lớp 6 - Chi tiết'!$J$14:$J$267,$I103,'Lớp 6 - Chi tiết'!$AE$14:$AE$267,"&lt;&gt;Hủy"),child,IFERROR(MINIFS('Lớp 6 - Chi tiết'!$AG$14:$AG$267,'Lớp 6 - Chi tiết'!$J$14:$J$267,$I103,'Lớp 6 - Chi tiết'!$AE$14:$AE$267,"&lt;&gt;Hủy",'Lớp 6 - Chi tiết'!$AG$14:$AG$267,"&gt;0"),0),plan,'Trung tâm nhập liệu'!R253,emergent,LOWER(TRIM('Trung tâm nhập liệu'!O253))="khi phát sinh",IF(n=0,IF(emergent,"",plan),IF(child=0,IF(emergent,"",plan),IF(OR(emergent,plan=""),child,MIN(plan,child))))))</f>
        <v/>
      </c>
      <c r="W103" s="577"/>
      <c r="X103" s="577"/>
      <c r="Y103" s="585"/>
      <c r="Z103" s="586"/>
      <c r="AA103" s="577"/>
      <c r="AB103" s="572"/>
      <c r="AC103" s="420"/>
      <c r="AD103" s="584"/>
      <c r="AE103" s="584"/>
      <c r="AF103" s="587"/>
      <c r="AG103" s="588"/>
      <c r="AH103" s="587"/>
      <c r="AI103" s="589"/>
      <c r="AJ103" s="468"/>
      <c r="AK103" s="477" t="str">
        <f>IF(AM103="Chưa xếp lịch","Chưa xếp lịch",IF(AM103="Định kỳ",IF(AN103="","Thiếu chu kỳ","Theo chu kỳ"),IF(AM103="Khi phát sinh",IF(COUNTIFS('Lớp 6 - Chi tiết'!$J$14:$J$267,$I103,'Lớp 6 - Chi tiết'!$AE$14:$AE$267,"&lt;&gt;Hủy")=0,"Khi phát sinh – chờ việc con","Khi phát sinh – theo ngày con"),IF(I103="","",LET(n,COUNTIFS('Lớp 6 - Chi tiết'!$J$14:$J$267,$I103,'Lớp 6 - Chi tiết'!$AE$14:$AE$267,"&lt;&gt;Hủy"),cs,IFERROR(MINIFS('Lớp 6 - Chi tiết'!$AG$14:$AG$267,'Lớp 6 - Chi tiết'!$J$14:$J$267,$I103,'Lớp 6 - Chi tiết'!$AE$14:$AE$267,"&lt;&gt;Hủy",'Lớp 6 - Chi tiết'!$AG$14:$AG$267,"&gt;0"),0),ce,IFERROR(MAXIFS('Lớp 6 - Chi tiết'!$AH$14:$AH$267,'Lớp 6 - Chi tiết'!$J$14:$J$267,$I103,'Lớp 6 - Chi tiết'!$AE$14:$AE$267,"&lt;&gt;Hủy",'Lớp 6 - Chi tiết'!$AH$14:$AH$267,"&gt;0"),0),ps,'Trung tâm nhập liệu'!R253,pe,'Trung tâm nhập liệu'!Q253,IF(OR(AD103="",AE103=""),"Thiếu ngày L5",IF(n=0,"Chưa có L6",IF(OR(cs=0,ce=0),"Thiếu ngày L6",IF(OR(ps="",pe=""),"Thiếu ngày kế hoạch gốc L5",IF(OR(cs&lt;ps,ce&gt;pe),"Cảnh báo: Con vượt khung kế hoạch gốc","L6 đúng khung kế hoạch gốc"))))))))))</f>
        <v/>
      </c>
      <c r="AL103" s="465"/>
      <c r="AM103" s="467"/>
      <c r="AN103" s="469"/>
      <c r="AO103" s="470"/>
      <c r="AP103" s="470"/>
      <c r="AQ103" s="471"/>
      <c r="AR103" s="469"/>
      <c r="AS103" s="475"/>
      <c r="AT103" s="476"/>
      <c r="AU103" s="478"/>
      <c r="AV103" s="465"/>
      <c r="AW103" s="465"/>
      <c r="AX103" s="479"/>
    </row>
    <row r="104" ht="15.75" customHeight="1">
      <c r="A104" s="424"/>
      <c r="B104" s="572"/>
      <c r="C104" s="591"/>
      <c r="D104" s="623"/>
      <c r="E104" s="617"/>
      <c r="F104" s="575"/>
      <c r="G104" s="575"/>
      <c r="H104" s="576"/>
      <c r="I104" s="577"/>
      <c r="J104" s="577"/>
      <c r="K104" s="597"/>
      <c r="L104" s="598"/>
      <c r="M104" s="438"/>
      <c r="N104" s="597"/>
      <c r="O104" s="597"/>
      <c r="P104" s="597"/>
      <c r="Q104" s="581"/>
      <c r="R104" s="420"/>
      <c r="S104" s="582"/>
      <c r="T104" s="583"/>
      <c r="U104" s="584" t="str">
        <f>IF($I104="","",LET(n,COUNTIFS('Lớp 6 - Chi tiết'!$J$14:$J$267,$I104,'Lớp 6 - Chi tiết'!$AE$14:$AE$267,"&lt;&gt;Hủy"),child,IFERROR(MAXIFS('Lớp 6 - Chi tiết'!$AH$14:$AH$267,'Lớp 6 - Chi tiết'!$J$14:$J$267,$I104,'Lớp 6 - Chi tiết'!$AE$14:$AE$267,"&lt;&gt;Hủy",'Lớp 6 - Chi tiết'!$AH$14:$AH$267,"&gt;0"),0),plan,'Trung tâm nhập liệu'!Q254,emergent,LOWER(TRIM('Trung tâm nhập liệu'!O254))="khi phát sinh",IF(n=0,IF(emergent,"",plan),IF(child=0,IF(emergent,"",plan),IF(OR(emergent,plan=""),child,MAX(plan,child))))))</f>
        <v/>
      </c>
      <c r="V104" s="584" t="str">
        <f>IF($I104="","",LET(n,COUNTIFS('Lớp 6 - Chi tiết'!$J$14:$J$267,$I104,'Lớp 6 - Chi tiết'!$AE$14:$AE$267,"&lt;&gt;Hủy"),child,IFERROR(MINIFS('Lớp 6 - Chi tiết'!$AG$14:$AG$267,'Lớp 6 - Chi tiết'!$J$14:$J$267,$I104,'Lớp 6 - Chi tiết'!$AE$14:$AE$267,"&lt;&gt;Hủy",'Lớp 6 - Chi tiết'!$AG$14:$AG$267,"&gt;0"),0),plan,'Trung tâm nhập liệu'!R254,emergent,LOWER(TRIM('Trung tâm nhập liệu'!O254))="khi phát sinh",IF(n=0,IF(emergent,"",plan),IF(child=0,IF(emergent,"",plan),IF(OR(emergent,plan=""),child,MIN(plan,child))))))</f>
        <v/>
      </c>
      <c r="W104" s="577"/>
      <c r="X104" s="577"/>
      <c r="Y104" s="585"/>
      <c r="Z104" s="586"/>
      <c r="AA104" s="577"/>
      <c r="AB104" s="572"/>
      <c r="AC104" s="420"/>
      <c r="AD104" s="584"/>
      <c r="AE104" s="584"/>
      <c r="AF104" s="587"/>
      <c r="AG104" s="588"/>
      <c r="AH104" s="587"/>
      <c r="AI104" s="589"/>
      <c r="AJ104" s="468"/>
      <c r="AK104" s="477" t="str">
        <f>IF(AM104="Chưa xếp lịch","Chưa xếp lịch",IF(AM104="Định kỳ",IF(AN104="","Thiếu chu kỳ","Theo chu kỳ"),IF(AM104="Khi phát sinh",IF(COUNTIFS('Lớp 6 - Chi tiết'!$J$14:$J$267,$I104,'Lớp 6 - Chi tiết'!$AE$14:$AE$267,"&lt;&gt;Hủy")=0,"Khi phát sinh – chờ việc con","Khi phát sinh – theo ngày con"),IF(I104="","",LET(n,COUNTIFS('Lớp 6 - Chi tiết'!$J$14:$J$267,$I104,'Lớp 6 - Chi tiết'!$AE$14:$AE$267,"&lt;&gt;Hủy"),cs,IFERROR(MINIFS('Lớp 6 - Chi tiết'!$AG$14:$AG$267,'Lớp 6 - Chi tiết'!$J$14:$J$267,$I104,'Lớp 6 - Chi tiết'!$AE$14:$AE$267,"&lt;&gt;Hủy",'Lớp 6 - Chi tiết'!$AG$14:$AG$267,"&gt;0"),0),ce,IFERROR(MAXIFS('Lớp 6 - Chi tiết'!$AH$14:$AH$267,'Lớp 6 - Chi tiết'!$J$14:$J$267,$I104,'Lớp 6 - Chi tiết'!$AE$14:$AE$267,"&lt;&gt;Hủy",'Lớp 6 - Chi tiết'!$AH$14:$AH$267,"&gt;0"),0),ps,'Trung tâm nhập liệu'!R254,pe,'Trung tâm nhập liệu'!Q254,IF(OR(AD104="",AE104=""),"Thiếu ngày L5",IF(n=0,"Chưa có L6",IF(OR(cs=0,ce=0),"Thiếu ngày L6",IF(OR(ps="",pe=""),"Thiếu ngày kế hoạch gốc L5",IF(OR(cs&lt;ps,ce&gt;pe),"Cảnh báo: Con vượt khung kế hoạch gốc","L6 đúng khung kế hoạch gốc"))))))))))</f>
        <v/>
      </c>
      <c r="AL104" s="465"/>
      <c r="AM104" s="467"/>
      <c r="AN104" s="469"/>
      <c r="AO104" s="470"/>
      <c r="AP104" s="470"/>
      <c r="AQ104" s="471"/>
      <c r="AR104" s="469"/>
      <c r="AS104" s="475"/>
      <c r="AT104" s="476"/>
      <c r="AU104" s="478"/>
      <c r="AV104" s="465"/>
      <c r="AW104" s="465"/>
      <c r="AX104" s="479"/>
    </row>
    <row r="105" ht="15.75" customHeight="1">
      <c r="A105" s="424"/>
      <c r="B105" s="572"/>
      <c r="C105" s="591"/>
      <c r="D105" s="623"/>
      <c r="E105" s="617"/>
      <c r="F105" s="575"/>
      <c r="G105" s="575"/>
      <c r="H105" s="576"/>
      <c r="I105" s="577"/>
      <c r="J105" s="577"/>
      <c r="K105" s="597"/>
      <c r="L105" s="598"/>
      <c r="M105" s="438"/>
      <c r="N105" s="597"/>
      <c r="O105" s="597"/>
      <c r="P105" s="597"/>
      <c r="Q105" s="581"/>
      <c r="R105" s="420"/>
      <c r="S105" s="582"/>
      <c r="T105" s="583"/>
      <c r="U105" s="584" t="str">
        <f>IF($I105="","",LET(n,COUNTIFS('Lớp 6 - Chi tiết'!$J$14:$J$267,$I105,'Lớp 6 - Chi tiết'!$AE$14:$AE$267,"&lt;&gt;Hủy"),child,IFERROR(MAXIFS('Lớp 6 - Chi tiết'!$AH$14:$AH$267,'Lớp 6 - Chi tiết'!$J$14:$J$267,$I105,'Lớp 6 - Chi tiết'!$AE$14:$AE$267,"&lt;&gt;Hủy",'Lớp 6 - Chi tiết'!$AH$14:$AH$267,"&gt;0"),0),plan,'Trung tâm nhập liệu'!Q255,emergent,LOWER(TRIM('Trung tâm nhập liệu'!O255))="khi phát sinh",IF(n=0,IF(emergent,"",plan),IF(child=0,IF(emergent,"",plan),IF(OR(emergent,plan=""),child,MAX(plan,child))))))</f>
        <v/>
      </c>
      <c r="V105" s="584" t="str">
        <f>IF($I105="","",LET(n,COUNTIFS('Lớp 6 - Chi tiết'!$J$14:$J$267,$I105,'Lớp 6 - Chi tiết'!$AE$14:$AE$267,"&lt;&gt;Hủy"),child,IFERROR(MINIFS('Lớp 6 - Chi tiết'!$AG$14:$AG$267,'Lớp 6 - Chi tiết'!$J$14:$J$267,$I105,'Lớp 6 - Chi tiết'!$AE$14:$AE$267,"&lt;&gt;Hủy",'Lớp 6 - Chi tiết'!$AG$14:$AG$267,"&gt;0"),0),plan,'Trung tâm nhập liệu'!R255,emergent,LOWER(TRIM('Trung tâm nhập liệu'!O255))="khi phát sinh",IF(n=0,IF(emergent,"",plan),IF(child=0,IF(emergent,"",plan),IF(OR(emergent,plan=""),child,MIN(plan,child))))))</f>
        <v/>
      </c>
      <c r="W105" s="577"/>
      <c r="X105" s="577"/>
      <c r="Y105" s="585"/>
      <c r="Z105" s="586"/>
      <c r="AA105" s="577"/>
      <c r="AB105" s="572"/>
      <c r="AC105" s="420"/>
      <c r="AD105" s="584"/>
      <c r="AE105" s="584"/>
      <c r="AF105" s="587"/>
      <c r="AG105" s="588"/>
      <c r="AH105" s="587"/>
      <c r="AI105" s="589"/>
      <c r="AJ105" s="468"/>
      <c r="AK105" s="477" t="str">
        <f>IF(AM105="Chưa xếp lịch","Chưa xếp lịch",IF(AM105="Định kỳ",IF(AN105="","Thiếu chu kỳ","Theo chu kỳ"),IF(AM105="Khi phát sinh",IF(COUNTIFS('Lớp 6 - Chi tiết'!$J$14:$J$267,$I105,'Lớp 6 - Chi tiết'!$AE$14:$AE$267,"&lt;&gt;Hủy")=0,"Khi phát sinh – chờ việc con","Khi phát sinh – theo ngày con"),IF(I105="","",LET(n,COUNTIFS('Lớp 6 - Chi tiết'!$J$14:$J$267,$I105,'Lớp 6 - Chi tiết'!$AE$14:$AE$267,"&lt;&gt;Hủy"),cs,IFERROR(MINIFS('Lớp 6 - Chi tiết'!$AG$14:$AG$267,'Lớp 6 - Chi tiết'!$J$14:$J$267,$I105,'Lớp 6 - Chi tiết'!$AE$14:$AE$267,"&lt;&gt;Hủy",'Lớp 6 - Chi tiết'!$AG$14:$AG$267,"&gt;0"),0),ce,IFERROR(MAXIFS('Lớp 6 - Chi tiết'!$AH$14:$AH$267,'Lớp 6 - Chi tiết'!$J$14:$J$267,$I105,'Lớp 6 - Chi tiết'!$AE$14:$AE$267,"&lt;&gt;Hủy",'Lớp 6 - Chi tiết'!$AH$14:$AH$267,"&gt;0"),0),ps,'Trung tâm nhập liệu'!R255,pe,'Trung tâm nhập liệu'!Q255,IF(OR(AD105="",AE105=""),"Thiếu ngày L5",IF(n=0,"Chưa có L6",IF(OR(cs=0,ce=0),"Thiếu ngày L6",IF(OR(ps="",pe=""),"Thiếu ngày kế hoạch gốc L5",IF(OR(cs&lt;ps,ce&gt;pe),"Cảnh báo: Con vượt khung kế hoạch gốc","L6 đúng khung kế hoạch gốc"))))))))))</f>
        <v/>
      </c>
      <c r="AL105" s="465"/>
      <c r="AM105" s="467"/>
      <c r="AN105" s="469"/>
      <c r="AO105" s="470"/>
      <c r="AP105" s="470"/>
      <c r="AQ105" s="471"/>
      <c r="AR105" s="469"/>
      <c r="AS105" s="475"/>
      <c r="AT105" s="476"/>
      <c r="AU105" s="478"/>
      <c r="AV105" s="465"/>
      <c r="AW105" s="465"/>
      <c r="AX105" s="479"/>
    </row>
    <row r="106" ht="15.75" customHeight="1">
      <c r="A106" s="424"/>
      <c r="B106" s="572"/>
      <c r="C106" s="591"/>
      <c r="D106" s="623"/>
      <c r="E106" s="617"/>
      <c r="F106" s="575"/>
      <c r="G106" s="575"/>
      <c r="H106" s="576"/>
      <c r="I106" s="577"/>
      <c r="J106" s="577"/>
      <c r="K106" s="597"/>
      <c r="L106" s="598"/>
      <c r="M106" s="438"/>
      <c r="N106" s="597"/>
      <c r="O106" s="597"/>
      <c r="P106" s="597"/>
      <c r="Q106" s="581"/>
      <c r="R106" s="420"/>
      <c r="S106" s="582"/>
      <c r="T106" s="583"/>
      <c r="U106" s="584" t="str">
        <f>IF($I106="","",LET(n,COUNTIFS('Lớp 6 - Chi tiết'!$J$14:$J$267,$I106,'Lớp 6 - Chi tiết'!$AE$14:$AE$267,"&lt;&gt;Hủy"),child,IFERROR(MAXIFS('Lớp 6 - Chi tiết'!$AH$14:$AH$267,'Lớp 6 - Chi tiết'!$J$14:$J$267,$I106,'Lớp 6 - Chi tiết'!$AE$14:$AE$267,"&lt;&gt;Hủy",'Lớp 6 - Chi tiết'!$AH$14:$AH$267,"&gt;0"),0),plan,'Trung tâm nhập liệu'!Q256,emergent,LOWER(TRIM('Trung tâm nhập liệu'!O256))="khi phát sinh",IF(n=0,IF(emergent,"",plan),IF(child=0,IF(emergent,"",plan),IF(OR(emergent,plan=""),child,MAX(plan,child))))))</f>
        <v/>
      </c>
      <c r="V106" s="584" t="str">
        <f>IF($I106="","",LET(n,COUNTIFS('Lớp 6 - Chi tiết'!$J$14:$J$267,$I106,'Lớp 6 - Chi tiết'!$AE$14:$AE$267,"&lt;&gt;Hủy"),child,IFERROR(MINIFS('Lớp 6 - Chi tiết'!$AG$14:$AG$267,'Lớp 6 - Chi tiết'!$J$14:$J$267,$I106,'Lớp 6 - Chi tiết'!$AE$14:$AE$267,"&lt;&gt;Hủy",'Lớp 6 - Chi tiết'!$AG$14:$AG$267,"&gt;0"),0),plan,'Trung tâm nhập liệu'!R256,emergent,LOWER(TRIM('Trung tâm nhập liệu'!O256))="khi phát sinh",IF(n=0,IF(emergent,"",plan),IF(child=0,IF(emergent,"",plan),IF(OR(emergent,plan=""),child,MIN(plan,child))))))</f>
        <v/>
      </c>
      <c r="W106" s="577"/>
      <c r="X106" s="577"/>
      <c r="Y106" s="585"/>
      <c r="Z106" s="586"/>
      <c r="AA106" s="577"/>
      <c r="AB106" s="572"/>
      <c r="AC106" s="420"/>
      <c r="AD106" s="584"/>
      <c r="AE106" s="584"/>
      <c r="AF106" s="587"/>
      <c r="AG106" s="588"/>
      <c r="AH106" s="587"/>
      <c r="AI106" s="589"/>
      <c r="AJ106" s="468"/>
      <c r="AK106" s="477" t="str">
        <f>IF(AM106="Chưa xếp lịch","Chưa xếp lịch",IF(AM106="Định kỳ",IF(AN106="","Thiếu chu kỳ","Theo chu kỳ"),IF(AM106="Khi phát sinh",IF(COUNTIFS('Lớp 6 - Chi tiết'!$J$14:$J$267,$I106,'Lớp 6 - Chi tiết'!$AE$14:$AE$267,"&lt;&gt;Hủy")=0,"Khi phát sinh – chờ việc con","Khi phát sinh – theo ngày con"),IF(I106="","",LET(n,COUNTIFS('Lớp 6 - Chi tiết'!$J$14:$J$267,$I106,'Lớp 6 - Chi tiết'!$AE$14:$AE$267,"&lt;&gt;Hủy"),cs,IFERROR(MINIFS('Lớp 6 - Chi tiết'!$AG$14:$AG$267,'Lớp 6 - Chi tiết'!$J$14:$J$267,$I106,'Lớp 6 - Chi tiết'!$AE$14:$AE$267,"&lt;&gt;Hủy",'Lớp 6 - Chi tiết'!$AG$14:$AG$267,"&gt;0"),0),ce,IFERROR(MAXIFS('Lớp 6 - Chi tiết'!$AH$14:$AH$267,'Lớp 6 - Chi tiết'!$J$14:$J$267,$I106,'Lớp 6 - Chi tiết'!$AE$14:$AE$267,"&lt;&gt;Hủy",'Lớp 6 - Chi tiết'!$AH$14:$AH$267,"&gt;0"),0),ps,'Trung tâm nhập liệu'!R256,pe,'Trung tâm nhập liệu'!Q256,IF(OR(AD106="",AE106=""),"Thiếu ngày L5",IF(n=0,"Chưa có L6",IF(OR(cs=0,ce=0),"Thiếu ngày L6",IF(OR(ps="",pe=""),"Thiếu ngày kế hoạch gốc L5",IF(OR(cs&lt;ps,ce&gt;pe),"Cảnh báo: Con vượt khung kế hoạch gốc","L6 đúng khung kế hoạch gốc"))))))))))</f>
        <v/>
      </c>
      <c r="AL106" s="465"/>
      <c r="AM106" s="467"/>
      <c r="AN106" s="469"/>
      <c r="AO106" s="470"/>
      <c r="AP106" s="470"/>
      <c r="AQ106" s="471"/>
      <c r="AR106" s="469"/>
      <c r="AS106" s="475"/>
      <c r="AT106" s="476"/>
      <c r="AU106" s="478"/>
      <c r="AV106" s="465"/>
      <c r="AW106" s="465"/>
      <c r="AX106" s="479"/>
    </row>
    <row r="107" ht="15.75" customHeight="1">
      <c r="A107" s="424"/>
      <c r="B107" s="572"/>
      <c r="C107" s="591"/>
      <c r="D107" s="623"/>
      <c r="E107" s="617"/>
      <c r="F107" s="575"/>
      <c r="G107" s="575"/>
      <c r="H107" s="576"/>
      <c r="I107" s="577"/>
      <c r="J107" s="577"/>
      <c r="K107" s="597"/>
      <c r="L107" s="598"/>
      <c r="M107" s="438"/>
      <c r="N107" s="597"/>
      <c r="O107" s="597"/>
      <c r="P107" s="597"/>
      <c r="Q107" s="581"/>
      <c r="R107" s="420"/>
      <c r="S107" s="582"/>
      <c r="T107" s="583"/>
      <c r="U107" s="584" t="str">
        <f>IF($I107="","",LET(n,COUNTIFS('Lớp 6 - Chi tiết'!$J$14:$J$267,$I107,'Lớp 6 - Chi tiết'!$AE$14:$AE$267,"&lt;&gt;Hủy"),child,IFERROR(MAXIFS('Lớp 6 - Chi tiết'!$AH$14:$AH$267,'Lớp 6 - Chi tiết'!$J$14:$J$267,$I107,'Lớp 6 - Chi tiết'!$AE$14:$AE$267,"&lt;&gt;Hủy",'Lớp 6 - Chi tiết'!$AH$14:$AH$267,"&gt;0"),0),plan,'Trung tâm nhập liệu'!Q257,emergent,LOWER(TRIM('Trung tâm nhập liệu'!O257))="khi phát sinh",IF(n=0,IF(emergent,"",plan),IF(child=0,IF(emergent,"",plan),IF(OR(emergent,plan=""),child,MAX(plan,child))))))</f>
        <v/>
      </c>
      <c r="V107" s="584" t="str">
        <f>IF($I107="","",LET(n,COUNTIFS('Lớp 6 - Chi tiết'!$J$14:$J$267,$I107,'Lớp 6 - Chi tiết'!$AE$14:$AE$267,"&lt;&gt;Hủy"),child,IFERROR(MINIFS('Lớp 6 - Chi tiết'!$AG$14:$AG$267,'Lớp 6 - Chi tiết'!$J$14:$J$267,$I107,'Lớp 6 - Chi tiết'!$AE$14:$AE$267,"&lt;&gt;Hủy",'Lớp 6 - Chi tiết'!$AG$14:$AG$267,"&gt;0"),0),plan,'Trung tâm nhập liệu'!R257,emergent,LOWER(TRIM('Trung tâm nhập liệu'!O257))="khi phát sinh",IF(n=0,IF(emergent,"",plan),IF(child=0,IF(emergent,"",plan),IF(OR(emergent,plan=""),child,MIN(plan,child))))))</f>
        <v/>
      </c>
      <c r="W107" s="577"/>
      <c r="X107" s="577"/>
      <c r="Y107" s="585"/>
      <c r="Z107" s="586"/>
      <c r="AA107" s="577"/>
      <c r="AB107" s="572"/>
      <c r="AC107" s="420"/>
      <c r="AD107" s="584"/>
      <c r="AE107" s="584"/>
      <c r="AF107" s="587"/>
      <c r="AG107" s="588"/>
      <c r="AH107" s="587"/>
      <c r="AI107" s="589"/>
      <c r="AJ107" s="468"/>
      <c r="AK107" s="477" t="str">
        <f>IF(AM107="Chưa xếp lịch","Chưa xếp lịch",IF(AM107="Định kỳ",IF(AN107="","Thiếu chu kỳ","Theo chu kỳ"),IF(AM107="Khi phát sinh",IF(COUNTIFS('Lớp 6 - Chi tiết'!$J$14:$J$267,$I107,'Lớp 6 - Chi tiết'!$AE$14:$AE$267,"&lt;&gt;Hủy")=0,"Khi phát sinh – chờ việc con","Khi phát sinh – theo ngày con"),IF(I107="","",LET(n,COUNTIFS('Lớp 6 - Chi tiết'!$J$14:$J$267,$I107,'Lớp 6 - Chi tiết'!$AE$14:$AE$267,"&lt;&gt;Hủy"),cs,IFERROR(MINIFS('Lớp 6 - Chi tiết'!$AG$14:$AG$267,'Lớp 6 - Chi tiết'!$J$14:$J$267,$I107,'Lớp 6 - Chi tiết'!$AE$14:$AE$267,"&lt;&gt;Hủy",'Lớp 6 - Chi tiết'!$AG$14:$AG$267,"&gt;0"),0),ce,IFERROR(MAXIFS('Lớp 6 - Chi tiết'!$AH$14:$AH$267,'Lớp 6 - Chi tiết'!$J$14:$J$267,$I107,'Lớp 6 - Chi tiết'!$AE$14:$AE$267,"&lt;&gt;Hủy",'Lớp 6 - Chi tiết'!$AH$14:$AH$267,"&gt;0"),0),ps,'Trung tâm nhập liệu'!R257,pe,'Trung tâm nhập liệu'!Q257,IF(OR(AD107="",AE107=""),"Thiếu ngày L5",IF(n=0,"Chưa có L6",IF(OR(cs=0,ce=0),"Thiếu ngày L6",IF(OR(ps="",pe=""),"Thiếu ngày kế hoạch gốc L5",IF(OR(cs&lt;ps,ce&gt;pe),"Cảnh báo: Con vượt khung kế hoạch gốc","L6 đúng khung kế hoạch gốc"))))))))))</f>
        <v/>
      </c>
      <c r="AL107" s="465"/>
      <c r="AM107" s="467"/>
      <c r="AN107" s="469"/>
      <c r="AO107" s="470"/>
      <c r="AP107" s="470"/>
      <c r="AQ107" s="471"/>
      <c r="AR107" s="469"/>
      <c r="AS107" s="475"/>
      <c r="AT107" s="476"/>
      <c r="AU107" s="478"/>
      <c r="AV107" s="465"/>
      <c r="AW107" s="465"/>
      <c r="AX107" s="479"/>
    </row>
    <row r="108" ht="15.75" customHeight="1">
      <c r="A108" s="424"/>
      <c r="B108" s="572"/>
      <c r="C108" s="591"/>
      <c r="D108" s="623"/>
      <c r="E108" s="617"/>
      <c r="F108" s="575"/>
      <c r="G108" s="575"/>
      <c r="H108" s="576"/>
      <c r="I108" s="577"/>
      <c r="J108" s="577"/>
      <c r="K108" s="597"/>
      <c r="L108" s="598"/>
      <c r="M108" s="438"/>
      <c r="N108" s="597"/>
      <c r="O108" s="597"/>
      <c r="P108" s="597"/>
      <c r="Q108" s="581"/>
      <c r="R108" s="420"/>
      <c r="S108" s="582"/>
      <c r="T108" s="583"/>
      <c r="U108" s="584" t="str">
        <f>IF($I108="","",LET(n,COUNTIFS('Lớp 6 - Chi tiết'!$J$14:$J$267,$I108,'Lớp 6 - Chi tiết'!$AE$14:$AE$267,"&lt;&gt;Hủy"),child,IFERROR(MAXIFS('Lớp 6 - Chi tiết'!$AH$14:$AH$267,'Lớp 6 - Chi tiết'!$J$14:$J$267,$I108,'Lớp 6 - Chi tiết'!$AE$14:$AE$267,"&lt;&gt;Hủy",'Lớp 6 - Chi tiết'!$AH$14:$AH$267,"&gt;0"),0),plan,'Trung tâm nhập liệu'!Q258,emergent,LOWER(TRIM('Trung tâm nhập liệu'!O258))="khi phát sinh",IF(n=0,IF(emergent,"",plan),IF(child=0,IF(emergent,"",plan),IF(OR(emergent,plan=""),child,MAX(plan,child))))))</f>
        <v/>
      </c>
      <c r="V108" s="584" t="str">
        <f>IF($I108="","",LET(n,COUNTIFS('Lớp 6 - Chi tiết'!$J$14:$J$267,$I108,'Lớp 6 - Chi tiết'!$AE$14:$AE$267,"&lt;&gt;Hủy"),child,IFERROR(MINIFS('Lớp 6 - Chi tiết'!$AG$14:$AG$267,'Lớp 6 - Chi tiết'!$J$14:$J$267,$I108,'Lớp 6 - Chi tiết'!$AE$14:$AE$267,"&lt;&gt;Hủy",'Lớp 6 - Chi tiết'!$AG$14:$AG$267,"&gt;0"),0),plan,'Trung tâm nhập liệu'!R258,emergent,LOWER(TRIM('Trung tâm nhập liệu'!O258))="khi phát sinh",IF(n=0,IF(emergent,"",plan),IF(child=0,IF(emergent,"",plan),IF(OR(emergent,plan=""),child,MIN(plan,child))))))</f>
        <v/>
      </c>
      <c r="W108" s="577"/>
      <c r="X108" s="577"/>
      <c r="Y108" s="585"/>
      <c r="Z108" s="586"/>
      <c r="AA108" s="577"/>
      <c r="AB108" s="572"/>
      <c r="AC108" s="420"/>
      <c r="AD108" s="584"/>
      <c r="AE108" s="584"/>
      <c r="AF108" s="587"/>
      <c r="AG108" s="588"/>
      <c r="AH108" s="587"/>
      <c r="AI108" s="589"/>
      <c r="AJ108" s="468"/>
      <c r="AK108" s="477" t="str">
        <f>IF(AM108="Chưa xếp lịch","Chưa xếp lịch",IF(AM108="Định kỳ",IF(AN108="","Thiếu chu kỳ","Theo chu kỳ"),IF(AM108="Khi phát sinh",IF(COUNTIFS('Lớp 6 - Chi tiết'!$J$14:$J$267,$I108,'Lớp 6 - Chi tiết'!$AE$14:$AE$267,"&lt;&gt;Hủy")=0,"Khi phát sinh – chờ việc con","Khi phát sinh – theo ngày con"),IF(I108="","",LET(n,COUNTIFS('Lớp 6 - Chi tiết'!$J$14:$J$267,$I108,'Lớp 6 - Chi tiết'!$AE$14:$AE$267,"&lt;&gt;Hủy"),cs,IFERROR(MINIFS('Lớp 6 - Chi tiết'!$AG$14:$AG$267,'Lớp 6 - Chi tiết'!$J$14:$J$267,$I108,'Lớp 6 - Chi tiết'!$AE$14:$AE$267,"&lt;&gt;Hủy",'Lớp 6 - Chi tiết'!$AG$14:$AG$267,"&gt;0"),0),ce,IFERROR(MAXIFS('Lớp 6 - Chi tiết'!$AH$14:$AH$267,'Lớp 6 - Chi tiết'!$J$14:$J$267,$I108,'Lớp 6 - Chi tiết'!$AE$14:$AE$267,"&lt;&gt;Hủy",'Lớp 6 - Chi tiết'!$AH$14:$AH$267,"&gt;0"),0),ps,'Trung tâm nhập liệu'!R258,pe,'Trung tâm nhập liệu'!Q258,IF(OR(AD108="",AE108=""),"Thiếu ngày L5",IF(n=0,"Chưa có L6",IF(OR(cs=0,ce=0),"Thiếu ngày L6",IF(OR(ps="",pe=""),"Thiếu ngày kế hoạch gốc L5",IF(OR(cs&lt;ps,ce&gt;pe),"Cảnh báo: Con vượt khung kế hoạch gốc","L6 đúng khung kế hoạch gốc"))))))))))</f>
        <v/>
      </c>
      <c r="AL108" s="465"/>
      <c r="AM108" s="467"/>
      <c r="AN108" s="469"/>
      <c r="AO108" s="470"/>
      <c r="AP108" s="470"/>
      <c r="AQ108" s="471"/>
      <c r="AR108" s="469"/>
      <c r="AS108" s="475"/>
      <c r="AT108" s="476"/>
      <c r="AU108" s="478"/>
      <c r="AV108" s="465"/>
      <c r="AW108" s="465"/>
      <c r="AX108" s="479"/>
    </row>
    <row r="109" ht="15.75" customHeight="1">
      <c r="A109" s="424"/>
      <c r="B109" s="572"/>
      <c r="C109" s="591"/>
      <c r="D109" s="623"/>
      <c r="E109" s="617"/>
      <c r="F109" s="575"/>
      <c r="G109" s="575"/>
      <c r="H109" s="576"/>
      <c r="I109" s="577"/>
      <c r="J109" s="577"/>
      <c r="K109" s="597"/>
      <c r="L109" s="598"/>
      <c r="M109" s="438"/>
      <c r="N109" s="597"/>
      <c r="O109" s="597"/>
      <c r="P109" s="597"/>
      <c r="Q109" s="581"/>
      <c r="R109" s="420"/>
      <c r="S109" s="582"/>
      <c r="T109" s="583"/>
      <c r="U109" s="584" t="str">
        <f>IF($I109="","",LET(n,COUNTIFS('Lớp 6 - Chi tiết'!$J$14:$J$267,$I109,'Lớp 6 - Chi tiết'!$AE$14:$AE$267,"&lt;&gt;Hủy"),child,IFERROR(MAXIFS('Lớp 6 - Chi tiết'!$AH$14:$AH$267,'Lớp 6 - Chi tiết'!$J$14:$J$267,$I109,'Lớp 6 - Chi tiết'!$AE$14:$AE$267,"&lt;&gt;Hủy",'Lớp 6 - Chi tiết'!$AH$14:$AH$267,"&gt;0"),0),plan,'Trung tâm nhập liệu'!Q259,emergent,LOWER(TRIM('Trung tâm nhập liệu'!O259))="khi phát sinh",IF(n=0,IF(emergent,"",plan),IF(child=0,IF(emergent,"",plan),IF(OR(emergent,plan=""),child,MAX(plan,child))))))</f>
        <v/>
      </c>
      <c r="V109" s="584" t="str">
        <f>IF($I109="","",LET(n,COUNTIFS('Lớp 6 - Chi tiết'!$J$14:$J$267,$I109,'Lớp 6 - Chi tiết'!$AE$14:$AE$267,"&lt;&gt;Hủy"),child,IFERROR(MINIFS('Lớp 6 - Chi tiết'!$AG$14:$AG$267,'Lớp 6 - Chi tiết'!$J$14:$J$267,$I109,'Lớp 6 - Chi tiết'!$AE$14:$AE$267,"&lt;&gt;Hủy",'Lớp 6 - Chi tiết'!$AG$14:$AG$267,"&gt;0"),0),plan,'Trung tâm nhập liệu'!R259,emergent,LOWER(TRIM('Trung tâm nhập liệu'!O259))="khi phát sinh",IF(n=0,IF(emergent,"",plan),IF(child=0,IF(emergent,"",plan),IF(OR(emergent,plan=""),child,MIN(plan,child))))))</f>
        <v/>
      </c>
      <c r="W109" s="577"/>
      <c r="X109" s="577"/>
      <c r="Y109" s="585"/>
      <c r="Z109" s="586"/>
      <c r="AA109" s="577"/>
      <c r="AB109" s="572"/>
      <c r="AC109" s="420"/>
      <c r="AD109" s="584"/>
      <c r="AE109" s="584"/>
      <c r="AF109" s="587"/>
      <c r="AG109" s="588"/>
      <c r="AH109" s="587"/>
      <c r="AI109" s="589"/>
      <c r="AJ109" s="468"/>
      <c r="AK109" s="477" t="str">
        <f>IF(AM109="Chưa xếp lịch","Chưa xếp lịch",IF(AM109="Định kỳ",IF(AN109="","Thiếu chu kỳ","Theo chu kỳ"),IF(AM109="Khi phát sinh",IF(COUNTIFS('Lớp 6 - Chi tiết'!$J$14:$J$267,$I109,'Lớp 6 - Chi tiết'!$AE$14:$AE$267,"&lt;&gt;Hủy")=0,"Khi phát sinh – chờ việc con","Khi phát sinh – theo ngày con"),IF(I109="","",LET(n,COUNTIFS('Lớp 6 - Chi tiết'!$J$14:$J$267,$I109,'Lớp 6 - Chi tiết'!$AE$14:$AE$267,"&lt;&gt;Hủy"),cs,IFERROR(MINIFS('Lớp 6 - Chi tiết'!$AG$14:$AG$267,'Lớp 6 - Chi tiết'!$J$14:$J$267,$I109,'Lớp 6 - Chi tiết'!$AE$14:$AE$267,"&lt;&gt;Hủy",'Lớp 6 - Chi tiết'!$AG$14:$AG$267,"&gt;0"),0),ce,IFERROR(MAXIFS('Lớp 6 - Chi tiết'!$AH$14:$AH$267,'Lớp 6 - Chi tiết'!$J$14:$J$267,$I109,'Lớp 6 - Chi tiết'!$AE$14:$AE$267,"&lt;&gt;Hủy",'Lớp 6 - Chi tiết'!$AH$14:$AH$267,"&gt;0"),0),ps,'Trung tâm nhập liệu'!R259,pe,'Trung tâm nhập liệu'!Q259,IF(OR(AD109="",AE109=""),"Thiếu ngày L5",IF(n=0,"Chưa có L6",IF(OR(cs=0,ce=0),"Thiếu ngày L6",IF(OR(ps="",pe=""),"Thiếu ngày kế hoạch gốc L5",IF(OR(cs&lt;ps,ce&gt;pe),"Cảnh báo: Con vượt khung kế hoạch gốc","L6 đúng khung kế hoạch gốc"))))))))))</f>
        <v/>
      </c>
      <c r="AL109" s="465"/>
      <c r="AM109" s="467"/>
      <c r="AN109" s="469"/>
      <c r="AO109" s="470"/>
      <c r="AP109" s="470"/>
      <c r="AQ109" s="471"/>
      <c r="AR109" s="469"/>
      <c r="AS109" s="475"/>
      <c r="AT109" s="476"/>
      <c r="AU109" s="478"/>
      <c r="AV109" s="465"/>
      <c r="AW109" s="465"/>
      <c r="AX109" s="479"/>
    </row>
    <row r="110" ht="15.75" customHeight="1">
      <c r="A110" s="424"/>
      <c r="B110" s="572"/>
      <c r="C110" s="591"/>
      <c r="D110" s="623"/>
      <c r="E110" s="617"/>
      <c r="F110" s="575"/>
      <c r="G110" s="575"/>
      <c r="H110" s="576"/>
      <c r="I110" s="577"/>
      <c r="J110" s="577"/>
      <c r="K110" s="597"/>
      <c r="L110" s="598"/>
      <c r="M110" s="438"/>
      <c r="N110" s="597"/>
      <c r="O110" s="597"/>
      <c r="P110" s="597"/>
      <c r="Q110" s="581"/>
      <c r="R110" s="420"/>
      <c r="S110" s="582"/>
      <c r="T110" s="583"/>
      <c r="U110" s="584" t="str">
        <f>IF($I110="","",LET(n,COUNTIFS('Lớp 6 - Chi tiết'!$J$14:$J$267,$I110,'Lớp 6 - Chi tiết'!$AE$14:$AE$267,"&lt;&gt;Hủy"),child,IFERROR(MAXIFS('Lớp 6 - Chi tiết'!$AH$14:$AH$267,'Lớp 6 - Chi tiết'!$J$14:$J$267,$I110,'Lớp 6 - Chi tiết'!$AE$14:$AE$267,"&lt;&gt;Hủy",'Lớp 6 - Chi tiết'!$AH$14:$AH$267,"&gt;0"),0),plan,'Trung tâm nhập liệu'!Q260,emergent,LOWER(TRIM('Trung tâm nhập liệu'!O260))="khi phát sinh",IF(n=0,IF(emergent,"",plan),IF(child=0,IF(emergent,"",plan),IF(OR(emergent,plan=""),child,MAX(plan,child))))))</f>
        <v/>
      </c>
      <c r="V110" s="584" t="str">
        <f>IF($I110="","",LET(n,COUNTIFS('Lớp 6 - Chi tiết'!$J$14:$J$267,$I110,'Lớp 6 - Chi tiết'!$AE$14:$AE$267,"&lt;&gt;Hủy"),child,IFERROR(MINIFS('Lớp 6 - Chi tiết'!$AG$14:$AG$267,'Lớp 6 - Chi tiết'!$J$14:$J$267,$I110,'Lớp 6 - Chi tiết'!$AE$14:$AE$267,"&lt;&gt;Hủy",'Lớp 6 - Chi tiết'!$AG$14:$AG$267,"&gt;0"),0),plan,'Trung tâm nhập liệu'!R260,emergent,LOWER(TRIM('Trung tâm nhập liệu'!O260))="khi phát sinh",IF(n=0,IF(emergent,"",plan),IF(child=0,IF(emergent,"",plan),IF(OR(emergent,plan=""),child,MIN(plan,child))))))</f>
        <v/>
      </c>
      <c r="W110" s="577"/>
      <c r="X110" s="577"/>
      <c r="Y110" s="585"/>
      <c r="Z110" s="586"/>
      <c r="AA110" s="577"/>
      <c r="AB110" s="572"/>
      <c r="AC110" s="420"/>
      <c r="AD110" s="584"/>
      <c r="AE110" s="584"/>
      <c r="AF110" s="587"/>
      <c r="AG110" s="588"/>
      <c r="AH110" s="587"/>
      <c r="AI110" s="589"/>
      <c r="AJ110" s="468"/>
      <c r="AK110" s="477" t="str">
        <f>IF(AM110="Chưa xếp lịch","Chưa xếp lịch",IF(AM110="Định kỳ",IF(AN110="","Thiếu chu kỳ","Theo chu kỳ"),IF(AM110="Khi phát sinh",IF(COUNTIFS('Lớp 6 - Chi tiết'!$J$14:$J$267,$I110,'Lớp 6 - Chi tiết'!$AE$14:$AE$267,"&lt;&gt;Hủy")=0,"Khi phát sinh – chờ việc con","Khi phát sinh – theo ngày con"),IF(I110="","",LET(n,COUNTIFS('Lớp 6 - Chi tiết'!$J$14:$J$267,$I110,'Lớp 6 - Chi tiết'!$AE$14:$AE$267,"&lt;&gt;Hủy"),cs,IFERROR(MINIFS('Lớp 6 - Chi tiết'!$AG$14:$AG$267,'Lớp 6 - Chi tiết'!$J$14:$J$267,$I110,'Lớp 6 - Chi tiết'!$AE$14:$AE$267,"&lt;&gt;Hủy",'Lớp 6 - Chi tiết'!$AG$14:$AG$267,"&gt;0"),0),ce,IFERROR(MAXIFS('Lớp 6 - Chi tiết'!$AH$14:$AH$267,'Lớp 6 - Chi tiết'!$J$14:$J$267,$I110,'Lớp 6 - Chi tiết'!$AE$14:$AE$267,"&lt;&gt;Hủy",'Lớp 6 - Chi tiết'!$AH$14:$AH$267,"&gt;0"),0),ps,'Trung tâm nhập liệu'!R260,pe,'Trung tâm nhập liệu'!Q260,IF(OR(AD110="",AE110=""),"Thiếu ngày L5",IF(n=0,"Chưa có L6",IF(OR(cs=0,ce=0),"Thiếu ngày L6",IF(OR(ps="",pe=""),"Thiếu ngày kế hoạch gốc L5",IF(OR(cs&lt;ps,ce&gt;pe),"Cảnh báo: Con vượt khung kế hoạch gốc","L6 đúng khung kế hoạch gốc"))))))))))</f>
        <v/>
      </c>
      <c r="AL110" s="465"/>
      <c r="AM110" s="467"/>
      <c r="AN110" s="469"/>
      <c r="AO110" s="470"/>
      <c r="AP110" s="470"/>
      <c r="AQ110" s="471"/>
      <c r="AR110" s="469"/>
      <c r="AS110" s="475"/>
      <c r="AT110" s="476"/>
      <c r="AU110" s="478"/>
      <c r="AV110" s="465"/>
      <c r="AW110" s="465"/>
      <c r="AX110" s="479"/>
    </row>
    <row r="111" ht="15.75" customHeight="1">
      <c r="A111" s="424"/>
      <c r="B111" s="572"/>
      <c r="C111" s="591"/>
      <c r="D111" s="623"/>
      <c r="E111" s="617"/>
      <c r="F111" s="575"/>
      <c r="G111" s="575"/>
      <c r="H111" s="576"/>
      <c r="I111" s="577"/>
      <c r="J111" s="577"/>
      <c r="K111" s="597"/>
      <c r="L111" s="598"/>
      <c r="M111" s="438"/>
      <c r="N111" s="597"/>
      <c r="O111" s="597"/>
      <c r="P111" s="597"/>
      <c r="Q111" s="581"/>
      <c r="R111" s="420"/>
      <c r="S111" s="582"/>
      <c r="T111" s="583"/>
      <c r="U111" s="584" t="str">
        <f>IF($I111="","",LET(n,COUNTIFS('Lớp 6 - Chi tiết'!$J$14:$J$267,$I111,'Lớp 6 - Chi tiết'!$AE$14:$AE$267,"&lt;&gt;Hủy"),child,IFERROR(MAXIFS('Lớp 6 - Chi tiết'!$AH$14:$AH$267,'Lớp 6 - Chi tiết'!$J$14:$J$267,$I111,'Lớp 6 - Chi tiết'!$AE$14:$AE$267,"&lt;&gt;Hủy",'Lớp 6 - Chi tiết'!$AH$14:$AH$267,"&gt;0"),0),plan,'Trung tâm nhập liệu'!Q261,emergent,LOWER(TRIM('Trung tâm nhập liệu'!O261))="khi phát sinh",IF(n=0,IF(emergent,"",plan),IF(child=0,IF(emergent,"",plan),IF(OR(emergent,plan=""),child,MAX(plan,child))))))</f>
        <v/>
      </c>
      <c r="V111" s="584" t="str">
        <f>IF($I111="","",LET(n,COUNTIFS('Lớp 6 - Chi tiết'!$J$14:$J$267,$I111,'Lớp 6 - Chi tiết'!$AE$14:$AE$267,"&lt;&gt;Hủy"),child,IFERROR(MINIFS('Lớp 6 - Chi tiết'!$AG$14:$AG$267,'Lớp 6 - Chi tiết'!$J$14:$J$267,$I111,'Lớp 6 - Chi tiết'!$AE$14:$AE$267,"&lt;&gt;Hủy",'Lớp 6 - Chi tiết'!$AG$14:$AG$267,"&gt;0"),0),plan,'Trung tâm nhập liệu'!R261,emergent,LOWER(TRIM('Trung tâm nhập liệu'!O261))="khi phát sinh",IF(n=0,IF(emergent,"",plan),IF(child=0,IF(emergent,"",plan),IF(OR(emergent,plan=""),child,MIN(plan,child))))))</f>
        <v/>
      </c>
      <c r="W111" s="577"/>
      <c r="X111" s="577"/>
      <c r="Y111" s="585"/>
      <c r="Z111" s="586"/>
      <c r="AA111" s="577"/>
      <c r="AB111" s="572"/>
      <c r="AC111" s="420"/>
      <c r="AD111" s="584"/>
      <c r="AE111" s="584"/>
      <c r="AF111" s="587"/>
      <c r="AG111" s="588"/>
      <c r="AH111" s="587"/>
      <c r="AI111" s="589"/>
      <c r="AJ111" s="468"/>
      <c r="AK111" s="477" t="str">
        <f>IF(AM111="Chưa xếp lịch","Chưa xếp lịch",IF(AM111="Định kỳ",IF(AN111="","Thiếu chu kỳ","Theo chu kỳ"),IF(AM111="Khi phát sinh",IF(COUNTIFS('Lớp 6 - Chi tiết'!$J$14:$J$267,$I111,'Lớp 6 - Chi tiết'!$AE$14:$AE$267,"&lt;&gt;Hủy")=0,"Khi phát sinh – chờ việc con","Khi phát sinh – theo ngày con"),IF(I111="","",LET(n,COUNTIFS('Lớp 6 - Chi tiết'!$J$14:$J$267,$I111,'Lớp 6 - Chi tiết'!$AE$14:$AE$267,"&lt;&gt;Hủy"),cs,IFERROR(MINIFS('Lớp 6 - Chi tiết'!$AG$14:$AG$267,'Lớp 6 - Chi tiết'!$J$14:$J$267,$I111,'Lớp 6 - Chi tiết'!$AE$14:$AE$267,"&lt;&gt;Hủy",'Lớp 6 - Chi tiết'!$AG$14:$AG$267,"&gt;0"),0),ce,IFERROR(MAXIFS('Lớp 6 - Chi tiết'!$AH$14:$AH$267,'Lớp 6 - Chi tiết'!$J$14:$J$267,$I111,'Lớp 6 - Chi tiết'!$AE$14:$AE$267,"&lt;&gt;Hủy",'Lớp 6 - Chi tiết'!$AH$14:$AH$267,"&gt;0"),0),ps,'Trung tâm nhập liệu'!R261,pe,'Trung tâm nhập liệu'!Q261,IF(OR(AD111="",AE111=""),"Thiếu ngày L5",IF(n=0,"Chưa có L6",IF(OR(cs=0,ce=0),"Thiếu ngày L6",IF(OR(ps="",pe=""),"Thiếu ngày kế hoạch gốc L5",IF(OR(cs&lt;ps,ce&gt;pe),"Cảnh báo: Con vượt khung kế hoạch gốc","L6 đúng khung kế hoạch gốc"))))))))))</f>
        <v/>
      </c>
      <c r="AL111" s="465"/>
      <c r="AM111" s="467"/>
      <c r="AN111" s="469"/>
      <c r="AO111" s="470"/>
      <c r="AP111" s="470"/>
      <c r="AQ111" s="471"/>
      <c r="AR111" s="469"/>
      <c r="AS111" s="475"/>
      <c r="AT111" s="476"/>
      <c r="AU111" s="478"/>
      <c r="AV111" s="465"/>
      <c r="AW111" s="465"/>
      <c r="AX111" s="479"/>
    </row>
    <row r="112" ht="15.75" customHeight="1">
      <c r="A112" s="424"/>
      <c r="B112" s="572"/>
      <c r="C112" s="591"/>
      <c r="D112" s="623"/>
      <c r="E112" s="617"/>
      <c r="F112" s="575"/>
      <c r="G112" s="575"/>
      <c r="H112" s="576"/>
      <c r="I112" s="577"/>
      <c r="J112" s="577"/>
      <c r="K112" s="597"/>
      <c r="L112" s="598"/>
      <c r="M112" s="438"/>
      <c r="N112" s="597"/>
      <c r="O112" s="597"/>
      <c r="P112" s="597"/>
      <c r="Q112" s="581"/>
      <c r="R112" s="420"/>
      <c r="S112" s="582"/>
      <c r="T112" s="583"/>
      <c r="U112" s="584" t="str">
        <f>IF($I112="","",LET(n,COUNTIFS('Lớp 6 - Chi tiết'!$J$14:$J$267,$I112,'Lớp 6 - Chi tiết'!$AE$14:$AE$267,"&lt;&gt;Hủy"),child,IFERROR(MAXIFS('Lớp 6 - Chi tiết'!$AH$14:$AH$267,'Lớp 6 - Chi tiết'!$J$14:$J$267,$I112,'Lớp 6 - Chi tiết'!$AE$14:$AE$267,"&lt;&gt;Hủy",'Lớp 6 - Chi tiết'!$AH$14:$AH$267,"&gt;0"),0),plan,'Trung tâm nhập liệu'!Q262,emergent,LOWER(TRIM('Trung tâm nhập liệu'!O262))="khi phát sinh",IF(n=0,IF(emergent,"",plan),IF(child=0,IF(emergent,"",plan),IF(OR(emergent,plan=""),child,MAX(plan,child))))))</f>
        <v/>
      </c>
      <c r="V112" s="584" t="str">
        <f>IF($I112="","",LET(n,COUNTIFS('Lớp 6 - Chi tiết'!$J$14:$J$267,$I112,'Lớp 6 - Chi tiết'!$AE$14:$AE$267,"&lt;&gt;Hủy"),child,IFERROR(MINIFS('Lớp 6 - Chi tiết'!$AG$14:$AG$267,'Lớp 6 - Chi tiết'!$J$14:$J$267,$I112,'Lớp 6 - Chi tiết'!$AE$14:$AE$267,"&lt;&gt;Hủy",'Lớp 6 - Chi tiết'!$AG$14:$AG$267,"&gt;0"),0),plan,'Trung tâm nhập liệu'!R262,emergent,LOWER(TRIM('Trung tâm nhập liệu'!O262))="khi phát sinh",IF(n=0,IF(emergent,"",plan),IF(child=0,IF(emergent,"",plan),IF(OR(emergent,plan=""),child,MIN(plan,child))))))</f>
        <v/>
      </c>
      <c r="W112" s="577"/>
      <c r="X112" s="577"/>
      <c r="Y112" s="585"/>
      <c r="Z112" s="586"/>
      <c r="AA112" s="577"/>
      <c r="AB112" s="572"/>
      <c r="AC112" s="420"/>
      <c r="AD112" s="584"/>
      <c r="AE112" s="584"/>
      <c r="AF112" s="587"/>
      <c r="AG112" s="588"/>
      <c r="AH112" s="587"/>
      <c r="AI112" s="589"/>
      <c r="AJ112" s="468"/>
      <c r="AK112" s="477" t="str">
        <f>IF(AM112="Chưa xếp lịch","Chưa xếp lịch",IF(AM112="Định kỳ",IF(AN112="","Thiếu chu kỳ","Theo chu kỳ"),IF(AM112="Khi phát sinh",IF(COUNTIFS('Lớp 6 - Chi tiết'!$J$14:$J$267,$I112,'Lớp 6 - Chi tiết'!$AE$14:$AE$267,"&lt;&gt;Hủy")=0,"Khi phát sinh – chờ việc con","Khi phát sinh – theo ngày con"),IF(I112="","",LET(n,COUNTIFS('Lớp 6 - Chi tiết'!$J$14:$J$267,$I112,'Lớp 6 - Chi tiết'!$AE$14:$AE$267,"&lt;&gt;Hủy"),cs,IFERROR(MINIFS('Lớp 6 - Chi tiết'!$AG$14:$AG$267,'Lớp 6 - Chi tiết'!$J$14:$J$267,$I112,'Lớp 6 - Chi tiết'!$AE$14:$AE$267,"&lt;&gt;Hủy",'Lớp 6 - Chi tiết'!$AG$14:$AG$267,"&gt;0"),0),ce,IFERROR(MAXIFS('Lớp 6 - Chi tiết'!$AH$14:$AH$267,'Lớp 6 - Chi tiết'!$J$14:$J$267,$I112,'Lớp 6 - Chi tiết'!$AE$14:$AE$267,"&lt;&gt;Hủy",'Lớp 6 - Chi tiết'!$AH$14:$AH$267,"&gt;0"),0),ps,'Trung tâm nhập liệu'!R262,pe,'Trung tâm nhập liệu'!Q262,IF(OR(AD112="",AE112=""),"Thiếu ngày L5",IF(n=0,"Chưa có L6",IF(OR(cs=0,ce=0),"Thiếu ngày L6",IF(OR(ps="",pe=""),"Thiếu ngày kế hoạch gốc L5",IF(OR(cs&lt;ps,ce&gt;pe),"Cảnh báo: Con vượt khung kế hoạch gốc","L6 đúng khung kế hoạch gốc"))))))))))</f>
        <v/>
      </c>
      <c r="AL112" s="465"/>
      <c r="AM112" s="467"/>
      <c r="AN112" s="469"/>
      <c r="AO112" s="470"/>
      <c r="AP112" s="470"/>
      <c r="AQ112" s="471"/>
      <c r="AR112" s="469"/>
      <c r="AS112" s="475"/>
      <c r="AT112" s="476"/>
      <c r="AU112" s="478"/>
      <c r="AV112" s="465"/>
      <c r="AW112" s="465"/>
      <c r="AX112" s="479"/>
    </row>
    <row r="113" ht="15.75" customHeight="1">
      <c r="A113" s="424"/>
      <c r="B113" s="572"/>
      <c r="C113" s="591"/>
      <c r="D113" s="623"/>
      <c r="E113" s="617"/>
      <c r="F113" s="575"/>
      <c r="G113" s="575"/>
      <c r="H113" s="576"/>
      <c r="I113" s="577"/>
      <c r="J113" s="577"/>
      <c r="K113" s="597"/>
      <c r="L113" s="598"/>
      <c r="M113" s="438"/>
      <c r="N113" s="597"/>
      <c r="O113" s="597"/>
      <c r="P113" s="597"/>
      <c r="Q113" s="581"/>
      <c r="R113" s="420"/>
      <c r="S113" s="582"/>
      <c r="T113" s="583"/>
      <c r="U113" s="584" t="str">
        <f>IF($I113="","",LET(n,COUNTIFS('Lớp 6 - Chi tiết'!$J$14:$J$267,$I113,'Lớp 6 - Chi tiết'!$AE$14:$AE$267,"&lt;&gt;Hủy"),child,IFERROR(MAXIFS('Lớp 6 - Chi tiết'!$AH$14:$AH$267,'Lớp 6 - Chi tiết'!$J$14:$J$267,$I113,'Lớp 6 - Chi tiết'!$AE$14:$AE$267,"&lt;&gt;Hủy",'Lớp 6 - Chi tiết'!$AH$14:$AH$267,"&gt;0"),0),plan,'Trung tâm nhập liệu'!Q263,emergent,LOWER(TRIM('Trung tâm nhập liệu'!O263))="khi phát sinh",IF(n=0,IF(emergent,"",plan),IF(child=0,IF(emergent,"",plan),IF(OR(emergent,plan=""),child,MAX(plan,child))))))</f>
        <v/>
      </c>
      <c r="V113" s="584" t="str">
        <f>IF($I113="","",LET(n,COUNTIFS('Lớp 6 - Chi tiết'!$J$14:$J$267,$I113,'Lớp 6 - Chi tiết'!$AE$14:$AE$267,"&lt;&gt;Hủy"),child,IFERROR(MINIFS('Lớp 6 - Chi tiết'!$AG$14:$AG$267,'Lớp 6 - Chi tiết'!$J$14:$J$267,$I113,'Lớp 6 - Chi tiết'!$AE$14:$AE$267,"&lt;&gt;Hủy",'Lớp 6 - Chi tiết'!$AG$14:$AG$267,"&gt;0"),0),plan,'Trung tâm nhập liệu'!R263,emergent,LOWER(TRIM('Trung tâm nhập liệu'!O263))="khi phát sinh",IF(n=0,IF(emergent,"",plan),IF(child=0,IF(emergent,"",plan),IF(OR(emergent,plan=""),child,MIN(plan,child))))))</f>
        <v/>
      </c>
      <c r="W113" s="577"/>
      <c r="X113" s="577"/>
      <c r="Y113" s="585"/>
      <c r="Z113" s="586"/>
      <c r="AA113" s="577"/>
      <c r="AB113" s="572"/>
      <c r="AC113" s="420"/>
      <c r="AD113" s="584"/>
      <c r="AE113" s="584"/>
      <c r="AF113" s="587"/>
      <c r="AG113" s="588"/>
      <c r="AH113" s="587"/>
      <c r="AI113" s="589"/>
      <c r="AJ113" s="468"/>
      <c r="AK113" s="477" t="str">
        <f>IF(AM113="Chưa xếp lịch","Chưa xếp lịch",IF(AM113="Định kỳ",IF(AN113="","Thiếu chu kỳ","Theo chu kỳ"),IF(AM113="Khi phát sinh",IF(COUNTIFS('Lớp 6 - Chi tiết'!$J$14:$J$267,$I113,'Lớp 6 - Chi tiết'!$AE$14:$AE$267,"&lt;&gt;Hủy")=0,"Khi phát sinh – chờ việc con","Khi phát sinh – theo ngày con"),IF(I113="","",LET(n,COUNTIFS('Lớp 6 - Chi tiết'!$J$14:$J$267,$I113,'Lớp 6 - Chi tiết'!$AE$14:$AE$267,"&lt;&gt;Hủy"),cs,IFERROR(MINIFS('Lớp 6 - Chi tiết'!$AG$14:$AG$267,'Lớp 6 - Chi tiết'!$J$14:$J$267,$I113,'Lớp 6 - Chi tiết'!$AE$14:$AE$267,"&lt;&gt;Hủy",'Lớp 6 - Chi tiết'!$AG$14:$AG$267,"&gt;0"),0),ce,IFERROR(MAXIFS('Lớp 6 - Chi tiết'!$AH$14:$AH$267,'Lớp 6 - Chi tiết'!$J$14:$J$267,$I113,'Lớp 6 - Chi tiết'!$AE$14:$AE$267,"&lt;&gt;Hủy",'Lớp 6 - Chi tiết'!$AH$14:$AH$267,"&gt;0"),0),ps,'Trung tâm nhập liệu'!R263,pe,'Trung tâm nhập liệu'!Q263,IF(OR(AD113="",AE113=""),"Thiếu ngày L5",IF(n=0,"Chưa có L6",IF(OR(cs=0,ce=0),"Thiếu ngày L6",IF(OR(ps="",pe=""),"Thiếu ngày kế hoạch gốc L5",IF(OR(cs&lt;ps,ce&gt;pe),"Cảnh báo: Con vượt khung kế hoạch gốc","L6 đúng khung kế hoạch gốc"))))))))))</f>
        <v/>
      </c>
      <c r="AL113" s="465"/>
      <c r="AM113" s="467"/>
      <c r="AN113" s="469"/>
      <c r="AO113" s="470"/>
      <c r="AP113" s="470"/>
      <c r="AQ113" s="471"/>
      <c r="AR113" s="469"/>
      <c r="AS113" s="475"/>
      <c r="AT113" s="476"/>
      <c r="AU113" s="478"/>
      <c r="AV113" s="465"/>
      <c r="AW113" s="465"/>
      <c r="AX113" s="479"/>
    </row>
    <row r="114" ht="15.75" customHeight="1">
      <c r="A114" s="424"/>
      <c r="B114" s="572"/>
      <c r="C114" s="591"/>
      <c r="D114" s="623"/>
      <c r="E114" s="617"/>
      <c r="F114" s="575"/>
      <c r="G114" s="575"/>
      <c r="H114" s="576"/>
      <c r="I114" s="577"/>
      <c r="J114" s="577"/>
      <c r="K114" s="597"/>
      <c r="L114" s="598"/>
      <c r="M114" s="438"/>
      <c r="N114" s="597"/>
      <c r="O114" s="597"/>
      <c r="P114" s="597"/>
      <c r="Q114" s="581"/>
      <c r="R114" s="420"/>
      <c r="S114" s="582"/>
      <c r="T114" s="583"/>
      <c r="U114" s="584" t="str">
        <f>IF($I114="","",LET(n,COUNTIFS('Lớp 6 - Chi tiết'!$J$14:$J$267,$I114,'Lớp 6 - Chi tiết'!$AE$14:$AE$267,"&lt;&gt;Hủy"),child,IFERROR(MAXIFS('Lớp 6 - Chi tiết'!$AH$14:$AH$267,'Lớp 6 - Chi tiết'!$J$14:$J$267,$I114,'Lớp 6 - Chi tiết'!$AE$14:$AE$267,"&lt;&gt;Hủy",'Lớp 6 - Chi tiết'!$AH$14:$AH$267,"&gt;0"),0),plan,'Trung tâm nhập liệu'!Q264,emergent,LOWER(TRIM('Trung tâm nhập liệu'!O264))="khi phát sinh",IF(n=0,IF(emergent,"",plan),IF(child=0,IF(emergent,"",plan),IF(OR(emergent,plan=""),child,MAX(plan,child))))))</f>
        <v/>
      </c>
      <c r="V114" s="584" t="str">
        <f>IF($I114="","",LET(n,COUNTIFS('Lớp 6 - Chi tiết'!$J$14:$J$267,$I114,'Lớp 6 - Chi tiết'!$AE$14:$AE$267,"&lt;&gt;Hủy"),child,IFERROR(MINIFS('Lớp 6 - Chi tiết'!$AG$14:$AG$267,'Lớp 6 - Chi tiết'!$J$14:$J$267,$I114,'Lớp 6 - Chi tiết'!$AE$14:$AE$267,"&lt;&gt;Hủy",'Lớp 6 - Chi tiết'!$AG$14:$AG$267,"&gt;0"),0),plan,'Trung tâm nhập liệu'!R264,emergent,LOWER(TRIM('Trung tâm nhập liệu'!O264))="khi phát sinh",IF(n=0,IF(emergent,"",plan),IF(child=0,IF(emergent,"",plan),IF(OR(emergent,plan=""),child,MIN(plan,child))))))</f>
        <v/>
      </c>
      <c r="W114" s="577"/>
      <c r="X114" s="577"/>
      <c r="Y114" s="585"/>
      <c r="Z114" s="586"/>
      <c r="AA114" s="577"/>
      <c r="AB114" s="572"/>
      <c r="AC114" s="420"/>
      <c r="AD114" s="584"/>
      <c r="AE114" s="584"/>
      <c r="AF114" s="587"/>
      <c r="AG114" s="588"/>
      <c r="AH114" s="587"/>
      <c r="AI114" s="589"/>
      <c r="AJ114" s="468"/>
      <c r="AK114" s="477" t="str">
        <f>IF(AM114="Chưa xếp lịch","Chưa xếp lịch",IF(AM114="Định kỳ",IF(AN114="","Thiếu chu kỳ","Theo chu kỳ"),IF(AM114="Khi phát sinh",IF(COUNTIFS('Lớp 6 - Chi tiết'!$J$14:$J$267,$I114,'Lớp 6 - Chi tiết'!$AE$14:$AE$267,"&lt;&gt;Hủy")=0,"Khi phát sinh – chờ việc con","Khi phát sinh – theo ngày con"),IF(I114="","",LET(n,COUNTIFS('Lớp 6 - Chi tiết'!$J$14:$J$267,$I114,'Lớp 6 - Chi tiết'!$AE$14:$AE$267,"&lt;&gt;Hủy"),cs,IFERROR(MINIFS('Lớp 6 - Chi tiết'!$AG$14:$AG$267,'Lớp 6 - Chi tiết'!$J$14:$J$267,$I114,'Lớp 6 - Chi tiết'!$AE$14:$AE$267,"&lt;&gt;Hủy",'Lớp 6 - Chi tiết'!$AG$14:$AG$267,"&gt;0"),0),ce,IFERROR(MAXIFS('Lớp 6 - Chi tiết'!$AH$14:$AH$267,'Lớp 6 - Chi tiết'!$J$14:$J$267,$I114,'Lớp 6 - Chi tiết'!$AE$14:$AE$267,"&lt;&gt;Hủy",'Lớp 6 - Chi tiết'!$AH$14:$AH$267,"&gt;0"),0),ps,'Trung tâm nhập liệu'!R264,pe,'Trung tâm nhập liệu'!Q264,IF(OR(AD114="",AE114=""),"Thiếu ngày L5",IF(n=0,"Chưa có L6",IF(OR(cs=0,ce=0),"Thiếu ngày L6",IF(OR(ps="",pe=""),"Thiếu ngày kế hoạch gốc L5",IF(OR(cs&lt;ps,ce&gt;pe),"Cảnh báo: Con vượt khung kế hoạch gốc","L6 đúng khung kế hoạch gốc"))))))))))</f>
        <v/>
      </c>
      <c r="AL114" s="465"/>
      <c r="AM114" s="467"/>
      <c r="AN114" s="469"/>
      <c r="AO114" s="470"/>
      <c r="AP114" s="470"/>
      <c r="AQ114" s="471"/>
      <c r="AR114" s="469"/>
      <c r="AS114" s="475"/>
      <c r="AT114" s="476"/>
      <c r="AU114" s="478"/>
      <c r="AV114" s="465"/>
      <c r="AW114" s="465"/>
      <c r="AX114" s="479"/>
    </row>
    <row r="115" ht="15.75" customHeight="1">
      <c r="A115" s="424"/>
      <c r="B115" s="572"/>
      <c r="C115" s="591"/>
      <c r="D115" s="623"/>
      <c r="E115" s="617"/>
      <c r="F115" s="575"/>
      <c r="G115" s="575"/>
      <c r="H115" s="576"/>
      <c r="I115" s="577"/>
      <c r="J115" s="577"/>
      <c r="K115" s="597"/>
      <c r="L115" s="598"/>
      <c r="M115" s="438"/>
      <c r="N115" s="597"/>
      <c r="O115" s="597"/>
      <c r="P115" s="597"/>
      <c r="Q115" s="581"/>
      <c r="R115" s="420"/>
      <c r="S115" s="582"/>
      <c r="T115" s="583"/>
      <c r="U115" s="584" t="str">
        <f>IF($I115="","",LET(n,COUNTIFS('Lớp 6 - Chi tiết'!$J$14:$J$267,$I115,'Lớp 6 - Chi tiết'!$AE$14:$AE$267,"&lt;&gt;Hủy"),child,IFERROR(MAXIFS('Lớp 6 - Chi tiết'!$AH$14:$AH$267,'Lớp 6 - Chi tiết'!$J$14:$J$267,$I115,'Lớp 6 - Chi tiết'!$AE$14:$AE$267,"&lt;&gt;Hủy",'Lớp 6 - Chi tiết'!$AH$14:$AH$267,"&gt;0"),0),plan,'Trung tâm nhập liệu'!Q265,emergent,LOWER(TRIM('Trung tâm nhập liệu'!O265))="khi phát sinh",IF(n=0,IF(emergent,"",plan),IF(child=0,IF(emergent,"",plan),IF(OR(emergent,plan=""),child,MAX(plan,child))))))</f>
        <v/>
      </c>
      <c r="V115" s="584" t="str">
        <f>IF($I115="","",LET(n,COUNTIFS('Lớp 6 - Chi tiết'!$J$14:$J$267,$I115,'Lớp 6 - Chi tiết'!$AE$14:$AE$267,"&lt;&gt;Hủy"),child,IFERROR(MINIFS('Lớp 6 - Chi tiết'!$AG$14:$AG$267,'Lớp 6 - Chi tiết'!$J$14:$J$267,$I115,'Lớp 6 - Chi tiết'!$AE$14:$AE$267,"&lt;&gt;Hủy",'Lớp 6 - Chi tiết'!$AG$14:$AG$267,"&gt;0"),0),plan,'Trung tâm nhập liệu'!R265,emergent,LOWER(TRIM('Trung tâm nhập liệu'!O265))="khi phát sinh",IF(n=0,IF(emergent,"",plan),IF(child=0,IF(emergent,"",plan),IF(OR(emergent,plan=""),child,MIN(plan,child))))))</f>
        <v/>
      </c>
      <c r="W115" s="577"/>
      <c r="X115" s="577"/>
      <c r="Y115" s="585"/>
      <c r="Z115" s="586"/>
      <c r="AA115" s="577"/>
      <c r="AB115" s="572"/>
      <c r="AC115" s="420"/>
      <c r="AD115" s="584"/>
      <c r="AE115" s="584"/>
      <c r="AF115" s="587"/>
      <c r="AG115" s="588"/>
      <c r="AH115" s="587"/>
      <c r="AI115" s="589"/>
      <c r="AJ115" s="468"/>
      <c r="AK115" s="477" t="str">
        <f>IF(AM115="Chưa xếp lịch","Chưa xếp lịch",IF(AM115="Định kỳ",IF(AN115="","Thiếu chu kỳ","Theo chu kỳ"),IF(AM115="Khi phát sinh",IF(COUNTIFS('Lớp 6 - Chi tiết'!$J$14:$J$267,$I115,'Lớp 6 - Chi tiết'!$AE$14:$AE$267,"&lt;&gt;Hủy")=0,"Khi phát sinh – chờ việc con","Khi phát sinh – theo ngày con"),IF(I115="","",LET(n,COUNTIFS('Lớp 6 - Chi tiết'!$J$14:$J$267,$I115,'Lớp 6 - Chi tiết'!$AE$14:$AE$267,"&lt;&gt;Hủy"),cs,IFERROR(MINIFS('Lớp 6 - Chi tiết'!$AG$14:$AG$267,'Lớp 6 - Chi tiết'!$J$14:$J$267,$I115,'Lớp 6 - Chi tiết'!$AE$14:$AE$267,"&lt;&gt;Hủy",'Lớp 6 - Chi tiết'!$AG$14:$AG$267,"&gt;0"),0),ce,IFERROR(MAXIFS('Lớp 6 - Chi tiết'!$AH$14:$AH$267,'Lớp 6 - Chi tiết'!$J$14:$J$267,$I115,'Lớp 6 - Chi tiết'!$AE$14:$AE$267,"&lt;&gt;Hủy",'Lớp 6 - Chi tiết'!$AH$14:$AH$267,"&gt;0"),0),ps,'Trung tâm nhập liệu'!R265,pe,'Trung tâm nhập liệu'!Q265,IF(OR(AD115="",AE115=""),"Thiếu ngày L5",IF(n=0,"Chưa có L6",IF(OR(cs=0,ce=0),"Thiếu ngày L6",IF(OR(ps="",pe=""),"Thiếu ngày kế hoạch gốc L5",IF(OR(cs&lt;ps,ce&gt;pe),"Cảnh báo: Con vượt khung kế hoạch gốc","L6 đúng khung kế hoạch gốc"))))))))))</f>
        <v/>
      </c>
      <c r="AL115" s="465"/>
      <c r="AM115" s="467"/>
      <c r="AN115" s="469"/>
      <c r="AO115" s="470"/>
      <c r="AP115" s="470"/>
      <c r="AQ115" s="471"/>
      <c r="AR115" s="469"/>
      <c r="AS115" s="475"/>
      <c r="AT115" s="476"/>
      <c r="AU115" s="478"/>
      <c r="AV115" s="465"/>
      <c r="AW115" s="465"/>
      <c r="AX115" s="479"/>
    </row>
    <row r="116" ht="15.75" customHeight="1">
      <c r="A116" s="424"/>
      <c r="B116" s="572"/>
      <c r="C116" s="591"/>
      <c r="D116" s="623"/>
      <c r="E116" s="617"/>
      <c r="F116" s="575"/>
      <c r="G116" s="575"/>
      <c r="H116" s="576"/>
      <c r="I116" s="577"/>
      <c r="J116" s="577"/>
      <c r="K116" s="597"/>
      <c r="L116" s="598"/>
      <c r="M116" s="438"/>
      <c r="N116" s="597"/>
      <c r="O116" s="597"/>
      <c r="P116" s="597"/>
      <c r="Q116" s="581"/>
      <c r="R116" s="420"/>
      <c r="S116" s="582"/>
      <c r="T116" s="583"/>
      <c r="U116" s="584" t="str">
        <f>IF($I116="","",LET(n,COUNTIFS('Lớp 6 - Chi tiết'!$J$14:$J$267,$I116,'Lớp 6 - Chi tiết'!$AE$14:$AE$267,"&lt;&gt;Hủy"),child,IFERROR(MAXIFS('Lớp 6 - Chi tiết'!$AH$14:$AH$267,'Lớp 6 - Chi tiết'!$J$14:$J$267,$I116,'Lớp 6 - Chi tiết'!$AE$14:$AE$267,"&lt;&gt;Hủy",'Lớp 6 - Chi tiết'!$AH$14:$AH$267,"&gt;0"),0),plan,'Trung tâm nhập liệu'!Q266,emergent,LOWER(TRIM('Trung tâm nhập liệu'!O266))="khi phát sinh",IF(n=0,IF(emergent,"",plan),IF(child=0,IF(emergent,"",plan),IF(OR(emergent,plan=""),child,MAX(plan,child))))))</f>
        <v/>
      </c>
      <c r="V116" s="584" t="str">
        <f>IF($I116="","",LET(n,COUNTIFS('Lớp 6 - Chi tiết'!$J$14:$J$267,$I116,'Lớp 6 - Chi tiết'!$AE$14:$AE$267,"&lt;&gt;Hủy"),child,IFERROR(MINIFS('Lớp 6 - Chi tiết'!$AG$14:$AG$267,'Lớp 6 - Chi tiết'!$J$14:$J$267,$I116,'Lớp 6 - Chi tiết'!$AE$14:$AE$267,"&lt;&gt;Hủy",'Lớp 6 - Chi tiết'!$AG$14:$AG$267,"&gt;0"),0),plan,'Trung tâm nhập liệu'!R266,emergent,LOWER(TRIM('Trung tâm nhập liệu'!O266))="khi phát sinh",IF(n=0,IF(emergent,"",plan),IF(child=0,IF(emergent,"",plan),IF(OR(emergent,plan=""),child,MIN(plan,child))))))</f>
        <v/>
      </c>
      <c r="W116" s="577"/>
      <c r="X116" s="577"/>
      <c r="Y116" s="585"/>
      <c r="Z116" s="586"/>
      <c r="AA116" s="577"/>
      <c r="AB116" s="572"/>
      <c r="AC116" s="420"/>
      <c r="AD116" s="584"/>
      <c r="AE116" s="584"/>
      <c r="AF116" s="587"/>
      <c r="AG116" s="588"/>
      <c r="AH116" s="587"/>
      <c r="AI116" s="589"/>
      <c r="AJ116" s="468"/>
      <c r="AK116" s="477" t="str">
        <f>IF(AM116="Chưa xếp lịch","Chưa xếp lịch",IF(AM116="Định kỳ",IF(AN116="","Thiếu chu kỳ","Theo chu kỳ"),IF(AM116="Khi phát sinh",IF(COUNTIFS('Lớp 6 - Chi tiết'!$J$14:$J$267,$I116,'Lớp 6 - Chi tiết'!$AE$14:$AE$267,"&lt;&gt;Hủy")=0,"Khi phát sinh – chờ việc con","Khi phát sinh – theo ngày con"),IF(I116="","",LET(n,COUNTIFS('Lớp 6 - Chi tiết'!$J$14:$J$267,$I116,'Lớp 6 - Chi tiết'!$AE$14:$AE$267,"&lt;&gt;Hủy"),cs,IFERROR(MINIFS('Lớp 6 - Chi tiết'!$AG$14:$AG$267,'Lớp 6 - Chi tiết'!$J$14:$J$267,$I116,'Lớp 6 - Chi tiết'!$AE$14:$AE$267,"&lt;&gt;Hủy",'Lớp 6 - Chi tiết'!$AG$14:$AG$267,"&gt;0"),0),ce,IFERROR(MAXIFS('Lớp 6 - Chi tiết'!$AH$14:$AH$267,'Lớp 6 - Chi tiết'!$J$14:$J$267,$I116,'Lớp 6 - Chi tiết'!$AE$14:$AE$267,"&lt;&gt;Hủy",'Lớp 6 - Chi tiết'!$AH$14:$AH$267,"&gt;0"),0),ps,'Trung tâm nhập liệu'!R266,pe,'Trung tâm nhập liệu'!Q266,IF(OR(AD116="",AE116=""),"Thiếu ngày L5",IF(n=0,"Chưa có L6",IF(OR(cs=0,ce=0),"Thiếu ngày L6",IF(OR(ps="",pe=""),"Thiếu ngày kế hoạch gốc L5",IF(OR(cs&lt;ps,ce&gt;pe),"Cảnh báo: Con vượt khung kế hoạch gốc","L6 đúng khung kế hoạch gốc"))))))))))</f>
        <v/>
      </c>
      <c r="AL116" s="465"/>
      <c r="AM116" s="467"/>
      <c r="AN116" s="469"/>
      <c r="AO116" s="470"/>
      <c r="AP116" s="470"/>
      <c r="AQ116" s="471"/>
      <c r="AR116" s="469"/>
      <c r="AS116" s="475"/>
      <c r="AT116" s="476"/>
      <c r="AU116" s="478"/>
      <c r="AV116" s="465"/>
      <c r="AW116" s="465"/>
      <c r="AX116" s="479"/>
    </row>
    <row r="117" ht="15.75" customHeight="1">
      <c r="A117" s="424"/>
      <c r="B117" s="572"/>
      <c r="C117" s="591"/>
      <c r="D117" s="623"/>
      <c r="E117" s="617"/>
      <c r="F117" s="575"/>
      <c r="G117" s="575"/>
      <c r="H117" s="576"/>
      <c r="I117" s="577"/>
      <c r="J117" s="577"/>
      <c r="K117" s="597"/>
      <c r="L117" s="598"/>
      <c r="M117" s="438"/>
      <c r="N117" s="597"/>
      <c r="O117" s="597"/>
      <c r="P117" s="597"/>
      <c r="Q117" s="581"/>
      <c r="R117" s="420"/>
      <c r="S117" s="582"/>
      <c r="T117" s="583"/>
      <c r="U117" s="584" t="str">
        <f>IF($I117="","",LET(n,COUNTIFS('Lớp 6 - Chi tiết'!$J$14:$J$267,$I117,'Lớp 6 - Chi tiết'!$AE$14:$AE$267,"&lt;&gt;Hủy"),child,IFERROR(MAXIFS('Lớp 6 - Chi tiết'!$AH$14:$AH$267,'Lớp 6 - Chi tiết'!$J$14:$J$267,$I117,'Lớp 6 - Chi tiết'!$AE$14:$AE$267,"&lt;&gt;Hủy",'Lớp 6 - Chi tiết'!$AH$14:$AH$267,"&gt;0"),0),plan,'Trung tâm nhập liệu'!Q267,emergent,LOWER(TRIM('Trung tâm nhập liệu'!O267))="khi phát sinh",IF(n=0,IF(emergent,"",plan),IF(child=0,IF(emergent,"",plan),IF(OR(emergent,plan=""),child,MAX(plan,child))))))</f>
        <v/>
      </c>
      <c r="V117" s="584" t="str">
        <f>IF($I117="","",LET(n,COUNTIFS('Lớp 6 - Chi tiết'!$J$14:$J$267,$I117,'Lớp 6 - Chi tiết'!$AE$14:$AE$267,"&lt;&gt;Hủy"),child,IFERROR(MINIFS('Lớp 6 - Chi tiết'!$AG$14:$AG$267,'Lớp 6 - Chi tiết'!$J$14:$J$267,$I117,'Lớp 6 - Chi tiết'!$AE$14:$AE$267,"&lt;&gt;Hủy",'Lớp 6 - Chi tiết'!$AG$14:$AG$267,"&gt;0"),0),plan,'Trung tâm nhập liệu'!R267,emergent,LOWER(TRIM('Trung tâm nhập liệu'!O267))="khi phát sinh",IF(n=0,IF(emergent,"",plan),IF(child=0,IF(emergent,"",plan),IF(OR(emergent,plan=""),child,MIN(plan,child))))))</f>
        <v/>
      </c>
      <c r="W117" s="577"/>
      <c r="X117" s="577"/>
      <c r="Y117" s="585"/>
      <c r="Z117" s="586"/>
      <c r="AA117" s="577"/>
      <c r="AB117" s="572"/>
      <c r="AC117" s="420"/>
      <c r="AD117" s="584"/>
      <c r="AE117" s="584"/>
      <c r="AF117" s="587"/>
      <c r="AG117" s="588"/>
      <c r="AH117" s="587"/>
      <c r="AI117" s="589"/>
      <c r="AJ117" s="468"/>
      <c r="AK117" s="477" t="str">
        <f>IF(AM117="Chưa xếp lịch","Chưa xếp lịch",IF(AM117="Định kỳ",IF(AN117="","Thiếu chu kỳ","Theo chu kỳ"),IF(AM117="Khi phát sinh",IF(COUNTIFS('Lớp 6 - Chi tiết'!$J$14:$J$267,$I117,'Lớp 6 - Chi tiết'!$AE$14:$AE$267,"&lt;&gt;Hủy")=0,"Khi phát sinh – chờ việc con","Khi phát sinh – theo ngày con"),IF(I117="","",LET(n,COUNTIFS('Lớp 6 - Chi tiết'!$J$14:$J$267,$I117,'Lớp 6 - Chi tiết'!$AE$14:$AE$267,"&lt;&gt;Hủy"),cs,IFERROR(MINIFS('Lớp 6 - Chi tiết'!$AG$14:$AG$267,'Lớp 6 - Chi tiết'!$J$14:$J$267,$I117,'Lớp 6 - Chi tiết'!$AE$14:$AE$267,"&lt;&gt;Hủy",'Lớp 6 - Chi tiết'!$AG$14:$AG$267,"&gt;0"),0),ce,IFERROR(MAXIFS('Lớp 6 - Chi tiết'!$AH$14:$AH$267,'Lớp 6 - Chi tiết'!$J$14:$J$267,$I117,'Lớp 6 - Chi tiết'!$AE$14:$AE$267,"&lt;&gt;Hủy",'Lớp 6 - Chi tiết'!$AH$14:$AH$267,"&gt;0"),0),ps,'Trung tâm nhập liệu'!R267,pe,'Trung tâm nhập liệu'!Q267,IF(OR(AD117="",AE117=""),"Thiếu ngày L5",IF(n=0,"Chưa có L6",IF(OR(cs=0,ce=0),"Thiếu ngày L6",IF(OR(ps="",pe=""),"Thiếu ngày kế hoạch gốc L5",IF(OR(cs&lt;ps,ce&gt;pe),"Cảnh báo: Con vượt khung kế hoạch gốc","L6 đúng khung kế hoạch gốc"))))))))))</f>
        <v/>
      </c>
      <c r="AL117" s="465"/>
      <c r="AM117" s="467"/>
      <c r="AN117" s="469"/>
      <c r="AO117" s="470"/>
      <c r="AP117" s="470"/>
      <c r="AQ117" s="471"/>
      <c r="AR117" s="469"/>
      <c r="AS117" s="475"/>
      <c r="AT117" s="476"/>
      <c r="AU117" s="478"/>
      <c r="AV117" s="465"/>
      <c r="AW117" s="465"/>
      <c r="AX117" s="479"/>
    </row>
    <row r="118" ht="15.75" customHeight="1">
      <c r="A118" s="424"/>
      <c r="B118" s="572"/>
      <c r="C118" s="591"/>
      <c r="D118" s="623"/>
      <c r="E118" s="617"/>
      <c r="F118" s="575"/>
      <c r="G118" s="575"/>
      <c r="H118" s="576"/>
      <c r="I118" s="577"/>
      <c r="J118" s="577"/>
      <c r="K118" s="597"/>
      <c r="L118" s="598"/>
      <c r="M118" s="438"/>
      <c r="N118" s="597"/>
      <c r="O118" s="597"/>
      <c r="P118" s="597"/>
      <c r="Q118" s="581"/>
      <c r="R118" s="420"/>
      <c r="S118" s="582"/>
      <c r="T118" s="583"/>
      <c r="U118" s="584" t="str">
        <f>IF($I118="","",LET(n,COUNTIFS('Lớp 6 - Chi tiết'!$J$14:$J$267,$I118,'Lớp 6 - Chi tiết'!$AE$14:$AE$267,"&lt;&gt;Hủy"),child,IFERROR(MAXIFS('Lớp 6 - Chi tiết'!$AH$14:$AH$267,'Lớp 6 - Chi tiết'!$J$14:$J$267,$I118,'Lớp 6 - Chi tiết'!$AE$14:$AE$267,"&lt;&gt;Hủy",'Lớp 6 - Chi tiết'!$AH$14:$AH$267,"&gt;0"),0),plan,'Trung tâm nhập liệu'!Q268,emergent,LOWER(TRIM('Trung tâm nhập liệu'!O268))="khi phát sinh",IF(n=0,IF(emergent,"",plan),IF(child=0,IF(emergent,"",plan),IF(OR(emergent,plan=""),child,MAX(plan,child))))))</f>
        <v/>
      </c>
      <c r="V118" s="584" t="str">
        <f>IF($I118="","",LET(n,COUNTIFS('Lớp 6 - Chi tiết'!$J$14:$J$267,$I118,'Lớp 6 - Chi tiết'!$AE$14:$AE$267,"&lt;&gt;Hủy"),child,IFERROR(MINIFS('Lớp 6 - Chi tiết'!$AG$14:$AG$267,'Lớp 6 - Chi tiết'!$J$14:$J$267,$I118,'Lớp 6 - Chi tiết'!$AE$14:$AE$267,"&lt;&gt;Hủy",'Lớp 6 - Chi tiết'!$AG$14:$AG$267,"&gt;0"),0),plan,'Trung tâm nhập liệu'!R268,emergent,LOWER(TRIM('Trung tâm nhập liệu'!O268))="khi phát sinh",IF(n=0,IF(emergent,"",plan),IF(child=0,IF(emergent,"",plan),IF(OR(emergent,plan=""),child,MIN(plan,child))))))</f>
        <v/>
      </c>
      <c r="W118" s="577"/>
      <c r="X118" s="577"/>
      <c r="Y118" s="585"/>
      <c r="Z118" s="586"/>
      <c r="AA118" s="577"/>
      <c r="AB118" s="572"/>
      <c r="AC118" s="420"/>
      <c r="AD118" s="584"/>
      <c r="AE118" s="584"/>
      <c r="AF118" s="587"/>
      <c r="AG118" s="588"/>
      <c r="AH118" s="587"/>
      <c r="AI118" s="589"/>
      <c r="AJ118" s="468"/>
      <c r="AK118" s="477" t="str">
        <f>IF(AM118="Chưa xếp lịch","Chưa xếp lịch",IF(AM118="Định kỳ",IF(AN118="","Thiếu chu kỳ","Theo chu kỳ"),IF(AM118="Khi phát sinh",IF(COUNTIFS('Lớp 6 - Chi tiết'!$J$14:$J$267,$I118,'Lớp 6 - Chi tiết'!$AE$14:$AE$267,"&lt;&gt;Hủy")=0,"Khi phát sinh – chờ việc con","Khi phát sinh – theo ngày con"),IF(I118="","",LET(n,COUNTIFS('Lớp 6 - Chi tiết'!$J$14:$J$267,$I118,'Lớp 6 - Chi tiết'!$AE$14:$AE$267,"&lt;&gt;Hủy"),cs,IFERROR(MINIFS('Lớp 6 - Chi tiết'!$AG$14:$AG$267,'Lớp 6 - Chi tiết'!$J$14:$J$267,$I118,'Lớp 6 - Chi tiết'!$AE$14:$AE$267,"&lt;&gt;Hủy",'Lớp 6 - Chi tiết'!$AG$14:$AG$267,"&gt;0"),0),ce,IFERROR(MAXIFS('Lớp 6 - Chi tiết'!$AH$14:$AH$267,'Lớp 6 - Chi tiết'!$J$14:$J$267,$I118,'Lớp 6 - Chi tiết'!$AE$14:$AE$267,"&lt;&gt;Hủy",'Lớp 6 - Chi tiết'!$AH$14:$AH$267,"&gt;0"),0),ps,'Trung tâm nhập liệu'!R268,pe,'Trung tâm nhập liệu'!Q268,IF(OR(AD118="",AE118=""),"Thiếu ngày L5",IF(n=0,"Chưa có L6",IF(OR(cs=0,ce=0),"Thiếu ngày L6",IF(OR(ps="",pe=""),"Thiếu ngày kế hoạch gốc L5",IF(OR(cs&lt;ps,ce&gt;pe),"Cảnh báo: Con vượt khung kế hoạch gốc","L6 đúng khung kế hoạch gốc"))))))))))</f>
        <v/>
      </c>
      <c r="AL118" s="465"/>
      <c r="AM118" s="467"/>
      <c r="AN118" s="469"/>
      <c r="AO118" s="470"/>
      <c r="AP118" s="470"/>
      <c r="AQ118" s="471"/>
      <c r="AR118" s="469"/>
      <c r="AS118" s="475"/>
      <c r="AT118" s="476"/>
      <c r="AU118" s="478"/>
      <c r="AV118" s="465"/>
      <c r="AW118" s="465"/>
      <c r="AX118" s="479"/>
    </row>
    <row r="119" ht="15.75" customHeight="1">
      <c r="A119" s="424"/>
      <c r="B119" s="572"/>
      <c r="C119" s="591"/>
      <c r="D119" s="623"/>
      <c r="E119" s="617"/>
      <c r="F119" s="575"/>
      <c r="G119" s="575"/>
      <c r="H119" s="576"/>
      <c r="I119" s="577"/>
      <c r="J119" s="577"/>
      <c r="K119" s="597"/>
      <c r="L119" s="598"/>
      <c r="M119" s="438"/>
      <c r="N119" s="597"/>
      <c r="O119" s="597"/>
      <c r="P119" s="597"/>
      <c r="Q119" s="581"/>
      <c r="R119" s="420"/>
      <c r="S119" s="582"/>
      <c r="T119" s="583"/>
      <c r="U119" s="584" t="str">
        <f>IF($I119="","",LET(n,COUNTIFS('Lớp 6 - Chi tiết'!$J$14:$J$267,$I119,'Lớp 6 - Chi tiết'!$AE$14:$AE$267,"&lt;&gt;Hủy"),child,IFERROR(MAXIFS('Lớp 6 - Chi tiết'!$AH$14:$AH$267,'Lớp 6 - Chi tiết'!$J$14:$J$267,$I119,'Lớp 6 - Chi tiết'!$AE$14:$AE$267,"&lt;&gt;Hủy",'Lớp 6 - Chi tiết'!$AH$14:$AH$267,"&gt;0"),0),plan,'Trung tâm nhập liệu'!Q269,emergent,LOWER(TRIM('Trung tâm nhập liệu'!O269))="khi phát sinh",IF(n=0,IF(emergent,"",plan),IF(child=0,IF(emergent,"",plan),IF(OR(emergent,plan=""),child,MAX(plan,child))))))</f>
        <v/>
      </c>
      <c r="V119" s="584" t="str">
        <f>IF($I119="","",LET(n,COUNTIFS('Lớp 6 - Chi tiết'!$J$14:$J$267,$I119,'Lớp 6 - Chi tiết'!$AE$14:$AE$267,"&lt;&gt;Hủy"),child,IFERROR(MINIFS('Lớp 6 - Chi tiết'!$AG$14:$AG$267,'Lớp 6 - Chi tiết'!$J$14:$J$267,$I119,'Lớp 6 - Chi tiết'!$AE$14:$AE$267,"&lt;&gt;Hủy",'Lớp 6 - Chi tiết'!$AG$14:$AG$267,"&gt;0"),0),plan,'Trung tâm nhập liệu'!R269,emergent,LOWER(TRIM('Trung tâm nhập liệu'!O269))="khi phát sinh",IF(n=0,IF(emergent,"",plan),IF(child=0,IF(emergent,"",plan),IF(OR(emergent,plan=""),child,MIN(plan,child))))))</f>
        <v/>
      </c>
      <c r="W119" s="577"/>
      <c r="X119" s="577"/>
      <c r="Y119" s="585"/>
      <c r="Z119" s="586"/>
      <c r="AA119" s="577"/>
      <c r="AB119" s="572"/>
      <c r="AC119" s="420"/>
      <c r="AD119" s="584"/>
      <c r="AE119" s="584"/>
      <c r="AF119" s="587"/>
      <c r="AG119" s="588"/>
      <c r="AH119" s="587"/>
      <c r="AI119" s="589"/>
      <c r="AJ119" s="468"/>
      <c r="AK119" s="477" t="str">
        <f>IF(AM119="Chưa xếp lịch","Chưa xếp lịch",IF(AM119="Định kỳ",IF(AN119="","Thiếu chu kỳ","Theo chu kỳ"),IF(AM119="Khi phát sinh",IF(COUNTIFS('Lớp 6 - Chi tiết'!$J$14:$J$267,$I119,'Lớp 6 - Chi tiết'!$AE$14:$AE$267,"&lt;&gt;Hủy")=0,"Khi phát sinh – chờ việc con","Khi phát sinh – theo ngày con"),IF(I119="","",LET(n,COUNTIFS('Lớp 6 - Chi tiết'!$J$14:$J$267,$I119,'Lớp 6 - Chi tiết'!$AE$14:$AE$267,"&lt;&gt;Hủy"),cs,IFERROR(MINIFS('Lớp 6 - Chi tiết'!$AG$14:$AG$267,'Lớp 6 - Chi tiết'!$J$14:$J$267,$I119,'Lớp 6 - Chi tiết'!$AE$14:$AE$267,"&lt;&gt;Hủy",'Lớp 6 - Chi tiết'!$AG$14:$AG$267,"&gt;0"),0),ce,IFERROR(MAXIFS('Lớp 6 - Chi tiết'!$AH$14:$AH$267,'Lớp 6 - Chi tiết'!$J$14:$J$267,$I119,'Lớp 6 - Chi tiết'!$AE$14:$AE$267,"&lt;&gt;Hủy",'Lớp 6 - Chi tiết'!$AH$14:$AH$267,"&gt;0"),0),ps,'Trung tâm nhập liệu'!R269,pe,'Trung tâm nhập liệu'!Q269,IF(OR(AD119="",AE119=""),"Thiếu ngày L5",IF(n=0,"Chưa có L6",IF(OR(cs=0,ce=0),"Thiếu ngày L6",IF(OR(ps="",pe=""),"Thiếu ngày kế hoạch gốc L5",IF(OR(cs&lt;ps,ce&gt;pe),"Cảnh báo: Con vượt khung kế hoạch gốc","L6 đúng khung kế hoạch gốc"))))))))))</f>
        <v/>
      </c>
      <c r="AL119" s="465"/>
      <c r="AM119" s="467"/>
      <c r="AN119" s="469"/>
      <c r="AO119" s="470"/>
      <c r="AP119" s="470"/>
      <c r="AQ119" s="471"/>
      <c r="AR119" s="469"/>
      <c r="AS119" s="475"/>
      <c r="AT119" s="476"/>
      <c r="AU119" s="478"/>
      <c r="AV119" s="465"/>
      <c r="AW119" s="465"/>
      <c r="AX119" s="479"/>
    </row>
    <row r="120" ht="15.75" customHeight="1">
      <c r="A120" s="424"/>
      <c r="B120" s="572"/>
      <c r="C120" s="591"/>
      <c r="D120" s="623"/>
      <c r="E120" s="617"/>
      <c r="F120" s="575"/>
      <c r="G120" s="575"/>
      <c r="H120" s="576"/>
      <c r="I120" s="577"/>
      <c r="J120" s="577"/>
      <c r="K120" s="597"/>
      <c r="L120" s="598"/>
      <c r="M120" s="438"/>
      <c r="N120" s="597"/>
      <c r="O120" s="597"/>
      <c r="P120" s="597"/>
      <c r="Q120" s="581"/>
      <c r="R120" s="420"/>
      <c r="S120" s="582"/>
      <c r="T120" s="583"/>
      <c r="U120" s="584" t="str">
        <f>IF($I120="","",LET(n,COUNTIFS('Lớp 6 - Chi tiết'!$J$14:$J$267,$I120,'Lớp 6 - Chi tiết'!$AE$14:$AE$267,"&lt;&gt;Hủy"),child,IFERROR(MAXIFS('Lớp 6 - Chi tiết'!$AH$14:$AH$267,'Lớp 6 - Chi tiết'!$J$14:$J$267,$I120,'Lớp 6 - Chi tiết'!$AE$14:$AE$267,"&lt;&gt;Hủy",'Lớp 6 - Chi tiết'!$AH$14:$AH$267,"&gt;0"),0),plan,'Trung tâm nhập liệu'!Q270,emergent,LOWER(TRIM('Trung tâm nhập liệu'!O270))="khi phát sinh",IF(n=0,IF(emergent,"",plan),IF(child=0,IF(emergent,"",plan),IF(OR(emergent,plan=""),child,MAX(plan,child))))))</f>
        <v/>
      </c>
      <c r="V120" s="584" t="str">
        <f>IF($I120="","",LET(n,COUNTIFS('Lớp 6 - Chi tiết'!$J$14:$J$267,$I120,'Lớp 6 - Chi tiết'!$AE$14:$AE$267,"&lt;&gt;Hủy"),child,IFERROR(MINIFS('Lớp 6 - Chi tiết'!$AG$14:$AG$267,'Lớp 6 - Chi tiết'!$J$14:$J$267,$I120,'Lớp 6 - Chi tiết'!$AE$14:$AE$267,"&lt;&gt;Hủy",'Lớp 6 - Chi tiết'!$AG$14:$AG$267,"&gt;0"),0),plan,'Trung tâm nhập liệu'!R270,emergent,LOWER(TRIM('Trung tâm nhập liệu'!O270))="khi phát sinh",IF(n=0,IF(emergent,"",plan),IF(child=0,IF(emergent,"",plan),IF(OR(emergent,plan=""),child,MIN(plan,child))))))</f>
        <v/>
      </c>
      <c r="W120" s="577"/>
      <c r="X120" s="577"/>
      <c r="Y120" s="585"/>
      <c r="Z120" s="586"/>
      <c r="AA120" s="577"/>
      <c r="AB120" s="572"/>
      <c r="AC120" s="420"/>
      <c r="AD120" s="584"/>
      <c r="AE120" s="584"/>
      <c r="AF120" s="587"/>
      <c r="AG120" s="588"/>
      <c r="AH120" s="587"/>
      <c r="AI120" s="589"/>
      <c r="AJ120" s="468"/>
      <c r="AK120" s="477" t="str">
        <f>IF(AM120="Chưa xếp lịch","Chưa xếp lịch",IF(AM120="Định kỳ",IF(AN120="","Thiếu chu kỳ","Theo chu kỳ"),IF(AM120="Khi phát sinh",IF(COUNTIFS('Lớp 6 - Chi tiết'!$J$14:$J$267,$I120,'Lớp 6 - Chi tiết'!$AE$14:$AE$267,"&lt;&gt;Hủy")=0,"Khi phát sinh – chờ việc con","Khi phát sinh – theo ngày con"),IF(I120="","",LET(n,COUNTIFS('Lớp 6 - Chi tiết'!$J$14:$J$267,$I120,'Lớp 6 - Chi tiết'!$AE$14:$AE$267,"&lt;&gt;Hủy"),cs,IFERROR(MINIFS('Lớp 6 - Chi tiết'!$AG$14:$AG$267,'Lớp 6 - Chi tiết'!$J$14:$J$267,$I120,'Lớp 6 - Chi tiết'!$AE$14:$AE$267,"&lt;&gt;Hủy",'Lớp 6 - Chi tiết'!$AG$14:$AG$267,"&gt;0"),0),ce,IFERROR(MAXIFS('Lớp 6 - Chi tiết'!$AH$14:$AH$267,'Lớp 6 - Chi tiết'!$J$14:$J$267,$I120,'Lớp 6 - Chi tiết'!$AE$14:$AE$267,"&lt;&gt;Hủy",'Lớp 6 - Chi tiết'!$AH$14:$AH$267,"&gt;0"),0),ps,'Trung tâm nhập liệu'!R270,pe,'Trung tâm nhập liệu'!Q270,IF(OR(AD120="",AE120=""),"Thiếu ngày L5",IF(n=0,"Chưa có L6",IF(OR(cs=0,ce=0),"Thiếu ngày L6",IF(OR(ps="",pe=""),"Thiếu ngày kế hoạch gốc L5",IF(OR(cs&lt;ps,ce&gt;pe),"Cảnh báo: Con vượt khung kế hoạch gốc","L6 đúng khung kế hoạch gốc"))))))))))</f>
        <v/>
      </c>
      <c r="AL120" s="465"/>
      <c r="AM120" s="467"/>
      <c r="AN120" s="469"/>
      <c r="AO120" s="470"/>
      <c r="AP120" s="470"/>
      <c r="AQ120" s="471"/>
      <c r="AR120" s="469"/>
      <c r="AS120" s="475"/>
      <c r="AT120" s="476"/>
      <c r="AU120" s="478"/>
      <c r="AV120" s="465"/>
      <c r="AW120" s="465"/>
      <c r="AX120" s="479"/>
    </row>
    <row r="121" ht="15.75" customHeight="1">
      <c r="A121" s="424"/>
      <c r="B121" s="572"/>
      <c r="C121" s="591"/>
      <c r="D121" s="623"/>
      <c r="E121" s="617"/>
      <c r="F121" s="575"/>
      <c r="G121" s="575"/>
      <c r="H121" s="576"/>
      <c r="I121" s="577"/>
      <c r="J121" s="577"/>
      <c r="K121" s="597"/>
      <c r="L121" s="598"/>
      <c r="M121" s="438"/>
      <c r="N121" s="597"/>
      <c r="O121" s="597"/>
      <c r="P121" s="597"/>
      <c r="Q121" s="581"/>
      <c r="R121" s="420"/>
      <c r="S121" s="582"/>
      <c r="T121" s="583"/>
      <c r="U121" s="584" t="str">
        <f>IF($I121="","",LET(n,COUNTIFS('Lớp 6 - Chi tiết'!$J$14:$J$267,$I121,'Lớp 6 - Chi tiết'!$AE$14:$AE$267,"&lt;&gt;Hủy"),child,IFERROR(MAXIFS('Lớp 6 - Chi tiết'!$AH$14:$AH$267,'Lớp 6 - Chi tiết'!$J$14:$J$267,$I121,'Lớp 6 - Chi tiết'!$AE$14:$AE$267,"&lt;&gt;Hủy",'Lớp 6 - Chi tiết'!$AH$14:$AH$267,"&gt;0"),0),plan,'Trung tâm nhập liệu'!Q271,emergent,LOWER(TRIM('Trung tâm nhập liệu'!O271))="khi phát sinh",IF(n=0,IF(emergent,"",plan),IF(child=0,IF(emergent,"",plan),IF(OR(emergent,plan=""),child,MAX(plan,child))))))</f>
        <v/>
      </c>
      <c r="V121" s="584" t="str">
        <f>IF($I121="","",LET(n,COUNTIFS('Lớp 6 - Chi tiết'!$J$14:$J$267,$I121,'Lớp 6 - Chi tiết'!$AE$14:$AE$267,"&lt;&gt;Hủy"),child,IFERROR(MINIFS('Lớp 6 - Chi tiết'!$AG$14:$AG$267,'Lớp 6 - Chi tiết'!$J$14:$J$267,$I121,'Lớp 6 - Chi tiết'!$AE$14:$AE$267,"&lt;&gt;Hủy",'Lớp 6 - Chi tiết'!$AG$14:$AG$267,"&gt;0"),0),plan,'Trung tâm nhập liệu'!R271,emergent,LOWER(TRIM('Trung tâm nhập liệu'!O271))="khi phát sinh",IF(n=0,IF(emergent,"",plan),IF(child=0,IF(emergent,"",plan),IF(OR(emergent,plan=""),child,MIN(plan,child))))))</f>
        <v/>
      </c>
      <c r="W121" s="577"/>
      <c r="X121" s="577"/>
      <c r="Y121" s="585"/>
      <c r="Z121" s="586"/>
      <c r="AA121" s="577"/>
      <c r="AB121" s="572"/>
      <c r="AC121" s="420"/>
      <c r="AD121" s="584"/>
      <c r="AE121" s="584"/>
      <c r="AF121" s="587"/>
      <c r="AG121" s="588"/>
      <c r="AH121" s="587"/>
      <c r="AI121" s="589"/>
      <c r="AJ121" s="468"/>
      <c r="AK121" s="477" t="str">
        <f>IF(AM121="Chưa xếp lịch","Chưa xếp lịch",IF(AM121="Định kỳ",IF(AN121="","Thiếu chu kỳ","Theo chu kỳ"),IF(AM121="Khi phát sinh",IF(COUNTIFS('Lớp 6 - Chi tiết'!$J$14:$J$267,$I121,'Lớp 6 - Chi tiết'!$AE$14:$AE$267,"&lt;&gt;Hủy")=0,"Khi phát sinh – chờ việc con","Khi phát sinh – theo ngày con"),IF(I121="","",LET(n,COUNTIFS('Lớp 6 - Chi tiết'!$J$14:$J$267,$I121,'Lớp 6 - Chi tiết'!$AE$14:$AE$267,"&lt;&gt;Hủy"),cs,IFERROR(MINIFS('Lớp 6 - Chi tiết'!$AG$14:$AG$267,'Lớp 6 - Chi tiết'!$J$14:$J$267,$I121,'Lớp 6 - Chi tiết'!$AE$14:$AE$267,"&lt;&gt;Hủy",'Lớp 6 - Chi tiết'!$AG$14:$AG$267,"&gt;0"),0),ce,IFERROR(MAXIFS('Lớp 6 - Chi tiết'!$AH$14:$AH$267,'Lớp 6 - Chi tiết'!$J$14:$J$267,$I121,'Lớp 6 - Chi tiết'!$AE$14:$AE$267,"&lt;&gt;Hủy",'Lớp 6 - Chi tiết'!$AH$14:$AH$267,"&gt;0"),0),ps,'Trung tâm nhập liệu'!R271,pe,'Trung tâm nhập liệu'!Q271,IF(OR(AD121="",AE121=""),"Thiếu ngày L5",IF(n=0,"Chưa có L6",IF(OR(cs=0,ce=0),"Thiếu ngày L6",IF(OR(ps="",pe=""),"Thiếu ngày kế hoạch gốc L5",IF(OR(cs&lt;ps,ce&gt;pe),"Cảnh báo: Con vượt khung kế hoạch gốc","L6 đúng khung kế hoạch gốc"))))))))))</f>
        <v/>
      </c>
      <c r="AL121" s="465"/>
      <c r="AM121" s="467"/>
      <c r="AN121" s="469"/>
      <c r="AO121" s="470"/>
      <c r="AP121" s="470"/>
      <c r="AQ121" s="471"/>
      <c r="AR121" s="469"/>
      <c r="AS121" s="475"/>
      <c r="AT121" s="476"/>
      <c r="AU121" s="478"/>
      <c r="AV121" s="465"/>
      <c r="AW121" s="465"/>
      <c r="AX121" s="479"/>
    </row>
    <row r="122" ht="15.75" customHeight="1">
      <c r="A122" s="424"/>
      <c r="B122" s="572"/>
      <c r="C122" s="591"/>
      <c r="D122" s="623"/>
      <c r="E122" s="617"/>
      <c r="F122" s="575"/>
      <c r="G122" s="575"/>
      <c r="H122" s="576"/>
      <c r="I122" s="577"/>
      <c r="J122" s="577"/>
      <c r="K122" s="597"/>
      <c r="L122" s="598"/>
      <c r="M122" s="438"/>
      <c r="N122" s="597"/>
      <c r="O122" s="597"/>
      <c r="P122" s="597"/>
      <c r="Q122" s="581"/>
      <c r="R122" s="420"/>
      <c r="S122" s="582"/>
      <c r="T122" s="583"/>
      <c r="U122" s="584" t="str">
        <f>IF($I122="","",LET(n,COUNTIFS('Lớp 6 - Chi tiết'!$J$14:$J$267,$I122,'Lớp 6 - Chi tiết'!$AE$14:$AE$267,"&lt;&gt;Hủy"),child,IFERROR(MAXIFS('Lớp 6 - Chi tiết'!$AH$14:$AH$267,'Lớp 6 - Chi tiết'!$J$14:$J$267,$I122,'Lớp 6 - Chi tiết'!$AE$14:$AE$267,"&lt;&gt;Hủy",'Lớp 6 - Chi tiết'!$AH$14:$AH$267,"&gt;0"),0),plan,'Trung tâm nhập liệu'!Q272,emergent,LOWER(TRIM('Trung tâm nhập liệu'!O272))="khi phát sinh",IF(n=0,IF(emergent,"",plan),IF(child=0,IF(emergent,"",plan),IF(OR(emergent,plan=""),child,MAX(plan,child))))))</f>
        <v/>
      </c>
      <c r="V122" s="584" t="str">
        <f>IF($I122="","",LET(n,COUNTIFS('Lớp 6 - Chi tiết'!$J$14:$J$267,$I122,'Lớp 6 - Chi tiết'!$AE$14:$AE$267,"&lt;&gt;Hủy"),child,IFERROR(MINIFS('Lớp 6 - Chi tiết'!$AG$14:$AG$267,'Lớp 6 - Chi tiết'!$J$14:$J$267,$I122,'Lớp 6 - Chi tiết'!$AE$14:$AE$267,"&lt;&gt;Hủy",'Lớp 6 - Chi tiết'!$AG$14:$AG$267,"&gt;0"),0),plan,'Trung tâm nhập liệu'!R272,emergent,LOWER(TRIM('Trung tâm nhập liệu'!O272))="khi phát sinh",IF(n=0,IF(emergent,"",plan),IF(child=0,IF(emergent,"",plan),IF(OR(emergent,plan=""),child,MIN(plan,child))))))</f>
        <v/>
      </c>
      <c r="W122" s="577"/>
      <c r="X122" s="577"/>
      <c r="Y122" s="585"/>
      <c r="Z122" s="586"/>
      <c r="AA122" s="577"/>
      <c r="AB122" s="572"/>
      <c r="AC122" s="420"/>
      <c r="AD122" s="584"/>
      <c r="AE122" s="584"/>
      <c r="AF122" s="587"/>
      <c r="AG122" s="588"/>
      <c r="AH122" s="587"/>
      <c r="AI122" s="589"/>
      <c r="AJ122" s="468"/>
      <c r="AK122" s="477" t="str">
        <f>IF(AM122="Chưa xếp lịch","Chưa xếp lịch",IF(AM122="Định kỳ",IF(AN122="","Thiếu chu kỳ","Theo chu kỳ"),IF(AM122="Khi phát sinh",IF(COUNTIFS('Lớp 6 - Chi tiết'!$J$14:$J$267,$I122,'Lớp 6 - Chi tiết'!$AE$14:$AE$267,"&lt;&gt;Hủy")=0,"Khi phát sinh – chờ việc con","Khi phát sinh – theo ngày con"),IF(I122="","",LET(n,COUNTIFS('Lớp 6 - Chi tiết'!$J$14:$J$267,$I122,'Lớp 6 - Chi tiết'!$AE$14:$AE$267,"&lt;&gt;Hủy"),cs,IFERROR(MINIFS('Lớp 6 - Chi tiết'!$AG$14:$AG$267,'Lớp 6 - Chi tiết'!$J$14:$J$267,$I122,'Lớp 6 - Chi tiết'!$AE$14:$AE$267,"&lt;&gt;Hủy",'Lớp 6 - Chi tiết'!$AG$14:$AG$267,"&gt;0"),0),ce,IFERROR(MAXIFS('Lớp 6 - Chi tiết'!$AH$14:$AH$267,'Lớp 6 - Chi tiết'!$J$14:$J$267,$I122,'Lớp 6 - Chi tiết'!$AE$14:$AE$267,"&lt;&gt;Hủy",'Lớp 6 - Chi tiết'!$AH$14:$AH$267,"&gt;0"),0),ps,'Trung tâm nhập liệu'!R272,pe,'Trung tâm nhập liệu'!Q272,IF(OR(AD122="",AE122=""),"Thiếu ngày L5",IF(n=0,"Chưa có L6",IF(OR(cs=0,ce=0),"Thiếu ngày L6",IF(OR(ps="",pe=""),"Thiếu ngày kế hoạch gốc L5",IF(OR(cs&lt;ps,ce&gt;pe),"Cảnh báo: Con vượt khung kế hoạch gốc","L6 đúng khung kế hoạch gốc"))))))))))</f>
        <v/>
      </c>
      <c r="AL122" s="465"/>
      <c r="AM122" s="467"/>
      <c r="AN122" s="469"/>
      <c r="AO122" s="470"/>
      <c r="AP122" s="470"/>
      <c r="AQ122" s="471"/>
      <c r="AR122" s="469"/>
      <c r="AS122" s="475"/>
      <c r="AT122" s="476"/>
      <c r="AU122" s="478"/>
      <c r="AV122" s="465"/>
      <c r="AW122" s="465"/>
      <c r="AX122" s="479"/>
    </row>
    <row r="123" ht="15.75" customHeight="1">
      <c r="A123" s="424"/>
      <c r="B123" s="572"/>
      <c r="C123" s="591"/>
      <c r="D123" s="623"/>
      <c r="E123" s="617"/>
      <c r="F123" s="575"/>
      <c r="G123" s="575"/>
      <c r="H123" s="576"/>
      <c r="I123" s="577"/>
      <c r="J123" s="577"/>
      <c r="K123" s="597"/>
      <c r="L123" s="598"/>
      <c r="M123" s="438"/>
      <c r="N123" s="597"/>
      <c r="O123" s="597"/>
      <c r="P123" s="597"/>
      <c r="Q123" s="581"/>
      <c r="R123" s="420"/>
      <c r="S123" s="582"/>
      <c r="T123" s="583"/>
      <c r="U123" s="584" t="str">
        <f>IF($I123="","",LET(n,COUNTIFS('Lớp 6 - Chi tiết'!$J$14:$J$267,$I123,'Lớp 6 - Chi tiết'!$AE$14:$AE$267,"&lt;&gt;Hủy"),child,IFERROR(MAXIFS('Lớp 6 - Chi tiết'!$AH$14:$AH$267,'Lớp 6 - Chi tiết'!$J$14:$J$267,$I123,'Lớp 6 - Chi tiết'!$AE$14:$AE$267,"&lt;&gt;Hủy",'Lớp 6 - Chi tiết'!$AH$14:$AH$267,"&gt;0"),0),plan,'Trung tâm nhập liệu'!Q273,emergent,LOWER(TRIM('Trung tâm nhập liệu'!O273))="khi phát sinh",IF(n=0,IF(emergent,"",plan),IF(child=0,IF(emergent,"",plan),IF(OR(emergent,plan=""),child,MAX(plan,child))))))</f>
        <v/>
      </c>
      <c r="V123" s="584" t="str">
        <f>IF($I123="","",LET(n,COUNTIFS('Lớp 6 - Chi tiết'!$J$14:$J$267,$I123,'Lớp 6 - Chi tiết'!$AE$14:$AE$267,"&lt;&gt;Hủy"),child,IFERROR(MINIFS('Lớp 6 - Chi tiết'!$AG$14:$AG$267,'Lớp 6 - Chi tiết'!$J$14:$J$267,$I123,'Lớp 6 - Chi tiết'!$AE$14:$AE$267,"&lt;&gt;Hủy",'Lớp 6 - Chi tiết'!$AG$14:$AG$267,"&gt;0"),0),plan,'Trung tâm nhập liệu'!R273,emergent,LOWER(TRIM('Trung tâm nhập liệu'!O273))="khi phát sinh",IF(n=0,IF(emergent,"",plan),IF(child=0,IF(emergent,"",plan),IF(OR(emergent,plan=""),child,MIN(plan,child))))))</f>
        <v/>
      </c>
      <c r="W123" s="577"/>
      <c r="X123" s="577"/>
      <c r="Y123" s="585"/>
      <c r="Z123" s="586"/>
      <c r="AA123" s="577"/>
      <c r="AB123" s="572"/>
      <c r="AC123" s="420"/>
      <c r="AD123" s="584"/>
      <c r="AE123" s="584"/>
      <c r="AF123" s="587"/>
      <c r="AG123" s="588"/>
      <c r="AH123" s="587"/>
      <c r="AI123" s="589"/>
      <c r="AJ123" s="468"/>
      <c r="AK123" s="477" t="str">
        <f>IF(AM123="Chưa xếp lịch","Chưa xếp lịch",IF(AM123="Định kỳ",IF(AN123="","Thiếu chu kỳ","Theo chu kỳ"),IF(AM123="Khi phát sinh",IF(COUNTIFS('Lớp 6 - Chi tiết'!$J$14:$J$267,$I123,'Lớp 6 - Chi tiết'!$AE$14:$AE$267,"&lt;&gt;Hủy")=0,"Khi phát sinh – chờ việc con","Khi phát sinh – theo ngày con"),IF(I123="","",LET(n,COUNTIFS('Lớp 6 - Chi tiết'!$J$14:$J$267,$I123,'Lớp 6 - Chi tiết'!$AE$14:$AE$267,"&lt;&gt;Hủy"),cs,IFERROR(MINIFS('Lớp 6 - Chi tiết'!$AG$14:$AG$267,'Lớp 6 - Chi tiết'!$J$14:$J$267,$I123,'Lớp 6 - Chi tiết'!$AE$14:$AE$267,"&lt;&gt;Hủy",'Lớp 6 - Chi tiết'!$AG$14:$AG$267,"&gt;0"),0),ce,IFERROR(MAXIFS('Lớp 6 - Chi tiết'!$AH$14:$AH$267,'Lớp 6 - Chi tiết'!$J$14:$J$267,$I123,'Lớp 6 - Chi tiết'!$AE$14:$AE$267,"&lt;&gt;Hủy",'Lớp 6 - Chi tiết'!$AH$14:$AH$267,"&gt;0"),0),ps,'Trung tâm nhập liệu'!R273,pe,'Trung tâm nhập liệu'!Q273,IF(OR(AD123="",AE123=""),"Thiếu ngày L5",IF(n=0,"Chưa có L6",IF(OR(cs=0,ce=0),"Thiếu ngày L6",IF(OR(ps="",pe=""),"Thiếu ngày kế hoạch gốc L5",IF(OR(cs&lt;ps,ce&gt;pe),"Cảnh báo: Con vượt khung kế hoạch gốc","L6 đúng khung kế hoạch gốc"))))))))))</f>
        <v/>
      </c>
      <c r="AL123" s="465"/>
      <c r="AM123" s="467"/>
      <c r="AN123" s="469"/>
      <c r="AO123" s="470"/>
      <c r="AP123" s="470"/>
      <c r="AQ123" s="471"/>
      <c r="AR123" s="469"/>
      <c r="AS123" s="475"/>
      <c r="AT123" s="476"/>
      <c r="AU123" s="478"/>
      <c r="AV123" s="465"/>
      <c r="AW123" s="465"/>
      <c r="AX123" s="479"/>
    </row>
    <row r="124" ht="15.75" customHeight="1">
      <c r="A124" s="424"/>
      <c r="B124" s="572"/>
      <c r="C124" s="591"/>
      <c r="D124" s="623"/>
      <c r="E124" s="617"/>
      <c r="F124" s="575"/>
      <c r="G124" s="575"/>
      <c r="H124" s="576"/>
      <c r="I124" s="577"/>
      <c r="J124" s="577"/>
      <c r="K124" s="597"/>
      <c r="L124" s="598"/>
      <c r="M124" s="438"/>
      <c r="N124" s="597"/>
      <c r="O124" s="597"/>
      <c r="P124" s="597"/>
      <c r="Q124" s="581"/>
      <c r="R124" s="420"/>
      <c r="S124" s="582"/>
      <c r="T124" s="583"/>
      <c r="U124" s="584" t="str">
        <f>IF($I124="","",LET(n,COUNTIFS('Lớp 6 - Chi tiết'!$J$14:$J$267,$I124,'Lớp 6 - Chi tiết'!$AE$14:$AE$267,"&lt;&gt;Hủy"),child,IFERROR(MAXIFS('Lớp 6 - Chi tiết'!$AH$14:$AH$267,'Lớp 6 - Chi tiết'!$J$14:$J$267,$I124,'Lớp 6 - Chi tiết'!$AE$14:$AE$267,"&lt;&gt;Hủy",'Lớp 6 - Chi tiết'!$AH$14:$AH$267,"&gt;0"),0),plan,'Trung tâm nhập liệu'!Q274,emergent,LOWER(TRIM('Trung tâm nhập liệu'!O274))="khi phát sinh",IF(n=0,IF(emergent,"",plan),IF(child=0,IF(emergent,"",plan),IF(OR(emergent,plan=""),child,MAX(plan,child))))))</f>
        <v/>
      </c>
      <c r="V124" s="584" t="str">
        <f>IF($I124="","",LET(n,COUNTIFS('Lớp 6 - Chi tiết'!$J$14:$J$267,$I124,'Lớp 6 - Chi tiết'!$AE$14:$AE$267,"&lt;&gt;Hủy"),child,IFERROR(MINIFS('Lớp 6 - Chi tiết'!$AG$14:$AG$267,'Lớp 6 - Chi tiết'!$J$14:$J$267,$I124,'Lớp 6 - Chi tiết'!$AE$14:$AE$267,"&lt;&gt;Hủy",'Lớp 6 - Chi tiết'!$AG$14:$AG$267,"&gt;0"),0),plan,'Trung tâm nhập liệu'!R274,emergent,LOWER(TRIM('Trung tâm nhập liệu'!O274))="khi phát sinh",IF(n=0,IF(emergent,"",plan),IF(child=0,IF(emergent,"",plan),IF(OR(emergent,plan=""),child,MIN(plan,child))))))</f>
        <v/>
      </c>
      <c r="W124" s="577"/>
      <c r="X124" s="577"/>
      <c r="Y124" s="585"/>
      <c r="Z124" s="586"/>
      <c r="AA124" s="577"/>
      <c r="AB124" s="572"/>
      <c r="AC124" s="420"/>
      <c r="AD124" s="584"/>
      <c r="AE124" s="584"/>
      <c r="AF124" s="587"/>
      <c r="AG124" s="588"/>
      <c r="AH124" s="587"/>
      <c r="AI124" s="589"/>
      <c r="AJ124" s="468"/>
      <c r="AK124" s="477" t="str">
        <f>IF(AM124="Chưa xếp lịch","Chưa xếp lịch",IF(AM124="Định kỳ",IF(AN124="","Thiếu chu kỳ","Theo chu kỳ"),IF(AM124="Khi phát sinh",IF(COUNTIFS('Lớp 6 - Chi tiết'!$J$14:$J$267,$I124,'Lớp 6 - Chi tiết'!$AE$14:$AE$267,"&lt;&gt;Hủy")=0,"Khi phát sinh – chờ việc con","Khi phát sinh – theo ngày con"),IF(I124="","",LET(n,COUNTIFS('Lớp 6 - Chi tiết'!$J$14:$J$267,$I124,'Lớp 6 - Chi tiết'!$AE$14:$AE$267,"&lt;&gt;Hủy"),cs,IFERROR(MINIFS('Lớp 6 - Chi tiết'!$AG$14:$AG$267,'Lớp 6 - Chi tiết'!$J$14:$J$267,$I124,'Lớp 6 - Chi tiết'!$AE$14:$AE$267,"&lt;&gt;Hủy",'Lớp 6 - Chi tiết'!$AG$14:$AG$267,"&gt;0"),0),ce,IFERROR(MAXIFS('Lớp 6 - Chi tiết'!$AH$14:$AH$267,'Lớp 6 - Chi tiết'!$J$14:$J$267,$I124,'Lớp 6 - Chi tiết'!$AE$14:$AE$267,"&lt;&gt;Hủy",'Lớp 6 - Chi tiết'!$AH$14:$AH$267,"&gt;0"),0),ps,'Trung tâm nhập liệu'!R274,pe,'Trung tâm nhập liệu'!Q274,IF(OR(AD124="",AE124=""),"Thiếu ngày L5",IF(n=0,"Chưa có L6",IF(OR(cs=0,ce=0),"Thiếu ngày L6",IF(OR(ps="",pe=""),"Thiếu ngày kế hoạch gốc L5",IF(OR(cs&lt;ps,ce&gt;pe),"Cảnh báo: Con vượt khung kế hoạch gốc","L6 đúng khung kế hoạch gốc"))))))))))</f>
        <v/>
      </c>
      <c r="AL124" s="465"/>
      <c r="AM124" s="467"/>
      <c r="AN124" s="469"/>
      <c r="AO124" s="470"/>
      <c r="AP124" s="470"/>
      <c r="AQ124" s="471"/>
      <c r="AR124" s="469"/>
      <c r="AS124" s="475"/>
      <c r="AT124" s="476"/>
      <c r="AU124" s="478"/>
      <c r="AV124" s="465"/>
      <c r="AW124" s="465"/>
      <c r="AX124" s="479"/>
    </row>
    <row r="125" ht="15.75" customHeight="1">
      <c r="A125" s="424"/>
      <c r="B125" s="572"/>
      <c r="C125" s="591"/>
      <c r="D125" s="623"/>
      <c r="E125" s="617"/>
      <c r="F125" s="575"/>
      <c r="G125" s="575"/>
      <c r="H125" s="576"/>
      <c r="I125" s="577"/>
      <c r="J125" s="577"/>
      <c r="K125" s="597"/>
      <c r="L125" s="598"/>
      <c r="M125" s="438"/>
      <c r="N125" s="597"/>
      <c r="O125" s="597"/>
      <c r="P125" s="597"/>
      <c r="Q125" s="581"/>
      <c r="R125" s="420"/>
      <c r="S125" s="582"/>
      <c r="T125" s="583"/>
      <c r="U125" s="584" t="str">
        <f>IF($I125="","",LET(n,COUNTIFS('Lớp 6 - Chi tiết'!$J$14:$J$267,$I125,'Lớp 6 - Chi tiết'!$AE$14:$AE$267,"&lt;&gt;Hủy"),child,IFERROR(MAXIFS('Lớp 6 - Chi tiết'!$AH$14:$AH$267,'Lớp 6 - Chi tiết'!$J$14:$J$267,$I125,'Lớp 6 - Chi tiết'!$AE$14:$AE$267,"&lt;&gt;Hủy",'Lớp 6 - Chi tiết'!$AH$14:$AH$267,"&gt;0"),0),plan,'Trung tâm nhập liệu'!Q275,emergent,LOWER(TRIM('Trung tâm nhập liệu'!O275))="khi phát sinh",IF(n=0,IF(emergent,"",plan),IF(child=0,IF(emergent,"",plan),IF(OR(emergent,plan=""),child,MAX(plan,child))))))</f>
        <v/>
      </c>
      <c r="V125" s="584" t="str">
        <f>IF($I125="","",LET(n,COUNTIFS('Lớp 6 - Chi tiết'!$J$14:$J$267,$I125,'Lớp 6 - Chi tiết'!$AE$14:$AE$267,"&lt;&gt;Hủy"),child,IFERROR(MINIFS('Lớp 6 - Chi tiết'!$AG$14:$AG$267,'Lớp 6 - Chi tiết'!$J$14:$J$267,$I125,'Lớp 6 - Chi tiết'!$AE$14:$AE$267,"&lt;&gt;Hủy",'Lớp 6 - Chi tiết'!$AG$14:$AG$267,"&gt;0"),0),plan,'Trung tâm nhập liệu'!R275,emergent,LOWER(TRIM('Trung tâm nhập liệu'!O275))="khi phát sinh",IF(n=0,IF(emergent,"",plan),IF(child=0,IF(emergent,"",plan),IF(OR(emergent,plan=""),child,MIN(plan,child))))))</f>
        <v/>
      </c>
      <c r="W125" s="577"/>
      <c r="X125" s="577"/>
      <c r="Y125" s="585"/>
      <c r="Z125" s="586"/>
      <c r="AA125" s="577"/>
      <c r="AB125" s="572"/>
      <c r="AC125" s="420"/>
      <c r="AD125" s="584"/>
      <c r="AE125" s="584"/>
      <c r="AF125" s="587"/>
      <c r="AG125" s="588"/>
      <c r="AH125" s="587"/>
      <c r="AI125" s="589"/>
      <c r="AJ125" s="468"/>
      <c r="AK125" s="477" t="str">
        <f>IF(AM125="Chưa xếp lịch","Chưa xếp lịch",IF(AM125="Định kỳ",IF(AN125="","Thiếu chu kỳ","Theo chu kỳ"),IF(AM125="Khi phát sinh",IF(COUNTIFS('Lớp 6 - Chi tiết'!$J$14:$J$267,$I125,'Lớp 6 - Chi tiết'!$AE$14:$AE$267,"&lt;&gt;Hủy")=0,"Khi phát sinh – chờ việc con","Khi phát sinh – theo ngày con"),IF(I125="","",LET(n,COUNTIFS('Lớp 6 - Chi tiết'!$J$14:$J$267,$I125,'Lớp 6 - Chi tiết'!$AE$14:$AE$267,"&lt;&gt;Hủy"),cs,IFERROR(MINIFS('Lớp 6 - Chi tiết'!$AG$14:$AG$267,'Lớp 6 - Chi tiết'!$J$14:$J$267,$I125,'Lớp 6 - Chi tiết'!$AE$14:$AE$267,"&lt;&gt;Hủy",'Lớp 6 - Chi tiết'!$AG$14:$AG$267,"&gt;0"),0),ce,IFERROR(MAXIFS('Lớp 6 - Chi tiết'!$AH$14:$AH$267,'Lớp 6 - Chi tiết'!$J$14:$J$267,$I125,'Lớp 6 - Chi tiết'!$AE$14:$AE$267,"&lt;&gt;Hủy",'Lớp 6 - Chi tiết'!$AH$14:$AH$267,"&gt;0"),0),ps,'Trung tâm nhập liệu'!R275,pe,'Trung tâm nhập liệu'!Q275,IF(OR(AD125="",AE125=""),"Thiếu ngày L5",IF(n=0,"Chưa có L6",IF(OR(cs=0,ce=0),"Thiếu ngày L6",IF(OR(ps="",pe=""),"Thiếu ngày kế hoạch gốc L5",IF(OR(cs&lt;ps,ce&gt;pe),"Cảnh báo: Con vượt khung kế hoạch gốc","L6 đúng khung kế hoạch gốc"))))))))))</f>
        <v/>
      </c>
      <c r="AL125" s="465"/>
      <c r="AM125" s="467"/>
      <c r="AN125" s="469"/>
      <c r="AO125" s="470"/>
      <c r="AP125" s="470"/>
      <c r="AQ125" s="471"/>
      <c r="AR125" s="469"/>
      <c r="AS125" s="475"/>
      <c r="AT125" s="476"/>
      <c r="AU125" s="478"/>
      <c r="AV125" s="465"/>
      <c r="AW125" s="465"/>
      <c r="AX125" s="479"/>
    </row>
    <row r="126" ht="15.75" customHeight="1">
      <c r="A126" s="424"/>
      <c r="B126" s="572"/>
      <c r="C126" s="591"/>
      <c r="D126" s="623"/>
      <c r="E126" s="617"/>
      <c r="F126" s="575"/>
      <c r="G126" s="575"/>
      <c r="H126" s="576"/>
      <c r="I126" s="577"/>
      <c r="J126" s="577"/>
      <c r="K126" s="597"/>
      <c r="L126" s="598"/>
      <c r="M126" s="438"/>
      <c r="N126" s="597"/>
      <c r="O126" s="597"/>
      <c r="P126" s="597"/>
      <c r="Q126" s="581"/>
      <c r="R126" s="420"/>
      <c r="S126" s="582"/>
      <c r="T126" s="583"/>
      <c r="U126" s="584" t="str">
        <f>IF($I126="","",LET(n,COUNTIFS('Lớp 6 - Chi tiết'!$J$14:$J$267,$I126,'Lớp 6 - Chi tiết'!$AE$14:$AE$267,"&lt;&gt;Hủy"),child,IFERROR(MAXIFS('Lớp 6 - Chi tiết'!$AH$14:$AH$267,'Lớp 6 - Chi tiết'!$J$14:$J$267,$I126,'Lớp 6 - Chi tiết'!$AE$14:$AE$267,"&lt;&gt;Hủy",'Lớp 6 - Chi tiết'!$AH$14:$AH$267,"&gt;0"),0),plan,'Trung tâm nhập liệu'!Q276,emergent,LOWER(TRIM('Trung tâm nhập liệu'!O276))="khi phát sinh",IF(n=0,IF(emergent,"",plan),IF(child=0,IF(emergent,"",plan),IF(OR(emergent,plan=""),child,MAX(plan,child))))))</f>
        <v/>
      </c>
      <c r="V126" s="584" t="str">
        <f>IF($I126="","",LET(n,COUNTIFS('Lớp 6 - Chi tiết'!$J$14:$J$267,$I126,'Lớp 6 - Chi tiết'!$AE$14:$AE$267,"&lt;&gt;Hủy"),child,IFERROR(MINIFS('Lớp 6 - Chi tiết'!$AG$14:$AG$267,'Lớp 6 - Chi tiết'!$J$14:$J$267,$I126,'Lớp 6 - Chi tiết'!$AE$14:$AE$267,"&lt;&gt;Hủy",'Lớp 6 - Chi tiết'!$AG$14:$AG$267,"&gt;0"),0),plan,'Trung tâm nhập liệu'!R276,emergent,LOWER(TRIM('Trung tâm nhập liệu'!O276))="khi phát sinh",IF(n=0,IF(emergent,"",plan),IF(child=0,IF(emergent,"",plan),IF(OR(emergent,plan=""),child,MIN(plan,child))))))</f>
        <v/>
      </c>
      <c r="W126" s="577"/>
      <c r="X126" s="577"/>
      <c r="Y126" s="585"/>
      <c r="Z126" s="586"/>
      <c r="AA126" s="577"/>
      <c r="AB126" s="572"/>
      <c r="AC126" s="420"/>
      <c r="AD126" s="584"/>
      <c r="AE126" s="584"/>
      <c r="AF126" s="587"/>
      <c r="AG126" s="588"/>
      <c r="AH126" s="587"/>
      <c r="AI126" s="589"/>
      <c r="AJ126" s="468"/>
      <c r="AK126" s="477" t="str">
        <f>IF(AM126="Chưa xếp lịch","Chưa xếp lịch",IF(AM126="Định kỳ",IF(AN126="","Thiếu chu kỳ","Theo chu kỳ"),IF(AM126="Khi phát sinh",IF(COUNTIFS('Lớp 6 - Chi tiết'!$J$14:$J$267,$I126,'Lớp 6 - Chi tiết'!$AE$14:$AE$267,"&lt;&gt;Hủy")=0,"Khi phát sinh – chờ việc con","Khi phát sinh – theo ngày con"),IF(I126="","",LET(n,COUNTIFS('Lớp 6 - Chi tiết'!$J$14:$J$267,$I126,'Lớp 6 - Chi tiết'!$AE$14:$AE$267,"&lt;&gt;Hủy"),cs,IFERROR(MINIFS('Lớp 6 - Chi tiết'!$AG$14:$AG$267,'Lớp 6 - Chi tiết'!$J$14:$J$267,$I126,'Lớp 6 - Chi tiết'!$AE$14:$AE$267,"&lt;&gt;Hủy",'Lớp 6 - Chi tiết'!$AG$14:$AG$267,"&gt;0"),0),ce,IFERROR(MAXIFS('Lớp 6 - Chi tiết'!$AH$14:$AH$267,'Lớp 6 - Chi tiết'!$J$14:$J$267,$I126,'Lớp 6 - Chi tiết'!$AE$14:$AE$267,"&lt;&gt;Hủy",'Lớp 6 - Chi tiết'!$AH$14:$AH$267,"&gt;0"),0),ps,'Trung tâm nhập liệu'!R276,pe,'Trung tâm nhập liệu'!Q276,IF(OR(AD126="",AE126=""),"Thiếu ngày L5",IF(n=0,"Chưa có L6",IF(OR(cs=0,ce=0),"Thiếu ngày L6",IF(OR(ps="",pe=""),"Thiếu ngày kế hoạch gốc L5",IF(OR(cs&lt;ps,ce&gt;pe),"Cảnh báo: Con vượt khung kế hoạch gốc","L6 đúng khung kế hoạch gốc"))))))))))</f>
        <v/>
      </c>
      <c r="AL126" s="465"/>
      <c r="AM126" s="467"/>
      <c r="AN126" s="469"/>
      <c r="AO126" s="470"/>
      <c r="AP126" s="470"/>
      <c r="AQ126" s="471"/>
      <c r="AR126" s="469"/>
      <c r="AS126" s="475"/>
      <c r="AT126" s="476"/>
      <c r="AU126" s="478"/>
      <c r="AV126" s="465"/>
      <c r="AW126" s="465"/>
      <c r="AX126" s="479"/>
    </row>
    <row r="127" ht="15.75" customHeight="1">
      <c r="A127" s="424"/>
      <c r="B127" s="572"/>
      <c r="C127" s="591"/>
      <c r="D127" s="623"/>
      <c r="E127" s="617"/>
      <c r="F127" s="575"/>
      <c r="G127" s="575"/>
      <c r="H127" s="576"/>
      <c r="I127" s="577"/>
      <c r="J127" s="577"/>
      <c r="K127" s="597"/>
      <c r="L127" s="598"/>
      <c r="M127" s="438"/>
      <c r="N127" s="597"/>
      <c r="O127" s="597"/>
      <c r="P127" s="597"/>
      <c r="Q127" s="581"/>
      <c r="R127" s="420"/>
      <c r="S127" s="582"/>
      <c r="T127" s="583"/>
      <c r="U127" s="584" t="str">
        <f>IF($I127="","",LET(n,COUNTIFS('Lớp 6 - Chi tiết'!$J$14:$J$267,$I127,'Lớp 6 - Chi tiết'!$AE$14:$AE$267,"&lt;&gt;Hủy"),child,IFERROR(MAXIFS('Lớp 6 - Chi tiết'!$AH$14:$AH$267,'Lớp 6 - Chi tiết'!$J$14:$J$267,$I127,'Lớp 6 - Chi tiết'!$AE$14:$AE$267,"&lt;&gt;Hủy",'Lớp 6 - Chi tiết'!$AH$14:$AH$267,"&gt;0"),0),plan,'Trung tâm nhập liệu'!Q277,emergent,LOWER(TRIM('Trung tâm nhập liệu'!O277))="khi phát sinh",IF(n=0,IF(emergent,"",plan),IF(child=0,IF(emergent,"",plan),IF(OR(emergent,plan=""),child,MAX(plan,child))))))</f>
        <v/>
      </c>
      <c r="V127" s="584" t="str">
        <f>IF($I127="","",LET(n,COUNTIFS('Lớp 6 - Chi tiết'!$J$14:$J$267,$I127,'Lớp 6 - Chi tiết'!$AE$14:$AE$267,"&lt;&gt;Hủy"),child,IFERROR(MINIFS('Lớp 6 - Chi tiết'!$AG$14:$AG$267,'Lớp 6 - Chi tiết'!$J$14:$J$267,$I127,'Lớp 6 - Chi tiết'!$AE$14:$AE$267,"&lt;&gt;Hủy",'Lớp 6 - Chi tiết'!$AG$14:$AG$267,"&gt;0"),0),plan,'Trung tâm nhập liệu'!R277,emergent,LOWER(TRIM('Trung tâm nhập liệu'!O277))="khi phát sinh",IF(n=0,IF(emergent,"",plan),IF(child=0,IF(emergent,"",plan),IF(OR(emergent,plan=""),child,MIN(plan,child))))))</f>
        <v/>
      </c>
      <c r="W127" s="577"/>
      <c r="X127" s="577"/>
      <c r="Y127" s="585"/>
      <c r="Z127" s="586"/>
      <c r="AA127" s="577"/>
      <c r="AB127" s="572"/>
      <c r="AC127" s="420"/>
      <c r="AD127" s="584"/>
      <c r="AE127" s="584"/>
      <c r="AF127" s="587"/>
      <c r="AG127" s="588"/>
      <c r="AH127" s="587"/>
      <c r="AI127" s="589"/>
      <c r="AJ127" s="468"/>
      <c r="AK127" s="477" t="str">
        <f>IF(AM127="Chưa xếp lịch","Chưa xếp lịch",IF(AM127="Định kỳ",IF(AN127="","Thiếu chu kỳ","Theo chu kỳ"),IF(AM127="Khi phát sinh",IF(COUNTIFS('Lớp 6 - Chi tiết'!$J$14:$J$267,$I127,'Lớp 6 - Chi tiết'!$AE$14:$AE$267,"&lt;&gt;Hủy")=0,"Khi phát sinh – chờ việc con","Khi phát sinh – theo ngày con"),IF(I127="","",LET(n,COUNTIFS('Lớp 6 - Chi tiết'!$J$14:$J$267,$I127,'Lớp 6 - Chi tiết'!$AE$14:$AE$267,"&lt;&gt;Hủy"),cs,IFERROR(MINIFS('Lớp 6 - Chi tiết'!$AG$14:$AG$267,'Lớp 6 - Chi tiết'!$J$14:$J$267,$I127,'Lớp 6 - Chi tiết'!$AE$14:$AE$267,"&lt;&gt;Hủy",'Lớp 6 - Chi tiết'!$AG$14:$AG$267,"&gt;0"),0),ce,IFERROR(MAXIFS('Lớp 6 - Chi tiết'!$AH$14:$AH$267,'Lớp 6 - Chi tiết'!$J$14:$J$267,$I127,'Lớp 6 - Chi tiết'!$AE$14:$AE$267,"&lt;&gt;Hủy",'Lớp 6 - Chi tiết'!$AH$14:$AH$267,"&gt;0"),0),ps,'Trung tâm nhập liệu'!R277,pe,'Trung tâm nhập liệu'!Q277,IF(OR(AD127="",AE127=""),"Thiếu ngày L5",IF(n=0,"Chưa có L6",IF(OR(cs=0,ce=0),"Thiếu ngày L6",IF(OR(ps="",pe=""),"Thiếu ngày kế hoạch gốc L5",IF(OR(cs&lt;ps,ce&gt;pe),"Cảnh báo: Con vượt khung kế hoạch gốc","L6 đúng khung kế hoạch gốc"))))))))))</f>
        <v/>
      </c>
      <c r="AL127" s="465"/>
      <c r="AM127" s="467"/>
      <c r="AN127" s="469"/>
      <c r="AO127" s="470"/>
      <c r="AP127" s="470"/>
      <c r="AQ127" s="471"/>
      <c r="AR127" s="469"/>
      <c r="AS127" s="475"/>
      <c r="AT127" s="476"/>
      <c r="AU127" s="478"/>
      <c r="AV127" s="465"/>
      <c r="AW127" s="465"/>
      <c r="AX127" s="479"/>
    </row>
    <row r="128" ht="15.75" customHeight="1">
      <c r="A128" s="424"/>
      <c r="B128" s="572"/>
      <c r="C128" s="591"/>
      <c r="D128" s="623"/>
      <c r="E128" s="617"/>
      <c r="F128" s="575"/>
      <c r="G128" s="575"/>
      <c r="H128" s="576"/>
      <c r="I128" s="577"/>
      <c r="J128" s="577"/>
      <c r="K128" s="597"/>
      <c r="L128" s="598"/>
      <c r="M128" s="438"/>
      <c r="N128" s="597"/>
      <c r="O128" s="597"/>
      <c r="P128" s="597"/>
      <c r="Q128" s="581"/>
      <c r="R128" s="420"/>
      <c r="S128" s="582"/>
      <c r="T128" s="583"/>
      <c r="U128" s="584" t="str">
        <f>IF($I128="","",LET(n,COUNTIFS('Lớp 6 - Chi tiết'!$J$14:$J$267,$I128,'Lớp 6 - Chi tiết'!$AE$14:$AE$267,"&lt;&gt;Hủy"),child,IFERROR(MAXIFS('Lớp 6 - Chi tiết'!$AH$14:$AH$267,'Lớp 6 - Chi tiết'!$J$14:$J$267,$I128,'Lớp 6 - Chi tiết'!$AE$14:$AE$267,"&lt;&gt;Hủy",'Lớp 6 - Chi tiết'!$AH$14:$AH$267,"&gt;0"),0),plan,'Trung tâm nhập liệu'!Q278,emergent,LOWER(TRIM('Trung tâm nhập liệu'!O278))="khi phát sinh",IF(n=0,IF(emergent,"",plan),IF(child=0,IF(emergent,"",plan),IF(OR(emergent,plan=""),child,MAX(plan,child))))))</f>
        <v/>
      </c>
      <c r="V128" s="584" t="str">
        <f>IF($I128="","",LET(n,COUNTIFS('Lớp 6 - Chi tiết'!$J$14:$J$267,$I128,'Lớp 6 - Chi tiết'!$AE$14:$AE$267,"&lt;&gt;Hủy"),child,IFERROR(MINIFS('Lớp 6 - Chi tiết'!$AG$14:$AG$267,'Lớp 6 - Chi tiết'!$J$14:$J$267,$I128,'Lớp 6 - Chi tiết'!$AE$14:$AE$267,"&lt;&gt;Hủy",'Lớp 6 - Chi tiết'!$AG$14:$AG$267,"&gt;0"),0),plan,'Trung tâm nhập liệu'!R278,emergent,LOWER(TRIM('Trung tâm nhập liệu'!O278))="khi phát sinh",IF(n=0,IF(emergent,"",plan),IF(child=0,IF(emergent,"",plan),IF(OR(emergent,plan=""),child,MIN(plan,child))))))</f>
        <v/>
      </c>
      <c r="W128" s="577"/>
      <c r="X128" s="577"/>
      <c r="Y128" s="585"/>
      <c r="Z128" s="586"/>
      <c r="AA128" s="577"/>
      <c r="AB128" s="572"/>
      <c r="AC128" s="420"/>
      <c r="AD128" s="584"/>
      <c r="AE128" s="584"/>
      <c r="AF128" s="587"/>
      <c r="AG128" s="588"/>
      <c r="AH128" s="587"/>
      <c r="AI128" s="589"/>
      <c r="AJ128" s="468"/>
      <c r="AK128" s="477" t="str">
        <f>IF(AM128="Chưa xếp lịch","Chưa xếp lịch",IF(AM128="Định kỳ",IF(AN128="","Thiếu chu kỳ","Theo chu kỳ"),IF(AM128="Khi phát sinh",IF(COUNTIFS('Lớp 6 - Chi tiết'!$J$14:$J$267,$I128,'Lớp 6 - Chi tiết'!$AE$14:$AE$267,"&lt;&gt;Hủy")=0,"Khi phát sinh – chờ việc con","Khi phát sinh – theo ngày con"),IF(I128="","",LET(n,COUNTIFS('Lớp 6 - Chi tiết'!$J$14:$J$267,$I128,'Lớp 6 - Chi tiết'!$AE$14:$AE$267,"&lt;&gt;Hủy"),cs,IFERROR(MINIFS('Lớp 6 - Chi tiết'!$AG$14:$AG$267,'Lớp 6 - Chi tiết'!$J$14:$J$267,$I128,'Lớp 6 - Chi tiết'!$AE$14:$AE$267,"&lt;&gt;Hủy",'Lớp 6 - Chi tiết'!$AG$14:$AG$267,"&gt;0"),0),ce,IFERROR(MAXIFS('Lớp 6 - Chi tiết'!$AH$14:$AH$267,'Lớp 6 - Chi tiết'!$J$14:$J$267,$I128,'Lớp 6 - Chi tiết'!$AE$14:$AE$267,"&lt;&gt;Hủy",'Lớp 6 - Chi tiết'!$AH$14:$AH$267,"&gt;0"),0),ps,'Trung tâm nhập liệu'!R278,pe,'Trung tâm nhập liệu'!Q278,IF(OR(AD128="",AE128=""),"Thiếu ngày L5",IF(n=0,"Chưa có L6",IF(OR(cs=0,ce=0),"Thiếu ngày L6",IF(OR(ps="",pe=""),"Thiếu ngày kế hoạch gốc L5",IF(OR(cs&lt;ps,ce&gt;pe),"Cảnh báo: Con vượt khung kế hoạch gốc","L6 đúng khung kế hoạch gốc"))))))))))</f>
        <v/>
      </c>
      <c r="AL128" s="465"/>
      <c r="AM128" s="467"/>
      <c r="AN128" s="469"/>
      <c r="AO128" s="470"/>
      <c r="AP128" s="470"/>
      <c r="AQ128" s="471"/>
      <c r="AR128" s="469"/>
      <c r="AS128" s="475"/>
      <c r="AT128" s="476"/>
      <c r="AU128" s="478"/>
      <c r="AV128" s="465"/>
      <c r="AW128" s="465"/>
      <c r="AX128" s="479"/>
    </row>
    <row r="129" ht="15.75" customHeight="1">
      <c r="A129" s="424"/>
      <c r="B129" s="572"/>
      <c r="C129" s="591"/>
      <c r="D129" s="623"/>
      <c r="E129" s="617"/>
      <c r="F129" s="575"/>
      <c r="G129" s="575"/>
      <c r="H129" s="576"/>
      <c r="I129" s="577"/>
      <c r="J129" s="577"/>
      <c r="K129" s="597"/>
      <c r="L129" s="598"/>
      <c r="M129" s="438"/>
      <c r="N129" s="597"/>
      <c r="O129" s="597"/>
      <c r="P129" s="597"/>
      <c r="Q129" s="581"/>
      <c r="R129" s="420"/>
      <c r="S129" s="582"/>
      <c r="T129" s="583"/>
      <c r="U129" s="584" t="str">
        <f>IF($I129="","",LET(n,COUNTIFS('Lớp 6 - Chi tiết'!$J$14:$J$267,$I129,'Lớp 6 - Chi tiết'!$AE$14:$AE$267,"&lt;&gt;Hủy"),child,IFERROR(MAXIFS('Lớp 6 - Chi tiết'!$AH$14:$AH$267,'Lớp 6 - Chi tiết'!$J$14:$J$267,$I129,'Lớp 6 - Chi tiết'!$AE$14:$AE$267,"&lt;&gt;Hủy",'Lớp 6 - Chi tiết'!$AH$14:$AH$267,"&gt;0"),0),plan,'Trung tâm nhập liệu'!Q279,emergent,LOWER(TRIM('Trung tâm nhập liệu'!O279))="khi phát sinh",IF(n=0,IF(emergent,"",plan),IF(child=0,IF(emergent,"",plan),IF(OR(emergent,plan=""),child,MAX(plan,child))))))</f>
        <v/>
      </c>
      <c r="V129" s="584" t="str">
        <f>IF($I129="","",LET(n,COUNTIFS('Lớp 6 - Chi tiết'!$J$14:$J$267,$I129,'Lớp 6 - Chi tiết'!$AE$14:$AE$267,"&lt;&gt;Hủy"),child,IFERROR(MINIFS('Lớp 6 - Chi tiết'!$AG$14:$AG$267,'Lớp 6 - Chi tiết'!$J$14:$J$267,$I129,'Lớp 6 - Chi tiết'!$AE$14:$AE$267,"&lt;&gt;Hủy",'Lớp 6 - Chi tiết'!$AG$14:$AG$267,"&gt;0"),0),plan,'Trung tâm nhập liệu'!R279,emergent,LOWER(TRIM('Trung tâm nhập liệu'!O279))="khi phát sinh",IF(n=0,IF(emergent,"",plan),IF(child=0,IF(emergent,"",plan),IF(OR(emergent,plan=""),child,MIN(plan,child))))))</f>
        <v/>
      </c>
      <c r="W129" s="577"/>
      <c r="X129" s="577"/>
      <c r="Y129" s="585"/>
      <c r="Z129" s="586"/>
      <c r="AA129" s="577"/>
      <c r="AB129" s="572"/>
      <c r="AC129" s="420"/>
      <c r="AD129" s="584"/>
      <c r="AE129" s="584"/>
      <c r="AF129" s="587"/>
      <c r="AG129" s="588"/>
      <c r="AH129" s="587"/>
      <c r="AI129" s="589"/>
      <c r="AJ129" s="468"/>
      <c r="AK129" s="477" t="str">
        <f>IF(AM129="Chưa xếp lịch","Chưa xếp lịch",IF(AM129="Định kỳ",IF(AN129="","Thiếu chu kỳ","Theo chu kỳ"),IF(AM129="Khi phát sinh",IF(COUNTIFS('Lớp 6 - Chi tiết'!$J$14:$J$267,$I129,'Lớp 6 - Chi tiết'!$AE$14:$AE$267,"&lt;&gt;Hủy")=0,"Khi phát sinh – chờ việc con","Khi phát sinh – theo ngày con"),IF(I129="","",LET(n,COUNTIFS('Lớp 6 - Chi tiết'!$J$14:$J$267,$I129,'Lớp 6 - Chi tiết'!$AE$14:$AE$267,"&lt;&gt;Hủy"),cs,IFERROR(MINIFS('Lớp 6 - Chi tiết'!$AG$14:$AG$267,'Lớp 6 - Chi tiết'!$J$14:$J$267,$I129,'Lớp 6 - Chi tiết'!$AE$14:$AE$267,"&lt;&gt;Hủy",'Lớp 6 - Chi tiết'!$AG$14:$AG$267,"&gt;0"),0),ce,IFERROR(MAXIFS('Lớp 6 - Chi tiết'!$AH$14:$AH$267,'Lớp 6 - Chi tiết'!$J$14:$J$267,$I129,'Lớp 6 - Chi tiết'!$AE$14:$AE$267,"&lt;&gt;Hủy",'Lớp 6 - Chi tiết'!$AH$14:$AH$267,"&gt;0"),0),ps,'Trung tâm nhập liệu'!R279,pe,'Trung tâm nhập liệu'!Q279,IF(OR(AD129="",AE129=""),"Thiếu ngày L5",IF(n=0,"Chưa có L6",IF(OR(cs=0,ce=0),"Thiếu ngày L6",IF(OR(ps="",pe=""),"Thiếu ngày kế hoạch gốc L5",IF(OR(cs&lt;ps,ce&gt;pe),"Cảnh báo: Con vượt khung kế hoạch gốc","L6 đúng khung kế hoạch gốc"))))))))))</f>
        <v/>
      </c>
      <c r="AL129" s="465"/>
      <c r="AM129" s="467"/>
      <c r="AN129" s="469"/>
      <c r="AO129" s="470"/>
      <c r="AP129" s="470"/>
      <c r="AQ129" s="471"/>
      <c r="AR129" s="469"/>
      <c r="AS129" s="475"/>
      <c r="AT129" s="476"/>
      <c r="AU129" s="478"/>
      <c r="AV129" s="465"/>
      <c r="AW129" s="465"/>
      <c r="AX129" s="479"/>
    </row>
    <row r="130" ht="15.75" customHeight="1">
      <c r="A130" s="424"/>
      <c r="B130" s="572"/>
      <c r="C130" s="591"/>
      <c r="D130" s="623"/>
      <c r="E130" s="617"/>
      <c r="F130" s="575"/>
      <c r="G130" s="575"/>
      <c r="H130" s="576"/>
      <c r="I130" s="577"/>
      <c r="J130" s="577"/>
      <c r="K130" s="597"/>
      <c r="L130" s="598"/>
      <c r="M130" s="438"/>
      <c r="N130" s="597"/>
      <c r="O130" s="597"/>
      <c r="P130" s="597"/>
      <c r="Q130" s="581"/>
      <c r="R130" s="420"/>
      <c r="S130" s="582"/>
      <c r="T130" s="583"/>
      <c r="U130" s="584" t="str">
        <f>IF($I130="","",LET(n,COUNTIFS('Lớp 6 - Chi tiết'!$J$14:$J$267,$I130,'Lớp 6 - Chi tiết'!$AE$14:$AE$267,"&lt;&gt;Hủy"),child,IFERROR(MAXIFS('Lớp 6 - Chi tiết'!$AH$14:$AH$267,'Lớp 6 - Chi tiết'!$J$14:$J$267,$I130,'Lớp 6 - Chi tiết'!$AE$14:$AE$267,"&lt;&gt;Hủy",'Lớp 6 - Chi tiết'!$AH$14:$AH$267,"&gt;0"),0),plan,'Trung tâm nhập liệu'!Q280,emergent,LOWER(TRIM('Trung tâm nhập liệu'!O280))="khi phát sinh",IF(n=0,IF(emergent,"",plan),IF(child=0,IF(emergent,"",plan),IF(OR(emergent,plan=""),child,MAX(plan,child))))))</f>
        <v/>
      </c>
      <c r="V130" s="584" t="str">
        <f>IF($I130="","",LET(n,COUNTIFS('Lớp 6 - Chi tiết'!$J$14:$J$267,$I130,'Lớp 6 - Chi tiết'!$AE$14:$AE$267,"&lt;&gt;Hủy"),child,IFERROR(MINIFS('Lớp 6 - Chi tiết'!$AG$14:$AG$267,'Lớp 6 - Chi tiết'!$J$14:$J$267,$I130,'Lớp 6 - Chi tiết'!$AE$14:$AE$267,"&lt;&gt;Hủy",'Lớp 6 - Chi tiết'!$AG$14:$AG$267,"&gt;0"),0),plan,'Trung tâm nhập liệu'!R280,emergent,LOWER(TRIM('Trung tâm nhập liệu'!O280))="khi phát sinh",IF(n=0,IF(emergent,"",plan),IF(child=0,IF(emergent,"",plan),IF(OR(emergent,plan=""),child,MIN(plan,child))))))</f>
        <v/>
      </c>
      <c r="W130" s="577"/>
      <c r="X130" s="577"/>
      <c r="Y130" s="585"/>
      <c r="Z130" s="586"/>
      <c r="AA130" s="577"/>
      <c r="AB130" s="572"/>
      <c r="AC130" s="420"/>
      <c r="AD130" s="584"/>
      <c r="AE130" s="584"/>
      <c r="AF130" s="587"/>
      <c r="AG130" s="588"/>
      <c r="AH130" s="587"/>
      <c r="AI130" s="589"/>
      <c r="AJ130" s="468"/>
      <c r="AK130" s="477" t="str">
        <f>IF(AM130="Chưa xếp lịch","Chưa xếp lịch",IF(AM130="Định kỳ",IF(AN130="","Thiếu chu kỳ","Theo chu kỳ"),IF(AM130="Khi phát sinh",IF(COUNTIFS('Lớp 6 - Chi tiết'!$J$14:$J$267,$I130,'Lớp 6 - Chi tiết'!$AE$14:$AE$267,"&lt;&gt;Hủy")=0,"Khi phát sinh – chờ việc con","Khi phát sinh – theo ngày con"),IF(I130="","",LET(n,COUNTIFS('Lớp 6 - Chi tiết'!$J$14:$J$267,$I130,'Lớp 6 - Chi tiết'!$AE$14:$AE$267,"&lt;&gt;Hủy"),cs,IFERROR(MINIFS('Lớp 6 - Chi tiết'!$AG$14:$AG$267,'Lớp 6 - Chi tiết'!$J$14:$J$267,$I130,'Lớp 6 - Chi tiết'!$AE$14:$AE$267,"&lt;&gt;Hủy",'Lớp 6 - Chi tiết'!$AG$14:$AG$267,"&gt;0"),0),ce,IFERROR(MAXIFS('Lớp 6 - Chi tiết'!$AH$14:$AH$267,'Lớp 6 - Chi tiết'!$J$14:$J$267,$I130,'Lớp 6 - Chi tiết'!$AE$14:$AE$267,"&lt;&gt;Hủy",'Lớp 6 - Chi tiết'!$AH$14:$AH$267,"&gt;0"),0),ps,'Trung tâm nhập liệu'!R280,pe,'Trung tâm nhập liệu'!Q280,IF(OR(AD130="",AE130=""),"Thiếu ngày L5",IF(n=0,"Chưa có L6",IF(OR(cs=0,ce=0),"Thiếu ngày L6",IF(OR(ps="",pe=""),"Thiếu ngày kế hoạch gốc L5",IF(OR(cs&lt;ps,ce&gt;pe),"Cảnh báo: Con vượt khung kế hoạch gốc","L6 đúng khung kế hoạch gốc"))))))))))</f>
        <v/>
      </c>
      <c r="AL130" s="465"/>
      <c r="AM130" s="467"/>
      <c r="AN130" s="469"/>
      <c r="AO130" s="470"/>
      <c r="AP130" s="470"/>
      <c r="AQ130" s="471"/>
      <c r="AR130" s="469"/>
      <c r="AS130" s="475"/>
      <c r="AT130" s="476"/>
      <c r="AU130" s="478"/>
      <c r="AV130" s="465"/>
      <c r="AW130" s="465"/>
      <c r="AX130" s="479"/>
    </row>
    <row r="131" ht="15.75" customHeight="1">
      <c r="A131" s="424"/>
      <c r="B131" s="572"/>
      <c r="C131" s="591"/>
      <c r="D131" s="623"/>
      <c r="E131" s="617"/>
      <c r="F131" s="575"/>
      <c r="G131" s="575"/>
      <c r="H131" s="576"/>
      <c r="I131" s="577"/>
      <c r="J131" s="577"/>
      <c r="K131" s="597"/>
      <c r="L131" s="598"/>
      <c r="M131" s="438"/>
      <c r="N131" s="597"/>
      <c r="O131" s="597"/>
      <c r="P131" s="597"/>
      <c r="Q131" s="581"/>
      <c r="R131" s="420"/>
      <c r="S131" s="582"/>
      <c r="T131" s="583"/>
      <c r="U131" s="584" t="str">
        <f>IF($I131="","",LET(n,COUNTIFS('Lớp 6 - Chi tiết'!$J$14:$J$267,$I131,'Lớp 6 - Chi tiết'!$AE$14:$AE$267,"&lt;&gt;Hủy"),child,IFERROR(MAXIFS('Lớp 6 - Chi tiết'!$AH$14:$AH$267,'Lớp 6 - Chi tiết'!$J$14:$J$267,$I131,'Lớp 6 - Chi tiết'!$AE$14:$AE$267,"&lt;&gt;Hủy",'Lớp 6 - Chi tiết'!$AH$14:$AH$267,"&gt;0"),0),plan,'Trung tâm nhập liệu'!Q281,emergent,LOWER(TRIM('Trung tâm nhập liệu'!O281))="khi phát sinh",IF(n=0,IF(emergent,"",plan),IF(child=0,IF(emergent,"",plan),IF(OR(emergent,plan=""),child,MAX(plan,child))))))</f>
        <v/>
      </c>
      <c r="V131" s="584" t="str">
        <f>IF($I131="","",LET(n,COUNTIFS('Lớp 6 - Chi tiết'!$J$14:$J$267,$I131,'Lớp 6 - Chi tiết'!$AE$14:$AE$267,"&lt;&gt;Hủy"),child,IFERROR(MINIFS('Lớp 6 - Chi tiết'!$AG$14:$AG$267,'Lớp 6 - Chi tiết'!$J$14:$J$267,$I131,'Lớp 6 - Chi tiết'!$AE$14:$AE$267,"&lt;&gt;Hủy",'Lớp 6 - Chi tiết'!$AG$14:$AG$267,"&gt;0"),0),plan,'Trung tâm nhập liệu'!R281,emergent,LOWER(TRIM('Trung tâm nhập liệu'!O281))="khi phát sinh",IF(n=0,IF(emergent,"",plan),IF(child=0,IF(emergent,"",plan),IF(OR(emergent,plan=""),child,MIN(plan,child))))))</f>
        <v/>
      </c>
      <c r="W131" s="577"/>
      <c r="X131" s="577"/>
      <c r="Y131" s="585"/>
      <c r="Z131" s="586"/>
      <c r="AA131" s="577"/>
      <c r="AB131" s="572"/>
      <c r="AC131" s="420"/>
      <c r="AD131" s="584"/>
      <c r="AE131" s="584"/>
      <c r="AF131" s="587"/>
      <c r="AG131" s="588"/>
      <c r="AH131" s="587"/>
      <c r="AI131" s="589"/>
      <c r="AJ131" s="468"/>
      <c r="AK131" s="477" t="str">
        <f>IF(AM131="Chưa xếp lịch","Chưa xếp lịch",IF(AM131="Định kỳ",IF(AN131="","Thiếu chu kỳ","Theo chu kỳ"),IF(AM131="Khi phát sinh",IF(COUNTIFS('Lớp 6 - Chi tiết'!$J$14:$J$267,$I131,'Lớp 6 - Chi tiết'!$AE$14:$AE$267,"&lt;&gt;Hủy")=0,"Khi phát sinh – chờ việc con","Khi phát sinh – theo ngày con"),IF(I131="","",LET(n,COUNTIFS('Lớp 6 - Chi tiết'!$J$14:$J$267,$I131,'Lớp 6 - Chi tiết'!$AE$14:$AE$267,"&lt;&gt;Hủy"),cs,IFERROR(MINIFS('Lớp 6 - Chi tiết'!$AG$14:$AG$267,'Lớp 6 - Chi tiết'!$J$14:$J$267,$I131,'Lớp 6 - Chi tiết'!$AE$14:$AE$267,"&lt;&gt;Hủy",'Lớp 6 - Chi tiết'!$AG$14:$AG$267,"&gt;0"),0),ce,IFERROR(MAXIFS('Lớp 6 - Chi tiết'!$AH$14:$AH$267,'Lớp 6 - Chi tiết'!$J$14:$J$267,$I131,'Lớp 6 - Chi tiết'!$AE$14:$AE$267,"&lt;&gt;Hủy",'Lớp 6 - Chi tiết'!$AH$14:$AH$267,"&gt;0"),0),ps,'Trung tâm nhập liệu'!R281,pe,'Trung tâm nhập liệu'!Q281,IF(OR(AD131="",AE131=""),"Thiếu ngày L5",IF(n=0,"Chưa có L6",IF(OR(cs=0,ce=0),"Thiếu ngày L6",IF(OR(ps="",pe=""),"Thiếu ngày kế hoạch gốc L5",IF(OR(cs&lt;ps,ce&gt;pe),"Cảnh báo: Con vượt khung kế hoạch gốc","L6 đúng khung kế hoạch gốc"))))))))))</f>
        <v/>
      </c>
      <c r="AL131" s="465"/>
      <c r="AM131" s="467"/>
      <c r="AN131" s="469"/>
      <c r="AO131" s="470"/>
      <c r="AP131" s="470"/>
      <c r="AQ131" s="471"/>
      <c r="AR131" s="469"/>
      <c r="AS131" s="475"/>
      <c r="AT131" s="476"/>
      <c r="AU131" s="478"/>
      <c r="AV131" s="465"/>
      <c r="AW131" s="465"/>
      <c r="AX131" s="479"/>
    </row>
    <row r="132" ht="15.75" customHeight="1">
      <c r="A132" s="424"/>
      <c r="B132" s="572"/>
      <c r="C132" s="591"/>
      <c r="D132" s="623"/>
      <c r="E132" s="617"/>
      <c r="F132" s="575"/>
      <c r="G132" s="575"/>
      <c r="H132" s="576"/>
      <c r="I132" s="577"/>
      <c r="J132" s="577"/>
      <c r="K132" s="597"/>
      <c r="L132" s="598"/>
      <c r="M132" s="438"/>
      <c r="N132" s="597"/>
      <c r="O132" s="597"/>
      <c r="P132" s="597"/>
      <c r="Q132" s="581"/>
      <c r="R132" s="420"/>
      <c r="S132" s="582"/>
      <c r="T132" s="583"/>
      <c r="U132" s="584" t="str">
        <f>IF($I132="","",LET(n,COUNTIFS('Lớp 6 - Chi tiết'!$J$14:$J$267,$I132,'Lớp 6 - Chi tiết'!$AE$14:$AE$267,"&lt;&gt;Hủy"),child,IFERROR(MAXIFS('Lớp 6 - Chi tiết'!$AH$14:$AH$267,'Lớp 6 - Chi tiết'!$J$14:$J$267,$I132,'Lớp 6 - Chi tiết'!$AE$14:$AE$267,"&lt;&gt;Hủy",'Lớp 6 - Chi tiết'!$AH$14:$AH$267,"&gt;0"),0),plan,'Trung tâm nhập liệu'!Q282,emergent,LOWER(TRIM('Trung tâm nhập liệu'!O282))="khi phát sinh",IF(n=0,IF(emergent,"",plan),IF(child=0,IF(emergent,"",plan),IF(OR(emergent,plan=""),child,MAX(plan,child))))))</f>
        <v/>
      </c>
      <c r="V132" s="584" t="str">
        <f>IF($I132="","",LET(n,COUNTIFS('Lớp 6 - Chi tiết'!$J$14:$J$267,$I132,'Lớp 6 - Chi tiết'!$AE$14:$AE$267,"&lt;&gt;Hủy"),child,IFERROR(MINIFS('Lớp 6 - Chi tiết'!$AG$14:$AG$267,'Lớp 6 - Chi tiết'!$J$14:$J$267,$I132,'Lớp 6 - Chi tiết'!$AE$14:$AE$267,"&lt;&gt;Hủy",'Lớp 6 - Chi tiết'!$AG$14:$AG$267,"&gt;0"),0),plan,'Trung tâm nhập liệu'!R282,emergent,LOWER(TRIM('Trung tâm nhập liệu'!O282))="khi phát sinh",IF(n=0,IF(emergent,"",plan),IF(child=0,IF(emergent,"",plan),IF(OR(emergent,plan=""),child,MIN(plan,child))))))</f>
        <v/>
      </c>
      <c r="W132" s="577"/>
      <c r="X132" s="577"/>
      <c r="Y132" s="585"/>
      <c r="Z132" s="586"/>
      <c r="AA132" s="577"/>
      <c r="AB132" s="572"/>
      <c r="AC132" s="420"/>
      <c r="AD132" s="584"/>
      <c r="AE132" s="584"/>
      <c r="AF132" s="587"/>
      <c r="AG132" s="588"/>
      <c r="AH132" s="587"/>
      <c r="AI132" s="589"/>
      <c r="AJ132" s="468"/>
      <c r="AK132" s="477" t="str">
        <f>IF(AM132="Chưa xếp lịch","Chưa xếp lịch",IF(AM132="Định kỳ",IF(AN132="","Thiếu chu kỳ","Theo chu kỳ"),IF(AM132="Khi phát sinh",IF(COUNTIFS('Lớp 6 - Chi tiết'!$J$14:$J$267,$I132,'Lớp 6 - Chi tiết'!$AE$14:$AE$267,"&lt;&gt;Hủy")=0,"Khi phát sinh – chờ việc con","Khi phát sinh – theo ngày con"),IF(I132="","",LET(n,COUNTIFS('Lớp 6 - Chi tiết'!$J$14:$J$267,$I132,'Lớp 6 - Chi tiết'!$AE$14:$AE$267,"&lt;&gt;Hủy"),cs,IFERROR(MINIFS('Lớp 6 - Chi tiết'!$AG$14:$AG$267,'Lớp 6 - Chi tiết'!$J$14:$J$267,$I132,'Lớp 6 - Chi tiết'!$AE$14:$AE$267,"&lt;&gt;Hủy",'Lớp 6 - Chi tiết'!$AG$14:$AG$267,"&gt;0"),0),ce,IFERROR(MAXIFS('Lớp 6 - Chi tiết'!$AH$14:$AH$267,'Lớp 6 - Chi tiết'!$J$14:$J$267,$I132,'Lớp 6 - Chi tiết'!$AE$14:$AE$267,"&lt;&gt;Hủy",'Lớp 6 - Chi tiết'!$AH$14:$AH$267,"&gt;0"),0),ps,'Trung tâm nhập liệu'!R282,pe,'Trung tâm nhập liệu'!Q282,IF(OR(AD132="",AE132=""),"Thiếu ngày L5",IF(n=0,"Chưa có L6",IF(OR(cs=0,ce=0),"Thiếu ngày L6",IF(OR(ps="",pe=""),"Thiếu ngày kế hoạch gốc L5",IF(OR(cs&lt;ps,ce&gt;pe),"Cảnh báo: Con vượt khung kế hoạch gốc","L6 đúng khung kế hoạch gốc"))))))))))</f>
        <v/>
      </c>
      <c r="AL132" s="465"/>
      <c r="AM132" s="467"/>
      <c r="AN132" s="469"/>
      <c r="AO132" s="470"/>
      <c r="AP132" s="470"/>
      <c r="AQ132" s="471"/>
      <c r="AR132" s="469"/>
      <c r="AS132" s="475"/>
      <c r="AT132" s="476"/>
      <c r="AU132" s="478"/>
      <c r="AV132" s="465"/>
      <c r="AW132" s="465"/>
      <c r="AX132" s="479"/>
    </row>
    <row r="133" ht="15.75" customHeight="1">
      <c r="A133" s="424"/>
      <c r="B133" s="572"/>
      <c r="C133" s="591"/>
      <c r="D133" s="623"/>
      <c r="E133" s="617"/>
      <c r="F133" s="575"/>
      <c r="G133" s="575"/>
      <c r="H133" s="576"/>
      <c r="I133" s="577"/>
      <c r="J133" s="577"/>
      <c r="K133" s="597"/>
      <c r="L133" s="598"/>
      <c r="M133" s="438"/>
      <c r="N133" s="597"/>
      <c r="O133" s="597"/>
      <c r="P133" s="597"/>
      <c r="Q133" s="581"/>
      <c r="R133" s="420"/>
      <c r="S133" s="582"/>
      <c r="T133" s="583"/>
      <c r="U133" s="584" t="str">
        <f>IF($I133="","",LET(n,COUNTIFS('Lớp 6 - Chi tiết'!$J$14:$J$267,$I133,'Lớp 6 - Chi tiết'!$AE$14:$AE$267,"&lt;&gt;Hủy"),child,IFERROR(MAXIFS('Lớp 6 - Chi tiết'!$AH$14:$AH$267,'Lớp 6 - Chi tiết'!$J$14:$J$267,$I133,'Lớp 6 - Chi tiết'!$AE$14:$AE$267,"&lt;&gt;Hủy",'Lớp 6 - Chi tiết'!$AH$14:$AH$267,"&gt;0"),0),plan,'Trung tâm nhập liệu'!Q283,emergent,LOWER(TRIM('Trung tâm nhập liệu'!O283))="khi phát sinh",IF(n=0,IF(emergent,"",plan),IF(child=0,IF(emergent,"",plan),IF(OR(emergent,plan=""),child,MAX(plan,child))))))</f>
        <v/>
      </c>
      <c r="V133" s="584" t="str">
        <f>IF($I133="","",LET(n,COUNTIFS('Lớp 6 - Chi tiết'!$J$14:$J$267,$I133,'Lớp 6 - Chi tiết'!$AE$14:$AE$267,"&lt;&gt;Hủy"),child,IFERROR(MINIFS('Lớp 6 - Chi tiết'!$AG$14:$AG$267,'Lớp 6 - Chi tiết'!$J$14:$J$267,$I133,'Lớp 6 - Chi tiết'!$AE$14:$AE$267,"&lt;&gt;Hủy",'Lớp 6 - Chi tiết'!$AG$14:$AG$267,"&gt;0"),0),plan,'Trung tâm nhập liệu'!R283,emergent,LOWER(TRIM('Trung tâm nhập liệu'!O283))="khi phát sinh",IF(n=0,IF(emergent,"",plan),IF(child=0,IF(emergent,"",plan),IF(OR(emergent,plan=""),child,MIN(plan,child))))))</f>
        <v/>
      </c>
      <c r="W133" s="577"/>
      <c r="X133" s="577"/>
      <c r="Y133" s="585"/>
      <c r="Z133" s="586"/>
      <c r="AA133" s="577"/>
      <c r="AB133" s="572"/>
      <c r="AC133" s="420"/>
      <c r="AD133" s="584"/>
      <c r="AE133" s="584"/>
      <c r="AF133" s="587"/>
      <c r="AG133" s="588"/>
      <c r="AH133" s="587"/>
      <c r="AI133" s="589"/>
      <c r="AJ133" s="468"/>
      <c r="AK133" s="477" t="str">
        <f>IF(AM133="Chưa xếp lịch","Chưa xếp lịch",IF(AM133="Định kỳ",IF(AN133="","Thiếu chu kỳ","Theo chu kỳ"),IF(AM133="Khi phát sinh",IF(COUNTIFS('Lớp 6 - Chi tiết'!$J$14:$J$267,$I133,'Lớp 6 - Chi tiết'!$AE$14:$AE$267,"&lt;&gt;Hủy")=0,"Khi phát sinh – chờ việc con","Khi phát sinh – theo ngày con"),IF(I133="","",LET(n,COUNTIFS('Lớp 6 - Chi tiết'!$J$14:$J$267,$I133,'Lớp 6 - Chi tiết'!$AE$14:$AE$267,"&lt;&gt;Hủy"),cs,IFERROR(MINIFS('Lớp 6 - Chi tiết'!$AG$14:$AG$267,'Lớp 6 - Chi tiết'!$J$14:$J$267,$I133,'Lớp 6 - Chi tiết'!$AE$14:$AE$267,"&lt;&gt;Hủy",'Lớp 6 - Chi tiết'!$AG$14:$AG$267,"&gt;0"),0),ce,IFERROR(MAXIFS('Lớp 6 - Chi tiết'!$AH$14:$AH$267,'Lớp 6 - Chi tiết'!$J$14:$J$267,$I133,'Lớp 6 - Chi tiết'!$AE$14:$AE$267,"&lt;&gt;Hủy",'Lớp 6 - Chi tiết'!$AH$14:$AH$267,"&gt;0"),0),ps,'Trung tâm nhập liệu'!R283,pe,'Trung tâm nhập liệu'!Q283,IF(OR(AD133="",AE133=""),"Thiếu ngày L5",IF(n=0,"Chưa có L6",IF(OR(cs=0,ce=0),"Thiếu ngày L6",IF(OR(ps="",pe=""),"Thiếu ngày kế hoạch gốc L5",IF(OR(cs&lt;ps,ce&gt;pe),"Cảnh báo: Con vượt khung kế hoạch gốc","L6 đúng khung kế hoạch gốc"))))))))))</f>
        <v/>
      </c>
      <c r="AL133" s="465"/>
      <c r="AM133" s="467"/>
      <c r="AN133" s="469"/>
      <c r="AO133" s="470"/>
      <c r="AP133" s="470"/>
      <c r="AQ133" s="471"/>
      <c r="AR133" s="469"/>
      <c r="AS133" s="475"/>
      <c r="AT133" s="476"/>
      <c r="AU133" s="478"/>
      <c r="AV133" s="465"/>
      <c r="AW133" s="465"/>
      <c r="AX133" s="479"/>
    </row>
    <row r="134" ht="15.75" customHeight="1">
      <c r="A134" s="424"/>
      <c r="B134" s="572"/>
      <c r="C134" s="591"/>
      <c r="D134" s="623"/>
      <c r="E134" s="617"/>
      <c r="F134" s="575"/>
      <c r="G134" s="575"/>
      <c r="H134" s="576"/>
      <c r="I134" s="577"/>
      <c r="J134" s="577"/>
      <c r="K134" s="597"/>
      <c r="L134" s="598"/>
      <c r="M134" s="438"/>
      <c r="N134" s="597"/>
      <c r="O134" s="597"/>
      <c r="P134" s="597"/>
      <c r="Q134" s="581"/>
      <c r="R134" s="420"/>
      <c r="S134" s="582"/>
      <c r="T134" s="583"/>
      <c r="U134" s="584" t="str">
        <f>IF($I134="","",LET(n,COUNTIFS('Lớp 6 - Chi tiết'!$J$14:$J$267,$I134,'Lớp 6 - Chi tiết'!$AE$14:$AE$267,"&lt;&gt;Hủy"),child,IFERROR(MAXIFS('Lớp 6 - Chi tiết'!$AH$14:$AH$267,'Lớp 6 - Chi tiết'!$J$14:$J$267,$I134,'Lớp 6 - Chi tiết'!$AE$14:$AE$267,"&lt;&gt;Hủy",'Lớp 6 - Chi tiết'!$AH$14:$AH$267,"&gt;0"),0),plan,'Trung tâm nhập liệu'!Q284,emergent,LOWER(TRIM('Trung tâm nhập liệu'!O284))="khi phát sinh",IF(n=0,IF(emergent,"",plan),IF(child=0,IF(emergent,"",plan),IF(OR(emergent,plan=""),child,MAX(plan,child))))))</f>
        <v/>
      </c>
      <c r="V134" s="584" t="str">
        <f>IF($I134="","",LET(n,COUNTIFS('Lớp 6 - Chi tiết'!$J$14:$J$267,$I134,'Lớp 6 - Chi tiết'!$AE$14:$AE$267,"&lt;&gt;Hủy"),child,IFERROR(MINIFS('Lớp 6 - Chi tiết'!$AG$14:$AG$267,'Lớp 6 - Chi tiết'!$J$14:$J$267,$I134,'Lớp 6 - Chi tiết'!$AE$14:$AE$267,"&lt;&gt;Hủy",'Lớp 6 - Chi tiết'!$AG$14:$AG$267,"&gt;0"),0),plan,'Trung tâm nhập liệu'!R284,emergent,LOWER(TRIM('Trung tâm nhập liệu'!O284))="khi phát sinh",IF(n=0,IF(emergent,"",plan),IF(child=0,IF(emergent,"",plan),IF(OR(emergent,plan=""),child,MIN(plan,child))))))</f>
        <v/>
      </c>
      <c r="W134" s="577"/>
      <c r="X134" s="577"/>
      <c r="Y134" s="585"/>
      <c r="Z134" s="586"/>
      <c r="AA134" s="577"/>
      <c r="AB134" s="572"/>
      <c r="AC134" s="420"/>
      <c r="AD134" s="584"/>
      <c r="AE134" s="584"/>
      <c r="AF134" s="587"/>
      <c r="AG134" s="588"/>
      <c r="AH134" s="587"/>
      <c r="AI134" s="589"/>
      <c r="AJ134" s="468"/>
      <c r="AK134" s="477" t="str">
        <f>IF(AM134="Chưa xếp lịch","Chưa xếp lịch",IF(AM134="Định kỳ",IF(AN134="","Thiếu chu kỳ","Theo chu kỳ"),IF(AM134="Khi phát sinh",IF(COUNTIFS('Lớp 6 - Chi tiết'!$J$14:$J$267,$I134,'Lớp 6 - Chi tiết'!$AE$14:$AE$267,"&lt;&gt;Hủy")=0,"Khi phát sinh – chờ việc con","Khi phát sinh – theo ngày con"),IF(I134="","",LET(n,COUNTIFS('Lớp 6 - Chi tiết'!$J$14:$J$267,$I134,'Lớp 6 - Chi tiết'!$AE$14:$AE$267,"&lt;&gt;Hủy"),cs,IFERROR(MINIFS('Lớp 6 - Chi tiết'!$AG$14:$AG$267,'Lớp 6 - Chi tiết'!$J$14:$J$267,$I134,'Lớp 6 - Chi tiết'!$AE$14:$AE$267,"&lt;&gt;Hủy",'Lớp 6 - Chi tiết'!$AG$14:$AG$267,"&gt;0"),0),ce,IFERROR(MAXIFS('Lớp 6 - Chi tiết'!$AH$14:$AH$267,'Lớp 6 - Chi tiết'!$J$14:$J$267,$I134,'Lớp 6 - Chi tiết'!$AE$14:$AE$267,"&lt;&gt;Hủy",'Lớp 6 - Chi tiết'!$AH$14:$AH$267,"&gt;0"),0),ps,'Trung tâm nhập liệu'!R284,pe,'Trung tâm nhập liệu'!Q284,IF(OR(AD134="",AE134=""),"Thiếu ngày L5",IF(n=0,"Chưa có L6",IF(OR(cs=0,ce=0),"Thiếu ngày L6",IF(OR(ps="",pe=""),"Thiếu ngày kế hoạch gốc L5",IF(OR(cs&lt;ps,ce&gt;pe),"Cảnh báo: Con vượt khung kế hoạch gốc","L6 đúng khung kế hoạch gốc"))))))))))</f>
        <v/>
      </c>
      <c r="AL134" s="465"/>
      <c r="AM134" s="467"/>
      <c r="AN134" s="469"/>
      <c r="AO134" s="470"/>
      <c r="AP134" s="470"/>
      <c r="AQ134" s="471"/>
      <c r="AR134" s="469"/>
      <c r="AS134" s="475"/>
      <c r="AT134" s="476"/>
      <c r="AU134" s="478"/>
      <c r="AV134" s="465"/>
      <c r="AW134" s="465"/>
      <c r="AX134" s="479"/>
    </row>
    <row r="135" ht="15.75" customHeight="1">
      <c r="A135" s="424"/>
      <c r="B135" s="572"/>
      <c r="C135" s="591"/>
      <c r="D135" s="623"/>
      <c r="E135" s="617"/>
      <c r="F135" s="575"/>
      <c r="G135" s="575"/>
      <c r="H135" s="576"/>
      <c r="I135" s="577"/>
      <c r="J135" s="577"/>
      <c r="K135" s="597"/>
      <c r="L135" s="598"/>
      <c r="M135" s="438"/>
      <c r="N135" s="597"/>
      <c r="O135" s="597"/>
      <c r="P135" s="597"/>
      <c r="Q135" s="581"/>
      <c r="R135" s="420"/>
      <c r="S135" s="582"/>
      <c r="T135" s="583"/>
      <c r="U135" s="584" t="str">
        <f>IF($I135="","",LET(n,COUNTIFS('Lớp 6 - Chi tiết'!$J$14:$J$267,$I135,'Lớp 6 - Chi tiết'!$AE$14:$AE$267,"&lt;&gt;Hủy"),child,IFERROR(MAXIFS('Lớp 6 - Chi tiết'!$AH$14:$AH$267,'Lớp 6 - Chi tiết'!$J$14:$J$267,$I135,'Lớp 6 - Chi tiết'!$AE$14:$AE$267,"&lt;&gt;Hủy",'Lớp 6 - Chi tiết'!$AH$14:$AH$267,"&gt;0"),0),plan,'Trung tâm nhập liệu'!Q285,emergent,LOWER(TRIM('Trung tâm nhập liệu'!O285))="khi phát sinh",IF(n=0,IF(emergent,"",plan),IF(child=0,IF(emergent,"",plan),IF(OR(emergent,plan=""),child,MAX(plan,child))))))</f>
        <v/>
      </c>
      <c r="V135" s="584" t="str">
        <f>IF($I135="","",LET(n,COUNTIFS('Lớp 6 - Chi tiết'!$J$14:$J$267,$I135,'Lớp 6 - Chi tiết'!$AE$14:$AE$267,"&lt;&gt;Hủy"),child,IFERROR(MINIFS('Lớp 6 - Chi tiết'!$AG$14:$AG$267,'Lớp 6 - Chi tiết'!$J$14:$J$267,$I135,'Lớp 6 - Chi tiết'!$AE$14:$AE$267,"&lt;&gt;Hủy",'Lớp 6 - Chi tiết'!$AG$14:$AG$267,"&gt;0"),0),plan,'Trung tâm nhập liệu'!R285,emergent,LOWER(TRIM('Trung tâm nhập liệu'!O285))="khi phát sinh",IF(n=0,IF(emergent,"",plan),IF(child=0,IF(emergent,"",plan),IF(OR(emergent,plan=""),child,MIN(plan,child))))))</f>
        <v/>
      </c>
      <c r="W135" s="577"/>
      <c r="X135" s="577"/>
      <c r="Y135" s="585"/>
      <c r="Z135" s="586"/>
      <c r="AA135" s="577"/>
      <c r="AB135" s="572"/>
      <c r="AC135" s="420"/>
      <c r="AD135" s="584"/>
      <c r="AE135" s="584"/>
      <c r="AF135" s="587"/>
      <c r="AG135" s="588"/>
      <c r="AH135" s="587"/>
      <c r="AI135" s="589"/>
      <c r="AJ135" s="468"/>
      <c r="AK135" s="477" t="str">
        <f>IF(AM135="Chưa xếp lịch","Chưa xếp lịch",IF(AM135="Định kỳ",IF(AN135="","Thiếu chu kỳ","Theo chu kỳ"),IF(AM135="Khi phát sinh",IF(COUNTIFS('Lớp 6 - Chi tiết'!$J$14:$J$267,$I135,'Lớp 6 - Chi tiết'!$AE$14:$AE$267,"&lt;&gt;Hủy")=0,"Khi phát sinh – chờ việc con","Khi phát sinh – theo ngày con"),IF(I135="","",LET(n,COUNTIFS('Lớp 6 - Chi tiết'!$J$14:$J$267,$I135,'Lớp 6 - Chi tiết'!$AE$14:$AE$267,"&lt;&gt;Hủy"),cs,IFERROR(MINIFS('Lớp 6 - Chi tiết'!$AG$14:$AG$267,'Lớp 6 - Chi tiết'!$J$14:$J$267,$I135,'Lớp 6 - Chi tiết'!$AE$14:$AE$267,"&lt;&gt;Hủy",'Lớp 6 - Chi tiết'!$AG$14:$AG$267,"&gt;0"),0),ce,IFERROR(MAXIFS('Lớp 6 - Chi tiết'!$AH$14:$AH$267,'Lớp 6 - Chi tiết'!$J$14:$J$267,$I135,'Lớp 6 - Chi tiết'!$AE$14:$AE$267,"&lt;&gt;Hủy",'Lớp 6 - Chi tiết'!$AH$14:$AH$267,"&gt;0"),0),ps,'Trung tâm nhập liệu'!R285,pe,'Trung tâm nhập liệu'!Q285,IF(OR(AD135="",AE135=""),"Thiếu ngày L5",IF(n=0,"Chưa có L6",IF(OR(cs=0,ce=0),"Thiếu ngày L6",IF(OR(ps="",pe=""),"Thiếu ngày kế hoạch gốc L5",IF(OR(cs&lt;ps,ce&gt;pe),"Cảnh báo: Con vượt khung kế hoạch gốc","L6 đúng khung kế hoạch gốc"))))))))))</f>
        <v/>
      </c>
      <c r="AL135" s="465"/>
      <c r="AM135" s="467"/>
      <c r="AN135" s="469"/>
      <c r="AO135" s="470"/>
      <c r="AP135" s="470"/>
      <c r="AQ135" s="471"/>
      <c r="AR135" s="469"/>
      <c r="AS135" s="475"/>
      <c r="AT135" s="476"/>
      <c r="AU135" s="478"/>
      <c r="AV135" s="465"/>
      <c r="AW135" s="465"/>
      <c r="AX135" s="479"/>
    </row>
    <row r="136" ht="15.75" customHeight="1">
      <c r="A136" s="424"/>
      <c r="B136" s="572"/>
      <c r="C136" s="591"/>
      <c r="D136" s="623"/>
      <c r="E136" s="617"/>
      <c r="F136" s="575"/>
      <c r="G136" s="575"/>
      <c r="H136" s="576"/>
      <c r="I136" s="577"/>
      <c r="J136" s="577"/>
      <c r="K136" s="597"/>
      <c r="L136" s="598"/>
      <c r="M136" s="438"/>
      <c r="N136" s="597"/>
      <c r="O136" s="597"/>
      <c r="P136" s="597"/>
      <c r="Q136" s="581"/>
      <c r="R136" s="420"/>
      <c r="S136" s="582"/>
      <c r="T136" s="583"/>
      <c r="U136" s="584" t="str">
        <f>IF($I136="","",LET(n,COUNTIFS('Lớp 6 - Chi tiết'!$J$14:$J$267,$I136,'Lớp 6 - Chi tiết'!$AE$14:$AE$267,"&lt;&gt;Hủy"),child,IFERROR(MAXIFS('Lớp 6 - Chi tiết'!$AH$14:$AH$267,'Lớp 6 - Chi tiết'!$J$14:$J$267,$I136,'Lớp 6 - Chi tiết'!$AE$14:$AE$267,"&lt;&gt;Hủy",'Lớp 6 - Chi tiết'!$AH$14:$AH$267,"&gt;0"),0),plan,'Trung tâm nhập liệu'!Q286,emergent,LOWER(TRIM('Trung tâm nhập liệu'!O286))="khi phát sinh",IF(n=0,IF(emergent,"",plan),IF(child=0,IF(emergent,"",plan),IF(OR(emergent,plan=""),child,MAX(plan,child))))))</f>
        <v/>
      </c>
      <c r="V136" s="584" t="str">
        <f>IF($I136="","",LET(n,COUNTIFS('Lớp 6 - Chi tiết'!$J$14:$J$267,$I136,'Lớp 6 - Chi tiết'!$AE$14:$AE$267,"&lt;&gt;Hủy"),child,IFERROR(MINIFS('Lớp 6 - Chi tiết'!$AG$14:$AG$267,'Lớp 6 - Chi tiết'!$J$14:$J$267,$I136,'Lớp 6 - Chi tiết'!$AE$14:$AE$267,"&lt;&gt;Hủy",'Lớp 6 - Chi tiết'!$AG$14:$AG$267,"&gt;0"),0),plan,'Trung tâm nhập liệu'!R286,emergent,LOWER(TRIM('Trung tâm nhập liệu'!O286))="khi phát sinh",IF(n=0,IF(emergent,"",plan),IF(child=0,IF(emergent,"",plan),IF(OR(emergent,plan=""),child,MIN(plan,child))))))</f>
        <v/>
      </c>
      <c r="W136" s="577"/>
      <c r="X136" s="577"/>
      <c r="Y136" s="585"/>
      <c r="Z136" s="586"/>
      <c r="AA136" s="577"/>
      <c r="AB136" s="572"/>
      <c r="AC136" s="420"/>
      <c r="AD136" s="584"/>
      <c r="AE136" s="584"/>
      <c r="AF136" s="587"/>
      <c r="AG136" s="588"/>
      <c r="AH136" s="587"/>
      <c r="AI136" s="589"/>
      <c r="AJ136" s="468"/>
      <c r="AK136" s="477" t="str">
        <f>IF(AM136="Chưa xếp lịch","Chưa xếp lịch",IF(AM136="Định kỳ",IF(AN136="","Thiếu chu kỳ","Theo chu kỳ"),IF(AM136="Khi phát sinh",IF(COUNTIFS('Lớp 6 - Chi tiết'!$J$14:$J$267,$I136,'Lớp 6 - Chi tiết'!$AE$14:$AE$267,"&lt;&gt;Hủy")=0,"Khi phát sinh – chờ việc con","Khi phát sinh – theo ngày con"),IF(I136="","",LET(n,COUNTIFS('Lớp 6 - Chi tiết'!$J$14:$J$267,$I136,'Lớp 6 - Chi tiết'!$AE$14:$AE$267,"&lt;&gt;Hủy"),cs,IFERROR(MINIFS('Lớp 6 - Chi tiết'!$AG$14:$AG$267,'Lớp 6 - Chi tiết'!$J$14:$J$267,$I136,'Lớp 6 - Chi tiết'!$AE$14:$AE$267,"&lt;&gt;Hủy",'Lớp 6 - Chi tiết'!$AG$14:$AG$267,"&gt;0"),0),ce,IFERROR(MAXIFS('Lớp 6 - Chi tiết'!$AH$14:$AH$267,'Lớp 6 - Chi tiết'!$J$14:$J$267,$I136,'Lớp 6 - Chi tiết'!$AE$14:$AE$267,"&lt;&gt;Hủy",'Lớp 6 - Chi tiết'!$AH$14:$AH$267,"&gt;0"),0),ps,'Trung tâm nhập liệu'!R286,pe,'Trung tâm nhập liệu'!Q286,IF(OR(AD136="",AE136=""),"Thiếu ngày L5",IF(n=0,"Chưa có L6",IF(OR(cs=0,ce=0),"Thiếu ngày L6",IF(OR(ps="",pe=""),"Thiếu ngày kế hoạch gốc L5",IF(OR(cs&lt;ps,ce&gt;pe),"Cảnh báo: Con vượt khung kế hoạch gốc","L6 đúng khung kế hoạch gốc"))))))))))</f>
        <v/>
      </c>
      <c r="AL136" s="465"/>
      <c r="AM136" s="467"/>
      <c r="AN136" s="469"/>
      <c r="AO136" s="470"/>
      <c r="AP136" s="470"/>
      <c r="AQ136" s="471"/>
      <c r="AR136" s="469"/>
      <c r="AS136" s="475"/>
      <c r="AT136" s="476"/>
      <c r="AU136" s="478"/>
      <c r="AV136" s="465"/>
      <c r="AW136" s="465"/>
      <c r="AX136" s="479"/>
    </row>
    <row r="137" ht="15.75" customHeight="1">
      <c r="A137" s="424"/>
      <c r="B137" s="572"/>
      <c r="C137" s="591"/>
      <c r="D137" s="623"/>
      <c r="E137" s="617"/>
      <c r="F137" s="575"/>
      <c r="G137" s="575"/>
      <c r="H137" s="576"/>
      <c r="I137" s="577"/>
      <c r="J137" s="577"/>
      <c r="K137" s="597"/>
      <c r="L137" s="598"/>
      <c r="M137" s="438"/>
      <c r="N137" s="597"/>
      <c r="O137" s="597"/>
      <c r="P137" s="597"/>
      <c r="Q137" s="581"/>
      <c r="R137" s="420"/>
      <c r="S137" s="582"/>
      <c r="T137" s="583"/>
      <c r="U137" s="584" t="str">
        <f>IF($I137="","",LET(n,COUNTIFS('Lớp 6 - Chi tiết'!$J$14:$J$267,$I137,'Lớp 6 - Chi tiết'!$AE$14:$AE$267,"&lt;&gt;Hủy"),child,IFERROR(MAXIFS('Lớp 6 - Chi tiết'!$AH$14:$AH$267,'Lớp 6 - Chi tiết'!$J$14:$J$267,$I137,'Lớp 6 - Chi tiết'!$AE$14:$AE$267,"&lt;&gt;Hủy",'Lớp 6 - Chi tiết'!$AH$14:$AH$267,"&gt;0"),0),plan,'Trung tâm nhập liệu'!Q287,emergent,LOWER(TRIM('Trung tâm nhập liệu'!O287))="khi phát sinh",IF(n=0,IF(emergent,"",plan),IF(child=0,IF(emergent,"",plan),IF(OR(emergent,plan=""),child,MAX(plan,child))))))</f>
        <v/>
      </c>
      <c r="V137" s="584" t="str">
        <f>IF($I137="","",LET(n,COUNTIFS('Lớp 6 - Chi tiết'!$J$14:$J$267,$I137,'Lớp 6 - Chi tiết'!$AE$14:$AE$267,"&lt;&gt;Hủy"),child,IFERROR(MINIFS('Lớp 6 - Chi tiết'!$AG$14:$AG$267,'Lớp 6 - Chi tiết'!$J$14:$J$267,$I137,'Lớp 6 - Chi tiết'!$AE$14:$AE$267,"&lt;&gt;Hủy",'Lớp 6 - Chi tiết'!$AG$14:$AG$267,"&gt;0"),0),plan,'Trung tâm nhập liệu'!R287,emergent,LOWER(TRIM('Trung tâm nhập liệu'!O287))="khi phát sinh",IF(n=0,IF(emergent,"",plan),IF(child=0,IF(emergent,"",plan),IF(OR(emergent,plan=""),child,MIN(plan,child))))))</f>
        <v/>
      </c>
      <c r="W137" s="577"/>
      <c r="X137" s="577"/>
      <c r="Y137" s="585"/>
      <c r="Z137" s="586"/>
      <c r="AA137" s="577"/>
      <c r="AB137" s="572"/>
      <c r="AC137" s="420"/>
      <c r="AD137" s="584"/>
      <c r="AE137" s="584"/>
      <c r="AF137" s="587"/>
      <c r="AG137" s="588"/>
      <c r="AH137" s="587"/>
      <c r="AI137" s="589"/>
      <c r="AJ137" s="468"/>
      <c r="AK137" s="477" t="str">
        <f>IF(AM137="Chưa xếp lịch","Chưa xếp lịch",IF(AM137="Định kỳ",IF(AN137="","Thiếu chu kỳ","Theo chu kỳ"),IF(AM137="Khi phát sinh",IF(COUNTIFS('Lớp 6 - Chi tiết'!$J$14:$J$267,$I137,'Lớp 6 - Chi tiết'!$AE$14:$AE$267,"&lt;&gt;Hủy")=0,"Khi phát sinh – chờ việc con","Khi phát sinh – theo ngày con"),IF(I137="","",LET(n,COUNTIFS('Lớp 6 - Chi tiết'!$J$14:$J$267,$I137,'Lớp 6 - Chi tiết'!$AE$14:$AE$267,"&lt;&gt;Hủy"),cs,IFERROR(MINIFS('Lớp 6 - Chi tiết'!$AG$14:$AG$267,'Lớp 6 - Chi tiết'!$J$14:$J$267,$I137,'Lớp 6 - Chi tiết'!$AE$14:$AE$267,"&lt;&gt;Hủy",'Lớp 6 - Chi tiết'!$AG$14:$AG$267,"&gt;0"),0),ce,IFERROR(MAXIFS('Lớp 6 - Chi tiết'!$AH$14:$AH$267,'Lớp 6 - Chi tiết'!$J$14:$J$267,$I137,'Lớp 6 - Chi tiết'!$AE$14:$AE$267,"&lt;&gt;Hủy",'Lớp 6 - Chi tiết'!$AH$14:$AH$267,"&gt;0"),0),ps,'Trung tâm nhập liệu'!R287,pe,'Trung tâm nhập liệu'!Q287,IF(OR(AD137="",AE137=""),"Thiếu ngày L5",IF(n=0,"Chưa có L6",IF(OR(cs=0,ce=0),"Thiếu ngày L6",IF(OR(ps="",pe=""),"Thiếu ngày kế hoạch gốc L5",IF(OR(cs&lt;ps,ce&gt;pe),"Cảnh báo: Con vượt khung kế hoạch gốc","L6 đúng khung kế hoạch gốc"))))))))))</f>
        <v/>
      </c>
      <c r="AL137" s="465"/>
      <c r="AM137" s="467"/>
      <c r="AN137" s="469"/>
      <c r="AO137" s="470"/>
      <c r="AP137" s="470"/>
      <c r="AQ137" s="471"/>
      <c r="AR137" s="469"/>
      <c r="AS137" s="475"/>
      <c r="AT137" s="476"/>
      <c r="AU137" s="478"/>
      <c r="AV137" s="465"/>
      <c r="AW137" s="465"/>
      <c r="AX137" s="479"/>
    </row>
    <row r="138" ht="15.75" customHeight="1">
      <c r="A138" s="424"/>
      <c r="B138" s="572"/>
      <c r="C138" s="591"/>
      <c r="D138" s="623"/>
      <c r="E138" s="617"/>
      <c r="F138" s="575"/>
      <c r="G138" s="575"/>
      <c r="H138" s="576"/>
      <c r="I138" s="577"/>
      <c r="J138" s="577"/>
      <c r="K138" s="597"/>
      <c r="L138" s="598"/>
      <c r="M138" s="438"/>
      <c r="N138" s="597"/>
      <c r="O138" s="597"/>
      <c r="P138" s="597"/>
      <c r="Q138" s="581"/>
      <c r="R138" s="420"/>
      <c r="S138" s="582"/>
      <c r="T138" s="583"/>
      <c r="U138" s="584" t="str">
        <f>IF($I138="","",LET(n,COUNTIFS('Lớp 6 - Chi tiết'!$J$14:$J$267,$I138,'Lớp 6 - Chi tiết'!$AE$14:$AE$267,"&lt;&gt;Hủy"),child,IFERROR(MAXIFS('Lớp 6 - Chi tiết'!$AH$14:$AH$267,'Lớp 6 - Chi tiết'!$J$14:$J$267,$I138,'Lớp 6 - Chi tiết'!$AE$14:$AE$267,"&lt;&gt;Hủy",'Lớp 6 - Chi tiết'!$AH$14:$AH$267,"&gt;0"),0),plan,'Trung tâm nhập liệu'!Q288,emergent,LOWER(TRIM('Trung tâm nhập liệu'!O288))="khi phát sinh",IF(n=0,IF(emergent,"",plan),IF(child=0,IF(emergent,"",plan),IF(OR(emergent,plan=""),child,MAX(plan,child))))))</f>
        <v/>
      </c>
      <c r="V138" s="584" t="str">
        <f>IF($I138="","",LET(n,COUNTIFS('Lớp 6 - Chi tiết'!$J$14:$J$267,$I138,'Lớp 6 - Chi tiết'!$AE$14:$AE$267,"&lt;&gt;Hủy"),child,IFERROR(MINIFS('Lớp 6 - Chi tiết'!$AG$14:$AG$267,'Lớp 6 - Chi tiết'!$J$14:$J$267,$I138,'Lớp 6 - Chi tiết'!$AE$14:$AE$267,"&lt;&gt;Hủy",'Lớp 6 - Chi tiết'!$AG$14:$AG$267,"&gt;0"),0),plan,'Trung tâm nhập liệu'!R288,emergent,LOWER(TRIM('Trung tâm nhập liệu'!O288))="khi phát sinh",IF(n=0,IF(emergent,"",plan),IF(child=0,IF(emergent,"",plan),IF(OR(emergent,plan=""),child,MIN(plan,child))))))</f>
        <v/>
      </c>
      <c r="W138" s="577"/>
      <c r="X138" s="577"/>
      <c r="Y138" s="585"/>
      <c r="Z138" s="586"/>
      <c r="AA138" s="577"/>
      <c r="AB138" s="572"/>
      <c r="AC138" s="420"/>
      <c r="AD138" s="584"/>
      <c r="AE138" s="584"/>
      <c r="AF138" s="587"/>
      <c r="AG138" s="588"/>
      <c r="AH138" s="587"/>
      <c r="AI138" s="589"/>
      <c r="AJ138" s="468"/>
      <c r="AK138" s="477" t="str">
        <f>IF(AM138="Chưa xếp lịch","Chưa xếp lịch",IF(AM138="Định kỳ",IF(AN138="","Thiếu chu kỳ","Theo chu kỳ"),IF(AM138="Khi phát sinh",IF(COUNTIFS('Lớp 6 - Chi tiết'!$J$14:$J$267,$I138,'Lớp 6 - Chi tiết'!$AE$14:$AE$267,"&lt;&gt;Hủy")=0,"Khi phát sinh – chờ việc con","Khi phát sinh – theo ngày con"),IF(I138="","",LET(n,COUNTIFS('Lớp 6 - Chi tiết'!$J$14:$J$267,$I138,'Lớp 6 - Chi tiết'!$AE$14:$AE$267,"&lt;&gt;Hủy"),cs,IFERROR(MINIFS('Lớp 6 - Chi tiết'!$AG$14:$AG$267,'Lớp 6 - Chi tiết'!$J$14:$J$267,$I138,'Lớp 6 - Chi tiết'!$AE$14:$AE$267,"&lt;&gt;Hủy",'Lớp 6 - Chi tiết'!$AG$14:$AG$267,"&gt;0"),0),ce,IFERROR(MAXIFS('Lớp 6 - Chi tiết'!$AH$14:$AH$267,'Lớp 6 - Chi tiết'!$J$14:$J$267,$I138,'Lớp 6 - Chi tiết'!$AE$14:$AE$267,"&lt;&gt;Hủy",'Lớp 6 - Chi tiết'!$AH$14:$AH$267,"&gt;0"),0),ps,'Trung tâm nhập liệu'!R288,pe,'Trung tâm nhập liệu'!Q288,IF(OR(AD138="",AE138=""),"Thiếu ngày L5",IF(n=0,"Chưa có L6",IF(OR(cs=0,ce=0),"Thiếu ngày L6",IF(OR(ps="",pe=""),"Thiếu ngày kế hoạch gốc L5",IF(OR(cs&lt;ps,ce&gt;pe),"Cảnh báo: Con vượt khung kế hoạch gốc","L6 đúng khung kế hoạch gốc"))))))))))</f>
        <v/>
      </c>
      <c r="AL138" s="465"/>
      <c r="AM138" s="467"/>
      <c r="AN138" s="469"/>
      <c r="AO138" s="470"/>
      <c r="AP138" s="470"/>
      <c r="AQ138" s="471"/>
      <c r="AR138" s="469"/>
      <c r="AS138" s="475"/>
      <c r="AT138" s="476"/>
      <c r="AU138" s="478"/>
      <c r="AV138" s="465"/>
      <c r="AW138" s="465"/>
      <c r="AX138" s="479"/>
    </row>
    <row r="139" ht="15.75" customHeight="1">
      <c r="A139" s="424"/>
      <c r="B139" s="572"/>
      <c r="C139" s="591"/>
      <c r="D139" s="623"/>
      <c r="E139" s="617"/>
      <c r="F139" s="575"/>
      <c r="G139" s="575"/>
      <c r="H139" s="576"/>
      <c r="I139" s="577"/>
      <c r="J139" s="577"/>
      <c r="K139" s="597"/>
      <c r="L139" s="598"/>
      <c r="M139" s="438"/>
      <c r="N139" s="597"/>
      <c r="O139" s="597"/>
      <c r="P139" s="597"/>
      <c r="Q139" s="581"/>
      <c r="R139" s="420"/>
      <c r="S139" s="582"/>
      <c r="T139" s="583"/>
      <c r="U139" s="584" t="str">
        <f>IF($I139="","",LET(n,COUNTIFS('Lớp 6 - Chi tiết'!$J$14:$J$267,$I139,'Lớp 6 - Chi tiết'!$AE$14:$AE$267,"&lt;&gt;Hủy"),child,IFERROR(MAXIFS('Lớp 6 - Chi tiết'!$AH$14:$AH$267,'Lớp 6 - Chi tiết'!$J$14:$J$267,$I139,'Lớp 6 - Chi tiết'!$AE$14:$AE$267,"&lt;&gt;Hủy",'Lớp 6 - Chi tiết'!$AH$14:$AH$267,"&gt;0"),0),plan,'Trung tâm nhập liệu'!Q289,emergent,LOWER(TRIM('Trung tâm nhập liệu'!O289))="khi phát sinh",IF(n=0,IF(emergent,"",plan),IF(child=0,IF(emergent,"",plan),IF(OR(emergent,plan=""),child,MAX(plan,child))))))</f>
        <v/>
      </c>
      <c r="V139" s="584" t="str">
        <f>IF($I139="","",LET(n,COUNTIFS('Lớp 6 - Chi tiết'!$J$14:$J$267,$I139,'Lớp 6 - Chi tiết'!$AE$14:$AE$267,"&lt;&gt;Hủy"),child,IFERROR(MINIFS('Lớp 6 - Chi tiết'!$AG$14:$AG$267,'Lớp 6 - Chi tiết'!$J$14:$J$267,$I139,'Lớp 6 - Chi tiết'!$AE$14:$AE$267,"&lt;&gt;Hủy",'Lớp 6 - Chi tiết'!$AG$14:$AG$267,"&gt;0"),0),plan,'Trung tâm nhập liệu'!R289,emergent,LOWER(TRIM('Trung tâm nhập liệu'!O289))="khi phát sinh",IF(n=0,IF(emergent,"",plan),IF(child=0,IF(emergent,"",plan),IF(OR(emergent,plan=""),child,MIN(plan,child))))))</f>
        <v/>
      </c>
      <c r="W139" s="577"/>
      <c r="X139" s="577"/>
      <c r="Y139" s="585"/>
      <c r="Z139" s="586"/>
      <c r="AA139" s="577"/>
      <c r="AB139" s="572"/>
      <c r="AC139" s="420"/>
      <c r="AD139" s="584"/>
      <c r="AE139" s="584"/>
      <c r="AF139" s="587"/>
      <c r="AG139" s="588"/>
      <c r="AH139" s="587"/>
      <c r="AI139" s="589"/>
      <c r="AJ139" s="468"/>
      <c r="AK139" s="477" t="str">
        <f>IF(AM139="Chưa xếp lịch","Chưa xếp lịch",IF(AM139="Định kỳ",IF(AN139="","Thiếu chu kỳ","Theo chu kỳ"),IF(AM139="Khi phát sinh",IF(COUNTIFS('Lớp 6 - Chi tiết'!$J$14:$J$267,$I139,'Lớp 6 - Chi tiết'!$AE$14:$AE$267,"&lt;&gt;Hủy")=0,"Khi phát sinh – chờ việc con","Khi phát sinh – theo ngày con"),IF(I139="","",LET(n,COUNTIFS('Lớp 6 - Chi tiết'!$J$14:$J$267,$I139,'Lớp 6 - Chi tiết'!$AE$14:$AE$267,"&lt;&gt;Hủy"),cs,IFERROR(MINIFS('Lớp 6 - Chi tiết'!$AG$14:$AG$267,'Lớp 6 - Chi tiết'!$J$14:$J$267,$I139,'Lớp 6 - Chi tiết'!$AE$14:$AE$267,"&lt;&gt;Hủy",'Lớp 6 - Chi tiết'!$AG$14:$AG$267,"&gt;0"),0),ce,IFERROR(MAXIFS('Lớp 6 - Chi tiết'!$AH$14:$AH$267,'Lớp 6 - Chi tiết'!$J$14:$J$267,$I139,'Lớp 6 - Chi tiết'!$AE$14:$AE$267,"&lt;&gt;Hủy",'Lớp 6 - Chi tiết'!$AH$14:$AH$267,"&gt;0"),0),ps,'Trung tâm nhập liệu'!R289,pe,'Trung tâm nhập liệu'!Q289,IF(OR(AD139="",AE139=""),"Thiếu ngày L5",IF(n=0,"Chưa có L6",IF(OR(cs=0,ce=0),"Thiếu ngày L6",IF(OR(ps="",pe=""),"Thiếu ngày kế hoạch gốc L5",IF(OR(cs&lt;ps,ce&gt;pe),"Cảnh báo: Con vượt khung kế hoạch gốc","L6 đúng khung kế hoạch gốc"))))))))))</f>
        <v/>
      </c>
      <c r="AL139" s="465"/>
      <c r="AM139" s="467"/>
      <c r="AN139" s="469"/>
      <c r="AO139" s="470"/>
      <c r="AP139" s="470"/>
      <c r="AQ139" s="471"/>
      <c r="AR139" s="469"/>
      <c r="AS139" s="475"/>
      <c r="AT139" s="476"/>
      <c r="AU139" s="478"/>
      <c r="AV139" s="465"/>
      <c r="AW139" s="465"/>
      <c r="AX139" s="479"/>
    </row>
    <row r="140" ht="15.75" customHeight="1">
      <c r="A140" s="424"/>
      <c r="B140" s="572"/>
      <c r="C140" s="591"/>
      <c r="D140" s="623"/>
      <c r="E140" s="617"/>
      <c r="F140" s="575"/>
      <c r="G140" s="575"/>
      <c r="H140" s="576"/>
      <c r="I140" s="577"/>
      <c r="J140" s="577"/>
      <c r="K140" s="597"/>
      <c r="L140" s="598"/>
      <c r="M140" s="438"/>
      <c r="N140" s="597"/>
      <c r="O140" s="597"/>
      <c r="P140" s="597"/>
      <c r="Q140" s="581"/>
      <c r="R140" s="420"/>
      <c r="S140" s="582"/>
      <c r="T140" s="583"/>
      <c r="U140" s="584" t="str">
        <f>IF($I140="","",LET(n,COUNTIFS('Lớp 6 - Chi tiết'!$J$14:$J$267,$I140,'Lớp 6 - Chi tiết'!$AE$14:$AE$267,"&lt;&gt;Hủy"),child,IFERROR(MAXIFS('Lớp 6 - Chi tiết'!$AH$14:$AH$267,'Lớp 6 - Chi tiết'!$J$14:$J$267,$I140,'Lớp 6 - Chi tiết'!$AE$14:$AE$267,"&lt;&gt;Hủy",'Lớp 6 - Chi tiết'!$AH$14:$AH$267,"&gt;0"),0),plan,'Trung tâm nhập liệu'!Q290,emergent,LOWER(TRIM('Trung tâm nhập liệu'!O290))="khi phát sinh",IF(n=0,IF(emergent,"",plan),IF(child=0,IF(emergent,"",plan),IF(OR(emergent,plan=""),child,MAX(plan,child))))))</f>
        <v/>
      </c>
      <c r="V140" s="584" t="str">
        <f>IF($I140="","",LET(n,COUNTIFS('Lớp 6 - Chi tiết'!$J$14:$J$267,$I140,'Lớp 6 - Chi tiết'!$AE$14:$AE$267,"&lt;&gt;Hủy"),child,IFERROR(MINIFS('Lớp 6 - Chi tiết'!$AG$14:$AG$267,'Lớp 6 - Chi tiết'!$J$14:$J$267,$I140,'Lớp 6 - Chi tiết'!$AE$14:$AE$267,"&lt;&gt;Hủy",'Lớp 6 - Chi tiết'!$AG$14:$AG$267,"&gt;0"),0),plan,'Trung tâm nhập liệu'!R290,emergent,LOWER(TRIM('Trung tâm nhập liệu'!O290))="khi phát sinh",IF(n=0,IF(emergent,"",plan),IF(child=0,IF(emergent,"",plan),IF(OR(emergent,plan=""),child,MIN(plan,child))))))</f>
        <v/>
      </c>
      <c r="W140" s="577"/>
      <c r="X140" s="577"/>
      <c r="Y140" s="585"/>
      <c r="Z140" s="586"/>
      <c r="AA140" s="577"/>
      <c r="AB140" s="572"/>
      <c r="AC140" s="420"/>
      <c r="AD140" s="584"/>
      <c r="AE140" s="584"/>
      <c r="AF140" s="587"/>
      <c r="AG140" s="588"/>
      <c r="AH140" s="587"/>
      <c r="AI140" s="589"/>
      <c r="AJ140" s="468"/>
      <c r="AK140" s="477" t="str">
        <f>IF(AM140="Chưa xếp lịch","Chưa xếp lịch",IF(AM140="Định kỳ",IF(AN140="","Thiếu chu kỳ","Theo chu kỳ"),IF(AM140="Khi phát sinh",IF(COUNTIFS('Lớp 6 - Chi tiết'!$J$14:$J$267,$I140,'Lớp 6 - Chi tiết'!$AE$14:$AE$267,"&lt;&gt;Hủy")=0,"Khi phát sinh – chờ việc con","Khi phát sinh – theo ngày con"),IF(I140="","",LET(n,COUNTIFS('Lớp 6 - Chi tiết'!$J$14:$J$267,$I140,'Lớp 6 - Chi tiết'!$AE$14:$AE$267,"&lt;&gt;Hủy"),cs,IFERROR(MINIFS('Lớp 6 - Chi tiết'!$AG$14:$AG$267,'Lớp 6 - Chi tiết'!$J$14:$J$267,$I140,'Lớp 6 - Chi tiết'!$AE$14:$AE$267,"&lt;&gt;Hủy",'Lớp 6 - Chi tiết'!$AG$14:$AG$267,"&gt;0"),0),ce,IFERROR(MAXIFS('Lớp 6 - Chi tiết'!$AH$14:$AH$267,'Lớp 6 - Chi tiết'!$J$14:$J$267,$I140,'Lớp 6 - Chi tiết'!$AE$14:$AE$267,"&lt;&gt;Hủy",'Lớp 6 - Chi tiết'!$AH$14:$AH$267,"&gt;0"),0),ps,'Trung tâm nhập liệu'!R290,pe,'Trung tâm nhập liệu'!Q290,IF(OR(AD140="",AE140=""),"Thiếu ngày L5",IF(n=0,"Chưa có L6",IF(OR(cs=0,ce=0),"Thiếu ngày L6",IF(OR(ps="",pe=""),"Thiếu ngày kế hoạch gốc L5",IF(OR(cs&lt;ps,ce&gt;pe),"Cảnh báo: Con vượt khung kế hoạch gốc","L6 đúng khung kế hoạch gốc"))))))))))</f>
        <v/>
      </c>
      <c r="AL140" s="465"/>
      <c r="AM140" s="467"/>
      <c r="AN140" s="469"/>
      <c r="AO140" s="470"/>
      <c r="AP140" s="470"/>
      <c r="AQ140" s="471"/>
      <c r="AR140" s="469"/>
      <c r="AS140" s="475"/>
      <c r="AT140" s="476"/>
      <c r="AU140" s="478"/>
      <c r="AV140" s="465"/>
      <c r="AW140" s="465"/>
      <c r="AX140" s="479"/>
    </row>
    <row r="141" ht="15.75" customHeight="1">
      <c r="A141" s="424"/>
      <c r="B141" s="572"/>
      <c r="C141" s="591"/>
      <c r="D141" s="623"/>
      <c r="E141" s="617"/>
      <c r="F141" s="575"/>
      <c r="G141" s="575"/>
      <c r="H141" s="576"/>
      <c r="I141" s="577"/>
      <c r="J141" s="577"/>
      <c r="K141" s="597"/>
      <c r="L141" s="598"/>
      <c r="M141" s="438"/>
      <c r="N141" s="597"/>
      <c r="O141" s="597"/>
      <c r="P141" s="597"/>
      <c r="Q141" s="581"/>
      <c r="R141" s="420"/>
      <c r="S141" s="582"/>
      <c r="T141" s="583"/>
      <c r="U141" s="584" t="str">
        <f>IF($I141="","",LET(n,COUNTIFS('Lớp 6 - Chi tiết'!$J$14:$J$267,$I141,'Lớp 6 - Chi tiết'!$AE$14:$AE$267,"&lt;&gt;Hủy"),child,IFERROR(MAXIFS('Lớp 6 - Chi tiết'!$AH$14:$AH$267,'Lớp 6 - Chi tiết'!$J$14:$J$267,$I141,'Lớp 6 - Chi tiết'!$AE$14:$AE$267,"&lt;&gt;Hủy",'Lớp 6 - Chi tiết'!$AH$14:$AH$267,"&gt;0"),0),plan,'Trung tâm nhập liệu'!Q291,emergent,LOWER(TRIM('Trung tâm nhập liệu'!O291))="khi phát sinh",IF(n=0,IF(emergent,"",plan),IF(child=0,IF(emergent,"",plan),IF(OR(emergent,plan=""),child,MAX(plan,child))))))</f>
        <v/>
      </c>
      <c r="V141" s="584" t="str">
        <f>IF($I141="","",LET(n,COUNTIFS('Lớp 6 - Chi tiết'!$J$14:$J$267,$I141,'Lớp 6 - Chi tiết'!$AE$14:$AE$267,"&lt;&gt;Hủy"),child,IFERROR(MINIFS('Lớp 6 - Chi tiết'!$AG$14:$AG$267,'Lớp 6 - Chi tiết'!$J$14:$J$267,$I141,'Lớp 6 - Chi tiết'!$AE$14:$AE$267,"&lt;&gt;Hủy",'Lớp 6 - Chi tiết'!$AG$14:$AG$267,"&gt;0"),0),plan,'Trung tâm nhập liệu'!R291,emergent,LOWER(TRIM('Trung tâm nhập liệu'!O291))="khi phát sinh",IF(n=0,IF(emergent,"",plan),IF(child=0,IF(emergent,"",plan),IF(OR(emergent,plan=""),child,MIN(plan,child))))))</f>
        <v/>
      </c>
      <c r="W141" s="577"/>
      <c r="X141" s="577"/>
      <c r="Y141" s="585"/>
      <c r="Z141" s="586"/>
      <c r="AA141" s="577"/>
      <c r="AB141" s="572"/>
      <c r="AC141" s="420"/>
      <c r="AD141" s="584"/>
      <c r="AE141" s="584"/>
      <c r="AF141" s="587"/>
      <c r="AG141" s="588"/>
      <c r="AH141" s="587"/>
      <c r="AI141" s="589"/>
      <c r="AJ141" s="468"/>
      <c r="AK141" s="477" t="str">
        <f>IF(AM141="Chưa xếp lịch","Chưa xếp lịch",IF(AM141="Định kỳ",IF(AN141="","Thiếu chu kỳ","Theo chu kỳ"),IF(AM141="Khi phát sinh",IF(COUNTIFS('Lớp 6 - Chi tiết'!$J$14:$J$267,$I141,'Lớp 6 - Chi tiết'!$AE$14:$AE$267,"&lt;&gt;Hủy")=0,"Khi phát sinh – chờ việc con","Khi phát sinh – theo ngày con"),IF(I141="","",LET(n,COUNTIFS('Lớp 6 - Chi tiết'!$J$14:$J$267,$I141,'Lớp 6 - Chi tiết'!$AE$14:$AE$267,"&lt;&gt;Hủy"),cs,IFERROR(MINIFS('Lớp 6 - Chi tiết'!$AG$14:$AG$267,'Lớp 6 - Chi tiết'!$J$14:$J$267,$I141,'Lớp 6 - Chi tiết'!$AE$14:$AE$267,"&lt;&gt;Hủy",'Lớp 6 - Chi tiết'!$AG$14:$AG$267,"&gt;0"),0),ce,IFERROR(MAXIFS('Lớp 6 - Chi tiết'!$AH$14:$AH$267,'Lớp 6 - Chi tiết'!$J$14:$J$267,$I141,'Lớp 6 - Chi tiết'!$AE$14:$AE$267,"&lt;&gt;Hủy",'Lớp 6 - Chi tiết'!$AH$14:$AH$267,"&gt;0"),0),ps,'Trung tâm nhập liệu'!R291,pe,'Trung tâm nhập liệu'!Q291,IF(OR(AD141="",AE141=""),"Thiếu ngày L5",IF(n=0,"Chưa có L6",IF(OR(cs=0,ce=0),"Thiếu ngày L6",IF(OR(ps="",pe=""),"Thiếu ngày kế hoạch gốc L5",IF(OR(cs&lt;ps,ce&gt;pe),"Cảnh báo: Con vượt khung kế hoạch gốc","L6 đúng khung kế hoạch gốc"))))))))))</f>
        <v/>
      </c>
      <c r="AL141" s="465"/>
      <c r="AM141" s="467"/>
      <c r="AN141" s="469"/>
      <c r="AO141" s="470"/>
      <c r="AP141" s="470"/>
      <c r="AQ141" s="471"/>
      <c r="AR141" s="469"/>
      <c r="AS141" s="475"/>
      <c r="AT141" s="476"/>
      <c r="AU141" s="478"/>
      <c r="AV141" s="465"/>
      <c r="AW141" s="465"/>
      <c r="AX141" s="479"/>
    </row>
    <row r="142" ht="15.75" customHeight="1">
      <c r="A142" s="424"/>
      <c r="B142" s="572"/>
      <c r="C142" s="591"/>
      <c r="D142" s="623"/>
      <c r="E142" s="617"/>
      <c r="F142" s="575"/>
      <c r="G142" s="575"/>
      <c r="H142" s="576"/>
      <c r="I142" s="577"/>
      <c r="J142" s="577"/>
      <c r="K142" s="597"/>
      <c r="L142" s="598"/>
      <c r="M142" s="438"/>
      <c r="N142" s="597"/>
      <c r="O142" s="597"/>
      <c r="P142" s="597"/>
      <c r="Q142" s="581"/>
      <c r="R142" s="420"/>
      <c r="S142" s="582"/>
      <c r="T142" s="583"/>
      <c r="U142" s="584" t="str">
        <f>IF($I142="","",LET(n,COUNTIFS('Lớp 6 - Chi tiết'!$J$14:$J$267,$I142,'Lớp 6 - Chi tiết'!$AE$14:$AE$267,"&lt;&gt;Hủy"),child,IFERROR(MAXIFS('Lớp 6 - Chi tiết'!$AH$14:$AH$267,'Lớp 6 - Chi tiết'!$J$14:$J$267,$I142,'Lớp 6 - Chi tiết'!$AE$14:$AE$267,"&lt;&gt;Hủy",'Lớp 6 - Chi tiết'!$AH$14:$AH$267,"&gt;0"),0),plan,'Trung tâm nhập liệu'!Q292,emergent,LOWER(TRIM('Trung tâm nhập liệu'!O292))="khi phát sinh",IF(n=0,IF(emergent,"",plan),IF(child=0,IF(emergent,"",plan),IF(OR(emergent,plan=""),child,MAX(plan,child))))))</f>
        <v/>
      </c>
      <c r="V142" s="584" t="str">
        <f>IF($I142="","",LET(n,COUNTIFS('Lớp 6 - Chi tiết'!$J$14:$J$267,$I142,'Lớp 6 - Chi tiết'!$AE$14:$AE$267,"&lt;&gt;Hủy"),child,IFERROR(MINIFS('Lớp 6 - Chi tiết'!$AG$14:$AG$267,'Lớp 6 - Chi tiết'!$J$14:$J$267,$I142,'Lớp 6 - Chi tiết'!$AE$14:$AE$267,"&lt;&gt;Hủy",'Lớp 6 - Chi tiết'!$AG$14:$AG$267,"&gt;0"),0),plan,'Trung tâm nhập liệu'!R292,emergent,LOWER(TRIM('Trung tâm nhập liệu'!O292))="khi phát sinh",IF(n=0,IF(emergent,"",plan),IF(child=0,IF(emergent,"",plan),IF(OR(emergent,plan=""),child,MIN(plan,child))))))</f>
        <v/>
      </c>
      <c r="W142" s="577"/>
      <c r="X142" s="577"/>
      <c r="Y142" s="585"/>
      <c r="Z142" s="586"/>
      <c r="AA142" s="577"/>
      <c r="AB142" s="572"/>
      <c r="AC142" s="420"/>
      <c r="AD142" s="584"/>
      <c r="AE142" s="584"/>
      <c r="AF142" s="587"/>
      <c r="AG142" s="588"/>
      <c r="AH142" s="587"/>
      <c r="AI142" s="589"/>
      <c r="AJ142" s="468"/>
      <c r="AK142" s="477" t="str">
        <f>IF(AM142="Chưa xếp lịch","Chưa xếp lịch",IF(AM142="Định kỳ",IF(AN142="","Thiếu chu kỳ","Theo chu kỳ"),IF(AM142="Khi phát sinh",IF(COUNTIFS('Lớp 6 - Chi tiết'!$J$14:$J$267,$I142,'Lớp 6 - Chi tiết'!$AE$14:$AE$267,"&lt;&gt;Hủy")=0,"Khi phát sinh – chờ việc con","Khi phát sinh – theo ngày con"),IF(I142="","",LET(n,COUNTIFS('Lớp 6 - Chi tiết'!$J$14:$J$267,$I142,'Lớp 6 - Chi tiết'!$AE$14:$AE$267,"&lt;&gt;Hủy"),cs,IFERROR(MINIFS('Lớp 6 - Chi tiết'!$AG$14:$AG$267,'Lớp 6 - Chi tiết'!$J$14:$J$267,$I142,'Lớp 6 - Chi tiết'!$AE$14:$AE$267,"&lt;&gt;Hủy",'Lớp 6 - Chi tiết'!$AG$14:$AG$267,"&gt;0"),0),ce,IFERROR(MAXIFS('Lớp 6 - Chi tiết'!$AH$14:$AH$267,'Lớp 6 - Chi tiết'!$J$14:$J$267,$I142,'Lớp 6 - Chi tiết'!$AE$14:$AE$267,"&lt;&gt;Hủy",'Lớp 6 - Chi tiết'!$AH$14:$AH$267,"&gt;0"),0),ps,'Trung tâm nhập liệu'!R292,pe,'Trung tâm nhập liệu'!Q292,IF(OR(AD142="",AE142=""),"Thiếu ngày L5",IF(n=0,"Chưa có L6",IF(OR(cs=0,ce=0),"Thiếu ngày L6",IF(OR(ps="",pe=""),"Thiếu ngày kế hoạch gốc L5",IF(OR(cs&lt;ps,ce&gt;pe),"Cảnh báo: Con vượt khung kế hoạch gốc","L6 đúng khung kế hoạch gốc"))))))))))</f>
        <v/>
      </c>
      <c r="AL142" s="465"/>
      <c r="AM142" s="467"/>
      <c r="AN142" s="469"/>
      <c r="AO142" s="470"/>
      <c r="AP142" s="470"/>
      <c r="AQ142" s="471"/>
      <c r="AR142" s="469"/>
      <c r="AS142" s="475"/>
      <c r="AT142" s="476"/>
      <c r="AU142" s="478"/>
      <c r="AV142" s="465"/>
      <c r="AW142" s="465"/>
      <c r="AX142" s="479"/>
    </row>
    <row r="143" ht="15.75" customHeight="1">
      <c r="A143" s="424"/>
      <c r="B143" s="572"/>
      <c r="C143" s="591"/>
      <c r="D143" s="623"/>
      <c r="E143" s="617"/>
      <c r="F143" s="575"/>
      <c r="G143" s="575"/>
      <c r="H143" s="576"/>
      <c r="I143" s="577"/>
      <c r="J143" s="577"/>
      <c r="K143" s="597"/>
      <c r="L143" s="598"/>
      <c r="M143" s="438"/>
      <c r="N143" s="597"/>
      <c r="O143" s="597"/>
      <c r="P143" s="597"/>
      <c r="Q143" s="581"/>
      <c r="R143" s="420"/>
      <c r="S143" s="582"/>
      <c r="T143" s="583"/>
      <c r="U143" s="584" t="str">
        <f>IF($I143="","",LET(n,COUNTIFS('Lớp 6 - Chi tiết'!$J$14:$J$267,$I143,'Lớp 6 - Chi tiết'!$AE$14:$AE$267,"&lt;&gt;Hủy"),child,IFERROR(MAXIFS('Lớp 6 - Chi tiết'!$AH$14:$AH$267,'Lớp 6 - Chi tiết'!$J$14:$J$267,$I143,'Lớp 6 - Chi tiết'!$AE$14:$AE$267,"&lt;&gt;Hủy",'Lớp 6 - Chi tiết'!$AH$14:$AH$267,"&gt;0"),0),plan,'Trung tâm nhập liệu'!Q293,emergent,LOWER(TRIM('Trung tâm nhập liệu'!O293))="khi phát sinh",IF(n=0,IF(emergent,"",plan),IF(child=0,IF(emergent,"",plan),IF(OR(emergent,plan=""),child,MAX(plan,child))))))</f>
        <v/>
      </c>
      <c r="V143" s="584" t="str">
        <f>IF($I143="","",LET(n,COUNTIFS('Lớp 6 - Chi tiết'!$J$14:$J$267,$I143,'Lớp 6 - Chi tiết'!$AE$14:$AE$267,"&lt;&gt;Hủy"),child,IFERROR(MINIFS('Lớp 6 - Chi tiết'!$AG$14:$AG$267,'Lớp 6 - Chi tiết'!$J$14:$J$267,$I143,'Lớp 6 - Chi tiết'!$AE$14:$AE$267,"&lt;&gt;Hủy",'Lớp 6 - Chi tiết'!$AG$14:$AG$267,"&gt;0"),0),plan,'Trung tâm nhập liệu'!R293,emergent,LOWER(TRIM('Trung tâm nhập liệu'!O293))="khi phát sinh",IF(n=0,IF(emergent,"",plan),IF(child=0,IF(emergent,"",plan),IF(OR(emergent,plan=""),child,MIN(plan,child))))))</f>
        <v/>
      </c>
      <c r="W143" s="577"/>
      <c r="X143" s="577"/>
      <c r="Y143" s="585"/>
      <c r="Z143" s="586"/>
      <c r="AA143" s="577"/>
      <c r="AB143" s="572"/>
      <c r="AC143" s="420"/>
      <c r="AD143" s="584"/>
      <c r="AE143" s="584"/>
      <c r="AF143" s="587"/>
      <c r="AG143" s="588"/>
      <c r="AH143" s="587"/>
      <c r="AI143" s="589"/>
      <c r="AJ143" s="468"/>
      <c r="AK143" s="477" t="str">
        <f>IF(AM143="Chưa xếp lịch","Chưa xếp lịch",IF(AM143="Định kỳ",IF(AN143="","Thiếu chu kỳ","Theo chu kỳ"),IF(AM143="Khi phát sinh",IF(COUNTIFS('Lớp 6 - Chi tiết'!$J$14:$J$267,$I143,'Lớp 6 - Chi tiết'!$AE$14:$AE$267,"&lt;&gt;Hủy")=0,"Khi phát sinh – chờ việc con","Khi phát sinh – theo ngày con"),IF(I143="","",LET(n,COUNTIFS('Lớp 6 - Chi tiết'!$J$14:$J$267,$I143,'Lớp 6 - Chi tiết'!$AE$14:$AE$267,"&lt;&gt;Hủy"),cs,IFERROR(MINIFS('Lớp 6 - Chi tiết'!$AG$14:$AG$267,'Lớp 6 - Chi tiết'!$J$14:$J$267,$I143,'Lớp 6 - Chi tiết'!$AE$14:$AE$267,"&lt;&gt;Hủy",'Lớp 6 - Chi tiết'!$AG$14:$AG$267,"&gt;0"),0),ce,IFERROR(MAXIFS('Lớp 6 - Chi tiết'!$AH$14:$AH$267,'Lớp 6 - Chi tiết'!$J$14:$J$267,$I143,'Lớp 6 - Chi tiết'!$AE$14:$AE$267,"&lt;&gt;Hủy",'Lớp 6 - Chi tiết'!$AH$14:$AH$267,"&gt;0"),0),ps,'Trung tâm nhập liệu'!R293,pe,'Trung tâm nhập liệu'!Q293,IF(OR(AD143="",AE143=""),"Thiếu ngày L5",IF(n=0,"Chưa có L6",IF(OR(cs=0,ce=0),"Thiếu ngày L6",IF(OR(ps="",pe=""),"Thiếu ngày kế hoạch gốc L5",IF(OR(cs&lt;ps,ce&gt;pe),"Cảnh báo: Con vượt khung kế hoạch gốc","L6 đúng khung kế hoạch gốc"))))))))))</f>
        <v/>
      </c>
      <c r="AL143" s="465"/>
      <c r="AM143" s="467"/>
      <c r="AN143" s="469"/>
      <c r="AO143" s="470"/>
      <c r="AP143" s="470"/>
      <c r="AQ143" s="471"/>
      <c r="AR143" s="469"/>
      <c r="AS143" s="475"/>
      <c r="AT143" s="476"/>
      <c r="AU143" s="478"/>
      <c r="AV143" s="465"/>
      <c r="AW143" s="465"/>
      <c r="AX143" s="479"/>
    </row>
    <row r="144" ht="15.75" customHeight="1">
      <c r="A144" s="424"/>
      <c r="B144" s="572"/>
      <c r="C144" s="591"/>
      <c r="D144" s="623"/>
      <c r="E144" s="617"/>
      <c r="F144" s="575"/>
      <c r="G144" s="575"/>
      <c r="H144" s="576"/>
      <c r="I144" s="577"/>
      <c r="J144" s="577"/>
      <c r="K144" s="597"/>
      <c r="L144" s="598"/>
      <c r="M144" s="438"/>
      <c r="N144" s="597"/>
      <c r="O144" s="597"/>
      <c r="P144" s="597"/>
      <c r="Q144" s="581"/>
      <c r="R144" s="420"/>
      <c r="S144" s="582"/>
      <c r="T144" s="583"/>
      <c r="U144" s="584" t="str">
        <f>IF($I144="","",LET(n,COUNTIFS('Lớp 6 - Chi tiết'!$J$14:$J$267,$I144,'Lớp 6 - Chi tiết'!$AE$14:$AE$267,"&lt;&gt;Hủy"),child,IFERROR(MAXIFS('Lớp 6 - Chi tiết'!$AH$14:$AH$267,'Lớp 6 - Chi tiết'!$J$14:$J$267,$I144,'Lớp 6 - Chi tiết'!$AE$14:$AE$267,"&lt;&gt;Hủy",'Lớp 6 - Chi tiết'!$AH$14:$AH$267,"&gt;0"),0),plan,'Trung tâm nhập liệu'!Q294,emergent,LOWER(TRIM('Trung tâm nhập liệu'!O294))="khi phát sinh",IF(n=0,IF(emergent,"",plan),IF(child=0,IF(emergent,"",plan),IF(OR(emergent,plan=""),child,MAX(plan,child))))))</f>
        <v/>
      </c>
      <c r="V144" s="584" t="str">
        <f>IF($I144="","",LET(n,COUNTIFS('Lớp 6 - Chi tiết'!$J$14:$J$267,$I144,'Lớp 6 - Chi tiết'!$AE$14:$AE$267,"&lt;&gt;Hủy"),child,IFERROR(MINIFS('Lớp 6 - Chi tiết'!$AG$14:$AG$267,'Lớp 6 - Chi tiết'!$J$14:$J$267,$I144,'Lớp 6 - Chi tiết'!$AE$14:$AE$267,"&lt;&gt;Hủy",'Lớp 6 - Chi tiết'!$AG$14:$AG$267,"&gt;0"),0),plan,'Trung tâm nhập liệu'!R294,emergent,LOWER(TRIM('Trung tâm nhập liệu'!O294))="khi phát sinh",IF(n=0,IF(emergent,"",plan),IF(child=0,IF(emergent,"",plan),IF(OR(emergent,plan=""),child,MIN(plan,child))))))</f>
        <v/>
      </c>
      <c r="W144" s="577"/>
      <c r="X144" s="577"/>
      <c r="Y144" s="585"/>
      <c r="Z144" s="586"/>
      <c r="AA144" s="577"/>
      <c r="AB144" s="572"/>
      <c r="AC144" s="420"/>
      <c r="AD144" s="584"/>
      <c r="AE144" s="584"/>
      <c r="AF144" s="587"/>
      <c r="AG144" s="588"/>
      <c r="AH144" s="587"/>
      <c r="AI144" s="589"/>
      <c r="AJ144" s="468"/>
      <c r="AK144" s="477" t="str">
        <f>IF(AM144="Chưa xếp lịch","Chưa xếp lịch",IF(AM144="Định kỳ",IF(AN144="","Thiếu chu kỳ","Theo chu kỳ"),IF(AM144="Khi phát sinh",IF(COUNTIFS('Lớp 6 - Chi tiết'!$J$14:$J$267,$I144,'Lớp 6 - Chi tiết'!$AE$14:$AE$267,"&lt;&gt;Hủy")=0,"Khi phát sinh – chờ việc con","Khi phát sinh – theo ngày con"),IF(I144="","",LET(n,COUNTIFS('Lớp 6 - Chi tiết'!$J$14:$J$267,$I144,'Lớp 6 - Chi tiết'!$AE$14:$AE$267,"&lt;&gt;Hủy"),cs,IFERROR(MINIFS('Lớp 6 - Chi tiết'!$AG$14:$AG$267,'Lớp 6 - Chi tiết'!$J$14:$J$267,$I144,'Lớp 6 - Chi tiết'!$AE$14:$AE$267,"&lt;&gt;Hủy",'Lớp 6 - Chi tiết'!$AG$14:$AG$267,"&gt;0"),0),ce,IFERROR(MAXIFS('Lớp 6 - Chi tiết'!$AH$14:$AH$267,'Lớp 6 - Chi tiết'!$J$14:$J$267,$I144,'Lớp 6 - Chi tiết'!$AE$14:$AE$267,"&lt;&gt;Hủy",'Lớp 6 - Chi tiết'!$AH$14:$AH$267,"&gt;0"),0),ps,'Trung tâm nhập liệu'!R294,pe,'Trung tâm nhập liệu'!Q294,IF(OR(AD144="",AE144=""),"Thiếu ngày L5",IF(n=0,"Chưa có L6",IF(OR(cs=0,ce=0),"Thiếu ngày L6",IF(OR(ps="",pe=""),"Thiếu ngày kế hoạch gốc L5",IF(OR(cs&lt;ps,ce&gt;pe),"Cảnh báo: Con vượt khung kế hoạch gốc","L6 đúng khung kế hoạch gốc"))))))))))</f>
        <v/>
      </c>
      <c r="AL144" s="465"/>
      <c r="AM144" s="467"/>
      <c r="AN144" s="469"/>
      <c r="AO144" s="470"/>
      <c r="AP144" s="470"/>
      <c r="AQ144" s="471"/>
      <c r="AR144" s="469"/>
      <c r="AS144" s="475"/>
      <c r="AT144" s="476"/>
      <c r="AU144" s="478"/>
      <c r="AV144" s="465"/>
      <c r="AW144" s="465"/>
      <c r="AX144" s="479"/>
    </row>
    <row r="145" ht="15.75" customHeight="1">
      <c r="A145" s="424"/>
      <c r="B145" s="572"/>
      <c r="C145" s="591"/>
      <c r="D145" s="623"/>
      <c r="E145" s="617"/>
      <c r="F145" s="575"/>
      <c r="G145" s="575"/>
      <c r="H145" s="576"/>
      <c r="I145" s="577"/>
      <c r="J145" s="577"/>
      <c r="K145" s="597"/>
      <c r="L145" s="598"/>
      <c r="M145" s="438"/>
      <c r="N145" s="597"/>
      <c r="O145" s="597"/>
      <c r="P145" s="597"/>
      <c r="Q145" s="581"/>
      <c r="R145" s="420"/>
      <c r="S145" s="582"/>
      <c r="T145" s="583"/>
      <c r="U145" s="584" t="str">
        <f>IF($I145="","",LET(n,COUNTIFS('Lớp 6 - Chi tiết'!$J$14:$J$267,$I145,'Lớp 6 - Chi tiết'!$AE$14:$AE$267,"&lt;&gt;Hủy"),child,IFERROR(MAXIFS('Lớp 6 - Chi tiết'!$AH$14:$AH$267,'Lớp 6 - Chi tiết'!$J$14:$J$267,$I145,'Lớp 6 - Chi tiết'!$AE$14:$AE$267,"&lt;&gt;Hủy",'Lớp 6 - Chi tiết'!$AH$14:$AH$267,"&gt;0"),0),plan,'Trung tâm nhập liệu'!Q295,emergent,LOWER(TRIM('Trung tâm nhập liệu'!O295))="khi phát sinh",IF(n=0,IF(emergent,"",plan),IF(child=0,IF(emergent,"",plan),IF(OR(emergent,plan=""),child,MAX(plan,child))))))</f>
        <v/>
      </c>
      <c r="V145" s="584" t="str">
        <f>IF($I145="","",LET(n,COUNTIFS('Lớp 6 - Chi tiết'!$J$14:$J$267,$I145,'Lớp 6 - Chi tiết'!$AE$14:$AE$267,"&lt;&gt;Hủy"),child,IFERROR(MINIFS('Lớp 6 - Chi tiết'!$AG$14:$AG$267,'Lớp 6 - Chi tiết'!$J$14:$J$267,$I145,'Lớp 6 - Chi tiết'!$AE$14:$AE$267,"&lt;&gt;Hủy",'Lớp 6 - Chi tiết'!$AG$14:$AG$267,"&gt;0"),0),plan,'Trung tâm nhập liệu'!R295,emergent,LOWER(TRIM('Trung tâm nhập liệu'!O295))="khi phát sinh",IF(n=0,IF(emergent,"",plan),IF(child=0,IF(emergent,"",plan),IF(OR(emergent,plan=""),child,MIN(plan,child))))))</f>
        <v/>
      </c>
      <c r="W145" s="577"/>
      <c r="X145" s="577"/>
      <c r="Y145" s="585"/>
      <c r="Z145" s="586"/>
      <c r="AA145" s="577"/>
      <c r="AB145" s="572"/>
      <c r="AC145" s="420"/>
      <c r="AD145" s="584"/>
      <c r="AE145" s="584"/>
      <c r="AF145" s="587"/>
      <c r="AG145" s="588"/>
      <c r="AH145" s="587"/>
      <c r="AI145" s="589"/>
      <c r="AJ145" s="468"/>
      <c r="AK145" s="477" t="str">
        <f>IF(AM145="Chưa xếp lịch","Chưa xếp lịch",IF(AM145="Định kỳ",IF(AN145="","Thiếu chu kỳ","Theo chu kỳ"),IF(AM145="Khi phát sinh",IF(COUNTIFS('Lớp 6 - Chi tiết'!$J$14:$J$267,$I145,'Lớp 6 - Chi tiết'!$AE$14:$AE$267,"&lt;&gt;Hủy")=0,"Khi phát sinh – chờ việc con","Khi phát sinh – theo ngày con"),IF(I145="","",LET(n,COUNTIFS('Lớp 6 - Chi tiết'!$J$14:$J$267,$I145,'Lớp 6 - Chi tiết'!$AE$14:$AE$267,"&lt;&gt;Hủy"),cs,IFERROR(MINIFS('Lớp 6 - Chi tiết'!$AG$14:$AG$267,'Lớp 6 - Chi tiết'!$J$14:$J$267,$I145,'Lớp 6 - Chi tiết'!$AE$14:$AE$267,"&lt;&gt;Hủy",'Lớp 6 - Chi tiết'!$AG$14:$AG$267,"&gt;0"),0),ce,IFERROR(MAXIFS('Lớp 6 - Chi tiết'!$AH$14:$AH$267,'Lớp 6 - Chi tiết'!$J$14:$J$267,$I145,'Lớp 6 - Chi tiết'!$AE$14:$AE$267,"&lt;&gt;Hủy",'Lớp 6 - Chi tiết'!$AH$14:$AH$267,"&gt;0"),0),ps,'Trung tâm nhập liệu'!R295,pe,'Trung tâm nhập liệu'!Q295,IF(OR(AD145="",AE145=""),"Thiếu ngày L5",IF(n=0,"Chưa có L6",IF(OR(cs=0,ce=0),"Thiếu ngày L6",IF(OR(ps="",pe=""),"Thiếu ngày kế hoạch gốc L5",IF(OR(cs&lt;ps,ce&gt;pe),"Cảnh báo: Con vượt khung kế hoạch gốc","L6 đúng khung kế hoạch gốc"))))))))))</f>
        <v/>
      </c>
      <c r="AL145" s="465"/>
      <c r="AM145" s="467"/>
      <c r="AN145" s="469"/>
      <c r="AO145" s="470"/>
      <c r="AP145" s="470"/>
      <c r="AQ145" s="471"/>
      <c r="AR145" s="469"/>
      <c r="AS145" s="475"/>
      <c r="AT145" s="476"/>
      <c r="AU145" s="478"/>
      <c r="AV145" s="465"/>
      <c r="AW145" s="465"/>
      <c r="AX145" s="479"/>
    </row>
    <row r="146" ht="15.75" customHeight="1">
      <c r="A146" s="424"/>
      <c r="B146" s="572"/>
      <c r="C146" s="591"/>
      <c r="D146" s="623"/>
      <c r="E146" s="617"/>
      <c r="F146" s="575"/>
      <c r="G146" s="575"/>
      <c r="H146" s="576"/>
      <c r="I146" s="577"/>
      <c r="J146" s="577"/>
      <c r="K146" s="597"/>
      <c r="L146" s="598"/>
      <c r="M146" s="438"/>
      <c r="N146" s="597"/>
      <c r="O146" s="597"/>
      <c r="P146" s="597"/>
      <c r="Q146" s="581"/>
      <c r="R146" s="420"/>
      <c r="S146" s="582"/>
      <c r="T146" s="583"/>
      <c r="U146" s="584" t="str">
        <f>IF($I146="","",LET(n,COUNTIFS('Lớp 6 - Chi tiết'!$J$14:$J$267,$I146,'Lớp 6 - Chi tiết'!$AE$14:$AE$267,"&lt;&gt;Hủy"),child,IFERROR(MAXIFS('Lớp 6 - Chi tiết'!$AH$14:$AH$267,'Lớp 6 - Chi tiết'!$J$14:$J$267,$I146,'Lớp 6 - Chi tiết'!$AE$14:$AE$267,"&lt;&gt;Hủy",'Lớp 6 - Chi tiết'!$AH$14:$AH$267,"&gt;0"),0),plan,'Trung tâm nhập liệu'!Q296,emergent,LOWER(TRIM('Trung tâm nhập liệu'!O296))="khi phát sinh",IF(n=0,IF(emergent,"",plan),IF(child=0,IF(emergent,"",plan),IF(OR(emergent,plan=""),child,MAX(plan,child))))))</f>
        <v/>
      </c>
      <c r="V146" s="584" t="str">
        <f>IF($I146="","",LET(n,COUNTIFS('Lớp 6 - Chi tiết'!$J$14:$J$267,$I146,'Lớp 6 - Chi tiết'!$AE$14:$AE$267,"&lt;&gt;Hủy"),child,IFERROR(MINIFS('Lớp 6 - Chi tiết'!$AG$14:$AG$267,'Lớp 6 - Chi tiết'!$J$14:$J$267,$I146,'Lớp 6 - Chi tiết'!$AE$14:$AE$267,"&lt;&gt;Hủy",'Lớp 6 - Chi tiết'!$AG$14:$AG$267,"&gt;0"),0),plan,'Trung tâm nhập liệu'!R296,emergent,LOWER(TRIM('Trung tâm nhập liệu'!O296))="khi phát sinh",IF(n=0,IF(emergent,"",plan),IF(child=0,IF(emergent,"",plan),IF(OR(emergent,plan=""),child,MIN(plan,child))))))</f>
        <v/>
      </c>
      <c r="W146" s="577"/>
      <c r="X146" s="577"/>
      <c r="Y146" s="585"/>
      <c r="Z146" s="586"/>
      <c r="AA146" s="577"/>
      <c r="AB146" s="572"/>
      <c r="AC146" s="420"/>
      <c r="AD146" s="584"/>
      <c r="AE146" s="584"/>
      <c r="AF146" s="587"/>
      <c r="AG146" s="588"/>
      <c r="AH146" s="587"/>
      <c r="AI146" s="589"/>
      <c r="AJ146" s="468"/>
      <c r="AK146" s="477" t="str">
        <f>IF(AM146="Chưa xếp lịch","Chưa xếp lịch",IF(AM146="Định kỳ",IF(AN146="","Thiếu chu kỳ","Theo chu kỳ"),IF(AM146="Khi phát sinh",IF(COUNTIFS('Lớp 6 - Chi tiết'!$J$14:$J$267,$I146,'Lớp 6 - Chi tiết'!$AE$14:$AE$267,"&lt;&gt;Hủy")=0,"Khi phát sinh – chờ việc con","Khi phát sinh – theo ngày con"),IF(I146="","",LET(n,COUNTIFS('Lớp 6 - Chi tiết'!$J$14:$J$267,$I146,'Lớp 6 - Chi tiết'!$AE$14:$AE$267,"&lt;&gt;Hủy"),cs,IFERROR(MINIFS('Lớp 6 - Chi tiết'!$AG$14:$AG$267,'Lớp 6 - Chi tiết'!$J$14:$J$267,$I146,'Lớp 6 - Chi tiết'!$AE$14:$AE$267,"&lt;&gt;Hủy",'Lớp 6 - Chi tiết'!$AG$14:$AG$267,"&gt;0"),0),ce,IFERROR(MAXIFS('Lớp 6 - Chi tiết'!$AH$14:$AH$267,'Lớp 6 - Chi tiết'!$J$14:$J$267,$I146,'Lớp 6 - Chi tiết'!$AE$14:$AE$267,"&lt;&gt;Hủy",'Lớp 6 - Chi tiết'!$AH$14:$AH$267,"&gt;0"),0),ps,'Trung tâm nhập liệu'!R296,pe,'Trung tâm nhập liệu'!Q296,IF(OR(AD146="",AE146=""),"Thiếu ngày L5",IF(n=0,"Chưa có L6",IF(OR(cs=0,ce=0),"Thiếu ngày L6",IF(OR(ps="",pe=""),"Thiếu ngày kế hoạch gốc L5",IF(OR(cs&lt;ps,ce&gt;pe),"Cảnh báo: Con vượt khung kế hoạch gốc","L6 đúng khung kế hoạch gốc"))))))))))</f>
        <v/>
      </c>
      <c r="AL146" s="465"/>
      <c r="AM146" s="467"/>
      <c r="AN146" s="469"/>
      <c r="AO146" s="470"/>
      <c r="AP146" s="470"/>
      <c r="AQ146" s="471"/>
      <c r="AR146" s="469"/>
      <c r="AS146" s="475"/>
      <c r="AT146" s="476"/>
      <c r="AU146" s="478"/>
      <c r="AV146" s="465"/>
      <c r="AW146" s="465"/>
      <c r="AX146" s="479"/>
    </row>
    <row r="147" ht="15.75" customHeight="1">
      <c r="A147" s="424"/>
      <c r="B147" s="572"/>
      <c r="C147" s="591"/>
      <c r="D147" s="623"/>
      <c r="E147" s="617"/>
      <c r="F147" s="575"/>
      <c r="G147" s="575"/>
      <c r="H147" s="576"/>
      <c r="I147" s="577"/>
      <c r="J147" s="577"/>
      <c r="K147" s="597"/>
      <c r="L147" s="598"/>
      <c r="M147" s="438"/>
      <c r="N147" s="597"/>
      <c r="O147" s="597"/>
      <c r="P147" s="597"/>
      <c r="Q147" s="581"/>
      <c r="R147" s="420"/>
      <c r="S147" s="582"/>
      <c r="T147" s="583"/>
      <c r="U147" s="584" t="str">
        <f>IF($I147="","",LET(n,COUNTIFS('Lớp 6 - Chi tiết'!$J$14:$J$267,$I147,'Lớp 6 - Chi tiết'!$AE$14:$AE$267,"&lt;&gt;Hủy"),child,IFERROR(MAXIFS('Lớp 6 - Chi tiết'!$AH$14:$AH$267,'Lớp 6 - Chi tiết'!$J$14:$J$267,$I147,'Lớp 6 - Chi tiết'!$AE$14:$AE$267,"&lt;&gt;Hủy",'Lớp 6 - Chi tiết'!$AH$14:$AH$267,"&gt;0"),0),plan,'Trung tâm nhập liệu'!Q297,emergent,LOWER(TRIM('Trung tâm nhập liệu'!O297))="khi phát sinh",IF(n=0,IF(emergent,"",plan),IF(child=0,IF(emergent,"",plan),IF(OR(emergent,plan=""),child,MAX(plan,child))))))</f>
        <v/>
      </c>
      <c r="V147" s="584" t="str">
        <f>IF($I147="","",LET(n,COUNTIFS('Lớp 6 - Chi tiết'!$J$14:$J$267,$I147,'Lớp 6 - Chi tiết'!$AE$14:$AE$267,"&lt;&gt;Hủy"),child,IFERROR(MINIFS('Lớp 6 - Chi tiết'!$AG$14:$AG$267,'Lớp 6 - Chi tiết'!$J$14:$J$267,$I147,'Lớp 6 - Chi tiết'!$AE$14:$AE$267,"&lt;&gt;Hủy",'Lớp 6 - Chi tiết'!$AG$14:$AG$267,"&gt;0"),0),plan,'Trung tâm nhập liệu'!R297,emergent,LOWER(TRIM('Trung tâm nhập liệu'!O297))="khi phát sinh",IF(n=0,IF(emergent,"",plan),IF(child=0,IF(emergent,"",plan),IF(OR(emergent,plan=""),child,MIN(plan,child))))))</f>
        <v/>
      </c>
      <c r="W147" s="577"/>
      <c r="X147" s="577"/>
      <c r="Y147" s="585"/>
      <c r="Z147" s="586"/>
      <c r="AA147" s="577"/>
      <c r="AB147" s="572"/>
      <c r="AC147" s="420"/>
      <c r="AD147" s="584"/>
      <c r="AE147" s="584"/>
      <c r="AF147" s="587"/>
      <c r="AG147" s="588"/>
      <c r="AH147" s="587"/>
      <c r="AI147" s="589"/>
      <c r="AJ147" s="468"/>
      <c r="AK147" s="477" t="str">
        <f>IF(AM147="Chưa xếp lịch","Chưa xếp lịch",IF(AM147="Định kỳ",IF(AN147="","Thiếu chu kỳ","Theo chu kỳ"),IF(AM147="Khi phát sinh",IF(COUNTIFS('Lớp 6 - Chi tiết'!$J$14:$J$267,$I147,'Lớp 6 - Chi tiết'!$AE$14:$AE$267,"&lt;&gt;Hủy")=0,"Khi phát sinh – chờ việc con","Khi phát sinh – theo ngày con"),IF(I147="","",LET(n,COUNTIFS('Lớp 6 - Chi tiết'!$J$14:$J$267,$I147,'Lớp 6 - Chi tiết'!$AE$14:$AE$267,"&lt;&gt;Hủy"),cs,IFERROR(MINIFS('Lớp 6 - Chi tiết'!$AG$14:$AG$267,'Lớp 6 - Chi tiết'!$J$14:$J$267,$I147,'Lớp 6 - Chi tiết'!$AE$14:$AE$267,"&lt;&gt;Hủy",'Lớp 6 - Chi tiết'!$AG$14:$AG$267,"&gt;0"),0),ce,IFERROR(MAXIFS('Lớp 6 - Chi tiết'!$AH$14:$AH$267,'Lớp 6 - Chi tiết'!$J$14:$J$267,$I147,'Lớp 6 - Chi tiết'!$AE$14:$AE$267,"&lt;&gt;Hủy",'Lớp 6 - Chi tiết'!$AH$14:$AH$267,"&gt;0"),0),ps,'Trung tâm nhập liệu'!R297,pe,'Trung tâm nhập liệu'!Q297,IF(OR(AD147="",AE147=""),"Thiếu ngày L5",IF(n=0,"Chưa có L6",IF(OR(cs=0,ce=0),"Thiếu ngày L6",IF(OR(ps="",pe=""),"Thiếu ngày kế hoạch gốc L5",IF(OR(cs&lt;ps,ce&gt;pe),"Cảnh báo: Con vượt khung kế hoạch gốc","L6 đúng khung kế hoạch gốc"))))))))))</f>
        <v/>
      </c>
      <c r="AL147" s="465"/>
      <c r="AM147" s="467"/>
      <c r="AN147" s="469"/>
      <c r="AO147" s="470"/>
      <c r="AP147" s="470"/>
      <c r="AQ147" s="471"/>
      <c r="AR147" s="469"/>
      <c r="AS147" s="475"/>
      <c r="AT147" s="476"/>
      <c r="AU147" s="478"/>
      <c r="AV147" s="465"/>
      <c r="AW147" s="465"/>
      <c r="AX147" s="479"/>
    </row>
    <row r="148" ht="15.75" customHeight="1">
      <c r="A148" s="424"/>
      <c r="B148" s="572"/>
      <c r="C148" s="591"/>
      <c r="D148" s="623"/>
      <c r="E148" s="617"/>
      <c r="F148" s="575"/>
      <c r="G148" s="575"/>
      <c r="H148" s="576"/>
      <c r="I148" s="577"/>
      <c r="J148" s="577"/>
      <c r="K148" s="597"/>
      <c r="L148" s="598"/>
      <c r="M148" s="438"/>
      <c r="N148" s="597"/>
      <c r="O148" s="597"/>
      <c r="P148" s="597"/>
      <c r="Q148" s="581"/>
      <c r="R148" s="420"/>
      <c r="S148" s="582"/>
      <c r="T148" s="583"/>
      <c r="U148" s="584" t="str">
        <f>IF($I148="","",LET(n,COUNTIFS('Lớp 6 - Chi tiết'!$J$14:$J$267,$I148,'Lớp 6 - Chi tiết'!$AE$14:$AE$267,"&lt;&gt;Hủy"),child,IFERROR(MAXIFS('Lớp 6 - Chi tiết'!$AH$14:$AH$267,'Lớp 6 - Chi tiết'!$J$14:$J$267,$I148,'Lớp 6 - Chi tiết'!$AE$14:$AE$267,"&lt;&gt;Hủy",'Lớp 6 - Chi tiết'!$AH$14:$AH$267,"&gt;0"),0),plan,'Trung tâm nhập liệu'!Q298,emergent,LOWER(TRIM('Trung tâm nhập liệu'!O298))="khi phát sinh",IF(n=0,IF(emergent,"",plan),IF(child=0,IF(emergent,"",plan),IF(OR(emergent,plan=""),child,MAX(plan,child))))))</f>
        <v/>
      </c>
      <c r="V148" s="584" t="str">
        <f>IF($I148="","",LET(n,COUNTIFS('Lớp 6 - Chi tiết'!$J$14:$J$267,$I148,'Lớp 6 - Chi tiết'!$AE$14:$AE$267,"&lt;&gt;Hủy"),child,IFERROR(MINIFS('Lớp 6 - Chi tiết'!$AG$14:$AG$267,'Lớp 6 - Chi tiết'!$J$14:$J$267,$I148,'Lớp 6 - Chi tiết'!$AE$14:$AE$267,"&lt;&gt;Hủy",'Lớp 6 - Chi tiết'!$AG$14:$AG$267,"&gt;0"),0),plan,'Trung tâm nhập liệu'!R298,emergent,LOWER(TRIM('Trung tâm nhập liệu'!O298))="khi phát sinh",IF(n=0,IF(emergent,"",plan),IF(child=0,IF(emergent,"",plan),IF(OR(emergent,plan=""),child,MIN(plan,child))))))</f>
        <v/>
      </c>
      <c r="W148" s="577"/>
      <c r="X148" s="577"/>
      <c r="Y148" s="585"/>
      <c r="Z148" s="586"/>
      <c r="AA148" s="577"/>
      <c r="AB148" s="572"/>
      <c r="AC148" s="420"/>
      <c r="AD148" s="584"/>
      <c r="AE148" s="584"/>
      <c r="AF148" s="587"/>
      <c r="AG148" s="588"/>
      <c r="AH148" s="587"/>
      <c r="AI148" s="589"/>
      <c r="AJ148" s="468"/>
      <c r="AK148" s="477" t="str">
        <f>IF(AM148="Chưa xếp lịch","Chưa xếp lịch",IF(AM148="Định kỳ",IF(AN148="","Thiếu chu kỳ","Theo chu kỳ"),IF(AM148="Khi phát sinh",IF(COUNTIFS('Lớp 6 - Chi tiết'!$J$14:$J$267,$I148,'Lớp 6 - Chi tiết'!$AE$14:$AE$267,"&lt;&gt;Hủy")=0,"Khi phát sinh – chờ việc con","Khi phát sinh – theo ngày con"),IF(I148="","",LET(n,COUNTIFS('Lớp 6 - Chi tiết'!$J$14:$J$267,$I148,'Lớp 6 - Chi tiết'!$AE$14:$AE$267,"&lt;&gt;Hủy"),cs,IFERROR(MINIFS('Lớp 6 - Chi tiết'!$AG$14:$AG$267,'Lớp 6 - Chi tiết'!$J$14:$J$267,$I148,'Lớp 6 - Chi tiết'!$AE$14:$AE$267,"&lt;&gt;Hủy",'Lớp 6 - Chi tiết'!$AG$14:$AG$267,"&gt;0"),0),ce,IFERROR(MAXIFS('Lớp 6 - Chi tiết'!$AH$14:$AH$267,'Lớp 6 - Chi tiết'!$J$14:$J$267,$I148,'Lớp 6 - Chi tiết'!$AE$14:$AE$267,"&lt;&gt;Hủy",'Lớp 6 - Chi tiết'!$AH$14:$AH$267,"&gt;0"),0),ps,'Trung tâm nhập liệu'!R298,pe,'Trung tâm nhập liệu'!Q298,IF(OR(AD148="",AE148=""),"Thiếu ngày L5",IF(n=0,"Chưa có L6",IF(OR(cs=0,ce=0),"Thiếu ngày L6",IF(OR(ps="",pe=""),"Thiếu ngày kế hoạch gốc L5",IF(OR(cs&lt;ps,ce&gt;pe),"Cảnh báo: Con vượt khung kế hoạch gốc","L6 đúng khung kế hoạch gốc"))))))))))</f>
        <v/>
      </c>
      <c r="AL148" s="465"/>
      <c r="AM148" s="467"/>
      <c r="AN148" s="469"/>
      <c r="AO148" s="470"/>
      <c r="AP148" s="470"/>
      <c r="AQ148" s="471"/>
      <c r="AR148" s="469"/>
      <c r="AS148" s="475"/>
      <c r="AT148" s="476"/>
      <c r="AU148" s="478"/>
      <c r="AV148" s="465"/>
      <c r="AW148" s="465"/>
      <c r="AX148" s="479"/>
    </row>
    <row r="149" ht="15.75" customHeight="1">
      <c r="A149" s="424"/>
      <c r="B149" s="572"/>
      <c r="C149" s="591"/>
      <c r="D149" s="623"/>
      <c r="E149" s="617"/>
      <c r="F149" s="575"/>
      <c r="G149" s="575"/>
      <c r="H149" s="576"/>
      <c r="I149" s="577"/>
      <c r="J149" s="577"/>
      <c r="K149" s="597"/>
      <c r="L149" s="598"/>
      <c r="M149" s="438"/>
      <c r="N149" s="597"/>
      <c r="O149" s="597"/>
      <c r="P149" s="597"/>
      <c r="Q149" s="581"/>
      <c r="R149" s="420"/>
      <c r="S149" s="582"/>
      <c r="T149" s="583"/>
      <c r="U149" s="584" t="str">
        <f>IF($I149="","",LET(n,COUNTIFS('Lớp 6 - Chi tiết'!$J$14:$J$267,$I149,'Lớp 6 - Chi tiết'!$AE$14:$AE$267,"&lt;&gt;Hủy"),child,IFERROR(MAXIFS('Lớp 6 - Chi tiết'!$AH$14:$AH$267,'Lớp 6 - Chi tiết'!$J$14:$J$267,$I149,'Lớp 6 - Chi tiết'!$AE$14:$AE$267,"&lt;&gt;Hủy",'Lớp 6 - Chi tiết'!$AH$14:$AH$267,"&gt;0"),0),plan,'Trung tâm nhập liệu'!Q299,emergent,LOWER(TRIM('Trung tâm nhập liệu'!O299))="khi phát sinh",IF(n=0,IF(emergent,"",plan),IF(child=0,IF(emergent,"",plan),IF(OR(emergent,plan=""),child,MAX(plan,child))))))</f>
        <v/>
      </c>
      <c r="V149" s="584" t="str">
        <f>IF($I149="","",LET(n,COUNTIFS('Lớp 6 - Chi tiết'!$J$14:$J$267,$I149,'Lớp 6 - Chi tiết'!$AE$14:$AE$267,"&lt;&gt;Hủy"),child,IFERROR(MINIFS('Lớp 6 - Chi tiết'!$AG$14:$AG$267,'Lớp 6 - Chi tiết'!$J$14:$J$267,$I149,'Lớp 6 - Chi tiết'!$AE$14:$AE$267,"&lt;&gt;Hủy",'Lớp 6 - Chi tiết'!$AG$14:$AG$267,"&gt;0"),0),plan,'Trung tâm nhập liệu'!R299,emergent,LOWER(TRIM('Trung tâm nhập liệu'!O299))="khi phát sinh",IF(n=0,IF(emergent,"",plan),IF(child=0,IF(emergent,"",plan),IF(OR(emergent,plan=""),child,MIN(plan,child))))))</f>
        <v/>
      </c>
      <c r="W149" s="577"/>
      <c r="X149" s="577"/>
      <c r="Y149" s="585"/>
      <c r="Z149" s="586"/>
      <c r="AA149" s="577"/>
      <c r="AB149" s="572"/>
      <c r="AC149" s="420"/>
      <c r="AD149" s="584"/>
      <c r="AE149" s="584"/>
      <c r="AF149" s="587"/>
      <c r="AG149" s="588"/>
      <c r="AH149" s="587"/>
      <c r="AI149" s="589"/>
      <c r="AJ149" s="468"/>
      <c r="AK149" s="477" t="str">
        <f>IF(AM149="Chưa xếp lịch","Chưa xếp lịch",IF(AM149="Định kỳ",IF(AN149="","Thiếu chu kỳ","Theo chu kỳ"),IF(AM149="Khi phát sinh",IF(COUNTIFS('Lớp 6 - Chi tiết'!$J$14:$J$267,$I149,'Lớp 6 - Chi tiết'!$AE$14:$AE$267,"&lt;&gt;Hủy")=0,"Khi phát sinh – chờ việc con","Khi phát sinh – theo ngày con"),IF(I149="","",LET(n,COUNTIFS('Lớp 6 - Chi tiết'!$J$14:$J$267,$I149,'Lớp 6 - Chi tiết'!$AE$14:$AE$267,"&lt;&gt;Hủy"),cs,IFERROR(MINIFS('Lớp 6 - Chi tiết'!$AG$14:$AG$267,'Lớp 6 - Chi tiết'!$J$14:$J$267,$I149,'Lớp 6 - Chi tiết'!$AE$14:$AE$267,"&lt;&gt;Hủy",'Lớp 6 - Chi tiết'!$AG$14:$AG$267,"&gt;0"),0),ce,IFERROR(MAXIFS('Lớp 6 - Chi tiết'!$AH$14:$AH$267,'Lớp 6 - Chi tiết'!$J$14:$J$267,$I149,'Lớp 6 - Chi tiết'!$AE$14:$AE$267,"&lt;&gt;Hủy",'Lớp 6 - Chi tiết'!$AH$14:$AH$267,"&gt;0"),0),ps,'Trung tâm nhập liệu'!R299,pe,'Trung tâm nhập liệu'!Q299,IF(OR(AD149="",AE149=""),"Thiếu ngày L5",IF(n=0,"Chưa có L6",IF(OR(cs=0,ce=0),"Thiếu ngày L6",IF(OR(ps="",pe=""),"Thiếu ngày kế hoạch gốc L5",IF(OR(cs&lt;ps,ce&gt;pe),"Cảnh báo: Con vượt khung kế hoạch gốc","L6 đúng khung kế hoạch gốc"))))))))))</f>
        <v/>
      </c>
      <c r="AL149" s="465"/>
      <c r="AM149" s="467"/>
      <c r="AN149" s="469"/>
      <c r="AO149" s="470"/>
      <c r="AP149" s="470"/>
      <c r="AQ149" s="471"/>
      <c r="AR149" s="469"/>
      <c r="AS149" s="475"/>
      <c r="AT149" s="476"/>
      <c r="AU149" s="478"/>
      <c r="AV149" s="465"/>
      <c r="AW149" s="465"/>
      <c r="AX149" s="479"/>
    </row>
    <row r="150" ht="15.75" customHeight="1">
      <c r="A150" s="424"/>
      <c r="B150" s="572"/>
      <c r="C150" s="591"/>
      <c r="D150" s="623"/>
      <c r="E150" s="617"/>
      <c r="F150" s="575"/>
      <c r="G150" s="575"/>
      <c r="H150" s="576"/>
      <c r="I150" s="577"/>
      <c r="J150" s="577"/>
      <c r="K150" s="597"/>
      <c r="L150" s="598"/>
      <c r="M150" s="438"/>
      <c r="N150" s="597"/>
      <c r="O150" s="597"/>
      <c r="P150" s="597"/>
      <c r="Q150" s="581"/>
      <c r="R150" s="420"/>
      <c r="S150" s="582"/>
      <c r="T150" s="583"/>
      <c r="U150" s="584" t="str">
        <f>IF($I150="","",LET(n,COUNTIFS('Lớp 6 - Chi tiết'!$J$14:$J$267,$I150,'Lớp 6 - Chi tiết'!$AE$14:$AE$267,"&lt;&gt;Hủy"),child,IFERROR(MAXIFS('Lớp 6 - Chi tiết'!$AH$14:$AH$267,'Lớp 6 - Chi tiết'!$J$14:$J$267,$I150,'Lớp 6 - Chi tiết'!$AE$14:$AE$267,"&lt;&gt;Hủy",'Lớp 6 - Chi tiết'!$AH$14:$AH$267,"&gt;0"),0),plan,'Trung tâm nhập liệu'!Q300,emergent,LOWER(TRIM('Trung tâm nhập liệu'!O300))="khi phát sinh",IF(n=0,IF(emergent,"",plan),IF(child=0,IF(emergent,"",plan),IF(OR(emergent,plan=""),child,MAX(plan,child))))))</f>
        <v/>
      </c>
      <c r="V150" s="584" t="str">
        <f>IF($I150="","",LET(n,COUNTIFS('Lớp 6 - Chi tiết'!$J$14:$J$267,$I150,'Lớp 6 - Chi tiết'!$AE$14:$AE$267,"&lt;&gt;Hủy"),child,IFERROR(MINIFS('Lớp 6 - Chi tiết'!$AG$14:$AG$267,'Lớp 6 - Chi tiết'!$J$14:$J$267,$I150,'Lớp 6 - Chi tiết'!$AE$14:$AE$267,"&lt;&gt;Hủy",'Lớp 6 - Chi tiết'!$AG$14:$AG$267,"&gt;0"),0),plan,'Trung tâm nhập liệu'!R300,emergent,LOWER(TRIM('Trung tâm nhập liệu'!O300))="khi phát sinh",IF(n=0,IF(emergent,"",plan),IF(child=0,IF(emergent,"",plan),IF(OR(emergent,plan=""),child,MIN(plan,child))))))</f>
        <v/>
      </c>
      <c r="W150" s="577"/>
      <c r="X150" s="577"/>
      <c r="Y150" s="585"/>
      <c r="Z150" s="586"/>
      <c r="AA150" s="577"/>
      <c r="AB150" s="572"/>
      <c r="AC150" s="420"/>
      <c r="AD150" s="584"/>
      <c r="AE150" s="584"/>
      <c r="AF150" s="587"/>
      <c r="AG150" s="588"/>
      <c r="AH150" s="587"/>
      <c r="AI150" s="589"/>
      <c r="AJ150" s="468"/>
      <c r="AK150" s="477" t="str">
        <f>IF(AM150="Chưa xếp lịch","Chưa xếp lịch",IF(AM150="Định kỳ",IF(AN150="","Thiếu chu kỳ","Theo chu kỳ"),IF(AM150="Khi phát sinh",IF(COUNTIFS('Lớp 6 - Chi tiết'!$J$14:$J$267,$I150,'Lớp 6 - Chi tiết'!$AE$14:$AE$267,"&lt;&gt;Hủy")=0,"Khi phát sinh – chờ việc con","Khi phát sinh – theo ngày con"),IF(I150="","",LET(n,COUNTIFS('Lớp 6 - Chi tiết'!$J$14:$J$267,$I150,'Lớp 6 - Chi tiết'!$AE$14:$AE$267,"&lt;&gt;Hủy"),cs,IFERROR(MINIFS('Lớp 6 - Chi tiết'!$AG$14:$AG$267,'Lớp 6 - Chi tiết'!$J$14:$J$267,$I150,'Lớp 6 - Chi tiết'!$AE$14:$AE$267,"&lt;&gt;Hủy",'Lớp 6 - Chi tiết'!$AG$14:$AG$267,"&gt;0"),0),ce,IFERROR(MAXIFS('Lớp 6 - Chi tiết'!$AH$14:$AH$267,'Lớp 6 - Chi tiết'!$J$14:$J$267,$I150,'Lớp 6 - Chi tiết'!$AE$14:$AE$267,"&lt;&gt;Hủy",'Lớp 6 - Chi tiết'!$AH$14:$AH$267,"&gt;0"),0),ps,'Trung tâm nhập liệu'!R300,pe,'Trung tâm nhập liệu'!Q300,IF(OR(AD150="",AE150=""),"Thiếu ngày L5",IF(n=0,"Chưa có L6",IF(OR(cs=0,ce=0),"Thiếu ngày L6",IF(OR(ps="",pe=""),"Thiếu ngày kế hoạch gốc L5",IF(OR(cs&lt;ps,ce&gt;pe),"Cảnh báo: Con vượt khung kế hoạch gốc","L6 đúng khung kế hoạch gốc"))))))))))</f>
        <v/>
      </c>
      <c r="AL150" s="465"/>
      <c r="AM150" s="467"/>
      <c r="AN150" s="469"/>
      <c r="AO150" s="470"/>
      <c r="AP150" s="470"/>
      <c r="AQ150" s="471"/>
      <c r="AR150" s="469"/>
      <c r="AS150" s="475"/>
      <c r="AT150" s="476"/>
      <c r="AU150" s="478"/>
      <c r="AV150" s="465"/>
      <c r="AW150" s="465"/>
      <c r="AX150" s="479"/>
    </row>
    <row r="151" ht="15.75" customHeight="1">
      <c r="A151" s="424"/>
      <c r="B151" s="572"/>
      <c r="C151" s="591"/>
      <c r="D151" s="623"/>
      <c r="E151" s="617"/>
      <c r="F151" s="575"/>
      <c r="G151" s="575"/>
      <c r="H151" s="576"/>
      <c r="I151" s="577"/>
      <c r="J151" s="577"/>
      <c r="K151" s="597"/>
      <c r="L151" s="598"/>
      <c r="M151" s="438"/>
      <c r="N151" s="597"/>
      <c r="O151" s="597"/>
      <c r="P151" s="597"/>
      <c r="Q151" s="581"/>
      <c r="R151" s="420"/>
      <c r="S151" s="582"/>
      <c r="T151" s="583"/>
      <c r="U151" s="584" t="str">
        <f>IF($I151="","",LET(n,COUNTIFS('Lớp 6 - Chi tiết'!$J$14:$J$267,$I151,'Lớp 6 - Chi tiết'!$AE$14:$AE$267,"&lt;&gt;Hủy"),child,IFERROR(MAXIFS('Lớp 6 - Chi tiết'!$AH$14:$AH$267,'Lớp 6 - Chi tiết'!$J$14:$J$267,$I151,'Lớp 6 - Chi tiết'!$AE$14:$AE$267,"&lt;&gt;Hủy",'Lớp 6 - Chi tiết'!$AH$14:$AH$267,"&gt;0"),0),plan,'Trung tâm nhập liệu'!Q301,emergent,LOWER(TRIM('Trung tâm nhập liệu'!O301))="khi phát sinh",IF(n=0,IF(emergent,"",plan),IF(child=0,IF(emergent,"",plan),IF(OR(emergent,plan=""),child,MAX(plan,child))))))</f>
        <v/>
      </c>
      <c r="V151" s="584" t="str">
        <f>IF($I151="","",LET(n,COUNTIFS('Lớp 6 - Chi tiết'!$J$14:$J$267,$I151,'Lớp 6 - Chi tiết'!$AE$14:$AE$267,"&lt;&gt;Hủy"),child,IFERROR(MINIFS('Lớp 6 - Chi tiết'!$AG$14:$AG$267,'Lớp 6 - Chi tiết'!$J$14:$J$267,$I151,'Lớp 6 - Chi tiết'!$AE$14:$AE$267,"&lt;&gt;Hủy",'Lớp 6 - Chi tiết'!$AG$14:$AG$267,"&gt;0"),0),plan,'Trung tâm nhập liệu'!R301,emergent,LOWER(TRIM('Trung tâm nhập liệu'!O301))="khi phát sinh",IF(n=0,IF(emergent,"",plan),IF(child=0,IF(emergent,"",plan),IF(OR(emergent,plan=""),child,MIN(plan,child))))))</f>
        <v/>
      </c>
      <c r="W151" s="577"/>
      <c r="X151" s="577"/>
      <c r="Y151" s="585"/>
      <c r="Z151" s="586"/>
      <c r="AA151" s="577"/>
      <c r="AB151" s="572"/>
      <c r="AC151" s="420"/>
      <c r="AD151" s="584"/>
      <c r="AE151" s="584"/>
      <c r="AF151" s="587"/>
      <c r="AG151" s="588"/>
      <c r="AH151" s="587"/>
      <c r="AI151" s="589"/>
      <c r="AJ151" s="468"/>
      <c r="AK151" s="477" t="str">
        <f>IF(AM151="Chưa xếp lịch","Chưa xếp lịch",IF(AM151="Định kỳ",IF(AN151="","Thiếu chu kỳ","Theo chu kỳ"),IF(AM151="Khi phát sinh",IF(COUNTIFS('Lớp 6 - Chi tiết'!$J$14:$J$267,$I151,'Lớp 6 - Chi tiết'!$AE$14:$AE$267,"&lt;&gt;Hủy")=0,"Khi phát sinh – chờ việc con","Khi phát sinh – theo ngày con"),IF(I151="","",LET(n,COUNTIFS('Lớp 6 - Chi tiết'!$J$14:$J$267,$I151,'Lớp 6 - Chi tiết'!$AE$14:$AE$267,"&lt;&gt;Hủy"),cs,IFERROR(MINIFS('Lớp 6 - Chi tiết'!$AG$14:$AG$267,'Lớp 6 - Chi tiết'!$J$14:$J$267,$I151,'Lớp 6 - Chi tiết'!$AE$14:$AE$267,"&lt;&gt;Hủy",'Lớp 6 - Chi tiết'!$AG$14:$AG$267,"&gt;0"),0),ce,IFERROR(MAXIFS('Lớp 6 - Chi tiết'!$AH$14:$AH$267,'Lớp 6 - Chi tiết'!$J$14:$J$267,$I151,'Lớp 6 - Chi tiết'!$AE$14:$AE$267,"&lt;&gt;Hủy",'Lớp 6 - Chi tiết'!$AH$14:$AH$267,"&gt;0"),0),ps,'Trung tâm nhập liệu'!R301,pe,'Trung tâm nhập liệu'!Q301,IF(OR(AD151="",AE151=""),"Thiếu ngày L5",IF(n=0,"Chưa có L6",IF(OR(cs=0,ce=0),"Thiếu ngày L6",IF(OR(ps="",pe=""),"Thiếu ngày kế hoạch gốc L5",IF(OR(cs&lt;ps,ce&gt;pe),"Cảnh báo: Con vượt khung kế hoạch gốc","L6 đúng khung kế hoạch gốc"))))))))))</f>
        <v/>
      </c>
      <c r="AL151" s="465"/>
      <c r="AM151" s="467"/>
      <c r="AN151" s="469"/>
      <c r="AO151" s="470"/>
      <c r="AP151" s="470"/>
      <c r="AQ151" s="471"/>
      <c r="AR151" s="469"/>
      <c r="AS151" s="475"/>
      <c r="AT151" s="476"/>
      <c r="AU151" s="478"/>
      <c r="AV151" s="465"/>
      <c r="AW151" s="465"/>
      <c r="AX151" s="479"/>
    </row>
    <row r="152" ht="15.75" customHeight="1">
      <c r="A152" s="424"/>
      <c r="B152" s="572"/>
      <c r="C152" s="591"/>
      <c r="D152" s="623"/>
      <c r="E152" s="617"/>
      <c r="F152" s="575"/>
      <c r="G152" s="575"/>
      <c r="H152" s="576"/>
      <c r="I152" s="577"/>
      <c r="J152" s="577"/>
      <c r="K152" s="597"/>
      <c r="L152" s="598"/>
      <c r="M152" s="438"/>
      <c r="N152" s="597"/>
      <c r="O152" s="597"/>
      <c r="P152" s="597"/>
      <c r="Q152" s="581"/>
      <c r="R152" s="420"/>
      <c r="S152" s="582"/>
      <c r="T152" s="583"/>
      <c r="U152" s="584" t="str">
        <f>IF($I152="","",LET(n,COUNTIFS('Lớp 6 - Chi tiết'!$J$14:$J$267,$I152,'Lớp 6 - Chi tiết'!$AE$14:$AE$267,"&lt;&gt;Hủy"),child,IFERROR(MAXIFS('Lớp 6 - Chi tiết'!$AH$14:$AH$267,'Lớp 6 - Chi tiết'!$J$14:$J$267,$I152,'Lớp 6 - Chi tiết'!$AE$14:$AE$267,"&lt;&gt;Hủy",'Lớp 6 - Chi tiết'!$AH$14:$AH$267,"&gt;0"),0),plan,'Trung tâm nhập liệu'!Q302,emergent,LOWER(TRIM('Trung tâm nhập liệu'!O302))="khi phát sinh",IF(n=0,IF(emergent,"",plan),IF(child=0,IF(emergent,"",plan),IF(OR(emergent,plan=""),child,MAX(plan,child))))))</f>
        <v/>
      </c>
      <c r="V152" s="584" t="str">
        <f>IF($I152="","",LET(n,COUNTIFS('Lớp 6 - Chi tiết'!$J$14:$J$267,$I152,'Lớp 6 - Chi tiết'!$AE$14:$AE$267,"&lt;&gt;Hủy"),child,IFERROR(MINIFS('Lớp 6 - Chi tiết'!$AG$14:$AG$267,'Lớp 6 - Chi tiết'!$J$14:$J$267,$I152,'Lớp 6 - Chi tiết'!$AE$14:$AE$267,"&lt;&gt;Hủy",'Lớp 6 - Chi tiết'!$AG$14:$AG$267,"&gt;0"),0),plan,'Trung tâm nhập liệu'!R302,emergent,LOWER(TRIM('Trung tâm nhập liệu'!O302))="khi phát sinh",IF(n=0,IF(emergent,"",plan),IF(child=0,IF(emergent,"",plan),IF(OR(emergent,plan=""),child,MIN(plan,child))))))</f>
        <v/>
      </c>
      <c r="W152" s="577"/>
      <c r="X152" s="577"/>
      <c r="Y152" s="585"/>
      <c r="Z152" s="586"/>
      <c r="AA152" s="577"/>
      <c r="AB152" s="572"/>
      <c r="AC152" s="420"/>
      <c r="AD152" s="584"/>
      <c r="AE152" s="584"/>
      <c r="AF152" s="587"/>
      <c r="AG152" s="588"/>
      <c r="AH152" s="587"/>
      <c r="AI152" s="589"/>
      <c r="AJ152" s="468"/>
      <c r="AK152" s="477" t="str">
        <f>IF(AM152="Chưa xếp lịch","Chưa xếp lịch",IF(AM152="Định kỳ",IF(AN152="","Thiếu chu kỳ","Theo chu kỳ"),IF(AM152="Khi phát sinh",IF(COUNTIFS('Lớp 6 - Chi tiết'!$J$14:$J$267,$I152,'Lớp 6 - Chi tiết'!$AE$14:$AE$267,"&lt;&gt;Hủy")=0,"Khi phát sinh – chờ việc con","Khi phát sinh – theo ngày con"),IF(I152="","",LET(n,COUNTIFS('Lớp 6 - Chi tiết'!$J$14:$J$267,$I152,'Lớp 6 - Chi tiết'!$AE$14:$AE$267,"&lt;&gt;Hủy"),cs,IFERROR(MINIFS('Lớp 6 - Chi tiết'!$AG$14:$AG$267,'Lớp 6 - Chi tiết'!$J$14:$J$267,$I152,'Lớp 6 - Chi tiết'!$AE$14:$AE$267,"&lt;&gt;Hủy",'Lớp 6 - Chi tiết'!$AG$14:$AG$267,"&gt;0"),0),ce,IFERROR(MAXIFS('Lớp 6 - Chi tiết'!$AH$14:$AH$267,'Lớp 6 - Chi tiết'!$J$14:$J$267,$I152,'Lớp 6 - Chi tiết'!$AE$14:$AE$267,"&lt;&gt;Hủy",'Lớp 6 - Chi tiết'!$AH$14:$AH$267,"&gt;0"),0),ps,'Trung tâm nhập liệu'!R302,pe,'Trung tâm nhập liệu'!Q302,IF(OR(AD152="",AE152=""),"Thiếu ngày L5",IF(n=0,"Chưa có L6",IF(OR(cs=0,ce=0),"Thiếu ngày L6",IF(OR(ps="",pe=""),"Thiếu ngày kế hoạch gốc L5",IF(OR(cs&lt;ps,ce&gt;pe),"Cảnh báo: Con vượt khung kế hoạch gốc","L6 đúng khung kế hoạch gốc"))))))))))</f>
        <v/>
      </c>
      <c r="AL152" s="465"/>
      <c r="AM152" s="467"/>
      <c r="AN152" s="469"/>
      <c r="AO152" s="470"/>
      <c r="AP152" s="470"/>
      <c r="AQ152" s="471"/>
      <c r="AR152" s="469"/>
      <c r="AS152" s="475"/>
      <c r="AT152" s="476"/>
      <c r="AU152" s="478"/>
      <c r="AV152" s="465"/>
      <c r="AW152" s="465"/>
      <c r="AX152" s="479"/>
    </row>
    <row r="153" ht="15.75" customHeight="1">
      <c r="A153" s="424"/>
      <c r="B153" s="572"/>
      <c r="C153" s="591"/>
      <c r="D153" s="623"/>
      <c r="E153" s="617"/>
      <c r="F153" s="575"/>
      <c r="G153" s="575"/>
      <c r="H153" s="576"/>
      <c r="I153" s="577"/>
      <c r="J153" s="577"/>
      <c r="K153" s="597"/>
      <c r="L153" s="598"/>
      <c r="M153" s="438"/>
      <c r="N153" s="597"/>
      <c r="O153" s="597"/>
      <c r="P153" s="597"/>
      <c r="Q153" s="581"/>
      <c r="R153" s="420"/>
      <c r="S153" s="582"/>
      <c r="T153" s="583"/>
      <c r="U153" s="584" t="str">
        <f>IF($I153="","",LET(n,COUNTIFS('Lớp 6 - Chi tiết'!$J$14:$J$267,$I153,'Lớp 6 - Chi tiết'!$AE$14:$AE$267,"&lt;&gt;Hủy"),child,IFERROR(MAXIFS('Lớp 6 - Chi tiết'!$AH$14:$AH$267,'Lớp 6 - Chi tiết'!$J$14:$J$267,$I153,'Lớp 6 - Chi tiết'!$AE$14:$AE$267,"&lt;&gt;Hủy",'Lớp 6 - Chi tiết'!$AH$14:$AH$267,"&gt;0"),0),plan,'Trung tâm nhập liệu'!Q303,emergent,LOWER(TRIM('Trung tâm nhập liệu'!O303))="khi phát sinh",IF(n=0,IF(emergent,"",plan),IF(child=0,IF(emergent,"",plan),IF(OR(emergent,plan=""),child,MAX(plan,child))))))</f>
        <v/>
      </c>
      <c r="V153" s="584" t="str">
        <f>IF($I153="","",LET(n,COUNTIFS('Lớp 6 - Chi tiết'!$J$14:$J$267,$I153,'Lớp 6 - Chi tiết'!$AE$14:$AE$267,"&lt;&gt;Hủy"),child,IFERROR(MINIFS('Lớp 6 - Chi tiết'!$AG$14:$AG$267,'Lớp 6 - Chi tiết'!$J$14:$J$267,$I153,'Lớp 6 - Chi tiết'!$AE$14:$AE$267,"&lt;&gt;Hủy",'Lớp 6 - Chi tiết'!$AG$14:$AG$267,"&gt;0"),0),plan,'Trung tâm nhập liệu'!R303,emergent,LOWER(TRIM('Trung tâm nhập liệu'!O303))="khi phát sinh",IF(n=0,IF(emergent,"",plan),IF(child=0,IF(emergent,"",plan),IF(OR(emergent,plan=""),child,MIN(plan,child))))))</f>
        <v/>
      </c>
      <c r="W153" s="577"/>
      <c r="X153" s="577"/>
      <c r="Y153" s="585"/>
      <c r="Z153" s="586"/>
      <c r="AA153" s="577"/>
      <c r="AB153" s="572"/>
      <c r="AC153" s="420"/>
      <c r="AD153" s="584"/>
      <c r="AE153" s="584"/>
      <c r="AF153" s="587"/>
      <c r="AG153" s="588"/>
      <c r="AH153" s="587"/>
      <c r="AI153" s="589"/>
      <c r="AJ153" s="468"/>
      <c r="AK153" s="477" t="str">
        <f>IF(AM153="Chưa xếp lịch","Chưa xếp lịch",IF(AM153="Định kỳ",IF(AN153="","Thiếu chu kỳ","Theo chu kỳ"),IF(AM153="Khi phát sinh",IF(COUNTIFS('Lớp 6 - Chi tiết'!$J$14:$J$267,$I153,'Lớp 6 - Chi tiết'!$AE$14:$AE$267,"&lt;&gt;Hủy")=0,"Khi phát sinh – chờ việc con","Khi phát sinh – theo ngày con"),IF(I153="","",LET(n,COUNTIFS('Lớp 6 - Chi tiết'!$J$14:$J$267,$I153,'Lớp 6 - Chi tiết'!$AE$14:$AE$267,"&lt;&gt;Hủy"),cs,IFERROR(MINIFS('Lớp 6 - Chi tiết'!$AG$14:$AG$267,'Lớp 6 - Chi tiết'!$J$14:$J$267,$I153,'Lớp 6 - Chi tiết'!$AE$14:$AE$267,"&lt;&gt;Hủy",'Lớp 6 - Chi tiết'!$AG$14:$AG$267,"&gt;0"),0),ce,IFERROR(MAXIFS('Lớp 6 - Chi tiết'!$AH$14:$AH$267,'Lớp 6 - Chi tiết'!$J$14:$J$267,$I153,'Lớp 6 - Chi tiết'!$AE$14:$AE$267,"&lt;&gt;Hủy",'Lớp 6 - Chi tiết'!$AH$14:$AH$267,"&gt;0"),0),ps,'Trung tâm nhập liệu'!R303,pe,'Trung tâm nhập liệu'!Q303,IF(OR(AD153="",AE153=""),"Thiếu ngày L5",IF(n=0,"Chưa có L6",IF(OR(cs=0,ce=0),"Thiếu ngày L6",IF(OR(ps="",pe=""),"Thiếu ngày kế hoạch gốc L5",IF(OR(cs&lt;ps,ce&gt;pe),"Cảnh báo: Con vượt khung kế hoạch gốc","L6 đúng khung kế hoạch gốc"))))))))))</f>
        <v/>
      </c>
      <c r="AL153" s="465"/>
      <c r="AM153" s="467"/>
      <c r="AN153" s="469"/>
      <c r="AO153" s="470"/>
      <c r="AP153" s="470"/>
      <c r="AQ153" s="471"/>
      <c r="AR153" s="469"/>
      <c r="AS153" s="475"/>
      <c r="AT153" s="476"/>
      <c r="AU153" s="478"/>
      <c r="AV153" s="465"/>
      <c r="AW153" s="465"/>
      <c r="AX153" s="479"/>
    </row>
    <row r="154" ht="15.75" customHeight="1">
      <c r="A154" s="424"/>
      <c r="B154" s="572"/>
      <c r="C154" s="591"/>
      <c r="D154" s="623"/>
      <c r="E154" s="617"/>
      <c r="F154" s="575"/>
      <c r="G154" s="575"/>
      <c r="H154" s="576"/>
      <c r="I154" s="577"/>
      <c r="J154" s="577"/>
      <c r="K154" s="597"/>
      <c r="L154" s="598"/>
      <c r="M154" s="438"/>
      <c r="N154" s="597"/>
      <c r="O154" s="597"/>
      <c r="P154" s="597"/>
      <c r="Q154" s="581"/>
      <c r="R154" s="420"/>
      <c r="S154" s="582"/>
      <c r="T154" s="583"/>
      <c r="U154" s="584" t="str">
        <f>IF($I154="","",LET(n,COUNTIFS('Lớp 6 - Chi tiết'!$J$14:$J$267,$I154,'Lớp 6 - Chi tiết'!$AE$14:$AE$267,"&lt;&gt;Hủy"),child,IFERROR(MAXIFS('Lớp 6 - Chi tiết'!$AH$14:$AH$267,'Lớp 6 - Chi tiết'!$J$14:$J$267,$I154,'Lớp 6 - Chi tiết'!$AE$14:$AE$267,"&lt;&gt;Hủy",'Lớp 6 - Chi tiết'!$AH$14:$AH$267,"&gt;0"),0),plan,'Trung tâm nhập liệu'!Q304,emergent,LOWER(TRIM('Trung tâm nhập liệu'!O304))="khi phát sinh",IF(n=0,IF(emergent,"",plan),IF(child=0,IF(emergent,"",plan),IF(OR(emergent,plan=""),child,MAX(plan,child))))))</f>
        <v/>
      </c>
      <c r="V154" s="584" t="str">
        <f>IF($I154="","",LET(n,COUNTIFS('Lớp 6 - Chi tiết'!$J$14:$J$267,$I154,'Lớp 6 - Chi tiết'!$AE$14:$AE$267,"&lt;&gt;Hủy"),child,IFERROR(MINIFS('Lớp 6 - Chi tiết'!$AG$14:$AG$267,'Lớp 6 - Chi tiết'!$J$14:$J$267,$I154,'Lớp 6 - Chi tiết'!$AE$14:$AE$267,"&lt;&gt;Hủy",'Lớp 6 - Chi tiết'!$AG$14:$AG$267,"&gt;0"),0),plan,'Trung tâm nhập liệu'!R304,emergent,LOWER(TRIM('Trung tâm nhập liệu'!O304))="khi phát sinh",IF(n=0,IF(emergent,"",plan),IF(child=0,IF(emergent,"",plan),IF(OR(emergent,plan=""),child,MIN(plan,child))))))</f>
        <v/>
      </c>
      <c r="W154" s="577"/>
      <c r="X154" s="577"/>
      <c r="Y154" s="585"/>
      <c r="Z154" s="586"/>
      <c r="AA154" s="577"/>
      <c r="AB154" s="572"/>
      <c r="AC154" s="420"/>
      <c r="AD154" s="584"/>
      <c r="AE154" s="584"/>
      <c r="AF154" s="587"/>
      <c r="AG154" s="588"/>
      <c r="AH154" s="587"/>
      <c r="AI154" s="589"/>
      <c r="AJ154" s="468"/>
      <c r="AK154" s="477" t="str">
        <f>IF(AM154="Chưa xếp lịch","Chưa xếp lịch",IF(AM154="Định kỳ",IF(AN154="","Thiếu chu kỳ","Theo chu kỳ"),IF(AM154="Khi phát sinh",IF(COUNTIFS('Lớp 6 - Chi tiết'!$J$14:$J$267,$I154,'Lớp 6 - Chi tiết'!$AE$14:$AE$267,"&lt;&gt;Hủy")=0,"Khi phát sinh – chờ việc con","Khi phát sinh – theo ngày con"),IF(I154="","",LET(n,COUNTIFS('Lớp 6 - Chi tiết'!$J$14:$J$267,$I154,'Lớp 6 - Chi tiết'!$AE$14:$AE$267,"&lt;&gt;Hủy"),cs,IFERROR(MINIFS('Lớp 6 - Chi tiết'!$AG$14:$AG$267,'Lớp 6 - Chi tiết'!$J$14:$J$267,$I154,'Lớp 6 - Chi tiết'!$AE$14:$AE$267,"&lt;&gt;Hủy",'Lớp 6 - Chi tiết'!$AG$14:$AG$267,"&gt;0"),0),ce,IFERROR(MAXIFS('Lớp 6 - Chi tiết'!$AH$14:$AH$267,'Lớp 6 - Chi tiết'!$J$14:$J$267,$I154,'Lớp 6 - Chi tiết'!$AE$14:$AE$267,"&lt;&gt;Hủy",'Lớp 6 - Chi tiết'!$AH$14:$AH$267,"&gt;0"),0),ps,'Trung tâm nhập liệu'!R304,pe,'Trung tâm nhập liệu'!Q304,IF(OR(AD154="",AE154=""),"Thiếu ngày L5",IF(n=0,"Chưa có L6",IF(OR(cs=0,ce=0),"Thiếu ngày L6",IF(OR(ps="",pe=""),"Thiếu ngày kế hoạch gốc L5",IF(OR(cs&lt;ps,ce&gt;pe),"Cảnh báo: Con vượt khung kế hoạch gốc","L6 đúng khung kế hoạch gốc"))))))))))</f>
        <v/>
      </c>
      <c r="AL154" s="465"/>
      <c r="AM154" s="467"/>
      <c r="AN154" s="469"/>
      <c r="AO154" s="470"/>
      <c r="AP154" s="470"/>
      <c r="AQ154" s="471"/>
      <c r="AR154" s="469"/>
      <c r="AS154" s="475"/>
      <c r="AT154" s="476"/>
      <c r="AU154" s="478"/>
      <c r="AV154" s="465"/>
      <c r="AW154" s="465"/>
      <c r="AX154" s="479"/>
    </row>
    <row r="155" ht="15.75" customHeight="1">
      <c r="A155" s="424"/>
      <c r="B155" s="572"/>
      <c r="C155" s="591"/>
      <c r="D155" s="623"/>
      <c r="E155" s="617"/>
      <c r="F155" s="575"/>
      <c r="G155" s="575"/>
      <c r="H155" s="576"/>
      <c r="I155" s="577"/>
      <c r="J155" s="577"/>
      <c r="K155" s="597"/>
      <c r="L155" s="598"/>
      <c r="M155" s="438"/>
      <c r="N155" s="597"/>
      <c r="O155" s="597"/>
      <c r="P155" s="597"/>
      <c r="Q155" s="581"/>
      <c r="R155" s="420"/>
      <c r="S155" s="582"/>
      <c r="T155" s="583"/>
      <c r="U155" s="584" t="str">
        <f>IF($I155="","",LET(n,COUNTIFS('Lớp 6 - Chi tiết'!$J$14:$J$267,$I155,'Lớp 6 - Chi tiết'!$AE$14:$AE$267,"&lt;&gt;Hủy"),child,IFERROR(MAXIFS('Lớp 6 - Chi tiết'!$AH$14:$AH$267,'Lớp 6 - Chi tiết'!$J$14:$J$267,$I155,'Lớp 6 - Chi tiết'!$AE$14:$AE$267,"&lt;&gt;Hủy",'Lớp 6 - Chi tiết'!$AH$14:$AH$267,"&gt;0"),0),plan,'Trung tâm nhập liệu'!Q305,emergent,LOWER(TRIM('Trung tâm nhập liệu'!O305))="khi phát sinh",IF(n=0,IF(emergent,"",plan),IF(child=0,IF(emergent,"",plan),IF(OR(emergent,plan=""),child,MAX(plan,child))))))</f>
        <v/>
      </c>
      <c r="V155" s="584" t="str">
        <f>IF($I155="","",LET(n,COUNTIFS('Lớp 6 - Chi tiết'!$J$14:$J$267,$I155,'Lớp 6 - Chi tiết'!$AE$14:$AE$267,"&lt;&gt;Hủy"),child,IFERROR(MINIFS('Lớp 6 - Chi tiết'!$AG$14:$AG$267,'Lớp 6 - Chi tiết'!$J$14:$J$267,$I155,'Lớp 6 - Chi tiết'!$AE$14:$AE$267,"&lt;&gt;Hủy",'Lớp 6 - Chi tiết'!$AG$14:$AG$267,"&gt;0"),0),plan,'Trung tâm nhập liệu'!R305,emergent,LOWER(TRIM('Trung tâm nhập liệu'!O305))="khi phát sinh",IF(n=0,IF(emergent,"",plan),IF(child=0,IF(emergent,"",plan),IF(OR(emergent,plan=""),child,MIN(plan,child))))))</f>
        <v/>
      </c>
      <c r="W155" s="577"/>
      <c r="X155" s="577"/>
      <c r="Y155" s="585"/>
      <c r="Z155" s="586"/>
      <c r="AA155" s="577"/>
      <c r="AB155" s="572"/>
      <c r="AC155" s="420"/>
      <c r="AD155" s="584"/>
      <c r="AE155" s="584"/>
      <c r="AF155" s="587"/>
      <c r="AG155" s="588"/>
      <c r="AH155" s="587"/>
      <c r="AI155" s="589"/>
      <c r="AJ155" s="468"/>
      <c r="AK155" s="477" t="str">
        <f>IF(AM155="Chưa xếp lịch","Chưa xếp lịch",IF(AM155="Định kỳ",IF(AN155="","Thiếu chu kỳ","Theo chu kỳ"),IF(AM155="Khi phát sinh",IF(COUNTIFS('Lớp 6 - Chi tiết'!$J$14:$J$267,$I155,'Lớp 6 - Chi tiết'!$AE$14:$AE$267,"&lt;&gt;Hủy")=0,"Khi phát sinh – chờ việc con","Khi phát sinh – theo ngày con"),IF(I155="","",LET(n,COUNTIFS('Lớp 6 - Chi tiết'!$J$14:$J$267,$I155,'Lớp 6 - Chi tiết'!$AE$14:$AE$267,"&lt;&gt;Hủy"),cs,IFERROR(MINIFS('Lớp 6 - Chi tiết'!$AG$14:$AG$267,'Lớp 6 - Chi tiết'!$J$14:$J$267,$I155,'Lớp 6 - Chi tiết'!$AE$14:$AE$267,"&lt;&gt;Hủy",'Lớp 6 - Chi tiết'!$AG$14:$AG$267,"&gt;0"),0),ce,IFERROR(MAXIFS('Lớp 6 - Chi tiết'!$AH$14:$AH$267,'Lớp 6 - Chi tiết'!$J$14:$J$267,$I155,'Lớp 6 - Chi tiết'!$AE$14:$AE$267,"&lt;&gt;Hủy",'Lớp 6 - Chi tiết'!$AH$14:$AH$267,"&gt;0"),0),ps,'Trung tâm nhập liệu'!R305,pe,'Trung tâm nhập liệu'!Q305,IF(OR(AD155="",AE155=""),"Thiếu ngày L5",IF(n=0,"Chưa có L6",IF(OR(cs=0,ce=0),"Thiếu ngày L6",IF(OR(ps="",pe=""),"Thiếu ngày kế hoạch gốc L5",IF(OR(cs&lt;ps,ce&gt;pe),"Cảnh báo: Con vượt khung kế hoạch gốc","L6 đúng khung kế hoạch gốc"))))))))))</f>
        <v/>
      </c>
      <c r="AL155" s="465"/>
      <c r="AM155" s="467"/>
      <c r="AN155" s="469"/>
      <c r="AO155" s="470"/>
      <c r="AP155" s="470"/>
      <c r="AQ155" s="471"/>
      <c r="AR155" s="469"/>
      <c r="AS155" s="475"/>
      <c r="AT155" s="476"/>
      <c r="AU155" s="478"/>
      <c r="AV155" s="465"/>
      <c r="AW155" s="465"/>
      <c r="AX155" s="479"/>
    </row>
    <row r="156" ht="15.75" customHeight="1">
      <c r="A156" s="424"/>
      <c r="B156" s="572"/>
      <c r="C156" s="591"/>
      <c r="D156" s="623"/>
      <c r="E156" s="617"/>
      <c r="F156" s="575"/>
      <c r="G156" s="575"/>
      <c r="H156" s="576"/>
      <c r="I156" s="577"/>
      <c r="J156" s="577"/>
      <c r="K156" s="597"/>
      <c r="L156" s="598"/>
      <c r="M156" s="438"/>
      <c r="N156" s="597"/>
      <c r="O156" s="597"/>
      <c r="P156" s="597"/>
      <c r="Q156" s="581"/>
      <c r="R156" s="420"/>
      <c r="S156" s="582"/>
      <c r="T156" s="583"/>
      <c r="U156" s="584" t="str">
        <f>IF($I156="","",LET(n,COUNTIFS('Lớp 6 - Chi tiết'!$J$14:$J$267,$I156,'Lớp 6 - Chi tiết'!$AE$14:$AE$267,"&lt;&gt;Hủy"),child,IFERROR(MAXIFS('Lớp 6 - Chi tiết'!$AH$14:$AH$267,'Lớp 6 - Chi tiết'!$J$14:$J$267,$I156,'Lớp 6 - Chi tiết'!$AE$14:$AE$267,"&lt;&gt;Hủy",'Lớp 6 - Chi tiết'!$AH$14:$AH$267,"&gt;0"),0),plan,'Trung tâm nhập liệu'!Q306,emergent,LOWER(TRIM('Trung tâm nhập liệu'!O306))="khi phát sinh",IF(n=0,IF(emergent,"",plan),IF(child=0,IF(emergent,"",plan),IF(OR(emergent,plan=""),child,MAX(plan,child))))))</f>
        <v/>
      </c>
      <c r="V156" s="584" t="str">
        <f>IF($I156="","",LET(n,COUNTIFS('Lớp 6 - Chi tiết'!$J$14:$J$267,$I156,'Lớp 6 - Chi tiết'!$AE$14:$AE$267,"&lt;&gt;Hủy"),child,IFERROR(MINIFS('Lớp 6 - Chi tiết'!$AG$14:$AG$267,'Lớp 6 - Chi tiết'!$J$14:$J$267,$I156,'Lớp 6 - Chi tiết'!$AE$14:$AE$267,"&lt;&gt;Hủy",'Lớp 6 - Chi tiết'!$AG$14:$AG$267,"&gt;0"),0),plan,'Trung tâm nhập liệu'!R306,emergent,LOWER(TRIM('Trung tâm nhập liệu'!O306))="khi phát sinh",IF(n=0,IF(emergent,"",plan),IF(child=0,IF(emergent,"",plan),IF(OR(emergent,plan=""),child,MIN(plan,child))))))</f>
        <v/>
      </c>
      <c r="W156" s="577"/>
      <c r="X156" s="577"/>
      <c r="Y156" s="585"/>
      <c r="Z156" s="586"/>
      <c r="AA156" s="577"/>
      <c r="AB156" s="572"/>
      <c r="AC156" s="420"/>
      <c r="AD156" s="584"/>
      <c r="AE156" s="584"/>
      <c r="AF156" s="587"/>
      <c r="AG156" s="588"/>
      <c r="AH156" s="587"/>
      <c r="AI156" s="589"/>
      <c r="AJ156" s="468"/>
      <c r="AK156" s="477" t="str">
        <f>IF(AM156="Chưa xếp lịch","Chưa xếp lịch",IF(AM156="Định kỳ",IF(AN156="","Thiếu chu kỳ","Theo chu kỳ"),IF(AM156="Khi phát sinh",IF(COUNTIFS('Lớp 6 - Chi tiết'!$J$14:$J$267,$I156,'Lớp 6 - Chi tiết'!$AE$14:$AE$267,"&lt;&gt;Hủy")=0,"Khi phát sinh – chờ việc con","Khi phát sinh – theo ngày con"),IF(I156="","",LET(n,COUNTIFS('Lớp 6 - Chi tiết'!$J$14:$J$267,$I156,'Lớp 6 - Chi tiết'!$AE$14:$AE$267,"&lt;&gt;Hủy"),cs,IFERROR(MINIFS('Lớp 6 - Chi tiết'!$AG$14:$AG$267,'Lớp 6 - Chi tiết'!$J$14:$J$267,$I156,'Lớp 6 - Chi tiết'!$AE$14:$AE$267,"&lt;&gt;Hủy",'Lớp 6 - Chi tiết'!$AG$14:$AG$267,"&gt;0"),0),ce,IFERROR(MAXIFS('Lớp 6 - Chi tiết'!$AH$14:$AH$267,'Lớp 6 - Chi tiết'!$J$14:$J$267,$I156,'Lớp 6 - Chi tiết'!$AE$14:$AE$267,"&lt;&gt;Hủy",'Lớp 6 - Chi tiết'!$AH$14:$AH$267,"&gt;0"),0),ps,'Trung tâm nhập liệu'!R306,pe,'Trung tâm nhập liệu'!Q306,IF(OR(AD156="",AE156=""),"Thiếu ngày L5",IF(n=0,"Chưa có L6",IF(OR(cs=0,ce=0),"Thiếu ngày L6",IF(OR(ps="",pe=""),"Thiếu ngày kế hoạch gốc L5",IF(OR(cs&lt;ps,ce&gt;pe),"Cảnh báo: Con vượt khung kế hoạch gốc","L6 đúng khung kế hoạch gốc"))))))))))</f>
        <v/>
      </c>
      <c r="AL156" s="465"/>
      <c r="AM156" s="467"/>
      <c r="AN156" s="469"/>
      <c r="AO156" s="470"/>
      <c r="AP156" s="470"/>
      <c r="AQ156" s="471"/>
      <c r="AR156" s="469"/>
      <c r="AS156" s="475"/>
      <c r="AT156" s="476"/>
      <c r="AU156" s="478"/>
      <c r="AV156" s="465"/>
      <c r="AW156" s="465"/>
      <c r="AX156" s="479"/>
    </row>
    <row r="157" ht="15.75" customHeight="1">
      <c r="A157" s="424"/>
      <c r="B157" s="572"/>
      <c r="C157" s="591"/>
      <c r="D157" s="623"/>
      <c r="E157" s="617"/>
      <c r="F157" s="575"/>
      <c r="G157" s="575"/>
      <c r="H157" s="576"/>
      <c r="I157" s="577"/>
      <c r="J157" s="577"/>
      <c r="K157" s="597"/>
      <c r="L157" s="598"/>
      <c r="M157" s="438"/>
      <c r="N157" s="597"/>
      <c r="O157" s="597"/>
      <c r="P157" s="597"/>
      <c r="Q157" s="581"/>
      <c r="R157" s="420"/>
      <c r="S157" s="582"/>
      <c r="T157" s="583"/>
      <c r="U157" s="584" t="str">
        <f>IF($I157="","",LET(n,COUNTIFS('Lớp 6 - Chi tiết'!$J$14:$J$267,$I157,'Lớp 6 - Chi tiết'!$AE$14:$AE$267,"&lt;&gt;Hủy"),child,IFERROR(MAXIFS('Lớp 6 - Chi tiết'!$AH$14:$AH$267,'Lớp 6 - Chi tiết'!$J$14:$J$267,$I157,'Lớp 6 - Chi tiết'!$AE$14:$AE$267,"&lt;&gt;Hủy",'Lớp 6 - Chi tiết'!$AH$14:$AH$267,"&gt;0"),0),plan,'Trung tâm nhập liệu'!Q307,emergent,LOWER(TRIM('Trung tâm nhập liệu'!O307))="khi phát sinh",IF(n=0,IF(emergent,"",plan),IF(child=0,IF(emergent,"",plan),IF(OR(emergent,plan=""),child,MAX(plan,child))))))</f>
        <v/>
      </c>
      <c r="V157" s="584" t="str">
        <f>IF($I157="","",LET(n,COUNTIFS('Lớp 6 - Chi tiết'!$J$14:$J$267,$I157,'Lớp 6 - Chi tiết'!$AE$14:$AE$267,"&lt;&gt;Hủy"),child,IFERROR(MINIFS('Lớp 6 - Chi tiết'!$AG$14:$AG$267,'Lớp 6 - Chi tiết'!$J$14:$J$267,$I157,'Lớp 6 - Chi tiết'!$AE$14:$AE$267,"&lt;&gt;Hủy",'Lớp 6 - Chi tiết'!$AG$14:$AG$267,"&gt;0"),0),plan,'Trung tâm nhập liệu'!R307,emergent,LOWER(TRIM('Trung tâm nhập liệu'!O307))="khi phát sinh",IF(n=0,IF(emergent,"",plan),IF(child=0,IF(emergent,"",plan),IF(OR(emergent,plan=""),child,MIN(plan,child))))))</f>
        <v/>
      </c>
      <c r="W157" s="577"/>
      <c r="X157" s="577"/>
      <c r="Y157" s="585"/>
      <c r="Z157" s="586"/>
      <c r="AA157" s="577"/>
      <c r="AB157" s="572"/>
      <c r="AC157" s="420"/>
      <c r="AD157" s="584"/>
      <c r="AE157" s="584"/>
      <c r="AF157" s="587"/>
      <c r="AG157" s="588"/>
      <c r="AH157" s="587"/>
      <c r="AI157" s="589"/>
      <c r="AJ157" s="468"/>
      <c r="AK157" s="477" t="str">
        <f>IF(AM157="Chưa xếp lịch","Chưa xếp lịch",IF(AM157="Định kỳ",IF(AN157="","Thiếu chu kỳ","Theo chu kỳ"),IF(AM157="Khi phát sinh",IF(COUNTIFS('Lớp 6 - Chi tiết'!$J$14:$J$267,$I157,'Lớp 6 - Chi tiết'!$AE$14:$AE$267,"&lt;&gt;Hủy")=0,"Khi phát sinh – chờ việc con","Khi phát sinh – theo ngày con"),IF(I157="","",LET(n,COUNTIFS('Lớp 6 - Chi tiết'!$J$14:$J$267,$I157,'Lớp 6 - Chi tiết'!$AE$14:$AE$267,"&lt;&gt;Hủy"),cs,IFERROR(MINIFS('Lớp 6 - Chi tiết'!$AG$14:$AG$267,'Lớp 6 - Chi tiết'!$J$14:$J$267,$I157,'Lớp 6 - Chi tiết'!$AE$14:$AE$267,"&lt;&gt;Hủy",'Lớp 6 - Chi tiết'!$AG$14:$AG$267,"&gt;0"),0),ce,IFERROR(MAXIFS('Lớp 6 - Chi tiết'!$AH$14:$AH$267,'Lớp 6 - Chi tiết'!$J$14:$J$267,$I157,'Lớp 6 - Chi tiết'!$AE$14:$AE$267,"&lt;&gt;Hủy",'Lớp 6 - Chi tiết'!$AH$14:$AH$267,"&gt;0"),0),ps,'Trung tâm nhập liệu'!R307,pe,'Trung tâm nhập liệu'!Q307,IF(OR(AD157="",AE157=""),"Thiếu ngày L5",IF(n=0,"Chưa có L6",IF(OR(cs=0,ce=0),"Thiếu ngày L6",IF(OR(ps="",pe=""),"Thiếu ngày kế hoạch gốc L5",IF(OR(cs&lt;ps,ce&gt;pe),"Cảnh báo: Con vượt khung kế hoạch gốc","L6 đúng khung kế hoạch gốc"))))))))))</f>
        <v/>
      </c>
      <c r="AL157" s="465"/>
      <c r="AM157" s="467"/>
      <c r="AN157" s="469"/>
      <c r="AO157" s="470"/>
      <c r="AP157" s="470"/>
      <c r="AQ157" s="471"/>
      <c r="AR157" s="469"/>
      <c r="AS157" s="475"/>
      <c r="AT157" s="476"/>
      <c r="AU157" s="478"/>
      <c r="AV157" s="465"/>
      <c r="AW157" s="465"/>
      <c r="AX157" s="479"/>
    </row>
    <row r="158" ht="15.75" customHeight="1">
      <c r="A158" s="424"/>
      <c r="B158" s="572"/>
      <c r="C158" s="591"/>
      <c r="D158" s="623"/>
      <c r="E158" s="617"/>
      <c r="F158" s="575"/>
      <c r="G158" s="575"/>
      <c r="H158" s="576"/>
      <c r="I158" s="577"/>
      <c r="J158" s="577"/>
      <c r="K158" s="597"/>
      <c r="L158" s="598"/>
      <c r="M158" s="438"/>
      <c r="N158" s="597"/>
      <c r="O158" s="597"/>
      <c r="P158" s="597"/>
      <c r="Q158" s="581"/>
      <c r="R158" s="420"/>
      <c r="S158" s="582"/>
      <c r="T158" s="583"/>
      <c r="U158" s="584" t="str">
        <f>IF($I158="","",LET(n,COUNTIFS('Lớp 6 - Chi tiết'!$J$14:$J$267,$I158,'Lớp 6 - Chi tiết'!$AE$14:$AE$267,"&lt;&gt;Hủy"),child,IFERROR(MAXIFS('Lớp 6 - Chi tiết'!$AH$14:$AH$267,'Lớp 6 - Chi tiết'!$J$14:$J$267,$I158,'Lớp 6 - Chi tiết'!$AE$14:$AE$267,"&lt;&gt;Hủy",'Lớp 6 - Chi tiết'!$AH$14:$AH$267,"&gt;0"),0),plan,'Trung tâm nhập liệu'!Q308,emergent,LOWER(TRIM('Trung tâm nhập liệu'!O308))="khi phát sinh",IF(n=0,IF(emergent,"",plan),IF(child=0,IF(emergent,"",plan),IF(OR(emergent,plan=""),child,MAX(plan,child))))))</f>
        <v/>
      </c>
      <c r="V158" s="584" t="str">
        <f>IF($I158="","",LET(n,COUNTIFS('Lớp 6 - Chi tiết'!$J$14:$J$267,$I158,'Lớp 6 - Chi tiết'!$AE$14:$AE$267,"&lt;&gt;Hủy"),child,IFERROR(MINIFS('Lớp 6 - Chi tiết'!$AG$14:$AG$267,'Lớp 6 - Chi tiết'!$J$14:$J$267,$I158,'Lớp 6 - Chi tiết'!$AE$14:$AE$267,"&lt;&gt;Hủy",'Lớp 6 - Chi tiết'!$AG$14:$AG$267,"&gt;0"),0),plan,'Trung tâm nhập liệu'!R308,emergent,LOWER(TRIM('Trung tâm nhập liệu'!O308))="khi phát sinh",IF(n=0,IF(emergent,"",plan),IF(child=0,IF(emergent,"",plan),IF(OR(emergent,plan=""),child,MIN(plan,child))))))</f>
        <v/>
      </c>
      <c r="W158" s="577"/>
      <c r="X158" s="577"/>
      <c r="Y158" s="585"/>
      <c r="Z158" s="586"/>
      <c r="AA158" s="577"/>
      <c r="AB158" s="572"/>
      <c r="AC158" s="420"/>
      <c r="AD158" s="584"/>
      <c r="AE158" s="584"/>
      <c r="AF158" s="587"/>
      <c r="AG158" s="588"/>
      <c r="AH158" s="587"/>
      <c r="AI158" s="589"/>
      <c r="AJ158" s="468"/>
      <c r="AK158" s="477" t="str">
        <f>IF(AM158="Chưa xếp lịch","Chưa xếp lịch",IF(AM158="Định kỳ",IF(AN158="","Thiếu chu kỳ","Theo chu kỳ"),IF(AM158="Khi phát sinh",IF(COUNTIFS('Lớp 6 - Chi tiết'!$J$14:$J$267,$I158,'Lớp 6 - Chi tiết'!$AE$14:$AE$267,"&lt;&gt;Hủy")=0,"Khi phát sinh – chờ việc con","Khi phát sinh – theo ngày con"),IF(I158="","",LET(n,COUNTIFS('Lớp 6 - Chi tiết'!$J$14:$J$267,$I158,'Lớp 6 - Chi tiết'!$AE$14:$AE$267,"&lt;&gt;Hủy"),cs,IFERROR(MINIFS('Lớp 6 - Chi tiết'!$AG$14:$AG$267,'Lớp 6 - Chi tiết'!$J$14:$J$267,$I158,'Lớp 6 - Chi tiết'!$AE$14:$AE$267,"&lt;&gt;Hủy",'Lớp 6 - Chi tiết'!$AG$14:$AG$267,"&gt;0"),0),ce,IFERROR(MAXIFS('Lớp 6 - Chi tiết'!$AH$14:$AH$267,'Lớp 6 - Chi tiết'!$J$14:$J$267,$I158,'Lớp 6 - Chi tiết'!$AE$14:$AE$267,"&lt;&gt;Hủy",'Lớp 6 - Chi tiết'!$AH$14:$AH$267,"&gt;0"),0),ps,'Trung tâm nhập liệu'!R308,pe,'Trung tâm nhập liệu'!Q308,IF(OR(AD158="",AE158=""),"Thiếu ngày L5",IF(n=0,"Chưa có L6",IF(OR(cs=0,ce=0),"Thiếu ngày L6",IF(OR(ps="",pe=""),"Thiếu ngày kế hoạch gốc L5",IF(OR(cs&lt;ps,ce&gt;pe),"Cảnh báo: Con vượt khung kế hoạch gốc","L6 đúng khung kế hoạch gốc"))))))))))</f>
        <v/>
      </c>
      <c r="AL158" s="465"/>
      <c r="AM158" s="467"/>
      <c r="AN158" s="469"/>
      <c r="AO158" s="470"/>
      <c r="AP158" s="470"/>
      <c r="AQ158" s="471"/>
      <c r="AR158" s="469"/>
      <c r="AS158" s="475"/>
      <c r="AT158" s="476"/>
      <c r="AU158" s="478"/>
      <c r="AV158" s="465"/>
      <c r="AW158" s="465"/>
      <c r="AX158" s="479"/>
    </row>
    <row r="159" ht="15.75" customHeight="1">
      <c r="A159" s="424"/>
      <c r="B159" s="572"/>
      <c r="C159" s="591"/>
      <c r="D159" s="623"/>
      <c r="E159" s="617"/>
      <c r="F159" s="575"/>
      <c r="G159" s="575"/>
      <c r="H159" s="576"/>
      <c r="I159" s="577"/>
      <c r="J159" s="577"/>
      <c r="K159" s="597"/>
      <c r="L159" s="598"/>
      <c r="M159" s="438"/>
      <c r="N159" s="597"/>
      <c r="O159" s="597"/>
      <c r="P159" s="597"/>
      <c r="Q159" s="581"/>
      <c r="R159" s="420"/>
      <c r="S159" s="582"/>
      <c r="T159" s="583"/>
      <c r="U159" s="584" t="str">
        <f>IF($I159="","",LET(n,COUNTIFS('Lớp 6 - Chi tiết'!$J$14:$J$267,$I159,'Lớp 6 - Chi tiết'!$AE$14:$AE$267,"&lt;&gt;Hủy"),child,IFERROR(MAXIFS('Lớp 6 - Chi tiết'!$AH$14:$AH$267,'Lớp 6 - Chi tiết'!$J$14:$J$267,$I159,'Lớp 6 - Chi tiết'!$AE$14:$AE$267,"&lt;&gt;Hủy",'Lớp 6 - Chi tiết'!$AH$14:$AH$267,"&gt;0"),0),plan,'Trung tâm nhập liệu'!Q309,emergent,LOWER(TRIM('Trung tâm nhập liệu'!O309))="khi phát sinh",IF(n=0,IF(emergent,"",plan),IF(child=0,IF(emergent,"",plan),IF(OR(emergent,plan=""),child,MAX(plan,child))))))</f>
        <v/>
      </c>
      <c r="V159" s="584" t="str">
        <f>IF($I159="","",LET(n,COUNTIFS('Lớp 6 - Chi tiết'!$J$14:$J$267,$I159,'Lớp 6 - Chi tiết'!$AE$14:$AE$267,"&lt;&gt;Hủy"),child,IFERROR(MINIFS('Lớp 6 - Chi tiết'!$AG$14:$AG$267,'Lớp 6 - Chi tiết'!$J$14:$J$267,$I159,'Lớp 6 - Chi tiết'!$AE$14:$AE$267,"&lt;&gt;Hủy",'Lớp 6 - Chi tiết'!$AG$14:$AG$267,"&gt;0"),0),plan,'Trung tâm nhập liệu'!R309,emergent,LOWER(TRIM('Trung tâm nhập liệu'!O309))="khi phát sinh",IF(n=0,IF(emergent,"",plan),IF(child=0,IF(emergent,"",plan),IF(OR(emergent,plan=""),child,MIN(plan,child))))))</f>
        <v/>
      </c>
      <c r="W159" s="577"/>
      <c r="X159" s="577"/>
      <c r="Y159" s="585"/>
      <c r="Z159" s="586"/>
      <c r="AA159" s="577"/>
      <c r="AB159" s="572"/>
      <c r="AC159" s="420"/>
      <c r="AD159" s="584"/>
      <c r="AE159" s="584"/>
      <c r="AF159" s="587"/>
      <c r="AG159" s="588"/>
      <c r="AH159" s="587"/>
      <c r="AI159" s="589"/>
      <c r="AJ159" s="468"/>
      <c r="AK159" s="477" t="str">
        <f>IF(AM159="Chưa xếp lịch","Chưa xếp lịch",IF(AM159="Định kỳ",IF(AN159="","Thiếu chu kỳ","Theo chu kỳ"),IF(AM159="Khi phát sinh",IF(COUNTIFS('Lớp 6 - Chi tiết'!$J$14:$J$267,$I159,'Lớp 6 - Chi tiết'!$AE$14:$AE$267,"&lt;&gt;Hủy")=0,"Khi phát sinh – chờ việc con","Khi phát sinh – theo ngày con"),IF(I159="","",LET(n,COUNTIFS('Lớp 6 - Chi tiết'!$J$14:$J$267,$I159,'Lớp 6 - Chi tiết'!$AE$14:$AE$267,"&lt;&gt;Hủy"),cs,IFERROR(MINIFS('Lớp 6 - Chi tiết'!$AG$14:$AG$267,'Lớp 6 - Chi tiết'!$J$14:$J$267,$I159,'Lớp 6 - Chi tiết'!$AE$14:$AE$267,"&lt;&gt;Hủy",'Lớp 6 - Chi tiết'!$AG$14:$AG$267,"&gt;0"),0),ce,IFERROR(MAXIFS('Lớp 6 - Chi tiết'!$AH$14:$AH$267,'Lớp 6 - Chi tiết'!$J$14:$J$267,$I159,'Lớp 6 - Chi tiết'!$AE$14:$AE$267,"&lt;&gt;Hủy",'Lớp 6 - Chi tiết'!$AH$14:$AH$267,"&gt;0"),0),ps,'Trung tâm nhập liệu'!R309,pe,'Trung tâm nhập liệu'!Q309,IF(OR(AD159="",AE159=""),"Thiếu ngày L5",IF(n=0,"Chưa có L6",IF(OR(cs=0,ce=0),"Thiếu ngày L6",IF(OR(ps="",pe=""),"Thiếu ngày kế hoạch gốc L5",IF(OR(cs&lt;ps,ce&gt;pe),"Cảnh báo: Con vượt khung kế hoạch gốc","L6 đúng khung kế hoạch gốc"))))))))))</f>
        <v/>
      </c>
      <c r="AL159" s="465"/>
      <c r="AM159" s="467"/>
      <c r="AN159" s="469"/>
      <c r="AO159" s="470"/>
      <c r="AP159" s="470"/>
      <c r="AQ159" s="471"/>
      <c r="AR159" s="469"/>
      <c r="AS159" s="475"/>
      <c r="AT159" s="476"/>
      <c r="AU159" s="478"/>
      <c r="AV159" s="465"/>
      <c r="AW159" s="465"/>
      <c r="AX159" s="479"/>
    </row>
    <row r="160" ht="15.75" customHeight="1">
      <c r="A160" s="424"/>
      <c r="B160" s="572"/>
      <c r="C160" s="591"/>
      <c r="D160" s="623"/>
      <c r="E160" s="617"/>
      <c r="F160" s="575"/>
      <c r="G160" s="575"/>
      <c r="H160" s="576"/>
      <c r="I160" s="577"/>
      <c r="J160" s="577"/>
      <c r="K160" s="597"/>
      <c r="L160" s="598"/>
      <c r="M160" s="438"/>
      <c r="N160" s="597"/>
      <c r="O160" s="597"/>
      <c r="P160" s="597"/>
      <c r="Q160" s="581"/>
      <c r="R160" s="420"/>
      <c r="S160" s="582"/>
      <c r="T160" s="583"/>
      <c r="U160" s="584" t="str">
        <f>IF($I160="","",LET(n,COUNTIFS('Lớp 6 - Chi tiết'!$J$14:$J$267,$I160,'Lớp 6 - Chi tiết'!$AE$14:$AE$267,"&lt;&gt;Hủy"),child,IFERROR(MAXIFS('Lớp 6 - Chi tiết'!$AH$14:$AH$267,'Lớp 6 - Chi tiết'!$J$14:$J$267,$I160,'Lớp 6 - Chi tiết'!$AE$14:$AE$267,"&lt;&gt;Hủy",'Lớp 6 - Chi tiết'!$AH$14:$AH$267,"&gt;0"),0),plan,'Trung tâm nhập liệu'!Q310,emergent,LOWER(TRIM('Trung tâm nhập liệu'!O310))="khi phát sinh",IF(n=0,IF(emergent,"",plan),IF(child=0,IF(emergent,"",plan),IF(OR(emergent,plan=""),child,MAX(plan,child))))))</f>
        <v/>
      </c>
      <c r="V160" s="584" t="str">
        <f>IF($I160="","",LET(n,COUNTIFS('Lớp 6 - Chi tiết'!$J$14:$J$267,$I160,'Lớp 6 - Chi tiết'!$AE$14:$AE$267,"&lt;&gt;Hủy"),child,IFERROR(MINIFS('Lớp 6 - Chi tiết'!$AG$14:$AG$267,'Lớp 6 - Chi tiết'!$J$14:$J$267,$I160,'Lớp 6 - Chi tiết'!$AE$14:$AE$267,"&lt;&gt;Hủy",'Lớp 6 - Chi tiết'!$AG$14:$AG$267,"&gt;0"),0),plan,'Trung tâm nhập liệu'!R310,emergent,LOWER(TRIM('Trung tâm nhập liệu'!O310))="khi phát sinh",IF(n=0,IF(emergent,"",plan),IF(child=0,IF(emergent,"",plan),IF(OR(emergent,plan=""),child,MIN(plan,child))))))</f>
        <v/>
      </c>
      <c r="W160" s="577"/>
      <c r="X160" s="577"/>
      <c r="Y160" s="585"/>
      <c r="Z160" s="586"/>
      <c r="AA160" s="577"/>
      <c r="AB160" s="572"/>
      <c r="AC160" s="420"/>
      <c r="AD160" s="584"/>
      <c r="AE160" s="584"/>
      <c r="AF160" s="587"/>
      <c r="AG160" s="588"/>
      <c r="AH160" s="587"/>
      <c r="AI160" s="589"/>
      <c r="AJ160" s="468"/>
      <c r="AK160" s="477" t="str">
        <f>IF(AM160="Chưa xếp lịch","Chưa xếp lịch",IF(AM160="Định kỳ",IF(AN160="","Thiếu chu kỳ","Theo chu kỳ"),IF(AM160="Khi phát sinh",IF(COUNTIFS('Lớp 6 - Chi tiết'!$J$14:$J$267,$I160,'Lớp 6 - Chi tiết'!$AE$14:$AE$267,"&lt;&gt;Hủy")=0,"Khi phát sinh – chờ việc con","Khi phát sinh – theo ngày con"),IF(I160="","",LET(n,COUNTIFS('Lớp 6 - Chi tiết'!$J$14:$J$267,$I160,'Lớp 6 - Chi tiết'!$AE$14:$AE$267,"&lt;&gt;Hủy"),cs,IFERROR(MINIFS('Lớp 6 - Chi tiết'!$AG$14:$AG$267,'Lớp 6 - Chi tiết'!$J$14:$J$267,$I160,'Lớp 6 - Chi tiết'!$AE$14:$AE$267,"&lt;&gt;Hủy",'Lớp 6 - Chi tiết'!$AG$14:$AG$267,"&gt;0"),0),ce,IFERROR(MAXIFS('Lớp 6 - Chi tiết'!$AH$14:$AH$267,'Lớp 6 - Chi tiết'!$J$14:$J$267,$I160,'Lớp 6 - Chi tiết'!$AE$14:$AE$267,"&lt;&gt;Hủy",'Lớp 6 - Chi tiết'!$AH$14:$AH$267,"&gt;0"),0),ps,'Trung tâm nhập liệu'!R310,pe,'Trung tâm nhập liệu'!Q310,IF(OR(AD160="",AE160=""),"Thiếu ngày L5",IF(n=0,"Chưa có L6",IF(OR(cs=0,ce=0),"Thiếu ngày L6",IF(OR(ps="",pe=""),"Thiếu ngày kế hoạch gốc L5",IF(OR(cs&lt;ps,ce&gt;pe),"Cảnh báo: Con vượt khung kế hoạch gốc","L6 đúng khung kế hoạch gốc"))))))))))</f>
        <v/>
      </c>
      <c r="AL160" s="465"/>
      <c r="AM160" s="467"/>
      <c r="AN160" s="469"/>
      <c r="AO160" s="470"/>
      <c r="AP160" s="470"/>
      <c r="AQ160" s="471"/>
      <c r="AR160" s="469"/>
      <c r="AS160" s="475"/>
      <c r="AT160" s="476"/>
      <c r="AU160" s="478"/>
      <c r="AV160" s="465"/>
      <c r="AW160" s="465"/>
      <c r="AX160" s="479"/>
    </row>
    <row r="161" ht="15.75" customHeight="1">
      <c r="A161" s="424"/>
      <c r="B161" s="572"/>
      <c r="C161" s="591"/>
      <c r="D161" s="623"/>
      <c r="E161" s="617"/>
      <c r="F161" s="575"/>
      <c r="G161" s="575"/>
      <c r="H161" s="576"/>
      <c r="I161" s="577"/>
      <c r="J161" s="577"/>
      <c r="K161" s="597"/>
      <c r="L161" s="598"/>
      <c r="M161" s="438"/>
      <c r="N161" s="597"/>
      <c r="O161" s="597"/>
      <c r="P161" s="597"/>
      <c r="Q161" s="581"/>
      <c r="R161" s="420"/>
      <c r="S161" s="582"/>
      <c r="T161" s="583"/>
      <c r="U161" s="584" t="str">
        <f>IF($I161="","",LET(n,COUNTIFS('Lớp 6 - Chi tiết'!$J$14:$J$267,$I161,'Lớp 6 - Chi tiết'!$AE$14:$AE$267,"&lt;&gt;Hủy"),child,IFERROR(MAXIFS('Lớp 6 - Chi tiết'!$AH$14:$AH$267,'Lớp 6 - Chi tiết'!$J$14:$J$267,$I161,'Lớp 6 - Chi tiết'!$AE$14:$AE$267,"&lt;&gt;Hủy",'Lớp 6 - Chi tiết'!$AH$14:$AH$267,"&gt;0"),0),plan,'Trung tâm nhập liệu'!Q311,emergent,LOWER(TRIM('Trung tâm nhập liệu'!O311))="khi phát sinh",IF(n=0,IF(emergent,"",plan),IF(child=0,IF(emergent,"",plan),IF(OR(emergent,plan=""),child,MAX(plan,child))))))</f>
        <v/>
      </c>
      <c r="V161" s="584" t="str">
        <f>IF($I161="","",LET(n,COUNTIFS('Lớp 6 - Chi tiết'!$J$14:$J$267,$I161,'Lớp 6 - Chi tiết'!$AE$14:$AE$267,"&lt;&gt;Hủy"),child,IFERROR(MINIFS('Lớp 6 - Chi tiết'!$AG$14:$AG$267,'Lớp 6 - Chi tiết'!$J$14:$J$267,$I161,'Lớp 6 - Chi tiết'!$AE$14:$AE$267,"&lt;&gt;Hủy",'Lớp 6 - Chi tiết'!$AG$14:$AG$267,"&gt;0"),0),plan,'Trung tâm nhập liệu'!R311,emergent,LOWER(TRIM('Trung tâm nhập liệu'!O311))="khi phát sinh",IF(n=0,IF(emergent,"",plan),IF(child=0,IF(emergent,"",plan),IF(OR(emergent,plan=""),child,MIN(plan,child))))))</f>
        <v/>
      </c>
      <c r="W161" s="577"/>
      <c r="X161" s="577"/>
      <c r="Y161" s="585"/>
      <c r="Z161" s="586"/>
      <c r="AA161" s="577"/>
      <c r="AB161" s="572"/>
      <c r="AC161" s="420"/>
      <c r="AD161" s="584"/>
      <c r="AE161" s="584"/>
      <c r="AF161" s="587"/>
      <c r="AG161" s="588"/>
      <c r="AH161" s="587"/>
      <c r="AI161" s="589"/>
      <c r="AJ161" s="468"/>
      <c r="AK161" s="477" t="str">
        <f>IF(AM161="Chưa xếp lịch","Chưa xếp lịch",IF(AM161="Định kỳ",IF(AN161="","Thiếu chu kỳ","Theo chu kỳ"),IF(AM161="Khi phát sinh",IF(COUNTIFS('Lớp 6 - Chi tiết'!$J$14:$J$267,$I161,'Lớp 6 - Chi tiết'!$AE$14:$AE$267,"&lt;&gt;Hủy")=0,"Khi phát sinh – chờ việc con","Khi phát sinh – theo ngày con"),IF(I161="","",LET(n,COUNTIFS('Lớp 6 - Chi tiết'!$J$14:$J$267,$I161,'Lớp 6 - Chi tiết'!$AE$14:$AE$267,"&lt;&gt;Hủy"),cs,IFERROR(MINIFS('Lớp 6 - Chi tiết'!$AG$14:$AG$267,'Lớp 6 - Chi tiết'!$J$14:$J$267,$I161,'Lớp 6 - Chi tiết'!$AE$14:$AE$267,"&lt;&gt;Hủy",'Lớp 6 - Chi tiết'!$AG$14:$AG$267,"&gt;0"),0),ce,IFERROR(MAXIFS('Lớp 6 - Chi tiết'!$AH$14:$AH$267,'Lớp 6 - Chi tiết'!$J$14:$J$267,$I161,'Lớp 6 - Chi tiết'!$AE$14:$AE$267,"&lt;&gt;Hủy",'Lớp 6 - Chi tiết'!$AH$14:$AH$267,"&gt;0"),0),ps,'Trung tâm nhập liệu'!R311,pe,'Trung tâm nhập liệu'!Q311,IF(OR(AD161="",AE161=""),"Thiếu ngày L5",IF(n=0,"Chưa có L6",IF(OR(cs=0,ce=0),"Thiếu ngày L6",IF(OR(ps="",pe=""),"Thiếu ngày kế hoạch gốc L5",IF(OR(cs&lt;ps,ce&gt;pe),"Cảnh báo: Con vượt khung kế hoạch gốc","L6 đúng khung kế hoạch gốc"))))))))))</f>
        <v/>
      </c>
      <c r="AL161" s="465"/>
      <c r="AM161" s="467"/>
      <c r="AN161" s="469"/>
      <c r="AO161" s="470"/>
      <c r="AP161" s="470"/>
      <c r="AQ161" s="471"/>
      <c r="AR161" s="469"/>
      <c r="AS161" s="475"/>
      <c r="AT161" s="476"/>
      <c r="AU161" s="478"/>
      <c r="AV161" s="465"/>
      <c r="AW161" s="465"/>
      <c r="AX161" s="479"/>
    </row>
    <row r="162" ht="15.75" customHeight="1">
      <c r="A162" s="424"/>
      <c r="B162" s="572"/>
      <c r="C162" s="591"/>
      <c r="D162" s="623"/>
      <c r="E162" s="617"/>
      <c r="F162" s="575"/>
      <c r="G162" s="575"/>
      <c r="H162" s="576"/>
      <c r="I162" s="577"/>
      <c r="J162" s="577"/>
      <c r="K162" s="597"/>
      <c r="L162" s="598"/>
      <c r="M162" s="438"/>
      <c r="N162" s="597"/>
      <c r="O162" s="597"/>
      <c r="P162" s="597"/>
      <c r="Q162" s="581"/>
      <c r="R162" s="420"/>
      <c r="S162" s="582"/>
      <c r="T162" s="583"/>
      <c r="U162" s="584" t="str">
        <f>IF($I162="","",LET(n,COUNTIFS('Lớp 6 - Chi tiết'!$J$14:$J$267,$I162,'Lớp 6 - Chi tiết'!$AE$14:$AE$267,"&lt;&gt;Hủy"),child,IFERROR(MAXIFS('Lớp 6 - Chi tiết'!$AH$14:$AH$267,'Lớp 6 - Chi tiết'!$J$14:$J$267,$I162,'Lớp 6 - Chi tiết'!$AE$14:$AE$267,"&lt;&gt;Hủy",'Lớp 6 - Chi tiết'!$AH$14:$AH$267,"&gt;0"),0),plan,'Trung tâm nhập liệu'!Q312,emergent,LOWER(TRIM('Trung tâm nhập liệu'!O312))="khi phát sinh",IF(n=0,IF(emergent,"",plan),IF(child=0,IF(emergent,"",plan),IF(OR(emergent,plan=""),child,MAX(plan,child))))))</f>
        <v/>
      </c>
      <c r="V162" s="584" t="str">
        <f>IF($I162="","",LET(n,COUNTIFS('Lớp 6 - Chi tiết'!$J$14:$J$267,$I162,'Lớp 6 - Chi tiết'!$AE$14:$AE$267,"&lt;&gt;Hủy"),child,IFERROR(MINIFS('Lớp 6 - Chi tiết'!$AG$14:$AG$267,'Lớp 6 - Chi tiết'!$J$14:$J$267,$I162,'Lớp 6 - Chi tiết'!$AE$14:$AE$267,"&lt;&gt;Hủy",'Lớp 6 - Chi tiết'!$AG$14:$AG$267,"&gt;0"),0),plan,'Trung tâm nhập liệu'!R312,emergent,LOWER(TRIM('Trung tâm nhập liệu'!O312))="khi phát sinh",IF(n=0,IF(emergent,"",plan),IF(child=0,IF(emergent,"",plan),IF(OR(emergent,plan=""),child,MIN(plan,child))))))</f>
        <v/>
      </c>
      <c r="W162" s="577"/>
      <c r="X162" s="577"/>
      <c r="Y162" s="585"/>
      <c r="Z162" s="586"/>
      <c r="AA162" s="577"/>
      <c r="AB162" s="572"/>
      <c r="AC162" s="420"/>
      <c r="AD162" s="584"/>
      <c r="AE162" s="584"/>
      <c r="AF162" s="587"/>
      <c r="AG162" s="588"/>
      <c r="AH162" s="587"/>
      <c r="AI162" s="589"/>
      <c r="AJ162" s="468"/>
      <c r="AK162" s="477" t="str">
        <f>IF(AM162="Chưa xếp lịch","Chưa xếp lịch",IF(AM162="Định kỳ",IF(AN162="","Thiếu chu kỳ","Theo chu kỳ"),IF(AM162="Khi phát sinh",IF(COUNTIFS('Lớp 6 - Chi tiết'!$J$14:$J$267,$I162,'Lớp 6 - Chi tiết'!$AE$14:$AE$267,"&lt;&gt;Hủy")=0,"Khi phát sinh – chờ việc con","Khi phát sinh – theo ngày con"),IF(I162="","",LET(n,COUNTIFS('Lớp 6 - Chi tiết'!$J$14:$J$267,$I162,'Lớp 6 - Chi tiết'!$AE$14:$AE$267,"&lt;&gt;Hủy"),cs,IFERROR(MINIFS('Lớp 6 - Chi tiết'!$AG$14:$AG$267,'Lớp 6 - Chi tiết'!$J$14:$J$267,$I162,'Lớp 6 - Chi tiết'!$AE$14:$AE$267,"&lt;&gt;Hủy",'Lớp 6 - Chi tiết'!$AG$14:$AG$267,"&gt;0"),0),ce,IFERROR(MAXIFS('Lớp 6 - Chi tiết'!$AH$14:$AH$267,'Lớp 6 - Chi tiết'!$J$14:$J$267,$I162,'Lớp 6 - Chi tiết'!$AE$14:$AE$267,"&lt;&gt;Hủy",'Lớp 6 - Chi tiết'!$AH$14:$AH$267,"&gt;0"),0),ps,'Trung tâm nhập liệu'!R312,pe,'Trung tâm nhập liệu'!Q312,IF(OR(AD162="",AE162=""),"Thiếu ngày L5",IF(n=0,"Chưa có L6",IF(OR(cs=0,ce=0),"Thiếu ngày L6",IF(OR(ps="",pe=""),"Thiếu ngày kế hoạch gốc L5",IF(OR(cs&lt;ps,ce&gt;pe),"Cảnh báo: Con vượt khung kế hoạch gốc","L6 đúng khung kế hoạch gốc"))))))))))</f>
        <v/>
      </c>
      <c r="AL162" s="465"/>
      <c r="AM162" s="467"/>
      <c r="AN162" s="469"/>
      <c r="AO162" s="470"/>
      <c r="AP162" s="470"/>
      <c r="AQ162" s="471"/>
      <c r="AR162" s="469"/>
      <c r="AS162" s="475"/>
      <c r="AT162" s="476"/>
      <c r="AU162" s="478"/>
      <c r="AV162" s="465"/>
      <c r="AW162" s="465"/>
      <c r="AX162" s="479"/>
    </row>
    <row r="163" ht="15.75" customHeight="1">
      <c r="A163" s="424"/>
      <c r="B163" s="572"/>
      <c r="C163" s="591"/>
      <c r="D163" s="623"/>
      <c r="E163" s="617"/>
      <c r="F163" s="575"/>
      <c r="G163" s="575"/>
      <c r="H163" s="576"/>
      <c r="I163" s="577"/>
      <c r="J163" s="577"/>
      <c r="K163" s="597"/>
      <c r="L163" s="598"/>
      <c r="M163" s="438"/>
      <c r="N163" s="597"/>
      <c r="O163" s="597"/>
      <c r="P163" s="597"/>
      <c r="Q163" s="581"/>
      <c r="R163" s="420"/>
      <c r="S163" s="582"/>
      <c r="T163" s="583"/>
      <c r="U163" s="584" t="str">
        <f>IF($I163="","",LET(n,COUNTIFS('Lớp 6 - Chi tiết'!$J$14:$J$267,$I163,'Lớp 6 - Chi tiết'!$AE$14:$AE$267,"&lt;&gt;Hủy"),child,IFERROR(MAXIFS('Lớp 6 - Chi tiết'!$AH$14:$AH$267,'Lớp 6 - Chi tiết'!$J$14:$J$267,$I163,'Lớp 6 - Chi tiết'!$AE$14:$AE$267,"&lt;&gt;Hủy",'Lớp 6 - Chi tiết'!$AH$14:$AH$267,"&gt;0"),0),plan,'Trung tâm nhập liệu'!Q313,emergent,LOWER(TRIM('Trung tâm nhập liệu'!O313))="khi phát sinh",IF(n=0,IF(emergent,"",plan),IF(child=0,IF(emergent,"",plan),IF(OR(emergent,plan=""),child,MAX(plan,child))))))</f>
        <v/>
      </c>
      <c r="V163" s="584" t="str">
        <f>IF($I163="","",LET(n,COUNTIFS('Lớp 6 - Chi tiết'!$J$14:$J$267,$I163,'Lớp 6 - Chi tiết'!$AE$14:$AE$267,"&lt;&gt;Hủy"),child,IFERROR(MINIFS('Lớp 6 - Chi tiết'!$AG$14:$AG$267,'Lớp 6 - Chi tiết'!$J$14:$J$267,$I163,'Lớp 6 - Chi tiết'!$AE$14:$AE$267,"&lt;&gt;Hủy",'Lớp 6 - Chi tiết'!$AG$14:$AG$267,"&gt;0"),0),plan,'Trung tâm nhập liệu'!R313,emergent,LOWER(TRIM('Trung tâm nhập liệu'!O313))="khi phát sinh",IF(n=0,IF(emergent,"",plan),IF(child=0,IF(emergent,"",plan),IF(OR(emergent,plan=""),child,MIN(plan,child))))))</f>
        <v/>
      </c>
      <c r="W163" s="577"/>
      <c r="X163" s="577"/>
      <c r="Y163" s="585"/>
      <c r="Z163" s="586"/>
      <c r="AA163" s="577"/>
      <c r="AB163" s="572"/>
      <c r="AC163" s="420"/>
      <c r="AD163" s="584"/>
      <c r="AE163" s="584"/>
      <c r="AF163" s="587"/>
      <c r="AG163" s="588"/>
      <c r="AH163" s="587"/>
      <c r="AI163" s="589"/>
      <c r="AJ163" s="468"/>
      <c r="AK163" s="477" t="str">
        <f>IF(AM163="Chưa xếp lịch","Chưa xếp lịch",IF(AM163="Định kỳ",IF(AN163="","Thiếu chu kỳ","Theo chu kỳ"),IF(AM163="Khi phát sinh",IF(COUNTIFS('Lớp 6 - Chi tiết'!$J$14:$J$267,$I163,'Lớp 6 - Chi tiết'!$AE$14:$AE$267,"&lt;&gt;Hủy")=0,"Khi phát sinh – chờ việc con","Khi phát sinh – theo ngày con"),IF(I163="","",LET(n,COUNTIFS('Lớp 6 - Chi tiết'!$J$14:$J$267,$I163,'Lớp 6 - Chi tiết'!$AE$14:$AE$267,"&lt;&gt;Hủy"),cs,IFERROR(MINIFS('Lớp 6 - Chi tiết'!$AG$14:$AG$267,'Lớp 6 - Chi tiết'!$J$14:$J$267,$I163,'Lớp 6 - Chi tiết'!$AE$14:$AE$267,"&lt;&gt;Hủy",'Lớp 6 - Chi tiết'!$AG$14:$AG$267,"&gt;0"),0),ce,IFERROR(MAXIFS('Lớp 6 - Chi tiết'!$AH$14:$AH$267,'Lớp 6 - Chi tiết'!$J$14:$J$267,$I163,'Lớp 6 - Chi tiết'!$AE$14:$AE$267,"&lt;&gt;Hủy",'Lớp 6 - Chi tiết'!$AH$14:$AH$267,"&gt;0"),0),ps,'Trung tâm nhập liệu'!R313,pe,'Trung tâm nhập liệu'!Q313,IF(OR(AD163="",AE163=""),"Thiếu ngày L5",IF(n=0,"Chưa có L6",IF(OR(cs=0,ce=0),"Thiếu ngày L6",IF(OR(ps="",pe=""),"Thiếu ngày kế hoạch gốc L5",IF(OR(cs&lt;ps,ce&gt;pe),"Cảnh báo: Con vượt khung kế hoạch gốc","L6 đúng khung kế hoạch gốc"))))))))))</f>
        <v/>
      </c>
      <c r="AL163" s="465"/>
      <c r="AM163" s="467"/>
      <c r="AN163" s="469"/>
      <c r="AO163" s="470"/>
      <c r="AP163" s="470"/>
      <c r="AQ163" s="471"/>
      <c r="AR163" s="469"/>
      <c r="AS163" s="475"/>
      <c r="AT163" s="476"/>
      <c r="AU163" s="478"/>
      <c r="AV163" s="465"/>
      <c r="AW163" s="465"/>
      <c r="AX163" s="479"/>
    </row>
    <row r="164" ht="15.75" customHeight="1">
      <c r="A164" s="424"/>
      <c r="B164" s="572"/>
      <c r="C164" s="591"/>
      <c r="D164" s="623"/>
      <c r="E164" s="617"/>
      <c r="F164" s="575"/>
      <c r="G164" s="575"/>
      <c r="H164" s="576"/>
      <c r="I164" s="577"/>
      <c r="J164" s="577"/>
      <c r="K164" s="597"/>
      <c r="L164" s="598"/>
      <c r="M164" s="438"/>
      <c r="N164" s="597"/>
      <c r="O164" s="597"/>
      <c r="P164" s="597"/>
      <c r="Q164" s="581"/>
      <c r="R164" s="420"/>
      <c r="S164" s="582"/>
      <c r="T164" s="583"/>
      <c r="U164" s="584" t="str">
        <f>IF($I164="","",LET(n,COUNTIFS('Lớp 6 - Chi tiết'!$J$14:$J$267,$I164,'Lớp 6 - Chi tiết'!$AE$14:$AE$267,"&lt;&gt;Hủy"),child,IFERROR(MAXIFS('Lớp 6 - Chi tiết'!$AH$14:$AH$267,'Lớp 6 - Chi tiết'!$J$14:$J$267,$I164,'Lớp 6 - Chi tiết'!$AE$14:$AE$267,"&lt;&gt;Hủy",'Lớp 6 - Chi tiết'!$AH$14:$AH$267,"&gt;0"),0),plan,'Trung tâm nhập liệu'!Q314,emergent,LOWER(TRIM('Trung tâm nhập liệu'!O314))="khi phát sinh",IF(n=0,IF(emergent,"",plan),IF(child=0,IF(emergent,"",plan),IF(OR(emergent,plan=""),child,MAX(plan,child))))))</f>
        <v/>
      </c>
      <c r="V164" s="584" t="str">
        <f>IF($I164="","",LET(n,COUNTIFS('Lớp 6 - Chi tiết'!$J$14:$J$267,$I164,'Lớp 6 - Chi tiết'!$AE$14:$AE$267,"&lt;&gt;Hủy"),child,IFERROR(MINIFS('Lớp 6 - Chi tiết'!$AG$14:$AG$267,'Lớp 6 - Chi tiết'!$J$14:$J$267,$I164,'Lớp 6 - Chi tiết'!$AE$14:$AE$267,"&lt;&gt;Hủy",'Lớp 6 - Chi tiết'!$AG$14:$AG$267,"&gt;0"),0),plan,'Trung tâm nhập liệu'!R314,emergent,LOWER(TRIM('Trung tâm nhập liệu'!O314))="khi phát sinh",IF(n=0,IF(emergent,"",plan),IF(child=0,IF(emergent,"",plan),IF(OR(emergent,plan=""),child,MIN(plan,child))))))</f>
        <v/>
      </c>
      <c r="W164" s="577"/>
      <c r="X164" s="577"/>
      <c r="Y164" s="585"/>
      <c r="Z164" s="586"/>
      <c r="AA164" s="577"/>
      <c r="AB164" s="572"/>
      <c r="AC164" s="420"/>
      <c r="AD164" s="584"/>
      <c r="AE164" s="584"/>
      <c r="AF164" s="587"/>
      <c r="AG164" s="588"/>
      <c r="AH164" s="587"/>
      <c r="AI164" s="589"/>
      <c r="AJ164" s="468"/>
      <c r="AK164" s="477" t="str">
        <f>IF(AM164="Chưa xếp lịch","Chưa xếp lịch",IF(AM164="Định kỳ",IF(AN164="","Thiếu chu kỳ","Theo chu kỳ"),IF(AM164="Khi phát sinh",IF(COUNTIFS('Lớp 6 - Chi tiết'!$J$14:$J$267,$I164,'Lớp 6 - Chi tiết'!$AE$14:$AE$267,"&lt;&gt;Hủy")=0,"Khi phát sinh – chờ việc con","Khi phát sinh – theo ngày con"),IF(I164="","",LET(n,COUNTIFS('Lớp 6 - Chi tiết'!$J$14:$J$267,$I164,'Lớp 6 - Chi tiết'!$AE$14:$AE$267,"&lt;&gt;Hủy"),cs,IFERROR(MINIFS('Lớp 6 - Chi tiết'!$AG$14:$AG$267,'Lớp 6 - Chi tiết'!$J$14:$J$267,$I164,'Lớp 6 - Chi tiết'!$AE$14:$AE$267,"&lt;&gt;Hủy",'Lớp 6 - Chi tiết'!$AG$14:$AG$267,"&gt;0"),0),ce,IFERROR(MAXIFS('Lớp 6 - Chi tiết'!$AH$14:$AH$267,'Lớp 6 - Chi tiết'!$J$14:$J$267,$I164,'Lớp 6 - Chi tiết'!$AE$14:$AE$267,"&lt;&gt;Hủy",'Lớp 6 - Chi tiết'!$AH$14:$AH$267,"&gt;0"),0),ps,'Trung tâm nhập liệu'!R314,pe,'Trung tâm nhập liệu'!Q314,IF(OR(AD164="",AE164=""),"Thiếu ngày L5",IF(n=0,"Chưa có L6",IF(OR(cs=0,ce=0),"Thiếu ngày L6",IF(OR(ps="",pe=""),"Thiếu ngày kế hoạch gốc L5",IF(OR(cs&lt;ps,ce&gt;pe),"Cảnh báo: Con vượt khung kế hoạch gốc","L6 đúng khung kế hoạch gốc"))))))))))</f>
        <v/>
      </c>
      <c r="AL164" s="465"/>
      <c r="AM164" s="467"/>
      <c r="AN164" s="469"/>
      <c r="AO164" s="470"/>
      <c r="AP164" s="470"/>
      <c r="AQ164" s="471"/>
      <c r="AR164" s="469"/>
      <c r="AS164" s="475"/>
      <c r="AT164" s="476"/>
      <c r="AU164" s="478"/>
      <c r="AV164" s="465"/>
      <c r="AW164" s="465"/>
      <c r="AX164" s="479"/>
    </row>
    <row r="165" ht="15.75" customHeight="1">
      <c r="A165" s="424"/>
      <c r="B165" s="572"/>
      <c r="C165" s="591"/>
      <c r="D165" s="623"/>
      <c r="E165" s="617"/>
      <c r="F165" s="575"/>
      <c r="G165" s="575"/>
      <c r="H165" s="576"/>
      <c r="I165" s="577"/>
      <c r="J165" s="577"/>
      <c r="K165" s="597"/>
      <c r="L165" s="598"/>
      <c r="M165" s="438"/>
      <c r="N165" s="597"/>
      <c r="O165" s="597"/>
      <c r="P165" s="597"/>
      <c r="Q165" s="581"/>
      <c r="R165" s="420"/>
      <c r="S165" s="582"/>
      <c r="T165" s="583"/>
      <c r="U165" s="584" t="str">
        <f>IF($I165="","",LET(n,COUNTIFS('Lớp 6 - Chi tiết'!$J$14:$J$267,$I165,'Lớp 6 - Chi tiết'!$AE$14:$AE$267,"&lt;&gt;Hủy"),child,IFERROR(MAXIFS('Lớp 6 - Chi tiết'!$AH$14:$AH$267,'Lớp 6 - Chi tiết'!$J$14:$J$267,$I165,'Lớp 6 - Chi tiết'!$AE$14:$AE$267,"&lt;&gt;Hủy",'Lớp 6 - Chi tiết'!$AH$14:$AH$267,"&gt;0"),0),plan,'Trung tâm nhập liệu'!Q315,emergent,LOWER(TRIM('Trung tâm nhập liệu'!O315))="khi phát sinh",IF(n=0,IF(emergent,"",plan),IF(child=0,IF(emergent,"",plan),IF(OR(emergent,plan=""),child,MAX(plan,child))))))</f>
        <v/>
      </c>
      <c r="V165" s="584" t="str">
        <f>IF($I165="","",LET(n,COUNTIFS('Lớp 6 - Chi tiết'!$J$14:$J$267,$I165,'Lớp 6 - Chi tiết'!$AE$14:$AE$267,"&lt;&gt;Hủy"),child,IFERROR(MINIFS('Lớp 6 - Chi tiết'!$AG$14:$AG$267,'Lớp 6 - Chi tiết'!$J$14:$J$267,$I165,'Lớp 6 - Chi tiết'!$AE$14:$AE$267,"&lt;&gt;Hủy",'Lớp 6 - Chi tiết'!$AG$14:$AG$267,"&gt;0"),0),plan,'Trung tâm nhập liệu'!R315,emergent,LOWER(TRIM('Trung tâm nhập liệu'!O315))="khi phát sinh",IF(n=0,IF(emergent,"",plan),IF(child=0,IF(emergent,"",plan),IF(OR(emergent,plan=""),child,MIN(plan,child))))))</f>
        <v/>
      </c>
      <c r="W165" s="577"/>
      <c r="X165" s="577"/>
      <c r="Y165" s="585"/>
      <c r="Z165" s="586"/>
      <c r="AA165" s="577"/>
      <c r="AB165" s="572"/>
      <c r="AC165" s="420"/>
      <c r="AD165" s="584"/>
      <c r="AE165" s="584"/>
      <c r="AF165" s="587"/>
      <c r="AG165" s="588"/>
      <c r="AH165" s="587"/>
      <c r="AI165" s="589"/>
      <c r="AJ165" s="468"/>
      <c r="AK165" s="477" t="str">
        <f>IF(AM165="Chưa xếp lịch","Chưa xếp lịch",IF(AM165="Định kỳ",IF(AN165="","Thiếu chu kỳ","Theo chu kỳ"),IF(AM165="Khi phát sinh",IF(COUNTIFS('Lớp 6 - Chi tiết'!$J$14:$J$267,$I165,'Lớp 6 - Chi tiết'!$AE$14:$AE$267,"&lt;&gt;Hủy")=0,"Khi phát sinh – chờ việc con","Khi phát sinh – theo ngày con"),IF(I165="","",LET(n,COUNTIFS('Lớp 6 - Chi tiết'!$J$14:$J$267,$I165,'Lớp 6 - Chi tiết'!$AE$14:$AE$267,"&lt;&gt;Hủy"),cs,IFERROR(MINIFS('Lớp 6 - Chi tiết'!$AG$14:$AG$267,'Lớp 6 - Chi tiết'!$J$14:$J$267,$I165,'Lớp 6 - Chi tiết'!$AE$14:$AE$267,"&lt;&gt;Hủy",'Lớp 6 - Chi tiết'!$AG$14:$AG$267,"&gt;0"),0),ce,IFERROR(MAXIFS('Lớp 6 - Chi tiết'!$AH$14:$AH$267,'Lớp 6 - Chi tiết'!$J$14:$J$267,$I165,'Lớp 6 - Chi tiết'!$AE$14:$AE$267,"&lt;&gt;Hủy",'Lớp 6 - Chi tiết'!$AH$14:$AH$267,"&gt;0"),0),ps,'Trung tâm nhập liệu'!R315,pe,'Trung tâm nhập liệu'!Q315,IF(OR(AD165="",AE165=""),"Thiếu ngày L5",IF(n=0,"Chưa có L6",IF(OR(cs=0,ce=0),"Thiếu ngày L6",IF(OR(ps="",pe=""),"Thiếu ngày kế hoạch gốc L5",IF(OR(cs&lt;ps,ce&gt;pe),"Cảnh báo: Con vượt khung kế hoạch gốc","L6 đúng khung kế hoạch gốc"))))))))))</f>
        <v/>
      </c>
      <c r="AL165" s="465"/>
      <c r="AM165" s="467"/>
      <c r="AN165" s="469"/>
      <c r="AO165" s="470"/>
      <c r="AP165" s="470"/>
      <c r="AQ165" s="471"/>
      <c r="AR165" s="469"/>
      <c r="AS165" s="475"/>
      <c r="AT165" s="476"/>
      <c r="AU165" s="478"/>
      <c r="AV165" s="465"/>
      <c r="AW165" s="465"/>
      <c r="AX165" s="479"/>
    </row>
    <row r="166" ht="15.75" customHeight="1">
      <c r="A166" s="424"/>
      <c r="B166" s="572"/>
      <c r="C166" s="591"/>
      <c r="D166" s="623"/>
      <c r="E166" s="617"/>
      <c r="F166" s="575"/>
      <c r="G166" s="575"/>
      <c r="H166" s="576"/>
      <c r="I166" s="577"/>
      <c r="J166" s="577"/>
      <c r="K166" s="597"/>
      <c r="L166" s="598"/>
      <c r="M166" s="438"/>
      <c r="N166" s="597"/>
      <c r="O166" s="597"/>
      <c r="P166" s="597"/>
      <c r="Q166" s="581"/>
      <c r="R166" s="420"/>
      <c r="S166" s="582"/>
      <c r="T166" s="583"/>
      <c r="U166" s="584" t="str">
        <f>IF($I166="","",LET(n,COUNTIFS('Lớp 6 - Chi tiết'!$J$14:$J$267,$I166,'Lớp 6 - Chi tiết'!$AE$14:$AE$267,"&lt;&gt;Hủy"),child,IFERROR(MAXIFS('Lớp 6 - Chi tiết'!$AH$14:$AH$267,'Lớp 6 - Chi tiết'!$J$14:$J$267,$I166,'Lớp 6 - Chi tiết'!$AE$14:$AE$267,"&lt;&gt;Hủy",'Lớp 6 - Chi tiết'!$AH$14:$AH$267,"&gt;0"),0),plan,'Trung tâm nhập liệu'!Q316,emergent,LOWER(TRIM('Trung tâm nhập liệu'!O316))="khi phát sinh",IF(n=0,IF(emergent,"",plan),IF(child=0,IF(emergent,"",plan),IF(OR(emergent,plan=""),child,MAX(plan,child))))))</f>
        <v/>
      </c>
      <c r="V166" s="584" t="str">
        <f>IF($I166="","",LET(n,COUNTIFS('Lớp 6 - Chi tiết'!$J$14:$J$267,$I166,'Lớp 6 - Chi tiết'!$AE$14:$AE$267,"&lt;&gt;Hủy"),child,IFERROR(MINIFS('Lớp 6 - Chi tiết'!$AG$14:$AG$267,'Lớp 6 - Chi tiết'!$J$14:$J$267,$I166,'Lớp 6 - Chi tiết'!$AE$14:$AE$267,"&lt;&gt;Hủy",'Lớp 6 - Chi tiết'!$AG$14:$AG$267,"&gt;0"),0),plan,'Trung tâm nhập liệu'!R316,emergent,LOWER(TRIM('Trung tâm nhập liệu'!O316))="khi phát sinh",IF(n=0,IF(emergent,"",plan),IF(child=0,IF(emergent,"",plan),IF(OR(emergent,plan=""),child,MIN(plan,child))))))</f>
        <v/>
      </c>
      <c r="W166" s="577"/>
      <c r="X166" s="577"/>
      <c r="Y166" s="585"/>
      <c r="Z166" s="586"/>
      <c r="AA166" s="577"/>
      <c r="AB166" s="572"/>
      <c r="AC166" s="420"/>
      <c r="AD166" s="584"/>
      <c r="AE166" s="584"/>
      <c r="AF166" s="587"/>
      <c r="AG166" s="588"/>
      <c r="AH166" s="587"/>
      <c r="AI166" s="589"/>
      <c r="AJ166" s="468"/>
      <c r="AK166" s="477" t="str">
        <f>IF(AM166="Chưa xếp lịch","Chưa xếp lịch",IF(AM166="Định kỳ",IF(AN166="","Thiếu chu kỳ","Theo chu kỳ"),IF(AM166="Khi phát sinh",IF(COUNTIFS('Lớp 6 - Chi tiết'!$J$14:$J$267,$I166,'Lớp 6 - Chi tiết'!$AE$14:$AE$267,"&lt;&gt;Hủy")=0,"Khi phát sinh – chờ việc con","Khi phát sinh – theo ngày con"),IF(I166="","",LET(n,COUNTIFS('Lớp 6 - Chi tiết'!$J$14:$J$267,$I166,'Lớp 6 - Chi tiết'!$AE$14:$AE$267,"&lt;&gt;Hủy"),cs,IFERROR(MINIFS('Lớp 6 - Chi tiết'!$AG$14:$AG$267,'Lớp 6 - Chi tiết'!$J$14:$J$267,$I166,'Lớp 6 - Chi tiết'!$AE$14:$AE$267,"&lt;&gt;Hủy",'Lớp 6 - Chi tiết'!$AG$14:$AG$267,"&gt;0"),0),ce,IFERROR(MAXIFS('Lớp 6 - Chi tiết'!$AH$14:$AH$267,'Lớp 6 - Chi tiết'!$J$14:$J$267,$I166,'Lớp 6 - Chi tiết'!$AE$14:$AE$267,"&lt;&gt;Hủy",'Lớp 6 - Chi tiết'!$AH$14:$AH$267,"&gt;0"),0),ps,'Trung tâm nhập liệu'!R316,pe,'Trung tâm nhập liệu'!Q316,IF(OR(AD166="",AE166=""),"Thiếu ngày L5",IF(n=0,"Chưa có L6",IF(OR(cs=0,ce=0),"Thiếu ngày L6",IF(OR(ps="",pe=""),"Thiếu ngày kế hoạch gốc L5",IF(OR(cs&lt;ps,ce&gt;pe),"Cảnh báo: Con vượt khung kế hoạch gốc","L6 đúng khung kế hoạch gốc"))))))))))</f>
        <v/>
      </c>
      <c r="AL166" s="465"/>
      <c r="AM166" s="467"/>
      <c r="AN166" s="469"/>
      <c r="AO166" s="470"/>
      <c r="AP166" s="470"/>
      <c r="AQ166" s="471"/>
      <c r="AR166" s="469"/>
      <c r="AS166" s="475"/>
      <c r="AT166" s="476"/>
      <c r="AU166" s="478"/>
      <c r="AV166" s="465"/>
      <c r="AW166" s="465"/>
      <c r="AX166" s="479"/>
    </row>
    <row r="167" ht="15.75" customHeight="1">
      <c r="A167" s="424"/>
      <c r="B167" s="572"/>
      <c r="C167" s="591"/>
      <c r="D167" s="623"/>
      <c r="E167" s="617"/>
      <c r="F167" s="575"/>
      <c r="G167" s="575"/>
      <c r="H167" s="576"/>
      <c r="I167" s="577"/>
      <c r="J167" s="577"/>
      <c r="K167" s="597"/>
      <c r="L167" s="598"/>
      <c r="M167" s="438"/>
      <c r="N167" s="597"/>
      <c r="O167" s="597"/>
      <c r="P167" s="597"/>
      <c r="Q167" s="581"/>
      <c r="R167" s="420"/>
      <c r="S167" s="582"/>
      <c r="T167" s="583"/>
      <c r="U167" s="584" t="str">
        <f>IF($I167="","",LET(n,COUNTIFS('Lớp 6 - Chi tiết'!$J$14:$J$267,$I167,'Lớp 6 - Chi tiết'!$AE$14:$AE$267,"&lt;&gt;Hủy"),child,IFERROR(MAXIFS('Lớp 6 - Chi tiết'!$AH$14:$AH$267,'Lớp 6 - Chi tiết'!$J$14:$J$267,$I167,'Lớp 6 - Chi tiết'!$AE$14:$AE$267,"&lt;&gt;Hủy",'Lớp 6 - Chi tiết'!$AH$14:$AH$267,"&gt;0"),0),plan,'Trung tâm nhập liệu'!Q317,emergent,LOWER(TRIM('Trung tâm nhập liệu'!O317))="khi phát sinh",IF(n=0,IF(emergent,"",plan),IF(child=0,IF(emergent,"",plan),IF(OR(emergent,plan=""),child,MAX(plan,child))))))</f>
        <v/>
      </c>
      <c r="V167" s="584" t="str">
        <f>IF($I167="","",LET(n,COUNTIFS('Lớp 6 - Chi tiết'!$J$14:$J$267,$I167,'Lớp 6 - Chi tiết'!$AE$14:$AE$267,"&lt;&gt;Hủy"),child,IFERROR(MINIFS('Lớp 6 - Chi tiết'!$AG$14:$AG$267,'Lớp 6 - Chi tiết'!$J$14:$J$267,$I167,'Lớp 6 - Chi tiết'!$AE$14:$AE$267,"&lt;&gt;Hủy",'Lớp 6 - Chi tiết'!$AG$14:$AG$267,"&gt;0"),0),plan,'Trung tâm nhập liệu'!R317,emergent,LOWER(TRIM('Trung tâm nhập liệu'!O317))="khi phát sinh",IF(n=0,IF(emergent,"",plan),IF(child=0,IF(emergent,"",plan),IF(OR(emergent,plan=""),child,MIN(plan,child))))))</f>
        <v/>
      </c>
      <c r="W167" s="577"/>
      <c r="X167" s="577"/>
      <c r="Y167" s="585"/>
      <c r="Z167" s="586"/>
      <c r="AA167" s="577"/>
      <c r="AB167" s="572"/>
      <c r="AC167" s="420"/>
      <c r="AD167" s="584"/>
      <c r="AE167" s="584"/>
      <c r="AF167" s="587"/>
      <c r="AG167" s="588"/>
      <c r="AH167" s="587"/>
      <c r="AI167" s="589"/>
      <c r="AJ167" s="468"/>
      <c r="AK167" s="477" t="str">
        <f>IF(AM167="Chưa xếp lịch","Chưa xếp lịch",IF(AM167="Định kỳ",IF(AN167="","Thiếu chu kỳ","Theo chu kỳ"),IF(AM167="Khi phát sinh",IF(COUNTIFS('Lớp 6 - Chi tiết'!$J$14:$J$267,$I167,'Lớp 6 - Chi tiết'!$AE$14:$AE$267,"&lt;&gt;Hủy")=0,"Khi phát sinh – chờ việc con","Khi phát sinh – theo ngày con"),IF(I167="","",LET(n,COUNTIFS('Lớp 6 - Chi tiết'!$J$14:$J$267,$I167,'Lớp 6 - Chi tiết'!$AE$14:$AE$267,"&lt;&gt;Hủy"),cs,IFERROR(MINIFS('Lớp 6 - Chi tiết'!$AG$14:$AG$267,'Lớp 6 - Chi tiết'!$J$14:$J$267,$I167,'Lớp 6 - Chi tiết'!$AE$14:$AE$267,"&lt;&gt;Hủy",'Lớp 6 - Chi tiết'!$AG$14:$AG$267,"&gt;0"),0),ce,IFERROR(MAXIFS('Lớp 6 - Chi tiết'!$AH$14:$AH$267,'Lớp 6 - Chi tiết'!$J$14:$J$267,$I167,'Lớp 6 - Chi tiết'!$AE$14:$AE$267,"&lt;&gt;Hủy",'Lớp 6 - Chi tiết'!$AH$14:$AH$267,"&gt;0"),0),ps,'Trung tâm nhập liệu'!R317,pe,'Trung tâm nhập liệu'!Q317,IF(OR(AD167="",AE167=""),"Thiếu ngày L5",IF(n=0,"Chưa có L6",IF(OR(cs=0,ce=0),"Thiếu ngày L6",IF(OR(ps="",pe=""),"Thiếu ngày kế hoạch gốc L5",IF(OR(cs&lt;ps,ce&gt;pe),"Cảnh báo: Con vượt khung kế hoạch gốc","L6 đúng khung kế hoạch gốc"))))))))))</f>
        <v/>
      </c>
      <c r="AL167" s="465"/>
      <c r="AM167" s="467"/>
      <c r="AN167" s="469"/>
      <c r="AO167" s="470"/>
      <c r="AP167" s="470"/>
      <c r="AQ167" s="471"/>
      <c r="AR167" s="469"/>
      <c r="AS167" s="475"/>
      <c r="AT167" s="476"/>
      <c r="AU167" s="478"/>
      <c r="AV167" s="465"/>
      <c r="AW167" s="465"/>
      <c r="AX167" s="479"/>
    </row>
    <row r="168" ht="15.75" customHeight="1">
      <c r="A168" s="424"/>
      <c r="B168" s="572"/>
      <c r="C168" s="591"/>
      <c r="D168" s="623"/>
      <c r="E168" s="617"/>
      <c r="F168" s="575"/>
      <c r="G168" s="575"/>
      <c r="H168" s="576"/>
      <c r="I168" s="577"/>
      <c r="J168" s="577"/>
      <c r="K168" s="597"/>
      <c r="L168" s="598"/>
      <c r="M168" s="438"/>
      <c r="N168" s="597"/>
      <c r="O168" s="597"/>
      <c r="P168" s="597"/>
      <c r="Q168" s="581"/>
      <c r="R168" s="420"/>
      <c r="S168" s="582"/>
      <c r="T168" s="583"/>
      <c r="U168" s="584" t="str">
        <f>IF($I168="","",LET(n,COUNTIFS('Lớp 6 - Chi tiết'!$J$14:$J$267,$I168,'Lớp 6 - Chi tiết'!$AE$14:$AE$267,"&lt;&gt;Hủy"),child,IFERROR(MAXIFS('Lớp 6 - Chi tiết'!$AH$14:$AH$267,'Lớp 6 - Chi tiết'!$J$14:$J$267,$I168,'Lớp 6 - Chi tiết'!$AE$14:$AE$267,"&lt;&gt;Hủy",'Lớp 6 - Chi tiết'!$AH$14:$AH$267,"&gt;0"),0),plan,'Trung tâm nhập liệu'!Q318,emergent,LOWER(TRIM('Trung tâm nhập liệu'!O318))="khi phát sinh",IF(n=0,IF(emergent,"",plan),IF(child=0,IF(emergent,"",plan),IF(OR(emergent,plan=""),child,MAX(plan,child))))))</f>
        <v/>
      </c>
      <c r="V168" s="584" t="str">
        <f>IF($I168="","",LET(n,COUNTIFS('Lớp 6 - Chi tiết'!$J$14:$J$267,$I168,'Lớp 6 - Chi tiết'!$AE$14:$AE$267,"&lt;&gt;Hủy"),child,IFERROR(MINIFS('Lớp 6 - Chi tiết'!$AG$14:$AG$267,'Lớp 6 - Chi tiết'!$J$14:$J$267,$I168,'Lớp 6 - Chi tiết'!$AE$14:$AE$267,"&lt;&gt;Hủy",'Lớp 6 - Chi tiết'!$AG$14:$AG$267,"&gt;0"),0),plan,'Trung tâm nhập liệu'!R318,emergent,LOWER(TRIM('Trung tâm nhập liệu'!O318))="khi phát sinh",IF(n=0,IF(emergent,"",plan),IF(child=0,IF(emergent,"",plan),IF(OR(emergent,plan=""),child,MIN(plan,child))))))</f>
        <v/>
      </c>
      <c r="W168" s="577"/>
      <c r="X168" s="577"/>
      <c r="Y168" s="585"/>
      <c r="Z168" s="586"/>
      <c r="AA168" s="577"/>
      <c r="AB168" s="572"/>
      <c r="AC168" s="420"/>
      <c r="AD168" s="584"/>
      <c r="AE168" s="584"/>
      <c r="AF168" s="587"/>
      <c r="AG168" s="588"/>
      <c r="AH168" s="587"/>
      <c r="AI168" s="589"/>
      <c r="AJ168" s="468"/>
      <c r="AK168" s="477" t="str">
        <f>IF(AM168="Chưa xếp lịch","Chưa xếp lịch",IF(AM168="Định kỳ",IF(AN168="","Thiếu chu kỳ","Theo chu kỳ"),IF(AM168="Khi phát sinh",IF(COUNTIFS('Lớp 6 - Chi tiết'!$J$14:$J$267,$I168,'Lớp 6 - Chi tiết'!$AE$14:$AE$267,"&lt;&gt;Hủy")=0,"Khi phát sinh – chờ việc con","Khi phát sinh – theo ngày con"),IF(I168="","",LET(n,COUNTIFS('Lớp 6 - Chi tiết'!$J$14:$J$267,$I168,'Lớp 6 - Chi tiết'!$AE$14:$AE$267,"&lt;&gt;Hủy"),cs,IFERROR(MINIFS('Lớp 6 - Chi tiết'!$AG$14:$AG$267,'Lớp 6 - Chi tiết'!$J$14:$J$267,$I168,'Lớp 6 - Chi tiết'!$AE$14:$AE$267,"&lt;&gt;Hủy",'Lớp 6 - Chi tiết'!$AG$14:$AG$267,"&gt;0"),0),ce,IFERROR(MAXIFS('Lớp 6 - Chi tiết'!$AH$14:$AH$267,'Lớp 6 - Chi tiết'!$J$14:$J$267,$I168,'Lớp 6 - Chi tiết'!$AE$14:$AE$267,"&lt;&gt;Hủy",'Lớp 6 - Chi tiết'!$AH$14:$AH$267,"&gt;0"),0),ps,'Trung tâm nhập liệu'!R318,pe,'Trung tâm nhập liệu'!Q318,IF(OR(AD168="",AE168=""),"Thiếu ngày L5",IF(n=0,"Chưa có L6",IF(OR(cs=0,ce=0),"Thiếu ngày L6",IF(OR(ps="",pe=""),"Thiếu ngày kế hoạch gốc L5",IF(OR(cs&lt;ps,ce&gt;pe),"Cảnh báo: Con vượt khung kế hoạch gốc","L6 đúng khung kế hoạch gốc"))))))))))</f>
        <v/>
      </c>
      <c r="AL168" s="465"/>
      <c r="AM168" s="467"/>
      <c r="AN168" s="469"/>
      <c r="AO168" s="470"/>
      <c r="AP168" s="470"/>
      <c r="AQ168" s="471"/>
      <c r="AR168" s="469"/>
      <c r="AS168" s="475"/>
      <c r="AT168" s="476"/>
      <c r="AU168" s="478"/>
      <c r="AV168" s="465"/>
      <c r="AW168" s="465"/>
      <c r="AX168" s="479"/>
    </row>
    <row r="169" ht="15.75" customHeight="1">
      <c r="A169" s="424"/>
      <c r="B169" s="572"/>
      <c r="C169" s="591"/>
      <c r="D169" s="623"/>
      <c r="E169" s="617"/>
      <c r="F169" s="575"/>
      <c r="G169" s="575"/>
      <c r="H169" s="576"/>
      <c r="I169" s="577"/>
      <c r="J169" s="577"/>
      <c r="K169" s="597"/>
      <c r="L169" s="598"/>
      <c r="M169" s="438"/>
      <c r="N169" s="597"/>
      <c r="O169" s="597"/>
      <c r="P169" s="597"/>
      <c r="Q169" s="581"/>
      <c r="R169" s="420"/>
      <c r="S169" s="582"/>
      <c r="T169" s="583"/>
      <c r="U169" s="584" t="str">
        <f>IF($I169="","",LET(n,COUNTIFS('Lớp 6 - Chi tiết'!$J$14:$J$267,$I169,'Lớp 6 - Chi tiết'!$AE$14:$AE$267,"&lt;&gt;Hủy"),child,IFERROR(MAXIFS('Lớp 6 - Chi tiết'!$AH$14:$AH$267,'Lớp 6 - Chi tiết'!$J$14:$J$267,$I169,'Lớp 6 - Chi tiết'!$AE$14:$AE$267,"&lt;&gt;Hủy",'Lớp 6 - Chi tiết'!$AH$14:$AH$267,"&gt;0"),0),plan,'Trung tâm nhập liệu'!Q319,emergent,LOWER(TRIM('Trung tâm nhập liệu'!O319))="khi phát sinh",IF(n=0,IF(emergent,"",plan),IF(child=0,IF(emergent,"",plan),IF(OR(emergent,plan=""),child,MAX(plan,child))))))</f>
        <v/>
      </c>
      <c r="V169" s="584" t="str">
        <f>IF($I169="","",LET(n,COUNTIFS('Lớp 6 - Chi tiết'!$J$14:$J$267,$I169,'Lớp 6 - Chi tiết'!$AE$14:$AE$267,"&lt;&gt;Hủy"),child,IFERROR(MINIFS('Lớp 6 - Chi tiết'!$AG$14:$AG$267,'Lớp 6 - Chi tiết'!$J$14:$J$267,$I169,'Lớp 6 - Chi tiết'!$AE$14:$AE$267,"&lt;&gt;Hủy",'Lớp 6 - Chi tiết'!$AG$14:$AG$267,"&gt;0"),0),plan,'Trung tâm nhập liệu'!R319,emergent,LOWER(TRIM('Trung tâm nhập liệu'!O319))="khi phát sinh",IF(n=0,IF(emergent,"",plan),IF(child=0,IF(emergent,"",plan),IF(OR(emergent,plan=""),child,MIN(plan,child))))))</f>
        <v/>
      </c>
      <c r="W169" s="577"/>
      <c r="X169" s="577"/>
      <c r="Y169" s="585"/>
      <c r="Z169" s="586"/>
      <c r="AA169" s="577"/>
      <c r="AB169" s="572"/>
      <c r="AC169" s="420"/>
      <c r="AD169" s="584"/>
      <c r="AE169" s="584"/>
      <c r="AF169" s="587"/>
      <c r="AG169" s="588"/>
      <c r="AH169" s="587"/>
      <c r="AI169" s="589"/>
      <c r="AJ169" s="468"/>
      <c r="AK169" s="477" t="str">
        <f>IF(AM169="Chưa xếp lịch","Chưa xếp lịch",IF(AM169="Định kỳ",IF(AN169="","Thiếu chu kỳ","Theo chu kỳ"),IF(AM169="Khi phát sinh",IF(COUNTIFS('Lớp 6 - Chi tiết'!$J$14:$J$267,$I169,'Lớp 6 - Chi tiết'!$AE$14:$AE$267,"&lt;&gt;Hủy")=0,"Khi phát sinh – chờ việc con","Khi phát sinh – theo ngày con"),IF(I169="","",LET(n,COUNTIFS('Lớp 6 - Chi tiết'!$J$14:$J$267,$I169,'Lớp 6 - Chi tiết'!$AE$14:$AE$267,"&lt;&gt;Hủy"),cs,IFERROR(MINIFS('Lớp 6 - Chi tiết'!$AG$14:$AG$267,'Lớp 6 - Chi tiết'!$J$14:$J$267,$I169,'Lớp 6 - Chi tiết'!$AE$14:$AE$267,"&lt;&gt;Hủy",'Lớp 6 - Chi tiết'!$AG$14:$AG$267,"&gt;0"),0),ce,IFERROR(MAXIFS('Lớp 6 - Chi tiết'!$AH$14:$AH$267,'Lớp 6 - Chi tiết'!$J$14:$J$267,$I169,'Lớp 6 - Chi tiết'!$AE$14:$AE$267,"&lt;&gt;Hủy",'Lớp 6 - Chi tiết'!$AH$14:$AH$267,"&gt;0"),0),ps,'Trung tâm nhập liệu'!R319,pe,'Trung tâm nhập liệu'!Q319,IF(OR(AD169="",AE169=""),"Thiếu ngày L5",IF(n=0,"Chưa có L6",IF(OR(cs=0,ce=0),"Thiếu ngày L6",IF(OR(ps="",pe=""),"Thiếu ngày kế hoạch gốc L5",IF(OR(cs&lt;ps,ce&gt;pe),"Cảnh báo: Con vượt khung kế hoạch gốc","L6 đúng khung kế hoạch gốc"))))))))))</f>
        <v/>
      </c>
      <c r="AL169" s="465"/>
      <c r="AM169" s="467"/>
      <c r="AN169" s="469"/>
      <c r="AO169" s="470"/>
      <c r="AP169" s="470"/>
      <c r="AQ169" s="471"/>
      <c r="AR169" s="469"/>
      <c r="AS169" s="475"/>
      <c r="AT169" s="476"/>
      <c r="AU169" s="478"/>
      <c r="AV169" s="465"/>
      <c r="AW169" s="465"/>
      <c r="AX169" s="479"/>
    </row>
    <row r="170" ht="15.75" customHeight="1">
      <c r="A170" s="424"/>
      <c r="B170" s="572"/>
      <c r="C170" s="591"/>
      <c r="D170" s="623"/>
      <c r="E170" s="617"/>
      <c r="F170" s="575"/>
      <c r="G170" s="575"/>
      <c r="H170" s="576"/>
      <c r="I170" s="577"/>
      <c r="J170" s="577"/>
      <c r="K170" s="597"/>
      <c r="L170" s="598"/>
      <c r="M170" s="438"/>
      <c r="N170" s="597"/>
      <c r="O170" s="597"/>
      <c r="P170" s="597"/>
      <c r="Q170" s="581"/>
      <c r="R170" s="420"/>
      <c r="S170" s="582"/>
      <c r="T170" s="583"/>
      <c r="U170" s="584" t="str">
        <f>IF($I170="","",LET(n,COUNTIFS('Lớp 6 - Chi tiết'!$J$14:$J$267,$I170,'Lớp 6 - Chi tiết'!$AE$14:$AE$267,"&lt;&gt;Hủy"),child,IFERROR(MAXIFS('Lớp 6 - Chi tiết'!$AH$14:$AH$267,'Lớp 6 - Chi tiết'!$J$14:$J$267,$I170,'Lớp 6 - Chi tiết'!$AE$14:$AE$267,"&lt;&gt;Hủy",'Lớp 6 - Chi tiết'!$AH$14:$AH$267,"&gt;0"),0),plan,'Trung tâm nhập liệu'!Q320,emergent,LOWER(TRIM('Trung tâm nhập liệu'!O320))="khi phát sinh",IF(n=0,IF(emergent,"",plan),IF(child=0,IF(emergent,"",plan),IF(OR(emergent,plan=""),child,MAX(plan,child))))))</f>
        <v/>
      </c>
      <c r="V170" s="584" t="str">
        <f>IF($I170="","",LET(n,COUNTIFS('Lớp 6 - Chi tiết'!$J$14:$J$267,$I170,'Lớp 6 - Chi tiết'!$AE$14:$AE$267,"&lt;&gt;Hủy"),child,IFERROR(MINIFS('Lớp 6 - Chi tiết'!$AG$14:$AG$267,'Lớp 6 - Chi tiết'!$J$14:$J$267,$I170,'Lớp 6 - Chi tiết'!$AE$14:$AE$267,"&lt;&gt;Hủy",'Lớp 6 - Chi tiết'!$AG$14:$AG$267,"&gt;0"),0),plan,'Trung tâm nhập liệu'!R320,emergent,LOWER(TRIM('Trung tâm nhập liệu'!O320))="khi phát sinh",IF(n=0,IF(emergent,"",plan),IF(child=0,IF(emergent,"",plan),IF(OR(emergent,plan=""),child,MIN(plan,child))))))</f>
        <v/>
      </c>
      <c r="W170" s="577"/>
      <c r="X170" s="577"/>
      <c r="Y170" s="585"/>
      <c r="Z170" s="586"/>
      <c r="AA170" s="577"/>
      <c r="AB170" s="572"/>
      <c r="AC170" s="420"/>
      <c r="AD170" s="584"/>
      <c r="AE170" s="584"/>
      <c r="AF170" s="587"/>
      <c r="AG170" s="588"/>
      <c r="AH170" s="587"/>
      <c r="AI170" s="589"/>
      <c r="AJ170" s="468"/>
      <c r="AK170" s="477" t="str">
        <f>IF(AM170="Chưa xếp lịch","Chưa xếp lịch",IF(AM170="Định kỳ",IF(AN170="","Thiếu chu kỳ","Theo chu kỳ"),IF(AM170="Khi phát sinh",IF(COUNTIFS('Lớp 6 - Chi tiết'!$J$14:$J$267,$I170,'Lớp 6 - Chi tiết'!$AE$14:$AE$267,"&lt;&gt;Hủy")=0,"Khi phát sinh – chờ việc con","Khi phát sinh – theo ngày con"),IF(I170="","",LET(n,COUNTIFS('Lớp 6 - Chi tiết'!$J$14:$J$267,$I170,'Lớp 6 - Chi tiết'!$AE$14:$AE$267,"&lt;&gt;Hủy"),cs,IFERROR(MINIFS('Lớp 6 - Chi tiết'!$AG$14:$AG$267,'Lớp 6 - Chi tiết'!$J$14:$J$267,$I170,'Lớp 6 - Chi tiết'!$AE$14:$AE$267,"&lt;&gt;Hủy",'Lớp 6 - Chi tiết'!$AG$14:$AG$267,"&gt;0"),0),ce,IFERROR(MAXIFS('Lớp 6 - Chi tiết'!$AH$14:$AH$267,'Lớp 6 - Chi tiết'!$J$14:$J$267,$I170,'Lớp 6 - Chi tiết'!$AE$14:$AE$267,"&lt;&gt;Hủy",'Lớp 6 - Chi tiết'!$AH$14:$AH$267,"&gt;0"),0),ps,'Trung tâm nhập liệu'!R320,pe,'Trung tâm nhập liệu'!Q320,IF(OR(AD170="",AE170=""),"Thiếu ngày L5",IF(n=0,"Chưa có L6",IF(OR(cs=0,ce=0),"Thiếu ngày L6",IF(OR(ps="",pe=""),"Thiếu ngày kế hoạch gốc L5",IF(OR(cs&lt;ps,ce&gt;pe),"Cảnh báo: Con vượt khung kế hoạch gốc","L6 đúng khung kế hoạch gốc"))))))))))</f>
        <v/>
      </c>
      <c r="AL170" s="465"/>
      <c r="AM170" s="467"/>
      <c r="AN170" s="469"/>
      <c r="AO170" s="470"/>
      <c r="AP170" s="470"/>
      <c r="AQ170" s="471"/>
      <c r="AR170" s="469"/>
      <c r="AS170" s="475"/>
      <c r="AT170" s="476"/>
      <c r="AU170" s="478"/>
      <c r="AV170" s="465"/>
      <c r="AW170" s="465"/>
      <c r="AX170" s="479"/>
    </row>
    <row r="171" ht="15.75" customHeight="1">
      <c r="A171" s="424"/>
      <c r="B171" s="572"/>
      <c r="C171" s="591"/>
      <c r="D171" s="623"/>
      <c r="E171" s="617"/>
      <c r="F171" s="575"/>
      <c r="G171" s="575"/>
      <c r="H171" s="576"/>
      <c r="I171" s="577"/>
      <c r="J171" s="577"/>
      <c r="K171" s="597"/>
      <c r="L171" s="598"/>
      <c r="M171" s="438"/>
      <c r="N171" s="597"/>
      <c r="O171" s="597"/>
      <c r="P171" s="597"/>
      <c r="Q171" s="581"/>
      <c r="R171" s="420"/>
      <c r="S171" s="582"/>
      <c r="T171" s="583"/>
      <c r="U171" s="584" t="str">
        <f>IF($I171="","",LET(n,COUNTIFS('Lớp 6 - Chi tiết'!$J$14:$J$267,$I171,'Lớp 6 - Chi tiết'!$AE$14:$AE$267,"&lt;&gt;Hủy"),child,IFERROR(MAXIFS('Lớp 6 - Chi tiết'!$AH$14:$AH$267,'Lớp 6 - Chi tiết'!$J$14:$J$267,$I171,'Lớp 6 - Chi tiết'!$AE$14:$AE$267,"&lt;&gt;Hủy",'Lớp 6 - Chi tiết'!$AH$14:$AH$267,"&gt;0"),0),plan,'Trung tâm nhập liệu'!Q321,emergent,LOWER(TRIM('Trung tâm nhập liệu'!O321))="khi phát sinh",IF(n=0,IF(emergent,"",plan),IF(child=0,IF(emergent,"",plan),IF(OR(emergent,plan=""),child,MAX(plan,child))))))</f>
        <v/>
      </c>
      <c r="V171" s="584" t="str">
        <f>IF($I171="","",LET(n,COUNTIFS('Lớp 6 - Chi tiết'!$J$14:$J$267,$I171,'Lớp 6 - Chi tiết'!$AE$14:$AE$267,"&lt;&gt;Hủy"),child,IFERROR(MINIFS('Lớp 6 - Chi tiết'!$AG$14:$AG$267,'Lớp 6 - Chi tiết'!$J$14:$J$267,$I171,'Lớp 6 - Chi tiết'!$AE$14:$AE$267,"&lt;&gt;Hủy",'Lớp 6 - Chi tiết'!$AG$14:$AG$267,"&gt;0"),0),plan,'Trung tâm nhập liệu'!R321,emergent,LOWER(TRIM('Trung tâm nhập liệu'!O321))="khi phát sinh",IF(n=0,IF(emergent,"",plan),IF(child=0,IF(emergent,"",plan),IF(OR(emergent,plan=""),child,MIN(plan,child))))))</f>
        <v/>
      </c>
      <c r="W171" s="577"/>
      <c r="X171" s="577"/>
      <c r="Y171" s="585"/>
      <c r="Z171" s="586"/>
      <c r="AA171" s="577"/>
      <c r="AB171" s="572"/>
      <c r="AC171" s="420"/>
      <c r="AD171" s="584"/>
      <c r="AE171" s="584"/>
      <c r="AF171" s="587"/>
      <c r="AG171" s="588"/>
      <c r="AH171" s="587"/>
      <c r="AI171" s="589"/>
      <c r="AJ171" s="468"/>
      <c r="AK171" s="477" t="str">
        <f>IF(AM171="Chưa xếp lịch","Chưa xếp lịch",IF(AM171="Định kỳ",IF(AN171="","Thiếu chu kỳ","Theo chu kỳ"),IF(AM171="Khi phát sinh",IF(COUNTIFS('Lớp 6 - Chi tiết'!$J$14:$J$267,$I171,'Lớp 6 - Chi tiết'!$AE$14:$AE$267,"&lt;&gt;Hủy")=0,"Khi phát sinh – chờ việc con","Khi phát sinh – theo ngày con"),IF(I171="","",LET(n,COUNTIFS('Lớp 6 - Chi tiết'!$J$14:$J$267,$I171,'Lớp 6 - Chi tiết'!$AE$14:$AE$267,"&lt;&gt;Hủy"),cs,IFERROR(MINIFS('Lớp 6 - Chi tiết'!$AG$14:$AG$267,'Lớp 6 - Chi tiết'!$J$14:$J$267,$I171,'Lớp 6 - Chi tiết'!$AE$14:$AE$267,"&lt;&gt;Hủy",'Lớp 6 - Chi tiết'!$AG$14:$AG$267,"&gt;0"),0),ce,IFERROR(MAXIFS('Lớp 6 - Chi tiết'!$AH$14:$AH$267,'Lớp 6 - Chi tiết'!$J$14:$J$267,$I171,'Lớp 6 - Chi tiết'!$AE$14:$AE$267,"&lt;&gt;Hủy",'Lớp 6 - Chi tiết'!$AH$14:$AH$267,"&gt;0"),0),ps,'Trung tâm nhập liệu'!R321,pe,'Trung tâm nhập liệu'!Q321,IF(OR(AD171="",AE171=""),"Thiếu ngày L5",IF(n=0,"Chưa có L6",IF(OR(cs=0,ce=0),"Thiếu ngày L6",IF(OR(ps="",pe=""),"Thiếu ngày kế hoạch gốc L5",IF(OR(cs&lt;ps,ce&gt;pe),"Cảnh báo: Con vượt khung kế hoạch gốc","L6 đúng khung kế hoạch gốc"))))))))))</f>
        <v/>
      </c>
      <c r="AL171" s="465"/>
      <c r="AM171" s="467"/>
      <c r="AN171" s="469"/>
      <c r="AO171" s="470"/>
      <c r="AP171" s="470"/>
      <c r="AQ171" s="471"/>
      <c r="AR171" s="469"/>
      <c r="AS171" s="475"/>
      <c r="AT171" s="476"/>
      <c r="AU171" s="478"/>
      <c r="AV171" s="465"/>
      <c r="AW171" s="465"/>
      <c r="AX171" s="479"/>
    </row>
    <row r="172" ht="15.75" customHeight="1">
      <c r="A172" s="424"/>
      <c r="B172" s="572"/>
      <c r="C172" s="591"/>
      <c r="D172" s="623"/>
      <c r="E172" s="617"/>
      <c r="F172" s="575"/>
      <c r="G172" s="575"/>
      <c r="H172" s="576"/>
      <c r="I172" s="577"/>
      <c r="J172" s="577"/>
      <c r="K172" s="597"/>
      <c r="L172" s="598"/>
      <c r="M172" s="438"/>
      <c r="N172" s="597"/>
      <c r="O172" s="597"/>
      <c r="P172" s="597"/>
      <c r="Q172" s="581"/>
      <c r="R172" s="420"/>
      <c r="S172" s="582"/>
      <c r="T172" s="583"/>
      <c r="U172" s="584" t="str">
        <f>IF($I172="","",LET(n,COUNTIFS('Lớp 6 - Chi tiết'!$J$14:$J$267,$I172,'Lớp 6 - Chi tiết'!$AE$14:$AE$267,"&lt;&gt;Hủy"),child,IFERROR(MAXIFS('Lớp 6 - Chi tiết'!$AH$14:$AH$267,'Lớp 6 - Chi tiết'!$J$14:$J$267,$I172,'Lớp 6 - Chi tiết'!$AE$14:$AE$267,"&lt;&gt;Hủy",'Lớp 6 - Chi tiết'!$AH$14:$AH$267,"&gt;0"),0),plan,'Trung tâm nhập liệu'!Q322,emergent,LOWER(TRIM('Trung tâm nhập liệu'!O322))="khi phát sinh",IF(n=0,IF(emergent,"",plan),IF(child=0,IF(emergent,"",plan),IF(OR(emergent,plan=""),child,MAX(plan,child))))))</f>
        <v/>
      </c>
      <c r="V172" s="584" t="str">
        <f>IF($I172="","",LET(n,COUNTIFS('Lớp 6 - Chi tiết'!$J$14:$J$267,$I172,'Lớp 6 - Chi tiết'!$AE$14:$AE$267,"&lt;&gt;Hủy"),child,IFERROR(MINIFS('Lớp 6 - Chi tiết'!$AG$14:$AG$267,'Lớp 6 - Chi tiết'!$J$14:$J$267,$I172,'Lớp 6 - Chi tiết'!$AE$14:$AE$267,"&lt;&gt;Hủy",'Lớp 6 - Chi tiết'!$AG$14:$AG$267,"&gt;0"),0),plan,'Trung tâm nhập liệu'!R322,emergent,LOWER(TRIM('Trung tâm nhập liệu'!O322))="khi phát sinh",IF(n=0,IF(emergent,"",plan),IF(child=0,IF(emergent,"",plan),IF(OR(emergent,plan=""),child,MIN(plan,child))))))</f>
        <v/>
      </c>
      <c r="W172" s="577"/>
      <c r="X172" s="577"/>
      <c r="Y172" s="585"/>
      <c r="Z172" s="586"/>
      <c r="AA172" s="577"/>
      <c r="AB172" s="572"/>
      <c r="AC172" s="420"/>
      <c r="AD172" s="584"/>
      <c r="AE172" s="584"/>
      <c r="AF172" s="587"/>
      <c r="AG172" s="588"/>
      <c r="AH172" s="587"/>
      <c r="AI172" s="589"/>
      <c r="AJ172" s="468"/>
      <c r="AK172" s="477" t="str">
        <f>IF(AM172="Chưa xếp lịch","Chưa xếp lịch",IF(AM172="Định kỳ",IF(AN172="","Thiếu chu kỳ","Theo chu kỳ"),IF(AM172="Khi phát sinh",IF(COUNTIFS('Lớp 6 - Chi tiết'!$J$14:$J$267,$I172,'Lớp 6 - Chi tiết'!$AE$14:$AE$267,"&lt;&gt;Hủy")=0,"Khi phát sinh – chờ việc con","Khi phát sinh – theo ngày con"),IF(I172="","",LET(n,COUNTIFS('Lớp 6 - Chi tiết'!$J$14:$J$267,$I172,'Lớp 6 - Chi tiết'!$AE$14:$AE$267,"&lt;&gt;Hủy"),cs,IFERROR(MINIFS('Lớp 6 - Chi tiết'!$AG$14:$AG$267,'Lớp 6 - Chi tiết'!$J$14:$J$267,$I172,'Lớp 6 - Chi tiết'!$AE$14:$AE$267,"&lt;&gt;Hủy",'Lớp 6 - Chi tiết'!$AG$14:$AG$267,"&gt;0"),0),ce,IFERROR(MAXIFS('Lớp 6 - Chi tiết'!$AH$14:$AH$267,'Lớp 6 - Chi tiết'!$J$14:$J$267,$I172,'Lớp 6 - Chi tiết'!$AE$14:$AE$267,"&lt;&gt;Hủy",'Lớp 6 - Chi tiết'!$AH$14:$AH$267,"&gt;0"),0),ps,'Trung tâm nhập liệu'!R322,pe,'Trung tâm nhập liệu'!Q322,IF(OR(AD172="",AE172=""),"Thiếu ngày L5",IF(n=0,"Chưa có L6",IF(OR(cs=0,ce=0),"Thiếu ngày L6",IF(OR(ps="",pe=""),"Thiếu ngày kế hoạch gốc L5",IF(OR(cs&lt;ps,ce&gt;pe),"Cảnh báo: Con vượt khung kế hoạch gốc","L6 đúng khung kế hoạch gốc"))))))))))</f>
        <v/>
      </c>
      <c r="AL172" s="465"/>
      <c r="AM172" s="467"/>
      <c r="AN172" s="469"/>
      <c r="AO172" s="470"/>
      <c r="AP172" s="470"/>
      <c r="AQ172" s="471"/>
      <c r="AR172" s="469"/>
      <c r="AS172" s="475"/>
      <c r="AT172" s="476"/>
      <c r="AU172" s="478"/>
      <c r="AV172" s="465"/>
      <c r="AW172" s="465"/>
      <c r="AX172" s="479"/>
    </row>
    <row r="173" ht="15.75" customHeight="1">
      <c r="A173" s="424"/>
      <c r="B173" s="572"/>
      <c r="C173" s="591"/>
      <c r="D173" s="623"/>
      <c r="E173" s="617"/>
      <c r="F173" s="575"/>
      <c r="G173" s="575"/>
      <c r="H173" s="576"/>
      <c r="I173" s="577"/>
      <c r="J173" s="577"/>
      <c r="K173" s="597"/>
      <c r="L173" s="598"/>
      <c r="M173" s="438"/>
      <c r="N173" s="597"/>
      <c r="O173" s="597"/>
      <c r="P173" s="597"/>
      <c r="Q173" s="581"/>
      <c r="R173" s="420"/>
      <c r="S173" s="582"/>
      <c r="T173" s="583"/>
      <c r="U173" s="584" t="str">
        <f>IF($I173="","",LET(n,COUNTIFS('Lớp 6 - Chi tiết'!$J$14:$J$267,$I173,'Lớp 6 - Chi tiết'!$AE$14:$AE$267,"&lt;&gt;Hủy"),child,IFERROR(MAXIFS('Lớp 6 - Chi tiết'!$AH$14:$AH$267,'Lớp 6 - Chi tiết'!$J$14:$J$267,$I173,'Lớp 6 - Chi tiết'!$AE$14:$AE$267,"&lt;&gt;Hủy",'Lớp 6 - Chi tiết'!$AH$14:$AH$267,"&gt;0"),0),plan,'Trung tâm nhập liệu'!Q323,emergent,LOWER(TRIM('Trung tâm nhập liệu'!O323))="khi phát sinh",IF(n=0,IF(emergent,"",plan),IF(child=0,IF(emergent,"",plan),IF(OR(emergent,plan=""),child,MAX(plan,child))))))</f>
        <v/>
      </c>
      <c r="V173" s="584" t="str">
        <f>IF($I173="","",LET(n,COUNTIFS('Lớp 6 - Chi tiết'!$J$14:$J$267,$I173,'Lớp 6 - Chi tiết'!$AE$14:$AE$267,"&lt;&gt;Hủy"),child,IFERROR(MINIFS('Lớp 6 - Chi tiết'!$AG$14:$AG$267,'Lớp 6 - Chi tiết'!$J$14:$J$267,$I173,'Lớp 6 - Chi tiết'!$AE$14:$AE$267,"&lt;&gt;Hủy",'Lớp 6 - Chi tiết'!$AG$14:$AG$267,"&gt;0"),0),plan,'Trung tâm nhập liệu'!R323,emergent,LOWER(TRIM('Trung tâm nhập liệu'!O323))="khi phát sinh",IF(n=0,IF(emergent,"",plan),IF(child=0,IF(emergent,"",plan),IF(OR(emergent,plan=""),child,MIN(plan,child))))))</f>
        <v/>
      </c>
      <c r="W173" s="577"/>
      <c r="X173" s="577"/>
      <c r="Y173" s="585"/>
      <c r="Z173" s="586"/>
      <c r="AA173" s="577"/>
      <c r="AB173" s="572"/>
      <c r="AC173" s="420"/>
      <c r="AD173" s="584"/>
      <c r="AE173" s="584"/>
      <c r="AF173" s="587"/>
      <c r="AG173" s="588"/>
      <c r="AH173" s="587"/>
      <c r="AI173" s="589"/>
      <c r="AJ173" s="468"/>
      <c r="AK173" s="477" t="str">
        <f>IF(AM173="Chưa xếp lịch","Chưa xếp lịch",IF(AM173="Định kỳ",IF(AN173="","Thiếu chu kỳ","Theo chu kỳ"),IF(AM173="Khi phát sinh",IF(COUNTIFS('Lớp 6 - Chi tiết'!$J$14:$J$267,$I173,'Lớp 6 - Chi tiết'!$AE$14:$AE$267,"&lt;&gt;Hủy")=0,"Khi phát sinh – chờ việc con","Khi phát sinh – theo ngày con"),IF(I173="","",LET(n,COUNTIFS('Lớp 6 - Chi tiết'!$J$14:$J$267,$I173,'Lớp 6 - Chi tiết'!$AE$14:$AE$267,"&lt;&gt;Hủy"),cs,IFERROR(MINIFS('Lớp 6 - Chi tiết'!$AG$14:$AG$267,'Lớp 6 - Chi tiết'!$J$14:$J$267,$I173,'Lớp 6 - Chi tiết'!$AE$14:$AE$267,"&lt;&gt;Hủy",'Lớp 6 - Chi tiết'!$AG$14:$AG$267,"&gt;0"),0),ce,IFERROR(MAXIFS('Lớp 6 - Chi tiết'!$AH$14:$AH$267,'Lớp 6 - Chi tiết'!$J$14:$J$267,$I173,'Lớp 6 - Chi tiết'!$AE$14:$AE$267,"&lt;&gt;Hủy",'Lớp 6 - Chi tiết'!$AH$14:$AH$267,"&gt;0"),0),ps,'Trung tâm nhập liệu'!R323,pe,'Trung tâm nhập liệu'!Q323,IF(OR(AD173="",AE173=""),"Thiếu ngày L5",IF(n=0,"Chưa có L6",IF(OR(cs=0,ce=0),"Thiếu ngày L6",IF(OR(ps="",pe=""),"Thiếu ngày kế hoạch gốc L5",IF(OR(cs&lt;ps,ce&gt;pe),"Cảnh báo: Con vượt khung kế hoạch gốc","L6 đúng khung kế hoạch gốc"))))))))))</f>
        <v/>
      </c>
      <c r="AL173" s="465"/>
      <c r="AM173" s="467"/>
      <c r="AN173" s="469"/>
      <c r="AO173" s="470"/>
      <c r="AP173" s="470"/>
      <c r="AQ173" s="471"/>
      <c r="AR173" s="469"/>
      <c r="AS173" s="475"/>
      <c r="AT173" s="476"/>
      <c r="AU173" s="478"/>
      <c r="AV173" s="465"/>
      <c r="AW173" s="465"/>
      <c r="AX173" s="479"/>
    </row>
    <row r="174" ht="15.75" customHeight="1">
      <c r="A174" s="424"/>
      <c r="B174" s="572"/>
      <c r="C174" s="591"/>
      <c r="D174" s="623"/>
      <c r="E174" s="617"/>
      <c r="F174" s="575"/>
      <c r="G174" s="575"/>
      <c r="H174" s="576"/>
      <c r="I174" s="577"/>
      <c r="J174" s="577"/>
      <c r="K174" s="597"/>
      <c r="L174" s="598"/>
      <c r="M174" s="438"/>
      <c r="N174" s="597"/>
      <c r="O174" s="597"/>
      <c r="P174" s="597"/>
      <c r="Q174" s="581"/>
      <c r="R174" s="420"/>
      <c r="S174" s="582"/>
      <c r="T174" s="583"/>
      <c r="U174" s="584" t="str">
        <f>IF($I174="","",LET(n,COUNTIFS('Lớp 6 - Chi tiết'!$J$14:$J$267,$I174,'Lớp 6 - Chi tiết'!$AE$14:$AE$267,"&lt;&gt;Hủy"),child,IFERROR(MAXIFS('Lớp 6 - Chi tiết'!$AH$14:$AH$267,'Lớp 6 - Chi tiết'!$J$14:$J$267,$I174,'Lớp 6 - Chi tiết'!$AE$14:$AE$267,"&lt;&gt;Hủy",'Lớp 6 - Chi tiết'!$AH$14:$AH$267,"&gt;0"),0),plan,'Trung tâm nhập liệu'!Q324,emergent,LOWER(TRIM('Trung tâm nhập liệu'!O324))="khi phát sinh",IF(n=0,IF(emergent,"",plan),IF(child=0,IF(emergent,"",plan),IF(OR(emergent,plan=""),child,MAX(plan,child))))))</f>
        <v/>
      </c>
      <c r="V174" s="584" t="str">
        <f>IF($I174="","",LET(n,COUNTIFS('Lớp 6 - Chi tiết'!$J$14:$J$267,$I174,'Lớp 6 - Chi tiết'!$AE$14:$AE$267,"&lt;&gt;Hủy"),child,IFERROR(MINIFS('Lớp 6 - Chi tiết'!$AG$14:$AG$267,'Lớp 6 - Chi tiết'!$J$14:$J$267,$I174,'Lớp 6 - Chi tiết'!$AE$14:$AE$267,"&lt;&gt;Hủy",'Lớp 6 - Chi tiết'!$AG$14:$AG$267,"&gt;0"),0),plan,'Trung tâm nhập liệu'!R324,emergent,LOWER(TRIM('Trung tâm nhập liệu'!O324))="khi phát sinh",IF(n=0,IF(emergent,"",plan),IF(child=0,IF(emergent,"",plan),IF(OR(emergent,plan=""),child,MIN(plan,child))))))</f>
        <v/>
      </c>
      <c r="W174" s="577"/>
      <c r="X174" s="577"/>
      <c r="Y174" s="585"/>
      <c r="Z174" s="586"/>
      <c r="AA174" s="577"/>
      <c r="AB174" s="572"/>
      <c r="AC174" s="420"/>
      <c r="AD174" s="584"/>
      <c r="AE174" s="584"/>
      <c r="AF174" s="587"/>
      <c r="AG174" s="588"/>
      <c r="AH174" s="587"/>
      <c r="AI174" s="589"/>
      <c r="AJ174" s="468"/>
      <c r="AK174" s="477" t="str">
        <f>IF(AM174="Chưa xếp lịch","Chưa xếp lịch",IF(AM174="Định kỳ",IF(AN174="","Thiếu chu kỳ","Theo chu kỳ"),IF(AM174="Khi phát sinh",IF(COUNTIFS('Lớp 6 - Chi tiết'!$J$14:$J$267,$I174,'Lớp 6 - Chi tiết'!$AE$14:$AE$267,"&lt;&gt;Hủy")=0,"Khi phát sinh – chờ việc con","Khi phát sinh – theo ngày con"),IF(I174="","",LET(n,COUNTIFS('Lớp 6 - Chi tiết'!$J$14:$J$267,$I174,'Lớp 6 - Chi tiết'!$AE$14:$AE$267,"&lt;&gt;Hủy"),cs,IFERROR(MINIFS('Lớp 6 - Chi tiết'!$AG$14:$AG$267,'Lớp 6 - Chi tiết'!$J$14:$J$267,$I174,'Lớp 6 - Chi tiết'!$AE$14:$AE$267,"&lt;&gt;Hủy",'Lớp 6 - Chi tiết'!$AG$14:$AG$267,"&gt;0"),0),ce,IFERROR(MAXIFS('Lớp 6 - Chi tiết'!$AH$14:$AH$267,'Lớp 6 - Chi tiết'!$J$14:$J$267,$I174,'Lớp 6 - Chi tiết'!$AE$14:$AE$267,"&lt;&gt;Hủy",'Lớp 6 - Chi tiết'!$AH$14:$AH$267,"&gt;0"),0),ps,'Trung tâm nhập liệu'!R324,pe,'Trung tâm nhập liệu'!Q324,IF(OR(AD174="",AE174=""),"Thiếu ngày L5",IF(n=0,"Chưa có L6",IF(OR(cs=0,ce=0),"Thiếu ngày L6",IF(OR(ps="",pe=""),"Thiếu ngày kế hoạch gốc L5",IF(OR(cs&lt;ps,ce&gt;pe),"Cảnh báo: Con vượt khung kế hoạch gốc","L6 đúng khung kế hoạch gốc"))))))))))</f>
        <v/>
      </c>
      <c r="AL174" s="465"/>
      <c r="AM174" s="467"/>
      <c r="AN174" s="469"/>
      <c r="AO174" s="470"/>
      <c r="AP174" s="470"/>
      <c r="AQ174" s="471"/>
      <c r="AR174" s="469"/>
      <c r="AS174" s="475"/>
      <c r="AT174" s="476"/>
      <c r="AU174" s="478"/>
      <c r="AV174" s="465"/>
      <c r="AW174" s="465"/>
      <c r="AX174" s="479"/>
    </row>
    <row r="175" ht="15.75" customHeight="1">
      <c r="A175" s="424"/>
      <c r="B175" s="572"/>
      <c r="C175" s="591"/>
      <c r="D175" s="623"/>
      <c r="E175" s="617"/>
      <c r="F175" s="575"/>
      <c r="G175" s="575"/>
      <c r="H175" s="576"/>
      <c r="I175" s="577"/>
      <c r="J175" s="577"/>
      <c r="K175" s="597"/>
      <c r="L175" s="598"/>
      <c r="M175" s="438"/>
      <c r="N175" s="597"/>
      <c r="O175" s="597"/>
      <c r="P175" s="597"/>
      <c r="Q175" s="581"/>
      <c r="R175" s="420"/>
      <c r="S175" s="582"/>
      <c r="T175" s="583"/>
      <c r="U175" s="584" t="str">
        <f>IF($I175="","",LET(n,COUNTIFS('Lớp 6 - Chi tiết'!$J$14:$J$267,$I175,'Lớp 6 - Chi tiết'!$AE$14:$AE$267,"&lt;&gt;Hủy"),child,IFERROR(MAXIFS('Lớp 6 - Chi tiết'!$AH$14:$AH$267,'Lớp 6 - Chi tiết'!$J$14:$J$267,$I175,'Lớp 6 - Chi tiết'!$AE$14:$AE$267,"&lt;&gt;Hủy",'Lớp 6 - Chi tiết'!$AH$14:$AH$267,"&gt;0"),0),plan,'Trung tâm nhập liệu'!Q325,emergent,LOWER(TRIM('Trung tâm nhập liệu'!O325))="khi phát sinh",IF(n=0,IF(emergent,"",plan),IF(child=0,IF(emergent,"",plan),IF(OR(emergent,plan=""),child,MAX(plan,child))))))</f>
        <v/>
      </c>
      <c r="V175" s="584" t="str">
        <f>IF($I175="","",LET(n,COUNTIFS('Lớp 6 - Chi tiết'!$J$14:$J$267,$I175,'Lớp 6 - Chi tiết'!$AE$14:$AE$267,"&lt;&gt;Hủy"),child,IFERROR(MINIFS('Lớp 6 - Chi tiết'!$AG$14:$AG$267,'Lớp 6 - Chi tiết'!$J$14:$J$267,$I175,'Lớp 6 - Chi tiết'!$AE$14:$AE$267,"&lt;&gt;Hủy",'Lớp 6 - Chi tiết'!$AG$14:$AG$267,"&gt;0"),0),plan,'Trung tâm nhập liệu'!R325,emergent,LOWER(TRIM('Trung tâm nhập liệu'!O325))="khi phát sinh",IF(n=0,IF(emergent,"",plan),IF(child=0,IF(emergent,"",plan),IF(OR(emergent,plan=""),child,MIN(plan,child))))))</f>
        <v/>
      </c>
      <c r="W175" s="577"/>
      <c r="X175" s="577"/>
      <c r="Y175" s="585"/>
      <c r="Z175" s="586"/>
      <c r="AA175" s="577"/>
      <c r="AB175" s="572"/>
      <c r="AC175" s="420"/>
      <c r="AD175" s="584"/>
      <c r="AE175" s="584"/>
      <c r="AF175" s="587"/>
      <c r="AG175" s="588"/>
      <c r="AH175" s="587"/>
      <c r="AI175" s="589"/>
      <c r="AJ175" s="468"/>
      <c r="AK175" s="477" t="str">
        <f>IF(AM175="Chưa xếp lịch","Chưa xếp lịch",IF(AM175="Định kỳ",IF(AN175="","Thiếu chu kỳ","Theo chu kỳ"),IF(AM175="Khi phát sinh",IF(COUNTIFS('Lớp 6 - Chi tiết'!$J$14:$J$267,$I175,'Lớp 6 - Chi tiết'!$AE$14:$AE$267,"&lt;&gt;Hủy")=0,"Khi phát sinh – chờ việc con","Khi phát sinh – theo ngày con"),IF(I175="","",LET(n,COUNTIFS('Lớp 6 - Chi tiết'!$J$14:$J$267,$I175,'Lớp 6 - Chi tiết'!$AE$14:$AE$267,"&lt;&gt;Hủy"),cs,IFERROR(MINIFS('Lớp 6 - Chi tiết'!$AG$14:$AG$267,'Lớp 6 - Chi tiết'!$J$14:$J$267,$I175,'Lớp 6 - Chi tiết'!$AE$14:$AE$267,"&lt;&gt;Hủy",'Lớp 6 - Chi tiết'!$AG$14:$AG$267,"&gt;0"),0),ce,IFERROR(MAXIFS('Lớp 6 - Chi tiết'!$AH$14:$AH$267,'Lớp 6 - Chi tiết'!$J$14:$J$267,$I175,'Lớp 6 - Chi tiết'!$AE$14:$AE$267,"&lt;&gt;Hủy",'Lớp 6 - Chi tiết'!$AH$14:$AH$267,"&gt;0"),0),ps,'Trung tâm nhập liệu'!R325,pe,'Trung tâm nhập liệu'!Q325,IF(OR(AD175="",AE175=""),"Thiếu ngày L5",IF(n=0,"Chưa có L6",IF(OR(cs=0,ce=0),"Thiếu ngày L6",IF(OR(ps="",pe=""),"Thiếu ngày kế hoạch gốc L5",IF(OR(cs&lt;ps,ce&gt;pe),"Cảnh báo: Con vượt khung kế hoạch gốc","L6 đúng khung kế hoạch gốc"))))))))))</f>
        <v/>
      </c>
      <c r="AL175" s="465"/>
      <c r="AM175" s="467"/>
      <c r="AN175" s="469"/>
      <c r="AO175" s="470"/>
      <c r="AP175" s="470"/>
      <c r="AQ175" s="471"/>
      <c r="AR175" s="469"/>
      <c r="AS175" s="475"/>
      <c r="AT175" s="476"/>
      <c r="AU175" s="478"/>
      <c r="AV175" s="465"/>
      <c r="AW175" s="465"/>
      <c r="AX175" s="479"/>
    </row>
    <row r="176" ht="15.75" customHeight="1">
      <c r="A176" s="424"/>
      <c r="B176" s="572"/>
      <c r="C176" s="591"/>
      <c r="D176" s="623"/>
      <c r="E176" s="617"/>
      <c r="F176" s="575"/>
      <c r="G176" s="575"/>
      <c r="H176" s="576"/>
      <c r="I176" s="577"/>
      <c r="J176" s="577"/>
      <c r="K176" s="597"/>
      <c r="L176" s="598"/>
      <c r="M176" s="438"/>
      <c r="N176" s="597"/>
      <c r="O176" s="597"/>
      <c r="P176" s="597"/>
      <c r="Q176" s="581"/>
      <c r="R176" s="420"/>
      <c r="S176" s="582"/>
      <c r="T176" s="583"/>
      <c r="U176" s="584" t="str">
        <f>IF($I176="","",LET(n,COUNTIFS('Lớp 6 - Chi tiết'!$J$14:$J$267,$I176,'Lớp 6 - Chi tiết'!$AE$14:$AE$267,"&lt;&gt;Hủy"),child,IFERROR(MAXIFS('Lớp 6 - Chi tiết'!$AH$14:$AH$267,'Lớp 6 - Chi tiết'!$J$14:$J$267,$I176,'Lớp 6 - Chi tiết'!$AE$14:$AE$267,"&lt;&gt;Hủy",'Lớp 6 - Chi tiết'!$AH$14:$AH$267,"&gt;0"),0),plan,'Trung tâm nhập liệu'!Q326,emergent,LOWER(TRIM('Trung tâm nhập liệu'!O326))="khi phát sinh",IF(n=0,IF(emergent,"",plan),IF(child=0,IF(emergent,"",plan),IF(OR(emergent,plan=""),child,MAX(plan,child))))))</f>
        <v/>
      </c>
      <c r="V176" s="584" t="str">
        <f>IF($I176="","",LET(n,COUNTIFS('Lớp 6 - Chi tiết'!$J$14:$J$267,$I176,'Lớp 6 - Chi tiết'!$AE$14:$AE$267,"&lt;&gt;Hủy"),child,IFERROR(MINIFS('Lớp 6 - Chi tiết'!$AG$14:$AG$267,'Lớp 6 - Chi tiết'!$J$14:$J$267,$I176,'Lớp 6 - Chi tiết'!$AE$14:$AE$267,"&lt;&gt;Hủy",'Lớp 6 - Chi tiết'!$AG$14:$AG$267,"&gt;0"),0),plan,'Trung tâm nhập liệu'!R326,emergent,LOWER(TRIM('Trung tâm nhập liệu'!O326))="khi phát sinh",IF(n=0,IF(emergent,"",plan),IF(child=0,IF(emergent,"",plan),IF(OR(emergent,plan=""),child,MIN(plan,child))))))</f>
        <v/>
      </c>
      <c r="W176" s="577"/>
      <c r="X176" s="577"/>
      <c r="Y176" s="585"/>
      <c r="Z176" s="586"/>
      <c r="AA176" s="577"/>
      <c r="AB176" s="572"/>
      <c r="AC176" s="420"/>
      <c r="AD176" s="584"/>
      <c r="AE176" s="584"/>
      <c r="AF176" s="587"/>
      <c r="AG176" s="588"/>
      <c r="AH176" s="587"/>
      <c r="AI176" s="589"/>
      <c r="AJ176" s="468"/>
      <c r="AK176" s="477" t="str">
        <f>IF(AM176="Chưa xếp lịch","Chưa xếp lịch",IF(AM176="Định kỳ",IF(AN176="","Thiếu chu kỳ","Theo chu kỳ"),IF(AM176="Khi phát sinh",IF(COUNTIFS('Lớp 6 - Chi tiết'!$J$14:$J$267,$I176,'Lớp 6 - Chi tiết'!$AE$14:$AE$267,"&lt;&gt;Hủy")=0,"Khi phát sinh – chờ việc con","Khi phát sinh – theo ngày con"),IF(I176="","",LET(n,COUNTIFS('Lớp 6 - Chi tiết'!$J$14:$J$267,$I176,'Lớp 6 - Chi tiết'!$AE$14:$AE$267,"&lt;&gt;Hủy"),cs,IFERROR(MINIFS('Lớp 6 - Chi tiết'!$AG$14:$AG$267,'Lớp 6 - Chi tiết'!$J$14:$J$267,$I176,'Lớp 6 - Chi tiết'!$AE$14:$AE$267,"&lt;&gt;Hủy",'Lớp 6 - Chi tiết'!$AG$14:$AG$267,"&gt;0"),0),ce,IFERROR(MAXIFS('Lớp 6 - Chi tiết'!$AH$14:$AH$267,'Lớp 6 - Chi tiết'!$J$14:$J$267,$I176,'Lớp 6 - Chi tiết'!$AE$14:$AE$267,"&lt;&gt;Hủy",'Lớp 6 - Chi tiết'!$AH$14:$AH$267,"&gt;0"),0),ps,'Trung tâm nhập liệu'!R326,pe,'Trung tâm nhập liệu'!Q326,IF(OR(AD176="",AE176=""),"Thiếu ngày L5",IF(n=0,"Chưa có L6",IF(OR(cs=0,ce=0),"Thiếu ngày L6",IF(OR(ps="",pe=""),"Thiếu ngày kế hoạch gốc L5",IF(OR(cs&lt;ps,ce&gt;pe),"Cảnh báo: Con vượt khung kế hoạch gốc","L6 đúng khung kế hoạch gốc"))))))))))</f>
        <v/>
      </c>
      <c r="AL176" s="465"/>
      <c r="AM176" s="467"/>
      <c r="AN176" s="469"/>
      <c r="AO176" s="470"/>
      <c r="AP176" s="470"/>
      <c r="AQ176" s="471"/>
      <c r="AR176" s="469"/>
      <c r="AS176" s="475"/>
      <c r="AT176" s="476"/>
      <c r="AU176" s="478"/>
      <c r="AV176" s="465"/>
      <c r="AW176" s="465"/>
      <c r="AX176" s="479"/>
    </row>
    <row r="177" ht="15.75" customHeight="1">
      <c r="A177" s="424"/>
      <c r="B177" s="572"/>
      <c r="C177" s="591"/>
      <c r="D177" s="623"/>
      <c r="E177" s="617"/>
      <c r="F177" s="575"/>
      <c r="G177" s="575"/>
      <c r="H177" s="576"/>
      <c r="I177" s="577"/>
      <c r="J177" s="577"/>
      <c r="K177" s="597"/>
      <c r="L177" s="598"/>
      <c r="M177" s="438"/>
      <c r="N177" s="597"/>
      <c r="O177" s="597"/>
      <c r="P177" s="597"/>
      <c r="Q177" s="581"/>
      <c r="R177" s="420"/>
      <c r="S177" s="582"/>
      <c r="T177" s="583"/>
      <c r="U177" s="584" t="str">
        <f>IF($I177="","",LET(n,COUNTIFS('Lớp 6 - Chi tiết'!$J$14:$J$267,$I177,'Lớp 6 - Chi tiết'!$AE$14:$AE$267,"&lt;&gt;Hủy"),child,IFERROR(MAXIFS('Lớp 6 - Chi tiết'!$AH$14:$AH$267,'Lớp 6 - Chi tiết'!$J$14:$J$267,$I177,'Lớp 6 - Chi tiết'!$AE$14:$AE$267,"&lt;&gt;Hủy",'Lớp 6 - Chi tiết'!$AH$14:$AH$267,"&gt;0"),0),plan,'Trung tâm nhập liệu'!Q327,emergent,LOWER(TRIM('Trung tâm nhập liệu'!O327))="khi phát sinh",IF(n=0,IF(emergent,"",plan),IF(child=0,IF(emergent,"",plan),IF(OR(emergent,plan=""),child,MAX(plan,child))))))</f>
        <v/>
      </c>
      <c r="V177" s="584" t="str">
        <f>IF($I177="","",LET(n,COUNTIFS('Lớp 6 - Chi tiết'!$J$14:$J$267,$I177,'Lớp 6 - Chi tiết'!$AE$14:$AE$267,"&lt;&gt;Hủy"),child,IFERROR(MINIFS('Lớp 6 - Chi tiết'!$AG$14:$AG$267,'Lớp 6 - Chi tiết'!$J$14:$J$267,$I177,'Lớp 6 - Chi tiết'!$AE$14:$AE$267,"&lt;&gt;Hủy",'Lớp 6 - Chi tiết'!$AG$14:$AG$267,"&gt;0"),0),plan,'Trung tâm nhập liệu'!R327,emergent,LOWER(TRIM('Trung tâm nhập liệu'!O327))="khi phát sinh",IF(n=0,IF(emergent,"",plan),IF(child=0,IF(emergent,"",plan),IF(OR(emergent,plan=""),child,MIN(plan,child))))))</f>
        <v/>
      </c>
      <c r="W177" s="577"/>
      <c r="X177" s="577"/>
      <c r="Y177" s="585"/>
      <c r="Z177" s="586"/>
      <c r="AA177" s="577"/>
      <c r="AB177" s="572"/>
      <c r="AC177" s="420"/>
      <c r="AD177" s="584"/>
      <c r="AE177" s="584"/>
      <c r="AF177" s="587"/>
      <c r="AG177" s="588"/>
      <c r="AH177" s="587"/>
      <c r="AI177" s="589"/>
      <c r="AJ177" s="468"/>
      <c r="AK177" s="477" t="str">
        <f>IF(AM177="Chưa xếp lịch","Chưa xếp lịch",IF(AM177="Định kỳ",IF(AN177="","Thiếu chu kỳ","Theo chu kỳ"),IF(AM177="Khi phát sinh",IF(COUNTIFS('Lớp 6 - Chi tiết'!$J$14:$J$267,$I177,'Lớp 6 - Chi tiết'!$AE$14:$AE$267,"&lt;&gt;Hủy")=0,"Khi phát sinh – chờ việc con","Khi phát sinh – theo ngày con"),IF(I177="","",LET(n,COUNTIFS('Lớp 6 - Chi tiết'!$J$14:$J$267,$I177,'Lớp 6 - Chi tiết'!$AE$14:$AE$267,"&lt;&gt;Hủy"),cs,IFERROR(MINIFS('Lớp 6 - Chi tiết'!$AG$14:$AG$267,'Lớp 6 - Chi tiết'!$J$14:$J$267,$I177,'Lớp 6 - Chi tiết'!$AE$14:$AE$267,"&lt;&gt;Hủy",'Lớp 6 - Chi tiết'!$AG$14:$AG$267,"&gt;0"),0),ce,IFERROR(MAXIFS('Lớp 6 - Chi tiết'!$AH$14:$AH$267,'Lớp 6 - Chi tiết'!$J$14:$J$267,$I177,'Lớp 6 - Chi tiết'!$AE$14:$AE$267,"&lt;&gt;Hủy",'Lớp 6 - Chi tiết'!$AH$14:$AH$267,"&gt;0"),0),ps,'Trung tâm nhập liệu'!R327,pe,'Trung tâm nhập liệu'!Q327,IF(OR(AD177="",AE177=""),"Thiếu ngày L5",IF(n=0,"Chưa có L6",IF(OR(cs=0,ce=0),"Thiếu ngày L6",IF(OR(ps="",pe=""),"Thiếu ngày kế hoạch gốc L5",IF(OR(cs&lt;ps,ce&gt;pe),"Cảnh báo: Con vượt khung kế hoạch gốc","L6 đúng khung kế hoạch gốc"))))))))))</f>
        <v/>
      </c>
      <c r="AL177" s="465"/>
      <c r="AM177" s="467"/>
      <c r="AN177" s="469"/>
      <c r="AO177" s="470"/>
      <c r="AP177" s="470"/>
      <c r="AQ177" s="471"/>
      <c r="AR177" s="469"/>
      <c r="AS177" s="475"/>
      <c r="AT177" s="476"/>
      <c r="AU177" s="478"/>
      <c r="AV177" s="465"/>
      <c r="AW177" s="465"/>
      <c r="AX177" s="479"/>
    </row>
    <row r="178" ht="15.75" customHeight="1">
      <c r="A178" s="424"/>
      <c r="B178" s="572"/>
      <c r="C178" s="591"/>
      <c r="D178" s="623"/>
      <c r="E178" s="617"/>
      <c r="F178" s="575"/>
      <c r="G178" s="575"/>
      <c r="H178" s="576"/>
      <c r="I178" s="577"/>
      <c r="J178" s="577"/>
      <c r="K178" s="597"/>
      <c r="L178" s="598"/>
      <c r="M178" s="438"/>
      <c r="N178" s="597"/>
      <c r="O178" s="597"/>
      <c r="P178" s="597"/>
      <c r="Q178" s="581"/>
      <c r="R178" s="420"/>
      <c r="S178" s="582"/>
      <c r="T178" s="583"/>
      <c r="U178" s="584" t="str">
        <f>IF($I178="","",LET(n,COUNTIFS('Lớp 6 - Chi tiết'!$J$14:$J$267,$I178,'Lớp 6 - Chi tiết'!$AE$14:$AE$267,"&lt;&gt;Hủy"),child,IFERROR(MAXIFS('Lớp 6 - Chi tiết'!$AH$14:$AH$267,'Lớp 6 - Chi tiết'!$J$14:$J$267,$I178,'Lớp 6 - Chi tiết'!$AE$14:$AE$267,"&lt;&gt;Hủy",'Lớp 6 - Chi tiết'!$AH$14:$AH$267,"&gt;0"),0),plan,'Trung tâm nhập liệu'!Q328,emergent,LOWER(TRIM('Trung tâm nhập liệu'!O328))="khi phát sinh",IF(n=0,IF(emergent,"",plan),IF(child=0,IF(emergent,"",plan),IF(OR(emergent,plan=""),child,MAX(plan,child))))))</f>
        <v/>
      </c>
      <c r="V178" s="584" t="str">
        <f>IF($I178="","",LET(n,COUNTIFS('Lớp 6 - Chi tiết'!$J$14:$J$267,$I178,'Lớp 6 - Chi tiết'!$AE$14:$AE$267,"&lt;&gt;Hủy"),child,IFERROR(MINIFS('Lớp 6 - Chi tiết'!$AG$14:$AG$267,'Lớp 6 - Chi tiết'!$J$14:$J$267,$I178,'Lớp 6 - Chi tiết'!$AE$14:$AE$267,"&lt;&gt;Hủy",'Lớp 6 - Chi tiết'!$AG$14:$AG$267,"&gt;0"),0),plan,'Trung tâm nhập liệu'!R328,emergent,LOWER(TRIM('Trung tâm nhập liệu'!O328))="khi phát sinh",IF(n=0,IF(emergent,"",plan),IF(child=0,IF(emergent,"",plan),IF(OR(emergent,plan=""),child,MIN(plan,child))))))</f>
        <v/>
      </c>
      <c r="W178" s="577"/>
      <c r="X178" s="577"/>
      <c r="Y178" s="585"/>
      <c r="Z178" s="586"/>
      <c r="AA178" s="577"/>
      <c r="AB178" s="572"/>
      <c r="AC178" s="420"/>
      <c r="AD178" s="584"/>
      <c r="AE178" s="584"/>
      <c r="AF178" s="587"/>
      <c r="AG178" s="588"/>
      <c r="AH178" s="587"/>
      <c r="AI178" s="589"/>
      <c r="AJ178" s="468"/>
      <c r="AK178" s="477" t="str">
        <f>IF(AM178="Chưa xếp lịch","Chưa xếp lịch",IF(AM178="Định kỳ",IF(AN178="","Thiếu chu kỳ","Theo chu kỳ"),IF(AM178="Khi phát sinh",IF(COUNTIFS('Lớp 6 - Chi tiết'!$J$14:$J$267,$I178,'Lớp 6 - Chi tiết'!$AE$14:$AE$267,"&lt;&gt;Hủy")=0,"Khi phát sinh – chờ việc con","Khi phát sinh – theo ngày con"),IF(I178="","",LET(n,COUNTIFS('Lớp 6 - Chi tiết'!$J$14:$J$267,$I178,'Lớp 6 - Chi tiết'!$AE$14:$AE$267,"&lt;&gt;Hủy"),cs,IFERROR(MINIFS('Lớp 6 - Chi tiết'!$AG$14:$AG$267,'Lớp 6 - Chi tiết'!$J$14:$J$267,$I178,'Lớp 6 - Chi tiết'!$AE$14:$AE$267,"&lt;&gt;Hủy",'Lớp 6 - Chi tiết'!$AG$14:$AG$267,"&gt;0"),0),ce,IFERROR(MAXIFS('Lớp 6 - Chi tiết'!$AH$14:$AH$267,'Lớp 6 - Chi tiết'!$J$14:$J$267,$I178,'Lớp 6 - Chi tiết'!$AE$14:$AE$267,"&lt;&gt;Hủy",'Lớp 6 - Chi tiết'!$AH$14:$AH$267,"&gt;0"),0),ps,'Trung tâm nhập liệu'!R328,pe,'Trung tâm nhập liệu'!Q328,IF(OR(AD178="",AE178=""),"Thiếu ngày L5",IF(n=0,"Chưa có L6",IF(OR(cs=0,ce=0),"Thiếu ngày L6",IF(OR(ps="",pe=""),"Thiếu ngày kế hoạch gốc L5",IF(OR(cs&lt;ps,ce&gt;pe),"Cảnh báo: Con vượt khung kế hoạch gốc","L6 đúng khung kế hoạch gốc"))))))))))</f>
        <v/>
      </c>
      <c r="AL178" s="465"/>
      <c r="AM178" s="467"/>
      <c r="AN178" s="469"/>
      <c r="AO178" s="470"/>
      <c r="AP178" s="470"/>
      <c r="AQ178" s="471"/>
      <c r="AR178" s="469"/>
      <c r="AS178" s="475"/>
      <c r="AT178" s="476"/>
      <c r="AU178" s="478"/>
      <c r="AV178" s="465"/>
      <c r="AW178" s="465"/>
      <c r="AX178" s="479"/>
    </row>
    <row r="179" ht="15.75" customHeight="1">
      <c r="A179" s="424"/>
      <c r="B179" s="572"/>
      <c r="C179" s="591"/>
      <c r="D179" s="623"/>
      <c r="E179" s="617"/>
      <c r="F179" s="575"/>
      <c r="G179" s="575"/>
      <c r="H179" s="576"/>
      <c r="I179" s="577"/>
      <c r="J179" s="577"/>
      <c r="K179" s="597"/>
      <c r="L179" s="598"/>
      <c r="M179" s="438"/>
      <c r="N179" s="597"/>
      <c r="O179" s="597"/>
      <c r="P179" s="597"/>
      <c r="Q179" s="581"/>
      <c r="R179" s="420"/>
      <c r="S179" s="582"/>
      <c r="T179" s="583"/>
      <c r="U179" s="584" t="str">
        <f>IF($I179="","",LET(n,COUNTIFS('Lớp 6 - Chi tiết'!$J$14:$J$267,$I179,'Lớp 6 - Chi tiết'!$AE$14:$AE$267,"&lt;&gt;Hủy"),child,IFERROR(MAXIFS('Lớp 6 - Chi tiết'!$AH$14:$AH$267,'Lớp 6 - Chi tiết'!$J$14:$J$267,$I179,'Lớp 6 - Chi tiết'!$AE$14:$AE$267,"&lt;&gt;Hủy",'Lớp 6 - Chi tiết'!$AH$14:$AH$267,"&gt;0"),0),plan,'Trung tâm nhập liệu'!Q329,emergent,LOWER(TRIM('Trung tâm nhập liệu'!O329))="khi phát sinh",IF(n=0,IF(emergent,"",plan),IF(child=0,IF(emergent,"",plan),IF(OR(emergent,plan=""),child,MAX(plan,child))))))</f>
        <v/>
      </c>
      <c r="V179" s="584" t="str">
        <f>IF($I179="","",LET(n,COUNTIFS('Lớp 6 - Chi tiết'!$J$14:$J$267,$I179,'Lớp 6 - Chi tiết'!$AE$14:$AE$267,"&lt;&gt;Hủy"),child,IFERROR(MINIFS('Lớp 6 - Chi tiết'!$AG$14:$AG$267,'Lớp 6 - Chi tiết'!$J$14:$J$267,$I179,'Lớp 6 - Chi tiết'!$AE$14:$AE$267,"&lt;&gt;Hủy",'Lớp 6 - Chi tiết'!$AG$14:$AG$267,"&gt;0"),0),plan,'Trung tâm nhập liệu'!R329,emergent,LOWER(TRIM('Trung tâm nhập liệu'!O329))="khi phát sinh",IF(n=0,IF(emergent,"",plan),IF(child=0,IF(emergent,"",plan),IF(OR(emergent,plan=""),child,MIN(plan,child))))))</f>
        <v/>
      </c>
      <c r="W179" s="577"/>
      <c r="X179" s="577"/>
      <c r="Y179" s="585"/>
      <c r="Z179" s="586"/>
      <c r="AA179" s="577"/>
      <c r="AB179" s="572"/>
      <c r="AC179" s="420"/>
      <c r="AD179" s="584"/>
      <c r="AE179" s="584"/>
      <c r="AF179" s="587"/>
      <c r="AG179" s="588"/>
      <c r="AH179" s="587"/>
      <c r="AI179" s="589"/>
      <c r="AJ179" s="468"/>
      <c r="AK179" s="477" t="str">
        <f>IF(AM179="Chưa xếp lịch","Chưa xếp lịch",IF(AM179="Định kỳ",IF(AN179="","Thiếu chu kỳ","Theo chu kỳ"),IF(AM179="Khi phát sinh",IF(COUNTIFS('Lớp 6 - Chi tiết'!$J$14:$J$267,$I179,'Lớp 6 - Chi tiết'!$AE$14:$AE$267,"&lt;&gt;Hủy")=0,"Khi phát sinh – chờ việc con","Khi phát sinh – theo ngày con"),IF(I179="","",LET(n,COUNTIFS('Lớp 6 - Chi tiết'!$J$14:$J$267,$I179,'Lớp 6 - Chi tiết'!$AE$14:$AE$267,"&lt;&gt;Hủy"),cs,IFERROR(MINIFS('Lớp 6 - Chi tiết'!$AG$14:$AG$267,'Lớp 6 - Chi tiết'!$J$14:$J$267,$I179,'Lớp 6 - Chi tiết'!$AE$14:$AE$267,"&lt;&gt;Hủy",'Lớp 6 - Chi tiết'!$AG$14:$AG$267,"&gt;0"),0),ce,IFERROR(MAXIFS('Lớp 6 - Chi tiết'!$AH$14:$AH$267,'Lớp 6 - Chi tiết'!$J$14:$J$267,$I179,'Lớp 6 - Chi tiết'!$AE$14:$AE$267,"&lt;&gt;Hủy",'Lớp 6 - Chi tiết'!$AH$14:$AH$267,"&gt;0"),0),ps,'Trung tâm nhập liệu'!R329,pe,'Trung tâm nhập liệu'!Q329,IF(OR(AD179="",AE179=""),"Thiếu ngày L5",IF(n=0,"Chưa có L6",IF(OR(cs=0,ce=0),"Thiếu ngày L6",IF(OR(ps="",pe=""),"Thiếu ngày kế hoạch gốc L5",IF(OR(cs&lt;ps,ce&gt;pe),"Cảnh báo: Con vượt khung kế hoạch gốc","L6 đúng khung kế hoạch gốc"))))))))))</f>
        <v/>
      </c>
      <c r="AL179" s="465"/>
      <c r="AM179" s="467"/>
      <c r="AN179" s="469"/>
      <c r="AO179" s="470"/>
      <c r="AP179" s="470"/>
      <c r="AQ179" s="471"/>
      <c r="AR179" s="469"/>
      <c r="AS179" s="475"/>
      <c r="AT179" s="476"/>
      <c r="AU179" s="478"/>
      <c r="AV179" s="465"/>
      <c r="AW179" s="465"/>
      <c r="AX179" s="479"/>
    </row>
    <row r="180" ht="15.75" customHeight="1">
      <c r="A180" s="424"/>
      <c r="B180" s="572"/>
      <c r="C180" s="591"/>
      <c r="D180" s="623"/>
      <c r="E180" s="617"/>
      <c r="F180" s="575"/>
      <c r="G180" s="575"/>
      <c r="H180" s="576"/>
      <c r="I180" s="577"/>
      <c r="J180" s="577"/>
      <c r="K180" s="597"/>
      <c r="L180" s="598"/>
      <c r="M180" s="438"/>
      <c r="N180" s="597"/>
      <c r="O180" s="597"/>
      <c r="P180" s="597"/>
      <c r="Q180" s="581"/>
      <c r="R180" s="420"/>
      <c r="S180" s="582"/>
      <c r="T180" s="583"/>
      <c r="U180" s="584" t="str">
        <f>IF($I180="","",LET(n,COUNTIFS('Lớp 6 - Chi tiết'!$J$14:$J$267,$I180,'Lớp 6 - Chi tiết'!$AE$14:$AE$267,"&lt;&gt;Hủy"),child,IFERROR(MAXIFS('Lớp 6 - Chi tiết'!$AH$14:$AH$267,'Lớp 6 - Chi tiết'!$J$14:$J$267,$I180,'Lớp 6 - Chi tiết'!$AE$14:$AE$267,"&lt;&gt;Hủy",'Lớp 6 - Chi tiết'!$AH$14:$AH$267,"&gt;0"),0),plan,'Trung tâm nhập liệu'!Q330,emergent,LOWER(TRIM('Trung tâm nhập liệu'!O330))="khi phát sinh",IF(n=0,IF(emergent,"",plan),IF(child=0,IF(emergent,"",plan),IF(OR(emergent,plan=""),child,MAX(plan,child))))))</f>
        <v/>
      </c>
      <c r="V180" s="584" t="str">
        <f>IF($I180="","",LET(n,COUNTIFS('Lớp 6 - Chi tiết'!$J$14:$J$267,$I180,'Lớp 6 - Chi tiết'!$AE$14:$AE$267,"&lt;&gt;Hủy"),child,IFERROR(MINIFS('Lớp 6 - Chi tiết'!$AG$14:$AG$267,'Lớp 6 - Chi tiết'!$J$14:$J$267,$I180,'Lớp 6 - Chi tiết'!$AE$14:$AE$267,"&lt;&gt;Hủy",'Lớp 6 - Chi tiết'!$AG$14:$AG$267,"&gt;0"),0),plan,'Trung tâm nhập liệu'!R330,emergent,LOWER(TRIM('Trung tâm nhập liệu'!O330))="khi phát sinh",IF(n=0,IF(emergent,"",plan),IF(child=0,IF(emergent,"",plan),IF(OR(emergent,plan=""),child,MIN(plan,child))))))</f>
        <v/>
      </c>
      <c r="W180" s="577"/>
      <c r="X180" s="577"/>
      <c r="Y180" s="585"/>
      <c r="Z180" s="586"/>
      <c r="AA180" s="577"/>
      <c r="AB180" s="572"/>
      <c r="AC180" s="420"/>
      <c r="AD180" s="584"/>
      <c r="AE180" s="584"/>
      <c r="AF180" s="587"/>
      <c r="AG180" s="588"/>
      <c r="AH180" s="587"/>
      <c r="AI180" s="589"/>
      <c r="AJ180" s="468"/>
      <c r="AK180" s="477" t="str">
        <f>IF(AM180="Chưa xếp lịch","Chưa xếp lịch",IF(AM180="Định kỳ",IF(AN180="","Thiếu chu kỳ","Theo chu kỳ"),IF(AM180="Khi phát sinh",IF(COUNTIFS('Lớp 6 - Chi tiết'!$J$14:$J$267,$I180,'Lớp 6 - Chi tiết'!$AE$14:$AE$267,"&lt;&gt;Hủy")=0,"Khi phát sinh – chờ việc con","Khi phát sinh – theo ngày con"),IF(I180="","",LET(n,COUNTIFS('Lớp 6 - Chi tiết'!$J$14:$J$267,$I180,'Lớp 6 - Chi tiết'!$AE$14:$AE$267,"&lt;&gt;Hủy"),cs,IFERROR(MINIFS('Lớp 6 - Chi tiết'!$AG$14:$AG$267,'Lớp 6 - Chi tiết'!$J$14:$J$267,$I180,'Lớp 6 - Chi tiết'!$AE$14:$AE$267,"&lt;&gt;Hủy",'Lớp 6 - Chi tiết'!$AG$14:$AG$267,"&gt;0"),0),ce,IFERROR(MAXIFS('Lớp 6 - Chi tiết'!$AH$14:$AH$267,'Lớp 6 - Chi tiết'!$J$14:$J$267,$I180,'Lớp 6 - Chi tiết'!$AE$14:$AE$267,"&lt;&gt;Hủy",'Lớp 6 - Chi tiết'!$AH$14:$AH$267,"&gt;0"),0),ps,'Trung tâm nhập liệu'!R330,pe,'Trung tâm nhập liệu'!Q330,IF(OR(AD180="",AE180=""),"Thiếu ngày L5",IF(n=0,"Chưa có L6",IF(OR(cs=0,ce=0),"Thiếu ngày L6",IF(OR(ps="",pe=""),"Thiếu ngày kế hoạch gốc L5",IF(OR(cs&lt;ps,ce&gt;pe),"Cảnh báo: Con vượt khung kế hoạch gốc","L6 đúng khung kế hoạch gốc"))))))))))</f>
        <v/>
      </c>
      <c r="AL180" s="465"/>
      <c r="AM180" s="467"/>
      <c r="AN180" s="469"/>
      <c r="AO180" s="470"/>
      <c r="AP180" s="470"/>
      <c r="AQ180" s="471"/>
      <c r="AR180" s="469"/>
      <c r="AS180" s="475"/>
      <c r="AT180" s="476"/>
      <c r="AU180" s="478"/>
      <c r="AV180" s="465"/>
      <c r="AW180" s="465"/>
      <c r="AX180" s="479"/>
    </row>
    <row r="181" ht="15.75" customHeight="1">
      <c r="A181" s="424"/>
      <c r="B181" s="572"/>
      <c r="C181" s="591"/>
      <c r="D181" s="623"/>
      <c r="E181" s="617"/>
      <c r="F181" s="575"/>
      <c r="G181" s="575"/>
      <c r="H181" s="576"/>
      <c r="I181" s="577"/>
      <c r="J181" s="577"/>
      <c r="K181" s="597"/>
      <c r="L181" s="598"/>
      <c r="M181" s="438"/>
      <c r="N181" s="597"/>
      <c r="O181" s="597"/>
      <c r="P181" s="597"/>
      <c r="Q181" s="581"/>
      <c r="R181" s="420"/>
      <c r="S181" s="582"/>
      <c r="T181" s="583"/>
      <c r="U181" s="584" t="str">
        <f>IF($I181="","",LET(n,COUNTIFS('Lớp 6 - Chi tiết'!$J$14:$J$267,$I181,'Lớp 6 - Chi tiết'!$AE$14:$AE$267,"&lt;&gt;Hủy"),child,IFERROR(MAXIFS('Lớp 6 - Chi tiết'!$AH$14:$AH$267,'Lớp 6 - Chi tiết'!$J$14:$J$267,$I181,'Lớp 6 - Chi tiết'!$AE$14:$AE$267,"&lt;&gt;Hủy",'Lớp 6 - Chi tiết'!$AH$14:$AH$267,"&gt;0"),0),plan,'Trung tâm nhập liệu'!Q331,emergent,LOWER(TRIM('Trung tâm nhập liệu'!O331))="khi phát sinh",IF(n=0,IF(emergent,"",plan),IF(child=0,IF(emergent,"",plan),IF(OR(emergent,plan=""),child,MAX(plan,child))))))</f>
        <v/>
      </c>
      <c r="V181" s="584" t="str">
        <f>IF($I181="","",LET(n,COUNTIFS('Lớp 6 - Chi tiết'!$J$14:$J$267,$I181,'Lớp 6 - Chi tiết'!$AE$14:$AE$267,"&lt;&gt;Hủy"),child,IFERROR(MINIFS('Lớp 6 - Chi tiết'!$AG$14:$AG$267,'Lớp 6 - Chi tiết'!$J$14:$J$267,$I181,'Lớp 6 - Chi tiết'!$AE$14:$AE$267,"&lt;&gt;Hủy",'Lớp 6 - Chi tiết'!$AG$14:$AG$267,"&gt;0"),0),plan,'Trung tâm nhập liệu'!R331,emergent,LOWER(TRIM('Trung tâm nhập liệu'!O331))="khi phát sinh",IF(n=0,IF(emergent,"",plan),IF(child=0,IF(emergent,"",plan),IF(OR(emergent,plan=""),child,MIN(plan,child))))))</f>
        <v/>
      </c>
      <c r="W181" s="577"/>
      <c r="X181" s="577"/>
      <c r="Y181" s="585"/>
      <c r="Z181" s="586"/>
      <c r="AA181" s="577"/>
      <c r="AB181" s="572"/>
      <c r="AC181" s="420"/>
      <c r="AD181" s="584"/>
      <c r="AE181" s="584"/>
      <c r="AF181" s="587"/>
      <c r="AG181" s="588"/>
      <c r="AH181" s="587"/>
      <c r="AI181" s="589"/>
      <c r="AJ181" s="468"/>
      <c r="AK181" s="477" t="str">
        <f>IF(AM181="Chưa xếp lịch","Chưa xếp lịch",IF(AM181="Định kỳ",IF(AN181="","Thiếu chu kỳ","Theo chu kỳ"),IF(AM181="Khi phát sinh",IF(COUNTIFS('Lớp 6 - Chi tiết'!$J$14:$J$267,$I181,'Lớp 6 - Chi tiết'!$AE$14:$AE$267,"&lt;&gt;Hủy")=0,"Khi phát sinh – chờ việc con","Khi phát sinh – theo ngày con"),IF(I181="","",LET(n,COUNTIFS('Lớp 6 - Chi tiết'!$J$14:$J$267,$I181,'Lớp 6 - Chi tiết'!$AE$14:$AE$267,"&lt;&gt;Hủy"),cs,IFERROR(MINIFS('Lớp 6 - Chi tiết'!$AG$14:$AG$267,'Lớp 6 - Chi tiết'!$J$14:$J$267,$I181,'Lớp 6 - Chi tiết'!$AE$14:$AE$267,"&lt;&gt;Hủy",'Lớp 6 - Chi tiết'!$AG$14:$AG$267,"&gt;0"),0),ce,IFERROR(MAXIFS('Lớp 6 - Chi tiết'!$AH$14:$AH$267,'Lớp 6 - Chi tiết'!$J$14:$J$267,$I181,'Lớp 6 - Chi tiết'!$AE$14:$AE$267,"&lt;&gt;Hủy",'Lớp 6 - Chi tiết'!$AH$14:$AH$267,"&gt;0"),0),ps,'Trung tâm nhập liệu'!R331,pe,'Trung tâm nhập liệu'!Q331,IF(OR(AD181="",AE181=""),"Thiếu ngày L5",IF(n=0,"Chưa có L6",IF(OR(cs=0,ce=0),"Thiếu ngày L6",IF(OR(ps="",pe=""),"Thiếu ngày kế hoạch gốc L5",IF(OR(cs&lt;ps,ce&gt;pe),"Cảnh báo: Con vượt khung kế hoạch gốc","L6 đúng khung kế hoạch gốc"))))))))))</f>
        <v/>
      </c>
      <c r="AL181" s="465"/>
      <c r="AM181" s="467"/>
      <c r="AN181" s="469"/>
      <c r="AO181" s="470"/>
      <c r="AP181" s="470"/>
      <c r="AQ181" s="471"/>
      <c r="AR181" s="469"/>
      <c r="AS181" s="475"/>
      <c r="AT181" s="476"/>
      <c r="AU181" s="478"/>
      <c r="AV181" s="465"/>
      <c r="AW181" s="465"/>
      <c r="AX181" s="479"/>
    </row>
    <row r="182" ht="15.75" customHeight="1">
      <c r="A182" s="424"/>
      <c r="B182" s="572"/>
      <c r="C182" s="591"/>
      <c r="D182" s="623"/>
      <c r="E182" s="617"/>
      <c r="F182" s="575"/>
      <c r="G182" s="575"/>
      <c r="H182" s="576"/>
      <c r="I182" s="577"/>
      <c r="J182" s="577"/>
      <c r="K182" s="597"/>
      <c r="L182" s="598"/>
      <c r="M182" s="438"/>
      <c r="N182" s="597"/>
      <c r="O182" s="597"/>
      <c r="P182" s="597"/>
      <c r="Q182" s="581"/>
      <c r="R182" s="420"/>
      <c r="S182" s="582"/>
      <c r="T182" s="583"/>
      <c r="U182" s="584" t="str">
        <f>IF($I182="","",LET(n,COUNTIFS('Lớp 6 - Chi tiết'!$J$14:$J$267,$I182,'Lớp 6 - Chi tiết'!$AE$14:$AE$267,"&lt;&gt;Hủy"),child,IFERROR(MAXIFS('Lớp 6 - Chi tiết'!$AH$14:$AH$267,'Lớp 6 - Chi tiết'!$J$14:$J$267,$I182,'Lớp 6 - Chi tiết'!$AE$14:$AE$267,"&lt;&gt;Hủy",'Lớp 6 - Chi tiết'!$AH$14:$AH$267,"&gt;0"),0),plan,'Trung tâm nhập liệu'!Q332,emergent,LOWER(TRIM('Trung tâm nhập liệu'!O332))="khi phát sinh",IF(n=0,IF(emergent,"",plan),IF(child=0,IF(emergent,"",plan),IF(OR(emergent,plan=""),child,MAX(plan,child))))))</f>
        <v/>
      </c>
      <c r="V182" s="584" t="str">
        <f>IF($I182="","",LET(n,COUNTIFS('Lớp 6 - Chi tiết'!$J$14:$J$267,$I182,'Lớp 6 - Chi tiết'!$AE$14:$AE$267,"&lt;&gt;Hủy"),child,IFERROR(MINIFS('Lớp 6 - Chi tiết'!$AG$14:$AG$267,'Lớp 6 - Chi tiết'!$J$14:$J$267,$I182,'Lớp 6 - Chi tiết'!$AE$14:$AE$267,"&lt;&gt;Hủy",'Lớp 6 - Chi tiết'!$AG$14:$AG$267,"&gt;0"),0),plan,'Trung tâm nhập liệu'!R332,emergent,LOWER(TRIM('Trung tâm nhập liệu'!O332))="khi phát sinh",IF(n=0,IF(emergent,"",plan),IF(child=0,IF(emergent,"",plan),IF(OR(emergent,plan=""),child,MIN(plan,child))))))</f>
        <v/>
      </c>
      <c r="W182" s="577"/>
      <c r="X182" s="577"/>
      <c r="Y182" s="585"/>
      <c r="Z182" s="586"/>
      <c r="AA182" s="577"/>
      <c r="AB182" s="572"/>
      <c r="AC182" s="420"/>
      <c r="AD182" s="584"/>
      <c r="AE182" s="584"/>
      <c r="AF182" s="587"/>
      <c r="AG182" s="588"/>
      <c r="AH182" s="587"/>
      <c r="AI182" s="589"/>
      <c r="AJ182" s="468"/>
      <c r="AK182" s="477" t="str">
        <f>IF(AM182="Chưa xếp lịch","Chưa xếp lịch",IF(AM182="Định kỳ",IF(AN182="","Thiếu chu kỳ","Theo chu kỳ"),IF(AM182="Khi phát sinh",IF(COUNTIFS('Lớp 6 - Chi tiết'!$J$14:$J$267,$I182,'Lớp 6 - Chi tiết'!$AE$14:$AE$267,"&lt;&gt;Hủy")=0,"Khi phát sinh – chờ việc con","Khi phát sinh – theo ngày con"),IF(I182="","",LET(n,COUNTIFS('Lớp 6 - Chi tiết'!$J$14:$J$267,$I182,'Lớp 6 - Chi tiết'!$AE$14:$AE$267,"&lt;&gt;Hủy"),cs,IFERROR(MINIFS('Lớp 6 - Chi tiết'!$AG$14:$AG$267,'Lớp 6 - Chi tiết'!$J$14:$J$267,$I182,'Lớp 6 - Chi tiết'!$AE$14:$AE$267,"&lt;&gt;Hủy",'Lớp 6 - Chi tiết'!$AG$14:$AG$267,"&gt;0"),0),ce,IFERROR(MAXIFS('Lớp 6 - Chi tiết'!$AH$14:$AH$267,'Lớp 6 - Chi tiết'!$J$14:$J$267,$I182,'Lớp 6 - Chi tiết'!$AE$14:$AE$267,"&lt;&gt;Hủy",'Lớp 6 - Chi tiết'!$AH$14:$AH$267,"&gt;0"),0),ps,'Trung tâm nhập liệu'!R332,pe,'Trung tâm nhập liệu'!Q332,IF(OR(AD182="",AE182=""),"Thiếu ngày L5",IF(n=0,"Chưa có L6",IF(OR(cs=0,ce=0),"Thiếu ngày L6",IF(OR(ps="",pe=""),"Thiếu ngày kế hoạch gốc L5",IF(OR(cs&lt;ps,ce&gt;pe),"Cảnh báo: Con vượt khung kế hoạch gốc","L6 đúng khung kế hoạch gốc"))))))))))</f>
        <v/>
      </c>
      <c r="AL182" s="465"/>
      <c r="AM182" s="467"/>
      <c r="AN182" s="469"/>
      <c r="AO182" s="470"/>
      <c r="AP182" s="470"/>
      <c r="AQ182" s="471"/>
      <c r="AR182" s="469"/>
      <c r="AS182" s="475"/>
      <c r="AT182" s="476"/>
      <c r="AU182" s="478"/>
      <c r="AV182" s="465"/>
      <c r="AW182" s="465"/>
      <c r="AX182" s="479"/>
    </row>
    <row r="183" ht="15.75" customHeight="1">
      <c r="A183" s="424"/>
      <c r="B183" s="572"/>
      <c r="C183" s="591"/>
      <c r="D183" s="623"/>
      <c r="E183" s="617"/>
      <c r="F183" s="575"/>
      <c r="G183" s="575"/>
      <c r="H183" s="576"/>
      <c r="I183" s="577"/>
      <c r="J183" s="577"/>
      <c r="K183" s="597"/>
      <c r="L183" s="598"/>
      <c r="M183" s="438"/>
      <c r="N183" s="597"/>
      <c r="O183" s="597"/>
      <c r="P183" s="597"/>
      <c r="Q183" s="581"/>
      <c r="R183" s="420"/>
      <c r="S183" s="582"/>
      <c r="T183" s="583"/>
      <c r="U183" s="584" t="str">
        <f>IF($I183="","",LET(n,COUNTIFS('Lớp 6 - Chi tiết'!$J$14:$J$267,$I183,'Lớp 6 - Chi tiết'!$AE$14:$AE$267,"&lt;&gt;Hủy"),child,IFERROR(MAXIFS('Lớp 6 - Chi tiết'!$AH$14:$AH$267,'Lớp 6 - Chi tiết'!$J$14:$J$267,$I183,'Lớp 6 - Chi tiết'!$AE$14:$AE$267,"&lt;&gt;Hủy",'Lớp 6 - Chi tiết'!$AH$14:$AH$267,"&gt;0"),0),plan,'Trung tâm nhập liệu'!Q333,emergent,LOWER(TRIM('Trung tâm nhập liệu'!O333))="khi phát sinh",IF(n=0,IF(emergent,"",plan),IF(child=0,IF(emergent,"",plan),IF(OR(emergent,plan=""),child,MAX(plan,child))))))</f>
        <v/>
      </c>
      <c r="V183" s="584" t="str">
        <f>IF($I183="","",LET(n,COUNTIFS('Lớp 6 - Chi tiết'!$J$14:$J$267,$I183,'Lớp 6 - Chi tiết'!$AE$14:$AE$267,"&lt;&gt;Hủy"),child,IFERROR(MINIFS('Lớp 6 - Chi tiết'!$AG$14:$AG$267,'Lớp 6 - Chi tiết'!$J$14:$J$267,$I183,'Lớp 6 - Chi tiết'!$AE$14:$AE$267,"&lt;&gt;Hủy",'Lớp 6 - Chi tiết'!$AG$14:$AG$267,"&gt;0"),0),plan,'Trung tâm nhập liệu'!R333,emergent,LOWER(TRIM('Trung tâm nhập liệu'!O333))="khi phát sinh",IF(n=0,IF(emergent,"",plan),IF(child=0,IF(emergent,"",plan),IF(OR(emergent,plan=""),child,MIN(plan,child))))))</f>
        <v/>
      </c>
      <c r="W183" s="577"/>
      <c r="X183" s="577"/>
      <c r="Y183" s="585"/>
      <c r="Z183" s="586"/>
      <c r="AA183" s="577"/>
      <c r="AB183" s="572"/>
      <c r="AC183" s="420"/>
      <c r="AD183" s="584"/>
      <c r="AE183" s="584"/>
      <c r="AF183" s="587"/>
      <c r="AG183" s="588"/>
      <c r="AH183" s="587"/>
      <c r="AI183" s="589"/>
      <c r="AJ183" s="468"/>
      <c r="AK183" s="477" t="str">
        <f>IF(AM183="Chưa xếp lịch","Chưa xếp lịch",IF(AM183="Định kỳ",IF(AN183="","Thiếu chu kỳ","Theo chu kỳ"),IF(AM183="Khi phát sinh",IF(COUNTIFS('Lớp 6 - Chi tiết'!$J$14:$J$267,$I183,'Lớp 6 - Chi tiết'!$AE$14:$AE$267,"&lt;&gt;Hủy")=0,"Khi phát sinh – chờ việc con","Khi phát sinh – theo ngày con"),IF(I183="","",LET(n,COUNTIFS('Lớp 6 - Chi tiết'!$J$14:$J$267,$I183,'Lớp 6 - Chi tiết'!$AE$14:$AE$267,"&lt;&gt;Hủy"),cs,IFERROR(MINIFS('Lớp 6 - Chi tiết'!$AG$14:$AG$267,'Lớp 6 - Chi tiết'!$J$14:$J$267,$I183,'Lớp 6 - Chi tiết'!$AE$14:$AE$267,"&lt;&gt;Hủy",'Lớp 6 - Chi tiết'!$AG$14:$AG$267,"&gt;0"),0),ce,IFERROR(MAXIFS('Lớp 6 - Chi tiết'!$AH$14:$AH$267,'Lớp 6 - Chi tiết'!$J$14:$J$267,$I183,'Lớp 6 - Chi tiết'!$AE$14:$AE$267,"&lt;&gt;Hủy",'Lớp 6 - Chi tiết'!$AH$14:$AH$267,"&gt;0"),0),ps,'Trung tâm nhập liệu'!R333,pe,'Trung tâm nhập liệu'!Q333,IF(OR(AD183="",AE183=""),"Thiếu ngày L5",IF(n=0,"Chưa có L6",IF(OR(cs=0,ce=0),"Thiếu ngày L6",IF(OR(ps="",pe=""),"Thiếu ngày kế hoạch gốc L5",IF(OR(cs&lt;ps,ce&gt;pe),"Cảnh báo: Con vượt khung kế hoạch gốc","L6 đúng khung kế hoạch gốc"))))))))))</f>
        <v/>
      </c>
      <c r="AL183" s="465"/>
      <c r="AM183" s="467"/>
      <c r="AN183" s="469"/>
      <c r="AO183" s="470"/>
      <c r="AP183" s="470"/>
      <c r="AQ183" s="471"/>
      <c r="AR183" s="469"/>
      <c r="AS183" s="475"/>
      <c r="AT183" s="476"/>
      <c r="AU183" s="478"/>
      <c r="AV183" s="465"/>
      <c r="AW183" s="465"/>
      <c r="AX183" s="479"/>
    </row>
    <row r="184" ht="15.75" customHeight="1">
      <c r="A184" s="424"/>
      <c r="B184" s="572"/>
      <c r="C184" s="591"/>
      <c r="D184" s="623"/>
      <c r="E184" s="617"/>
      <c r="F184" s="575"/>
      <c r="G184" s="575"/>
      <c r="H184" s="576"/>
      <c r="I184" s="577"/>
      <c r="J184" s="577"/>
      <c r="K184" s="597"/>
      <c r="L184" s="598"/>
      <c r="M184" s="438"/>
      <c r="N184" s="597"/>
      <c r="O184" s="597"/>
      <c r="P184" s="597"/>
      <c r="Q184" s="581"/>
      <c r="R184" s="420"/>
      <c r="S184" s="582"/>
      <c r="T184" s="583"/>
      <c r="U184" s="584" t="str">
        <f>IF($I184="","",LET(n,COUNTIFS('Lớp 6 - Chi tiết'!$J$14:$J$267,$I184,'Lớp 6 - Chi tiết'!$AE$14:$AE$267,"&lt;&gt;Hủy"),child,IFERROR(MAXIFS('Lớp 6 - Chi tiết'!$AH$14:$AH$267,'Lớp 6 - Chi tiết'!$J$14:$J$267,$I184,'Lớp 6 - Chi tiết'!$AE$14:$AE$267,"&lt;&gt;Hủy",'Lớp 6 - Chi tiết'!$AH$14:$AH$267,"&gt;0"),0),plan,'Trung tâm nhập liệu'!Q334,emergent,LOWER(TRIM('Trung tâm nhập liệu'!O334))="khi phát sinh",IF(n=0,IF(emergent,"",plan),IF(child=0,IF(emergent,"",plan),IF(OR(emergent,plan=""),child,MAX(plan,child))))))</f>
        <v/>
      </c>
      <c r="V184" s="584" t="str">
        <f>IF($I184="","",LET(n,COUNTIFS('Lớp 6 - Chi tiết'!$J$14:$J$267,$I184,'Lớp 6 - Chi tiết'!$AE$14:$AE$267,"&lt;&gt;Hủy"),child,IFERROR(MINIFS('Lớp 6 - Chi tiết'!$AG$14:$AG$267,'Lớp 6 - Chi tiết'!$J$14:$J$267,$I184,'Lớp 6 - Chi tiết'!$AE$14:$AE$267,"&lt;&gt;Hủy",'Lớp 6 - Chi tiết'!$AG$14:$AG$267,"&gt;0"),0),plan,'Trung tâm nhập liệu'!R334,emergent,LOWER(TRIM('Trung tâm nhập liệu'!O334))="khi phát sinh",IF(n=0,IF(emergent,"",plan),IF(child=0,IF(emergent,"",plan),IF(OR(emergent,plan=""),child,MIN(plan,child))))))</f>
        <v/>
      </c>
      <c r="W184" s="577"/>
      <c r="X184" s="577"/>
      <c r="Y184" s="585"/>
      <c r="Z184" s="586"/>
      <c r="AA184" s="577"/>
      <c r="AB184" s="572"/>
      <c r="AC184" s="420"/>
      <c r="AD184" s="584"/>
      <c r="AE184" s="584"/>
      <c r="AF184" s="587"/>
      <c r="AG184" s="588"/>
      <c r="AH184" s="587"/>
      <c r="AI184" s="589"/>
      <c r="AJ184" s="468"/>
      <c r="AK184" s="477" t="str">
        <f>IF(AM184="Chưa xếp lịch","Chưa xếp lịch",IF(AM184="Định kỳ",IF(AN184="","Thiếu chu kỳ","Theo chu kỳ"),IF(AM184="Khi phát sinh",IF(COUNTIFS('Lớp 6 - Chi tiết'!$J$14:$J$267,$I184,'Lớp 6 - Chi tiết'!$AE$14:$AE$267,"&lt;&gt;Hủy")=0,"Khi phát sinh – chờ việc con","Khi phát sinh – theo ngày con"),IF(I184="","",LET(n,COUNTIFS('Lớp 6 - Chi tiết'!$J$14:$J$267,$I184,'Lớp 6 - Chi tiết'!$AE$14:$AE$267,"&lt;&gt;Hủy"),cs,IFERROR(MINIFS('Lớp 6 - Chi tiết'!$AG$14:$AG$267,'Lớp 6 - Chi tiết'!$J$14:$J$267,$I184,'Lớp 6 - Chi tiết'!$AE$14:$AE$267,"&lt;&gt;Hủy",'Lớp 6 - Chi tiết'!$AG$14:$AG$267,"&gt;0"),0),ce,IFERROR(MAXIFS('Lớp 6 - Chi tiết'!$AH$14:$AH$267,'Lớp 6 - Chi tiết'!$J$14:$J$267,$I184,'Lớp 6 - Chi tiết'!$AE$14:$AE$267,"&lt;&gt;Hủy",'Lớp 6 - Chi tiết'!$AH$14:$AH$267,"&gt;0"),0),ps,'Trung tâm nhập liệu'!R334,pe,'Trung tâm nhập liệu'!Q334,IF(OR(AD184="",AE184=""),"Thiếu ngày L5",IF(n=0,"Chưa có L6",IF(OR(cs=0,ce=0),"Thiếu ngày L6",IF(OR(ps="",pe=""),"Thiếu ngày kế hoạch gốc L5",IF(OR(cs&lt;ps,ce&gt;pe),"Cảnh báo: Con vượt khung kế hoạch gốc","L6 đúng khung kế hoạch gốc"))))))))))</f>
        <v/>
      </c>
      <c r="AL184" s="465"/>
      <c r="AM184" s="467"/>
      <c r="AN184" s="469"/>
      <c r="AO184" s="470"/>
      <c r="AP184" s="470"/>
      <c r="AQ184" s="471"/>
      <c r="AR184" s="469"/>
      <c r="AS184" s="475"/>
      <c r="AT184" s="476"/>
      <c r="AU184" s="478"/>
      <c r="AV184" s="465"/>
      <c r="AW184" s="465"/>
      <c r="AX184" s="479"/>
    </row>
    <row r="185" ht="15.75" customHeight="1">
      <c r="A185" s="424"/>
      <c r="B185" s="572"/>
      <c r="C185" s="591"/>
      <c r="D185" s="623"/>
      <c r="E185" s="617"/>
      <c r="F185" s="575"/>
      <c r="G185" s="575"/>
      <c r="H185" s="576"/>
      <c r="I185" s="577"/>
      <c r="J185" s="577"/>
      <c r="K185" s="597"/>
      <c r="L185" s="598"/>
      <c r="M185" s="438"/>
      <c r="N185" s="597"/>
      <c r="O185" s="597"/>
      <c r="P185" s="597"/>
      <c r="Q185" s="581"/>
      <c r="R185" s="420"/>
      <c r="S185" s="582"/>
      <c r="T185" s="583"/>
      <c r="U185" s="584" t="str">
        <f>IF($I185="","",LET(n,COUNTIFS('Lớp 6 - Chi tiết'!$J$14:$J$267,$I185,'Lớp 6 - Chi tiết'!$AE$14:$AE$267,"&lt;&gt;Hủy"),child,IFERROR(MAXIFS('Lớp 6 - Chi tiết'!$AH$14:$AH$267,'Lớp 6 - Chi tiết'!$J$14:$J$267,$I185,'Lớp 6 - Chi tiết'!$AE$14:$AE$267,"&lt;&gt;Hủy",'Lớp 6 - Chi tiết'!$AH$14:$AH$267,"&gt;0"),0),plan,'Trung tâm nhập liệu'!Q335,emergent,LOWER(TRIM('Trung tâm nhập liệu'!O335))="khi phát sinh",IF(n=0,IF(emergent,"",plan),IF(child=0,IF(emergent,"",plan),IF(OR(emergent,plan=""),child,MAX(plan,child))))))</f>
        <v/>
      </c>
      <c r="V185" s="584" t="str">
        <f>IF($I185="","",LET(n,COUNTIFS('Lớp 6 - Chi tiết'!$J$14:$J$267,$I185,'Lớp 6 - Chi tiết'!$AE$14:$AE$267,"&lt;&gt;Hủy"),child,IFERROR(MINIFS('Lớp 6 - Chi tiết'!$AG$14:$AG$267,'Lớp 6 - Chi tiết'!$J$14:$J$267,$I185,'Lớp 6 - Chi tiết'!$AE$14:$AE$267,"&lt;&gt;Hủy",'Lớp 6 - Chi tiết'!$AG$14:$AG$267,"&gt;0"),0),plan,'Trung tâm nhập liệu'!R335,emergent,LOWER(TRIM('Trung tâm nhập liệu'!O335))="khi phát sinh",IF(n=0,IF(emergent,"",plan),IF(child=0,IF(emergent,"",plan),IF(OR(emergent,plan=""),child,MIN(plan,child))))))</f>
        <v/>
      </c>
      <c r="W185" s="577"/>
      <c r="X185" s="577"/>
      <c r="Y185" s="585"/>
      <c r="Z185" s="586"/>
      <c r="AA185" s="577"/>
      <c r="AB185" s="572"/>
      <c r="AC185" s="420"/>
      <c r="AD185" s="584"/>
      <c r="AE185" s="584"/>
      <c r="AF185" s="587"/>
      <c r="AG185" s="588"/>
      <c r="AH185" s="587"/>
      <c r="AI185" s="589"/>
      <c r="AJ185" s="468"/>
      <c r="AK185" s="477" t="str">
        <f>IF(AM185="Chưa xếp lịch","Chưa xếp lịch",IF(AM185="Định kỳ",IF(AN185="","Thiếu chu kỳ","Theo chu kỳ"),IF(AM185="Khi phát sinh",IF(COUNTIFS('Lớp 6 - Chi tiết'!$J$14:$J$267,$I185,'Lớp 6 - Chi tiết'!$AE$14:$AE$267,"&lt;&gt;Hủy")=0,"Khi phát sinh – chờ việc con","Khi phát sinh – theo ngày con"),IF(I185="","",LET(n,COUNTIFS('Lớp 6 - Chi tiết'!$J$14:$J$267,$I185,'Lớp 6 - Chi tiết'!$AE$14:$AE$267,"&lt;&gt;Hủy"),cs,IFERROR(MINIFS('Lớp 6 - Chi tiết'!$AG$14:$AG$267,'Lớp 6 - Chi tiết'!$J$14:$J$267,$I185,'Lớp 6 - Chi tiết'!$AE$14:$AE$267,"&lt;&gt;Hủy",'Lớp 6 - Chi tiết'!$AG$14:$AG$267,"&gt;0"),0),ce,IFERROR(MAXIFS('Lớp 6 - Chi tiết'!$AH$14:$AH$267,'Lớp 6 - Chi tiết'!$J$14:$J$267,$I185,'Lớp 6 - Chi tiết'!$AE$14:$AE$267,"&lt;&gt;Hủy",'Lớp 6 - Chi tiết'!$AH$14:$AH$267,"&gt;0"),0),ps,'Trung tâm nhập liệu'!R335,pe,'Trung tâm nhập liệu'!Q335,IF(OR(AD185="",AE185=""),"Thiếu ngày L5",IF(n=0,"Chưa có L6",IF(OR(cs=0,ce=0),"Thiếu ngày L6",IF(OR(ps="",pe=""),"Thiếu ngày kế hoạch gốc L5",IF(OR(cs&lt;ps,ce&gt;pe),"Cảnh báo: Con vượt khung kế hoạch gốc","L6 đúng khung kế hoạch gốc"))))))))))</f>
        <v/>
      </c>
      <c r="AL185" s="465"/>
      <c r="AM185" s="467"/>
      <c r="AN185" s="469"/>
      <c r="AO185" s="470"/>
      <c r="AP185" s="470"/>
      <c r="AQ185" s="471"/>
      <c r="AR185" s="469"/>
      <c r="AS185" s="475"/>
      <c r="AT185" s="476"/>
      <c r="AU185" s="478"/>
      <c r="AV185" s="465"/>
      <c r="AW185" s="465"/>
      <c r="AX185" s="479"/>
    </row>
    <row r="186" ht="15.75" customHeight="1">
      <c r="A186" s="424"/>
      <c r="B186" s="572"/>
      <c r="C186" s="591"/>
      <c r="D186" s="623"/>
      <c r="E186" s="617"/>
      <c r="F186" s="575"/>
      <c r="G186" s="575"/>
      <c r="H186" s="576"/>
      <c r="I186" s="577"/>
      <c r="J186" s="577"/>
      <c r="K186" s="597"/>
      <c r="L186" s="598"/>
      <c r="M186" s="438"/>
      <c r="N186" s="597"/>
      <c r="O186" s="597"/>
      <c r="P186" s="597"/>
      <c r="Q186" s="581"/>
      <c r="R186" s="420"/>
      <c r="S186" s="582"/>
      <c r="T186" s="583"/>
      <c r="U186" s="584" t="str">
        <f>IF($I186="","",LET(n,COUNTIFS('Lớp 6 - Chi tiết'!$J$14:$J$267,$I186,'Lớp 6 - Chi tiết'!$AE$14:$AE$267,"&lt;&gt;Hủy"),child,IFERROR(MAXIFS('Lớp 6 - Chi tiết'!$AH$14:$AH$267,'Lớp 6 - Chi tiết'!$J$14:$J$267,$I186,'Lớp 6 - Chi tiết'!$AE$14:$AE$267,"&lt;&gt;Hủy",'Lớp 6 - Chi tiết'!$AH$14:$AH$267,"&gt;0"),0),plan,'Trung tâm nhập liệu'!Q336,emergent,LOWER(TRIM('Trung tâm nhập liệu'!O336))="khi phát sinh",IF(n=0,IF(emergent,"",plan),IF(child=0,IF(emergent,"",plan),IF(OR(emergent,plan=""),child,MAX(plan,child))))))</f>
        <v/>
      </c>
      <c r="V186" s="584" t="str">
        <f>IF($I186="","",LET(n,COUNTIFS('Lớp 6 - Chi tiết'!$J$14:$J$267,$I186,'Lớp 6 - Chi tiết'!$AE$14:$AE$267,"&lt;&gt;Hủy"),child,IFERROR(MINIFS('Lớp 6 - Chi tiết'!$AG$14:$AG$267,'Lớp 6 - Chi tiết'!$J$14:$J$267,$I186,'Lớp 6 - Chi tiết'!$AE$14:$AE$267,"&lt;&gt;Hủy",'Lớp 6 - Chi tiết'!$AG$14:$AG$267,"&gt;0"),0),plan,'Trung tâm nhập liệu'!R336,emergent,LOWER(TRIM('Trung tâm nhập liệu'!O336))="khi phát sinh",IF(n=0,IF(emergent,"",plan),IF(child=0,IF(emergent,"",plan),IF(OR(emergent,plan=""),child,MIN(plan,child))))))</f>
        <v/>
      </c>
      <c r="W186" s="577"/>
      <c r="X186" s="577"/>
      <c r="Y186" s="585"/>
      <c r="Z186" s="586"/>
      <c r="AA186" s="577"/>
      <c r="AB186" s="572"/>
      <c r="AC186" s="420"/>
      <c r="AD186" s="584"/>
      <c r="AE186" s="584"/>
      <c r="AF186" s="587"/>
      <c r="AG186" s="588"/>
      <c r="AH186" s="587"/>
      <c r="AI186" s="589"/>
      <c r="AJ186" s="468"/>
      <c r="AK186" s="477" t="str">
        <f>IF(AM186="Chưa xếp lịch","Chưa xếp lịch",IF(AM186="Định kỳ",IF(AN186="","Thiếu chu kỳ","Theo chu kỳ"),IF(AM186="Khi phát sinh",IF(COUNTIFS('Lớp 6 - Chi tiết'!$J$14:$J$267,$I186,'Lớp 6 - Chi tiết'!$AE$14:$AE$267,"&lt;&gt;Hủy")=0,"Khi phát sinh – chờ việc con","Khi phát sinh – theo ngày con"),IF(I186="","",LET(n,COUNTIFS('Lớp 6 - Chi tiết'!$J$14:$J$267,$I186,'Lớp 6 - Chi tiết'!$AE$14:$AE$267,"&lt;&gt;Hủy"),cs,IFERROR(MINIFS('Lớp 6 - Chi tiết'!$AG$14:$AG$267,'Lớp 6 - Chi tiết'!$J$14:$J$267,$I186,'Lớp 6 - Chi tiết'!$AE$14:$AE$267,"&lt;&gt;Hủy",'Lớp 6 - Chi tiết'!$AG$14:$AG$267,"&gt;0"),0),ce,IFERROR(MAXIFS('Lớp 6 - Chi tiết'!$AH$14:$AH$267,'Lớp 6 - Chi tiết'!$J$14:$J$267,$I186,'Lớp 6 - Chi tiết'!$AE$14:$AE$267,"&lt;&gt;Hủy",'Lớp 6 - Chi tiết'!$AH$14:$AH$267,"&gt;0"),0),ps,'Trung tâm nhập liệu'!R336,pe,'Trung tâm nhập liệu'!Q336,IF(OR(AD186="",AE186=""),"Thiếu ngày L5",IF(n=0,"Chưa có L6",IF(OR(cs=0,ce=0),"Thiếu ngày L6",IF(OR(ps="",pe=""),"Thiếu ngày kế hoạch gốc L5",IF(OR(cs&lt;ps,ce&gt;pe),"Cảnh báo: Con vượt khung kế hoạch gốc","L6 đúng khung kế hoạch gốc"))))))))))</f>
        <v/>
      </c>
      <c r="AL186" s="465"/>
      <c r="AM186" s="467"/>
      <c r="AN186" s="469"/>
      <c r="AO186" s="470"/>
      <c r="AP186" s="470"/>
      <c r="AQ186" s="471"/>
      <c r="AR186" s="469"/>
      <c r="AS186" s="475"/>
      <c r="AT186" s="476"/>
      <c r="AU186" s="478"/>
      <c r="AV186" s="465"/>
      <c r="AW186" s="465"/>
      <c r="AX186" s="479"/>
    </row>
    <row r="187" ht="15.75" customHeight="1">
      <c r="A187" s="424"/>
      <c r="B187" s="572"/>
      <c r="C187" s="591"/>
      <c r="D187" s="623"/>
      <c r="E187" s="617"/>
      <c r="F187" s="575"/>
      <c r="G187" s="575"/>
      <c r="H187" s="576"/>
      <c r="I187" s="577"/>
      <c r="J187" s="577"/>
      <c r="K187" s="597"/>
      <c r="L187" s="598"/>
      <c r="M187" s="438"/>
      <c r="N187" s="597"/>
      <c r="O187" s="597"/>
      <c r="P187" s="597"/>
      <c r="Q187" s="581"/>
      <c r="R187" s="420"/>
      <c r="S187" s="582"/>
      <c r="T187" s="583"/>
      <c r="U187" s="584" t="str">
        <f>IF($I187="","",LET(n,COUNTIFS('Lớp 6 - Chi tiết'!$J$14:$J$267,$I187,'Lớp 6 - Chi tiết'!$AE$14:$AE$267,"&lt;&gt;Hủy"),child,IFERROR(MAXIFS('Lớp 6 - Chi tiết'!$AH$14:$AH$267,'Lớp 6 - Chi tiết'!$J$14:$J$267,$I187,'Lớp 6 - Chi tiết'!$AE$14:$AE$267,"&lt;&gt;Hủy",'Lớp 6 - Chi tiết'!$AH$14:$AH$267,"&gt;0"),0),plan,'Trung tâm nhập liệu'!Q337,emergent,LOWER(TRIM('Trung tâm nhập liệu'!O337))="khi phát sinh",IF(n=0,IF(emergent,"",plan),IF(child=0,IF(emergent,"",plan),IF(OR(emergent,plan=""),child,MAX(plan,child))))))</f>
        <v/>
      </c>
      <c r="V187" s="584" t="str">
        <f>IF($I187="","",LET(n,COUNTIFS('Lớp 6 - Chi tiết'!$J$14:$J$267,$I187,'Lớp 6 - Chi tiết'!$AE$14:$AE$267,"&lt;&gt;Hủy"),child,IFERROR(MINIFS('Lớp 6 - Chi tiết'!$AG$14:$AG$267,'Lớp 6 - Chi tiết'!$J$14:$J$267,$I187,'Lớp 6 - Chi tiết'!$AE$14:$AE$267,"&lt;&gt;Hủy",'Lớp 6 - Chi tiết'!$AG$14:$AG$267,"&gt;0"),0),plan,'Trung tâm nhập liệu'!R337,emergent,LOWER(TRIM('Trung tâm nhập liệu'!O337))="khi phát sinh",IF(n=0,IF(emergent,"",plan),IF(child=0,IF(emergent,"",plan),IF(OR(emergent,plan=""),child,MIN(plan,child))))))</f>
        <v/>
      </c>
      <c r="W187" s="577"/>
      <c r="X187" s="577"/>
      <c r="Y187" s="585"/>
      <c r="Z187" s="586"/>
      <c r="AA187" s="577"/>
      <c r="AB187" s="572"/>
      <c r="AC187" s="420"/>
      <c r="AD187" s="584"/>
      <c r="AE187" s="584"/>
      <c r="AF187" s="587"/>
      <c r="AG187" s="588"/>
      <c r="AH187" s="587"/>
      <c r="AI187" s="589"/>
      <c r="AJ187" s="468"/>
      <c r="AK187" s="477" t="str">
        <f>IF(AM187="Chưa xếp lịch","Chưa xếp lịch",IF(AM187="Định kỳ",IF(AN187="","Thiếu chu kỳ","Theo chu kỳ"),IF(AM187="Khi phát sinh",IF(COUNTIFS('Lớp 6 - Chi tiết'!$J$14:$J$267,$I187,'Lớp 6 - Chi tiết'!$AE$14:$AE$267,"&lt;&gt;Hủy")=0,"Khi phát sinh – chờ việc con","Khi phát sinh – theo ngày con"),IF(I187="","",LET(n,COUNTIFS('Lớp 6 - Chi tiết'!$J$14:$J$267,$I187,'Lớp 6 - Chi tiết'!$AE$14:$AE$267,"&lt;&gt;Hủy"),cs,IFERROR(MINIFS('Lớp 6 - Chi tiết'!$AG$14:$AG$267,'Lớp 6 - Chi tiết'!$J$14:$J$267,$I187,'Lớp 6 - Chi tiết'!$AE$14:$AE$267,"&lt;&gt;Hủy",'Lớp 6 - Chi tiết'!$AG$14:$AG$267,"&gt;0"),0),ce,IFERROR(MAXIFS('Lớp 6 - Chi tiết'!$AH$14:$AH$267,'Lớp 6 - Chi tiết'!$J$14:$J$267,$I187,'Lớp 6 - Chi tiết'!$AE$14:$AE$267,"&lt;&gt;Hủy",'Lớp 6 - Chi tiết'!$AH$14:$AH$267,"&gt;0"),0),ps,'Trung tâm nhập liệu'!R337,pe,'Trung tâm nhập liệu'!Q337,IF(OR(AD187="",AE187=""),"Thiếu ngày L5",IF(n=0,"Chưa có L6",IF(OR(cs=0,ce=0),"Thiếu ngày L6",IF(OR(ps="",pe=""),"Thiếu ngày kế hoạch gốc L5",IF(OR(cs&lt;ps,ce&gt;pe),"Cảnh báo: Con vượt khung kế hoạch gốc","L6 đúng khung kế hoạch gốc"))))))))))</f>
        <v/>
      </c>
      <c r="AL187" s="465"/>
      <c r="AM187" s="467"/>
      <c r="AN187" s="469"/>
      <c r="AO187" s="470"/>
      <c r="AP187" s="470"/>
      <c r="AQ187" s="471"/>
      <c r="AR187" s="469"/>
      <c r="AS187" s="475"/>
      <c r="AT187" s="476"/>
      <c r="AU187" s="478"/>
      <c r="AV187" s="465"/>
      <c r="AW187" s="465"/>
      <c r="AX187" s="479"/>
    </row>
    <row r="188" ht="15.75" customHeight="1">
      <c r="A188" s="424"/>
      <c r="B188" s="572"/>
      <c r="C188" s="591"/>
      <c r="D188" s="623"/>
      <c r="E188" s="617"/>
      <c r="F188" s="575"/>
      <c r="G188" s="575"/>
      <c r="H188" s="576"/>
      <c r="I188" s="577"/>
      <c r="J188" s="577"/>
      <c r="K188" s="597"/>
      <c r="L188" s="598"/>
      <c r="M188" s="438"/>
      <c r="N188" s="597"/>
      <c r="O188" s="597"/>
      <c r="P188" s="597"/>
      <c r="Q188" s="581"/>
      <c r="R188" s="420"/>
      <c r="S188" s="582"/>
      <c r="T188" s="583"/>
      <c r="U188" s="584" t="str">
        <f>IF($I188="","",LET(n,COUNTIFS('Lớp 6 - Chi tiết'!$J$14:$J$267,$I188,'Lớp 6 - Chi tiết'!$AE$14:$AE$267,"&lt;&gt;Hủy"),child,IFERROR(MAXIFS('Lớp 6 - Chi tiết'!$AH$14:$AH$267,'Lớp 6 - Chi tiết'!$J$14:$J$267,$I188,'Lớp 6 - Chi tiết'!$AE$14:$AE$267,"&lt;&gt;Hủy",'Lớp 6 - Chi tiết'!$AH$14:$AH$267,"&gt;0"),0),plan,'Trung tâm nhập liệu'!Q338,emergent,LOWER(TRIM('Trung tâm nhập liệu'!O338))="khi phát sinh",IF(n=0,IF(emergent,"",plan),IF(child=0,IF(emergent,"",plan),IF(OR(emergent,plan=""),child,MAX(plan,child))))))</f>
        <v/>
      </c>
      <c r="V188" s="584" t="str">
        <f>IF($I188="","",LET(n,COUNTIFS('Lớp 6 - Chi tiết'!$J$14:$J$267,$I188,'Lớp 6 - Chi tiết'!$AE$14:$AE$267,"&lt;&gt;Hủy"),child,IFERROR(MINIFS('Lớp 6 - Chi tiết'!$AG$14:$AG$267,'Lớp 6 - Chi tiết'!$J$14:$J$267,$I188,'Lớp 6 - Chi tiết'!$AE$14:$AE$267,"&lt;&gt;Hủy",'Lớp 6 - Chi tiết'!$AG$14:$AG$267,"&gt;0"),0),plan,'Trung tâm nhập liệu'!R338,emergent,LOWER(TRIM('Trung tâm nhập liệu'!O338))="khi phát sinh",IF(n=0,IF(emergent,"",plan),IF(child=0,IF(emergent,"",plan),IF(OR(emergent,plan=""),child,MIN(plan,child))))))</f>
        <v/>
      </c>
      <c r="W188" s="577"/>
      <c r="X188" s="577"/>
      <c r="Y188" s="585"/>
      <c r="Z188" s="586"/>
      <c r="AA188" s="577"/>
      <c r="AB188" s="572"/>
      <c r="AC188" s="420"/>
      <c r="AD188" s="584"/>
      <c r="AE188" s="584"/>
      <c r="AF188" s="587"/>
      <c r="AG188" s="588"/>
      <c r="AH188" s="587"/>
      <c r="AI188" s="589"/>
      <c r="AJ188" s="468"/>
      <c r="AK188" s="477" t="str">
        <f>IF(AM188="Chưa xếp lịch","Chưa xếp lịch",IF(AM188="Định kỳ",IF(AN188="","Thiếu chu kỳ","Theo chu kỳ"),IF(AM188="Khi phát sinh",IF(COUNTIFS('Lớp 6 - Chi tiết'!$J$14:$J$267,$I188,'Lớp 6 - Chi tiết'!$AE$14:$AE$267,"&lt;&gt;Hủy")=0,"Khi phát sinh – chờ việc con","Khi phát sinh – theo ngày con"),IF(I188="","",LET(n,COUNTIFS('Lớp 6 - Chi tiết'!$J$14:$J$267,$I188,'Lớp 6 - Chi tiết'!$AE$14:$AE$267,"&lt;&gt;Hủy"),cs,IFERROR(MINIFS('Lớp 6 - Chi tiết'!$AG$14:$AG$267,'Lớp 6 - Chi tiết'!$J$14:$J$267,$I188,'Lớp 6 - Chi tiết'!$AE$14:$AE$267,"&lt;&gt;Hủy",'Lớp 6 - Chi tiết'!$AG$14:$AG$267,"&gt;0"),0),ce,IFERROR(MAXIFS('Lớp 6 - Chi tiết'!$AH$14:$AH$267,'Lớp 6 - Chi tiết'!$J$14:$J$267,$I188,'Lớp 6 - Chi tiết'!$AE$14:$AE$267,"&lt;&gt;Hủy",'Lớp 6 - Chi tiết'!$AH$14:$AH$267,"&gt;0"),0),ps,'Trung tâm nhập liệu'!R338,pe,'Trung tâm nhập liệu'!Q338,IF(OR(AD188="",AE188=""),"Thiếu ngày L5",IF(n=0,"Chưa có L6",IF(OR(cs=0,ce=0),"Thiếu ngày L6",IF(OR(ps="",pe=""),"Thiếu ngày kế hoạch gốc L5",IF(OR(cs&lt;ps,ce&gt;pe),"Cảnh báo: Con vượt khung kế hoạch gốc","L6 đúng khung kế hoạch gốc"))))))))))</f>
        <v/>
      </c>
      <c r="AL188" s="465"/>
      <c r="AM188" s="467"/>
      <c r="AN188" s="469"/>
      <c r="AO188" s="470"/>
      <c r="AP188" s="470"/>
      <c r="AQ188" s="471"/>
      <c r="AR188" s="469"/>
      <c r="AS188" s="475"/>
      <c r="AT188" s="476"/>
      <c r="AU188" s="478"/>
      <c r="AV188" s="465"/>
      <c r="AW188" s="465"/>
      <c r="AX188" s="479"/>
    </row>
    <row r="189" ht="15.75" customHeight="1">
      <c r="A189" s="424"/>
      <c r="B189" s="572"/>
      <c r="C189" s="591"/>
      <c r="D189" s="623"/>
      <c r="E189" s="617"/>
      <c r="F189" s="575"/>
      <c r="G189" s="575"/>
      <c r="H189" s="576"/>
      <c r="I189" s="577"/>
      <c r="J189" s="577"/>
      <c r="K189" s="597"/>
      <c r="L189" s="598"/>
      <c r="M189" s="438"/>
      <c r="N189" s="597"/>
      <c r="O189" s="597"/>
      <c r="P189" s="597"/>
      <c r="Q189" s="581"/>
      <c r="R189" s="420"/>
      <c r="S189" s="582"/>
      <c r="T189" s="583"/>
      <c r="U189" s="584" t="str">
        <f>IF($I189="","",LET(n,COUNTIFS('Lớp 6 - Chi tiết'!$J$14:$J$267,$I189,'Lớp 6 - Chi tiết'!$AE$14:$AE$267,"&lt;&gt;Hủy"),child,IFERROR(MAXIFS('Lớp 6 - Chi tiết'!$AH$14:$AH$267,'Lớp 6 - Chi tiết'!$J$14:$J$267,$I189,'Lớp 6 - Chi tiết'!$AE$14:$AE$267,"&lt;&gt;Hủy",'Lớp 6 - Chi tiết'!$AH$14:$AH$267,"&gt;0"),0),plan,'Trung tâm nhập liệu'!Q339,emergent,LOWER(TRIM('Trung tâm nhập liệu'!O339))="khi phát sinh",IF(n=0,IF(emergent,"",plan),IF(child=0,IF(emergent,"",plan),IF(OR(emergent,plan=""),child,MAX(plan,child))))))</f>
        <v/>
      </c>
      <c r="V189" s="584" t="str">
        <f>IF($I189="","",LET(n,COUNTIFS('Lớp 6 - Chi tiết'!$J$14:$J$267,$I189,'Lớp 6 - Chi tiết'!$AE$14:$AE$267,"&lt;&gt;Hủy"),child,IFERROR(MINIFS('Lớp 6 - Chi tiết'!$AG$14:$AG$267,'Lớp 6 - Chi tiết'!$J$14:$J$267,$I189,'Lớp 6 - Chi tiết'!$AE$14:$AE$267,"&lt;&gt;Hủy",'Lớp 6 - Chi tiết'!$AG$14:$AG$267,"&gt;0"),0),plan,'Trung tâm nhập liệu'!R339,emergent,LOWER(TRIM('Trung tâm nhập liệu'!O339))="khi phát sinh",IF(n=0,IF(emergent,"",plan),IF(child=0,IF(emergent,"",plan),IF(OR(emergent,plan=""),child,MIN(plan,child))))))</f>
        <v/>
      </c>
      <c r="W189" s="577"/>
      <c r="X189" s="577"/>
      <c r="Y189" s="585"/>
      <c r="Z189" s="586"/>
      <c r="AA189" s="577"/>
      <c r="AB189" s="572"/>
      <c r="AC189" s="420"/>
      <c r="AD189" s="584"/>
      <c r="AE189" s="584"/>
      <c r="AF189" s="587"/>
      <c r="AG189" s="588"/>
      <c r="AH189" s="587"/>
      <c r="AI189" s="589"/>
      <c r="AJ189" s="468"/>
      <c r="AK189" s="477" t="str">
        <f>IF(AM189="Chưa xếp lịch","Chưa xếp lịch",IF(AM189="Định kỳ",IF(AN189="","Thiếu chu kỳ","Theo chu kỳ"),IF(AM189="Khi phát sinh",IF(COUNTIFS('Lớp 6 - Chi tiết'!$J$14:$J$267,$I189,'Lớp 6 - Chi tiết'!$AE$14:$AE$267,"&lt;&gt;Hủy")=0,"Khi phát sinh – chờ việc con","Khi phát sinh – theo ngày con"),IF(I189="","",LET(n,COUNTIFS('Lớp 6 - Chi tiết'!$J$14:$J$267,$I189,'Lớp 6 - Chi tiết'!$AE$14:$AE$267,"&lt;&gt;Hủy"),cs,IFERROR(MINIFS('Lớp 6 - Chi tiết'!$AG$14:$AG$267,'Lớp 6 - Chi tiết'!$J$14:$J$267,$I189,'Lớp 6 - Chi tiết'!$AE$14:$AE$267,"&lt;&gt;Hủy",'Lớp 6 - Chi tiết'!$AG$14:$AG$267,"&gt;0"),0),ce,IFERROR(MAXIFS('Lớp 6 - Chi tiết'!$AH$14:$AH$267,'Lớp 6 - Chi tiết'!$J$14:$J$267,$I189,'Lớp 6 - Chi tiết'!$AE$14:$AE$267,"&lt;&gt;Hủy",'Lớp 6 - Chi tiết'!$AH$14:$AH$267,"&gt;0"),0),ps,'Trung tâm nhập liệu'!R339,pe,'Trung tâm nhập liệu'!Q339,IF(OR(AD189="",AE189=""),"Thiếu ngày L5",IF(n=0,"Chưa có L6",IF(OR(cs=0,ce=0),"Thiếu ngày L6",IF(OR(ps="",pe=""),"Thiếu ngày kế hoạch gốc L5",IF(OR(cs&lt;ps,ce&gt;pe),"Cảnh báo: Con vượt khung kế hoạch gốc","L6 đúng khung kế hoạch gốc"))))))))))</f>
        <v/>
      </c>
      <c r="AL189" s="465"/>
      <c r="AM189" s="467"/>
      <c r="AN189" s="469"/>
      <c r="AO189" s="470"/>
      <c r="AP189" s="470"/>
      <c r="AQ189" s="471"/>
      <c r="AR189" s="469"/>
      <c r="AS189" s="475"/>
      <c r="AT189" s="476"/>
      <c r="AU189" s="478"/>
      <c r="AV189" s="465"/>
      <c r="AW189" s="465"/>
      <c r="AX189" s="479"/>
    </row>
    <row r="190" ht="15.75" customHeight="1">
      <c r="A190" s="424"/>
      <c r="B190" s="572"/>
      <c r="C190" s="591"/>
      <c r="D190" s="623"/>
      <c r="E190" s="617"/>
      <c r="F190" s="575"/>
      <c r="G190" s="575"/>
      <c r="H190" s="576"/>
      <c r="I190" s="577"/>
      <c r="J190" s="577"/>
      <c r="K190" s="597"/>
      <c r="L190" s="598"/>
      <c r="M190" s="438"/>
      <c r="N190" s="597"/>
      <c r="O190" s="597"/>
      <c r="P190" s="597"/>
      <c r="Q190" s="581"/>
      <c r="R190" s="420"/>
      <c r="S190" s="582"/>
      <c r="T190" s="583"/>
      <c r="U190" s="584" t="str">
        <f>IF($I190="","",LET(n,COUNTIFS('Lớp 6 - Chi tiết'!$J$14:$J$267,$I190,'Lớp 6 - Chi tiết'!$AE$14:$AE$267,"&lt;&gt;Hủy"),child,IFERROR(MAXIFS('Lớp 6 - Chi tiết'!$AH$14:$AH$267,'Lớp 6 - Chi tiết'!$J$14:$J$267,$I190,'Lớp 6 - Chi tiết'!$AE$14:$AE$267,"&lt;&gt;Hủy",'Lớp 6 - Chi tiết'!$AH$14:$AH$267,"&gt;0"),0),plan,'Trung tâm nhập liệu'!Q340,emergent,LOWER(TRIM('Trung tâm nhập liệu'!O340))="khi phát sinh",IF(n=0,IF(emergent,"",plan),IF(child=0,IF(emergent,"",plan),IF(OR(emergent,plan=""),child,MAX(plan,child))))))</f>
        <v/>
      </c>
      <c r="V190" s="584" t="str">
        <f>IF($I190="","",LET(n,COUNTIFS('Lớp 6 - Chi tiết'!$J$14:$J$267,$I190,'Lớp 6 - Chi tiết'!$AE$14:$AE$267,"&lt;&gt;Hủy"),child,IFERROR(MINIFS('Lớp 6 - Chi tiết'!$AG$14:$AG$267,'Lớp 6 - Chi tiết'!$J$14:$J$267,$I190,'Lớp 6 - Chi tiết'!$AE$14:$AE$267,"&lt;&gt;Hủy",'Lớp 6 - Chi tiết'!$AG$14:$AG$267,"&gt;0"),0),plan,'Trung tâm nhập liệu'!R340,emergent,LOWER(TRIM('Trung tâm nhập liệu'!O340))="khi phát sinh",IF(n=0,IF(emergent,"",plan),IF(child=0,IF(emergent,"",plan),IF(OR(emergent,plan=""),child,MIN(plan,child))))))</f>
        <v/>
      </c>
      <c r="W190" s="577"/>
      <c r="X190" s="577"/>
      <c r="Y190" s="585"/>
      <c r="Z190" s="586"/>
      <c r="AA190" s="577"/>
      <c r="AB190" s="572"/>
      <c r="AC190" s="420"/>
      <c r="AD190" s="584"/>
      <c r="AE190" s="584"/>
      <c r="AF190" s="587"/>
      <c r="AG190" s="588"/>
      <c r="AH190" s="587"/>
      <c r="AI190" s="589"/>
      <c r="AJ190" s="468"/>
      <c r="AK190" s="477" t="str">
        <f>IF(AM190="Chưa xếp lịch","Chưa xếp lịch",IF(AM190="Định kỳ",IF(AN190="","Thiếu chu kỳ","Theo chu kỳ"),IF(AM190="Khi phát sinh",IF(COUNTIFS('Lớp 6 - Chi tiết'!$J$14:$J$267,$I190,'Lớp 6 - Chi tiết'!$AE$14:$AE$267,"&lt;&gt;Hủy")=0,"Khi phát sinh – chờ việc con","Khi phát sinh – theo ngày con"),IF(I190="","",LET(n,COUNTIFS('Lớp 6 - Chi tiết'!$J$14:$J$267,$I190,'Lớp 6 - Chi tiết'!$AE$14:$AE$267,"&lt;&gt;Hủy"),cs,IFERROR(MINIFS('Lớp 6 - Chi tiết'!$AG$14:$AG$267,'Lớp 6 - Chi tiết'!$J$14:$J$267,$I190,'Lớp 6 - Chi tiết'!$AE$14:$AE$267,"&lt;&gt;Hủy",'Lớp 6 - Chi tiết'!$AG$14:$AG$267,"&gt;0"),0),ce,IFERROR(MAXIFS('Lớp 6 - Chi tiết'!$AH$14:$AH$267,'Lớp 6 - Chi tiết'!$J$14:$J$267,$I190,'Lớp 6 - Chi tiết'!$AE$14:$AE$267,"&lt;&gt;Hủy",'Lớp 6 - Chi tiết'!$AH$14:$AH$267,"&gt;0"),0),ps,'Trung tâm nhập liệu'!R340,pe,'Trung tâm nhập liệu'!Q340,IF(OR(AD190="",AE190=""),"Thiếu ngày L5",IF(n=0,"Chưa có L6",IF(OR(cs=0,ce=0),"Thiếu ngày L6",IF(OR(ps="",pe=""),"Thiếu ngày kế hoạch gốc L5",IF(OR(cs&lt;ps,ce&gt;pe),"Cảnh báo: Con vượt khung kế hoạch gốc","L6 đúng khung kế hoạch gốc"))))))))))</f>
        <v/>
      </c>
      <c r="AL190" s="465"/>
      <c r="AM190" s="467"/>
      <c r="AN190" s="469"/>
      <c r="AO190" s="470"/>
      <c r="AP190" s="470"/>
      <c r="AQ190" s="471"/>
      <c r="AR190" s="469"/>
      <c r="AS190" s="475"/>
      <c r="AT190" s="476"/>
      <c r="AU190" s="478"/>
      <c r="AV190" s="465"/>
      <c r="AW190" s="465"/>
      <c r="AX190" s="479"/>
    </row>
    <row r="191" ht="15.75" customHeight="1">
      <c r="A191" s="424"/>
      <c r="B191" s="572"/>
      <c r="C191" s="591"/>
      <c r="D191" s="623"/>
      <c r="E191" s="617"/>
      <c r="F191" s="575"/>
      <c r="G191" s="575"/>
      <c r="H191" s="576"/>
      <c r="I191" s="577"/>
      <c r="J191" s="577"/>
      <c r="K191" s="597"/>
      <c r="L191" s="598"/>
      <c r="M191" s="438"/>
      <c r="N191" s="597"/>
      <c r="O191" s="597"/>
      <c r="P191" s="597"/>
      <c r="Q191" s="581"/>
      <c r="R191" s="420"/>
      <c r="S191" s="582"/>
      <c r="T191" s="583"/>
      <c r="U191" s="584" t="str">
        <f>IF($I191="","",LET(n,COUNTIFS('Lớp 6 - Chi tiết'!$J$14:$J$267,$I191,'Lớp 6 - Chi tiết'!$AE$14:$AE$267,"&lt;&gt;Hủy"),child,IFERROR(MAXIFS('Lớp 6 - Chi tiết'!$AH$14:$AH$267,'Lớp 6 - Chi tiết'!$J$14:$J$267,$I191,'Lớp 6 - Chi tiết'!$AE$14:$AE$267,"&lt;&gt;Hủy",'Lớp 6 - Chi tiết'!$AH$14:$AH$267,"&gt;0"),0),plan,'Trung tâm nhập liệu'!Q341,emergent,LOWER(TRIM('Trung tâm nhập liệu'!O341))="khi phát sinh",IF(n=0,IF(emergent,"",plan),IF(child=0,IF(emergent,"",plan),IF(OR(emergent,plan=""),child,MAX(plan,child))))))</f>
        <v/>
      </c>
      <c r="V191" s="584" t="str">
        <f>IF($I191="","",LET(n,COUNTIFS('Lớp 6 - Chi tiết'!$J$14:$J$267,$I191,'Lớp 6 - Chi tiết'!$AE$14:$AE$267,"&lt;&gt;Hủy"),child,IFERROR(MINIFS('Lớp 6 - Chi tiết'!$AG$14:$AG$267,'Lớp 6 - Chi tiết'!$J$14:$J$267,$I191,'Lớp 6 - Chi tiết'!$AE$14:$AE$267,"&lt;&gt;Hủy",'Lớp 6 - Chi tiết'!$AG$14:$AG$267,"&gt;0"),0),plan,'Trung tâm nhập liệu'!R341,emergent,LOWER(TRIM('Trung tâm nhập liệu'!O341))="khi phát sinh",IF(n=0,IF(emergent,"",plan),IF(child=0,IF(emergent,"",plan),IF(OR(emergent,plan=""),child,MIN(plan,child))))))</f>
        <v/>
      </c>
      <c r="W191" s="577"/>
      <c r="X191" s="577"/>
      <c r="Y191" s="585"/>
      <c r="Z191" s="586"/>
      <c r="AA191" s="577"/>
      <c r="AB191" s="572"/>
      <c r="AC191" s="420"/>
      <c r="AD191" s="584"/>
      <c r="AE191" s="584"/>
      <c r="AF191" s="587"/>
      <c r="AG191" s="588"/>
      <c r="AH191" s="587"/>
      <c r="AI191" s="589"/>
      <c r="AJ191" s="468"/>
      <c r="AK191" s="477" t="str">
        <f>IF(AM191="Chưa xếp lịch","Chưa xếp lịch",IF(AM191="Định kỳ",IF(AN191="","Thiếu chu kỳ","Theo chu kỳ"),IF(AM191="Khi phát sinh",IF(COUNTIFS('Lớp 6 - Chi tiết'!$J$14:$J$267,$I191,'Lớp 6 - Chi tiết'!$AE$14:$AE$267,"&lt;&gt;Hủy")=0,"Khi phát sinh – chờ việc con","Khi phát sinh – theo ngày con"),IF(I191="","",LET(n,COUNTIFS('Lớp 6 - Chi tiết'!$J$14:$J$267,$I191,'Lớp 6 - Chi tiết'!$AE$14:$AE$267,"&lt;&gt;Hủy"),cs,IFERROR(MINIFS('Lớp 6 - Chi tiết'!$AG$14:$AG$267,'Lớp 6 - Chi tiết'!$J$14:$J$267,$I191,'Lớp 6 - Chi tiết'!$AE$14:$AE$267,"&lt;&gt;Hủy",'Lớp 6 - Chi tiết'!$AG$14:$AG$267,"&gt;0"),0),ce,IFERROR(MAXIFS('Lớp 6 - Chi tiết'!$AH$14:$AH$267,'Lớp 6 - Chi tiết'!$J$14:$J$267,$I191,'Lớp 6 - Chi tiết'!$AE$14:$AE$267,"&lt;&gt;Hủy",'Lớp 6 - Chi tiết'!$AH$14:$AH$267,"&gt;0"),0),ps,'Trung tâm nhập liệu'!R341,pe,'Trung tâm nhập liệu'!Q341,IF(OR(AD191="",AE191=""),"Thiếu ngày L5",IF(n=0,"Chưa có L6",IF(OR(cs=0,ce=0),"Thiếu ngày L6",IF(OR(ps="",pe=""),"Thiếu ngày kế hoạch gốc L5",IF(OR(cs&lt;ps,ce&gt;pe),"Cảnh báo: Con vượt khung kế hoạch gốc","L6 đúng khung kế hoạch gốc"))))))))))</f>
        <v/>
      </c>
      <c r="AL191" s="465"/>
      <c r="AM191" s="467"/>
      <c r="AN191" s="469"/>
      <c r="AO191" s="470"/>
      <c r="AP191" s="470"/>
      <c r="AQ191" s="471"/>
      <c r="AR191" s="469"/>
      <c r="AS191" s="475"/>
      <c r="AT191" s="476"/>
      <c r="AU191" s="478"/>
      <c r="AV191" s="465"/>
      <c r="AW191" s="465"/>
      <c r="AX191" s="479"/>
    </row>
    <row r="192" ht="15.75" customHeight="1">
      <c r="A192" s="424"/>
      <c r="B192" s="572"/>
      <c r="C192" s="591"/>
      <c r="D192" s="623"/>
      <c r="E192" s="617"/>
      <c r="F192" s="575"/>
      <c r="G192" s="575"/>
      <c r="H192" s="576"/>
      <c r="I192" s="577"/>
      <c r="J192" s="577"/>
      <c r="K192" s="597"/>
      <c r="L192" s="598"/>
      <c r="M192" s="438"/>
      <c r="N192" s="597"/>
      <c r="O192" s="597"/>
      <c r="P192" s="597"/>
      <c r="Q192" s="581"/>
      <c r="R192" s="420"/>
      <c r="S192" s="582"/>
      <c r="T192" s="583"/>
      <c r="U192" s="584" t="str">
        <f>IF($I192="","",LET(n,COUNTIFS('Lớp 6 - Chi tiết'!$J$14:$J$267,$I192,'Lớp 6 - Chi tiết'!$AE$14:$AE$267,"&lt;&gt;Hủy"),child,IFERROR(MAXIFS('Lớp 6 - Chi tiết'!$AH$14:$AH$267,'Lớp 6 - Chi tiết'!$J$14:$J$267,$I192,'Lớp 6 - Chi tiết'!$AE$14:$AE$267,"&lt;&gt;Hủy",'Lớp 6 - Chi tiết'!$AH$14:$AH$267,"&gt;0"),0),plan,'Trung tâm nhập liệu'!Q342,emergent,LOWER(TRIM('Trung tâm nhập liệu'!O342))="khi phát sinh",IF(n=0,IF(emergent,"",plan),IF(child=0,IF(emergent,"",plan),IF(OR(emergent,plan=""),child,MAX(plan,child))))))</f>
        <v/>
      </c>
      <c r="V192" s="584" t="str">
        <f>IF($I192="","",LET(n,COUNTIFS('Lớp 6 - Chi tiết'!$J$14:$J$267,$I192,'Lớp 6 - Chi tiết'!$AE$14:$AE$267,"&lt;&gt;Hủy"),child,IFERROR(MINIFS('Lớp 6 - Chi tiết'!$AG$14:$AG$267,'Lớp 6 - Chi tiết'!$J$14:$J$267,$I192,'Lớp 6 - Chi tiết'!$AE$14:$AE$267,"&lt;&gt;Hủy",'Lớp 6 - Chi tiết'!$AG$14:$AG$267,"&gt;0"),0),plan,'Trung tâm nhập liệu'!R342,emergent,LOWER(TRIM('Trung tâm nhập liệu'!O342))="khi phát sinh",IF(n=0,IF(emergent,"",plan),IF(child=0,IF(emergent,"",plan),IF(OR(emergent,plan=""),child,MIN(plan,child))))))</f>
        <v/>
      </c>
      <c r="W192" s="577"/>
      <c r="X192" s="577"/>
      <c r="Y192" s="585"/>
      <c r="Z192" s="586"/>
      <c r="AA192" s="577"/>
      <c r="AB192" s="572"/>
      <c r="AC192" s="420"/>
      <c r="AD192" s="584"/>
      <c r="AE192" s="584"/>
      <c r="AF192" s="587"/>
      <c r="AG192" s="588"/>
      <c r="AH192" s="587"/>
      <c r="AI192" s="589"/>
      <c r="AJ192" s="468"/>
      <c r="AK192" s="477" t="str">
        <f>IF(AM192="Chưa xếp lịch","Chưa xếp lịch",IF(AM192="Định kỳ",IF(AN192="","Thiếu chu kỳ","Theo chu kỳ"),IF(AM192="Khi phát sinh",IF(COUNTIFS('Lớp 6 - Chi tiết'!$J$14:$J$267,$I192,'Lớp 6 - Chi tiết'!$AE$14:$AE$267,"&lt;&gt;Hủy")=0,"Khi phát sinh – chờ việc con","Khi phát sinh – theo ngày con"),IF(I192="","",LET(n,COUNTIFS('Lớp 6 - Chi tiết'!$J$14:$J$267,$I192,'Lớp 6 - Chi tiết'!$AE$14:$AE$267,"&lt;&gt;Hủy"),cs,IFERROR(MINIFS('Lớp 6 - Chi tiết'!$AG$14:$AG$267,'Lớp 6 - Chi tiết'!$J$14:$J$267,$I192,'Lớp 6 - Chi tiết'!$AE$14:$AE$267,"&lt;&gt;Hủy",'Lớp 6 - Chi tiết'!$AG$14:$AG$267,"&gt;0"),0),ce,IFERROR(MAXIFS('Lớp 6 - Chi tiết'!$AH$14:$AH$267,'Lớp 6 - Chi tiết'!$J$14:$J$267,$I192,'Lớp 6 - Chi tiết'!$AE$14:$AE$267,"&lt;&gt;Hủy",'Lớp 6 - Chi tiết'!$AH$14:$AH$267,"&gt;0"),0),ps,'Trung tâm nhập liệu'!R342,pe,'Trung tâm nhập liệu'!Q342,IF(OR(AD192="",AE192=""),"Thiếu ngày L5",IF(n=0,"Chưa có L6",IF(OR(cs=0,ce=0),"Thiếu ngày L6",IF(OR(ps="",pe=""),"Thiếu ngày kế hoạch gốc L5",IF(OR(cs&lt;ps,ce&gt;pe),"Cảnh báo: Con vượt khung kế hoạch gốc","L6 đúng khung kế hoạch gốc"))))))))))</f>
        <v/>
      </c>
      <c r="AL192" s="465"/>
      <c r="AM192" s="467"/>
      <c r="AN192" s="469"/>
      <c r="AO192" s="470"/>
      <c r="AP192" s="470"/>
      <c r="AQ192" s="471"/>
      <c r="AR192" s="469"/>
      <c r="AS192" s="475"/>
      <c r="AT192" s="476"/>
      <c r="AU192" s="478"/>
      <c r="AV192" s="465"/>
      <c r="AW192" s="465"/>
      <c r="AX192" s="479"/>
    </row>
    <row r="193" ht="15.75" customHeight="1">
      <c r="A193" s="424"/>
      <c r="B193" s="572"/>
      <c r="C193" s="591"/>
      <c r="D193" s="623"/>
      <c r="E193" s="617"/>
      <c r="F193" s="575"/>
      <c r="G193" s="575"/>
      <c r="H193" s="576"/>
      <c r="I193" s="577"/>
      <c r="J193" s="577"/>
      <c r="K193" s="597"/>
      <c r="L193" s="598"/>
      <c r="M193" s="438"/>
      <c r="N193" s="597"/>
      <c r="O193" s="597"/>
      <c r="P193" s="597"/>
      <c r="Q193" s="581"/>
      <c r="R193" s="420"/>
      <c r="S193" s="582"/>
      <c r="T193" s="583"/>
      <c r="U193" s="584" t="str">
        <f>IF($I193="","",LET(n,COUNTIFS('Lớp 6 - Chi tiết'!$J$14:$J$267,$I193,'Lớp 6 - Chi tiết'!$AE$14:$AE$267,"&lt;&gt;Hủy"),child,IFERROR(MAXIFS('Lớp 6 - Chi tiết'!$AH$14:$AH$267,'Lớp 6 - Chi tiết'!$J$14:$J$267,$I193,'Lớp 6 - Chi tiết'!$AE$14:$AE$267,"&lt;&gt;Hủy",'Lớp 6 - Chi tiết'!$AH$14:$AH$267,"&gt;0"),0),plan,'Trung tâm nhập liệu'!Q343,emergent,LOWER(TRIM('Trung tâm nhập liệu'!O343))="khi phát sinh",IF(n=0,IF(emergent,"",plan),IF(child=0,IF(emergent,"",plan),IF(OR(emergent,plan=""),child,MAX(plan,child))))))</f>
        <v/>
      </c>
      <c r="V193" s="584" t="str">
        <f>IF($I193="","",LET(n,COUNTIFS('Lớp 6 - Chi tiết'!$J$14:$J$267,$I193,'Lớp 6 - Chi tiết'!$AE$14:$AE$267,"&lt;&gt;Hủy"),child,IFERROR(MINIFS('Lớp 6 - Chi tiết'!$AG$14:$AG$267,'Lớp 6 - Chi tiết'!$J$14:$J$267,$I193,'Lớp 6 - Chi tiết'!$AE$14:$AE$267,"&lt;&gt;Hủy",'Lớp 6 - Chi tiết'!$AG$14:$AG$267,"&gt;0"),0),plan,'Trung tâm nhập liệu'!R343,emergent,LOWER(TRIM('Trung tâm nhập liệu'!O343))="khi phát sinh",IF(n=0,IF(emergent,"",plan),IF(child=0,IF(emergent,"",plan),IF(OR(emergent,plan=""),child,MIN(plan,child))))))</f>
        <v/>
      </c>
      <c r="W193" s="577"/>
      <c r="X193" s="577"/>
      <c r="Y193" s="585"/>
      <c r="Z193" s="586"/>
      <c r="AA193" s="577"/>
      <c r="AB193" s="572"/>
      <c r="AC193" s="420"/>
      <c r="AD193" s="584"/>
      <c r="AE193" s="584"/>
      <c r="AF193" s="587"/>
      <c r="AG193" s="588"/>
      <c r="AH193" s="587"/>
      <c r="AI193" s="589"/>
      <c r="AJ193" s="468"/>
      <c r="AK193" s="477" t="str">
        <f>IF(AM193="Chưa xếp lịch","Chưa xếp lịch",IF(AM193="Định kỳ",IF(AN193="","Thiếu chu kỳ","Theo chu kỳ"),IF(AM193="Khi phát sinh",IF(COUNTIFS('Lớp 6 - Chi tiết'!$J$14:$J$267,$I193,'Lớp 6 - Chi tiết'!$AE$14:$AE$267,"&lt;&gt;Hủy")=0,"Khi phát sinh – chờ việc con","Khi phát sinh – theo ngày con"),IF(I193="","",LET(n,COUNTIFS('Lớp 6 - Chi tiết'!$J$14:$J$267,$I193,'Lớp 6 - Chi tiết'!$AE$14:$AE$267,"&lt;&gt;Hủy"),cs,IFERROR(MINIFS('Lớp 6 - Chi tiết'!$AG$14:$AG$267,'Lớp 6 - Chi tiết'!$J$14:$J$267,$I193,'Lớp 6 - Chi tiết'!$AE$14:$AE$267,"&lt;&gt;Hủy",'Lớp 6 - Chi tiết'!$AG$14:$AG$267,"&gt;0"),0),ce,IFERROR(MAXIFS('Lớp 6 - Chi tiết'!$AH$14:$AH$267,'Lớp 6 - Chi tiết'!$J$14:$J$267,$I193,'Lớp 6 - Chi tiết'!$AE$14:$AE$267,"&lt;&gt;Hủy",'Lớp 6 - Chi tiết'!$AH$14:$AH$267,"&gt;0"),0),ps,'Trung tâm nhập liệu'!R343,pe,'Trung tâm nhập liệu'!Q343,IF(OR(AD193="",AE193=""),"Thiếu ngày L5",IF(n=0,"Chưa có L6",IF(OR(cs=0,ce=0),"Thiếu ngày L6",IF(OR(ps="",pe=""),"Thiếu ngày kế hoạch gốc L5",IF(OR(cs&lt;ps,ce&gt;pe),"Cảnh báo: Con vượt khung kế hoạch gốc","L6 đúng khung kế hoạch gốc"))))))))))</f>
        <v/>
      </c>
      <c r="AL193" s="465"/>
      <c r="AM193" s="467"/>
      <c r="AN193" s="469"/>
      <c r="AO193" s="470"/>
      <c r="AP193" s="470"/>
      <c r="AQ193" s="471"/>
      <c r="AR193" s="469"/>
      <c r="AS193" s="475"/>
      <c r="AT193" s="476"/>
      <c r="AU193" s="478"/>
      <c r="AV193" s="465"/>
      <c r="AW193" s="465"/>
      <c r="AX193" s="479"/>
    </row>
    <row r="194" ht="15.75" customHeight="1">
      <c r="A194" s="424"/>
      <c r="B194" s="572"/>
      <c r="C194" s="591"/>
      <c r="D194" s="623"/>
      <c r="E194" s="617"/>
      <c r="F194" s="575"/>
      <c r="G194" s="575"/>
      <c r="H194" s="576"/>
      <c r="I194" s="577"/>
      <c r="J194" s="577"/>
      <c r="K194" s="597"/>
      <c r="L194" s="598"/>
      <c r="M194" s="438"/>
      <c r="N194" s="597"/>
      <c r="O194" s="597"/>
      <c r="P194" s="597"/>
      <c r="Q194" s="581"/>
      <c r="R194" s="420"/>
      <c r="S194" s="582"/>
      <c r="T194" s="583"/>
      <c r="U194" s="584" t="str">
        <f>IF($I194="","",LET(n,COUNTIFS('Lớp 6 - Chi tiết'!$J$14:$J$267,$I194,'Lớp 6 - Chi tiết'!$AE$14:$AE$267,"&lt;&gt;Hủy"),child,IFERROR(MAXIFS('Lớp 6 - Chi tiết'!$AH$14:$AH$267,'Lớp 6 - Chi tiết'!$J$14:$J$267,$I194,'Lớp 6 - Chi tiết'!$AE$14:$AE$267,"&lt;&gt;Hủy",'Lớp 6 - Chi tiết'!$AH$14:$AH$267,"&gt;0"),0),plan,'Trung tâm nhập liệu'!Q344,emergent,LOWER(TRIM('Trung tâm nhập liệu'!O344))="khi phát sinh",IF(n=0,IF(emergent,"",plan),IF(child=0,IF(emergent,"",plan),IF(OR(emergent,plan=""),child,MAX(plan,child))))))</f>
        <v/>
      </c>
      <c r="V194" s="584" t="str">
        <f>IF($I194="","",LET(n,COUNTIFS('Lớp 6 - Chi tiết'!$J$14:$J$267,$I194,'Lớp 6 - Chi tiết'!$AE$14:$AE$267,"&lt;&gt;Hủy"),child,IFERROR(MINIFS('Lớp 6 - Chi tiết'!$AG$14:$AG$267,'Lớp 6 - Chi tiết'!$J$14:$J$267,$I194,'Lớp 6 - Chi tiết'!$AE$14:$AE$267,"&lt;&gt;Hủy",'Lớp 6 - Chi tiết'!$AG$14:$AG$267,"&gt;0"),0),plan,'Trung tâm nhập liệu'!R344,emergent,LOWER(TRIM('Trung tâm nhập liệu'!O344))="khi phát sinh",IF(n=0,IF(emergent,"",plan),IF(child=0,IF(emergent,"",plan),IF(OR(emergent,plan=""),child,MIN(plan,child))))))</f>
        <v/>
      </c>
      <c r="W194" s="577"/>
      <c r="X194" s="577"/>
      <c r="Y194" s="585"/>
      <c r="Z194" s="586"/>
      <c r="AA194" s="577"/>
      <c r="AB194" s="572"/>
      <c r="AC194" s="420"/>
      <c r="AD194" s="584"/>
      <c r="AE194" s="584"/>
      <c r="AF194" s="587"/>
      <c r="AG194" s="588"/>
      <c r="AH194" s="587"/>
      <c r="AI194" s="589"/>
      <c r="AJ194" s="468"/>
      <c r="AK194" s="477" t="str">
        <f>IF(AM194="Chưa xếp lịch","Chưa xếp lịch",IF(AM194="Định kỳ",IF(AN194="","Thiếu chu kỳ","Theo chu kỳ"),IF(AM194="Khi phát sinh",IF(COUNTIFS('Lớp 6 - Chi tiết'!$J$14:$J$267,$I194,'Lớp 6 - Chi tiết'!$AE$14:$AE$267,"&lt;&gt;Hủy")=0,"Khi phát sinh – chờ việc con","Khi phát sinh – theo ngày con"),IF(I194="","",LET(n,COUNTIFS('Lớp 6 - Chi tiết'!$J$14:$J$267,$I194,'Lớp 6 - Chi tiết'!$AE$14:$AE$267,"&lt;&gt;Hủy"),cs,IFERROR(MINIFS('Lớp 6 - Chi tiết'!$AG$14:$AG$267,'Lớp 6 - Chi tiết'!$J$14:$J$267,$I194,'Lớp 6 - Chi tiết'!$AE$14:$AE$267,"&lt;&gt;Hủy",'Lớp 6 - Chi tiết'!$AG$14:$AG$267,"&gt;0"),0),ce,IFERROR(MAXIFS('Lớp 6 - Chi tiết'!$AH$14:$AH$267,'Lớp 6 - Chi tiết'!$J$14:$J$267,$I194,'Lớp 6 - Chi tiết'!$AE$14:$AE$267,"&lt;&gt;Hủy",'Lớp 6 - Chi tiết'!$AH$14:$AH$267,"&gt;0"),0),ps,'Trung tâm nhập liệu'!R344,pe,'Trung tâm nhập liệu'!Q344,IF(OR(AD194="",AE194=""),"Thiếu ngày L5",IF(n=0,"Chưa có L6",IF(OR(cs=0,ce=0),"Thiếu ngày L6",IF(OR(ps="",pe=""),"Thiếu ngày kế hoạch gốc L5",IF(OR(cs&lt;ps,ce&gt;pe),"Cảnh báo: Con vượt khung kế hoạch gốc","L6 đúng khung kế hoạch gốc"))))))))))</f>
        <v/>
      </c>
      <c r="AL194" s="465"/>
      <c r="AM194" s="467"/>
      <c r="AN194" s="469"/>
      <c r="AO194" s="470"/>
      <c r="AP194" s="470"/>
      <c r="AQ194" s="471"/>
      <c r="AR194" s="469"/>
      <c r="AS194" s="475"/>
      <c r="AT194" s="476"/>
      <c r="AU194" s="478"/>
      <c r="AV194" s="465"/>
      <c r="AW194" s="465"/>
      <c r="AX194" s="479"/>
    </row>
    <row r="195" ht="15.75" customHeight="1">
      <c r="A195" s="424"/>
      <c r="B195" s="572"/>
      <c r="C195" s="591"/>
      <c r="D195" s="623"/>
      <c r="E195" s="617"/>
      <c r="F195" s="575"/>
      <c r="G195" s="575"/>
      <c r="H195" s="576"/>
      <c r="I195" s="577"/>
      <c r="J195" s="577"/>
      <c r="K195" s="597"/>
      <c r="L195" s="598"/>
      <c r="M195" s="438"/>
      <c r="N195" s="597"/>
      <c r="O195" s="597"/>
      <c r="P195" s="597"/>
      <c r="Q195" s="581"/>
      <c r="R195" s="420"/>
      <c r="S195" s="582"/>
      <c r="T195" s="583"/>
      <c r="U195" s="584" t="str">
        <f>IF($I195="","",LET(n,COUNTIFS('Lớp 6 - Chi tiết'!$J$14:$J$267,$I195,'Lớp 6 - Chi tiết'!$AE$14:$AE$267,"&lt;&gt;Hủy"),child,IFERROR(MAXIFS('Lớp 6 - Chi tiết'!$AH$14:$AH$267,'Lớp 6 - Chi tiết'!$J$14:$J$267,$I195,'Lớp 6 - Chi tiết'!$AE$14:$AE$267,"&lt;&gt;Hủy",'Lớp 6 - Chi tiết'!$AH$14:$AH$267,"&gt;0"),0),plan,'Trung tâm nhập liệu'!Q345,emergent,LOWER(TRIM('Trung tâm nhập liệu'!O345))="khi phát sinh",IF(n=0,IF(emergent,"",plan),IF(child=0,IF(emergent,"",plan),IF(OR(emergent,plan=""),child,MAX(plan,child))))))</f>
        <v/>
      </c>
      <c r="V195" s="584" t="str">
        <f>IF($I195="","",LET(n,COUNTIFS('Lớp 6 - Chi tiết'!$J$14:$J$267,$I195,'Lớp 6 - Chi tiết'!$AE$14:$AE$267,"&lt;&gt;Hủy"),child,IFERROR(MINIFS('Lớp 6 - Chi tiết'!$AG$14:$AG$267,'Lớp 6 - Chi tiết'!$J$14:$J$267,$I195,'Lớp 6 - Chi tiết'!$AE$14:$AE$267,"&lt;&gt;Hủy",'Lớp 6 - Chi tiết'!$AG$14:$AG$267,"&gt;0"),0),plan,'Trung tâm nhập liệu'!R345,emergent,LOWER(TRIM('Trung tâm nhập liệu'!O345))="khi phát sinh",IF(n=0,IF(emergent,"",plan),IF(child=0,IF(emergent,"",plan),IF(OR(emergent,plan=""),child,MIN(plan,child))))))</f>
        <v/>
      </c>
      <c r="W195" s="577"/>
      <c r="X195" s="577"/>
      <c r="Y195" s="585"/>
      <c r="Z195" s="586"/>
      <c r="AA195" s="577"/>
      <c r="AB195" s="572"/>
      <c r="AC195" s="420"/>
      <c r="AD195" s="584"/>
      <c r="AE195" s="584"/>
      <c r="AF195" s="587"/>
      <c r="AG195" s="588"/>
      <c r="AH195" s="587"/>
      <c r="AI195" s="589"/>
      <c r="AJ195" s="468"/>
      <c r="AK195" s="477" t="str">
        <f>IF(AM195="Chưa xếp lịch","Chưa xếp lịch",IF(AM195="Định kỳ",IF(AN195="","Thiếu chu kỳ","Theo chu kỳ"),IF(AM195="Khi phát sinh",IF(COUNTIFS('Lớp 6 - Chi tiết'!$J$14:$J$267,$I195,'Lớp 6 - Chi tiết'!$AE$14:$AE$267,"&lt;&gt;Hủy")=0,"Khi phát sinh – chờ việc con","Khi phát sinh – theo ngày con"),IF(I195="","",LET(n,COUNTIFS('Lớp 6 - Chi tiết'!$J$14:$J$267,$I195,'Lớp 6 - Chi tiết'!$AE$14:$AE$267,"&lt;&gt;Hủy"),cs,IFERROR(MINIFS('Lớp 6 - Chi tiết'!$AG$14:$AG$267,'Lớp 6 - Chi tiết'!$J$14:$J$267,$I195,'Lớp 6 - Chi tiết'!$AE$14:$AE$267,"&lt;&gt;Hủy",'Lớp 6 - Chi tiết'!$AG$14:$AG$267,"&gt;0"),0),ce,IFERROR(MAXIFS('Lớp 6 - Chi tiết'!$AH$14:$AH$267,'Lớp 6 - Chi tiết'!$J$14:$J$267,$I195,'Lớp 6 - Chi tiết'!$AE$14:$AE$267,"&lt;&gt;Hủy",'Lớp 6 - Chi tiết'!$AH$14:$AH$267,"&gt;0"),0),ps,'Trung tâm nhập liệu'!R345,pe,'Trung tâm nhập liệu'!Q345,IF(OR(AD195="",AE195=""),"Thiếu ngày L5",IF(n=0,"Chưa có L6",IF(OR(cs=0,ce=0),"Thiếu ngày L6",IF(OR(ps="",pe=""),"Thiếu ngày kế hoạch gốc L5",IF(OR(cs&lt;ps,ce&gt;pe),"Cảnh báo: Con vượt khung kế hoạch gốc","L6 đúng khung kế hoạch gốc"))))))))))</f>
        <v/>
      </c>
      <c r="AL195" s="465"/>
      <c r="AM195" s="467"/>
      <c r="AN195" s="469"/>
      <c r="AO195" s="470"/>
      <c r="AP195" s="470"/>
      <c r="AQ195" s="471"/>
      <c r="AR195" s="469"/>
      <c r="AS195" s="475"/>
      <c r="AT195" s="476"/>
      <c r="AU195" s="478"/>
      <c r="AV195" s="465"/>
      <c r="AW195" s="465"/>
      <c r="AX195" s="479"/>
    </row>
    <row r="196" ht="15.75" customHeight="1">
      <c r="A196" s="424"/>
      <c r="B196" s="572"/>
      <c r="C196" s="591"/>
      <c r="D196" s="623"/>
      <c r="E196" s="617"/>
      <c r="F196" s="575"/>
      <c r="G196" s="575"/>
      <c r="H196" s="576"/>
      <c r="I196" s="577"/>
      <c r="J196" s="577"/>
      <c r="K196" s="597"/>
      <c r="L196" s="598"/>
      <c r="M196" s="438"/>
      <c r="N196" s="597"/>
      <c r="O196" s="597"/>
      <c r="P196" s="597"/>
      <c r="Q196" s="581"/>
      <c r="R196" s="420"/>
      <c r="S196" s="582"/>
      <c r="T196" s="583"/>
      <c r="U196" s="584" t="str">
        <f>IF($I196="","",LET(n,COUNTIFS('Lớp 6 - Chi tiết'!$J$14:$J$267,$I196,'Lớp 6 - Chi tiết'!$AE$14:$AE$267,"&lt;&gt;Hủy"),child,IFERROR(MAXIFS('Lớp 6 - Chi tiết'!$AH$14:$AH$267,'Lớp 6 - Chi tiết'!$J$14:$J$267,$I196,'Lớp 6 - Chi tiết'!$AE$14:$AE$267,"&lt;&gt;Hủy",'Lớp 6 - Chi tiết'!$AH$14:$AH$267,"&gt;0"),0),plan,'Trung tâm nhập liệu'!Q346,emergent,LOWER(TRIM('Trung tâm nhập liệu'!O346))="khi phát sinh",IF(n=0,IF(emergent,"",plan),IF(child=0,IF(emergent,"",plan),IF(OR(emergent,plan=""),child,MAX(plan,child))))))</f>
        <v/>
      </c>
      <c r="V196" s="584" t="str">
        <f>IF($I196="","",LET(n,COUNTIFS('Lớp 6 - Chi tiết'!$J$14:$J$267,$I196,'Lớp 6 - Chi tiết'!$AE$14:$AE$267,"&lt;&gt;Hủy"),child,IFERROR(MINIFS('Lớp 6 - Chi tiết'!$AG$14:$AG$267,'Lớp 6 - Chi tiết'!$J$14:$J$267,$I196,'Lớp 6 - Chi tiết'!$AE$14:$AE$267,"&lt;&gt;Hủy",'Lớp 6 - Chi tiết'!$AG$14:$AG$267,"&gt;0"),0),plan,'Trung tâm nhập liệu'!R346,emergent,LOWER(TRIM('Trung tâm nhập liệu'!O346))="khi phát sinh",IF(n=0,IF(emergent,"",plan),IF(child=0,IF(emergent,"",plan),IF(OR(emergent,plan=""),child,MIN(plan,child))))))</f>
        <v/>
      </c>
      <c r="W196" s="577"/>
      <c r="X196" s="577"/>
      <c r="Y196" s="585"/>
      <c r="Z196" s="586"/>
      <c r="AA196" s="577"/>
      <c r="AB196" s="572"/>
      <c r="AC196" s="420"/>
      <c r="AD196" s="584"/>
      <c r="AE196" s="584"/>
      <c r="AF196" s="587"/>
      <c r="AG196" s="588"/>
      <c r="AH196" s="587"/>
      <c r="AI196" s="589"/>
      <c r="AJ196" s="468"/>
      <c r="AK196" s="477" t="str">
        <f>IF(AM196="Chưa xếp lịch","Chưa xếp lịch",IF(AM196="Định kỳ",IF(AN196="","Thiếu chu kỳ","Theo chu kỳ"),IF(AM196="Khi phát sinh",IF(COUNTIFS('Lớp 6 - Chi tiết'!$J$14:$J$267,$I196,'Lớp 6 - Chi tiết'!$AE$14:$AE$267,"&lt;&gt;Hủy")=0,"Khi phát sinh – chờ việc con","Khi phát sinh – theo ngày con"),IF(I196="","",LET(n,COUNTIFS('Lớp 6 - Chi tiết'!$J$14:$J$267,$I196,'Lớp 6 - Chi tiết'!$AE$14:$AE$267,"&lt;&gt;Hủy"),cs,IFERROR(MINIFS('Lớp 6 - Chi tiết'!$AG$14:$AG$267,'Lớp 6 - Chi tiết'!$J$14:$J$267,$I196,'Lớp 6 - Chi tiết'!$AE$14:$AE$267,"&lt;&gt;Hủy",'Lớp 6 - Chi tiết'!$AG$14:$AG$267,"&gt;0"),0),ce,IFERROR(MAXIFS('Lớp 6 - Chi tiết'!$AH$14:$AH$267,'Lớp 6 - Chi tiết'!$J$14:$J$267,$I196,'Lớp 6 - Chi tiết'!$AE$14:$AE$267,"&lt;&gt;Hủy",'Lớp 6 - Chi tiết'!$AH$14:$AH$267,"&gt;0"),0),ps,'Trung tâm nhập liệu'!R346,pe,'Trung tâm nhập liệu'!Q346,IF(OR(AD196="",AE196=""),"Thiếu ngày L5",IF(n=0,"Chưa có L6",IF(OR(cs=0,ce=0),"Thiếu ngày L6",IF(OR(ps="",pe=""),"Thiếu ngày kế hoạch gốc L5",IF(OR(cs&lt;ps,ce&gt;pe),"Cảnh báo: Con vượt khung kế hoạch gốc","L6 đúng khung kế hoạch gốc"))))))))))</f>
        <v/>
      </c>
      <c r="AL196" s="465"/>
      <c r="AM196" s="467"/>
      <c r="AN196" s="469"/>
      <c r="AO196" s="470"/>
      <c r="AP196" s="470"/>
      <c r="AQ196" s="471"/>
      <c r="AR196" s="469"/>
      <c r="AS196" s="475"/>
      <c r="AT196" s="476"/>
      <c r="AU196" s="478"/>
      <c r="AV196" s="465"/>
      <c r="AW196" s="465"/>
      <c r="AX196" s="479"/>
    </row>
    <row r="197" ht="15.75" customHeight="1">
      <c r="A197" s="424"/>
      <c r="B197" s="572"/>
      <c r="C197" s="591"/>
      <c r="D197" s="623"/>
      <c r="E197" s="617"/>
      <c r="F197" s="575"/>
      <c r="G197" s="575"/>
      <c r="H197" s="576"/>
      <c r="I197" s="577"/>
      <c r="J197" s="577"/>
      <c r="K197" s="597"/>
      <c r="L197" s="598"/>
      <c r="M197" s="438"/>
      <c r="N197" s="597"/>
      <c r="O197" s="597"/>
      <c r="P197" s="597"/>
      <c r="Q197" s="581"/>
      <c r="R197" s="420"/>
      <c r="S197" s="582"/>
      <c r="T197" s="583"/>
      <c r="U197" s="584" t="str">
        <f>IF($I197="","",LET(n,COUNTIFS('Lớp 6 - Chi tiết'!$J$14:$J$267,$I197,'Lớp 6 - Chi tiết'!$AE$14:$AE$267,"&lt;&gt;Hủy"),child,IFERROR(MAXIFS('Lớp 6 - Chi tiết'!$AH$14:$AH$267,'Lớp 6 - Chi tiết'!$J$14:$J$267,$I197,'Lớp 6 - Chi tiết'!$AE$14:$AE$267,"&lt;&gt;Hủy",'Lớp 6 - Chi tiết'!$AH$14:$AH$267,"&gt;0"),0),plan,'Trung tâm nhập liệu'!Q347,emergent,LOWER(TRIM('Trung tâm nhập liệu'!O347))="khi phát sinh",IF(n=0,IF(emergent,"",plan),IF(child=0,IF(emergent,"",plan),IF(OR(emergent,plan=""),child,MAX(plan,child))))))</f>
        <v/>
      </c>
      <c r="V197" s="584" t="str">
        <f>IF($I197="","",LET(n,COUNTIFS('Lớp 6 - Chi tiết'!$J$14:$J$267,$I197,'Lớp 6 - Chi tiết'!$AE$14:$AE$267,"&lt;&gt;Hủy"),child,IFERROR(MINIFS('Lớp 6 - Chi tiết'!$AG$14:$AG$267,'Lớp 6 - Chi tiết'!$J$14:$J$267,$I197,'Lớp 6 - Chi tiết'!$AE$14:$AE$267,"&lt;&gt;Hủy",'Lớp 6 - Chi tiết'!$AG$14:$AG$267,"&gt;0"),0),plan,'Trung tâm nhập liệu'!R347,emergent,LOWER(TRIM('Trung tâm nhập liệu'!O347))="khi phát sinh",IF(n=0,IF(emergent,"",plan),IF(child=0,IF(emergent,"",plan),IF(OR(emergent,plan=""),child,MIN(plan,child))))))</f>
        <v/>
      </c>
      <c r="W197" s="577"/>
      <c r="X197" s="577"/>
      <c r="Y197" s="585"/>
      <c r="Z197" s="586"/>
      <c r="AA197" s="577"/>
      <c r="AB197" s="572"/>
      <c r="AC197" s="420"/>
      <c r="AD197" s="584"/>
      <c r="AE197" s="584"/>
      <c r="AF197" s="587"/>
      <c r="AG197" s="588"/>
      <c r="AH197" s="587"/>
      <c r="AI197" s="589"/>
      <c r="AJ197" s="468"/>
      <c r="AK197" s="477" t="str">
        <f>IF(AM197="Chưa xếp lịch","Chưa xếp lịch",IF(AM197="Định kỳ",IF(AN197="","Thiếu chu kỳ","Theo chu kỳ"),IF(AM197="Khi phát sinh",IF(COUNTIFS('Lớp 6 - Chi tiết'!$J$14:$J$267,$I197,'Lớp 6 - Chi tiết'!$AE$14:$AE$267,"&lt;&gt;Hủy")=0,"Khi phát sinh – chờ việc con","Khi phát sinh – theo ngày con"),IF(I197="","",LET(n,COUNTIFS('Lớp 6 - Chi tiết'!$J$14:$J$267,$I197,'Lớp 6 - Chi tiết'!$AE$14:$AE$267,"&lt;&gt;Hủy"),cs,IFERROR(MINIFS('Lớp 6 - Chi tiết'!$AG$14:$AG$267,'Lớp 6 - Chi tiết'!$J$14:$J$267,$I197,'Lớp 6 - Chi tiết'!$AE$14:$AE$267,"&lt;&gt;Hủy",'Lớp 6 - Chi tiết'!$AG$14:$AG$267,"&gt;0"),0),ce,IFERROR(MAXIFS('Lớp 6 - Chi tiết'!$AH$14:$AH$267,'Lớp 6 - Chi tiết'!$J$14:$J$267,$I197,'Lớp 6 - Chi tiết'!$AE$14:$AE$267,"&lt;&gt;Hủy",'Lớp 6 - Chi tiết'!$AH$14:$AH$267,"&gt;0"),0),ps,'Trung tâm nhập liệu'!R347,pe,'Trung tâm nhập liệu'!Q347,IF(OR(AD197="",AE197=""),"Thiếu ngày L5",IF(n=0,"Chưa có L6",IF(OR(cs=0,ce=0),"Thiếu ngày L6",IF(OR(ps="",pe=""),"Thiếu ngày kế hoạch gốc L5",IF(OR(cs&lt;ps,ce&gt;pe),"Cảnh báo: Con vượt khung kế hoạch gốc","L6 đúng khung kế hoạch gốc"))))))))))</f>
        <v/>
      </c>
      <c r="AL197" s="465"/>
      <c r="AM197" s="467"/>
      <c r="AN197" s="469"/>
      <c r="AO197" s="470"/>
      <c r="AP197" s="470"/>
      <c r="AQ197" s="471"/>
      <c r="AR197" s="469"/>
      <c r="AS197" s="475"/>
      <c r="AT197" s="476"/>
      <c r="AU197" s="478"/>
      <c r="AV197" s="465"/>
      <c r="AW197" s="465"/>
      <c r="AX197" s="479"/>
    </row>
    <row r="198" ht="15.75" customHeight="1">
      <c r="A198" s="424"/>
      <c r="B198" s="572"/>
      <c r="C198" s="591"/>
      <c r="D198" s="623"/>
      <c r="E198" s="617"/>
      <c r="F198" s="575"/>
      <c r="G198" s="575"/>
      <c r="H198" s="576"/>
      <c r="I198" s="577"/>
      <c r="J198" s="577"/>
      <c r="K198" s="597"/>
      <c r="L198" s="598"/>
      <c r="M198" s="438"/>
      <c r="N198" s="597"/>
      <c r="O198" s="597"/>
      <c r="P198" s="597"/>
      <c r="Q198" s="581"/>
      <c r="R198" s="420"/>
      <c r="S198" s="582"/>
      <c r="T198" s="583"/>
      <c r="U198" s="584" t="str">
        <f>IF($I198="","",LET(n,COUNTIFS('Lớp 6 - Chi tiết'!$J$14:$J$267,$I198,'Lớp 6 - Chi tiết'!$AE$14:$AE$267,"&lt;&gt;Hủy"),child,IFERROR(MAXIFS('Lớp 6 - Chi tiết'!$AH$14:$AH$267,'Lớp 6 - Chi tiết'!$J$14:$J$267,$I198,'Lớp 6 - Chi tiết'!$AE$14:$AE$267,"&lt;&gt;Hủy",'Lớp 6 - Chi tiết'!$AH$14:$AH$267,"&gt;0"),0),plan,'Trung tâm nhập liệu'!Q348,emergent,LOWER(TRIM('Trung tâm nhập liệu'!O348))="khi phát sinh",IF(n=0,IF(emergent,"",plan),IF(child=0,IF(emergent,"",plan),IF(OR(emergent,plan=""),child,MAX(plan,child))))))</f>
        <v/>
      </c>
      <c r="V198" s="584" t="str">
        <f>IF($I198="","",LET(n,COUNTIFS('Lớp 6 - Chi tiết'!$J$14:$J$267,$I198,'Lớp 6 - Chi tiết'!$AE$14:$AE$267,"&lt;&gt;Hủy"),child,IFERROR(MINIFS('Lớp 6 - Chi tiết'!$AG$14:$AG$267,'Lớp 6 - Chi tiết'!$J$14:$J$267,$I198,'Lớp 6 - Chi tiết'!$AE$14:$AE$267,"&lt;&gt;Hủy",'Lớp 6 - Chi tiết'!$AG$14:$AG$267,"&gt;0"),0),plan,'Trung tâm nhập liệu'!R348,emergent,LOWER(TRIM('Trung tâm nhập liệu'!O348))="khi phát sinh",IF(n=0,IF(emergent,"",plan),IF(child=0,IF(emergent,"",plan),IF(OR(emergent,plan=""),child,MIN(plan,child))))))</f>
        <v/>
      </c>
      <c r="W198" s="577"/>
      <c r="X198" s="577"/>
      <c r="Y198" s="585"/>
      <c r="Z198" s="586"/>
      <c r="AA198" s="577"/>
      <c r="AB198" s="572"/>
      <c r="AC198" s="420"/>
      <c r="AD198" s="584"/>
      <c r="AE198" s="584"/>
      <c r="AF198" s="587"/>
      <c r="AG198" s="588"/>
      <c r="AH198" s="587"/>
      <c r="AI198" s="589"/>
      <c r="AJ198" s="468"/>
      <c r="AK198" s="477" t="str">
        <f>IF(AM198="Chưa xếp lịch","Chưa xếp lịch",IF(AM198="Định kỳ",IF(AN198="","Thiếu chu kỳ","Theo chu kỳ"),IF(AM198="Khi phát sinh",IF(COUNTIFS('Lớp 6 - Chi tiết'!$J$14:$J$267,$I198,'Lớp 6 - Chi tiết'!$AE$14:$AE$267,"&lt;&gt;Hủy")=0,"Khi phát sinh – chờ việc con","Khi phát sinh – theo ngày con"),IF(I198="","",LET(n,COUNTIFS('Lớp 6 - Chi tiết'!$J$14:$J$267,$I198,'Lớp 6 - Chi tiết'!$AE$14:$AE$267,"&lt;&gt;Hủy"),cs,IFERROR(MINIFS('Lớp 6 - Chi tiết'!$AG$14:$AG$267,'Lớp 6 - Chi tiết'!$J$14:$J$267,$I198,'Lớp 6 - Chi tiết'!$AE$14:$AE$267,"&lt;&gt;Hủy",'Lớp 6 - Chi tiết'!$AG$14:$AG$267,"&gt;0"),0),ce,IFERROR(MAXIFS('Lớp 6 - Chi tiết'!$AH$14:$AH$267,'Lớp 6 - Chi tiết'!$J$14:$J$267,$I198,'Lớp 6 - Chi tiết'!$AE$14:$AE$267,"&lt;&gt;Hủy",'Lớp 6 - Chi tiết'!$AH$14:$AH$267,"&gt;0"),0),ps,'Trung tâm nhập liệu'!R348,pe,'Trung tâm nhập liệu'!Q348,IF(OR(AD198="",AE198=""),"Thiếu ngày L5",IF(n=0,"Chưa có L6",IF(OR(cs=0,ce=0),"Thiếu ngày L6",IF(OR(ps="",pe=""),"Thiếu ngày kế hoạch gốc L5",IF(OR(cs&lt;ps,ce&gt;pe),"Cảnh báo: Con vượt khung kế hoạch gốc","L6 đúng khung kế hoạch gốc"))))))))))</f>
        <v/>
      </c>
      <c r="AL198" s="465"/>
      <c r="AM198" s="467"/>
      <c r="AN198" s="469"/>
      <c r="AO198" s="470"/>
      <c r="AP198" s="470"/>
      <c r="AQ198" s="471"/>
      <c r="AR198" s="469"/>
      <c r="AS198" s="475"/>
      <c r="AT198" s="476"/>
      <c r="AU198" s="478"/>
      <c r="AV198" s="465"/>
      <c r="AW198" s="465"/>
      <c r="AX198" s="479"/>
    </row>
    <row r="199" ht="15.75" customHeight="1">
      <c r="A199" s="424"/>
      <c r="B199" s="572"/>
      <c r="C199" s="591"/>
      <c r="D199" s="623"/>
      <c r="E199" s="617"/>
      <c r="F199" s="575"/>
      <c r="G199" s="575"/>
      <c r="H199" s="576"/>
      <c r="I199" s="577"/>
      <c r="J199" s="577"/>
      <c r="K199" s="597"/>
      <c r="L199" s="598"/>
      <c r="M199" s="438"/>
      <c r="N199" s="597"/>
      <c r="O199" s="597"/>
      <c r="P199" s="597"/>
      <c r="Q199" s="581"/>
      <c r="R199" s="420"/>
      <c r="S199" s="582"/>
      <c r="T199" s="583"/>
      <c r="U199" s="584" t="str">
        <f>IF($I199="","",LET(n,COUNTIFS('Lớp 6 - Chi tiết'!$J$14:$J$267,$I199,'Lớp 6 - Chi tiết'!$AE$14:$AE$267,"&lt;&gt;Hủy"),child,IFERROR(MAXIFS('Lớp 6 - Chi tiết'!$AH$14:$AH$267,'Lớp 6 - Chi tiết'!$J$14:$J$267,$I199,'Lớp 6 - Chi tiết'!$AE$14:$AE$267,"&lt;&gt;Hủy",'Lớp 6 - Chi tiết'!$AH$14:$AH$267,"&gt;0"),0),plan,'Trung tâm nhập liệu'!Q349,emergent,LOWER(TRIM('Trung tâm nhập liệu'!O349))="khi phát sinh",IF(n=0,IF(emergent,"",plan),IF(child=0,IF(emergent,"",plan),IF(OR(emergent,plan=""),child,MAX(plan,child))))))</f>
        <v/>
      </c>
      <c r="V199" s="584" t="str">
        <f>IF($I199="","",LET(n,COUNTIFS('Lớp 6 - Chi tiết'!$J$14:$J$267,$I199,'Lớp 6 - Chi tiết'!$AE$14:$AE$267,"&lt;&gt;Hủy"),child,IFERROR(MINIFS('Lớp 6 - Chi tiết'!$AG$14:$AG$267,'Lớp 6 - Chi tiết'!$J$14:$J$267,$I199,'Lớp 6 - Chi tiết'!$AE$14:$AE$267,"&lt;&gt;Hủy",'Lớp 6 - Chi tiết'!$AG$14:$AG$267,"&gt;0"),0),plan,'Trung tâm nhập liệu'!R349,emergent,LOWER(TRIM('Trung tâm nhập liệu'!O349))="khi phát sinh",IF(n=0,IF(emergent,"",plan),IF(child=0,IF(emergent,"",plan),IF(OR(emergent,plan=""),child,MIN(plan,child))))))</f>
        <v/>
      </c>
      <c r="W199" s="577"/>
      <c r="X199" s="577"/>
      <c r="Y199" s="585"/>
      <c r="Z199" s="586"/>
      <c r="AA199" s="577"/>
      <c r="AB199" s="572"/>
      <c r="AC199" s="420"/>
      <c r="AD199" s="584"/>
      <c r="AE199" s="584"/>
      <c r="AF199" s="587"/>
      <c r="AG199" s="588"/>
      <c r="AH199" s="587"/>
      <c r="AI199" s="589"/>
      <c r="AJ199" s="468"/>
      <c r="AK199" s="477" t="str">
        <f>IF(AM199="Chưa xếp lịch","Chưa xếp lịch",IF(AM199="Định kỳ",IF(AN199="","Thiếu chu kỳ","Theo chu kỳ"),IF(AM199="Khi phát sinh",IF(COUNTIFS('Lớp 6 - Chi tiết'!$J$14:$J$267,$I199,'Lớp 6 - Chi tiết'!$AE$14:$AE$267,"&lt;&gt;Hủy")=0,"Khi phát sinh – chờ việc con","Khi phát sinh – theo ngày con"),IF(I199="","",LET(n,COUNTIFS('Lớp 6 - Chi tiết'!$J$14:$J$267,$I199,'Lớp 6 - Chi tiết'!$AE$14:$AE$267,"&lt;&gt;Hủy"),cs,IFERROR(MINIFS('Lớp 6 - Chi tiết'!$AG$14:$AG$267,'Lớp 6 - Chi tiết'!$J$14:$J$267,$I199,'Lớp 6 - Chi tiết'!$AE$14:$AE$267,"&lt;&gt;Hủy",'Lớp 6 - Chi tiết'!$AG$14:$AG$267,"&gt;0"),0),ce,IFERROR(MAXIFS('Lớp 6 - Chi tiết'!$AH$14:$AH$267,'Lớp 6 - Chi tiết'!$J$14:$J$267,$I199,'Lớp 6 - Chi tiết'!$AE$14:$AE$267,"&lt;&gt;Hủy",'Lớp 6 - Chi tiết'!$AH$14:$AH$267,"&gt;0"),0),ps,'Trung tâm nhập liệu'!R349,pe,'Trung tâm nhập liệu'!Q349,IF(OR(AD199="",AE199=""),"Thiếu ngày L5",IF(n=0,"Chưa có L6",IF(OR(cs=0,ce=0),"Thiếu ngày L6",IF(OR(ps="",pe=""),"Thiếu ngày kế hoạch gốc L5",IF(OR(cs&lt;ps,ce&gt;pe),"Cảnh báo: Con vượt khung kế hoạch gốc","L6 đúng khung kế hoạch gốc"))))))))))</f>
        <v/>
      </c>
      <c r="AL199" s="465"/>
      <c r="AM199" s="467"/>
      <c r="AN199" s="469"/>
      <c r="AO199" s="470"/>
      <c r="AP199" s="470"/>
      <c r="AQ199" s="471"/>
      <c r="AR199" s="469"/>
      <c r="AS199" s="475"/>
      <c r="AT199" s="476"/>
      <c r="AU199" s="478"/>
      <c r="AV199" s="465"/>
      <c r="AW199" s="465"/>
      <c r="AX199" s="479"/>
    </row>
    <row r="200" ht="15.75" customHeight="1">
      <c r="A200" s="424"/>
      <c r="B200" s="572"/>
      <c r="C200" s="591"/>
      <c r="D200" s="623"/>
      <c r="E200" s="617"/>
      <c r="F200" s="575"/>
      <c r="G200" s="575"/>
      <c r="H200" s="576"/>
      <c r="I200" s="577"/>
      <c r="J200" s="577"/>
      <c r="K200" s="597"/>
      <c r="L200" s="598"/>
      <c r="M200" s="438"/>
      <c r="N200" s="597"/>
      <c r="O200" s="597"/>
      <c r="P200" s="597"/>
      <c r="Q200" s="581"/>
      <c r="R200" s="420"/>
      <c r="S200" s="582"/>
      <c r="T200" s="583"/>
      <c r="U200" s="584" t="str">
        <f>IF($I200="","",LET(n,COUNTIFS('Lớp 6 - Chi tiết'!$J$14:$J$267,$I200,'Lớp 6 - Chi tiết'!$AE$14:$AE$267,"&lt;&gt;Hủy"),child,IFERROR(MAXIFS('Lớp 6 - Chi tiết'!$AH$14:$AH$267,'Lớp 6 - Chi tiết'!$J$14:$J$267,$I200,'Lớp 6 - Chi tiết'!$AE$14:$AE$267,"&lt;&gt;Hủy",'Lớp 6 - Chi tiết'!$AH$14:$AH$267,"&gt;0"),0),plan,'Trung tâm nhập liệu'!Q350,emergent,LOWER(TRIM('Trung tâm nhập liệu'!O350))="khi phát sinh",IF(n=0,IF(emergent,"",plan),IF(child=0,IF(emergent,"",plan),IF(OR(emergent,plan=""),child,MAX(plan,child))))))</f>
        <v/>
      </c>
      <c r="V200" s="584" t="str">
        <f>IF($I200="","",LET(n,COUNTIFS('Lớp 6 - Chi tiết'!$J$14:$J$267,$I200,'Lớp 6 - Chi tiết'!$AE$14:$AE$267,"&lt;&gt;Hủy"),child,IFERROR(MINIFS('Lớp 6 - Chi tiết'!$AG$14:$AG$267,'Lớp 6 - Chi tiết'!$J$14:$J$267,$I200,'Lớp 6 - Chi tiết'!$AE$14:$AE$267,"&lt;&gt;Hủy",'Lớp 6 - Chi tiết'!$AG$14:$AG$267,"&gt;0"),0),plan,'Trung tâm nhập liệu'!R350,emergent,LOWER(TRIM('Trung tâm nhập liệu'!O350))="khi phát sinh",IF(n=0,IF(emergent,"",plan),IF(child=0,IF(emergent,"",plan),IF(OR(emergent,plan=""),child,MIN(plan,child))))))</f>
        <v/>
      </c>
      <c r="W200" s="577"/>
      <c r="X200" s="577"/>
      <c r="Y200" s="585"/>
      <c r="Z200" s="586"/>
      <c r="AA200" s="577"/>
      <c r="AB200" s="572"/>
      <c r="AC200" s="420"/>
      <c r="AD200" s="584"/>
      <c r="AE200" s="584"/>
      <c r="AF200" s="587"/>
      <c r="AG200" s="588"/>
      <c r="AH200" s="587"/>
      <c r="AI200" s="589"/>
      <c r="AJ200" s="468"/>
      <c r="AK200" s="477" t="str">
        <f>IF(AM200="Chưa xếp lịch","Chưa xếp lịch",IF(AM200="Định kỳ",IF(AN200="","Thiếu chu kỳ","Theo chu kỳ"),IF(AM200="Khi phát sinh",IF(COUNTIFS('Lớp 6 - Chi tiết'!$J$14:$J$267,$I200,'Lớp 6 - Chi tiết'!$AE$14:$AE$267,"&lt;&gt;Hủy")=0,"Khi phát sinh – chờ việc con","Khi phát sinh – theo ngày con"),IF(I200="","",LET(n,COUNTIFS('Lớp 6 - Chi tiết'!$J$14:$J$267,$I200,'Lớp 6 - Chi tiết'!$AE$14:$AE$267,"&lt;&gt;Hủy"),cs,IFERROR(MINIFS('Lớp 6 - Chi tiết'!$AG$14:$AG$267,'Lớp 6 - Chi tiết'!$J$14:$J$267,$I200,'Lớp 6 - Chi tiết'!$AE$14:$AE$267,"&lt;&gt;Hủy",'Lớp 6 - Chi tiết'!$AG$14:$AG$267,"&gt;0"),0),ce,IFERROR(MAXIFS('Lớp 6 - Chi tiết'!$AH$14:$AH$267,'Lớp 6 - Chi tiết'!$J$14:$J$267,$I200,'Lớp 6 - Chi tiết'!$AE$14:$AE$267,"&lt;&gt;Hủy",'Lớp 6 - Chi tiết'!$AH$14:$AH$267,"&gt;0"),0),ps,'Trung tâm nhập liệu'!R350,pe,'Trung tâm nhập liệu'!Q350,IF(OR(AD200="",AE200=""),"Thiếu ngày L5",IF(n=0,"Chưa có L6",IF(OR(cs=0,ce=0),"Thiếu ngày L6",IF(OR(ps="",pe=""),"Thiếu ngày kế hoạch gốc L5",IF(OR(cs&lt;ps,ce&gt;pe),"Cảnh báo: Con vượt khung kế hoạch gốc","L6 đúng khung kế hoạch gốc"))))))))))</f>
        <v/>
      </c>
      <c r="AL200" s="465"/>
      <c r="AM200" s="467"/>
      <c r="AN200" s="469"/>
      <c r="AO200" s="470"/>
      <c r="AP200" s="470"/>
      <c r="AQ200" s="471"/>
      <c r="AR200" s="469"/>
      <c r="AS200" s="475"/>
      <c r="AT200" s="476"/>
      <c r="AU200" s="478"/>
      <c r="AV200" s="465"/>
      <c r="AW200" s="465"/>
      <c r="AX200" s="479"/>
    </row>
    <row r="201" ht="15.75" customHeight="1">
      <c r="A201" s="424"/>
      <c r="B201" s="572"/>
      <c r="C201" s="591"/>
      <c r="D201" s="623"/>
      <c r="E201" s="617"/>
      <c r="F201" s="575"/>
      <c r="G201" s="575"/>
      <c r="H201" s="576"/>
      <c r="I201" s="577"/>
      <c r="J201" s="577"/>
      <c r="K201" s="597"/>
      <c r="L201" s="598"/>
      <c r="M201" s="438"/>
      <c r="N201" s="597"/>
      <c r="O201" s="597"/>
      <c r="P201" s="597"/>
      <c r="Q201" s="581"/>
      <c r="R201" s="420"/>
      <c r="S201" s="582"/>
      <c r="T201" s="583"/>
      <c r="U201" s="584" t="str">
        <f>IF($I201="","",LET(n,COUNTIFS('Lớp 6 - Chi tiết'!$J$14:$J$267,$I201,'Lớp 6 - Chi tiết'!$AE$14:$AE$267,"&lt;&gt;Hủy"),child,IFERROR(MAXIFS('Lớp 6 - Chi tiết'!$AH$14:$AH$267,'Lớp 6 - Chi tiết'!$J$14:$J$267,$I201,'Lớp 6 - Chi tiết'!$AE$14:$AE$267,"&lt;&gt;Hủy",'Lớp 6 - Chi tiết'!$AH$14:$AH$267,"&gt;0"),0),plan,'Trung tâm nhập liệu'!Q351,emergent,LOWER(TRIM('Trung tâm nhập liệu'!O351))="khi phát sinh",IF(n=0,IF(emergent,"",plan),IF(child=0,IF(emergent,"",plan),IF(OR(emergent,plan=""),child,MAX(plan,child))))))</f>
        <v/>
      </c>
      <c r="V201" s="584" t="str">
        <f>IF($I201="","",LET(n,COUNTIFS('Lớp 6 - Chi tiết'!$J$14:$J$267,$I201,'Lớp 6 - Chi tiết'!$AE$14:$AE$267,"&lt;&gt;Hủy"),child,IFERROR(MINIFS('Lớp 6 - Chi tiết'!$AG$14:$AG$267,'Lớp 6 - Chi tiết'!$J$14:$J$267,$I201,'Lớp 6 - Chi tiết'!$AE$14:$AE$267,"&lt;&gt;Hủy",'Lớp 6 - Chi tiết'!$AG$14:$AG$267,"&gt;0"),0),plan,'Trung tâm nhập liệu'!R351,emergent,LOWER(TRIM('Trung tâm nhập liệu'!O351))="khi phát sinh",IF(n=0,IF(emergent,"",plan),IF(child=0,IF(emergent,"",plan),IF(OR(emergent,plan=""),child,MIN(plan,child))))))</f>
        <v/>
      </c>
      <c r="W201" s="577"/>
      <c r="X201" s="577"/>
      <c r="Y201" s="585"/>
      <c r="Z201" s="586"/>
      <c r="AA201" s="577"/>
      <c r="AB201" s="572"/>
      <c r="AC201" s="420"/>
      <c r="AD201" s="584"/>
      <c r="AE201" s="584"/>
      <c r="AF201" s="587"/>
      <c r="AG201" s="588"/>
      <c r="AH201" s="587"/>
      <c r="AI201" s="589"/>
      <c r="AJ201" s="468"/>
      <c r="AK201" s="477" t="str">
        <f>IF(AM201="Chưa xếp lịch","Chưa xếp lịch",IF(AM201="Định kỳ",IF(AN201="","Thiếu chu kỳ","Theo chu kỳ"),IF(AM201="Khi phát sinh",IF(COUNTIFS('Lớp 6 - Chi tiết'!$J$14:$J$267,$I201,'Lớp 6 - Chi tiết'!$AE$14:$AE$267,"&lt;&gt;Hủy")=0,"Khi phát sinh – chờ việc con","Khi phát sinh – theo ngày con"),IF(I201="","",LET(n,COUNTIFS('Lớp 6 - Chi tiết'!$J$14:$J$267,$I201,'Lớp 6 - Chi tiết'!$AE$14:$AE$267,"&lt;&gt;Hủy"),cs,IFERROR(MINIFS('Lớp 6 - Chi tiết'!$AG$14:$AG$267,'Lớp 6 - Chi tiết'!$J$14:$J$267,$I201,'Lớp 6 - Chi tiết'!$AE$14:$AE$267,"&lt;&gt;Hủy",'Lớp 6 - Chi tiết'!$AG$14:$AG$267,"&gt;0"),0),ce,IFERROR(MAXIFS('Lớp 6 - Chi tiết'!$AH$14:$AH$267,'Lớp 6 - Chi tiết'!$J$14:$J$267,$I201,'Lớp 6 - Chi tiết'!$AE$14:$AE$267,"&lt;&gt;Hủy",'Lớp 6 - Chi tiết'!$AH$14:$AH$267,"&gt;0"),0),ps,'Trung tâm nhập liệu'!R351,pe,'Trung tâm nhập liệu'!Q351,IF(OR(AD201="",AE201=""),"Thiếu ngày L5",IF(n=0,"Chưa có L6",IF(OR(cs=0,ce=0),"Thiếu ngày L6",IF(OR(ps="",pe=""),"Thiếu ngày kế hoạch gốc L5",IF(OR(cs&lt;ps,ce&gt;pe),"Cảnh báo: Con vượt khung kế hoạch gốc","L6 đúng khung kế hoạch gốc"))))))))))</f>
        <v/>
      </c>
      <c r="AL201" s="465"/>
      <c r="AM201" s="467"/>
      <c r="AN201" s="469"/>
      <c r="AO201" s="470"/>
      <c r="AP201" s="470"/>
      <c r="AQ201" s="471"/>
      <c r="AR201" s="469"/>
      <c r="AS201" s="475"/>
      <c r="AT201" s="476"/>
      <c r="AU201" s="478"/>
      <c r="AV201" s="465"/>
      <c r="AW201" s="465"/>
      <c r="AX201" s="479"/>
    </row>
    <row r="202" ht="15.75" customHeight="1">
      <c r="A202" s="424"/>
      <c r="B202" s="572"/>
      <c r="C202" s="591"/>
      <c r="D202" s="623"/>
      <c r="E202" s="617"/>
      <c r="F202" s="575"/>
      <c r="G202" s="575"/>
      <c r="H202" s="576"/>
      <c r="I202" s="577"/>
      <c r="J202" s="577"/>
      <c r="K202" s="597"/>
      <c r="L202" s="598"/>
      <c r="M202" s="438"/>
      <c r="N202" s="597"/>
      <c r="O202" s="597"/>
      <c r="P202" s="597"/>
      <c r="Q202" s="581"/>
      <c r="R202" s="420"/>
      <c r="S202" s="582"/>
      <c r="T202" s="583"/>
      <c r="U202" s="584" t="str">
        <f>IF($I202="","",LET(n,COUNTIFS('Lớp 6 - Chi tiết'!$J$14:$J$267,$I202,'Lớp 6 - Chi tiết'!$AE$14:$AE$267,"&lt;&gt;Hủy"),child,IFERROR(MAXIFS('Lớp 6 - Chi tiết'!$AH$14:$AH$267,'Lớp 6 - Chi tiết'!$J$14:$J$267,$I202,'Lớp 6 - Chi tiết'!$AE$14:$AE$267,"&lt;&gt;Hủy",'Lớp 6 - Chi tiết'!$AH$14:$AH$267,"&gt;0"),0),plan,'Trung tâm nhập liệu'!Q352,emergent,LOWER(TRIM('Trung tâm nhập liệu'!O352))="khi phát sinh",IF(n=0,IF(emergent,"",plan),IF(child=0,IF(emergent,"",plan),IF(OR(emergent,plan=""),child,MAX(plan,child))))))</f>
        <v/>
      </c>
      <c r="V202" s="584" t="str">
        <f>IF($I202="","",LET(n,COUNTIFS('Lớp 6 - Chi tiết'!$J$14:$J$267,$I202,'Lớp 6 - Chi tiết'!$AE$14:$AE$267,"&lt;&gt;Hủy"),child,IFERROR(MINIFS('Lớp 6 - Chi tiết'!$AG$14:$AG$267,'Lớp 6 - Chi tiết'!$J$14:$J$267,$I202,'Lớp 6 - Chi tiết'!$AE$14:$AE$267,"&lt;&gt;Hủy",'Lớp 6 - Chi tiết'!$AG$14:$AG$267,"&gt;0"),0),plan,'Trung tâm nhập liệu'!R352,emergent,LOWER(TRIM('Trung tâm nhập liệu'!O352))="khi phát sinh",IF(n=0,IF(emergent,"",plan),IF(child=0,IF(emergent,"",plan),IF(OR(emergent,plan=""),child,MIN(plan,child))))))</f>
        <v/>
      </c>
      <c r="W202" s="577"/>
      <c r="X202" s="577"/>
      <c r="Y202" s="585"/>
      <c r="Z202" s="586"/>
      <c r="AA202" s="577"/>
      <c r="AB202" s="572"/>
      <c r="AC202" s="420"/>
      <c r="AD202" s="584"/>
      <c r="AE202" s="584"/>
      <c r="AF202" s="587"/>
      <c r="AG202" s="588"/>
      <c r="AH202" s="587"/>
      <c r="AI202" s="589"/>
      <c r="AJ202" s="468"/>
      <c r="AK202" s="477" t="str">
        <f>IF(AM202="Chưa xếp lịch","Chưa xếp lịch",IF(AM202="Định kỳ",IF(AN202="","Thiếu chu kỳ","Theo chu kỳ"),IF(AM202="Khi phát sinh",IF(COUNTIFS('Lớp 6 - Chi tiết'!$J$14:$J$267,$I202,'Lớp 6 - Chi tiết'!$AE$14:$AE$267,"&lt;&gt;Hủy")=0,"Khi phát sinh – chờ việc con","Khi phát sinh – theo ngày con"),IF(I202="","",LET(n,COUNTIFS('Lớp 6 - Chi tiết'!$J$14:$J$267,$I202,'Lớp 6 - Chi tiết'!$AE$14:$AE$267,"&lt;&gt;Hủy"),cs,IFERROR(MINIFS('Lớp 6 - Chi tiết'!$AG$14:$AG$267,'Lớp 6 - Chi tiết'!$J$14:$J$267,$I202,'Lớp 6 - Chi tiết'!$AE$14:$AE$267,"&lt;&gt;Hủy",'Lớp 6 - Chi tiết'!$AG$14:$AG$267,"&gt;0"),0),ce,IFERROR(MAXIFS('Lớp 6 - Chi tiết'!$AH$14:$AH$267,'Lớp 6 - Chi tiết'!$J$14:$J$267,$I202,'Lớp 6 - Chi tiết'!$AE$14:$AE$267,"&lt;&gt;Hủy",'Lớp 6 - Chi tiết'!$AH$14:$AH$267,"&gt;0"),0),ps,'Trung tâm nhập liệu'!R352,pe,'Trung tâm nhập liệu'!Q352,IF(OR(AD202="",AE202=""),"Thiếu ngày L5",IF(n=0,"Chưa có L6",IF(OR(cs=0,ce=0),"Thiếu ngày L6",IF(OR(ps="",pe=""),"Thiếu ngày kế hoạch gốc L5",IF(OR(cs&lt;ps,ce&gt;pe),"Cảnh báo: Con vượt khung kế hoạch gốc","L6 đúng khung kế hoạch gốc"))))))))))</f>
        <v/>
      </c>
      <c r="AL202" s="465"/>
      <c r="AM202" s="467"/>
      <c r="AN202" s="469"/>
      <c r="AO202" s="470"/>
      <c r="AP202" s="470"/>
      <c r="AQ202" s="471"/>
      <c r="AR202" s="469"/>
      <c r="AS202" s="475"/>
      <c r="AT202" s="476"/>
      <c r="AU202" s="478"/>
      <c r="AV202" s="465"/>
      <c r="AW202" s="465"/>
      <c r="AX202" s="479"/>
    </row>
    <row r="203" ht="15.75" customHeight="1">
      <c r="A203" s="424"/>
      <c r="B203" s="572"/>
      <c r="C203" s="591"/>
      <c r="D203" s="623"/>
      <c r="E203" s="617"/>
      <c r="F203" s="575"/>
      <c r="G203" s="575"/>
      <c r="H203" s="576"/>
      <c r="I203" s="577"/>
      <c r="J203" s="577"/>
      <c r="K203" s="597"/>
      <c r="L203" s="598"/>
      <c r="M203" s="438"/>
      <c r="N203" s="597"/>
      <c r="O203" s="597"/>
      <c r="P203" s="597"/>
      <c r="Q203" s="581"/>
      <c r="R203" s="420"/>
      <c r="S203" s="582"/>
      <c r="T203" s="583"/>
      <c r="U203" s="584" t="str">
        <f>IF($I203="","",LET(n,COUNTIFS('Lớp 6 - Chi tiết'!$J$14:$J$267,$I203,'Lớp 6 - Chi tiết'!$AE$14:$AE$267,"&lt;&gt;Hủy"),child,IFERROR(MAXIFS('Lớp 6 - Chi tiết'!$AH$14:$AH$267,'Lớp 6 - Chi tiết'!$J$14:$J$267,$I203,'Lớp 6 - Chi tiết'!$AE$14:$AE$267,"&lt;&gt;Hủy",'Lớp 6 - Chi tiết'!$AH$14:$AH$267,"&gt;0"),0),plan,'Trung tâm nhập liệu'!Q353,emergent,LOWER(TRIM('Trung tâm nhập liệu'!O353))="khi phát sinh",IF(n=0,IF(emergent,"",plan),IF(child=0,IF(emergent,"",plan),IF(OR(emergent,plan=""),child,MAX(plan,child))))))</f>
        <v/>
      </c>
      <c r="V203" s="584" t="str">
        <f>IF($I203="","",LET(n,COUNTIFS('Lớp 6 - Chi tiết'!$J$14:$J$267,$I203,'Lớp 6 - Chi tiết'!$AE$14:$AE$267,"&lt;&gt;Hủy"),child,IFERROR(MINIFS('Lớp 6 - Chi tiết'!$AG$14:$AG$267,'Lớp 6 - Chi tiết'!$J$14:$J$267,$I203,'Lớp 6 - Chi tiết'!$AE$14:$AE$267,"&lt;&gt;Hủy",'Lớp 6 - Chi tiết'!$AG$14:$AG$267,"&gt;0"),0),plan,'Trung tâm nhập liệu'!R353,emergent,LOWER(TRIM('Trung tâm nhập liệu'!O353))="khi phát sinh",IF(n=0,IF(emergent,"",plan),IF(child=0,IF(emergent,"",plan),IF(OR(emergent,plan=""),child,MIN(plan,child))))))</f>
        <v/>
      </c>
      <c r="W203" s="577"/>
      <c r="X203" s="577"/>
      <c r="Y203" s="585"/>
      <c r="Z203" s="586"/>
      <c r="AA203" s="577"/>
      <c r="AB203" s="572"/>
      <c r="AC203" s="420"/>
      <c r="AD203" s="584"/>
      <c r="AE203" s="584"/>
      <c r="AF203" s="587"/>
      <c r="AG203" s="588"/>
      <c r="AH203" s="587"/>
      <c r="AI203" s="589"/>
      <c r="AJ203" s="468"/>
      <c r="AK203" s="477" t="str">
        <f>IF(AM203="Chưa xếp lịch","Chưa xếp lịch",IF(AM203="Định kỳ",IF(AN203="","Thiếu chu kỳ","Theo chu kỳ"),IF(AM203="Khi phát sinh",IF(COUNTIFS('Lớp 6 - Chi tiết'!$J$14:$J$267,$I203,'Lớp 6 - Chi tiết'!$AE$14:$AE$267,"&lt;&gt;Hủy")=0,"Khi phát sinh – chờ việc con","Khi phát sinh – theo ngày con"),IF(I203="","",LET(n,COUNTIFS('Lớp 6 - Chi tiết'!$J$14:$J$267,$I203,'Lớp 6 - Chi tiết'!$AE$14:$AE$267,"&lt;&gt;Hủy"),cs,IFERROR(MINIFS('Lớp 6 - Chi tiết'!$AG$14:$AG$267,'Lớp 6 - Chi tiết'!$J$14:$J$267,$I203,'Lớp 6 - Chi tiết'!$AE$14:$AE$267,"&lt;&gt;Hủy",'Lớp 6 - Chi tiết'!$AG$14:$AG$267,"&gt;0"),0),ce,IFERROR(MAXIFS('Lớp 6 - Chi tiết'!$AH$14:$AH$267,'Lớp 6 - Chi tiết'!$J$14:$J$267,$I203,'Lớp 6 - Chi tiết'!$AE$14:$AE$267,"&lt;&gt;Hủy",'Lớp 6 - Chi tiết'!$AH$14:$AH$267,"&gt;0"),0),ps,'Trung tâm nhập liệu'!R353,pe,'Trung tâm nhập liệu'!Q353,IF(OR(AD203="",AE203=""),"Thiếu ngày L5",IF(n=0,"Chưa có L6",IF(OR(cs=0,ce=0),"Thiếu ngày L6",IF(OR(ps="",pe=""),"Thiếu ngày kế hoạch gốc L5",IF(OR(cs&lt;ps,ce&gt;pe),"Cảnh báo: Con vượt khung kế hoạch gốc","L6 đúng khung kế hoạch gốc"))))))))))</f>
        <v/>
      </c>
      <c r="AL203" s="465"/>
      <c r="AM203" s="467"/>
      <c r="AN203" s="469"/>
      <c r="AO203" s="470"/>
      <c r="AP203" s="470"/>
      <c r="AQ203" s="471"/>
      <c r="AR203" s="469"/>
      <c r="AS203" s="475"/>
      <c r="AT203" s="476"/>
      <c r="AU203" s="478"/>
      <c r="AV203" s="465"/>
      <c r="AW203" s="465"/>
      <c r="AX203" s="479"/>
    </row>
    <row r="204" ht="15.75" customHeight="1">
      <c r="A204" s="424"/>
      <c r="B204" s="572"/>
      <c r="C204" s="591"/>
      <c r="D204" s="623"/>
      <c r="E204" s="617"/>
      <c r="F204" s="575"/>
      <c r="G204" s="575"/>
      <c r="H204" s="576"/>
      <c r="I204" s="577"/>
      <c r="J204" s="577"/>
      <c r="K204" s="597"/>
      <c r="L204" s="598"/>
      <c r="M204" s="438"/>
      <c r="N204" s="597"/>
      <c r="O204" s="597"/>
      <c r="P204" s="597"/>
      <c r="Q204" s="581"/>
      <c r="R204" s="420"/>
      <c r="S204" s="582"/>
      <c r="T204" s="583"/>
      <c r="U204" s="584" t="str">
        <f>IF($I204="","",LET(n,COUNTIFS('Lớp 6 - Chi tiết'!$J$14:$J$267,$I204,'Lớp 6 - Chi tiết'!$AE$14:$AE$267,"&lt;&gt;Hủy"),child,IFERROR(MAXIFS('Lớp 6 - Chi tiết'!$AH$14:$AH$267,'Lớp 6 - Chi tiết'!$J$14:$J$267,$I204,'Lớp 6 - Chi tiết'!$AE$14:$AE$267,"&lt;&gt;Hủy",'Lớp 6 - Chi tiết'!$AH$14:$AH$267,"&gt;0"),0),plan,'Trung tâm nhập liệu'!Q354,emergent,LOWER(TRIM('Trung tâm nhập liệu'!O354))="khi phát sinh",IF(n=0,IF(emergent,"",plan),IF(child=0,IF(emergent,"",plan),IF(OR(emergent,plan=""),child,MAX(plan,child))))))</f>
        <v/>
      </c>
      <c r="V204" s="584" t="str">
        <f>IF($I204="","",LET(n,COUNTIFS('Lớp 6 - Chi tiết'!$J$14:$J$267,$I204,'Lớp 6 - Chi tiết'!$AE$14:$AE$267,"&lt;&gt;Hủy"),child,IFERROR(MINIFS('Lớp 6 - Chi tiết'!$AG$14:$AG$267,'Lớp 6 - Chi tiết'!$J$14:$J$267,$I204,'Lớp 6 - Chi tiết'!$AE$14:$AE$267,"&lt;&gt;Hủy",'Lớp 6 - Chi tiết'!$AG$14:$AG$267,"&gt;0"),0),plan,'Trung tâm nhập liệu'!R354,emergent,LOWER(TRIM('Trung tâm nhập liệu'!O354))="khi phát sinh",IF(n=0,IF(emergent,"",plan),IF(child=0,IF(emergent,"",plan),IF(OR(emergent,plan=""),child,MIN(plan,child))))))</f>
        <v/>
      </c>
      <c r="W204" s="577"/>
      <c r="X204" s="577"/>
      <c r="Y204" s="585"/>
      <c r="Z204" s="586"/>
      <c r="AA204" s="577"/>
      <c r="AB204" s="572"/>
      <c r="AC204" s="420"/>
      <c r="AD204" s="584"/>
      <c r="AE204" s="584"/>
      <c r="AF204" s="587"/>
      <c r="AG204" s="588"/>
      <c r="AH204" s="587"/>
      <c r="AI204" s="589"/>
      <c r="AJ204" s="468"/>
      <c r="AK204" s="477" t="str">
        <f>IF(AM204="Chưa xếp lịch","Chưa xếp lịch",IF(AM204="Định kỳ",IF(AN204="","Thiếu chu kỳ","Theo chu kỳ"),IF(AM204="Khi phát sinh",IF(COUNTIFS('Lớp 6 - Chi tiết'!$J$14:$J$267,$I204,'Lớp 6 - Chi tiết'!$AE$14:$AE$267,"&lt;&gt;Hủy")=0,"Khi phát sinh – chờ việc con","Khi phát sinh – theo ngày con"),IF(I204="","",LET(n,COUNTIFS('Lớp 6 - Chi tiết'!$J$14:$J$267,$I204,'Lớp 6 - Chi tiết'!$AE$14:$AE$267,"&lt;&gt;Hủy"),cs,IFERROR(MINIFS('Lớp 6 - Chi tiết'!$AG$14:$AG$267,'Lớp 6 - Chi tiết'!$J$14:$J$267,$I204,'Lớp 6 - Chi tiết'!$AE$14:$AE$267,"&lt;&gt;Hủy",'Lớp 6 - Chi tiết'!$AG$14:$AG$267,"&gt;0"),0),ce,IFERROR(MAXIFS('Lớp 6 - Chi tiết'!$AH$14:$AH$267,'Lớp 6 - Chi tiết'!$J$14:$J$267,$I204,'Lớp 6 - Chi tiết'!$AE$14:$AE$267,"&lt;&gt;Hủy",'Lớp 6 - Chi tiết'!$AH$14:$AH$267,"&gt;0"),0),ps,'Trung tâm nhập liệu'!R354,pe,'Trung tâm nhập liệu'!Q354,IF(OR(AD204="",AE204=""),"Thiếu ngày L5",IF(n=0,"Chưa có L6",IF(OR(cs=0,ce=0),"Thiếu ngày L6",IF(OR(ps="",pe=""),"Thiếu ngày kế hoạch gốc L5",IF(OR(cs&lt;ps,ce&gt;pe),"Cảnh báo: Con vượt khung kế hoạch gốc","L6 đúng khung kế hoạch gốc"))))))))))</f>
        <v/>
      </c>
      <c r="AL204" s="465"/>
      <c r="AM204" s="467"/>
      <c r="AN204" s="469"/>
      <c r="AO204" s="470"/>
      <c r="AP204" s="470"/>
      <c r="AQ204" s="471"/>
      <c r="AR204" s="469"/>
      <c r="AS204" s="475"/>
      <c r="AT204" s="476"/>
      <c r="AU204" s="478"/>
      <c r="AV204" s="465"/>
      <c r="AW204" s="465"/>
      <c r="AX204" s="479"/>
    </row>
    <row r="205" ht="15.75" customHeight="1">
      <c r="A205" s="424"/>
      <c r="B205" s="572"/>
      <c r="C205" s="591"/>
      <c r="D205" s="623"/>
      <c r="E205" s="617"/>
      <c r="F205" s="575"/>
      <c r="G205" s="575"/>
      <c r="H205" s="576"/>
      <c r="I205" s="577"/>
      <c r="J205" s="577"/>
      <c r="K205" s="597"/>
      <c r="L205" s="598"/>
      <c r="M205" s="438"/>
      <c r="N205" s="597"/>
      <c r="O205" s="597"/>
      <c r="P205" s="597"/>
      <c r="Q205" s="581"/>
      <c r="R205" s="420"/>
      <c r="S205" s="582"/>
      <c r="T205" s="583"/>
      <c r="U205" s="584" t="str">
        <f>IF($I205="","",LET(n,COUNTIFS('Lớp 6 - Chi tiết'!$J$14:$J$267,$I205,'Lớp 6 - Chi tiết'!$AE$14:$AE$267,"&lt;&gt;Hủy"),child,IFERROR(MAXIFS('Lớp 6 - Chi tiết'!$AH$14:$AH$267,'Lớp 6 - Chi tiết'!$J$14:$J$267,$I205,'Lớp 6 - Chi tiết'!$AE$14:$AE$267,"&lt;&gt;Hủy",'Lớp 6 - Chi tiết'!$AH$14:$AH$267,"&gt;0"),0),plan,'Trung tâm nhập liệu'!Q355,emergent,LOWER(TRIM('Trung tâm nhập liệu'!O355))="khi phát sinh",IF(n=0,IF(emergent,"",plan),IF(child=0,IF(emergent,"",plan),IF(OR(emergent,plan=""),child,MAX(plan,child))))))</f>
        <v/>
      </c>
      <c r="V205" s="584" t="str">
        <f>IF($I205="","",LET(n,COUNTIFS('Lớp 6 - Chi tiết'!$J$14:$J$267,$I205,'Lớp 6 - Chi tiết'!$AE$14:$AE$267,"&lt;&gt;Hủy"),child,IFERROR(MINIFS('Lớp 6 - Chi tiết'!$AG$14:$AG$267,'Lớp 6 - Chi tiết'!$J$14:$J$267,$I205,'Lớp 6 - Chi tiết'!$AE$14:$AE$267,"&lt;&gt;Hủy",'Lớp 6 - Chi tiết'!$AG$14:$AG$267,"&gt;0"),0),plan,'Trung tâm nhập liệu'!R355,emergent,LOWER(TRIM('Trung tâm nhập liệu'!O355))="khi phát sinh",IF(n=0,IF(emergent,"",plan),IF(child=0,IF(emergent,"",plan),IF(OR(emergent,plan=""),child,MIN(plan,child))))))</f>
        <v/>
      </c>
      <c r="W205" s="577"/>
      <c r="X205" s="577"/>
      <c r="Y205" s="585"/>
      <c r="Z205" s="586"/>
      <c r="AA205" s="577"/>
      <c r="AB205" s="572"/>
      <c r="AC205" s="420"/>
      <c r="AD205" s="584"/>
      <c r="AE205" s="584"/>
      <c r="AF205" s="587"/>
      <c r="AG205" s="588"/>
      <c r="AH205" s="587"/>
      <c r="AI205" s="589"/>
      <c r="AJ205" s="468"/>
      <c r="AK205" s="477" t="str">
        <f>IF(AM205="Chưa xếp lịch","Chưa xếp lịch",IF(AM205="Định kỳ",IF(AN205="","Thiếu chu kỳ","Theo chu kỳ"),IF(AM205="Khi phát sinh",IF(COUNTIFS('Lớp 6 - Chi tiết'!$J$14:$J$267,$I205,'Lớp 6 - Chi tiết'!$AE$14:$AE$267,"&lt;&gt;Hủy")=0,"Khi phát sinh – chờ việc con","Khi phát sinh – theo ngày con"),IF(I205="","",LET(n,COUNTIFS('Lớp 6 - Chi tiết'!$J$14:$J$267,$I205,'Lớp 6 - Chi tiết'!$AE$14:$AE$267,"&lt;&gt;Hủy"),cs,IFERROR(MINIFS('Lớp 6 - Chi tiết'!$AG$14:$AG$267,'Lớp 6 - Chi tiết'!$J$14:$J$267,$I205,'Lớp 6 - Chi tiết'!$AE$14:$AE$267,"&lt;&gt;Hủy",'Lớp 6 - Chi tiết'!$AG$14:$AG$267,"&gt;0"),0),ce,IFERROR(MAXIFS('Lớp 6 - Chi tiết'!$AH$14:$AH$267,'Lớp 6 - Chi tiết'!$J$14:$J$267,$I205,'Lớp 6 - Chi tiết'!$AE$14:$AE$267,"&lt;&gt;Hủy",'Lớp 6 - Chi tiết'!$AH$14:$AH$267,"&gt;0"),0),ps,'Trung tâm nhập liệu'!R355,pe,'Trung tâm nhập liệu'!Q355,IF(OR(AD205="",AE205=""),"Thiếu ngày L5",IF(n=0,"Chưa có L6",IF(OR(cs=0,ce=0),"Thiếu ngày L6",IF(OR(ps="",pe=""),"Thiếu ngày kế hoạch gốc L5",IF(OR(cs&lt;ps,ce&gt;pe),"Cảnh báo: Con vượt khung kế hoạch gốc","L6 đúng khung kế hoạch gốc"))))))))))</f>
        <v/>
      </c>
      <c r="AL205" s="465"/>
      <c r="AM205" s="467"/>
      <c r="AN205" s="469"/>
      <c r="AO205" s="470"/>
      <c r="AP205" s="470"/>
      <c r="AQ205" s="471"/>
      <c r="AR205" s="469"/>
      <c r="AS205" s="475"/>
      <c r="AT205" s="476"/>
      <c r="AU205" s="478"/>
      <c r="AV205" s="465"/>
      <c r="AW205" s="465"/>
      <c r="AX205" s="479"/>
    </row>
    <row r="206" ht="15.75" customHeight="1">
      <c r="A206" s="424"/>
      <c r="B206" s="572"/>
      <c r="C206" s="591"/>
      <c r="D206" s="623"/>
      <c r="E206" s="617"/>
      <c r="F206" s="575"/>
      <c r="G206" s="575"/>
      <c r="H206" s="576"/>
      <c r="I206" s="577"/>
      <c r="J206" s="577"/>
      <c r="K206" s="597"/>
      <c r="L206" s="598"/>
      <c r="M206" s="438"/>
      <c r="N206" s="597"/>
      <c r="O206" s="597"/>
      <c r="P206" s="597"/>
      <c r="Q206" s="581"/>
      <c r="R206" s="420"/>
      <c r="S206" s="582"/>
      <c r="T206" s="583"/>
      <c r="U206" s="584" t="str">
        <f>IF($I206="","",LET(n,COUNTIFS('Lớp 6 - Chi tiết'!$J$14:$J$267,$I206,'Lớp 6 - Chi tiết'!$AE$14:$AE$267,"&lt;&gt;Hủy"),child,IFERROR(MAXIFS('Lớp 6 - Chi tiết'!$AH$14:$AH$267,'Lớp 6 - Chi tiết'!$J$14:$J$267,$I206,'Lớp 6 - Chi tiết'!$AE$14:$AE$267,"&lt;&gt;Hủy",'Lớp 6 - Chi tiết'!$AH$14:$AH$267,"&gt;0"),0),plan,'Trung tâm nhập liệu'!Q356,emergent,LOWER(TRIM('Trung tâm nhập liệu'!O356))="khi phát sinh",IF(n=0,IF(emergent,"",plan),IF(child=0,IF(emergent,"",plan),IF(OR(emergent,plan=""),child,MAX(plan,child))))))</f>
        <v/>
      </c>
      <c r="V206" s="584" t="str">
        <f>IF($I206="","",LET(n,COUNTIFS('Lớp 6 - Chi tiết'!$J$14:$J$267,$I206,'Lớp 6 - Chi tiết'!$AE$14:$AE$267,"&lt;&gt;Hủy"),child,IFERROR(MINIFS('Lớp 6 - Chi tiết'!$AG$14:$AG$267,'Lớp 6 - Chi tiết'!$J$14:$J$267,$I206,'Lớp 6 - Chi tiết'!$AE$14:$AE$267,"&lt;&gt;Hủy",'Lớp 6 - Chi tiết'!$AG$14:$AG$267,"&gt;0"),0),plan,'Trung tâm nhập liệu'!R356,emergent,LOWER(TRIM('Trung tâm nhập liệu'!O356))="khi phát sinh",IF(n=0,IF(emergent,"",plan),IF(child=0,IF(emergent,"",plan),IF(OR(emergent,plan=""),child,MIN(plan,child))))))</f>
        <v/>
      </c>
      <c r="W206" s="577"/>
      <c r="X206" s="577"/>
      <c r="Y206" s="585"/>
      <c r="Z206" s="586"/>
      <c r="AA206" s="577"/>
      <c r="AB206" s="572"/>
      <c r="AC206" s="420"/>
      <c r="AD206" s="584"/>
      <c r="AE206" s="584"/>
      <c r="AF206" s="587"/>
      <c r="AG206" s="588"/>
      <c r="AH206" s="587"/>
      <c r="AI206" s="589"/>
      <c r="AJ206" s="468"/>
      <c r="AK206" s="477" t="str">
        <f>IF(AM206="Chưa xếp lịch","Chưa xếp lịch",IF(AM206="Định kỳ",IF(AN206="","Thiếu chu kỳ","Theo chu kỳ"),IF(AM206="Khi phát sinh",IF(COUNTIFS('Lớp 6 - Chi tiết'!$J$14:$J$267,$I206,'Lớp 6 - Chi tiết'!$AE$14:$AE$267,"&lt;&gt;Hủy")=0,"Khi phát sinh – chờ việc con","Khi phát sinh – theo ngày con"),IF(I206="","",LET(n,COUNTIFS('Lớp 6 - Chi tiết'!$J$14:$J$267,$I206,'Lớp 6 - Chi tiết'!$AE$14:$AE$267,"&lt;&gt;Hủy"),cs,IFERROR(MINIFS('Lớp 6 - Chi tiết'!$AG$14:$AG$267,'Lớp 6 - Chi tiết'!$J$14:$J$267,$I206,'Lớp 6 - Chi tiết'!$AE$14:$AE$267,"&lt;&gt;Hủy",'Lớp 6 - Chi tiết'!$AG$14:$AG$267,"&gt;0"),0),ce,IFERROR(MAXIFS('Lớp 6 - Chi tiết'!$AH$14:$AH$267,'Lớp 6 - Chi tiết'!$J$14:$J$267,$I206,'Lớp 6 - Chi tiết'!$AE$14:$AE$267,"&lt;&gt;Hủy",'Lớp 6 - Chi tiết'!$AH$14:$AH$267,"&gt;0"),0),ps,'Trung tâm nhập liệu'!R356,pe,'Trung tâm nhập liệu'!Q356,IF(OR(AD206="",AE206=""),"Thiếu ngày L5",IF(n=0,"Chưa có L6",IF(OR(cs=0,ce=0),"Thiếu ngày L6",IF(OR(ps="",pe=""),"Thiếu ngày kế hoạch gốc L5",IF(OR(cs&lt;ps,ce&gt;pe),"Cảnh báo: Con vượt khung kế hoạch gốc","L6 đúng khung kế hoạch gốc"))))))))))</f>
        <v/>
      </c>
      <c r="AL206" s="465"/>
      <c r="AM206" s="467"/>
      <c r="AN206" s="469"/>
      <c r="AO206" s="470"/>
      <c r="AP206" s="470"/>
      <c r="AQ206" s="471"/>
      <c r="AR206" s="469"/>
      <c r="AS206" s="475"/>
      <c r="AT206" s="476"/>
      <c r="AU206" s="478"/>
      <c r="AV206" s="465"/>
      <c r="AW206" s="465"/>
      <c r="AX206" s="479"/>
    </row>
    <row r="207" ht="15.75" customHeight="1">
      <c r="A207" s="424"/>
      <c r="B207" s="572"/>
      <c r="C207" s="591"/>
      <c r="D207" s="623"/>
      <c r="E207" s="617"/>
      <c r="F207" s="575"/>
      <c r="G207" s="575"/>
      <c r="H207" s="576"/>
      <c r="I207" s="577"/>
      <c r="J207" s="577"/>
      <c r="K207" s="597"/>
      <c r="L207" s="598"/>
      <c r="M207" s="438"/>
      <c r="N207" s="597"/>
      <c r="O207" s="597"/>
      <c r="P207" s="597"/>
      <c r="Q207" s="581"/>
      <c r="R207" s="420"/>
      <c r="S207" s="582"/>
      <c r="T207" s="583"/>
      <c r="U207" s="584" t="str">
        <f>IF($I207="","",LET(n,COUNTIFS('Lớp 6 - Chi tiết'!$J$14:$J$267,$I207,'Lớp 6 - Chi tiết'!$AE$14:$AE$267,"&lt;&gt;Hủy"),child,IFERROR(MAXIFS('Lớp 6 - Chi tiết'!$AH$14:$AH$267,'Lớp 6 - Chi tiết'!$J$14:$J$267,$I207,'Lớp 6 - Chi tiết'!$AE$14:$AE$267,"&lt;&gt;Hủy",'Lớp 6 - Chi tiết'!$AH$14:$AH$267,"&gt;0"),0),plan,'Trung tâm nhập liệu'!Q357,emergent,LOWER(TRIM('Trung tâm nhập liệu'!O357))="khi phát sinh",IF(n=0,IF(emergent,"",plan),IF(child=0,IF(emergent,"",plan),IF(OR(emergent,plan=""),child,MAX(plan,child))))))</f>
        <v/>
      </c>
      <c r="V207" s="584" t="str">
        <f>IF($I207="","",LET(n,COUNTIFS('Lớp 6 - Chi tiết'!$J$14:$J$267,$I207,'Lớp 6 - Chi tiết'!$AE$14:$AE$267,"&lt;&gt;Hủy"),child,IFERROR(MINIFS('Lớp 6 - Chi tiết'!$AG$14:$AG$267,'Lớp 6 - Chi tiết'!$J$14:$J$267,$I207,'Lớp 6 - Chi tiết'!$AE$14:$AE$267,"&lt;&gt;Hủy",'Lớp 6 - Chi tiết'!$AG$14:$AG$267,"&gt;0"),0),plan,'Trung tâm nhập liệu'!R357,emergent,LOWER(TRIM('Trung tâm nhập liệu'!O357))="khi phát sinh",IF(n=0,IF(emergent,"",plan),IF(child=0,IF(emergent,"",plan),IF(OR(emergent,plan=""),child,MIN(plan,child))))))</f>
        <v/>
      </c>
      <c r="W207" s="577"/>
      <c r="X207" s="577"/>
      <c r="Y207" s="585"/>
      <c r="Z207" s="586"/>
      <c r="AA207" s="577"/>
      <c r="AB207" s="572"/>
      <c r="AC207" s="420"/>
      <c r="AD207" s="584"/>
      <c r="AE207" s="584"/>
      <c r="AF207" s="587"/>
      <c r="AG207" s="588"/>
      <c r="AH207" s="587"/>
      <c r="AI207" s="589"/>
      <c r="AJ207" s="468"/>
      <c r="AK207" s="477" t="str">
        <f>IF(AM207="Chưa xếp lịch","Chưa xếp lịch",IF(AM207="Định kỳ",IF(AN207="","Thiếu chu kỳ","Theo chu kỳ"),IF(AM207="Khi phát sinh",IF(COUNTIFS('Lớp 6 - Chi tiết'!$J$14:$J$267,$I207,'Lớp 6 - Chi tiết'!$AE$14:$AE$267,"&lt;&gt;Hủy")=0,"Khi phát sinh – chờ việc con","Khi phát sinh – theo ngày con"),IF(I207="","",LET(n,COUNTIFS('Lớp 6 - Chi tiết'!$J$14:$J$267,$I207,'Lớp 6 - Chi tiết'!$AE$14:$AE$267,"&lt;&gt;Hủy"),cs,IFERROR(MINIFS('Lớp 6 - Chi tiết'!$AG$14:$AG$267,'Lớp 6 - Chi tiết'!$J$14:$J$267,$I207,'Lớp 6 - Chi tiết'!$AE$14:$AE$267,"&lt;&gt;Hủy",'Lớp 6 - Chi tiết'!$AG$14:$AG$267,"&gt;0"),0),ce,IFERROR(MAXIFS('Lớp 6 - Chi tiết'!$AH$14:$AH$267,'Lớp 6 - Chi tiết'!$J$14:$J$267,$I207,'Lớp 6 - Chi tiết'!$AE$14:$AE$267,"&lt;&gt;Hủy",'Lớp 6 - Chi tiết'!$AH$14:$AH$267,"&gt;0"),0),ps,'Trung tâm nhập liệu'!R357,pe,'Trung tâm nhập liệu'!Q357,IF(OR(AD207="",AE207=""),"Thiếu ngày L5",IF(n=0,"Chưa có L6",IF(OR(cs=0,ce=0),"Thiếu ngày L6",IF(OR(ps="",pe=""),"Thiếu ngày kế hoạch gốc L5",IF(OR(cs&lt;ps,ce&gt;pe),"Cảnh báo: Con vượt khung kế hoạch gốc","L6 đúng khung kế hoạch gốc"))))))))))</f>
        <v/>
      </c>
      <c r="AL207" s="465"/>
      <c r="AM207" s="467"/>
      <c r="AN207" s="469"/>
      <c r="AO207" s="470"/>
      <c r="AP207" s="470"/>
      <c r="AQ207" s="471"/>
      <c r="AR207" s="469"/>
      <c r="AS207" s="475"/>
      <c r="AT207" s="476"/>
      <c r="AU207" s="478"/>
      <c r="AV207" s="465"/>
      <c r="AW207" s="465"/>
      <c r="AX207" s="479"/>
    </row>
    <row r="208" ht="15.75" customHeight="1">
      <c r="A208" s="424"/>
      <c r="B208" s="572"/>
      <c r="C208" s="591"/>
      <c r="D208" s="623"/>
      <c r="E208" s="617"/>
      <c r="F208" s="575"/>
      <c r="G208" s="575"/>
      <c r="H208" s="576"/>
      <c r="I208" s="577"/>
      <c r="J208" s="577"/>
      <c r="K208" s="597"/>
      <c r="L208" s="598"/>
      <c r="M208" s="438"/>
      <c r="N208" s="597"/>
      <c r="O208" s="597"/>
      <c r="P208" s="597"/>
      <c r="Q208" s="581"/>
      <c r="R208" s="420"/>
      <c r="S208" s="582"/>
      <c r="T208" s="583"/>
      <c r="U208" s="584" t="str">
        <f>IF($I208="","",LET(n,COUNTIFS('Lớp 6 - Chi tiết'!$J$14:$J$267,$I208,'Lớp 6 - Chi tiết'!$AE$14:$AE$267,"&lt;&gt;Hủy"),child,IFERROR(MAXIFS('Lớp 6 - Chi tiết'!$AH$14:$AH$267,'Lớp 6 - Chi tiết'!$J$14:$J$267,$I208,'Lớp 6 - Chi tiết'!$AE$14:$AE$267,"&lt;&gt;Hủy",'Lớp 6 - Chi tiết'!$AH$14:$AH$267,"&gt;0"),0),plan,'Trung tâm nhập liệu'!Q358,emergent,LOWER(TRIM('Trung tâm nhập liệu'!O358))="khi phát sinh",IF(n=0,IF(emergent,"",plan),IF(child=0,IF(emergent,"",plan),IF(OR(emergent,plan=""),child,MAX(plan,child))))))</f>
        <v/>
      </c>
      <c r="V208" s="584" t="str">
        <f>IF($I208="","",LET(n,COUNTIFS('Lớp 6 - Chi tiết'!$J$14:$J$267,$I208,'Lớp 6 - Chi tiết'!$AE$14:$AE$267,"&lt;&gt;Hủy"),child,IFERROR(MINIFS('Lớp 6 - Chi tiết'!$AG$14:$AG$267,'Lớp 6 - Chi tiết'!$J$14:$J$267,$I208,'Lớp 6 - Chi tiết'!$AE$14:$AE$267,"&lt;&gt;Hủy",'Lớp 6 - Chi tiết'!$AG$14:$AG$267,"&gt;0"),0),plan,'Trung tâm nhập liệu'!R358,emergent,LOWER(TRIM('Trung tâm nhập liệu'!O358))="khi phát sinh",IF(n=0,IF(emergent,"",plan),IF(child=0,IF(emergent,"",plan),IF(OR(emergent,plan=""),child,MIN(plan,child))))))</f>
        <v/>
      </c>
      <c r="W208" s="577"/>
      <c r="X208" s="577"/>
      <c r="Y208" s="585"/>
      <c r="Z208" s="586"/>
      <c r="AA208" s="577"/>
      <c r="AB208" s="572"/>
      <c r="AC208" s="420"/>
      <c r="AD208" s="584"/>
      <c r="AE208" s="584"/>
      <c r="AF208" s="587"/>
      <c r="AG208" s="588"/>
      <c r="AH208" s="587"/>
      <c r="AI208" s="589"/>
      <c r="AJ208" s="468"/>
      <c r="AK208" s="477" t="str">
        <f>IF(AM208="Chưa xếp lịch","Chưa xếp lịch",IF(AM208="Định kỳ",IF(AN208="","Thiếu chu kỳ","Theo chu kỳ"),IF(AM208="Khi phát sinh",IF(COUNTIFS('Lớp 6 - Chi tiết'!$J$14:$J$267,$I208,'Lớp 6 - Chi tiết'!$AE$14:$AE$267,"&lt;&gt;Hủy")=0,"Khi phát sinh – chờ việc con","Khi phát sinh – theo ngày con"),IF(I208="","",LET(n,COUNTIFS('Lớp 6 - Chi tiết'!$J$14:$J$267,$I208,'Lớp 6 - Chi tiết'!$AE$14:$AE$267,"&lt;&gt;Hủy"),cs,IFERROR(MINIFS('Lớp 6 - Chi tiết'!$AG$14:$AG$267,'Lớp 6 - Chi tiết'!$J$14:$J$267,$I208,'Lớp 6 - Chi tiết'!$AE$14:$AE$267,"&lt;&gt;Hủy",'Lớp 6 - Chi tiết'!$AG$14:$AG$267,"&gt;0"),0),ce,IFERROR(MAXIFS('Lớp 6 - Chi tiết'!$AH$14:$AH$267,'Lớp 6 - Chi tiết'!$J$14:$J$267,$I208,'Lớp 6 - Chi tiết'!$AE$14:$AE$267,"&lt;&gt;Hủy",'Lớp 6 - Chi tiết'!$AH$14:$AH$267,"&gt;0"),0),ps,'Trung tâm nhập liệu'!R358,pe,'Trung tâm nhập liệu'!Q358,IF(OR(AD208="",AE208=""),"Thiếu ngày L5",IF(n=0,"Chưa có L6",IF(OR(cs=0,ce=0),"Thiếu ngày L6",IF(OR(ps="",pe=""),"Thiếu ngày kế hoạch gốc L5",IF(OR(cs&lt;ps,ce&gt;pe),"Cảnh báo: Con vượt khung kế hoạch gốc","L6 đúng khung kế hoạch gốc"))))))))))</f>
        <v/>
      </c>
      <c r="AL208" s="465"/>
      <c r="AM208" s="467"/>
      <c r="AN208" s="469"/>
      <c r="AO208" s="470"/>
      <c r="AP208" s="470"/>
      <c r="AQ208" s="471"/>
      <c r="AR208" s="469"/>
      <c r="AS208" s="475"/>
      <c r="AT208" s="476"/>
      <c r="AU208" s="478"/>
      <c r="AV208" s="465"/>
      <c r="AW208" s="465"/>
      <c r="AX208" s="479"/>
    </row>
    <row r="209" ht="15.75" customHeight="1">
      <c r="A209" s="424"/>
      <c r="B209" s="572"/>
      <c r="C209" s="591"/>
      <c r="D209" s="623"/>
      <c r="E209" s="617"/>
      <c r="F209" s="575"/>
      <c r="G209" s="575"/>
      <c r="H209" s="576"/>
      <c r="I209" s="577"/>
      <c r="J209" s="577"/>
      <c r="K209" s="597"/>
      <c r="L209" s="598"/>
      <c r="M209" s="438"/>
      <c r="N209" s="597"/>
      <c r="O209" s="597"/>
      <c r="P209" s="597"/>
      <c r="Q209" s="581"/>
      <c r="R209" s="420"/>
      <c r="S209" s="582"/>
      <c r="T209" s="583"/>
      <c r="U209" s="584" t="str">
        <f>IF($I209="","",LET(n,COUNTIFS('Lớp 6 - Chi tiết'!$J$14:$J$267,$I209,'Lớp 6 - Chi tiết'!$AE$14:$AE$267,"&lt;&gt;Hủy"),child,IFERROR(MAXIFS('Lớp 6 - Chi tiết'!$AH$14:$AH$267,'Lớp 6 - Chi tiết'!$J$14:$J$267,$I209,'Lớp 6 - Chi tiết'!$AE$14:$AE$267,"&lt;&gt;Hủy",'Lớp 6 - Chi tiết'!$AH$14:$AH$267,"&gt;0"),0),plan,'Trung tâm nhập liệu'!Q359,emergent,LOWER(TRIM('Trung tâm nhập liệu'!O359))="khi phát sinh",IF(n=0,IF(emergent,"",plan),IF(child=0,IF(emergent,"",plan),IF(OR(emergent,plan=""),child,MAX(plan,child))))))</f>
        <v/>
      </c>
      <c r="V209" s="584" t="str">
        <f>IF($I209="","",LET(n,COUNTIFS('Lớp 6 - Chi tiết'!$J$14:$J$267,$I209,'Lớp 6 - Chi tiết'!$AE$14:$AE$267,"&lt;&gt;Hủy"),child,IFERROR(MINIFS('Lớp 6 - Chi tiết'!$AG$14:$AG$267,'Lớp 6 - Chi tiết'!$J$14:$J$267,$I209,'Lớp 6 - Chi tiết'!$AE$14:$AE$267,"&lt;&gt;Hủy",'Lớp 6 - Chi tiết'!$AG$14:$AG$267,"&gt;0"),0),plan,'Trung tâm nhập liệu'!R359,emergent,LOWER(TRIM('Trung tâm nhập liệu'!O359))="khi phát sinh",IF(n=0,IF(emergent,"",plan),IF(child=0,IF(emergent,"",plan),IF(OR(emergent,plan=""),child,MIN(plan,child))))))</f>
        <v/>
      </c>
      <c r="W209" s="577"/>
      <c r="X209" s="577"/>
      <c r="Y209" s="585"/>
      <c r="Z209" s="586"/>
      <c r="AA209" s="577"/>
      <c r="AB209" s="572"/>
      <c r="AC209" s="420"/>
      <c r="AD209" s="584"/>
      <c r="AE209" s="584"/>
      <c r="AF209" s="587"/>
      <c r="AG209" s="588"/>
      <c r="AH209" s="587"/>
      <c r="AI209" s="589"/>
      <c r="AJ209" s="468"/>
      <c r="AK209" s="477" t="str">
        <f>IF(AM209="Chưa xếp lịch","Chưa xếp lịch",IF(AM209="Định kỳ",IF(AN209="","Thiếu chu kỳ","Theo chu kỳ"),IF(AM209="Khi phát sinh",IF(COUNTIFS('Lớp 6 - Chi tiết'!$J$14:$J$267,$I209,'Lớp 6 - Chi tiết'!$AE$14:$AE$267,"&lt;&gt;Hủy")=0,"Khi phát sinh – chờ việc con","Khi phát sinh – theo ngày con"),IF(I209="","",LET(n,COUNTIFS('Lớp 6 - Chi tiết'!$J$14:$J$267,$I209,'Lớp 6 - Chi tiết'!$AE$14:$AE$267,"&lt;&gt;Hủy"),cs,IFERROR(MINIFS('Lớp 6 - Chi tiết'!$AG$14:$AG$267,'Lớp 6 - Chi tiết'!$J$14:$J$267,$I209,'Lớp 6 - Chi tiết'!$AE$14:$AE$267,"&lt;&gt;Hủy",'Lớp 6 - Chi tiết'!$AG$14:$AG$267,"&gt;0"),0),ce,IFERROR(MAXIFS('Lớp 6 - Chi tiết'!$AH$14:$AH$267,'Lớp 6 - Chi tiết'!$J$14:$J$267,$I209,'Lớp 6 - Chi tiết'!$AE$14:$AE$267,"&lt;&gt;Hủy",'Lớp 6 - Chi tiết'!$AH$14:$AH$267,"&gt;0"),0),ps,'Trung tâm nhập liệu'!R359,pe,'Trung tâm nhập liệu'!Q359,IF(OR(AD209="",AE209=""),"Thiếu ngày L5",IF(n=0,"Chưa có L6",IF(OR(cs=0,ce=0),"Thiếu ngày L6",IF(OR(ps="",pe=""),"Thiếu ngày kế hoạch gốc L5",IF(OR(cs&lt;ps,ce&gt;pe),"Cảnh báo: Con vượt khung kế hoạch gốc","L6 đúng khung kế hoạch gốc"))))))))))</f>
        <v/>
      </c>
      <c r="AL209" s="465"/>
      <c r="AM209" s="467"/>
      <c r="AN209" s="469"/>
      <c r="AO209" s="470"/>
      <c r="AP209" s="470"/>
      <c r="AQ209" s="471"/>
      <c r="AR209" s="469"/>
      <c r="AS209" s="475"/>
      <c r="AT209" s="476"/>
      <c r="AU209" s="478"/>
      <c r="AV209" s="465"/>
      <c r="AW209" s="465"/>
      <c r="AX209" s="479"/>
    </row>
    <row r="210" ht="15.75" customHeight="1">
      <c r="A210" s="424"/>
      <c r="B210" s="572"/>
      <c r="C210" s="591"/>
      <c r="D210" s="623"/>
      <c r="E210" s="617"/>
      <c r="F210" s="575"/>
      <c r="G210" s="575"/>
      <c r="H210" s="576"/>
      <c r="I210" s="577"/>
      <c r="J210" s="577"/>
      <c r="K210" s="597"/>
      <c r="L210" s="598"/>
      <c r="M210" s="438"/>
      <c r="N210" s="597"/>
      <c r="O210" s="597"/>
      <c r="P210" s="597"/>
      <c r="Q210" s="581"/>
      <c r="R210" s="420"/>
      <c r="S210" s="582"/>
      <c r="T210" s="583"/>
      <c r="U210" s="584" t="str">
        <f>IF($I210="","",LET(n,COUNTIFS('Lớp 6 - Chi tiết'!$J$14:$J$267,$I210,'Lớp 6 - Chi tiết'!$AE$14:$AE$267,"&lt;&gt;Hủy"),child,IFERROR(MAXIFS('Lớp 6 - Chi tiết'!$AH$14:$AH$267,'Lớp 6 - Chi tiết'!$J$14:$J$267,$I210,'Lớp 6 - Chi tiết'!$AE$14:$AE$267,"&lt;&gt;Hủy",'Lớp 6 - Chi tiết'!$AH$14:$AH$267,"&gt;0"),0),plan,'Trung tâm nhập liệu'!Q360,emergent,LOWER(TRIM('Trung tâm nhập liệu'!O360))="khi phát sinh",IF(n=0,IF(emergent,"",plan),IF(child=0,IF(emergent,"",plan),IF(OR(emergent,plan=""),child,MAX(plan,child))))))</f>
        <v/>
      </c>
      <c r="V210" s="584" t="str">
        <f>IF($I210="","",LET(n,COUNTIFS('Lớp 6 - Chi tiết'!$J$14:$J$267,$I210,'Lớp 6 - Chi tiết'!$AE$14:$AE$267,"&lt;&gt;Hủy"),child,IFERROR(MINIFS('Lớp 6 - Chi tiết'!$AG$14:$AG$267,'Lớp 6 - Chi tiết'!$J$14:$J$267,$I210,'Lớp 6 - Chi tiết'!$AE$14:$AE$267,"&lt;&gt;Hủy",'Lớp 6 - Chi tiết'!$AG$14:$AG$267,"&gt;0"),0),plan,'Trung tâm nhập liệu'!R360,emergent,LOWER(TRIM('Trung tâm nhập liệu'!O360))="khi phát sinh",IF(n=0,IF(emergent,"",plan),IF(child=0,IF(emergent,"",plan),IF(OR(emergent,plan=""),child,MIN(plan,child))))))</f>
        <v/>
      </c>
      <c r="W210" s="577"/>
      <c r="X210" s="577"/>
      <c r="Y210" s="585"/>
      <c r="Z210" s="586"/>
      <c r="AA210" s="577"/>
      <c r="AB210" s="572"/>
      <c r="AC210" s="420"/>
      <c r="AD210" s="584"/>
      <c r="AE210" s="584"/>
      <c r="AF210" s="587"/>
      <c r="AG210" s="588"/>
      <c r="AH210" s="587"/>
      <c r="AI210" s="589"/>
      <c r="AJ210" s="468"/>
      <c r="AK210" s="477" t="str">
        <f>IF(AM210="Chưa xếp lịch","Chưa xếp lịch",IF(AM210="Định kỳ",IF(AN210="","Thiếu chu kỳ","Theo chu kỳ"),IF(AM210="Khi phát sinh",IF(COUNTIFS('Lớp 6 - Chi tiết'!$J$14:$J$267,$I210,'Lớp 6 - Chi tiết'!$AE$14:$AE$267,"&lt;&gt;Hủy")=0,"Khi phát sinh – chờ việc con","Khi phát sinh – theo ngày con"),IF(I210="","",LET(n,COUNTIFS('Lớp 6 - Chi tiết'!$J$14:$J$267,$I210,'Lớp 6 - Chi tiết'!$AE$14:$AE$267,"&lt;&gt;Hủy"),cs,IFERROR(MINIFS('Lớp 6 - Chi tiết'!$AG$14:$AG$267,'Lớp 6 - Chi tiết'!$J$14:$J$267,$I210,'Lớp 6 - Chi tiết'!$AE$14:$AE$267,"&lt;&gt;Hủy",'Lớp 6 - Chi tiết'!$AG$14:$AG$267,"&gt;0"),0),ce,IFERROR(MAXIFS('Lớp 6 - Chi tiết'!$AH$14:$AH$267,'Lớp 6 - Chi tiết'!$J$14:$J$267,$I210,'Lớp 6 - Chi tiết'!$AE$14:$AE$267,"&lt;&gt;Hủy",'Lớp 6 - Chi tiết'!$AH$14:$AH$267,"&gt;0"),0),ps,'Trung tâm nhập liệu'!R360,pe,'Trung tâm nhập liệu'!Q360,IF(OR(AD210="",AE210=""),"Thiếu ngày L5",IF(n=0,"Chưa có L6",IF(OR(cs=0,ce=0),"Thiếu ngày L6",IF(OR(ps="",pe=""),"Thiếu ngày kế hoạch gốc L5",IF(OR(cs&lt;ps,ce&gt;pe),"Cảnh báo: Con vượt khung kế hoạch gốc","L6 đúng khung kế hoạch gốc"))))))))))</f>
        <v/>
      </c>
      <c r="AL210" s="465"/>
      <c r="AM210" s="467"/>
      <c r="AN210" s="469"/>
      <c r="AO210" s="470"/>
      <c r="AP210" s="470"/>
      <c r="AQ210" s="471"/>
      <c r="AR210" s="469"/>
      <c r="AS210" s="475"/>
      <c r="AT210" s="476"/>
      <c r="AU210" s="478"/>
      <c r="AV210" s="465"/>
      <c r="AW210" s="465"/>
      <c r="AX210" s="479"/>
    </row>
    <row r="211" ht="15.75" customHeight="1">
      <c r="A211" s="424"/>
      <c r="B211" s="572"/>
      <c r="C211" s="591"/>
      <c r="D211" s="623"/>
      <c r="E211" s="617"/>
      <c r="F211" s="575"/>
      <c r="G211" s="575"/>
      <c r="H211" s="576"/>
      <c r="I211" s="577"/>
      <c r="J211" s="577"/>
      <c r="K211" s="597"/>
      <c r="L211" s="598"/>
      <c r="M211" s="438"/>
      <c r="N211" s="597"/>
      <c r="O211" s="597"/>
      <c r="P211" s="597"/>
      <c r="Q211" s="581"/>
      <c r="R211" s="420"/>
      <c r="S211" s="582"/>
      <c r="T211" s="583"/>
      <c r="U211" s="584" t="str">
        <f>IF($I211="","",LET(n,COUNTIFS('Lớp 6 - Chi tiết'!$J$14:$J$267,$I211,'Lớp 6 - Chi tiết'!$AE$14:$AE$267,"&lt;&gt;Hủy"),child,IFERROR(MAXIFS('Lớp 6 - Chi tiết'!$AH$14:$AH$267,'Lớp 6 - Chi tiết'!$J$14:$J$267,$I211,'Lớp 6 - Chi tiết'!$AE$14:$AE$267,"&lt;&gt;Hủy",'Lớp 6 - Chi tiết'!$AH$14:$AH$267,"&gt;0"),0),plan,'Trung tâm nhập liệu'!Q361,emergent,LOWER(TRIM('Trung tâm nhập liệu'!O361))="khi phát sinh",IF(n=0,IF(emergent,"",plan),IF(child=0,IF(emergent,"",plan),IF(OR(emergent,plan=""),child,MAX(plan,child))))))</f>
        <v/>
      </c>
      <c r="V211" s="584" t="str">
        <f>IF($I211="","",LET(n,COUNTIFS('Lớp 6 - Chi tiết'!$J$14:$J$267,$I211,'Lớp 6 - Chi tiết'!$AE$14:$AE$267,"&lt;&gt;Hủy"),child,IFERROR(MINIFS('Lớp 6 - Chi tiết'!$AG$14:$AG$267,'Lớp 6 - Chi tiết'!$J$14:$J$267,$I211,'Lớp 6 - Chi tiết'!$AE$14:$AE$267,"&lt;&gt;Hủy",'Lớp 6 - Chi tiết'!$AG$14:$AG$267,"&gt;0"),0),plan,'Trung tâm nhập liệu'!R361,emergent,LOWER(TRIM('Trung tâm nhập liệu'!O361))="khi phát sinh",IF(n=0,IF(emergent,"",plan),IF(child=0,IF(emergent,"",plan),IF(OR(emergent,plan=""),child,MIN(plan,child))))))</f>
        <v/>
      </c>
      <c r="W211" s="577"/>
      <c r="X211" s="577"/>
      <c r="Y211" s="585"/>
      <c r="Z211" s="586"/>
      <c r="AA211" s="577"/>
      <c r="AB211" s="572"/>
      <c r="AC211" s="420"/>
      <c r="AD211" s="584"/>
      <c r="AE211" s="584"/>
      <c r="AF211" s="587"/>
      <c r="AG211" s="588"/>
      <c r="AH211" s="587"/>
      <c r="AI211" s="589"/>
      <c r="AJ211" s="468"/>
      <c r="AK211" s="477" t="str">
        <f>IF(AM211="Chưa xếp lịch","Chưa xếp lịch",IF(AM211="Định kỳ",IF(AN211="","Thiếu chu kỳ","Theo chu kỳ"),IF(AM211="Khi phát sinh",IF(COUNTIFS('Lớp 6 - Chi tiết'!$J$14:$J$267,$I211,'Lớp 6 - Chi tiết'!$AE$14:$AE$267,"&lt;&gt;Hủy")=0,"Khi phát sinh – chờ việc con","Khi phát sinh – theo ngày con"),IF(I211="","",LET(n,COUNTIFS('Lớp 6 - Chi tiết'!$J$14:$J$267,$I211,'Lớp 6 - Chi tiết'!$AE$14:$AE$267,"&lt;&gt;Hủy"),cs,IFERROR(MINIFS('Lớp 6 - Chi tiết'!$AG$14:$AG$267,'Lớp 6 - Chi tiết'!$J$14:$J$267,$I211,'Lớp 6 - Chi tiết'!$AE$14:$AE$267,"&lt;&gt;Hủy",'Lớp 6 - Chi tiết'!$AG$14:$AG$267,"&gt;0"),0),ce,IFERROR(MAXIFS('Lớp 6 - Chi tiết'!$AH$14:$AH$267,'Lớp 6 - Chi tiết'!$J$14:$J$267,$I211,'Lớp 6 - Chi tiết'!$AE$14:$AE$267,"&lt;&gt;Hủy",'Lớp 6 - Chi tiết'!$AH$14:$AH$267,"&gt;0"),0),ps,'Trung tâm nhập liệu'!R361,pe,'Trung tâm nhập liệu'!Q361,IF(OR(AD211="",AE211=""),"Thiếu ngày L5",IF(n=0,"Chưa có L6",IF(OR(cs=0,ce=0),"Thiếu ngày L6",IF(OR(ps="",pe=""),"Thiếu ngày kế hoạch gốc L5",IF(OR(cs&lt;ps,ce&gt;pe),"Cảnh báo: Con vượt khung kế hoạch gốc","L6 đúng khung kế hoạch gốc"))))))))))</f>
        <v/>
      </c>
      <c r="AL211" s="465"/>
      <c r="AM211" s="467"/>
      <c r="AN211" s="469"/>
      <c r="AO211" s="470"/>
      <c r="AP211" s="470"/>
      <c r="AQ211" s="471"/>
      <c r="AR211" s="469"/>
      <c r="AS211" s="475"/>
      <c r="AT211" s="476"/>
      <c r="AU211" s="478"/>
      <c r="AV211" s="465"/>
      <c r="AW211" s="465"/>
      <c r="AX211" s="479"/>
    </row>
    <row r="212" ht="15.75" customHeight="1">
      <c r="A212" s="424"/>
      <c r="B212" s="572"/>
      <c r="C212" s="591"/>
      <c r="D212" s="623"/>
      <c r="E212" s="617"/>
      <c r="F212" s="575"/>
      <c r="G212" s="575"/>
      <c r="H212" s="576"/>
      <c r="I212" s="577"/>
      <c r="J212" s="577"/>
      <c r="K212" s="597"/>
      <c r="L212" s="598"/>
      <c r="M212" s="438"/>
      <c r="N212" s="597"/>
      <c r="O212" s="597"/>
      <c r="P212" s="597"/>
      <c r="Q212" s="581"/>
      <c r="R212" s="420"/>
      <c r="S212" s="582"/>
      <c r="T212" s="583"/>
      <c r="U212" s="584" t="str">
        <f>IF($I212="","",LET(n,COUNTIFS('Lớp 6 - Chi tiết'!$J$14:$J$267,$I212,'Lớp 6 - Chi tiết'!$AE$14:$AE$267,"&lt;&gt;Hủy"),child,IFERROR(MAXIFS('Lớp 6 - Chi tiết'!$AH$14:$AH$267,'Lớp 6 - Chi tiết'!$J$14:$J$267,$I212,'Lớp 6 - Chi tiết'!$AE$14:$AE$267,"&lt;&gt;Hủy",'Lớp 6 - Chi tiết'!$AH$14:$AH$267,"&gt;0"),0),plan,'Trung tâm nhập liệu'!Q362,emergent,LOWER(TRIM('Trung tâm nhập liệu'!O362))="khi phát sinh",IF(n=0,IF(emergent,"",plan),IF(child=0,IF(emergent,"",plan),IF(OR(emergent,plan=""),child,MAX(plan,child))))))</f>
        <v/>
      </c>
      <c r="V212" s="584" t="str">
        <f>IF($I212="","",LET(n,COUNTIFS('Lớp 6 - Chi tiết'!$J$14:$J$267,$I212,'Lớp 6 - Chi tiết'!$AE$14:$AE$267,"&lt;&gt;Hủy"),child,IFERROR(MINIFS('Lớp 6 - Chi tiết'!$AG$14:$AG$267,'Lớp 6 - Chi tiết'!$J$14:$J$267,$I212,'Lớp 6 - Chi tiết'!$AE$14:$AE$267,"&lt;&gt;Hủy",'Lớp 6 - Chi tiết'!$AG$14:$AG$267,"&gt;0"),0),plan,'Trung tâm nhập liệu'!R362,emergent,LOWER(TRIM('Trung tâm nhập liệu'!O362))="khi phát sinh",IF(n=0,IF(emergent,"",plan),IF(child=0,IF(emergent,"",plan),IF(OR(emergent,plan=""),child,MIN(plan,child))))))</f>
        <v/>
      </c>
      <c r="W212" s="577"/>
      <c r="X212" s="577"/>
      <c r="Y212" s="585"/>
      <c r="Z212" s="586"/>
      <c r="AA212" s="577"/>
      <c r="AB212" s="572"/>
      <c r="AC212" s="420"/>
      <c r="AD212" s="584"/>
      <c r="AE212" s="584"/>
      <c r="AF212" s="587"/>
      <c r="AG212" s="588"/>
      <c r="AH212" s="587"/>
      <c r="AI212" s="589"/>
      <c r="AJ212" s="468"/>
      <c r="AK212" s="477" t="str">
        <f>IF(AM212="Chưa xếp lịch","Chưa xếp lịch",IF(AM212="Định kỳ",IF(AN212="","Thiếu chu kỳ","Theo chu kỳ"),IF(AM212="Khi phát sinh",IF(COUNTIFS('Lớp 6 - Chi tiết'!$J$14:$J$267,$I212,'Lớp 6 - Chi tiết'!$AE$14:$AE$267,"&lt;&gt;Hủy")=0,"Khi phát sinh – chờ việc con","Khi phát sinh – theo ngày con"),IF(I212="","",LET(n,COUNTIFS('Lớp 6 - Chi tiết'!$J$14:$J$267,$I212,'Lớp 6 - Chi tiết'!$AE$14:$AE$267,"&lt;&gt;Hủy"),cs,IFERROR(MINIFS('Lớp 6 - Chi tiết'!$AG$14:$AG$267,'Lớp 6 - Chi tiết'!$J$14:$J$267,$I212,'Lớp 6 - Chi tiết'!$AE$14:$AE$267,"&lt;&gt;Hủy",'Lớp 6 - Chi tiết'!$AG$14:$AG$267,"&gt;0"),0),ce,IFERROR(MAXIFS('Lớp 6 - Chi tiết'!$AH$14:$AH$267,'Lớp 6 - Chi tiết'!$J$14:$J$267,$I212,'Lớp 6 - Chi tiết'!$AE$14:$AE$267,"&lt;&gt;Hủy",'Lớp 6 - Chi tiết'!$AH$14:$AH$267,"&gt;0"),0),ps,'Trung tâm nhập liệu'!R362,pe,'Trung tâm nhập liệu'!Q362,IF(OR(AD212="",AE212=""),"Thiếu ngày L5",IF(n=0,"Chưa có L6",IF(OR(cs=0,ce=0),"Thiếu ngày L6",IF(OR(ps="",pe=""),"Thiếu ngày kế hoạch gốc L5",IF(OR(cs&lt;ps,ce&gt;pe),"Cảnh báo: Con vượt khung kế hoạch gốc","L6 đúng khung kế hoạch gốc"))))))))))</f>
        <v/>
      </c>
      <c r="AL212" s="465"/>
      <c r="AM212" s="467"/>
      <c r="AN212" s="469"/>
      <c r="AO212" s="470"/>
      <c r="AP212" s="470"/>
      <c r="AQ212" s="471"/>
      <c r="AR212" s="469"/>
      <c r="AS212" s="475"/>
      <c r="AT212" s="476"/>
      <c r="AU212" s="478"/>
      <c r="AV212" s="465"/>
      <c r="AW212" s="465"/>
      <c r="AX212" s="479"/>
    </row>
    <row r="213" ht="15.75" customHeight="1">
      <c r="A213" s="424"/>
      <c r="B213" s="572"/>
      <c r="C213" s="591"/>
      <c r="D213" s="623"/>
      <c r="E213" s="617"/>
      <c r="F213" s="575"/>
      <c r="G213" s="575"/>
      <c r="H213" s="576"/>
      <c r="I213" s="577"/>
      <c r="J213" s="577"/>
      <c r="K213" s="597"/>
      <c r="L213" s="598"/>
      <c r="M213" s="438"/>
      <c r="N213" s="597"/>
      <c r="O213" s="597"/>
      <c r="P213" s="597"/>
      <c r="Q213" s="581"/>
      <c r="R213" s="420"/>
      <c r="S213" s="582"/>
      <c r="T213" s="583"/>
      <c r="U213" s="584" t="str">
        <f>IF($I213="","",LET(n,COUNTIFS('Lớp 6 - Chi tiết'!$J$14:$J$267,$I213,'Lớp 6 - Chi tiết'!$AE$14:$AE$267,"&lt;&gt;Hủy"),child,IFERROR(MAXIFS('Lớp 6 - Chi tiết'!$AH$14:$AH$267,'Lớp 6 - Chi tiết'!$J$14:$J$267,$I213,'Lớp 6 - Chi tiết'!$AE$14:$AE$267,"&lt;&gt;Hủy",'Lớp 6 - Chi tiết'!$AH$14:$AH$267,"&gt;0"),0),plan,'Trung tâm nhập liệu'!Q363,emergent,LOWER(TRIM('Trung tâm nhập liệu'!O363))="khi phát sinh",IF(n=0,IF(emergent,"",plan),IF(child=0,IF(emergent,"",plan),IF(OR(emergent,plan=""),child,MAX(plan,child))))))</f>
        <v/>
      </c>
      <c r="V213" s="584" t="str">
        <f>IF($I213="","",LET(n,COUNTIFS('Lớp 6 - Chi tiết'!$J$14:$J$267,$I213,'Lớp 6 - Chi tiết'!$AE$14:$AE$267,"&lt;&gt;Hủy"),child,IFERROR(MINIFS('Lớp 6 - Chi tiết'!$AG$14:$AG$267,'Lớp 6 - Chi tiết'!$J$14:$J$267,$I213,'Lớp 6 - Chi tiết'!$AE$14:$AE$267,"&lt;&gt;Hủy",'Lớp 6 - Chi tiết'!$AG$14:$AG$267,"&gt;0"),0),plan,'Trung tâm nhập liệu'!R363,emergent,LOWER(TRIM('Trung tâm nhập liệu'!O363))="khi phát sinh",IF(n=0,IF(emergent,"",plan),IF(child=0,IF(emergent,"",plan),IF(OR(emergent,plan=""),child,MIN(plan,child))))))</f>
        <v/>
      </c>
      <c r="W213" s="577"/>
      <c r="X213" s="577"/>
      <c r="Y213" s="585"/>
      <c r="Z213" s="586"/>
      <c r="AA213" s="577"/>
      <c r="AB213" s="572"/>
      <c r="AC213" s="420"/>
      <c r="AD213" s="584"/>
      <c r="AE213" s="584"/>
      <c r="AF213" s="587"/>
      <c r="AG213" s="588"/>
      <c r="AH213" s="587"/>
      <c r="AI213" s="589"/>
      <c r="AJ213" s="468"/>
      <c r="AK213" s="477" t="str">
        <f>IF(AM213="Chưa xếp lịch","Chưa xếp lịch",IF(AM213="Định kỳ",IF(AN213="","Thiếu chu kỳ","Theo chu kỳ"),IF(AM213="Khi phát sinh",IF(COUNTIFS('Lớp 6 - Chi tiết'!$J$14:$J$267,$I213,'Lớp 6 - Chi tiết'!$AE$14:$AE$267,"&lt;&gt;Hủy")=0,"Khi phát sinh – chờ việc con","Khi phát sinh – theo ngày con"),IF(I213="","",LET(n,COUNTIFS('Lớp 6 - Chi tiết'!$J$14:$J$267,$I213,'Lớp 6 - Chi tiết'!$AE$14:$AE$267,"&lt;&gt;Hủy"),cs,IFERROR(MINIFS('Lớp 6 - Chi tiết'!$AG$14:$AG$267,'Lớp 6 - Chi tiết'!$J$14:$J$267,$I213,'Lớp 6 - Chi tiết'!$AE$14:$AE$267,"&lt;&gt;Hủy",'Lớp 6 - Chi tiết'!$AG$14:$AG$267,"&gt;0"),0),ce,IFERROR(MAXIFS('Lớp 6 - Chi tiết'!$AH$14:$AH$267,'Lớp 6 - Chi tiết'!$J$14:$J$267,$I213,'Lớp 6 - Chi tiết'!$AE$14:$AE$267,"&lt;&gt;Hủy",'Lớp 6 - Chi tiết'!$AH$14:$AH$267,"&gt;0"),0),ps,'Trung tâm nhập liệu'!R363,pe,'Trung tâm nhập liệu'!Q363,IF(OR(AD213="",AE213=""),"Thiếu ngày L5",IF(n=0,"Chưa có L6",IF(OR(cs=0,ce=0),"Thiếu ngày L6",IF(OR(ps="",pe=""),"Thiếu ngày kế hoạch gốc L5",IF(OR(cs&lt;ps,ce&gt;pe),"Cảnh báo: Con vượt khung kế hoạch gốc","L6 đúng khung kế hoạch gốc"))))))))))</f>
        <v/>
      </c>
      <c r="AL213" s="465"/>
      <c r="AM213" s="467"/>
      <c r="AN213" s="469"/>
      <c r="AO213" s="470"/>
      <c r="AP213" s="470"/>
      <c r="AQ213" s="471"/>
      <c r="AR213" s="469"/>
      <c r="AS213" s="475"/>
      <c r="AT213" s="476"/>
      <c r="AU213" s="478"/>
      <c r="AV213" s="465"/>
      <c r="AW213" s="465"/>
      <c r="AX213" s="479"/>
    </row>
    <row r="214" ht="15.75" customHeight="1">
      <c r="A214" s="424"/>
      <c r="B214" s="572"/>
      <c r="C214" s="591"/>
      <c r="D214" s="623"/>
      <c r="E214" s="617"/>
      <c r="F214" s="575"/>
      <c r="G214" s="575"/>
      <c r="H214" s="576"/>
      <c r="I214" s="577"/>
      <c r="J214" s="577"/>
      <c r="K214" s="597"/>
      <c r="L214" s="598"/>
      <c r="M214" s="438"/>
      <c r="N214" s="597"/>
      <c r="O214" s="597"/>
      <c r="P214" s="597"/>
      <c r="Q214" s="581"/>
      <c r="R214" s="420"/>
      <c r="S214" s="582"/>
      <c r="T214" s="583"/>
      <c r="U214" s="584" t="str">
        <f>IF($I214="","",LET(n,COUNTIFS('Lớp 6 - Chi tiết'!$J$14:$J$267,$I214,'Lớp 6 - Chi tiết'!$AE$14:$AE$267,"&lt;&gt;Hủy"),child,IFERROR(MAXIFS('Lớp 6 - Chi tiết'!$AH$14:$AH$267,'Lớp 6 - Chi tiết'!$J$14:$J$267,$I214,'Lớp 6 - Chi tiết'!$AE$14:$AE$267,"&lt;&gt;Hủy",'Lớp 6 - Chi tiết'!$AH$14:$AH$267,"&gt;0"),0),plan,'Trung tâm nhập liệu'!Q364,emergent,LOWER(TRIM('Trung tâm nhập liệu'!O364))="khi phát sinh",IF(n=0,IF(emergent,"",plan),IF(child=0,IF(emergent,"",plan),IF(OR(emergent,plan=""),child,MAX(plan,child))))))</f>
        <v/>
      </c>
      <c r="V214" s="584" t="str">
        <f>IF($I214="","",LET(n,COUNTIFS('Lớp 6 - Chi tiết'!$J$14:$J$267,$I214,'Lớp 6 - Chi tiết'!$AE$14:$AE$267,"&lt;&gt;Hủy"),child,IFERROR(MINIFS('Lớp 6 - Chi tiết'!$AG$14:$AG$267,'Lớp 6 - Chi tiết'!$J$14:$J$267,$I214,'Lớp 6 - Chi tiết'!$AE$14:$AE$267,"&lt;&gt;Hủy",'Lớp 6 - Chi tiết'!$AG$14:$AG$267,"&gt;0"),0),plan,'Trung tâm nhập liệu'!R364,emergent,LOWER(TRIM('Trung tâm nhập liệu'!O364))="khi phát sinh",IF(n=0,IF(emergent,"",plan),IF(child=0,IF(emergent,"",plan),IF(OR(emergent,plan=""),child,MIN(plan,child))))))</f>
        <v/>
      </c>
      <c r="W214" s="577"/>
      <c r="X214" s="577"/>
      <c r="Y214" s="585"/>
      <c r="Z214" s="586"/>
      <c r="AA214" s="577"/>
      <c r="AB214" s="572"/>
      <c r="AC214" s="420"/>
      <c r="AD214" s="584"/>
      <c r="AE214" s="584"/>
      <c r="AF214" s="587"/>
      <c r="AG214" s="588"/>
      <c r="AH214" s="587"/>
      <c r="AI214" s="589"/>
      <c r="AJ214" s="468"/>
      <c r="AK214" s="477" t="str">
        <f>IF(AM214="Chưa xếp lịch","Chưa xếp lịch",IF(AM214="Định kỳ",IF(AN214="","Thiếu chu kỳ","Theo chu kỳ"),IF(AM214="Khi phát sinh",IF(COUNTIFS('Lớp 6 - Chi tiết'!$J$14:$J$267,$I214,'Lớp 6 - Chi tiết'!$AE$14:$AE$267,"&lt;&gt;Hủy")=0,"Khi phát sinh – chờ việc con","Khi phát sinh – theo ngày con"),IF(I214="","",LET(n,COUNTIFS('Lớp 6 - Chi tiết'!$J$14:$J$267,$I214,'Lớp 6 - Chi tiết'!$AE$14:$AE$267,"&lt;&gt;Hủy"),cs,IFERROR(MINIFS('Lớp 6 - Chi tiết'!$AG$14:$AG$267,'Lớp 6 - Chi tiết'!$J$14:$J$267,$I214,'Lớp 6 - Chi tiết'!$AE$14:$AE$267,"&lt;&gt;Hủy",'Lớp 6 - Chi tiết'!$AG$14:$AG$267,"&gt;0"),0),ce,IFERROR(MAXIFS('Lớp 6 - Chi tiết'!$AH$14:$AH$267,'Lớp 6 - Chi tiết'!$J$14:$J$267,$I214,'Lớp 6 - Chi tiết'!$AE$14:$AE$267,"&lt;&gt;Hủy",'Lớp 6 - Chi tiết'!$AH$14:$AH$267,"&gt;0"),0),ps,'Trung tâm nhập liệu'!R364,pe,'Trung tâm nhập liệu'!Q364,IF(OR(AD214="",AE214=""),"Thiếu ngày L5",IF(n=0,"Chưa có L6",IF(OR(cs=0,ce=0),"Thiếu ngày L6",IF(OR(ps="",pe=""),"Thiếu ngày kế hoạch gốc L5",IF(OR(cs&lt;ps,ce&gt;pe),"Cảnh báo: Con vượt khung kế hoạch gốc","L6 đúng khung kế hoạch gốc"))))))))))</f>
        <v/>
      </c>
      <c r="AL214" s="465"/>
      <c r="AM214" s="467"/>
      <c r="AN214" s="469"/>
      <c r="AO214" s="470"/>
      <c r="AP214" s="470"/>
      <c r="AQ214" s="471"/>
      <c r="AR214" s="469"/>
      <c r="AS214" s="475"/>
      <c r="AT214" s="476"/>
      <c r="AU214" s="478"/>
      <c r="AV214" s="465"/>
      <c r="AW214" s="465"/>
      <c r="AX214" s="479"/>
    </row>
    <row r="215" ht="15.75" customHeight="1">
      <c r="A215" s="424"/>
      <c r="B215" s="572"/>
      <c r="C215" s="591"/>
      <c r="D215" s="623"/>
      <c r="E215" s="617"/>
      <c r="F215" s="575"/>
      <c r="G215" s="575"/>
      <c r="H215" s="576"/>
      <c r="I215" s="577"/>
      <c r="J215" s="577"/>
      <c r="K215" s="597"/>
      <c r="L215" s="598"/>
      <c r="M215" s="438"/>
      <c r="N215" s="597"/>
      <c r="O215" s="597"/>
      <c r="P215" s="597"/>
      <c r="Q215" s="581"/>
      <c r="R215" s="420"/>
      <c r="S215" s="582"/>
      <c r="T215" s="583"/>
      <c r="U215" s="584" t="str">
        <f>IF($I215="","",LET(n,COUNTIFS('Lớp 6 - Chi tiết'!$J$14:$J$267,$I215,'Lớp 6 - Chi tiết'!$AE$14:$AE$267,"&lt;&gt;Hủy"),child,IFERROR(MAXIFS('Lớp 6 - Chi tiết'!$AH$14:$AH$267,'Lớp 6 - Chi tiết'!$J$14:$J$267,$I215,'Lớp 6 - Chi tiết'!$AE$14:$AE$267,"&lt;&gt;Hủy",'Lớp 6 - Chi tiết'!$AH$14:$AH$267,"&gt;0"),0),plan,'Trung tâm nhập liệu'!Q365,emergent,LOWER(TRIM('Trung tâm nhập liệu'!O365))="khi phát sinh",IF(n=0,IF(emergent,"",plan),IF(child=0,IF(emergent,"",plan),IF(OR(emergent,plan=""),child,MAX(plan,child))))))</f>
        <v/>
      </c>
      <c r="V215" s="584" t="str">
        <f>IF($I215="","",LET(n,COUNTIFS('Lớp 6 - Chi tiết'!$J$14:$J$267,$I215,'Lớp 6 - Chi tiết'!$AE$14:$AE$267,"&lt;&gt;Hủy"),child,IFERROR(MINIFS('Lớp 6 - Chi tiết'!$AG$14:$AG$267,'Lớp 6 - Chi tiết'!$J$14:$J$267,$I215,'Lớp 6 - Chi tiết'!$AE$14:$AE$267,"&lt;&gt;Hủy",'Lớp 6 - Chi tiết'!$AG$14:$AG$267,"&gt;0"),0),plan,'Trung tâm nhập liệu'!R365,emergent,LOWER(TRIM('Trung tâm nhập liệu'!O365))="khi phát sinh",IF(n=0,IF(emergent,"",plan),IF(child=0,IF(emergent,"",plan),IF(OR(emergent,plan=""),child,MIN(plan,child))))))</f>
        <v/>
      </c>
      <c r="W215" s="577"/>
      <c r="X215" s="577"/>
      <c r="Y215" s="585"/>
      <c r="Z215" s="586"/>
      <c r="AA215" s="577"/>
      <c r="AB215" s="572"/>
      <c r="AC215" s="420"/>
      <c r="AD215" s="584"/>
      <c r="AE215" s="584"/>
      <c r="AF215" s="587"/>
      <c r="AG215" s="588"/>
      <c r="AH215" s="587"/>
      <c r="AI215" s="589"/>
      <c r="AJ215" s="468"/>
      <c r="AK215" s="477" t="str">
        <f>IF(AM215="Chưa xếp lịch","Chưa xếp lịch",IF(AM215="Định kỳ",IF(AN215="","Thiếu chu kỳ","Theo chu kỳ"),IF(AM215="Khi phát sinh",IF(COUNTIFS('Lớp 6 - Chi tiết'!$J$14:$J$267,$I215,'Lớp 6 - Chi tiết'!$AE$14:$AE$267,"&lt;&gt;Hủy")=0,"Khi phát sinh – chờ việc con","Khi phát sinh – theo ngày con"),IF(I215="","",LET(n,COUNTIFS('Lớp 6 - Chi tiết'!$J$14:$J$267,$I215,'Lớp 6 - Chi tiết'!$AE$14:$AE$267,"&lt;&gt;Hủy"),cs,IFERROR(MINIFS('Lớp 6 - Chi tiết'!$AG$14:$AG$267,'Lớp 6 - Chi tiết'!$J$14:$J$267,$I215,'Lớp 6 - Chi tiết'!$AE$14:$AE$267,"&lt;&gt;Hủy",'Lớp 6 - Chi tiết'!$AG$14:$AG$267,"&gt;0"),0),ce,IFERROR(MAXIFS('Lớp 6 - Chi tiết'!$AH$14:$AH$267,'Lớp 6 - Chi tiết'!$J$14:$J$267,$I215,'Lớp 6 - Chi tiết'!$AE$14:$AE$267,"&lt;&gt;Hủy",'Lớp 6 - Chi tiết'!$AH$14:$AH$267,"&gt;0"),0),ps,'Trung tâm nhập liệu'!R365,pe,'Trung tâm nhập liệu'!Q365,IF(OR(AD215="",AE215=""),"Thiếu ngày L5",IF(n=0,"Chưa có L6",IF(OR(cs=0,ce=0),"Thiếu ngày L6",IF(OR(ps="",pe=""),"Thiếu ngày kế hoạch gốc L5",IF(OR(cs&lt;ps,ce&gt;pe),"Cảnh báo: Con vượt khung kế hoạch gốc","L6 đúng khung kế hoạch gốc"))))))))))</f>
        <v/>
      </c>
      <c r="AL215" s="465"/>
      <c r="AM215" s="467"/>
      <c r="AN215" s="469"/>
      <c r="AO215" s="470"/>
      <c r="AP215" s="470"/>
      <c r="AQ215" s="471"/>
      <c r="AR215" s="469"/>
      <c r="AS215" s="475"/>
      <c r="AT215" s="476"/>
      <c r="AU215" s="478"/>
      <c r="AV215" s="465"/>
      <c r="AW215" s="465"/>
      <c r="AX215" s="479"/>
    </row>
    <row r="216" ht="15.75" customHeight="1">
      <c r="A216" s="424"/>
      <c r="B216" s="572"/>
      <c r="C216" s="591"/>
      <c r="D216" s="623"/>
      <c r="E216" s="617"/>
      <c r="F216" s="575"/>
      <c r="G216" s="575"/>
      <c r="H216" s="576"/>
      <c r="I216" s="577"/>
      <c r="J216" s="577"/>
      <c r="K216" s="597"/>
      <c r="L216" s="598"/>
      <c r="M216" s="438"/>
      <c r="N216" s="597"/>
      <c r="O216" s="597"/>
      <c r="P216" s="597"/>
      <c r="Q216" s="581"/>
      <c r="R216" s="420"/>
      <c r="S216" s="582"/>
      <c r="T216" s="583"/>
      <c r="U216" s="584" t="str">
        <f>IF($I216="","",LET(n,COUNTIFS('Lớp 6 - Chi tiết'!$J$14:$J$267,$I216,'Lớp 6 - Chi tiết'!$AE$14:$AE$267,"&lt;&gt;Hủy"),child,IFERROR(MAXIFS('Lớp 6 - Chi tiết'!$AH$14:$AH$267,'Lớp 6 - Chi tiết'!$J$14:$J$267,$I216,'Lớp 6 - Chi tiết'!$AE$14:$AE$267,"&lt;&gt;Hủy",'Lớp 6 - Chi tiết'!$AH$14:$AH$267,"&gt;0"),0),plan,'Trung tâm nhập liệu'!Q366,emergent,LOWER(TRIM('Trung tâm nhập liệu'!O366))="khi phát sinh",IF(n=0,IF(emergent,"",plan),IF(child=0,IF(emergent,"",plan),IF(OR(emergent,plan=""),child,MAX(plan,child))))))</f>
        <v/>
      </c>
      <c r="V216" s="584" t="str">
        <f>IF($I216="","",LET(n,COUNTIFS('Lớp 6 - Chi tiết'!$J$14:$J$267,$I216,'Lớp 6 - Chi tiết'!$AE$14:$AE$267,"&lt;&gt;Hủy"),child,IFERROR(MINIFS('Lớp 6 - Chi tiết'!$AG$14:$AG$267,'Lớp 6 - Chi tiết'!$J$14:$J$267,$I216,'Lớp 6 - Chi tiết'!$AE$14:$AE$267,"&lt;&gt;Hủy",'Lớp 6 - Chi tiết'!$AG$14:$AG$267,"&gt;0"),0),plan,'Trung tâm nhập liệu'!R366,emergent,LOWER(TRIM('Trung tâm nhập liệu'!O366))="khi phát sinh",IF(n=0,IF(emergent,"",plan),IF(child=0,IF(emergent,"",plan),IF(OR(emergent,plan=""),child,MIN(plan,child))))))</f>
        <v/>
      </c>
      <c r="W216" s="577"/>
      <c r="X216" s="577"/>
      <c r="Y216" s="585"/>
      <c r="Z216" s="586"/>
      <c r="AA216" s="577"/>
      <c r="AB216" s="572"/>
      <c r="AC216" s="420"/>
      <c r="AD216" s="584"/>
      <c r="AE216" s="584"/>
      <c r="AF216" s="587"/>
      <c r="AG216" s="588"/>
      <c r="AH216" s="587"/>
      <c r="AI216" s="589"/>
      <c r="AJ216" s="468"/>
      <c r="AK216" s="477" t="str">
        <f>IF(AM216="Chưa xếp lịch","Chưa xếp lịch",IF(AM216="Định kỳ",IF(AN216="","Thiếu chu kỳ","Theo chu kỳ"),IF(AM216="Khi phát sinh",IF(COUNTIFS('Lớp 6 - Chi tiết'!$J$14:$J$267,$I216,'Lớp 6 - Chi tiết'!$AE$14:$AE$267,"&lt;&gt;Hủy")=0,"Khi phát sinh – chờ việc con","Khi phát sinh – theo ngày con"),IF(I216="","",LET(n,COUNTIFS('Lớp 6 - Chi tiết'!$J$14:$J$267,$I216,'Lớp 6 - Chi tiết'!$AE$14:$AE$267,"&lt;&gt;Hủy"),cs,IFERROR(MINIFS('Lớp 6 - Chi tiết'!$AG$14:$AG$267,'Lớp 6 - Chi tiết'!$J$14:$J$267,$I216,'Lớp 6 - Chi tiết'!$AE$14:$AE$267,"&lt;&gt;Hủy",'Lớp 6 - Chi tiết'!$AG$14:$AG$267,"&gt;0"),0),ce,IFERROR(MAXIFS('Lớp 6 - Chi tiết'!$AH$14:$AH$267,'Lớp 6 - Chi tiết'!$J$14:$J$267,$I216,'Lớp 6 - Chi tiết'!$AE$14:$AE$267,"&lt;&gt;Hủy",'Lớp 6 - Chi tiết'!$AH$14:$AH$267,"&gt;0"),0),ps,'Trung tâm nhập liệu'!R366,pe,'Trung tâm nhập liệu'!Q366,IF(OR(AD216="",AE216=""),"Thiếu ngày L5",IF(n=0,"Chưa có L6",IF(OR(cs=0,ce=0),"Thiếu ngày L6",IF(OR(ps="",pe=""),"Thiếu ngày kế hoạch gốc L5",IF(OR(cs&lt;ps,ce&gt;pe),"Cảnh báo: Con vượt khung kế hoạch gốc","L6 đúng khung kế hoạch gốc"))))))))))</f>
        <v/>
      </c>
      <c r="AL216" s="465"/>
      <c r="AM216" s="467"/>
      <c r="AN216" s="469"/>
      <c r="AO216" s="470"/>
      <c r="AP216" s="470"/>
      <c r="AQ216" s="471"/>
      <c r="AR216" s="469"/>
      <c r="AS216" s="475"/>
      <c r="AT216" s="476"/>
      <c r="AU216" s="478"/>
      <c r="AV216" s="465"/>
      <c r="AW216" s="465"/>
      <c r="AX216" s="479"/>
    </row>
    <row r="217" ht="15.75" customHeight="1">
      <c r="A217" s="424"/>
      <c r="B217" s="572"/>
      <c r="C217" s="591"/>
      <c r="D217" s="623"/>
      <c r="E217" s="617"/>
      <c r="F217" s="575"/>
      <c r="G217" s="575"/>
      <c r="H217" s="576"/>
      <c r="I217" s="577"/>
      <c r="J217" s="577"/>
      <c r="K217" s="597"/>
      <c r="L217" s="598"/>
      <c r="M217" s="438"/>
      <c r="N217" s="597"/>
      <c r="O217" s="597"/>
      <c r="P217" s="597"/>
      <c r="Q217" s="581"/>
      <c r="R217" s="420"/>
      <c r="S217" s="582"/>
      <c r="T217" s="583"/>
      <c r="U217" s="584" t="str">
        <f>IF($I217="","",LET(n,COUNTIFS('Lớp 6 - Chi tiết'!$J$14:$J$267,$I217,'Lớp 6 - Chi tiết'!$AE$14:$AE$267,"&lt;&gt;Hủy"),child,IFERROR(MAXIFS('Lớp 6 - Chi tiết'!$AH$14:$AH$267,'Lớp 6 - Chi tiết'!$J$14:$J$267,$I217,'Lớp 6 - Chi tiết'!$AE$14:$AE$267,"&lt;&gt;Hủy",'Lớp 6 - Chi tiết'!$AH$14:$AH$267,"&gt;0"),0),plan,'Trung tâm nhập liệu'!Q367,emergent,LOWER(TRIM('Trung tâm nhập liệu'!O367))="khi phát sinh",IF(n=0,IF(emergent,"",plan),IF(child=0,IF(emergent,"",plan),IF(OR(emergent,plan=""),child,MAX(plan,child))))))</f>
        <v/>
      </c>
      <c r="V217" s="584" t="str">
        <f>IF($I217="","",LET(n,COUNTIFS('Lớp 6 - Chi tiết'!$J$14:$J$267,$I217,'Lớp 6 - Chi tiết'!$AE$14:$AE$267,"&lt;&gt;Hủy"),child,IFERROR(MINIFS('Lớp 6 - Chi tiết'!$AG$14:$AG$267,'Lớp 6 - Chi tiết'!$J$14:$J$267,$I217,'Lớp 6 - Chi tiết'!$AE$14:$AE$267,"&lt;&gt;Hủy",'Lớp 6 - Chi tiết'!$AG$14:$AG$267,"&gt;0"),0),plan,'Trung tâm nhập liệu'!R367,emergent,LOWER(TRIM('Trung tâm nhập liệu'!O367))="khi phát sinh",IF(n=0,IF(emergent,"",plan),IF(child=0,IF(emergent,"",plan),IF(OR(emergent,plan=""),child,MIN(plan,child))))))</f>
        <v/>
      </c>
      <c r="W217" s="577"/>
      <c r="X217" s="577"/>
      <c r="Y217" s="585"/>
      <c r="Z217" s="586"/>
      <c r="AA217" s="577"/>
      <c r="AB217" s="572"/>
      <c r="AC217" s="420"/>
      <c r="AD217" s="584"/>
      <c r="AE217" s="584"/>
      <c r="AF217" s="587"/>
      <c r="AG217" s="588"/>
      <c r="AH217" s="587"/>
      <c r="AI217" s="589"/>
      <c r="AJ217" s="468"/>
      <c r="AK217" s="477" t="str">
        <f>IF(AM217="Chưa xếp lịch","Chưa xếp lịch",IF(AM217="Định kỳ",IF(AN217="","Thiếu chu kỳ","Theo chu kỳ"),IF(AM217="Khi phát sinh",IF(COUNTIFS('Lớp 6 - Chi tiết'!$J$14:$J$267,$I217,'Lớp 6 - Chi tiết'!$AE$14:$AE$267,"&lt;&gt;Hủy")=0,"Khi phát sinh – chờ việc con","Khi phát sinh – theo ngày con"),IF(I217="","",LET(n,COUNTIFS('Lớp 6 - Chi tiết'!$J$14:$J$267,$I217,'Lớp 6 - Chi tiết'!$AE$14:$AE$267,"&lt;&gt;Hủy"),cs,IFERROR(MINIFS('Lớp 6 - Chi tiết'!$AG$14:$AG$267,'Lớp 6 - Chi tiết'!$J$14:$J$267,$I217,'Lớp 6 - Chi tiết'!$AE$14:$AE$267,"&lt;&gt;Hủy",'Lớp 6 - Chi tiết'!$AG$14:$AG$267,"&gt;0"),0),ce,IFERROR(MAXIFS('Lớp 6 - Chi tiết'!$AH$14:$AH$267,'Lớp 6 - Chi tiết'!$J$14:$J$267,$I217,'Lớp 6 - Chi tiết'!$AE$14:$AE$267,"&lt;&gt;Hủy",'Lớp 6 - Chi tiết'!$AH$14:$AH$267,"&gt;0"),0),ps,'Trung tâm nhập liệu'!R367,pe,'Trung tâm nhập liệu'!Q367,IF(OR(AD217="",AE217=""),"Thiếu ngày L5",IF(n=0,"Chưa có L6",IF(OR(cs=0,ce=0),"Thiếu ngày L6",IF(OR(ps="",pe=""),"Thiếu ngày kế hoạch gốc L5",IF(OR(cs&lt;ps,ce&gt;pe),"Cảnh báo: Con vượt khung kế hoạch gốc","L6 đúng khung kế hoạch gốc"))))))))))</f>
        <v/>
      </c>
      <c r="AL217" s="465"/>
      <c r="AM217" s="467"/>
      <c r="AN217" s="469"/>
      <c r="AO217" s="470"/>
      <c r="AP217" s="470"/>
      <c r="AQ217" s="471"/>
      <c r="AR217" s="469"/>
      <c r="AS217" s="475"/>
      <c r="AT217" s="476"/>
      <c r="AU217" s="478"/>
      <c r="AV217" s="465"/>
      <c r="AW217" s="465"/>
      <c r="AX217" s="479"/>
    </row>
    <row r="218" ht="15.75" customHeight="1">
      <c r="A218" s="424"/>
      <c r="B218" s="572"/>
      <c r="C218" s="591"/>
      <c r="D218" s="623"/>
      <c r="E218" s="617"/>
      <c r="F218" s="575"/>
      <c r="G218" s="575"/>
      <c r="H218" s="576"/>
      <c r="I218" s="577"/>
      <c r="J218" s="577"/>
      <c r="K218" s="597"/>
      <c r="L218" s="598"/>
      <c r="M218" s="438"/>
      <c r="N218" s="597"/>
      <c r="O218" s="597"/>
      <c r="P218" s="597"/>
      <c r="Q218" s="581"/>
      <c r="R218" s="420"/>
      <c r="S218" s="582"/>
      <c r="T218" s="583"/>
      <c r="U218" s="584" t="str">
        <f>IF($I218="","",LET(n,COUNTIFS('Lớp 6 - Chi tiết'!$J$14:$J$267,$I218,'Lớp 6 - Chi tiết'!$AE$14:$AE$267,"&lt;&gt;Hủy"),child,IFERROR(MAXIFS('Lớp 6 - Chi tiết'!$AH$14:$AH$267,'Lớp 6 - Chi tiết'!$J$14:$J$267,$I218,'Lớp 6 - Chi tiết'!$AE$14:$AE$267,"&lt;&gt;Hủy",'Lớp 6 - Chi tiết'!$AH$14:$AH$267,"&gt;0"),0),plan,'Trung tâm nhập liệu'!Q368,emergent,LOWER(TRIM('Trung tâm nhập liệu'!O368))="khi phát sinh",IF(n=0,IF(emergent,"",plan),IF(child=0,IF(emergent,"",plan),IF(OR(emergent,plan=""),child,MAX(plan,child))))))</f>
        <v/>
      </c>
      <c r="V218" s="584" t="str">
        <f>IF($I218="","",LET(n,COUNTIFS('Lớp 6 - Chi tiết'!$J$14:$J$267,$I218,'Lớp 6 - Chi tiết'!$AE$14:$AE$267,"&lt;&gt;Hủy"),child,IFERROR(MINIFS('Lớp 6 - Chi tiết'!$AG$14:$AG$267,'Lớp 6 - Chi tiết'!$J$14:$J$267,$I218,'Lớp 6 - Chi tiết'!$AE$14:$AE$267,"&lt;&gt;Hủy",'Lớp 6 - Chi tiết'!$AG$14:$AG$267,"&gt;0"),0),plan,'Trung tâm nhập liệu'!R368,emergent,LOWER(TRIM('Trung tâm nhập liệu'!O368))="khi phát sinh",IF(n=0,IF(emergent,"",plan),IF(child=0,IF(emergent,"",plan),IF(OR(emergent,plan=""),child,MIN(plan,child))))))</f>
        <v/>
      </c>
      <c r="W218" s="577"/>
      <c r="X218" s="577"/>
      <c r="Y218" s="585"/>
      <c r="Z218" s="586"/>
      <c r="AA218" s="577"/>
      <c r="AB218" s="572"/>
      <c r="AC218" s="420"/>
      <c r="AD218" s="584"/>
      <c r="AE218" s="584"/>
      <c r="AF218" s="587"/>
      <c r="AG218" s="588"/>
      <c r="AH218" s="587"/>
      <c r="AI218" s="589"/>
      <c r="AJ218" s="468"/>
      <c r="AK218" s="477" t="str">
        <f>IF(AM218="Chưa xếp lịch","Chưa xếp lịch",IF(AM218="Định kỳ",IF(AN218="","Thiếu chu kỳ","Theo chu kỳ"),IF(AM218="Khi phát sinh",IF(COUNTIFS('Lớp 6 - Chi tiết'!$J$14:$J$267,$I218,'Lớp 6 - Chi tiết'!$AE$14:$AE$267,"&lt;&gt;Hủy")=0,"Khi phát sinh – chờ việc con","Khi phát sinh – theo ngày con"),IF(I218="","",LET(n,COUNTIFS('Lớp 6 - Chi tiết'!$J$14:$J$267,$I218,'Lớp 6 - Chi tiết'!$AE$14:$AE$267,"&lt;&gt;Hủy"),cs,IFERROR(MINIFS('Lớp 6 - Chi tiết'!$AG$14:$AG$267,'Lớp 6 - Chi tiết'!$J$14:$J$267,$I218,'Lớp 6 - Chi tiết'!$AE$14:$AE$267,"&lt;&gt;Hủy",'Lớp 6 - Chi tiết'!$AG$14:$AG$267,"&gt;0"),0),ce,IFERROR(MAXIFS('Lớp 6 - Chi tiết'!$AH$14:$AH$267,'Lớp 6 - Chi tiết'!$J$14:$J$267,$I218,'Lớp 6 - Chi tiết'!$AE$14:$AE$267,"&lt;&gt;Hủy",'Lớp 6 - Chi tiết'!$AH$14:$AH$267,"&gt;0"),0),ps,'Trung tâm nhập liệu'!R368,pe,'Trung tâm nhập liệu'!Q368,IF(OR(AD218="",AE218=""),"Thiếu ngày L5",IF(n=0,"Chưa có L6",IF(OR(cs=0,ce=0),"Thiếu ngày L6",IF(OR(ps="",pe=""),"Thiếu ngày kế hoạch gốc L5",IF(OR(cs&lt;ps,ce&gt;pe),"Cảnh báo: Con vượt khung kế hoạch gốc","L6 đúng khung kế hoạch gốc"))))))))))</f>
        <v/>
      </c>
      <c r="AL218" s="465"/>
      <c r="AM218" s="467"/>
      <c r="AN218" s="469"/>
      <c r="AO218" s="470"/>
      <c r="AP218" s="470"/>
      <c r="AQ218" s="471"/>
      <c r="AR218" s="469"/>
      <c r="AS218" s="475"/>
      <c r="AT218" s="476"/>
      <c r="AU218" s="478"/>
      <c r="AV218" s="465"/>
      <c r="AW218" s="465"/>
      <c r="AX218" s="479"/>
    </row>
    <row r="219" ht="15.75" customHeight="1">
      <c r="A219" s="424"/>
      <c r="B219" s="572"/>
      <c r="C219" s="591"/>
      <c r="D219" s="623"/>
      <c r="E219" s="617"/>
      <c r="F219" s="575"/>
      <c r="G219" s="575"/>
      <c r="H219" s="576"/>
      <c r="I219" s="577"/>
      <c r="J219" s="577"/>
      <c r="K219" s="597"/>
      <c r="L219" s="598"/>
      <c r="M219" s="438"/>
      <c r="N219" s="597"/>
      <c r="O219" s="597"/>
      <c r="P219" s="597"/>
      <c r="Q219" s="581"/>
      <c r="R219" s="420"/>
      <c r="S219" s="582"/>
      <c r="T219" s="583"/>
      <c r="U219" s="584" t="str">
        <f>IF($I219="","",LET(n,COUNTIFS('Lớp 6 - Chi tiết'!$J$14:$J$267,$I219,'Lớp 6 - Chi tiết'!$AE$14:$AE$267,"&lt;&gt;Hủy"),child,IFERROR(MAXIFS('Lớp 6 - Chi tiết'!$AH$14:$AH$267,'Lớp 6 - Chi tiết'!$J$14:$J$267,$I219,'Lớp 6 - Chi tiết'!$AE$14:$AE$267,"&lt;&gt;Hủy",'Lớp 6 - Chi tiết'!$AH$14:$AH$267,"&gt;0"),0),plan,'Trung tâm nhập liệu'!Q369,emergent,LOWER(TRIM('Trung tâm nhập liệu'!O369))="khi phát sinh",IF(n=0,IF(emergent,"",plan),IF(child=0,IF(emergent,"",plan),IF(OR(emergent,plan=""),child,MAX(plan,child))))))</f>
        <v/>
      </c>
      <c r="V219" s="584" t="str">
        <f>IF($I219="","",LET(n,COUNTIFS('Lớp 6 - Chi tiết'!$J$14:$J$267,$I219,'Lớp 6 - Chi tiết'!$AE$14:$AE$267,"&lt;&gt;Hủy"),child,IFERROR(MINIFS('Lớp 6 - Chi tiết'!$AG$14:$AG$267,'Lớp 6 - Chi tiết'!$J$14:$J$267,$I219,'Lớp 6 - Chi tiết'!$AE$14:$AE$267,"&lt;&gt;Hủy",'Lớp 6 - Chi tiết'!$AG$14:$AG$267,"&gt;0"),0),plan,'Trung tâm nhập liệu'!R369,emergent,LOWER(TRIM('Trung tâm nhập liệu'!O369))="khi phát sinh",IF(n=0,IF(emergent,"",plan),IF(child=0,IF(emergent,"",plan),IF(OR(emergent,plan=""),child,MIN(plan,child))))))</f>
        <v/>
      </c>
      <c r="W219" s="577"/>
      <c r="X219" s="577"/>
      <c r="Y219" s="585"/>
      <c r="Z219" s="586"/>
      <c r="AA219" s="577"/>
      <c r="AB219" s="572"/>
      <c r="AC219" s="420"/>
      <c r="AD219" s="584"/>
      <c r="AE219" s="584"/>
      <c r="AF219" s="587"/>
      <c r="AG219" s="588"/>
      <c r="AH219" s="587"/>
      <c r="AI219" s="589"/>
      <c r="AJ219" s="468"/>
      <c r="AK219" s="477" t="str">
        <f>IF(AM219="Chưa xếp lịch","Chưa xếp lịch",IF(AM219="Định kỳ",IF(AN219="","Thiếu chu kỳ","Theo chu kỳ"),IF(AM219="Khi phát sinh",IF(COUNTIFS('Lớp 6 - Chi tiết'!$J$14:$J$267,$I219,'Lớp 6 - Chi tiết'!$AE$14:$AE$267,"&lt;&gt;Hủy")=0,"Khi phát sinh – chờ việc con","Khi phát sinh – theo ngày con"),IF(I219="","",LET(n,COUNTIFS('Lớp 6 - Chi tiết'!$J$14:$J$267,$I219,'Lớp 6 - Chi tiết'!$AE$14:$AE$267,"&lt;&gt;Hủy"),cs,IFERROR(MINIFS('Lớp 6 - Chi tiết'!$AG$14:$AG$267,'Lớp 6 - Chi tiết'!$J$14:$J$267,$I219,'Lớp 6 - Chi tiết'!$AE$14:$AE$267,"&lt;&gt;Hủy",'Lớp 6 - Chi tiết'!$AG$14:$AG$267,"&gt;0"),0),ce,IFERROR(MAXIFS('Lớp 6 - Chi tiết'!$AH$14:$AH$267,'Lớp 6 - Chi tiết'!$J$14:$J$267,$I219,'Lớp 6 - Chi tiết'!$AE$14:$AE$267,"&lt;&gt;Hủy",'Lớp 6 - Chi tiết'!$AH$14:$AH$267,"&gt;0"),0),ps,'Trung tâm nhập liệu'!R369,pe,'Trung tâm nhập liệu'!Q369,IF(OR(AD219="",AE219=""),"Thiếu ngày L5",IF(n=0,"Chưa có L6",IF(OR(cs=0,ce=0),"Thiếu ngày L6",IF(OR(ps="",pe=""),"Thiếu ngày kế hoạch gốc L5",IF(OR(cs&lt;ps,ce&gt;pe),"Cảnh báo: Con vượt khung kế hoạch gốc","L6 đúng khung kế hoạch gốc"))))))))))</f>
        <v/>
      </c>
      <c r="AL219" s="465"/>
      <c r="AM219" s="467"/>
      <c r="AN219" s="469"/>
      <c r="AO219" s="470"/>
      <c r="AP219" s="470"/>
      <c r="AQ219" s="471"/>
      <c r="AR219" s="469"/>
      <c r="AS219" s="475"/>
      <c r="AT219" s="476"/>
      <c r="AU219" s="478"/>
      <c r="AV219" s="465"/>
      <c r="AW219" s="465"/>
      <c r="AX219" s="479"/>
    </row>
    <row r="220" ht="15.75" customHeight="1">
      <c r="A220" s="424"/>
      <c r="B220" s="572"/>
      <c r="C220" s="591"/>
      <c r="D220" s="623"/>
      <c r="E220" s="617"/>
      <c r="F220" s="575"/>
      <c r="G220" s="575"/>
      <c r="H220" s="576"/>
      <c r="I220" s="577"/>
      <c r="J220" s="577"/>
      <c r="K220" s="597"/>
      <c r="L220" s="598"/>
      <c r="M220" s="438"/>
      <c r="N220" s="597"/>
      <c r="O220" s="597"/>
      <c r="P220" s="597"/>
      <c r="Q220" s="581"/>
      <c r="R220" s="420"/>
      <c r="S220" s="582"/>
      <c r="T220" s="583"/>
      <c r="U220" s="584" t="str">
        <f>IF($I220="","",LET(n,COUNTIFS('Lớp 6 - Chi tiết'!$J$14:$J$267,$I220,'Lớp 6 - Chi tiết'!$AE$14:$AE$267,"&lt;&gt;Hủy"),child,IFERROR(MAXIFS('Lớp 6 - Chi tiết'!$AH$14:$AH$267,'Lớp 6 - Chi tiết'!$J$14:$J$267,$I220,'Lớp 6 - Chi tiết'!$AE$14:$AE$267,"&lt;&gt;Hủy",'Lớp 6 - Chi tiết'!$AH$14:$AH$267,"&gt;0"),0),plan,'Trung tâm nhập liệu'!Q370,emergent,LOWER(TRIM('Trung tâm nhập liệu'!O370))="khi phát sinh",IF(n=0,IF(emergent,"",plan),IF(child=0,IF(emergent,"",plan),IF(OR(emergent,plan=""),child,MAX(plan,child))))))</f>
        <v/>
      </c>
      <c r="V220" s="584" t="str">
        <f>IF($I220="","",LET(n,COUNTIFS('Lớp 6 - Chi tiết'!$J$14:$J$267,$I220,'Lớp 6 - Chi tiết'!$AE$14:$AE$267,"&lt;&gt;Hủy"),child,IFERROR(MINIFS('Lớp 6 - Chi tiết'!$AG$14:$AG$267,'Lớp 6 - Chi tiết'!$J$14:$J$267,$I220,'Lớp 6 - Chi tiết'!$AE$14:$AE$267,"&lt;&gt;Hủy",'Lớp 6 - Chi tiết'!$AG$14:$AG$267,"&gt;0"),0),plan,'Trung tâm nhập liệu'!R370,emergent,LOWER(TRIM('Trung tâm nhập liệu'!O370))="khi phát sinh",IF(n=0,IF(emergent,"",plan),IF(child=0,IF(emergent,"",plan),IF(OR(emergent,plan=""),child,MIN(plan,child))))))</f>
        <v/>
      </c>
      <c r="W220" s="577"/>
      <c r="X220" s="577"/>
      <c r="Y220" s="585"/>
      <c r="Z220" s="586"/>
      <c r="AA220" s="577"/>
      <c r="AB220" s="572"/>
      <c r="AC220" s="420"/>
      <c r="AD220" s="584"/>
      <c r="AE220" s="584"/>
      <c r="AF220" s="587"/>
      <c r="AG220" s="588"/>
      <c r="AH220" s="587"/>
      <c r="AI220" s="589"/>
      <c r="AJ220" s="468"/>
      <c r="AK220" s="477" t="str">
        <f>IF(AM220="Chưa xếp lịch","Chưa xếp lịch",IF(AM220="Định kỳ",IF(AN220="","Thiếu chu kỳ","Theo chu kỳ"),IF(AM220="Khi phát sinh",IF(COUNTIFS('Lớp 6 - Chi tiết'!$J$14:$J$267,$I220,'Lớp 6 - Chi tiết'!$AE$14:$AE$267,"&lt;&gt;Hủy")=0,"Khi phát sinh – chờ việc con","Khi phát sinh – theo ngày con"),IF(I220="","",LET(n,COUNTIFS('Lớp 6 - Chi tiết'!$J$14:$J$267,$I220,'Lớp 6 - Chi tiết'!$AE$14:$AE$267,"&lt;&gt;Hủy"),cs,IFERROR(MINIFS('Lớp 6 - Chi tiết'!$AG$14:$AG$267,'Lớp 6 - Chi tiết'!$J$14:$J$267,$I220,'Lớp 6 - Chi tiết'!$AE$14:$AE$267,"&lt;&gt;Hủy",'Lớp 6 - Chi tiết'!$AG$14:$AG$267,"&gt;0"),0),ce,IFERROR(MAXIFS('Lớp 6 - Chi tiết'!$AH$14:$AH$267,'Lớp 6 - Chi tiết'!$J$14:$J$267,$I220,'Lớp 6 - Chi tiết'!$AE$14:$AE$267,"&lt;&gt;Hủy",'Lớp 6 - Chi tiết'!$AH$14:$AH$267,"&gt;0"),0),ps,'Trung tâm nhập liệu'!R370,pe,'Trung tâm nhập liệu'!Q370,IF(OR(AD220="",AE220=""),"Thiếu ngày L5",IF(n=0,"Chưa có L6",IF(OR(cs=0,ce=0),"Thiếu ngày L6",IF(OR(ps="",pe=""),"Thiếu ngày kế hoạch gốc L5",IF(OR(cs&lt;ps,ce&gt;pe),"Cảnh báo: Con vượt khung kế hoạch gốc","L6 đúng khung kế hoạch gốc"))))))))))</f>
        <v/>
      </c>
      <c r="AL220" s="465"/>
      <c r="AM220" s="467"/>
      <c r="AN220" s="469"/>
      <c r="AO220" s="470"/>
      <c r="AP220" s="470"/>
      <c r="AQ220" s="471"/>
      <c r="AR220" s="469"/>
      <c r="AS220" s="475"/>
      <c r="AT220" s="476"/>
      <c r="AU220" s="478"/>
      <c r="AV220" s="465"/>
      <c r="AW220" s="465"/>
      <c r="AX220" s="479"/>
    </row>
    <row r="221" ht="15.75" customHeight="1">
      <c r="A221" s="424"/>
      <c r="B221" s="572"/>
      <c r="C221" s="591"/>
      <c r="D221" s="623"/>
      <c r="E221" s="617"/>
      <c r="F221" s="575"/>
      <c r="G221" s="575"/>
      <c r="H221" s="576"/>
      <c r="I221" s="577"/>
      <c r="J221" s="577"/>
      <c r="K221" s="597"/>
      <c r="L221" s="598"/>
      <c r="M221" s="438"/>
      <c r="N221" s="597"/>
      <c r="O221" s="597"/>
      <c r="P221" s="597"/>
      <c r="Q221" s="581"/>
      <c r="R221" s="420"/>
      <c r="S221" s="582"/>
      <c r="T221" s="583"/>
      <c r="U221" s="584" t="str">
        <f>IF($I221="","",LET(n,COUNTIFS('Lớp 6 - Chi tiết'!$J$14:$J$267,$I221,'Lớp 6 - Chi tiết'!$AE$14:$AE$267,"&lt;&gt;Hủy"),child,IFERROR(MAXIFS('Lớp 6 - Chi tiết'!$AH$14:$AH$267,'Lớp 6 - Chi tiết'!$J$14:$J$267,$I221,'Lớp 6 - Chi tiết'!$AE$14:$AE$267,"&lt;&gt;Hủy",'Lớp 6 - Chi tiết'!$AH$14:$AH$267,"&gt;0"),0),plan,'Trung tâm nhập liệu'!Q371,emergent,LOWER(TRIM('Trung tâm nhập liệu'!O371))="khi phát sinh",IF(n=0,IF(emergent,"",plan),IF(child=0,IF(emergent,"",plan),IF(OR(emergent,plan=""),child,MAX(plan,child))))))</f>
        <v/>
      </c>
      <c r="V221" s="584" t="str">
        <f>IF($I221="","",LET(n,COUNTIFS('Lớp 6 - Chi tiết'!$J$14:$J$267,$I221,'Lớp 6 - Chi tiết'!$AE$14:$AE$267,"&lt;&gt;Hủy"),child,IFERROR(MINIFS('Lớp 6 - Chi tiết'!$AG$14:$AG$267,'Lớp 6 - Chi tiết'!$J$14:$J$267,$I221,'Lớp 6 - Chi tiết'!$AE$14:$AE$267,"&lt;&gt;Hủy",'Lớp 6 - Chi tiết'!$AG$14:$AG$267,"&gt;0"),0),plan,'Trung tâm nhập liệu'!R371,emergent,LOWER(TRIM('Trung tâm nhập liệu'!O371))="khi phát sinh",IF(n=0,IF(emergent,"",plan),IF(child=0,IF(emergent,"",plan),IF(OR(emergent,plan=""),child,MIN(plan,child))))))</f>
        <v/>
      </c>
      <c r="W221" s="577"/>
      <c r="X221" s="577"/>
      <c r="Y221" s="585"/>
      <c r="Z221" s="586"/>
      <c r="AA221" s="577"/>
      <c r="AB221" s="572"/>
      <c r="AC221" s="420"/>
      <c r="AD221" s="584"/>
      <c r="AE221" s="584"/>
      <c r="AF221" s="587"/>
      <c r="AG221" s="588"/>
      <c r="AH221" s="587"/>
      <c r="AI221" s="589"/>
      <c r="AJ221" s="468"/>
      <c r="AK221" s="477" t="str">
        <f>IF(AM221="Chưa xếp lịch","Chưa xếp lịch",IF(AM221="Định kỳ",IF(AN221="","Thiếu chu kỳ","Theo chu kỳ"),IF(AM221="Khi phát sinh",IF(COUNTIFS('Lớp 6 - Chi tiết'!$J$14:$J$267,$I221,'Lớp 6 - Chi tiết'!$AE$14:$AE$267,"&lt;&gt;Hủy")=0,"Khi phát sinh – chờ việc con","Khi phát sinh – theo ngày con"),IF(I221="","",LET(n,COUNTIFS('Lớp 6 - Chi tiết'!$J$14:$J$267,$I221,'Lớp 6 - Chi tiết'!$AE$14:$AE$267,"&lt;&gt;Hủy"),cs,IFERROR(MINIFS('Lớp 6 - Chi tiết'!$AG$14:$AG$267,'Lớp 6 - Chi tiết'!$J$14:$J$267,$I221,'Lớp 6 - Chi tiết'!$AE$14:$AE$267,"&lt;&gt;Hủy",'Lớp 6 - Chi tiết'!$AG$14:$AG$267,"&gt;0"),0),ce,IFERROR(MAXIFS('Lớp 6 - Chi tiết'!$AH$14:$AH$267,'Lớp 6 - Chi tiết'!$J$14:$J$267,$I221,'Lớp 6 - Chi tiết'!$AE$14:$AE$267,"&lt;&gt;Hủy",'Lớp 6 - Chi tiết'!$AH$14:$AH$267,"&gt;0"),0),ps,'Trung tâm nhập liệu'!R371,pe,'Trung tâm nhập liệu'!Q371,IF(OR(AD221="",AE221=""),"Thiếu ngày L5",IF(n=0,"Chưa có L6",IF(OR(cs=0,ce=0),"Thiếu ngày L6",IF(OR(ps="",pe=""),"Thiếu ngày kế hoạch gốc L5",IF(OR(cs&lt;ps,ce&gt;pe),"Cảnh báo: Con vượt khung kế hoạch gốc","L6 đúng khung kế hoạch gốc"))))))))))</f>
        <v/>
      </c>
      <c r="AL221" s="465"/>
      <c r="AM221" s="467"/>
      <c r="AN221" s="469"/>
      <c r="AO221" s="470"/>
      <c r="AP221" s="470"/>
      <c r="AQ221" s="471"/>
      <c r="AR221" s="469"/>
      <c r="AS221" s="475"/>
      <c r="AT221" s="476"/>
      <c r="AU221" s="478"/>
      <c r="AV221" s="465"/>
      <c r="AW221" s="465"/>
      <c r="AX221" s="479"/>
    </row>
    <row r="222" ht="15.75" customHeight="1">
      <c r="A222" s="424"/>
      <c r="B222" s="572"/>
      <c r="C222" s="591"/>
      <c r="D222" s="623"/>
      <c r="E222" s="617"/>
      <c r="F222" s="575"/>
      <c r="G222" s="575"/>
      <c r="H222" s="576"/>
      <c r="I222" s="577"/>
      <c r="J222" s="577"/>
      <c r="K222" s="597"/>
      <c r="L222" s="598"/>
      <c r="M222" s="438"/>
      <c r="N222" s="597"/>
      <c r="O222" s="597"/>
      <c r="P222" s="597"/>
      <c r="Q222" s="581"/>
      <c r="R222" s="420"/>
      <c r="S222" s="582"/>
      <c r="T222" s="583"/>
      <c r="U222" s="584" t="str">
        <f>IF($I222="","",LET(n,COUNTIFS('Lớp 6 - Chi tiết'!$J$14:$J$267,$I222,'Lớp 6 - Chi tiết'!$AE$14:$AE$267,"&lt;&gt;Hủy"),child,IFERROR(MAXIFS('Lớp 6 - Chi tiết'!$AH$14:$AH$267,'Lớp 6 - Chi tiết'!$J$14:$J$267,$I222,'Lớp 6 - Chi tiết'!$AE$14:$AE$267,"&lt;&gt;Hủy",'Lớp 6 - Chi tiết'!$AH$14:$AH$267,"&gt;0"),0),plan,'Trung tâm nhập liệu'!Q372,emergent,LOWER(TRIM('Trung tâm nhập liệu'!O372))="khi phát sinh",IF(n=0,IF(emergent,"",plan),IF(child=0,IF(emergent,"",plan),IF(OR(emergent,plan=""),child,MAX(plan,child))))))</f>
        <v/>
      </c>
      <c r="V222" s="584" t="str">
        <f>IF($I222="","",LET(n,COUNTIFS('Lớp 6 - Chi tiết'!$J$14:$J$267,$I222,'Lớp 6 - Chi tiết'!$AE$14:$AE$267,"&lt;&gt;Hủy"),child,IFERROR(MINIFS('Lớp 6 - Chi tiết'!$AG$14:$AG$267,'Lớp 6 - Chi tiết'!$J$14:$J$267,$I222,'Lớp 6 - Chi tiết'!$AE$14:$AE$267,"&lt;&gt;Hủy",'Lớp 6 - Chi tiết'!$AG$14:$AG$267,"&gt;0"),0),plan,'Trung tâm nhập liệu'!R372,emergent,LOWER(TRIM('Trung tâm nhập liệu'!O372))="khi phát sinh",IF(n=0,IF(emergent,"",plan),IF(child=0,IF(emergent,"",plan),IF(OR(emergent,plan=""),child,MIN(plan,child))))))</f>
        <v/>
      </c>
      <c r="W222" s="577"/>
      <c r="X222" s="577"/>
      <c r="Y222" s="585"/>
      <c r="Z222" s="586"/>
      <c r="AA222" s="577"/>
      <c r="AB222" s="572"/>
      <c r="AC222" s="420"/>
      <c r="AD222" s="584"/>
      <c r="AE222" s="584"/>
      <c r="AF222" s="587"/>
      <c r="AG222" s="588"/>
      <c r="AH222" s="587"/>
      <c r="AI222" s="589"/>
      <c r="AJ222" s="468"/>
      <c r="AK222" s="477" t="str">
        <f>IF(AM222="Chưa xếp lịch","Chưa xếp lịch",IF(AM222="Định kỳ",IF(AN222="","Thiếu chu kỳ","Theo chu kỳ"),IF(AM222="Khi phát sinh",IF(COUNTIFS('Lớp 6 - Chi tiết'!$J$14:$J$267,$I222,'Lớp 6 - Chi tiết'!$AE$14:$AE$267,"&lt;&gt;Hủy")=0,"Khi phát sinh – chờ việc con","Khi phát sinh – theo ngày con"),IF(I222="","",LET(n,COUNTIFS('Lớp 6 - Chi tiết'!$J$14:$J$267,$I222,'Lớp 6 - Chi tiết'!$AE$14:$AE$267,"&lt;&gt;Hủy"),cs,IFERROR(MINIFS('Lớp 6 - Chi tiết'!$AG$14:$AG$267,'Lớp 6 - Chi tiết'!$J$14:$J$267,$I222,'Lớp 6 - Chi tiết'!$AE$14:$AE$267,"&lt;&gt;Hủy",'Lớp 6 - Chi tiết'!$AG$14:$AG$267,"&gt;0"),0),ce,IFERROR(MAXIFS('Lớp 6 - Chi tiết'!$AH$14:$AH$267,'Lớp 6 - Chi tiết'!$J$14:$J$267,$I222,'Lớp 6 - Chi tiết'!$AE$14:$AE$267,"&lt;&gt;Hủy",'Lớp 6 - Chi tiết'!$AH$14:$AH$267,"&gt;0"),0),ps,'Trung tâm nhập liệu'!R372,pe,'Trung tâm nhập liệu'!Q372,IF(OR(AD222="",AE222=""),"Thiếu ngày L5",IF(n=0,"Chưa có L6",IF(OR(cs=0,ce=0),"Thiếu ngày L6",IF(OR(ps="",pe=""),"Thiếu ngày kế hoạch gốc L5",IF(OR(cs&lt;ps,ce&gt;pe),"Cảnh báo: Con vượt khung kế hoạch gốc","L6 đúng khung kế hoạch gốc"))))))))))</f>
        <v/>
      </c>
      <c r="AL222" s="465"/>
      <c r="AM222" s="467"/>
      <c r="AN222" s="469"/>
      <c r="AO222" s="470"/>
      <c r="AP222" s="470"/>
      <c r="AQ222" s="471"/>
      <c r="AR222" s="469"/>
      <c r="AS222" s="475"/>
      <c r="AT222" s="476"/>
      <c r="AU222" s="478"/>
      <c r="AV222" s="465"/>
      <c r="AW222" s="465"/>
      <c r="AX222" s="479"/>
    </row>
    <row r="223" ht="15.75" customHeight="1">
      <c r="A223" s="424"/>
      <c r="B223" s="572"/>
      <c r="C223" s="591"/>
      <c r="D223" s="623"/>
      <c r="E223" s="617"/>
      <c r="F223" s="575"/>
      <c r="G223" s="575"/>
      <c r="H223" s="576"/>
      <c r="I223" s="577"/>
      <c r="J223" s="577"/>
      <c r="K223" s="597"/>
      <c r="L223" s="598"/>
      <c r="M223" s="438"/>
      <c r="N223" s="597"/>
      <c r="O223" s="597"/>
      <c r="P223" s="597"/>
      <c r="Q223" s="581"/>
      <c r="R223" s="420"/>
      <c r="S223" s="582"/>
      <c r="T223" s="583"/>
      <c r="U223" s="584" t="str">
        <f>IF($I223="","",LET(n,COUNTIFS('Lớp 6 - Chi tiết'!$J$14:$J$267,$I223,'Lớp 6 - Chi tiết'!$AE$14:$AE$267,"&lt;&gt;Hủy"),child,IFERROR(MAXIFS('Lớp 6 - Chi tiết'!$AH$14:$AH$267,'Lớp 6 - Chi tiết'!$J$14:$J$267,$I223,'Lớp 6 - Chi tiết'!$AE$14:$AE$267,"&lt;&gt;Hủy",'Lớp 6 - Chi tiết'!$AH$14:$AH$267,"&gt;0"),0),plan,'Trung tâm nhập liệu'!Q373,emergent,LOWER(TRIM('Trung tâm nhập liệu'!O373))="khi phát sinh",IF(n=0,IF(emergent,"",plan),IF(child=0,IF(emergent,"",plan),IF(OR(emergent,plan=""),child,MAX(plan,child))))))</f>
        <v/>
      </c>
      <c r="V223" s="584" t="str">
        <f>IF($I223="","",LET(n,COUNTIFS('Lớp 6 - Chi tiết'!$J$14:$J$267,$I223,'Lớp 6 - Chi tiết'!$AE$14:$AE$267,"&lt;&gt;Hủy"),child,IFERROR(MINIFS('Lớp 6 - Chi tiết'!$AG$14:$AG$267,'Lớp 6 - Chi tiết'!$J$14:$J$267,$I223,'Lớp 6 - Chi tiết'!$AE$14:$AE$267,"&lt;&gt;Hủy",'Lớp 6 - Chi tiết'!$AG$14:$AG$267,"&gt;0"),0),plan,'Trung tâm nhập liệu'!R373,emergent,LOWER(TRIM('Trung tâm nhập liệu'!O373))="khi phát sinh",IF(n=0,IF(emergent,"",plan),IF(child=0,IF(emergent,"",plan),IF(OR(emergent,plan=""),child,MIN(plan,child))))))</f>
        <v/>
      </c>
      <c r="W223" s="577"/>
      <c r="X223" s="577"/>
      <c r="Y223" s="585"/>
      <c r="Z223" s="586"/>
      <c r="AA223" s="577"/>
      <c r="AB223" s="572"/>
      <c r="AC223" s="420"/>
      <c r="AD223" s="584"/>
      <c r="AE223" s="584"/>
      <c r="AF223" s="587"/>
      <c r="AG223" s="588"/>
      <c r="AH223" s="587"/>
      <c r="AI223" s="589"/>
      <c r="AJ223" s="468"/>
      <c r="AK223" s="477" t="str">
        <f>IF(AM223="Chưa xếp lịch","Chưa xếp lịch",IF(AM223="Định kỳ",IF(AN223="","Thiếu chu kỳ","Theo chu kỳ"),IF(AM223="Khi phát sinh",IF(COUNTIFS('Lớp 6 - Chi tiết'!$J$14:$J$267,$I223,'Lớp 6 - Chi tiết'!$AE$14:$AE$267,"&lt;&gt;Hủy")=0,"Khi phát sinh – chờ việc con","Khi phát sinh – theo ngày con"),IF(I223="","",LET(n,COUNTIFS('Lớp 6 - Chi tiết'!$J$14:$J$267,$I223,'Lớp 6 - Chi tiết'!$AE$14:$AE$267,"&lt;&gt;Hủy"),cs,IFERROR(MINIFS('Lớp 6 - Chi tiết'!$AG$14:$AG$267,'Lớp 6 - Chi tiết'!$J$14:$J$267,$I223,'Lớp 6 - Chi tiết'!$AE$14:$AE$267,"&lt;&gt;Hủy",'Lớp 6 - Chi tiết'!$AG$14:$AG$267,"&gt;0"),0),ce,IFERROR(MAXIFS('Lớp 6 - Chi tiết'!$AH$14:$AH$267,'Lớp 6 - Chi tiết'!$J$14:$J$267,$I223,'Lớp 6 - Chi tiết'!$AE$14:$AE$267,"&lt;&gt;Hủy",'Lớp 6 - Chi tiết'!$AH$14:$AH$267,"&gt;0"),0),ps,'Trung tâm nhập liệu'!R373,pe,'Trung tâm nhập liệu'!Q373,IF(OR(AD223="",AE223=""),"Thiếu ngày L5",IF(n=0,"Chưa có L6",IF(OR(cs=0,ce=0),"Thiếu ngày L6",IF(OR(ps="",pe=""),"Thiếu ngày kế hoạch gốc L5",IF(OR(cs&lt;ps,ce&gt;pe),"Cảnh báo: Con vượt khung kế hoạch gốc","L6 đúng khung kế hoạch gốc"))))))))))</f>
        <v/>
      </c>
      <c r="AL223" s="465"/>
      <c r="AM223" s="467"/>
      <c r="AN223" s="469"/>
      <c r="AO223" s="470"/>
      <c r="AP223" s="470"/>
      <c r="AQ223" s="471"/>
      <c r="AR223" s="469"/>
      <c r="AS223" s="475"/>
      <c r="AT223" s="476"/>
      <c r="AU223" s="478"/>
      <c r="AV223" s="465"/>
      <c r="AW223" s="465"/>
      <c r="AX223" s="479"/>
    </row>
    <row r="224" ht="15.75" customHeight="1">
      <c r="A224" s="424"/>
      <c r="B224" s="572"/>
      <c r="C224" s="591"/>
      <c r="D224" s="623"/>
      <c r="E224" s="617"/>
      <c r="F224" s="575"/>
      <c r="G224" s="575"/>
      <c r="H224" s="576"/>
      <c r="I224" s="577"/>
      <c r="J224" s="577"/>
      <c r="K224" s="597"/>
      <c r="L224" s="598"/>
      <c r="M224" s="438"/>
      <c r="N224" s="597"/>
      <c r="O224" s="597"/>
      <c r="P224" s="597"/>
      <c r="Q224" s="581"/>
      <c r="R224" s="420"/>
      <c r="S224" s="582"/>
      <c r="T224" s="583"/>
      <c r="U224" s="584" t="str">
        <f>IF($I224="","",LET(n,COUNTIFS('Lớp 6 - Chi tiết'!$J$14:$J$267,$I224,'Lớp 6 - Chi tiết'!$AE$14:$AE$267,"&lt;&gt;Hủy"),child,IFERROR(MAXIFS('Lớp 6 - Chi tiết'!$AH$14:$AH$267,'Lớp 6 - Chi tiết'!$J$14:$J$267,$I224,'Lớp 6 - Chi tiết'!$AE$14:$AE$267,"&lt;&gt;Hủy",'Lớp 6 - Chi tiết'!$AH$14:$AH$267,"&gt;0"),0),plan,'Trung tâm nhập liệu'!Q374,emergent,LOWER(TRIM('Trung tâm nhập liệu'!O374))="khi phát sinh",IF(n=0,IF(emergent,"",plan),IF(child=0,IF(emergent,"",plan),IF(OR(emergent,plan=""),child,MAX(plan,child))))))</f>
        <v/>
      </c>
      <c r="V224" s="584" t="str">
        <f>IF($I224="","",LET(n,COUNTIFS('Lớp 6 - Chi tiết'!$J$14:$J$267,$I224,'Lớp 6 - Chi tiết'!$AE$14:$AE$267,"&lt;&gt;Hủy"),child,IFERROR(MINIFS('Lớp 6 - Chi tiết'!$AG$14:$AG$267,'Lớp 6 - Chi tiết'!$J$14:$J$267,$I224,'Lớp 6 - Chi tiết'!$AE$14:$AE$267,"&lt;&gt;Hủy",'Lớp 6 - Chi tiết'!$AG$14:$AG$267,"&gt;0"),0),plan,'Trung tâm nhập liệu'!R374,emergent,LOWER(TRIM('Trung tâm nhập liệu'!O374))="khi phát sinh",IF(n=0,IF(emergent,"",plan),IF(child=0,IF(emergent,"",plan),IF(OR(emergent,plan=""),child,MIN(plan,child))))))</f>
        <v/>
      </c>
      <c r="W224" s="577"/>
      <c r="X224" s="577"/>
      <c r="Y224" s="585"/>
      <c r="Z224" s="586"/>
      <c r="AA224" s="577"/>
      <c r="AB224" s="572"/>
      <c r="AC224" s="420"/>
      <c r="AD224" s="584"/>
      <c r="AE224" s="584"/>
      <c r="AF224" s="587"/>
      <c r="AG224" s="588"/>
      <c r="AH224" s="587"/>
      <c r="AI224" s="589"/>
      <c r="AJ224" s="468"/>
      <c r="AK224" s="477" t="str">
        <f>IF(AM224="Chưa xếp lịch","Chưa xếp lịch",IF(AM224="Định kỳ",IF(AN224="","Thiếu chu kỳ","Theo chu kỳ"),IF(AM224="Khi phát sinh",IF(COUNTIFS('Lớp 6 - Chi tiết'!$J$14:$J$267,$I224,'Lớp 6 - Chi tiết'!$AE$14:$AE$267,"&lt;&gt;Hủy")=0,"Khi phát sinh – chờ việc con","Khi phát sinh – theo ngày con"),IF(I224="","",LET(n,COUNTIFS('Lớp 6 - Chi tiết'!$J$14:$J$267,$I224,'Lớp 6 - Chi tiết'!$AE$14:$AE$267,"&lt;&gt;Hủy"),cs,IFERROR(MINIFS('Lớp 6 - Chi tiết'!$AG$14:$AG$267,'Lớp 6 - Chi tiết'!$J$14:$J$267,$I224,'Lớp 6 - Chi tiết'!$AE$14:$AE$267,"&lt;&gt;Hủy",'Lớp 6 - Chi tiết'!$AG$14:$AG$267,"&gt;0"),0),ce,IFERROR(MAXIFS('Lớp 6 - Chi tiết'!$AH$14:$AH$267,'Lớp 6 - Chi tiết'!$J$14:$J$267,$I224,'Lớp 6 - Chi tiết'!$AE$14:$AE$267,"&lt;&gt;Hủy",'Lớp 6 - Chi tiết'!$AH$14:$AH$267,"&gt;0"),0),ps,'Trung tâm nhập liệu'!R374,pe,'Trung tâm nhập liệu'!Q374,IF(OR(AD224="",AE224=""),"Thiếu ngày L5",IF(n=0,"Chưa có L6",IF(OR(cs=0,ce=0),"Thiếu ngày L6",IF(OR(ps="",pe=""),"Thiếu ngày kế hoạch gốc L5",IF(OR(cs&lt;ps,ce&gt;pe),"Cảnh báo: Con vượt khung kế hoạch gốc","L6 đúng khung kế hoạch gốc"))))))))))</f>
        <v/>
      </c>
      <c r="AL224" s="465"/>
      <c r="AM224" s="467"/>
      <c r="AN224" s="469"/>
      <c r="AO224" s="470"/>
      <c r="AP224" s="470"/>
      <c r="AQ224" s="471"/>
      <c r="AR224" s="469"/>
      <c r="AS224" s="475"/>
      <c r="AT224" s="476"/>
      <c r="AU224" s="478"/>
      <c r="AV224" s="465"/>
      <c r="AW224" s="465"/>
      <c r="AX224" s="479"/>
    </row>
    <row r="225" ht="15.75" customHeight="1">
      <c r="A225" s="424"/>
      <c r="B225" s="572"/>
      <c r="C225" s="591"/>
      <c r="D225" s="623"/>
      <c r="E225" s="617"/>
      <c r="F225" s="575"/>
      <c r="G225" s="575"/>
      <c r="H225" s="576"/>
      <c r="I225" s="577"/>
      <c r="J225" s="577"/>
      <c r="K225" s="597"/>
      <c r="L225" s="598"/>
      <c r="M225" s="438"/>
      <c r="N225" s="597"/>
      <c r="O225" s="597"/>
      <c r="P225" s="597"/>
      <c r="Q225" s="581"/>
      <c r="R225" s="420"/>
      <c r="S225" s="582"/>
      <c r="T225" s="583"/>
      <c r="U225" s="584" t="str">
        <f>IF($I225="","",LET(n,COUNTIFS('Lớp 6 - Chi tiết'!$J$14:$J$267,$I225,'Lớp 6 - Chi tiết'!$AE$14:$AE$267,"&lt;&gt;Hủy"),child,IFERROR(MAXIFS('Lớp 6 - Chi tiết'!$AH$14:$AH$267,'Lớp 6 - Chi tiết'!$J$14:$J$267,$I225,'Lớp 6 - Chi tiết'!$AE$14:$AE$267,"&lt;&gt;Hủy",'Lớp 6 - Chi tiết'!$AH$14:$AH$267,"&gt;0"),0),plan,'Trung tâm nhập liệu'!Q375,emergent,LOWER(TRIM('Trung tâm nhập liệu'!O375))="khi phát sinh",IF(n=0,IF(emergent,"",plan),IF(child=0,IF(emergent,"",plan),IF(OR(emergent,plan=""),child,MAX(plan,child))))))</f>
        <v/>
      </c>
      <c r="V225" s="584" t="str">
        <f>IF($I225="","",LET(n,COUNTIFS('Lớp 6 - Chi tiết'!$J$14:$J$267,$I225,'Lớp 6 - Chi tiết'!$AE$14:$AE$267,"&lt;&gt;Hủy"),child,IFERROR(MINIFS('Lớp 6 - Chi tiết'!$AG$14:$AG$267,'Lớp 6 - Chi tiết'!$J$14:$J$267,$I225,'Lớp 6 - Chi tiết'!$AE$14:$AE$267,"&lt;&gt;Hủy",'Lớp 6 - Chi tiết'!$AG$14:$AG$267,"&gt;0"),0),plan,'Trung tâm nhập liệu'!R375,emergent,LOWER(TRIM('Trung tâm nhập liệu'!O375))="khi phát sinh",IF(n=0,IF(emergent,"",plan),IF(child=0,IF(emergent,"",plan),IF(OR(emergent,plan=""),child,MIN(plan,child))))))</f>
        <v/>
      </c>
      <c r="W225" s="577"/>
      <c r="X225" s="577"/>
      <c r="Y225" s="585"/>
      <c r="Z225" s="586"/>
      <c r="AA225" s="577"/>
      <c r="AB225" s="572"/>
      <c r="AC225" s="420"/>
      <c r="AD225" s="584"/>
      <c r="AE225" s="584"/>
      <c r="AF225" s="587"/>
      <c r="AG225" s="588"/>
      <c r="AH225" s="587"/>
      <c r="AI225" s="589"/>
      <c r="AJ225" s="468"/>
      <c r="AK225" s="477" t="str">
        <f>IF(AM225="Chưa xếp lịch","Chưa xếp lịch",IF(AM225="Định kỳ",IF(AN225="","Thiếu chu kỳ","Theo chu kỳ"),IF(AM225="Khi phát sinh",IF(COUNTIFS('Lớp 6 - Chi tiết'!$J$14:$J$267,$I225,'Lớp 6 - Chi tiết'!$AE$14:$AE$267,"&lt;&gt;Hủy")=0,"Khi phát sinh – chờ việc con","Khi phát sinh – theo ngày con"),IF(I225="","",LET(n,COUNTIFS('Lớp 6 - Chi tiết'!$J$14:$J$267,$I225,'Lớp 6 - Chi tiết'!$AE$14:$AE$267,"&lt;&gt;Hủy"),cs,IFERROR(MINIFS('Lớp 6 - Chi tiết'!$AG$14:$AG$267,'Lớp 6 - Chi tiết'!$J$14:$J$267,$I225,'Lớp 6 - Chi tiết'!$AE$14:$AE$267,"&lt;&gt;Hủy",'Lớp 6 - Chi tiết'!$AG$14:$AG$267,"&gt;0"),0),ce,IFERROR(MAXIFS('Lớp 6 - Chi tiết'!$AH$14:$AH$267,'Lớp 6 - Chi tiết'!$J$14:$J$267,$I225,'Lớp 6 - Chi tiết'!$AE$14:$AE$267,"&lt;&gt;Hủy",'Lớp 6 - Chi tiết'!$AH$14:$AH$267,"&gt;0"),0),ps,'Trung tâm nhập liệu'!R375,pe,'Trung tâm nhập liệu'!Q375,IF(OR(AD225="",AE225=""),"Thiếu ngày L5",IF(n=0,"Chưa có L6",IF(OR(cs=0,ce=0),"Thiếu ngày L6",IF(OR(ps="",pe=""),"Thiếu ngày kế hoạch gốc L5",IF(OR(cs&lt;ps,ce&gt;pe),"Cảnh báo: Con vượt khung kế hoạch gốc","L6 đúng khung kế hoạch gốc"))))))))))</f>
        <v/>
      </c>
      <c r="AL225" s="465"/>
      <c r="AM225" s="467"/>
      <c r="AN225" s="469"/>
      <c r="AO225" s="470"/>
      <c r="AP225" s="470"/>
      <c r="AQ225" s="471"/>
      <c r="AR225" s="469"/>
      <c r="AS225" s="475"/>
      <c r="AT225" s="476"/>
      <c r="AU225" s="478"/>
      <c r="AV225" s="465"/>
      <c r="AW225" s="465"/>
      <c r="AX225" s="479"/>
    </row>
    <row r="226" ht="15.75" customHeight="1">
      <c r="A226" s="424"/>
      <c r="B226" s="572"/>
      <c r="C226" s="591"/>
      <c r="D226" s="623"/>
      <c r="E226" s="617"/>
      <c r="F226" s="575"/>
      <c r="G226" s="575"/>
      <c r="H226" s="576"/>
      <c r="I226" s="577"/>
      <c r="J226" s="577"/>
      <c r="K226" s="597"/>
      <c r="L226" s="598"/>
      <c r="M226" s="438"/>
      <c r="N226" s="597"/>
      <c r="O226" s="597"/>
      <c r="P226" s="597"/>
      <c r="Q226" s="581"/>
      <c r="R226" s="420"/>
      <c r="S226" s="582"/>
      <c r="T226" s="583"/>
      <c r="U226" s="584" t="str">
        <f>IF($I226="","",LET(n,COUNTIFS('Lớp 6 - Chi tiết'!$J$14:$J$267,$I226,'Lớp 6 - Chi tiết'!$AE$14:$AE$267,"&lt;&gt;Hủy"),child,IFERROR(MAXIFS('Lớp 6 - Chi tiết'!$AH$14:$AH$267,'Lớp 6 - Chi tiết'!$J$14:$J$267,$I226,'Lớp 6 - Chi tiết'!$AE$14:$AE$267,"&lt;&gt;Hủy",'Lớp 6 - Chi tiết'!$AH$14:$AH$267,"&gt;0"),0),plan,'Trung tâm nhập liệu'!Q376,emergent,LOWER(TRIM('Trung tâm nhập liệu'!O376))="khi phát sinh",IF(n=0,IF(emergent,"",plan),IF(child=0,IF(emergent,"",plan),IF(OR(emergent,plan=""),child,MAX(plan,child))))))</f>
        <v/>
      </c>
      <c r="V226" s="584" t="str">
        <f>IF($I226="","",LET(n,COUNTIFS('Lớp 6 - Chi tiết'!$J$14:$J$267,$I226,'Lớp 6 - Chi tiết'!$AE$14:$AE$267,"&lt;&gt;Hủy"),child,IFERROR(MINIFS('Lớp 6 - Chi tiết'!$AG$14:$AG$267,'Lớp 6 - Chi tiết'!$J$14:$J$267,$I226,'Lớp 6 - Chi tiết'!$AE$14:$AE$267,"&lt;&gt;Hủy",'Lớp 6 - Chi tiết'!$AG$14:$AG$267,"&gt;0"),0),plan,'Trung tâm nhập liệu'!R376,emergent,LOWER(TRIM('Trung tâm nhập liệu'!O376))="khi phát sinh",IF(n=0,IF(emergent,"",plan),IF(child=0,IF(emergent,"",plan),IF(OR(emergent,plan=""),child,MIN(plan,child))))))</f>
        <v/>
      </c>
      <c r="W226" s="577"/>
      <c r="X226" s="577"/>
      <c r="Y226" s="585"/>
      <c r="Z226" s="586"/>
      <c r="AA226" s="577"/>
      <c r="AB226" s="572"/>
      <c r="AC226" s="420"/>
      <c r="AD226" s="584"/>
      <c r="AE226" s="584"/>
      <c r="AF226" s="587"/>
      <c r="AG226" s="588"/>
      <c r="AH226" s="587"/>
      <c r="AI226" s="589"/>
      <c r="AJ226" s="468"/>
      <c r="AK226" s="477" t="str">
        <f>IF(AM226="Chưa xếp lịch","Chưa xếp lịch",IF(AM226="Định kỳ",IF(AN226="","Thiếu chu kỳ","Theo chu kỳ"),IF(AM226="Khi phát sinh",IF(COUNTIFS('Lớp 6 - Chi tiết'!$J$14:$J$267,$I226,'Lớp 6 - Chi tiết'!$AE$14:$AE$267,"&lt;&gt;Hủy")=0,"Khi phát sinh – chờ việc con","Khi phát sinh – theo ngày con"),IF(I226="","",LET(n,COUNTIFS('Lớp 6 - Chi tiết'!$J$14:$J$267,$I226,'Lớp 6 - Chi tiết'!$AE$14:$AE$267,"&lt;&gt;Hủy"),cs,IFERROR(MINIFS('Lớp 6 - Chi tiết'!$AG$14:$AG$267,'Lớp 6 - Chi tiết'!$J$14:$J$267,$I226,'Lớp 6 - Chi tiết'!$AE$14:$AE$267,"&lt;&gt;Hủy",'Lớp 6 - Chi tiết'!$AG$14:$AG$267,"&gt;0"),0),ce,IFERROR(MAXIFS('Lớp 6 - Chi tiết'!$AH$14:$AH$267,'Lớp 6 - Chi tiết'!$J$14:$J$267,$I226,'Lớp 6 - Chi tiết'!$AE$14:$AE$267,"&lt;&gt;Hủy",'Lớp 6 - Chi tiết'!$AH$14:$AH$267,"&gt;0"),0),ps,'Trung tâm nhập liệu'!R376,pe,'Trung tâm nhập liệu'!Q376,IF(OR(AD226="",AE226=""),"Thiếu ngày L5",IF(n=0,"Chưa có L6",IF(OR(cs=0,ce=0),"Thiếu ngày L6",IF(OR(ps="",pe=""),"Thiếu ngày kế hoạch gốc L5",IF(OR(cs&lt;ps,ce&gt;pe),"Cảnh báo: Con vượt khung kế hoạch gốc","L6 đúng khung kế hoạch gốc"))))))))))</f>
        <v/>
      </c>
      <c r="AL226" s="465"/>
      <c r="AM226" s="467"/>
      <c r="AN226" s="469"/>
      <c r="AO226" s="470"/>
      <c r="AP226" s="470"/>
      <c r="AQ226" s="471"/>
      <c r="AR226" s="469"/>
      <c r="AS226" s="475"/>
      <c r="AT226" s="476"/>
      <c r="AU226" s="478"/>
      <c r="AV226" s="465"/>
      <c r="AW226" s="465"/>
      <c r="AX226" s="479"/>
    </row>
    <row r="227" ht="15.75" customHeight="1">
      <c r="A227" s="424"/>
      <c r="B227" s="572"/>
      <c r="C227" s="591"/>
      <c r="D227" s="623"/>
      <c r="E227" s="617"/>
      <c r="F227" s="575"/>
      <c r="G227" s="575"/>
      <c r="H227" s="576"/>
      <c r="I227" s="577"/>
      <c r="J227" s="577"/>
      <c r="K227" s="597"/>
      <c r="L227" s="598"/>
      <c r="M227" s="438"/>
      <c r="N227" s="597"/>
      <c r="O227" s="597"/>
      <c r="P227" s="597"/>
      <c r="Q227" s="581"/>
      <c r="R227" s="420"/>
      <c r="S227" s="582"/>
      <c r="T227" s="583"/>
      <c r="U227" s="584" t="str">
        <f>IF($I227="","",LET(n,COUNTIFS('Lớp 6 - Chi tiết'!$J$14:$J$267,$I227,'Lớp 6 - Chi tiết'!$AE$14:$AE$267,"&lt;&gt;Hủy"),child,IFERROR(MAXIFS('Lớp 6 - Chi tiết'!$AH$14:$AH$267,'Lớp 6 - Chi tiết'!$J$14:$J$267,$I227,'Lớp 6 - Chi tiết'!$AE$14:$AE$267,"&lt;&gt;Hủy",'Lớp 6 - Chi tiết'!$AH$14:$AH$267,"&gt;0"),0),plan,'Trung tâm nhập liệu'!Q377,emergent,LOWER(TRIM('Trung tâm nhập liệu'!O377))="khi phát sinh",IF(n=0,IF(emergent,"",plan),IF(child=0,IF(emergent,"",plan),IF(OR(emergent,plan=""),child,MAX(plan,child))))))</f>
        <v/>
      </c>
      <c r="V227" s="584" t="str">
        <f>IF($I227="","",LET(n,COUNTIFS('Lớp 6 - Chi tiết'!$J$14:$J$267,$I227,'Lớp 6 - Chi tiết'!$AE$14:$AE$267,"&lt;&gt;Hủy"),child,IFERROR(MINIFS('Lớp 6 - Chi tiết'!$AG$14:$AG$267,'Lớp 6 - Chi tiết'!$J$14:$J$267,$I227,'Lớp 6 - Chi tiết'!$AE$14:$AE$267,"&lt;&gt;Hủy",'Lớp 6 - Chi tiết'!$AG$14:$AG$267,"&gt;0"),0),plan,'Trung tâm nhập liệu'!R377,emergent,LOWER(TRIM('Trung tâm nhập liệu'!O377))="khi phát sinh",IF(n=0,IF(emergent,"",plan),IF(child=0,IF(emergent,"",plan),IF(OR(emergent,plan=""),child,MIN(plan,child))))))</f>
        <v/>
      </c>
      <c r="W227" s="577"/>
      <c r="X227" s="577"/>
      <c r="Y227" s="585"/>
      <c r="Z227" s="586"/>
      <c r="AA227" s="577"/>
      <c r="AB227" s="572"/>
      <c r="AC227" s="420"/>
      <c r="AD227" s="584"/>
      <c r="AE227" s="584"/>
      <c r="AF227" s="587"/>
      <c r="AG227" s="588"/>
      <c r="AH227" s="587"/>
      <c r="AI227" s="589"/>
      <c r="AJ227" s="468"/>
      <c r="AK227" s="477" t="str">
        <f>IF(AM227="Chưa xếp lịch","Chưa xếp lịch",IF(AM227="Định kỳ",IF(AN227="","Thiếu chu kỳ","Theo chu kỳ"),IF(AM227="Khi phát sinh",IF(COUNTIFS('Lớp 6 - Chi tiết'!$J$14:$J$267,$I227,'Lớp 6 - Chi tiết'!$AE$14:$AE$267,"&lt;&gt;Hủy")=0,"Khi phát sinh – chờ việc con","Khi phát sinh – theo ngày con"),IF(I227="","",LET(n,COUNTIFS('Lớp 6 - Chi tiết'!$J$14:$J$267,$I227,'Lớp 6 - Chi tiết'!$AE$14:$AE$267,"&lt;&gt;Hủy"),cs,IFERROR(MINIFS('Lớp 6 - Chi tiết'!$AG$14:$AG$267,'Lớp 6 - Chi tiết'!$J$14:$J$267,$I227,'Lớp 6 - Chi tiết'!$AE$14:$AE$267,"&lt;&gt;Hủy",'Lớp 6 - Chi tiết'!$AG$14:$AG$267,"&gt;0"),0),ce,IFERROR(MAXIFS('Lớp 6 - Chi tiết'!$AH$14:$AH$267,'Lớp 6 - Chi tiết'!$J$14:$J$267,$I227,'Lớp 6 - Chi tiết'!$AE$14:$AE$267,"&lt;&gt;Hủy",'Lớp 6 - Chi tiết'!$AH$14:$AH$267,"&gt;0"),0),ps,'Trung tâm nhập liệu'!R377,pe,'Trung tâm nhập liệu'!Q377,IF(OR(AD227="",AE227=""),"Thiếu ngày L5",IF(n=0,"Chưa có L6",IF(OR(cs=0,ce=0),"Thiếu ngày L6",IF(OR(ps="",pe=""),"Thiếu ngày kế hoạch gốc L5",IF(OR(cs&lt;ps,ce&gt;pe),"Cảnh báo: Con vượt khung kế hoạch gốc","L6 đúng khung kế hoạch gốc"))))))))))</f>
        <v/>
      </c>
      <c r="AL227" s="465"/>
      <c r="AM227" s="467"/>
      <c r="AN227" s="469"/>
      <c r="AO227" s="470"/>
      <c r="AP227" s="470"/>
      <c r="AQ227" s="471"/>
      <c r="AR227" s="469"/>
      <c r="AS227" s="475"/>
      <c r="AT227" s="476"/>
      <c r="AU227" s="478"/>
      <c r="AV227" s="465"/>
      <c r="AW227" s="465"/>
      <c r="AX227" s="479"/>
    </row>
    <row r="228" ht="15.75" customHeight="1">
      <c r="A228" s="424"/>
      <c r="B228" s="572"/>
      <c r="C228" s="591"/>
      <c r="D228" s="623"/>
      <c r="E228" s="617"/>
      <c r="F228" s="575"/>
      <c r="G228" s="575"/>
      <c r="H228" s="576"/>
      <c r="I228" s="577"/>
      <c r="J228" s="577"/>
      <c r="K228" s="597"/>
      <c r="L228" s="598"/>
      <c r="M228" s="438"/>
      <c r="N228" s="597"/>
      <c r="O228" s="597"/>
      <c r="P228" s="597"/>
      <c r="Q228" s="581"/>
      <c r="R228" s="420"/>
      <c r="S228" s="582"/>
      <c r="T228" s="583"/>
      <c r="U228" s="584" t="str">
        <f>IF($I228="","",LET(n,COUNTIFS('Lớp 6 - Chi tiết'!$J$14:$J$267,$I228,'Lớp 6 - Chi tiết'!$AE$14:$AE$267,"&lt;&gt;Hủy"),child,IFERROR(MAXIFS('Lớp 6 - Chi tiết'!$AH$14:$AH$267,'Lớp 6 - Chi tiết'!$J$14:$J$267,$I228,'Lớp 6 - Chi tiết'!$AE$14:$AE$267,"&lt;&gt;Hủy",'Lớp 6 - Chi tiết'!$AH$14:$AH$267,"&gt;0"),0),plan,'Trung tâm nhập liệu'!Q378,emergent,LOWER(TRIM('Trung tâm nhập liệu'!O378))="khi phát sinh",IF(n=0,IF(emergent,"",plan),IF(child=0,IF(emergent,"",plan),IF(OR(emergent,plan=""),child,MAX(plan,child))))))</f>
        <v/>
      </c>
      <c r="V228" s="584" t="str">
        <f>IF($I228="","",LET(n,COUNTIFS('Lớp 6 - Chi tiết'!$J$14:$J$267,$I228,'Lớp 6 - Chi tiết'!$AE$14:$AE$267,"&lt;&gt;Hủy"),child,IFERROR(MINIFS('Lớp 6 - Chi tiết'!$AG$14:$AG$267,'Lớp 6 - Chi tiết'!$J$14:$J$267,$I228,'Lớp 6 - Chi tiết'!$AE$14:$AE$267,"&lt;&gt;Hủy",'Lớp 6 - Chi tiết'!$AG$14:$AG$267,"&gt;0"),0),plan,'Trung tâm nhập liệu'!R378,emergent,LOWER(TRIM('Trung tâm nhập liệu'!O378))="khi phát sinh",IF(n=0,IF(emergent,"",plan),IF(child=0,IF(emergent,"",plan),IF(OR(emergent,plan=""),child,MIN(plan,child))))))</f>
        <v/>
      </c>
      <c r="W228" s="577"/>
      <c r="X228" s="577"/>
      <c r="Y228" s="585"/>
      <c r="Z228" s="586"/>
      <c r="AA228" s="577"/>
      <c r="AB228" s="572"/>
      <c r="AC228" s="420"/>
      <c r="AD228" s="584"/>
      <c r="AE228" s="584"/>
      <c r="AF228" s="587"/>
      <c r="AG228" s="588"/>
      <c r="AH228" s="587"/>
      <c r="AI228" s="589"/>
      <c r="AJ228" s="468"/>
      <c r="AK228" s="477" t="str">
        <f>IF(AM228="Chưa xếp lịch","Chưa xếp lịch",IF(AM228="Định kỳ",IF(AN228="","Thiếu chu kỳ","Theo chu kỳ"),IF(AM228="Khi phát sinh",IF(COUNTIFS('Lớp 6 - Chi tiết'!$J$14:$J$267,$I228,'Lớp 6 - Chi tiết'!$AE$14:$AE$267,"&lt;&gt;Hủy")=0,"Khi phát sinh – chờ việc con","Khi phát sinh – theo ngày con"),IF(I228="","",LET(n,COUNTIFS('Lớp 6 - Chi tiết'!$J$14:$J$267,$I228,'Lớp 6 - Chi tiết'!$AE$14:$AE$267,"&lt;&gt;Hủy"),cs,IFERROR(MINIFS('Lớp 6 - Chi tiết'!$AG$14:$AG$267,'Lớp 6 - Chi tiết'!$J$14:$J$267,$I228,'Lớp 6 - Chi tiết'!$AE$14:$AE$267,"&lt;&gt;Hủy",'Lớp 6 - Chi tiết'!$AG$14:$AG$267,"&gt;0"),0),ce,IFERROR(MAXIFS('Lớp 6 - Chi tiết'!$AH$14:$AH$267,'Lớp 6 - Chi tiết'!$J$14:$J$267,$I228,'Lớp 6 - Chi tiết'!$AE$14:$AE$267,"&lt;&gt;Hủy",'Lớp 6 - Chi tiết'!$AH$14:$AH$267,"&gt;0"),0),ps,'Trung tâm nhập liệu'!R378,pe,'Trung tâm nhập liệu'!Q378,IF(OR(AD228="",AE228=""),"Thiếu ngày L5",IF(n=0,"Chưa có L6",IF(OR(cs=0,ce=0),"Thiếu ngày L6",IF(OR(ps="",pe=""),"Thiếu ngày kế hoạch gốc L5",IF(OR(cs&lt;ps,ce&gt;pe),"Cảnh báo: Con vượt khung kế hoạch gốc","L6 đúng khung kế hoạch gốc"))))))))))</f>
        <v/>
      </c>
      <c r="AL228" s="465"/>
      <c r="AM228" s="467"/>
      <c r="AN228" s="469"/>
      <c r="AO228" s="470"/>
      <c r="AP228" s="470"/>
      <c r="AQ228" s="471"/>
      <c r="AR228" s="469"/>
      <c r="AS228" s="475"/>
      <c r="AT228" s="476"/>
      <c r="AU228" s="478"/>
      <c r="AV228" s="465"/>
      <c r="AW228" s="465"/>
      <c r="AX228" s="479"/>
    </row>
    <row r="229" ht="15.75" customHeight="1">
      <c r="A229" s="424"/>
      <c r="B229" s="572"/>
      <c r="C229" s="591"/>
      <c r="D229" s="623"/>
      <c r="E229" s="617"/>
      <c r="F229" s="575"/>
      <c r="G229" s="575"/>
      <c r="H229" s="576"/>
      <c r="I229" s="577"/>
      <c r="J229" s="577"/>
      <c r="K229" s="597"/>
      <c r="L229" s="598"/>
      <c r="M229" s="438"/>
      <c r="N229" s="597"/>
      <c r="O229" s="597"/>
      <c r="P229" s="597"/>
      <c r="Q229" s="581"/>
      <c r="R229" s="420"/>
      <c r="S229" s="582"/>
      <c r="T229" s="583"/>
      <c r="U229" s="584" t="str">
        <f>IF($I229="","",LET(n,COUNTIFS('Lớp 6 - Chi tiết'!$J$14:$J$267,$I229,'Lớp 6 - Chi tiết'!$AE$14:$AE$267,"&lt;&gt;Hủy"),child,IFERROR(MAXIFS('Lớp 6 - Chi tiết'!$AH$14:$AH$267,'Lớp 6 - Chi tiết'!$J$14:$J$267,$I229,'Lớp 6 - Chi tiết'!$AE$14:$AE$267,"&lt;&gt;Hủy",'Lớp 6 - Chi tiết'!$AH$14:$AH$267,"&gt;0"),0),plan,'Trung tâm nhập liệu'!Q379,emergent,LOWER(TRIM('Trung tâm nhập liệu'!O379))="khi phát sinh",IF(n=0,IF(emergent,"",plan),IF(child=0,IF(emergent,"",plan),IF(OR(emergent,plan=""),child,MAX(plan,child))))))</f>
        <v/>
      </c>
      <c r="V229" s="584" t="str">
        <f>IF($I229="","",LET(n,COUNTIFS('Lớp 6 - Chi tiết'!$J$14:$J$267,$I229,'Lớp 6 - Chi tiết'!$AE$14:$AE$267,"&lt;&gt;Hủy"),child,IFERROR(MINIFS('Lớp 6 - Chi tiết'!$AG$14:$AG$267,'Lớp 6 - Chi tiết'!$J$14:$J$267,$I229,'Lớp 6 - Chi tiết'!$AE$14:$AE$267,"&lt;&gt;Hủy",'Lớp 6 - Chi tiết'!$AG$14:$AG$267,"&gt;0"),0),plan,'Trung tâm nhập liệu'!R379,emergent,LOWER(TRIM('Trung tâm nhập liệu'!O379))="khi phát sinh",IF(n=0,IF(emergent,"",plan),IF(child=0,IF(emergent,"",plan),IF(OR(emergent,plan=""),child,MIN(plan,child))))))</f>
        <v/>
      </c>
      <c r="W229" s="577"/>
      <c r="X229" s="577"/>
      <c r="Y229" s="585"/>
      <c r="Z229" s="586"/>
      <c r="AA229" s="577"/>
      <c r="AB229" s="572"/>
      <c r="AC229" s="420"/>
      <c r="AD229" s="584"/>
      <c r="AE229" s="584"/>
      <c r="AF229" s="587"/>
      <c r="AG229" s="588"/>
      <c r="AH229" s="587"/>
      <c r="AI229" s="589"/>
      <c r="AJ229" s="468"/>
      <c r="AK229" s="477" t="str">
        <f>IF(AM229="Chưa xếp lịch","Chưa xếp lịch",IF(AM229="Định kỳ",IF(AN229="","Thiếu chu kỳ","Theo chu kỳ"),IF(AM229="Khi phát sinh",IF(COUNTIFS('Lớp 6 - Chi tiết'!$J$14:$J$267,$I229,'Lớp 6 - Chi tiết'!$AE$14:$AE$267,"&lt;&gt;Hủy")=0,"Khi phát sinh – chờ việc con","Khi phát sinh – theo ngày con"),IF(I229="","",LET(n,COUNTIFS('Lớp 6 - Chi tiết'!$J$14:$J$267,$I229,'Lớp 6 - Chi tiết'!$AE$14:$AE$267,"&lt;&gt;Hủy"),cs,IFERROR(MINIFS('Lớp 6 - Chi tiết'!$AG$14:$AG$267,'Lớp 6 - Chi tiết'!$J$14:$J$267,$I229,'Lớp 6 - Chi tiết'!$AE$14:$AE$267,"&lt;&gt;Hủy",'Lớp 6 - Chi tiết'!$AG$14:$AG$267,"&gt;0"),0),ce,IFERROR(MAXIFS('Lớp 6 - Chi tiết'!$AH$14:$AH$267,'Lớp 6 - Chi tiết'!$J$14:$J$267,$I229,'Lớp 6 - Chi tiết'!$AE$14:$AE$267,"&lt;&gt;Hủy",'Lớp 6 - Chi tiết'!$AH$14:$AH$267,"&gt;0"),0),ps,'Trung tâm nhập liệu'!R379,pe,'Trung tâm nhập liệu'!Q379,IF(OR(AD229="",AE229=""),"Thiếu ngày L5",IF(n=0,"Chưa có L6",IF(OR(cs=0,ce=0),"Thiếu ngày L6",IF(OR(ps="",pe=""),"Thiếu ngày kế hoạch gốc L5",IF(OR(cs&lt;ps,ce&gt;pe),"Cảnh báo: Con vượt khung kế hoạch gốc","L6 đúng khung kế hoạch gốc"))))))))))</f>
        <v/>
      </c>
      <c r="AL229" s="465"/>
      <c r="AM229" s="467"/>
      <c r="AN229" s="469"/>
      <c r="AO229" s="470"/>
      <c r="AP229" s="470"/>
      <c r="AQ229" s="471"/>
      <c r="AR229" s="469"/>
      <c r="AS229" s="475"/>
      <c r="AT229" s="476"/>
      <c r="AU229" s="478"/>
      <c r="AV229" s="465"/>
      <c r="AW229" s="465"/>
      <c r="AX229" s="479"/>
    </row>
    <row r="230" ht="15.75" customHeight="1">
      <c r="A230" s="424"/>
      <c r="B230" s="572"/>
      <c r="C230" s="591"/>
      <c r="D230" s="623"/>
      <c r="E230" s="617"/>
      <c r="F230" s="575"/>
      <c r="G230" s="575"/>
      <c r="H230" s="576"/>
      <c r="I230" s="577"/>
      <c r="J230" s="577"/>
      <c r="K230" s="597"/>
      <c r="L230" s="598"/>
      <c r="M230" s="438"/>
      <c r="N230" s="597"/>
      <c r="O230" s="597"/>
      <c r="P230" s="597"/>
      <c r="Q230" s="581"/>
      <c r="R230" s="420"/>
      <c r="S230" s="582"/>
      <c r="T230" s="583"/>
      <c r="U230" s="584" t="str">
        <f>IF($I230="","",LET(n,COUNTIFS('Lớp 6 - Chi tiết'!$J$14:$J$267,$I230,'Lớp 6 - Chi tiết'!$AE$14:$AE$267,"&lt;&gt;Hủy"),child,IFERROR(MAXIFS('Lớp 6 - Chi tiết'!$AH$14:$AH$267,'Lớp 6 - Chi tiết'!$J$14:$J$267,$I230,'Lớp 6 - Chi tiết'!$AE$14:$AE$267,"&lt;&gt;Hủy",'Lớp 6 - Chi tiết'!$AH$14:$AH$267,"&gt;0"),0),plan,'Trung tâm nhập liệu'!Q380,emergent,LOWER(TRIM('Trung tâm nhập liệu'!O380))="khi phát sinh",IF(n=0,IF(emergent,"",plan),IF(child=0,IF(emergent,"",plan),IF(OR(emergent,plan=""),child,MAX(plan,child))))))</f>
        <v/>
      </c>
      <c r="V230" s="584" t="str">
        <f>IF($I230="","",LET(n,COUNTIFS('Lớp 6 - Chi tiết'!$J$14:$J$267,$I230,'Lớp 6 - Chi tiết'!$AE$14:$AE$267,"&lt;&gt;Hủy"),child,IFERROR(MINIFS('Lớp 6 - Chi tiết'!$AG$14:$AG$267,'Lớp 6 - Chi tiết'!$J$14:$J$267,$I230,'Lớp 6 - Chi tiết'!$AE$14:$AE$267,"&lt;&gt;Hủy",'Lớp 6 - Chi tiết'!$AG$14:$AG$267,"&gt;0"),0),plan,'Trung tâm nhập liệu'!R380,emergent,LOWER(TRIM('Trung tâm nhập liệu'!O380))="khi phát sinh",IF(n=0,IF(emergent,"",plan),IF(child=0,IF(emergent,"",plan),IF(OR(emergent,plan=""),child,MIN(plan,child))))))</f>
        <v/>
      </c>
      <c r="W230" s="577"/>
      <c r="X230" s="577"/>
      <c r="Y230" s="585"/>
      <c r="Z230" s="586"/>
      <c r="AA230" s="577"/>
      <c r="AB230" s="572"/>
      <c r="AC230" s="420"/>
      <c r="AD230" s="584"/>
      <c r="AE230" s="584"/>
      <c r="AF230" s="587"/>
      <c r="AG230" s="588"/>
      <c r="AH230" s="587"/>
      <c r="AI230" s="589"/>
      <c r="AJ230" s="468"/>
      <c r="AK230" s="477" t="str">
        <f>IF(AM230="Chưa xếp lịch","Chưa xếp lịch",IF(AM230="Định kỳ",IF(AN230="","Thiếu chu kỳ","Theo chu kỳ"),IF(AM230="Khi phát sinh",IF(COUNTIFS('Lớp 6 - Chi tiết'!$J$14:$J$267,$I230,'Lớp 6 - Chi tiết'!$AE$14:$AE$267,"&lt;&gt;Hủy")=0,"Khi phát sinh – chờ việc con","Khi phát sinh – theo ngày con"),IF(I230="","",LET(n,COUNTIFS('Lớp 6 - Chi tiết'!$J$14:$J$267,$I230,'Lớp 6 - Chi tiết'!$AE$14:$AE$267,"&lt;&gt;Hủy"),cs,IFERROR(MINIFS('Lớp 6 - Chi tiết'!$AG$14:$AG$267,'Lớp 6 - Chi tiết'!$J$14:$J$267,$I230,'Lớp 6 - Chi tiết'!$AE$14:$AE$267,"&lt;&gt;Hủy",'Lớp 6 - Chi tiết'!$AG$14:$AG$267,"&gt;0"),0),ce,IFERROR(MAXIFS('Lớp 6 - Chi tiết'!$AH$14:$AH$267,'Lớp 6 - Chi tiết'!$J$14:$J$267,$I230,'Lớp 6 - Chi tiết'!$AE$14:$AE$267,"&lt;&gt;Hủy",'Lớp 6 - Chi tiết'!$AH$14:$AH$267,"&gt;0"),0),ps,'Trung tâm nhập liệu'!R380,pe,'Trung tâm nhập liệu'!Q380,IF(OR(AD230="",AE230=""),"Thiếu ngày L5",IF(n=0,"Chưa có L6",IF(OR(cs=0,ce=0),"Thiếu ngày L6",IF(OR(ps="",pe=""),"Thiếu ngày kế hoạch gốc L5",IF(OR(cs&lt;ps,ce&gt;pe),"Cảnh báo: Con vượt khung kế hoạch gốc","L6 đúng khung kế hoạch gốc"))))))))))</f>
        <v/>
      </c>
      <c r="AL230" s="465"/>
      <c r="AM230" s="467"/>
      <c r="AN230" s="469"/>
      <c r="AO230" s="470"/>
      <c r="AP230" s="470"/>
      <c r="AQ230" s="471"/>
      <c r="AR230" s="469"/>
      <c r="AS230" s="475"/>
      <c r="AT230" s="476"/>
      <c r="AU230" s="478"/>
      <c r="AV230" s="465"/>
      <c r="AW230" s="465"/>
      <c r="AX230" s="479"/>
    </row>
    <row r="231" ht="15.75" customHeight="1">
      <c r="A231" s="424"/>
      <c r="B231" s="572"/>
      <c r="C231" s="591"/>
      <c r="D231" s="623"/>
      <c r="E231" s="617"/>
      <c r="F231" s="575"/>
      <c r="G231" s="575"/>
      <c r="H231" s="576"/>
      <c r="I231" s="577"/>
      <c r="J231" s="577"/>
      <c r="K231" s="597"/>
      <c r="L231" s="598"/>
      <c r="M231" s="438"/>
      <c r="N231" s="597"/>
      <c r="O231" s="597"/>
      <c r="P231" s="597"/>
      <c r="Q231" s="581"/>
      <c r="R231" s="420"/>
      <c r="S231" s="582"/>
      <c r="T231" s="583"/>
      <c r="U231" s="584" t="str">
        <f>IF($I231="","",LET(n,COUNTIFS('Lớp 6 - Chi tiết'!$J$14:$J$267,$I231,'Lớp 6 - Chi tiết'!$AE$14:$AE$267,"&lt;&gt;Hủy"),child,IFERROR(MAXIFS('Lớp 6 - Chi tiết'!$AH$14:$AH$267,'Lớp 6 - Chi tiết'!$J$14:$J$267,$I231,'Lớp 6 - Chi tiết'!$AE$14:$AE$267,"&lt;&gt;Hủy",'Lớp 6 - Chi tiết'!$AH$14:$AH$267,"&gt;0"),0),plan,'Trung tâm nhập liệu'!Q381,emergent,LOWER(TRIM('Trung tâm nhập liệu'!O381))="khi phát sinh",IF(n=0,IF(emergent,"",plan),IF(child=0,IF(emergent,"",plan),IF(OR(emergent,plan=""),child,MAX(plan,child))))))</f>
        <v/>
      </c>
      <c r="V231" s="584" t="str">
        <f>IF($I231="","",LET(n,COUNTIFS('Lớp 6 - Chi tiết'!$J$14:$J$267,$I231,'Lớp 6 - Chi tiết'!$AE$14:$AE$267,"&lt;&gt;Hủy"),child,IFERROR(MINIFS('Lớp 6 - Chi tiết'!$AG$14:$AG$267,'Lớp 6 - Chi tiết'!$J$14:$J$267,$I231,'Lớp 6 - Chi tiết'!$AE$14:$AE$267,"&lt;&gt;Hủy",'Lớp 6 - Chi tiết'!$AG$14:$AG$267,"&gt;0"),0),plan,'Trung tâm nhập liệu'!R381,emergent,LOWER(TRIM('Trung tâm nhập liệu'!O381))="khi phát sinh",IF(n=0,IF(emergent,"",plan),IF(child=0,IF(emergent,"",plan),IF(OR(emergent,plan=""),child,MIN(plan,child))))))</f>
        <v/>
      </c>
      <c r="W231" s="577"/>
      <c r="X231" s="577"/>
      <c r="Y231" s="585"/>
      <c r="Z231" s="586"/>
      <c r="AA231" s="577"/>
      <c r="AB231" s="572"/>
      <c r="AC231" s="420"/>
      <c r="AD231" s="584"/>
      <c r="AE231" s="584"/>
      <c r="AF231" s="587"/>
      <c r="AG231" s="588"/>
      <c r="AH231" s="587"/>
      <c r="AI231" s="589"/>
      <c r="AJ231" s="468"/>
      <c r="AK231" s="477" t="str">
        <f>IF(AM231="Chưa xếp lịch","Chưa xếp lịch",IF(AM231="Định kỳ",IF(AN231="","Thiếu chu kỳ","Theo chu kỳ"),IF(AM231="Khi phát sinh",IF(COUNTIFS('Lớp 6 - Chi tiết'!$J$14:$J$267,$I231,'Lớp 6 - Chi tiết'!$AE$14:$AE$267,"&lt;&gt;Hủy")=0,"Khi phát sinh – chờ việc con","Khi phát sinh – theo ngày con"),IF(I231="","",LET(n,COUNTIFS('Lớp 6 - Chi tiết'!$J$14:$J$267,$I231,'Lớp 6 - Chi tiết'!$AE$14:$AE$267,"&lt;&gt;Hủy"),cs,IFERROR(MINIFS('Lớp 6 - Chi tiết'!$AG$14:$AG$267,'Lớp 6 - Chi tiết'!$J$14:$J$267,$I231,'Lớp 6 - Chi tiết'!$AE$14:$AE$267,"&lt;&gt;Hủy",'Lớp 6 - Chi tiết'!$AG$14:$AG$267,"&gt;0"),0),ce,IFERROR(MAXIFS('Lớp 6 - Chi tiết'!$AH$14:$AH$267,'Lớp 6 - Chi tiết'!$J$14:$J$267,$I231,'Lớp 6 - Chi tiết'!$AE$14:$AE$267,"&lt;&gt;Hủy",'Lớp 6 - Chi tiết'!$AH$14:$AH$267,"&gt;0"),0),ps,'Trung tâm nhập liệu'!R381,pe,'Trung tâm nhập liệu'!Q381,IF(OR(AD231="",AE231=""),"Thiếu ngày L5",IF(n=0,"Chưa có L6",IF(OR(cs=0,ce=0),"Thiếu ngày L6",IF(OR(ps="",pe=""),"Thiếu ngày kế hoạch gốc L5",IF(OR(cs&lt;ps,ce&gt;pe),"Cảnh báo: Con vượt khung kế hoạch gốc","L6 đúng khung kế hoạch gốc"))))))))))</f>
        <v/>
      </c>
      <c r="AL231" s="465"/>
      <c r="AM231" s="467"/>
      <c r="AN231" s="469"/>
      <c r="AO231" s="470"/>
      <c r="AP231" s="470"/>
      <c r="AQ231" s="471"/>
      <c r="AR231" s="469"/>
      <c r="AS231" s="475"/>
      <c r="AT231" s="476"/>
      <c r="AU231" s="478"/>
      <c r="AV231" s="465"/>
      <c r="AW231" s="465"/>
      <c r="AX231" s="479"/>
    </row>
    <row r="232" ht="15.75" customHeight="1">
      <c r="A232" s="424"/>
      <c r="B232" s="572"/>
      <c r="C232" s="591"/>
      <c r="D232" s="623"/>
      <c r="E232" s="617"/>
      <c r="F232" s="575"/>
      <c r="G232" s="575"/>
      <c r="H232" s="576"/>
      <c r="I232" s="577"/>
      <c r="J232" s="577"/>
      <c r="K232" s="597"/>
      <c r="L232" s="598"/>
      <c r="M232" s="438"/>
      <c r="N232" s="597"/>
      <c r="O232" s="597"/>
      <c r="P232" s="597"/>
      <c r="Q232" s="581"/>
      <c r="R232" s="420"/>
      <c r="S232" s="582"/>
      <c r="T232" s="583"/>
      <c r="U232" s="584" t="str">
        <f>IF($I232="","",LET(n,COUNTIFS('Lớp 6 - Chi tiết'!$J$14:$J$267,$I232,'Lớp 6 - Chi tiết'!$AE$14:$AE$267,"&lt;&gt;Hủy"),child,IFERROR(MAXIFS('Lớp 6 - Chi tiết'!$AH$14:$AH$267,'Lớp 6 - Chi tiết'!$J$14:$J$267,$I232,'Lớp 6 - Chi tiết'!$AE$14:$AE$267,"&lt;&gt;Hủy",'Lớp 6 - Chi tiết'!$AH$14:$AH$267,"&gt;0"),0),plan,'Trung tâm nhập liệu'!Q382,emergent,LOWER(TRIM('Trung tâm nhập liệu'!O382))="khi phát sinh",IF(n=0,IF(emergent,"",plan),IF(child=0,IF(emergent,"",plan),IF(OR(emergent,plan=""),child,MAX(plan,child))))))</f>
        <v/>
      </c>
      <c r="V232" s="584" t="str">
        <f>IF($I232="","",LET(n,COUNTIFS('Lớp 6 - Chi tiết'!$J$14:$J$267,$I232,'Lớp 6 - Chi tiết'!$AE$14:$AE$267,"&lt;&gt;Hủy"),child,IFERROR(MINIFS('Lớp 6 - Chi tiết'!$AG$14:$AG$267,'Lớp 6 - Chi tiết'!$J$14:$J$267,$I232,'Lớp 6 - Chi tiết'!$AE$14:$AE$267,"&lt;&gt;Hủy",'Lớp 6 - Chi tiết'!$AG$14:$AG$267,"&gt;0"),0),plan,'Trung tâm nhập liệu'!R382,emergent,LOWER(TRIM('Trung tâm nhập liệu'!O382))="khi phát sinh",IF(n=0,IF(emergent,"",plan),IF(child=0,IF(emergent,"",plan),IF(OR(emergent,plan=""),child,MIN(plan,child))))))</f>
        <v/>
      </c>
      <c r="W232" s="577"/>
      <c r="X232" s="577"/>
      <c r="Y232" s="585"/>
      <c r="Z232" s="586"/>
      <c r="AA232" s="577"/>
      <c r="AB232" s="572"/>
      <c r="AC232" s="420"/>
      <c r="AD232" s="584"/>
      <c r="AE232" s="584"/>
      <c r="AF232" s="587"/>
      <c r="AG232" s="588"/>
      <c r="AH232" s="587"/>
      <c r="AI232" s="589"/>
      <c r="AJ232" s="468"/>
      <c r="AK232" s="477" t="str">
        <f>IF(AM232="Chưa xếp lịch","Chưa xếp lịch",IF(AM232="Định kỳ",IF(AN232="","Thiếu chu kỳ","Theo chu kỳ"),IF(AM232="Khi phát sinh",IF(COUNTIFS('Lớp 6 - Chi tiết'!$J$14:$J$267,$I232,'Lớp 6 - Chi tiết'!$AE$14:$AE$267,"&lt;&gt;Hủy")=0,"Khi phát sinh – chờ việc con","Khi phát sinh – theo ngày con"),IF(I232="","",LET(n,COUNTIFS('Lớp 6 - Chi tiết'!$J$14:$J$267,$I232,'Lớp 6 - Chi tiết'!$AE$14:$AE$267,"&lt;&gt;Hủy"),cs,IFERROR(MINIFS('Lớp 6 - Chi tiết'!$AG$14:$AG$267,'Lớp 6 - Chi tiết'!$J$14:$J$267,$I232,'Lớp 6 - Chi tiết'!$AE$14:$AE$267,"&lt;&gt;Hủy",'Lớp 6 - Chi tiết'!$AG$14:$AG$267,"&gt;0"),0),ce,IFERROR(MAXIFS('Lớp 6 - Chi tiết'!$AH$14:$AH$267,'Lớp 6 - Chi tiết'!$J$14:$J$267,$I232,'Lớp 6 - Chi tiết'!$AE$14:$AE$267,"&lt;&gt;Hủy",'Lớp 6 - Chi tiết'!$AH$14:$AH$267,"&gt;0"),0),ps,'Trung tâm nhập liệu'!R382,pe,'Trung tâm nhập liệu'!Q382,IF(OR(AD232="",AE232=""),"Thiếu ngày L5",IF(n=0,"Chưa có L6",IF(OR(cs=0,ce=0),"Thiếu ngày L6",IF(OR(ps="",pe=""),"Thiếu ngày kế hoạch gốc L5",IF(OR(cs&lt;ps,ce&gt;pe),"Cảnh báo: Con vượt khung kế hoạch gốc","L6 đúng khung kế hoạch gốc"))))))))))</f>
        <v/>
      </c>
      <c r="AL232" s="465"/>
      <c r="AM232" s="467"/>
      <c r="AN232" s="469"/>
      <c r="AO232" s="470"/>
      <c r="AP232" s="470"/>
      <c r="AQ232" s="471"/>
      <c r="AR232" s="469"/>
      <c r="AS232" s="475"/>
      <c r="AT232" s="476"/>
      <c r="AU232" s="478"/>
      <c r="AV232" s="465"/>
      <c r="AW232" s="465"/>
      <c r="AX232" s="479"/>
    </row>
    <row r="233" ht="15.75" customHeight="1">
      <c r="A233" s="424"/>
      <c r="B233" s="572"/>
      <c r="C233" s="591"/>
      <c r="D233" s="623"/>
      <c r="E233" s="617"/>
      <c r="F233" s="575"/>
      <c r="G233" s="575"/>
      <c r="H233" s="576"/>
      <c r="I233" s="577"/>
      <c r="J233" s="577"/>
      <c r="K233" s="597"/>
      <c r="L233" s="598"/>
      <c r="M233" s="438"/>
      <c r="N233" s="597"/>
      <c r="O233" s="597"/>
      <c r="P233" s="597"/>
      <c r="Q233" s="581"/>
      <c r="R233" s="420"/>
      <c r="S233" s="582"/>
      <c r="T233" s="583"/>
      <c r="U233" s="584" t="str">
        <f>IF($I233="","",LET(n,COUNTIFS('Lớp 6 - Chi tiết'!$J$14:$J$267,$I233,'Lớp 6 - Chi tiết'!$AE$14:$AE$267,"&lt;&gt;Hủy"),child,IFERROR(MAXIFS('Lớp 6 - Chi tiết'!$AH$14:$AH$267,'Lớp 6 - Chi tiết'!$J$14:$J$267,$I233,'Lớp 6 - Chi tiết'!$AE$14:$AE$267,"&lt;&gt;Hủy",'Lớp 6 - Chi tiết'!$AH$14:$AH$267,"&gt;0"),0),plan,'Trung tâm nhập liệu'!Q383,emergent,LOWER(TRIM('Trung tâm nhập liệu'!O383))="khi phát sinh",IF(n=0,IF(emergent,"",plan),IF(child=0,IF(emergent,"",plan),IF(OR(emergent,plan=""),child,MAX(plan,child))))))</f>
        <v/>
      </c>
      <c r="V233" s="584" t="str">
        <f>IF($I233="","",LET(n,COUNTIFS('Lớp 6 - Chi tiết'!$J$14:$J$267,$I233,'Lớp 6 - Chi tiết'!$AE$14:$AE$267,"&lt;&gt;Hủy"),child,IFERROR(MINIFS('Lớp 6 - Chi tiết'!$AG$14:$AG$267,'Lớp 6 - Chi tiết'!$J$14:$J$267,$I233,'Lớp 6 - Chi tiết'!$AE$14:$AE$267,"&lt;&gt;Hủy",'Lớp 6 - Chi tiết'!$AG$14:$AG$267,"&gt;0"),0),plan,'Trung tâm nhập liệu'!R383,emergent,LOWER(TRIM('Trung tâm nhập liệu'!O383))="khi phát sinh",IF(n=0,IF(emergent,"",plan),IF(child=0,IF(emergent,"",plan),IF(OR(emergent,plan=""),child,MIN(plan,child))))))</f>
        <v/>
      </c>
      <c r="W233" s="577"/>
      <c r="X233" s="577"/>
      <c r="Y233" s="585"/>
      <c r="Z233" s="586"/>
      <c r="AA233" s="577"/>
      <c r="AB233" s="572"/>
      <c r="AC233" s="420"/>
      <c r="AD233" s="584"/>
      <c r="AE233" s="584"/>
      <c r="AF233" s="587"/>
      <c r="AG233" s="588"/>
      <c r="AH233" s="587"/>
      <c r="AI233" s="589"/>
      <c r="AJ233" s="468"/>
      <c r="AK233" s="477" t="str">
        <f>IF(AM233="Chưa xếp lịch","Chưa xếp lịch",IF(AM233="Định kỳ",IF(AN233="","Thiếu chu kỳ","Theo chu kỳ"),IF(AM233="Khi phát sinh",IF(COUNTIFS('Lớp 6 - Chi tiết'!$J$14:$J$267,$I233,'Lớp 6 - Chi tiết'!$AE$14:$AE$267,"&lt;&gt;Hủy")=0,"Khi phát sinh – chờ việc con","Khi phát sinh – theo ngày con"),IF(I233="","",LET(n,COUNTIFS('Lớp 6 - Chi tiết'!$J$14:$J$267,$I233,'Lớp 6 - Chi tiết'!$AE$14:$AE$267,"&lt;&gt;Hủy"),cs,IFERROR(MINIFS('Lớp 6 - Chi tiết'!$AG$14:$AG$267,'Lớp 6 - Chi tiết'!$J$14:$J$267,$I233,'Lớp 6 - Chi tiết'!$AE$14:$AE$267,"&lt;&gt;Hủy",'Lớp 6 - Chi tiết'!$AG$14:$AG$267,"&gt;0"),0),ce,IFERROR(MAXIFS('Lớp 6 - Chi tiết'!$AH$14:$AH$267,'Lớp 6 - Chi tiết'!$J$14:$J$267,$I233,'Lớp 6 - Chi tiết'!$AE$14:$AE$267,"&lt;&gt;Hủy",'Lớp 6 - Chi tiết'!$AH$14:$AH$267,"&gt;0"),0),ps,'Trung tâm nhập liệu'!R383,pe,'Trung tâm nhập liệu'!Q383,IF(OR(AD233="",AE233=""),"Thiếu ngày L5",IF(n=0,"Chưa có L6",IF(OR(cs=0,ce=0),"Thiếu ngày L6",IF(OR(ps="",pe=""),"Thiếu ngày kế hoạch gốc L5",IF(OR(cs&lt;ps,ce&gt;pe),"Cảnh báo: Con vượt khung kế hoạch gốc","L6 đúng khung kế hoạch gốc"))))))))))</f>
        <v/>
      </c>
      <c r="AL233" s="465"/>
      <c r="AM233" s="467"/>
      <c r="AN233" s="469"/>
      <c r="AO233" s="470"/>
      <c r="AP233" s="470"/>
      <c r="AQ233" s="471"/>
      <c r="AR233" s="469"/>
      <c r="AS233" s="475"/>
      <c r="AT233" s="476"/>
      <c r="AU233" s="478"/>
      <c r="AV233" s="465"/>
      <c r="AW233" s="465"/>
      <c r="AX233" s="479"/>
    </row>
    <row r="234" ht="15.75" customHeight="1">
      <c r="A234" s="424"/>
      <c r="B234" s="572"/>
      <c r="C234" s="591"/>
      <c r="D234" s="623"/>
      <c r="E234" s="617"/>
      <c r="F234" s="575"/>
      <c r="G234" s="575"/>
      <c r="H234" s="576"/>
      <c r="I234" s="577"/>
      <c r="J234" s="577"/>
      <c r="K234" s="597"/>
      <c r="L234" s="598"/>
      <c r="M234" s="438"/>
      <c r="N234" s="597"/>
      <c r="O234" s="597"/>
      <c r="P234" s="597"/>
      <c r="Q234" s="581"/>
      <c r="R234" s="420"/>
      <c r="S234" s="582"/>
      <c r="T234" s="583"/>
      <c r="U234" s="584" t="str">
        <f>IF($I234="","",LET(n,COUNTIFS('Lớp 6 - Chi tiết'!$J$14:$J$267,$I234,'Lớp 6 - Chi tiết'!$AE$14:$AE$267,"&lt;&gt;Hủy"),child,IFERROR(MAXIFS('Lớp 6 - Chi tiết'!$AH$14:$AH$267,'Lớp 6 - Chi tiết'!$J$14:$J$267,$I234,'Lớp 6 - Chi tiết'!$AE$14:$AE$267,"&lt;&gt;Hủy",'Lớp 6 - Chi tiết'!$AH$14:$AH$267,"&gt;0"),0),plan,'Trung tâm nhập liệu'!Q384,emergent,LOWER(TRIM('Trung tâm nhập liệu'!O384))="khi phát sinh",IF(n=0,IF(emergent,"",plan),IF(child=0,IF(emergent,"",plan),IF(OR(emergent,plan=""),child,MAX(plan,child))))))</f>
        <v/>
      </c>
      <c r="V234" s="584" t="str">
        <f>IF($I234="","",LET(n,COUNTIFS('Lớp 6 - Chi tiết'!$J$14:$J$267,$I234,'Lớp 6 - Chi tiết'!$AE$14:$AE$267,"&lt;&gt;Hủy"),child,IFERROR(MINIFS('Lớp 6 - Chi tiết'!$AG$14:$AG$267,'Lớp 6 - Chi tiết'!$J$14:$J$267,$I234,'Lớp 6 - Chi tiết'!$AE$14:$AE$267,"&lt;&gt;Hủy",'Lớp 6 - Chi tiết'!$AG$14:$AG$267,"&gt;0"),0),plan,'Trung tâm nhập liệu'!R384,emergent,LOWER(TRIM('Trung tâm nhập liệu'!O384))="khi phát sinh",IF(n=0,IF(emergent,"",plan),IF(child=0,IF(emergent,"",plan),IF(OR(emergent,plan=""),child,MIN(plan,child))))))</f>
        <v/>
      </c>
      <c r="W234" s="577"/>
      <c r="X234" s="577"/>
      <c r="Y234" s="585"/>
      <c r="Z234" s="586"/>
      <c r="AA234" s="577"/>
      <c r="AB234" s="572"/>
      <c r="AC234" s="420"/>
      <c r="AD234" s="584"/>
      <c r="AE234" s="584"/>
      <c r="AF234" s="587"/>
      <c r="AG234" s="588"/>
      <c r="AH234" s="587"/>
      <c r="AI234" s="589"/>
      <c r="AJ234" s="468"/>
      <c r="AK234" s="477" t="str">
        <f>IF(AM234="Chưa xếp lịch","Chưa xếp lịch",IF(AM234="Định kỳ",IF(AN234="","Thiếu chu kỳ","Theo chu kỳ"),IF(AM234="Khi phát sinh",IF(COUNTIFS('Lớp 6 - Chi tiết'!$J$14:$J$267,$I234,'Lớp 6 - Chi tiết'!$AE$14:$AE$267,"&lt;&gt;Hủy")=0,"Khi phát sinh – chờ việc con","Khi phát sinh – theo ngày con"),IF(I234="","",LET(n,COUNTIFS('Lớp 6 - Chi tiết'!$J$14:$J$267,$I234,'Lớp 6 - Chi tiết'!$AE$14:$AE$267,"&lt;&gt;Hủy"),cs,IFERROR(MINIFS('Lớp 6 - Chi tiết'!$AG$14:$AG$267,'Lớp 6 - Chi tiết'!$J$14:$J$267,$I234,'Lớp 6 - Chi tiết'!$AE$14:$AE$267,"&lt;&gt;Hủy",'Lớp 6 - Chi tiết'!$AG$14:$AG$267,"&gt;0"),0),ce,IFERROR(MAXIFS('Lớp 6 - Chi tiết'!$AH$14:$AH$267,'Lớp 6 - Chi tiết'!$J$14:$J$267,$I234,'Lớp 6 - Chi tiết'!$AE$14:$AE$267,"&lt;&gt;Hủy",'Lớp 6 - Chi tiết'!$AH$14:$AH$267,"&gt;0"),0),ps,'Trung tâm nhập liệu'!R384,pe,'Trung tâm nhập liệu'!Q384,IF(OR(AD234="",AE234=""),"Thiếu ngày L5",IF(n=0,"Chưa có L6",IF(OR(cs=0,ce=0),"Thiếu ngày L6",IF(OR(ps="",pe=""),"Thiếu ngày kế hoạch gốc L5",IF(OR(cs&lt;ps,ce&gt;pe),"Cảnh báo: Con vượt khung kế hoạch gốc","L6 đúng khung kế hoạch gốc"))))))))))</f>
        <v/>
      </c>
      <c r="AL234" s="465"/>
      <c r="AM234" s="467"/>
      <c r="AN234" s="469"/>
      <c r="AO234" s="470"/>
      <c r="AP234" s="470"/>
      <c r="AQ234" s="471"/>
      <c r="AR234" s="469"/>
      <c r="AS234" s="475"/>
      <c r="AT234" s="476"/>
      <c r="AU234" s="478"/>
      <c r="AV234" s="465"/>
      <c r="AW234" s="465"/>
      <c r="AX234" s="479"/>
    </row>
    <row r="235" ht="15.75" customHeight="1">
      <c r="A235" s="424"/>
      <c r="B235" s="572"/>
      <c r="C235" s="591"/>
      <c r="D235" s="623"/>
      <c r="E235" s="617"/>
      <c r="F235" s="575"/>
      <c r="G235" s="575"/>
      <c r="H235" s="576"/>
      <c r="I235" s="577"/>
      <c r="J235" s="577"/>
      <c r="K235" s="597"/>
      <c r="L235" s="598"/>
      <c r="M235" s="438"/>
      <c r="N235" s="597"/>
      <c r="O235" s="597"/>
      <c r="P235" s="597"/>
      <c r="Q235" s="581"/>
      <c r="R235" s="420"/>
      <c r="S235" s="582"/>
      <c r="T235" s="583"/>
      <c r="U235" s="584" t="str">
        <f>IF($I235="","",LET(n,COUNTIFS('Lớp 6 - Chi tiết'!$J$14:$J$267,$I235,'Lớp 6 - Chi tiết'!$AE$14:$AE$267,"&lt;&gt;Hủy"),child,IFERROR(MAXIFS('Lớp 6 - Chi tiết'!$AH$14:$AH$267,'Lớp 6 - Chi tiết'!$J$14:$J$267,$I235,'Lớp 6 - Chi tiết'!$AE$14:$AE$267,"&lt;&gt;Hủy",'Lớp 6 - Chi tiết'!$AH$14:$AH$267,"&gt;0"),0),plan,'Trung tâm nhập liệu'!Q385,emergent,LOWER(TRIM('Trung tâm nhập liệu'!O385))="khi phát sinh",IF(n=0,IF(emergent,"",plan),IF(child=0,IF(emergent,"",plan),IF(OR(emergent,plan=""),child,MAX(plan,child))))))</f>
        <v/>
      </c>
      <c r="V235" s="584" t="str">
        <f>IF($I235="","",LET(n,COUNTIFS('Lớp 6 - Chi tiết'!$J$14:$J$267,$I235,'Lớp 6 - Chi tiết'!$AE$14:$AE$267,"&lt;&gt;Hủy"),child,IFERROR(MINIFS('Lớp 6 - Chi tiết'!$AG$14:$AG$267,'Lớp 6 - Chi tiết'!$J$14:$J$267,$I235,'Lớp 6 - Chi tiết'!$AE$14:$AE$267,"&lt;&gt;Hủy",'Lớp 6 - Chi tiết'!$AG$14:$AG$267,"&gt;0"),0),plan,'Trung tâm nhập liệu'!R385,emergent,LOWER(TRIM('Trung tâm nhập liệu'!O385))="khi phát sinh",IF(n=0,IF(emergent,"",plan),IF(child=0,IF(emergent,"",plan),IF(OR(emergent,plan=""),child,MIN(plan,child))))))</f>
        <v/>
      </c>
      <c r="W235" s="577"/>
      <c r="X235" s="577"/>
      <c r="Y235" s="585"/>
      <c r="Z235" s="586"/>
      <c r="AA235" s="577"/>
      <c r="AB235" s="572"/>
      <c r="AC235" s="420"/>
      <c r="AD235" s="584"/>
      <c r="AE235" s="584"/>
      <c r="AF235" s="587"/>
      <c r="AG235" s="588"/>
      <c r="AH235" s="587"/>
      <c r="AI235" s="589"/>
      <c r="AJ235" s="468"/>
      <c r="AK235" s="477" t="str">
        <f>IF(AM235="Chưa xếp lịch","Chưa xếp lịch",IF(AM235="Định kỳ",IF(AN235="","Thiếu chu kỳ","Theo chu kỳ"),IF(AM235="Khi phát sinh",IF(COUNTIFS('Lớp 6 - Chi tiết'!$J$14:$J$267,$I235,'Lớp 6 - Chi tiết'!$AE$14:$AE$267,"&lt;&gt;Hủy")=0,"Khi phát sinh – chờ việc con","Khi phát sinh – theo ngày con"),IF(I235="","",LET(n,COUNTIFS('Lớp 6 - Chi tiết'!$J$14:$J$267,$I235,'Lớp 6 - Chi tiết'!$AE$14:$AE$267,"&lt;&gt;Hủy"),cs,IFERROR(MINIFS('Lớp 6 - Chi tiết'!$AG$14:$AG$267,'Lớp 6 - Chi tiết'!$J$14:$J$267,$I235,'Lớp 6 - Chi tiết'!$AE$14:$AE$267,"&lt;&gt;Hủy",'Lớp 6 - Chi tiết'!$AG$14:$AG$267,"&gt;0"),0),ce,IFERROR(MAXIFS('Lớp 6 - Chi tiết'!$AH$14:$AH$267,'Lớp 6 - Chi tiết'!$J$14:$J$267,$I235,'Lớp 6 - Chi tiết'!$AE$14:$AE$267,"&lt;&gt;Hủy",'Lớp 6 - Chi tiết'!$AH$14:$AH$267,"&gt;0"),0),ps,'Trung tâm nhập liệu'!R385,pe,'Trung tâm nhập liệu'!Q385,IF(OR(AD235="",AE235=""),"Thiếu ngày L5",IF(n=0,"Chưa có L6",IF(OR(cs=0,ce=0),"Thiếu ngày L6",IF(OR(ps="",pe=""),"Thiếu ngày kế hoạch gốc L5",IF(OR(cs&lt;ps,ce&gt;pe),"Cảnh báo: Con vượt khung kế hoạch gốc","L6 đúng khung kế hoạch gốc"))))))))))</f>
        <v/>
      </c>
      <c r="AL235" s="465"/>
      <c r="AM235" s="467"/>
      <c r="AN235" s="469"/>
      <c r="AO235" s="470"/>
      <c r="AP235" s="470"/>
      <c r="AQ235" s="471"/>
      <c r="AR235" s="469"/>
      <c r="AS235" s="475"/>
      <c r="AT235" s="476"/>
      <c r="AU235" s="478"/>
      <c r="AV235" s="465"/>
      <c r="AW235" s="465"/>
      <c r="AX235" s="479"/>
    </row>
    <row r="236" ht="15.75" customHeight="1">
      <c r="A236" s="424"/>
      <c r="B236" s="572"/>
      <c r="C236" s="591"/>
      <c r="D236" s="623"/>
      <c r="E236" s="617"/>
      <c r="F236" s="575"/>
      <c r="G236" s="575"/>
      <c r="H236" s="576"/>
      <c r="I236" s="577"/>
      <c r="J236" s="577"/>
      <c r="K236" s="597"/>
      <c r="L236" s="598"/>
      <c r="M236" s="438"/>
      <c r="N236" s="597"/>
      <c r="O236" s="597"/>
      <c r="P236" s="597"/>
      <c r="Q236" s="581"/>
      <c r="R236" s="420"/>
      <c r="S236" s="582"/>
      <c r="T236" s="583"/>
      <c r="U236" s="584" t="str">
        <f>IF($I236="","",LET(n,COUNTIFS('Lớp 6 - Chi tiết'!$J$14:$J$267,$I236,'Lớp 6 - Chi tiết'!$AE$14:$AE$267,"&lt;&gt;Hủy"),child,IFERROR(MAXIFS('Lớp 6 - Chi tiết'!$AH$14:$AH$267,'Lớp 6 - Chi tiết'!$J$14:$J$267,$I236,'Lớp 6 - Chi tiết'!$AE$14:$AE$267,"&lt;&gt;Hủy",'Lớp 6 - Chi tiết'!$AH$14:$AH$267,"&gt;0"),0),plan,'Trung tâm nhập liệu'!Q386,emergent,LOWER(TRIM('Trung tâm nhập liệu'!O386))="khi phát sinh",IF(n=0,IF(emergent,"",plan),IF(child=0,IF(emergent,"",plan),IF(OR(emergent,plan=""),child,MAX(plan,child))))))</f>
        <v/>
      </c>
      <c r="V236" s="584" t="str">
        <f>IF($I236="","",LET(n,COUNTIFS('Lớp 6 - Chi tiết'!$J$14:$J$267,$I236,'Lớp 6 - Chi tiết'!$AE$14:$AE$267,"&lt;&gt;Hủy"),child,IFERROR(MINIFS('Lớp 6 - Chi tiết'!$AG$14:$AG$267,'Lớp 6 - Chi tiết'!$J$14:$J$267,$I236,'Lớp 6 - Chi tiết'!$AE$14:$AE$267,"&lt;&gt;Hủy",'Lớp 6 - Chi tiết'!$AG$14:$AG$267,"&gt;0"),0),plan,'Trung tâm nhập liệu'!R386,emergent,LOWER(TRIM('Trung tâm nhập liệu'!O386))="khi phát sinh",IF(n=0,IF(emergent,"",plan),IF(child=0,IF(emergent,"",plan),IF(OR(emergent,plan=""),child,MIN(plan,child))))))</f>
        <v/>
      </c>
      <c r="W236" s="577"/>
      <c r="X236" s="577"/>
      <c r="Y236" s="585"/>
      <c r="Z236" s="586"/>
      <c r="AA236" s="577"/>
      <c r="AB236" s="572"/>
      <c r="AC236" s="420"/>
      <c r="AD236" s="584"/>
      <c r="AE236" s="584"/>
      <c r="AF236" s="587"/>
      <c r="AG236" s="588"/>
      <c r="AH236" s="587"/>
      <c r="AI236" s="589"/>
      <c r="AJ236" s="468"/>
      <c r="AK236" s="477" t="str">
        <f>IF(AM236="Chưa xếp lịch","Chưa xếp lịch",IF(AM236="Định kỳ",IF(AN236="","Thiếu chu kỳ","Theo chu kỳ"),IF(AM236="Khi phát sinh",IF(COUNTIFS('Lớp 6 - Chi tiết'!$J$14:$J$267,$I236,'Lớp 6 - Chi tiết'!$AE$14:$AE$267,"&lt;&gt;Hủy")=0,"Khi phát sinh – chờ việc con","Khi phát sinh – theo ngày con"),IF(I236="","",LET(n,COUNTIFS('Lớp 6 - Chi tiết'!$J$14:$J$267,$I236,'Lớp 6 - Chi tiết'!$AE$14:$AE$267,"&lt;&gt;Hủy"),cs,IFERROR(MINIFS('Lớp 6 - Chi tiết'!$AG$14:$AG$267,'Lớp 6 - Chi tiết'!$J$14:$J$267,$I236,'Lớp 6 - Chi tiết'!$AE$14:$AE$267,"&lt;&gt;Hủy",'Lớp 6 - Chi tiết'!$AG$14:$AG$267,"&gt;0"),0),ce,IFERROR(MAXIFS('Lớp 6 - Chi tiết'!$AH$14:$AH$267,'Lớp 6 - Chi tiết'!$J$14:$J$267,$I236,'Lớp 6 - Chi tiết'!$AE$14:$AE$267,"&lt;&gt;Hủy",'Lớp 6 - Chi tiết'!$AH$14:$AH$267,"&gt;0"),0),ps,'Trung tâm nhập liệu'!R386,pe,'Trung tâm nhập liệu'!Q386,IF(OR(AD236="",AE236=""),"Thiếu ngày L5",IF(n=0,"Chưa có L6",IF(OR(cs=0,ce=0),"Thiếu ngày L6",IF(OR(ps="",pe=""),"Thiếu ngày kế hoạch gốc L5",IF(OR(cs&lt;ps,ce&gt;pe),"Cảnh báo: Con vượt khung kế hoạch gốc","L6 đúng khung kế hoạch gốc"))))))))))</f>
        <v/>
      </c>
      <c r="AL236" s="465"/>
      <c r="AM236" s="467"/>
      <c r="AN236" s="469"/>
      <c r="AO236" s="470"/>
      <c r="AP236" s="470"/>
      <c r="AQ236" s="471"/>
      <c r="AR236" s="469"/>
      <c r="AS236" s="475"/>
      <c r="AT236" s="476"/>
      <c r="AU236" s="478"/>
      <c r="AV236" s="465"/>
      <c r="AW236" s="465"/>
      <c r="AX236" s="479"/>
    </row>
    <row r="237" ht="15.75" customHeight="1">
      <c r="A237" s="424"/>
      <c r="B237" s="572"/>
      <c r="C237" s="591"/>
      <c r="D237" s="623"/>
      <c r="E237" s="617"/>
      <c r="F237" s="575"/>
      <c r="G237" s="575"/>
      <c r="H237" s="576"/>
      <c r="I237" s="577"/>
      <c r="J237" s="577"/>
      <c r="K237" s="597"/>
      <c r="L237" s="598"/>
      <c r="M237" s="438"/>
      <c r="N237" s="597"/>
      <c r="O237" s="597"/>
      <c r="P237" s="597"/>
      <c r="Q237" s="581"/>
      <c r="R237" s="420"/>
      <c r="S237" s="582"/>
      <c r="T237" s="583"/>
      <c r="U237" s="584" t="str">
        <f>IF($I237="","",LET(n,COUNTIFS('Lớp 6 - Chi tiết'!$J$14:$J$267,$I237,'Lớp 6 - Chi tiết'!$AE$14:$AE$267,"&lt;&gt;Hủy"),child,IFERROR(MAXIFS('Lớp 6 - Chi tiết'!$AH$14:$AH$267,'Lớp 6 - Chi tiết'!$J$14:$J$267,$I237,'Lớp 6 - Chi tiết'!$AE$14:$AE$267,"&lt;&gt;Hủy",'Lớp 6 - Chi tiết'!$AH$14:$AH$267,"&gt;0"),0),plan,'Trung tâm nhập liệu'!Q387,emergent,LOWER(TRIM('Trung tâm nhập liệu'!O387))="khi phát sinh",IF(n=0,IF(emergent,"",plan),IF(child=0,IF(emergent,"",plan),IF(OR(emergent,plan=""),child,MAX(plan,child))))))</f>
        <v/>
      </c>
      <c r="V237" s="584" t="str">
        <f>IF($I237="","",LET(n,COUNTIFS('Lớp 6 - Chi tiết'!$J$14:$J$267,$I237,'Lớp 6 - Chi tiết'!$AE$14:$AE$267,"&lt;&gt;Hủy"),child,IFERROR(MINIFS('Lớp 6 - Chi tiết'!$AG$14:$AG$267,'Lớp 6 - Chi tiết'!$J$14:$J$267,$I237,'Lớp 6 - Chi tiết'!$AE$14:$AE$267,"&lt;&gt;Hủy",'Lớp 6 - Chi tiết'!$AG$14:$AG$267,"&gt;0"),0),plan,'Trung tâm nhập liệu'!R387,emergent,LOWER(TRIM('Trung tâm nhập liệu'!O387))="khi phát sinh",IF(n=0,IF(emergent,"",plan),IF(child=0,IF(emergent,"",plan),IF(OR(emergent,plan=""),child,MIN(plan,child))))))</f>
        <v/>
      </c>
      <c r="W237" s="577"/>
      <c r="X237" s="577"/>
      <c r="Y237" s="585"/>
      <c r="Z237" s="586"/>
      <c r="AA237" s="577"/>
      <c r="AB237" s="572"/>
      <c r="AC237" s="420"/>
      <c r="AD237" s="584"/>
      <c r="AE237" s="584"/>
      <c r="AF237" s="587"/>
      <c r="AG237" s="588"/>
      <c r="AH237" s="587"/>
      <c r="AI237" s="589"/>
      <c r="AJ237" s="468"/>
      <c r="AK237" s="477" t="str">
        <f>IF(AM237="Chưa xếp lịch","Chưa xếp lịch",IF(AM237="Định kỳ",IF(AN237="","Thiếu chu kỳ","Theo chu kỳ"),IF(AM237="Khi phát sinh",IF(COUNTIFS('Lớp 6 - Chi tiết'!$J$14:$J$267,$I237,'Lớp 6 - Chi tiết'!$AE$14:$AE$267,"&lt;&gt;Hủy")=0,"Khi phát sinh – chờ việc con","Khi phát sinh – theo ngày con"),IF(I237="","",LET(n,COUNTIFS('Lớp 6 - Chi tiết'!$J$14:$J$267,$I237,'Lớp 6 - Chi tiết'!$AE$14:$AE$267,"&lt;&gt;Hủy"),cs,IFERROR(MINIFS('Lớp 6 - Chi tiết'!$AG$14:$AG$267,'Lớp 6 - Chi tiết'!$J$14:$J$267,$I237,'Lớp 6 - Chi tiết'!$AE$14:$AE$267,"&lt;&gt;Hủy",'Lớp 6 - Chi tiết'!$AG$14:$AG$267,"&gt;0"),0),ce,IFERROR(MAXIFS('Lớp 6 - Chi tiết'!$AH$14:$AH$267,'Lớp 6 - Chi tiết'!$J$14:$J$267,$I237,'Lớp 6 - Chi tiết'!$AE$14:$AE$267,"&lt;&gt;Hủy",'Lớp 6 - Chi tiết'!$AH$14:$AH$267,"&gt;0"),0),ps,'Trung tâm nhập liệu'!R387,pe,'Trung tâm nhập liệu'!Q387,IF(OR(AD237="",AE237=""),"Thiếu ngày L5",IF(n=0,"Chưa có L6",IF(OR(cs=0,ce=0),"Thiếu ngày L6",IF(OR(ps="",pe=""),"Thiếu ngày kế hoạch gốc L5",IF(OR(cs&lt;ps,ce&gt;pe),"Cảnh báo: Con vượt khung kế hoạch gốc","L6 đúng khung kế hoạch gốc"))))))))))</f>
        <v/>
      </c>
      <c r="AL237" s="465"/>
      <c r="AM237" s="467"/>
      <c r="AN237" s="469"/>
      <c r="AO237" s="470"/>
      <c r="AP237" s="470"/>
      <c r="AQ237" s="471"/>
      <c r="AR237" s="469"/>
      <c r="AS237" s="475"/>
      <c r="AT237" s="476"/>
      <c r="AU237" s="478"/>
      <c r="AV237" s="465"/>
      <c r="AW237" s="465"/>
      <c r="AX237" s="479"/>
    </row>
    <row r="238" ht="15.75" customHeight="1">
      <c r="A238" s="424"/>
      <c r="B238" s="572"/>
      <c r="C238" s="591"/>
      <c r="D238" s="623"/>
      <c r="E238" s="617"/>
      <c r="F238" s="575"/>
      <c r="G238" s="575"/>
      <c r="H238" s="576"/>
      <c r="I238" s="577"/>
      <c r="J238" s="577"/>
      <c r="K238" s="597"/>
      <c r="L238" s="598"/>
      <c r="M238" s="438"/>
      <c r="N238" s="597"/>
      <c r="O238" s="597"/>
      <c r="P238" s="597"/>
      <c r="Q238" s="581"/>
      <c r="R238" s="420"/>
      <c r="S238" s="582"/>
      <c r="T238" s="583"/>
      <c r="U238" s="584" t="str">
        <f>IF($I238="","",LET(n,COUNTIFS('Lớp 6 - Chi tiết'!$J$14:$J$267,$I238,'Lớp 6 - Chi tiết'!$AE$14:$AE$267,"&lt;&gt;Hủy"),child,IFERROR(MAXIFS('Lớp 6 - Chi tiết'!$AH$14:$AH$267,'Lớp 6 - Chi tiết'!$J$14:$J$267,$I238,'Lớp 6 - Chi tiết'!$AE$14:$AE$267,"&lt;&gt;Hủy",'Lớp 6 - Chi tiết'!$AH$14:$AH$267,"&gt;0"),0),plan,'Trung tâm nhập liệu'!Q388,emergent,LOWER(TRIM('Trung tâm nhập liệu'!O388))="khi phát sinh",IF(n=0,IF(emergent,"",plan),IF(child=0,IF(emergent,"",plan),IF(OR(emergent,plan=""),child,MAX(plan,child))))))</f>
        <v/>
      </c>
      <c r="V238" s="584" t="str">
        <f>IF($I238="","",LET(n,COUNTIFS('Lớp 6 - Chi tiết'!$J$14:$J$267,$I238,'Lớp 6 - Chi tiết'!$AE$14:$AE$267,"&lt;&gt;Hủy"),child,IFERROR(MINIFS('Lớp 6 - Chi tiết'!$AG$14:$AG$267,'Lớp 6 - Chi tiết'!$J$14:$J$267,$I238,'Lớp 6 - Chi tiết'!$AE$14:$AE$267,"&lt;&gt;Hủy",'Lớp 6 - Chi tiết'!$AG$14:$AG$267,"&gt;0"),0),plan,'Trung tâm nhập liệu'!R388,emergent,LOWER(TRIM('Trung tâm nhập liệu'!O388))="khi phát sinh",IF(n=0,IF(emergent,"",plan),IF(child=0,IF(emergent,"",plan),IF(OR(emergent,plan=""),child,MIN(plan,child))))))</f>
        <v/>
      </c>
      <c r="W238" s="577"/>
      <c r="X238" s="577"/>
      <c r="Y238" s="585"/>
      <c r="Z238" s="586"/>
      <c r="AA238" s="577"/>
      <c r="AB238" s="572"/>
      <c r="AC238" s="420"/>
      <c r="AD238" s="584"/>
      <c r="AE238" s="584"/>
      <c r="AF238" s="587"/>
      <c r="AG238" s="588"/>
      <c r="AH238" s="587"/>
      <c r="AI238" s="589"/>
      <c r="AJ238" s="468"/>
      <c r="AK238" s="477" t="str">
        <f>IF(AM238="Chưa xếp lịch","Chưa xếp lịch",IF(AM238="Định kỳ",IF(AN238="","Thiếu chu kỳ","Theo chu kỳ"),IF(AM238="Khi phát sinh",IF(COUNTIFS('Lớp 6 - Chi tiết'!$J$14:$J$267,$I238,'Lớp 6 - Chi tiết'!$AE$14:$AE$267,"&lt;&gt;Hủy")=0,"Khi phát sinh – chờ việc con","Khi phát sinh – theo ngày con"),IF(I238="","",LET(n,COUNTIFS('Lớp 6 - Chi tiết'!$J$14:$J$267,$I238,'Lớp 6 - Chi tiết'!$AE$14:$AE$267,"&lt;&gt;Hủy"),cs,IFERROR(MINIFS('Lớp 6 - Chi tiết'!$AG$14:$AG$267,'Lớp 6 - Chi tiết'!$J$14:$J$267,$I238,'Lớp 6 - Chi tiết'!$AE$14:$AE$267,"&lt;&gt;Hủy",'Lớp 6 - Chi tiết'!$AG$14:$AG$267,"&gt;0"),0),ce,IFERROR(MAXIFS('Lớp 6 - Chi tiết'!$AH$14:$AH$267,'Lớp 6 - Chi tiết'!$J$14:$J$267,$I238,'Lớp 6 - Chi tiết'!$AE$14:$AE$267,"&lt;&gt;Hủy",'Lớp 6 - Chi tiết'!$AH$14:$AH$267,"&gt;0"),0),ps,'Trung tâm nhập liệu'!R388,pe,'Trung tâm nhập liệu'!Q388,IF(OR(AD238="",AE238=""),"Thiếu ngày L5",IF(n=0,"Chưa có L6",IF(OR(cs=0,ce=0),"Thiếu ngày L6",IF(OR(ps="",pe=""),"Thiếu ngày kế hoạch gốc L5",IF(OR(cs&lt;ps,ce&gt;pe),"Cảnh báo: Con vượt khung kế hoạch gốc","L6 đúng khung kế hoạch gốc"))))))))))</f>
        <v/>
      </c>
      <c r="AL238" s="465"/>
      <c r="AM238" s="467"/>
      <c r="AN238" s="469"/>
      <c r="AO238" s="470"/>
      <c r="AP238" s="470"/>
      <c r="AQ238" s="471"/>
      <c r="AR238" s="469"/>
      <c r="AS238" s="475"/>
      <c r="AT238" s="476"/>
      <c r="AU238" s="478"/>
      <c r="AV238" s="465"/>
      <c r="AW238" s="465"/>
      <c r="AX238" s="479"/>
    </row>
    <row r="239" ht="15.75" customHeight="1">
      <c r="A239" s="424"/>
      <c r="B239" s="572"/>
      <c r="C239" s="591"/>
      <c r="D239" s="623"/>
      <c r="E239" s="617"/>
      <c r="F239" s="575"/>
      <c r="G239" s="575"/>
      <c r="H239" s="576"/>
      <c r="I239" s="577"/>
      <c r="J239" s="577"/>
      <c r="K239" s="597"/>
      <c r="L239" s="598"/>
      <c r="M239" s="438"/>
      <c r="N239" s="597"/>
      <c r="O239" s="597"/>
      <c r="P239" s="597"/>
      <c r="Q239" s="581"/>
      <c r="R239" s="420"/>
      <c r="S239" s="582"/>
      <c r="T239" s="583"/>
      <c r="U239" s="584" t="str">
        <f>IF($I239="","",LET(n,COUNTIFS('Lớp 6 - Chi tiết'!$J$14:$J$267,$I239,'Lớp 6 - Chi tiết'!$AE$14:$AE$267,"&lt;&gt;Hủy"),child,IFERROR(MAXIFS('Lớp 6 - Chi tiết'!$AH$14:$AH$267,'Lớp 6 - Chi tiết'!$J$14:$J$267,$I239,'Lớp 6 - Chi tiết'!$AE$14:$AE$267,"&lt;&gt;Hủy",'Lớp 6 - Chi tiết'!$AH$14:$AH$267,"&gt;0"),0),plan,'Trung tâm nhập liệu'!Q389,emergent,LOWER(TRIM('Trung tâm nhập liệu'!O389))="khi phát sinh",IF(n=0,IF(emergent,"",plan),IF(child=0,IF(emergent,"",plan),IF(OR(emergent,plan=""),child,MAX(plan,child))))))</f>
        <v/>
      </c>
      <c r="V239" s="584" t="str">
        <f>IF($I239="","",LET(n,COUNTIFS('Lớp 6 - Chi tiết'!$J$14:$J$267,$I239,'Lớp 6 - Chi tiết'!$AE$14:$AE$267,"&lt;&gt;Hủy"),child,IFERROR(MINIFS('Lớp 6 - Chi tiết'!$AG$14:$AG$267,'Lớp 6 - Chi tiết'!$J$14:$J$267,$I239,'Lớp 6 - Chi tiết'!$AE$14:$AE$267,"&lt;&gt;Hủy",'Lớp 6 - Chi tiết'!$AG$14:$AG$267,"&gt;0"),0),plan,'Trung tâm nhập liệu'!R389,emergent,LOWER(TRIM('Trung tâm nhập liệu'!O389))="khi phát sinh",IF(n=0,IF(emergent,"",plan),IF(child=0,IF(emergent,"",plan),IF(OR(emergent,plan=""),child,MIN(plan,child))))))</f>
        <v/>
      </c>
      <c r="W239" s="577"/>
      <c r="X239" s="577"/>
      <c r="Y239" s="585"/>
      <c r="Z239" s="586"/>
      <c r="AA239" s="577"/>
      <c r="AB239" s="572"/>
      <c r="AC239" s="420"/>
      <c r="AD239" s="584"/>
      <c r="AE239" s="584"/>
      <c r="AF239" s="587"/>
      <c r="AG239" s="588"/>
      <c r="AH239" s="587"/>
      <c r="AI239" s="589"/>
      <c r="AJ239" s="468"/>
      <c r="AK239" s="477" t="str">
        <f>IF(AM239="Chưa xếp lịch","Chưa xếp lịch",IF(AM239="Định kỳ",IF(AN239="","Thiếu chu kỳ","Theo chu kỳ"),IF(AM239="Khi phát sinh",IF(COUNTIFS('Lớp 6 - Chi tiết'!$J$14:$J$267,$I239,'Lớp 6 - Chi tiết'!$AE$14:$AE$267,"&lt;&gt;Hủy")=0,"Khi phát sinh – chờ việc con","Khi phát sinh – theo ngày con"),IF(I239="","",LET(n,COUNTIFS('Lớp 6 - Chi tiết'!$J$14:$J$267,$I239,'Lớp 6 - Chi tiết'!$AE$14:$AE$267,"&lt;&gt;Hủy"),cs,IFERROR(MINIFS('Lớp 6 - Chi tiết'!$AG$14:$AG$267,'Lớp 6 - Chi tiết'!$J$14:$J$267,$I239,'Lớp 6 - Chi tiết'!$AE$14:$AE$267,"&lt;&gt;Hủy",'Lớp 6 - Chi tiết'!$AG$14:$AG$267,"&gt;0"),0),ce,IFERROR(MAXIFS('Lớp 6 - Chi tiết'!$AH$14:$AH$267,'Lớp 6 - Chi tiết'!$J$14:$J$267,$I239,'Lớp 6 - Chi tiết'!$AE$14:$AE$267,"&lt;&gt;Hủy",'Lớp 6 - Chi tiết'!$AH$14:$AH$267,"&gt;0"),0),ps,'Trung tâm nhập liệu'!R389,pe,'Trung tâm nhập liệu'!Q389,IF(OR(AD239="",AE239=""),"Thiếu ngày L5",IF(n=0,"Chưa có L6",IF(OR(cs=0,ce=0),"Thiếu ngày L6",IF(OR(ps="",pe=""),"Thiếu ngày kế hoạch gốc L5",IF(OR(cs&lt;ps,ce&gt;pe),"Cảnh báo: Con vượt khung kế hoạch gốc","L6 đúng khung kế hoạch gốc"))))))))))</f>
        <v/>
      </c>
      <c r="AL239" s="465"/>
      <c r="AM239" s="467"/>
      <c r="AN239" s="469"/>
      <c r="AO239" s="470"/>
      <c r="AP239" s="470"/>
      <c r="AQ239" s="471"/>
      <c r="AR239" s="469"/>
      <c r="AS239" s="475"/>
      <c r="AT239" s="476"/>
      <c r="AU239" s="478"/>
      <c r="AV239" s="465"/>
      <c r="AW239" s="465"/>
      <c r="AX239" s="479"/>
    </row>
    <row r="240" ht="15.75" customHeight="1">
      <c r="A240" s="424"/>
      <c r="B240" s="572"/>
      <c r="C240" s="591"/>
      <c r="D240" s="623"/>
      <c r="E240" s="617"/>
      <c r="F240" s="575"/>
      <c r="G240" s="575"/>
      <c r="H240" s="576"/>
      <c r="I240" s="577"/>
      <c r="J240" s="577"/>
      <c r="K240" s="597"/>
      <c r="L240" s="598"/>
      <c r="M240" s="438"/>
      <c r="N240" s="597"/>
      <c r="O240" s="597"/>
      <c r="P240" s="597"/>
      <c r="Q240" s="581"/>
      <c r="R240" s="420"/>
      <c r="S240" s="582"/>
      <c r="T240" s="583"/>
      <c r="U240" s="584" t="str">
        <f>IF($I240="","",LET(n,COUNTIFS('Lớp 6 - Chi tiết'!$J$14:$J$267,$I240,'Lớp 6 - Chi tiết'!$AE$14:$AE$267,"&lt;&gt;Hủy"),child,IFERROR(MAXIFS('Lớp 6 - Chi tiết'!$AH$14:$AH$267,'Lớp 6 - Chi tiết'!$J$14:$J$267,$I240,'Lớp 6 - Chi tiết'!$AE$14:$AE$267,"&lt;&gt;Hủy",'Lớp 6 - Chi tiết'!$AH$14:$AH$267,"&gt;0"),0),plan,'Trung tâm nhập liệu'!Q390,emergent,LOWER(TRIM('Trung tâm nhập liệu'!O390))="khi phát sinh",IF(n=0,IF(emergent,"",plan),IF(child=0,IF(emergent,"",plan),IF(OR(emergent,plan=""),child,MAX(plan,child))))))</f>
        <v/>
      </c>
      <c r="V240" s="584" t="str">
        <f>IF($I240="","",LET(n,COUNTIFS('Lớp 6 - Chi tiết'!$J$14:$J$267,$I240,'Lớp 6 - Chi tiết'!$AE$14:$AE$267,"&lt;&gt;Hủy"),child,IFERROR(MINIFS('Lớp 6 - Chi tiết'!$AG$14:$AG$267,'Lớp 6 - Chi tiết'!$J$14:$J$267,$I240,'Lớp 6 - Chi tiết'!$AE$14:$AE$267,"&lt;&gt;Hủy",'Lớp 6 - Chi tiết'!$AG$14:$AG$267,"&gt;0"),0),plan,'Trung tâm nhập liệu'!R390,emergent,LOWER(TRIM('Trung tâm nhập liệu'!O390))="khi phát sinh",IF(n=0,IF(emergent,"",plan),IF(child=0,IF(emergent,"",plan),IF(OR(emergent,plan=""),child,MIN(plan,child))))))</f>
        <v/>
      </c>
      <c r="W240" s="577"/>
      <c r="X240" s="577"/>
      <c r="Y240" s="585"/>
      <c r="Z240" s="586"/>
      <c r="AA240" s="577"/>
      <c r="AB240" s="572"/>
      <c r="AC240" s="420"/>
      <c r="AD240" s="584"/>
      <c r="AE240" s="584"/>
      <c r="AF240" s="587"/>
      <c r="AG240" s="588"/>
      <c r="AH240" s="587"/>
      <c r="AI240" s="589"/>
      <c r="AJ240" s="468"/>
      <c r="AK240" s="477" t="str">
        <f>IF(AM240="Chưa xếp lịch","Chưa xếp lịch",IF(AM240="Định kỳ",IF(AN240="","Thiếu chu kỳ","Theo chu kỳ"),IF(AM240="Khi phát sinh",IF(COUNTIFS('Lớp 6 - Chi tiết'!$J$14:$J$267,$I240,'Lớp 6 - Chi tiết'!$AE$14:$AE$267,"&lt;&gt;Hủy")=0,"Khi phát sinh – chờ việc con","Khi phát sinh – theo ngày con"),IF(I240="","",LET(n,COUNTIFS('Lớp 6 - Chi tiết'!$J$14:$J$267,$I240,'Lớp 6 - Chi tiết'!$AE$14:$AE$267,"&lt;&gt;Hủy"),cs,IFERROR(MINIFS('Lớp 6 - Chi tiết'!$AG$14:$AG$267,'Lớp 6 - Chi tiết'!$J$14:$J$267,$I240,'Lớp 6 - Chi tiết'!$AE$14:$AE$267,"&lt;&gt;Hủy",'Lớp 6 - Chi tiết'!$AG$14:$AG$267,"&gt;0"),0),ce,IFERROR(MAXIFS('Lớp 6 - Chi tiết'!$AH$14:$AH$267,'Lớp 6 - Chi tiết'!$J$14:$J$267,$I240,'Lớp 6 - Chi tiết'!$AE$14:$AE$267,"&lt;&gt;Hủy",'Lớp 6 - Chi tiết'!$AH$14:$AH$267,"&gt;0"),0),ps,'Trung tâm nhập liệu'!R390,pe,'Trung tâm nhập liệu'!Q390,IF(OR(AD240="",AE240=""),"Thiếu ngày L5",IF(n=0,"Chưa có L6",IF(OR(cs=0,ce=0),"Thiếu ngày L6",IF(OR(ps="",pe=""),"Thiếu ngày kế hoạch gốc L5",IF(OR(cs&lt;ps,ce&gt;pe),"Cảnh báo: Con vượt khung kế hoạch gốc","L6 đúng khung kế hoạch gốc"))))))))))</f>
        <v/>
      </c>
      <c r="AL240" s="465"/>
      <c r="AM240" s="467"/>
      <c r="AN240" s="469"/>
      <c r="AO240" s="470"/>
      <c r="AP240" s="470"/>
      <c r="AQ240" s="471"/>
      <c r="AR240" s="469"/>
      <c r="AS240" s="475"/>
      <c r="AT240" s="476"/>
      <c r="AU240" s="478"/>
      <c r="AV240" s="465"/>
      <c r="AW240" s="465"/>
      <c r="AX240" s="479"/>
    </row>
    <row r="241" ht="15.75" customHeight="1">
      <c r="A241" s="424"/>
      <c r="B241" s="572"/>
      <c r="C241" s="591"/>
      <c r="D241" s="623"/>
      <c r="E241" s="617"/>
      <c r="F241" s="575"/>
      <c r="G241" s="575"/>
      <c r="H241" s="576"/>
      <c r="I241" s="577"/>
      <c r="J241" s="577"/>
      <c r="K241" s="597"/>
      <c r="L241" s="598"/>
      <c r="M241" s="438"/>
      <c r="N241" s="597"/>
      <c r="O241" s="597"/>
      <c r="P241" s="597"/>
      <c r="Q241" s="581"/>
      <c r="R241" s="420"/>
      <c r="S241" s="582"/>
      <c r="T241" s="583"/>
      <c r="U241" s="584" t="str">
        <f>IF($I241="","",LET(n,COUNTIFS('Lớp 6 - Chi tiết'!$J$14:$J$267,$I241,'Lớp 6 - Chi tiết'!$AE$14:$AE$267,"&lt;&gt;Hủy"),child,IFERROR(MAXIFS('Lớp 6 - Chi tiết'!$AH$14:$AH$267,'Lớp 6 - Chi tiết'!$J$14:$J$267,$I241,'Lớp 6 - Chi tiết'!$AE$14:$AE$267,"&lt;&gt;Hủy",'Lớp 6 - Chi tiết'!$AH$14:$AH$267,"&gt;0"),0),plan,'Trung tâm nhập liệu'!Q391,emergent,LOWER(TRIM('Trung tâm nhập liệu'!O391))="khi phát sinh",IF(n=0,IF(emergent,"",plan),IF(child=0,IF(emergent,"",plan),IF(OR(emergent,plan=""),child,MAX(plan,child))))))</f>
        <v/>
      </c>
      <c r="V241" s="584" t="str">
        <f>IF($I241="","",LET(n,COUNTIFS('Lớp 6 - Chi tiết'!$J$14:$J$267,$I241,'Lớp 6 - Chi tiết'!$AE$14:$AE$267,"&lt;&gt;Hủy"),child,IFERROR(MINIFS('Lớp 6 - Chi tiết'!$AG$14:$AG$267,'Lớp 6 - Chi tiết'!$J$14:$J$267,$I241,'Lớp 6 - Chi tiết'!$AE$14:$AE$267,"&lt;&gt;Hủy",'Lớp 6 - Chi tiết'!$AG$14:$AG$267,"&gt;0"),0),plan,'Trung tâm nhập liệu'!R391,emergent,LOWER(TRIM('Trung tâm nhập liệu'!O391))="khi phát sinh",IF(n=0,IF(emergent,"",plan),IF(child=0,IF(emergent,"",plan),IF(OR(emergent,plan=""),child,MIN(plan,child))))))</f>
        <v/>
      </c>
      <c r="W241" s="577"/>
      <c r="X241" s="577"/>
      <c r="Y241" s="585"/>
      <c r="Z241" s="586"/>
      <c r="AA241" s="577"/>
      <c r="AB241" s="572"/>
      <c r="AC241" s="420"/>
      <c r="AD241" s="584"/>
      <c r="AE241" s="584"/>
      <c r="AF241" s="587"/>
      <c r="AG241" s="588"/>
      <c r="AH241" s="587"/>
      <c r="AI241" s="589"/>
      <c r="AJ241" s="468"/>
      <c r="AK241" s="477" t="str">
        <f>IF(AM241="Chưa xếp lịch","Chưa xếp lịch",IF(AM241="Định kỳ",IF(AN241="","Thiếu chu kỳ","Theo chu kỳ"),IF(AM241="Khi phát sinh",IF(COUNTIFS('Lớp 6 - Chi tiết'!$J$14:$J$267,$I241,'Lớp 6 - Chi tiết'!$AE$14:$AE$267,"&lt;&gt;Hủy")=0,"Khi phát sinh – chờ việc con","Khi phát sinh – theo ngày con"),IF(I241="","",LET(n,COUNTIFS('Lớp 6 - Chi tiết'!$J$14:$J$267,$I241,'Lớp 6 - Chi tiết'!$AE$14:$AE$267,"&lt;&gt;Hủy"),cs,IFERROR(MINIFS('Lớp 6 - Chi tiết'!$AG$14:$AG$267,'Lớp 6 - Chi tiết'!$J$14:$J$267,$I241,'Lớp 6 - Chi tiết'!$AE$14:$AE$267,"&lt;&gt;Hủy",'Lớp 6 - Chi tiết'!$AG$14:$AG$267,"&gt;0"),0),ce,IFERROR(MAXIFS('Lớp 6 - Chi tiết'!$AH$14:$AH$267,'Lớp 6 - Chi tiết'!$J$14:$J$267,$I241,'Lớp 6 - Chi tiết'!$AE$14:$AE$267,"&lt;&gt;Hủy",'Lớp 6 - Chi tiết'!$AH$14:$AH$267,"&gt;0"),0),ps,'Trung tâm nhập liệu'!R391,pe,'Trung tâm nhập liệu'!Q391,IF(OR(AD241="",AE241=""),"Thiếu ngày L5",IF(n=0,"Chưa có L6",IF(OR(cs=0,ce=0),"Thiếu ngày L6",IF(OR(ps="",pe=""),"Thiếu ngày kế hoạch gốc L5",IF(OR(cs&lt;ps,ce&gt;pe),"Cảnh báo: Con vượt khung kế hoạch gốc","L6 đúng khung kế hoạch gốc"))))))))))</f>
        <v/>
      </c>
      <c r="AL241" s="465"/>
      <c r="AM241" s="467"/>
      <c r="AN241" s="469"/>
      <c r="AO241" s="470"/>
      <c r="AP241" s="470"/>
      <c r="AQ241" s="471"/>
      <c r="AR241" s="469"/>
      <c r="AS241" s="475"/>
      <c r="AT241" s="476"/>
      <c r="AU241" s="478"/>
      <c r="AV241" s="465"/>
      <c r="AW241" s="465"/>
      <c r="AX241" s="479"/>
    </row>
    <row r="242" ht="15.75" customHeight="1">
      <c r="A242" s="424"/>
      <c r="B242" s="572"/>
      <c r="C242" s="591"/>
      <c r="D242" s="623"/>
      <c r="E242" s="617"/>
      <c r="F242" s="575"/>
      <c r="G242" s="575"/>
      <c r="H242" s="576"/>
      <c r="I242" s="577"/>
      <c r="J242" s="577"/>
      <c r="K242" s="597"/>
      <c r="L242" s="598"/>
      <c r="M242" s="438"/>
      <c r="N242" s="597"/>
      <c r="O242" s="597"/>
      <c r="P242" s="597"/>
      <c r="Q242" s="581"/>
      <c r="R242" s="420"/>
      <c r="S242" s="582"/>
      <c r="T242" s="583"/>
      <c r="U242" s="584" t="str">
        <f>IF($I242="","",LET(n,COUNTIFS('Lớp 6 - Chi tiết'!$J$14:$J$267,$I242,'Lớp 6 - Chi tiết'!$AE$14:$AE$267,"&lt;&gt;Hủy"),child,IFERROR(MAXIFS('Lớp 6 - Chi tiết'!$AH$14:$AH$267,'Lớp 6 - Chi tiết'!$J$14:$J$267,$I242,'Lớp 6 - Chi tiết'!$AE$14:$AE$267,"&lt;&gt;Hủy",'Lớp 6 - Chi tiết'!$AH$14:$AH$267,"&gt;0"),0),plan,'Trung tâm nhập liệu'!Q392,emergent,LOWER(TRIM('Trung tâm nhập liệu'!O392))="khi phát sinh",IF(n=0,IF(emergent,"",plan),IF(child=0,IF(emergent,"",plan),IF(OR(emergent,plan=""),child,MAX(plan,child))))))</f>
        <v/>
      </c>
      <c r="V242" s="584" t="str">
        <f>IF($I242="","",LET(n,COUNTIFS('Lớp 6 - Chi tiết'!$J$14:$J$267,$I242,'Lớp 6 - Chi tiết'!$AE$14:$AE$267,"&lt;&gt;Hủy"),child,IFERROR(MINIFS('Lớp 6 - Chi tiết'!$AG$14:$AG$267,'Lớp 6 - Chi tiết'!$J$14:$J$267,$I242,'Lớp 6 - Chi tiết'!$AE$14:$AE$267,"&lt;&gt;Hủy",'Lớp 6 - Chi tiết'!$AG$14:$AG$267,"&gt;0"),0),plan,'Trung tâm nhập liệu'!R392,emergent,LOWER(TRIM('Trung tâm nhập liệu'!O392))="khi phát sinh",IF(n=0,IF(emergent,"",plan),IF(child=0,IF(emergent,"",plan),IF(OR(emergent,plan=""),child,MIN(plan,child))))))</f>
        <v/>
      </c>
      <c r="W242" s="577"/>
      <c r="X242" s="577"/>
      <c r="Y242" s="585"/>
      <c r="Z242" s="586"/>
      <c r="AA242" s="577"/>
      <c r="AB242" s="572"/>
      <c r="AC242" s="420"/>
      <c r="AD242" s="584"/>
      <c r="AE242" s="584"/>
      <c r="AF242" s="587"/>
      <c r="AG242" s="588"/>
      <c r="AH242" s="587"/>
      <c r="AI242" s="589"/>
      <c r="AJ242" s="468"/>
      <c r="AK242" s="477" t="str">
        <f>IF(AM242="Chưa xếp lịch","Chưa xếp lịch",IF(AM242="Định kỳ",IF(AN242="","Thiếu chu kỳ","Theo chu kỳ"),IF(AM242="Khi phát sinh",IF(COUNTIFS('Lớp 6 - Chi tiết'!$J$14:$J$267,$I242,'Lớp 6 - Chi tiết'!$AE$14:$AE$267,"&lt;&gt;Hủy")=0,"Khi phát sinh – chờ việc con","Khi phát sinh – theo ngày con"),IF(I242="","",LET(n,COUNTIFS('Lớp 6 - Chi tiết'!$J$14:$J$267,$I242,'Lớp 6 - Chi tiết'!$AE$14:$AE$267,"&lt;&gt;Hủy"),cs,IFERROR(MINIFS('Lớp 6 - Chi tiết'!$AG$14:$AG$267,'Lớp 6 - Chi tiết'!$J$14:$J$267,$I242,'Lớp 6 - Chi tiết'!$AE$14:$AE$267,"&lt;&gt;Hủy",'Lớp 6 - Chi tiết'!$AG$14:$AG$267,"&gt;0"),0),ce,IFERROR(MAXIFS('Lớp 6 - Chi tiết'!$AH$14:$AH$267,'Lớp 6 - Chi tiết'!$J$14:$J$267,$I242,'Lớp 6 - Chi tiết'!$AE$14:$AE$267,"&lt;&gt;Hủy",'Lớp 6 - Chi tiết'!$AH$14:$AH$267,"&gt;0"),0),ps,'Trung tâm nhập liệu'!R392,pe,'Trung tâm nhập liệu'!Q392,IF(OR(AD242="",AE242=""),"Thiếu ngày L5",IF(n=0,"Chưa có L6",IF(OR(cs=0,ce=0),"Thiếu ngày L6",IF(OR(ps="",pe=""),"Thiếu ngày kế hoạch gốc L5",IF(OR(cs&lt;ps,ce&gt;pe),"Cảnh báo: Con vượt khung kế hoạch gốc","L6 đúng khung kế hoạch gốc"))))))))))</f>
        <v/>
      </c>
      <c r="AL242" s="465"/>
      <c r="AM242" s="467"/>
      <c r="AN242" s="469"/>
      <c r="AO242" s="470"/>
      <c r="AP242" s="470"/>
      <c r="AQ242" s="471"/>
      <c r="AR242" s="469"/>
      <c r="AS242" s="475"/>
      <c r="AT242" s="476"/>
      <c r="AU242" s="478"/>
      <c r="AV242" s="465"/>
      <c r="AW242" s="465"/>
      <c r="AX242" s="479"/>
    </row>
    <row r="243" ht="15.75" customHeight="1">
      <c r="A243" s="424"/>
      <c r="B243" s="572"/>
      <c r="C243" s="591"/>
      <c r="D243" s="623"/>
      <c r="E243" s="617"/>
      <c r="F243" s="575"/>
      <c r="G243" s="575"/>
      <c r="H243" s="576"/>
      <c r="I243" s="577"/>
      <c r="J243" s="577"/>
      <c r="K243" s="597"/>
      <c r="L243" s="598"/>
      <c r="M243" s="438"/>
      <c r="N243" s="597"/>
      <c r="O243" s="597"/>
      <c r="P243" s="597"/>
      <c r="Q243" s="581"/>
      <c r="R243" s="420"/>
      <c r="S243" s="582"/>
      <c r="T243" s="583"/>
      <c r="U243" s="584" t="str">
        <f>IF($I243="","",LET(n,COUNTIFS('Lớp 6 - Chi tiết'!$J$14:$J$267,$I243,'Lớp 6 - Chi tiết'!$AE$14:$AE$267,"&lt;&gt;Hủy"),child,IFERROR(MAXIFS('Lớp 6 - Chi tiết'!$AH$14:$AH$267,'Lớp 6 - Chi tiết'!$J$14:$J$267,$I243,'Lớp 6 - Chi tiết'!$AE$14:$AE$267,"&lt;&gt;Hủy",'Lớp 6 - Chi tiết'!$AH$14:$AH$267,"&gt;0"),0),plan,'Trung tâm nhập liệu'!Q393,emergent,LOWER(TRIM('Trung tâm nhập liệu'!O393))="khi phát sinh",IF(n=0,IF(emergent,"",plan),IF(child=0,IF(emergent,"",plan),IF(OR(emergent,plan=""),child,MAX(plan,child))))))</f>
        <v/>
      </c>
      <c r="V243" s="584" t="str">
        <f>IF($I243="","",LET(n,COUNTIFS('Lớp 6 - Chi tiết'!$J$14:$J$267,$I243,'Lớp 6 - Chi tiết'!$AE$14:$AE$267,"&lt;&gt;Hủy"),child,IFERROR(MINIFS('Lớp 6 - Chi tiết'!$AG$14:$AG$267,'Lớp 6 - Chi tiết'!$J$14:$J$267,$I243,'Lớp 6 - Chi tiết'!$AE$14:$AE$267,"&lt;&gt;Hủy",'Lớp 6 - Chi tiết'!$AG$14:$AG$267,"&gt;0"),0),plan,'Trung tâm nhập liệu'!R393,emergent,LOWER(TRIM('Trung tâm nhập liệu'!O393))="khi phát sinh",IF(n=0,IF(emergent,"",plan),IF(child=0,IF(emergent,"",plan),IF(OR(emergent,plan=""),child,MIN(plan,child))))))</f>
        <v/>
      </c>
      <c r="W243" s="577"/>
      <c r="X243" s="577"/>
      <c r="Y243" s="585"/>
      <c r="Z243" s="586"/>
      <c r="AA243" s="577"/>
      <c r="AB243" s="572"/>
      <c r="AC243" s="420"/>
      <c r="AD243" s="584"/>
      <c r="AE243" s="584"/>
      <c r="AF243" s="587"/>
      <c r="AG243" s="588"/>
      <c r="AH243" s="587"/>
      <c r="AI243" s="589"/>
      <c r="AJ243" s="468"/>
      <c r="AK243" s="477" t="str">
        <f>IF(AM243="Chưa xếp lịch","Chưa xếp lịch",IF(AM243="Định kỳ",IF(AN243="","Thiếu chu kỳ","Theo chu kỳ"),IF(AM243="Khi phát sinh",IF(COUNTIFS('Lớp 6 - Chi tiết'!$J$14:$J$267,$I243,'Lớp 6 - Chi tiết'!$AE$14:$AE$267,"&lt;&gt;Hủy")=0,"Khi phát sinh – chờ việc con","Khi phát sinh – theo ngày con"),IF(I243="","",LET(n,COUNTIFS('Lớp 6 - Chi tiết'!$J$14:$J$267,$I243,'Lớp 6 - Chi tiết'!$AE$14:$AE$267,"&lt;&gt;Hủy"),cs,IFERROR(MINIFS('Lớp 6 - Chi tiết'!$AG$14:$AG$267,'Lớp 6 - Chi tiết'!$J$14:$J$267,$I243,'Lớp 6 - Chi tiết'!$AE$14:$AE$267,"&lt;&gt;Hủy",'Lớp 6 - Chi tiết'!$AG$14:$AG$267,"&gt;0"),0),ce,IFERROR(MAXIFS('Lớp 6 - Chi tiết'!$AH$14:$AH$267,'Lớp 6 - Chi tiết'!$J$14:$J$267,$I243,'Lớp 6 - Chi tiết'!$AE$14:$AE$267,"&lt;&gt;Hủy",'Lớp 6 - Chi tiết'!$AH$14:$AH$267,"&gt;0"),0),ps,'Trung tâm nhập liệu'!R393,pe,'Trung tâm nhập liệu'!Q393,IF(OR(AD243="",AE243=""),"Thiếu ngày L5",IF(n=0,"Chưa có L6",IF(OR(cs=0,ce=0),"Thiếu ngày L6",IF(OR(ps="",pe=""),"Thiếu ngày kế hoạch gốc L5",IF(OR(cs&lt;ps,ce&gt;pe),"Cảnh báo: Con vượt khung kế hoạch gốc","L6 đúng khung kế hoạch gốc"))))))))))</f>
        <v/>
      </c>
      <c r="AL243" s="465"/>
      <c r="AM243" s="467"/>
      <c r="AN243" s="469"/>
      <c r="AO243" s="470"/>
      <c r="AP243" s="470"/>
      <c r="AQ243" s="471"/>
      <c r="AR243" s="469"/>
      <c r="AS243" s="475"/>
      <c r="AT243" s="476"/>
      <c r="AU243" s="478"/>
      <c r="AV243" s="465"/>
      <c r="AW243" s="465"/>
      <c r="AX243" s="479"/>
    </row>
    <row r="244" ht="15.75" customHeight="1">
      <c r="A244" s="424"/>
      <c r="B244" s="572"/>
      <c r="C244" s="591"/>
      <c r="D244" s="623"/>
      <c r="E244" s="617"/>
      <c r="F244" s="575"/>
      <c r="G244" s="575"/>
      <c r="H244" s="576"/>
      <c r="I244" s="577"/>
      <c r="J244" s="577"/>
      <c r="K244" s="597"/>
      <c r="L244" s="598"/>
      <c r="M244" s="438"/>
      <c r="N244" s="597"/>
      <c r="O244" s="597"/>
      <c r="P244" s="597"/>
      <c r="Q244" s="581"/>
      <c r="R244" s="420"/>
      <c r="S244" s="582"/>
      <c r="T244" s="583"/>
      <c r="U244" s="584" t="str">
        <f>IF($I244="","",LET(n,COUNTIFS('Lớp 6 - Chi tiết'!$J$14:$J$267,$I244,'Lớp 6 - Chi tiết'!$AE$14:$AE$267,"&lt;&gt;Hủy"),child,IFERROR(MAXIFS('Lớp 6 - Chi tiết'!$AH$14:$AH$267,'Lớp 6 - Chi tiết'!$J$14:$J$267,$I244,'Lớp 6 - Chi tiết'!$AE$14:$AE$267,"&lt;&gt;Hủy",'Lớp 6 - Chi tiết'!$AH$14:$AH$267,"&gt;0"),0),plan,'Trung tâm nhập liệu'!Q394,emergent,LOWER(TRIM('Trung tâm nhập liệu'!O394))="khi phát sinh",IF(n=0,IF(emergent,"",plan),IF(child=0,IF(emergent,"",plan),IF(OR(emergent,plan=""),child,MAX(plan,child))))))</f>
        <v/>
      </c>
      <c r="V244" s="584" t="str">
        <f>IF($I244="","",LET(n,COUNTIFS('Lớp 6 - Chi tiết'!$J$14:$J$267,$I244,'Lớp 6 - Chi tiết'!$AE$14:$AE$267,"&lt;&gt;Hủy"),child,IFERROR(MINIFS('Lớp 6 - Chi tiết'!$AG$14:$AG$267,'Lớp 6 - Chi tiết'!$J$14:$J$267,$I244,'Lớp 6 - Chi tiết'!$AE$14:$AE$267,"&lt;&gt;Hủy",'Lớp 6 - Chi tiết'!$AG$14:$AG$267,"&gt;0"),0),plan,'Trung tâm nhập liệu'!R394,emergent,LOWER(TRIM('Trung tâm nhập liệu'!O394))="khi phát sinh",IF(n=0,IF(emergent,"",plan),IF(child=0,IF(emergent,"",plan),IF(OR(emergent,plan=""),child,MIN(plan,child))))))</f>
        <v/>
      </c>
      <c r="W244" s="577"/>
      <c r="X244" s="577"/>
      <c r="Y244" s="585"/>
      <c r="Z244" s="586"/>
      <c r="AA244" s="577"/>
      <c r="AB244" s="572"/>
      <c r="AC244" s="420"/>
      <c r="AD244" s="584"/>
      <c r="AE244" s="584"/>
      <c r="AF244" s="587"/>
      <c r="AG244" s="588"/>
      <c r="AH244" s="587"/>
      <c r="AI244" s="589"/>
      <c r="AJ244" s="468"/>
      <c r="AK244" s="477" t="str">
        <f>IF(AM244="Chưa xếp lịch","Chưa xếp lịch",IF(AM244="Định kỳ",IF(AN244="","Thiếu chu kỳ","Theo chu kỳ"),IF(AM244="Khi phát sinh",IF(COUNTIFS('Lớp 6 - Chi tiết'!$J$14:$J$267,$I244,'Lớp 6 - Chi tiết'!$AE$14:$AE$267,"&lt;&gt;Hủy")=0,"Khi phát sinh – chờ việc con","Khi phát sinh – theo ngày con"),IF(I244="","",LET(n,COUNTIFS('Lớp 6 - Chi tiết'!$J$14:$J$267,$I244,'Lớp 6 - Chi tiết'!$AE$14:$AE$267,"&lt;&gt;Hủy"),cs,IFERROR(MINIFS('Lớp 6 - Chi tiết'!$AG$14:$AG$267,'Lớp 6 - Chi tiết'!$J$14:$J$267,$I244,'Lớp 6 - Chi tiết'!$AE$14:$AE$267,"&lt;&gt;Hủy",'Lớp 6 - Chi tiết'!$AG$14:$AG$267,"&gt;0"),0),ce,IFERROR(MAXIFS('Lớp 6 - Chi tiết'!$AH$14:$AH$267,'Lớp 6 - Chi tiết'!$J$14:$J$267,$I244,'Lớp 6 - Chi tiết'!$AE$14:$AE$267,"&lt;&gt;Hủy",'Lớp 6 - Chi tiết'!$AH$14:$AH$267,"&gt;0"),0),ps,'Trung tâm nhập liệu'!R394,pe,'Trung tâm nhập liệu'!Q394,IF(OR(AD244="",AE244=""),"Thiếu ngày L5",IF(n=0,"Chưa có L6",IF(OR(cs=0,ce=0),"Thiếu ngày L6",IF(OR(ps="",pe=""),"Thiếu ngày kế hoạch gốc L5",IF(OR(cs&lt;ps,ce&gt;pe),"Cảnh báo: Con vượt khung kế hoạch gốc","L6 đúng khung kế hoạch gốc"))))))))))</f>
        <v/>
      </c>
      <c r="AL244" s="465"/>
      <c r="AM244" s="467"/>
      <c r="AN244" s="469"/>
      <c r="AO244" s="470"/>
      <c r="AP244" s="470"/>
      <c r="AQ244" s="471"/>
      <c r="AR244" s="469"/>
      <c r="AS244" s="475"/>
      <c r="AT244" s="476"/>
      <c r="AU244" s="478"/>
      <c r="AV244" s="465"/>
      <c r="AW244" s="465"/>
      <c r="AX244" s="479"/>
    </row>
    <row r="245" ht="15.75" customHeight="1">
      <c r="A245" s="424"/>
      <c r="B245" s="572"/>
      <c r="C245" s="591"/>
      <c r="D245" s="623"/>
      <c r="E245" s="617"/>
      <c r="F245" s="575"/>
      <c r="G245" s="575"/>
      <c r="H245" s="576"/>
      <c r="I245" s="577"/>
      <c r="J245" s="577"/>
      <c r="K245" s="597"/>
      <c r="L245" s="598"/>
      <c r="M245" s="438"/>
      <c r="N245" s="597"/>
      <c r="O245" s="597"/>
      <c r="P245" s="597"/>
      <c r="Q245" s="581"/>
      <c r="R245" s="420"/>
      <c r="S245" s="582"/>
      <c r="T245" s="583"/>
      <c r="U245" s="584" t="str">
        <f>IF($I245="","",LET(n,COUNTIFS('Lớp 6 - Chi tiết'!$J$14:$J$267,$I245,'Lớp 6 - Chi tiết'!$AE$14:$AE$267,"&lt;&gt;Hủy"),child,IFERROR(MAXIFS('Lớp 6 - Chi tiết'!$AH$14:$AH$267,'Lớp 6 - Chi tiết'!$J$14:$J$267,$I245,'Lớp 6 - Chi tiết'!$AE$14:$AE$267,"&lt;&gt;Hủy",'Lớp 6 - Chi tiết'!$AH$14:$AH$267,"&gt;0"),0),plan,'Trung tâm nhập liệu'!Q395,emergent,LOWER(TRIM('Trung tâm nhập liệu'!O395))="khi phát sinh",IF(n=0,IF(emergent,"",plan),IF(child=0,IF(emergent,"",plan),IF(OR(emergent,plan=""),child,MAX(plan,child))))))</f>
        <v/>
      </c>
      <c r="V245" s="584" t="str">
        <f>IF($I245="","",LET(n,COUNTIFS('Lớp 6 - Chi tiết'!$J$14:$J$267,$I245,'Lớp 6 - Chi tiết'!$AE$14:$AE$267,"&lt;&gt;Hủy"),child,IFERROR(MINIFS('Lớp 6 - Chi tiết'!$AG$14:$AG$267,'Lớp 6 - Chi tiết'!$J$14:$J$267,$I245,'Lớp 6 - Chi tiết'!$AE$14:$AE$267,"&lt;&gt;Hủy",'Lớp 6 - Chi tiết'!$AG$14:$AG$267,"&gt;0"),0),plan,'Trung tâm nhập liệu'!R395,emergent,LOWER(TRIM('Trung tâm nhập liệu'!O395))="khi phát sinh",IF(n=0,IF(emergent,"",plan),IF(child=0,IF(emergent,"",plan),IF(OR(emergent,plan=""),child,MIN(plan,child))))))</f>
        <v/>
      </c>
      <c r="W245" s="577"/>
      <c r="X245" s="577"/>
      <c r="Y245" s="585"/>
      <c r="Z245" s="586"/>
      <c r="AA245" s="577"/>
      <c r="AB245" s="572"/>
      <c r="AC245" s="420"/>
      <c r="AD245" s="584"/>
      <c r="AE245" s="584"/>
      <c r="AF245" s="587"/>
      <c r="AG245" s="588"/>
      <c r="AH245" s="587"/>
      <c r="AI245" s="589"/>
      <c r="AJ245" s="468"/>
      <c r="AK245" s="477" t="str">
        <f>IF(AM245="Chưa xếp lịch","Chưa xếp lịch",IF(AM245="Định kỳ",IF(AN245="","Thiếu chu kỳ","Theo chu kỳ"),IF(AM245="Khi phát sinh",IF(COUNTIFS('Lớp 6 - Chi tiết'!$J$14:$J$267,$I245,'Lớp 6 - Chi tiết'!$AE$14:$AE$267,"&lt;&gt;Hủy")=0,"Khi phát sinh – chờ việc con","Khi phát sinh – theo ngày con"),IF(I245="","",LET(n,COUNTIFS('Lớp 6 - Chi tiết'!$J$14:$J$267,$I245,'Lớp 6 - Chi tiết'!$AE$14:$AE$267,"&lt;&gt;Hủy"),cs,IFERROR(MINIFS('Lớp 6 - Chi tiết'!$AG$14:$AG$267,'Lớp 6 - Chi tiết'!$J$14:$J$267,$I245,'Lớp 6 - Chi tiết'!$AE$14:$AE$267,"&lt;&gt;Hủy",'Lớp 6 - Chi tiết'!$AG$14:$AG$267,"&gt;0"),0),ce,IFERROR(MAXIFS('Lớp 6 - Chi tiết'!$AH$14:$AH$267,'Lớp 6 - Chi tiết'!$J$14:$J$267,$I245,'Lớp 6 - Chi tiết'!$AE$14:$AE$267,"&lt;&gt;Hủy",'Lớp 6 - Chi tiết'!$AH$14:$AH$267,"&gt;0"),0),ps,'Trung tâm nhập liệu'!R395,pe,'Trung tâm nhập liệu'!Q395,IF(OR(AD245="",AE245=""),"Thiếu ngày L5",IF(n=0,"Chưa có L6",IF(OR(cs=0,ce=0),"Thiếu ngày L6",IF(OR(ps="",pe=""),"Thiếu ngày kế hoạch gốc L5",IF(OR(cs&lt;ps,ce&gt;pe),"Cảnh báo: Con vượt khung kế hoạch gốc","L6 đúng khung kế hoạch gốc"))))))))))</f>
        <v/>
      </c>
      <c r="AL245" s="465"/>
      <c r="AM245" s="467"/>
      <c r="AN245" s="469"/>
      <c r="AO245" s="470"/>
      <c r="AP245" s="470"/>
      <c r="AQ245" s="471"/>
      <c r="AR245" s="469"/>
      <c r="AS245" s="475"/>
      <c r="AT245" s="476"/>
      <c r="AU245" s="478"/>
      <c r="AV245" s="465"/>
      <c r="AW245" s="465"/>
      <c r="AX245" s="479"/>
    </row>
    <row r="246" ht="15.75" customHeight="1">
      <c r="A246" s="424"/>
      <c r="B246" s="572"/>
      <c r="C246" s="591"/>
      <c r="D246" s="623"/>
      <c r="E246" s="617"/>
      <c r="F246" s="575"/>
      <c r="G246" s="575"/>
      <c r="H246" s="576"/>
      <c r="I246" s="577"/>
      <c r="J246" s="577"/>
      <c r="K246" s="597"/>
      <c r="L246" s="598"/>
      <c r="M246" s="438"/>
      <c r="N246" s="597"/>
      <c r="O246" s="597"/>
      <c r="P246" s="597"/>
      <c r="Q246" s="581"/>
      <c r="R246" s="420"/>
      <c r="S246" s="582"/>
      <c r="T246" s="583"/>
      <c r="U246" s="584" t="str">
        <f>IF($I246="","",LET(n,COUNTIFS('Lớp 6 - Chi tiết'!$J$14:$J$267,$I246,'Lớp 6 - Chi tiết'!$AE$14:$AE$267,"&lt;&gt;Hủy"),child,IFERROR(MAXIFS('Lớp 6 - Chi tiết'!$AH$14:$AH$267,'Lớp 6 - Chi tiết'!$J$14:$J$267,$I246,'Lớp 6 - Chi tiết'!$AE$14:$AE$267,"&lt;&gt;Hủy",'Lớp 6 - Chi tiết'!$AH$14:$AH$267,"&gt;0"),0),plan,'Trung tâm nhập liệu'!Q396,emergent,LOWER(TRIM('Trung tâm nhập liệu'!O396))="khi phát sinh",IF(n=0,IF(emergent,"",plan),IF(child=0,IF(emergent,"",plan),IF(OR(emergent,plan=""),child,MAX(plan,child))))))</f>
        <v/>
      </c>
      <c r="V246" s="584" t="str">
        <f>IF($I246="","",LET(n,COUNTIFS('Lớp 6 - Chi tiết'!$J$14:$J$267,$I246,'Lớp 6 - Chi tiết'!$AE$14:$AE$267,"&lt;&gt;Hủy"),child,IFERROR(MINIFS('Lớp 6 - Chi tiết'!$AG$14:$AG$267,'Lớp 6 - Chi tiết'!$J$14:$J$267,$I246,'Lớp 6 - Chi tiết'!$AE$14:$AE$267,"&lt;&gt;Hủy",'Lớp 6 - Chi tiết'!$AG$14:$AG$267,"&gt;0"),0),plan,'Trung tâm nhập liệu'!R396,emergent,LOWER(TRIM('Trung tâm nhập liệu'!O396))="khi phát sinh",IF(n=0,IF(emergent,"",plan),IF(child=0,IF(emergent,"",plan),IF(OR(emergent,plan=""),child,MIN(plan,child))))))</f>
        <v/>
      </c>
      <c r="W246" s="577"/>
      <c r="X246" s="577"/>
      <c r="Y246" s="585"/>
      <c r="Z246" s="586"/>
      <c r="AA246" s="577"/>
      <c r="AB246" s="572"/>
      <c r="AC246" s="420"/>
      <c r="AD246" s="584"/>
      <c r="AE246" s="584"/>
      <c r="AF246" s="587"/>
      <c r="AG246" s="588"/>
      <c r="AH246" s="587"/>
      <c r="AI246" s="589"/>
      <c r="AJ246" s="468"/>
      <c r="AK246" s="477" t="str">
        <f>IF(AM246="Chưa xếp lịch","Chưa xếp lịch",IF(AM246="Định kỳ",IF(AN246="","Thiếu chu kỳ","Theo chu kỳ"),IF(AM246="Khi phát sinh",IF(COUNTIFS('Lớp 6 - Chi tiết'!$J$14:$J$267,$I246,'Lớp 6 - Chi tiết'!$AE$14:$AE$267,"&lt;&gt;Hủy")=0,"Khi phát sinh – chờ việc con","Khi phát sinh – theo ngày con"),IF(I246="","",LET(n,COUNTIFS('Lớp 6 - Chi tiết'!$J$14:$J$267,$I246,'Lớp 6 - Chi tiết'!$AE$14:$AE$267,"&lt;&gt;Hủy"),cs,IFERROR(MINIFS('Lớp 6 - Chi tiết'!$AG$14:$AG$267,'Lớp 6 - Chi tiết'!$J$14:$J$267,$I246,'Lớp 6 - Chi tiết'!$AE$14:$AE$267,"&lt;&gt;Hủy",'Lớp 6 - Chi tiết'!$AG$14:$AG$267,"&gt;0"),0),ce,IFERROR(MAXIFS('Lớp 6 - Chi tiết'!$AH$14:$AH$267,'Lớp 6 - Chi tiết'!$J$14:$J$267,$I246,'Lớp 6 - Chi tiết'!$AE$14:$AE$267,"&lt;&gt;Hủy",'Lớp 6 - Chi tiết'!$AH$14:$AH$267,"&gt;0"),0),ps,'Trung tâm nhập liệu'!R396,pe,'Trung tâm nhập liệu'!Q396,IF(OR(AD246="",AE246=""),"Thiếu ngày L5",IF(n=0,"Chưa có L6",IF(OR(cs=0,ce=0),"Thiếu ngày L6",IF(OR(ps="",pe=""),"Thiếu ngày kế hoạch gốc L5",IF(OR(cs&lt;ps,ce&gt;pe),"Cảnh báo: Con vượt khung kế hoạch gốc","L6 đúng khung kế hoạch gốc"))))))))))</f>
        <v/>
      </c>
      <c r="AL246" s="465"/>
      <c r="AM246" s="467"/>
      <c r="AN246" s="469"/>
      <c r="AO246" s="470"/>
      <c r="AP246" s="470"/>
      <c r="AQ246" s="471"/>
      <c r="AR246" s="469"/>
      <c r="AS246" s="475"/>
      <c r="AT246" s="476"/>
      <c r="AU246" s="478"/>
      <c r="AV246" s="465"/>
      <c r="AW246" s="465"/>
      <c r="AX246" s="479"/>
    </row>
    <row r="247" ht="15.75" customHeight="1">
      <c r="A247" s="424"/>
      <c r="B247" s="572"/>
      <c r="C247" s="591"/>
      <c r="D247" s="623"/>
      <c r="E247" s="617"/>
      <c r="F247" s="575"/>
      <c r="G247" s="575"/>
      <c r="H247" s="576"/>
      <c r="I247" s="577"/>
      <c r="J247" s="577"/>
      <c r="K247" s="597"/>
      <c r="L247" s="598"/>
      <c r="M247" s="438"/>
      <c r="N247" s="597"/>
      <c r="O247" s="597"/>
      <c r="P247" s="597"/>
      <c r="Q247" s="581"/>
      <c r="R247" s="420"/>
      <c r="S247" s="582"/>
      <c r="T247" s="583"/>
      <c r="U247" s="584" t="str">
        <f>IF($I247="","",LET(n,COUNTIFS('Lớp 6 - Chi tiết'!$J$14:$J$267,$I247,'Lớp 6 - Chi tiết'!$AE$14:$AE$267,"&lt;&gt;Hủy"),child,IFERROR(MAXIFS('Lớp 6 - Chi tiết'!$AH$14:$AH$267,'Lớp 6 - Chi tiết'!$J$14:$J$267,$I247,'Lớp 6 - Chi tiết'!$AE$14:$AE$267,"&lt;&gt;Hủy",'Lớp 6 - Chi tiết'!$AH$14:$AH$267,"&gt;0"),0),plan,'Trung tâm nhập liệu'!Q397,emergent,LOWER(TRIM('Trung tâm nhập liệu'!O397))="khi phát sinh",IF(n=0,IF(emergent,"",plan),IF(child=0,IF(emergent,"",plan),IF(OR(emergent,plan=""),child,MAX(plan,child))))))</f>
        <v/>
      </c>
      <c r="V247" s="584" t="str">
        <f>IF($I247="","",LET(n,COUNTIFS('Lớp 6 - Chi tiết'!$J$14:$J$267,$I247,'Lớp 6 - Chi tiết'!$AE$14:$AE$267,"&lt;&gt;Hủy"),child,IFERROR(MINIFS('Lớp 6 - Chi tiết'!$AG$14:$AG$267,'Lớp 6 - Chi tiết'!$J$14:$J$267,$I247,'Lớp 6 - Chi tiết'!$AE$14:$AE$267,"&lt;&gt;Hủy",'Lớp 6 - Chi tiết'!$AG$14:$AG$267,"&gt;0"),0),plan,'Trung tâm nhập liệu'!R397,emergent,LOWER(TRIM('Trung tâm nhập liệu'!O397))="khi phát sinh",IF(n=0,IF(emergent,"",plan),IF(child=0,IF(emergent,"",plan),IF(OR(emergent,plan=""),child,MIN(plan,child))))))</f>
        <v/>
      </c>
      <c r="W247" s="577"/>
      <c r="X247" s="577"/>
      <c r="Y247" s="585"/>
      <c r="Z247" s="586"/>
      <c r="AA247" s="577"/>
      <c r="AB247" s="572"/>
      <c r="AC247" s="420"/>
      <c r="AD247" s="584"/>
      <c r="AE247" s="584"/>
      <c r="AF247" s="587"/>
      <c r="AG247" s="588"/>
      <c r="AH247" s="587"/>
      <c r="AI247" s="589"/>
      <c r="AJ247" s="468"/>
      <c r="AK247" s="477" t="str">
        <f>IF(AM247="Chưa xếp lịch","Chưa xếp lịch",IF(AM247="Định kỳ",IF(AN247="","Thiếu chu kỳ","Theo chu kỳ"),IF(AM247="Khi phát sinh",IF(COUNTIFS('Lớp 6 - Chi tiết'!$J$14:$J$267,$I247,'Lớp 6 - Chi tiết'!$AE$14:$AE$267,"&lt;&gt;Hủy")=0,"Khi phát sinh – chờ việc con","Khi phát sinh – theo ngày con"),IF(I247="","",LET(n,COUNTIFS('Lớp 6 - Chi tiết'!$J$14:$J$267,$I247,'Lớp 6 - Chi tiết'!$AE$14:$AE$267,"&lt;&gt;Hủy"),cs,IFERROR(MINIFS('Lớp 6 - Chi tiết'!$AG$14:$AG$267,'Lớp 6 - Chi tiết'!$J$14:$J$267,$I247,'Lớp 6 - Chi tiết'!$AE$14:$AE$267,"&lt;&gt;Hủy",'Lớp 6 - Chi tiết'!$AG$14:$AG$267,"&gt;0"),0),ce,IFERROR(MAXIFS('Lớp 6 - Chi tiết'!$AH$14:$AH$267,'Lớp 6 - Chi tiết'!$J$14:$J$267,$I247,'Lớp 6 - Chi tiết'!$AE$14:$AE$267,"&lt;&gt;Hủy",'Lớp 6 - Chi tiết'!$AH$14:$AH$267,"&gt;0"),0),ps,'Trung tâm nhập liệu'!R397,pe,'Trung tâm nhập liệu'!Q397,IF(OR(AD247="",AE247=""),"Thiếu ngày L5",IF(n=0,"Chưa có L6",IF(OR(cs=0,ce=0),"Thiếu ngày L6",IF(OR(ps="",pe=""),"Thiếu ngày kế hoạch gốc L5",IF(OR(cs&lt;ps,ce&gt;pe),"Cảnh báo: Con vượt khung kế hoạch gốc","L6 đúng khung kế hoạch gốc"))))))))))</f>
        <v/>
      </c>
      <c r="AL247" s="465"/>
      <c r="AM247" s="467"/>
      <c r="AN247" s="469"/>
      <c r="AO247" s="470"/>
      <c r="AP247" s="470"/>
      <c r="AQ247" s="471"/>
      <c r="AR247" s="469"/>
      <c r="AS247" s="475"/>
      <c r="AT247" s="476"/>
      <c r="AU247" s="478"/>
      <c r="AV247" s="465"/>
      <c r="AW247" s="465"/>
      <c r="AX247" s="479"/>
    </row>
    <row r="248" ht="15.75" customHeight="1">
      <c r="A248" s="424"/>
      <c r="B248" s="572"/>
      <c r="C248" s="591"/>
      <c r="D248" s="623"/>
      <c r="E248" s="617"/>
      <c r="F248" s="575"/>
      <c r="G248" s="575"/>
      <c r="H248" s="576"/>
      <c r="I248" s="577"/>
      <c r="J248" s="577"/>
      <c r="K248" s="597"/>
      <c r="L248" s="598"/>
      <c r="M248" s="438"/>
      <c r="N248" s="597"/>
      <c r="O248" s="597"/>
      <c r="P248" s="597"/>
      <c r="Q248" s="581"/>
      <c r="R248" s="420"/>
      <c r="S248" s="582"/>
      <c r="T248" s="583"/>
      <c r="U248" s="584" t="str">
        <f>IF($I248="","",LET(n,COUNTIFS('Lớp 6 - Chi tiết'!$J$14:$J$267,$I248,'Lớp 6 - Chi tiết'!$AE$14:$AE$267,"&lt;&gt;Hủy"),child,IFERROR(MAXIFS('Lớp 6 - Chi tiết'!$AH$14:$AH$267,'Lớp 6 - Chi tiết'!$J$14:$J$267,$I248,'Lớp 6 - Chi tiết'!$AE$14:$AE$267,"&lt;&gt;Hủy",'Lớp 6 - Chi tiết'!$AH$14:$AH$267,"&gt;0"),0),plan,'Trung tâm nhập liệu'!Q398,emergent,LOWER(TRIM('Trung tâm nhập liệu'!O398))="khi phát sinh",IF(n=0,IF(emergent,"",plan),IF(child=0,IF(emergent,"",plan),IF(OR(emergent,plan=""),child,MAX(plan,child))))))</f>
        <v/>
      </c>
      <c r="V248" s="584" t="str">
        <f>IF($I248="","",LET(n,COUNTIFS('Lớp 6 - Chi tiết'!$J$14:$J$267,$I248,'Lớp 6 - Chi tiết'!$AE$14:$AE$267,"&lt;&gt;Hủy"),child,IFERROR(MINIFS('Lớp 6 - Chi tiết'!$AG$14:$AG$267,'Lớp 6 - Chi tiết'!$J$14:$J$267,$I248,'Lớp 6 - Chi tiết'!$AE$14:$AE$267,"&lt;&gt;Hủy",'Lớp 6 - Chi tiết'!$AG$14:$AG$267,"&gt;0"),0),plan,'Trung tâm nhập liệu'!R398,emergent,LOWER(TRIM('Trung tâm nhập liệu'!O398))="khi phát sinh",IF(n=0,IF(emergent,"",plan),IF(child=0,IF(emergent,"",plan),IF(OR(emergent,plan=""),child,MIN(plan,child))))))</f>
        <v/>
      </c>
      <c r="W248" s="577"/>
      <c r="X248" s="577"/>
      <c r="Y248" s="585"/>
      <c r="Z248" s="586"/>
      <c r="AA248" s="577"/>
      <c r="AB248" s="572"/>
      <c r="AC248" s="420"/>
      <c r="AD248" s="584"/>
      <c r="AE248" s="584"/>
      <c r="AF248" s="587"/>
      <c r="AG248" s="588"/>
      <c r="AH248" s="587"/>
      <c r="AI248" s="589"/>
      <c r="AJ248" s="468"/>
      <c r="AK248" s="477" t="str">
        <f>IF(AM248="Chưa xếp lịch","Chưa xếp lịch",IF(AM248="Định kỳ",IF(AN248="","Thiếu chu kỳ","Theo chu kỳ"),IF(AM248="Khi phát sinh",IF(COUNTIFS('Lớp 6 - Chi tiết'!$J$14:$J$267,$I248,'Lớp 6 - Chi tiết'!$AE$14:$AE$267,"&lt;&gt;Hủy")=0,"Khi phát sinh – chờ việc con","Khi phát sinh – theo ngày con"),IF(I248="","",LET(n,COUNTIFS('Lớp 6 - Chi tiết'!$J$14:$J$267,$I248,'Lớp 6 - Chi tiết'!$AE$14:$AE$267,"&lt;&gt;Hủy"),cs,IFERROR(MINIFS('Lớp 6 - Chi tiết'!$AG$14:$AG$267,'Lớp 6 - Chi tiết'!$J$14:$J$267,$I248,'Lớp 6 - Chi tiết'!$AE$14:$AE$267,"&lt;&gt;Hủy",'Lớp 6 - Chi tiết'!$AG$14:$AG$267,"&gt;0"),0),ce,IFERROR(MAXIFS('Lớp 6 - Chi tiết'!$AH$14:$AH$267,'Lớp 6 - Chi tiết'!$J$14:$J$267,$I248,'Lớp 6 - Chi tiết'!$AE$14:$AE$267,"&lt;&gt;Hủy",'Lớp 6 - Chi tiết'!$AH$14:$AH$267,"&gt;0"),0),ps,'Trung tâm nhập liệu'!R398,pe,'Trung tâm nhập liệu'!Q398,IF(OR(AD248="",AE248=""),"Thiếu ngày L5",IF(n=0,"Chưa có L6",IF(OR(cs=0,ce=0),"Thiếu ngày L6",IF(OR(ps="",pe=""),"Thiếu ngày kế hoạch gốc L5",IF(OR(cs&lt;ps,ce&gt;pe),"Cảnh báo: Con vượt khung kế hoạch gốc","L6 đúng khung kế hoạch gốc"))))))))))</f>
        <v/>
      </c>
      <c r="AL248" s="465"/>
      <c r="AM248" s="467"/>
      <c r="AN248" s="469"/>
      <c r="AO248" s="470"/>
      <c r="AP248" s="470"/>
      <c r="AQ248" s="471"/>
      <c r="AR248" s="469"/>
      <c r="AS248" s="475"/>
      <c r="AT248" s="476"/>
      <c r="AU248" s="478"/>
      <c r="AV248" s="465"/>
      <c r="AW248" s="465"/>
      <c r="AX248" s="479"/>
    </row>
    <row r="249" ht="15.75" customHeight="1">
      <c r="A249" s="424"/>
      <c r="B249" s="572"/>
      <c r="C249" s="591"/>
      <c r="D249" s="623"/>
      <c r="E249" s="617"/>
      <c r="F249" s="575"/>
      <c r="G249" s="575"/>
      <c r="H249" s="576"/>
      <c r="I249" s="577"/>
      <c r="J249" s="577"/>
      <c r="K249" s="597"/>
      <c r="L249" s="598"/>
      <c r="M249" s="438"/>
      <c r="N249" s="597"/>
      <c r="O249" s="597"/>
      <c r="P249" s="597"/>
      <c r="Q249" s="581"/>
      <c r="R249" s="420"/>
      <c r="S249" s="582"/>
      <c r="T249" s="583"/>
      <c r="U249" s="584" t="str">
        <f>IF($I249="","",LET(n,COUNTIFS('Lớp 6 - Chi tiết'!$J$14:$J$267,$I249,'Lớp 6 - Chi tiết'!$AE$14:$AE$267,"&lt;&gt;Hủy"),child,IFERROR(MAXIFS('Lớp 6 - Chi tiết'!$AH$14:$AH$267,'Lớp 6 - Chi tiết'!$J$14:$J$267,$I249,'Lớp 6 - Chi tiết'!$AE$14:$AE$267,"&lt;&gt;Hủy",'Lớp 6 - Chi tiết'!$AH$14:$AH$267,"&gt;0"),0),plan,'Trung tâm nhập liệu'!Q399,emergent,LOWER(TRIM('Trung tâm nhập liệu'!O399))="khi phát sinh",IF(n=0,IF(emergent,"",plan),IF(child=0,IF(emergent,"",plan),IF(OR(emergent,plan=""),child,MAX(plan,child))))))</f>
        <v/>
      </c>
      <c r="V249" s="584" t="str">
        <f>IF($I249="","",LET(n,COUNTIFS('Lớp 6 - Chi tiết'!$J$14:$J$267,$I249,'Lớp 6 - Chi tiết'!$AE$14:$AE$267,"&lt;&gt;Hủy"),child,IFERROR(MINIFS('Lớp 6 - Chi tiết'!$AG$14:$AG$267,'Lớp 6 - Chi tiết'!$J$14:$J$267,$I249,'Lớp 6 - Chi tiết'!$AE$14:$AE$267,"&lt;&gt;Hủy",'Lớp 6 - Chi tiết'!$AG$14:$AG$267,"&gt;0"),0),plan,'Trung tâm nhập liệu'!R399,emergent,LOWER(TRIM('Trung tâm nhập liệu'!O399))="khi phát sinh",IF(n=0,IF(emergent,"",plan),IF(child=0,IF(emergent,"",plan),IF(OR(emergent,plan=""),child,MIN(plan,child))))))</f>
        <v/>
      </c>
      <c r="W249" s="577"/>
      <c r="X249" s="577"/>
      <c r="Y249" s="585"/>
      <c r="Z249" s="586"/>
      <c r="AA249" s="577"/>
      <c r="AB249" s="572"/>
      <c r="AC249" s="420"/>
      <c r="AD249" s="584"/>
      <c r="AE249" s="584"/>
      <c r="AF249" s="587"/>
      <c r="AG249" s="588"/>
      <c r="AH249" s="587"/>
      <c r="AI249" s="589"/>
      <c r="AJ249" s="468"/>
      <c r="AK249" s="477" t="str">
        <f>IF(AM249="Chưa xếp lịch","Chưa xếp lịch",IF(AM249="Định kỳ",IF(AN249="","Thiếu chu kỳ","Theo chu kỳ"),IF(AM249="Khi phát sinh",IF(COUNTIFS('Lớp 6 - Chi tiết'!$J$14:$J$267,$I249,'Lớp 6 - Chi tiết'!$AE$14:$AE$267,"&lt;&gt;Hủy")=0,"Khi phát sinh – chờ việc con","Khi phát sinh – theo ngày con"),IF(I249="","",LET(n,COUNTIFS('Lớp 6 - Chi tiết'!$J$14:$J$267,$I249,'Lớp 6 - Chi tiết'!$AE$14:$AE$267,"&lt;&gt;Hủy"),cs,IFERROR(MINIFS('Lớp 6 - Chi tiết'!$AG$14:$AG$267,'Lớp 6 - Chi tiết'!$J$14:$J$267,$I249,'Lớp 6 - Chi tiết'!$AE$14:$AE$267,"&lt;&gt;Hủy",'Lớp 6 - Chi tiết'!$AG$14:$AG$267,"&gt;0"),0),ce,IFERROR(MAXIFS('Lớp 6 - Chi tiết'!$AH$14:$AH$267,'Lớp 6 - Chi tiết'!$J$14:$J$267,$I249,'Lớp 6 - Chi tiết'!$AE$14:$AE$267,"&lt;&gt;Hủy",'Lớp 6 - Chi tiết'!$AH$14:$AH$267,"&gt;0"),0),ps,'Trung tâm nhập liệu'!R399,pe,'Trung tâm nhập liệu'!Q399,IF(OR(AD249="",AE249=""),"Thiếu ngày L5",IF(n=0,"Chưa có L6",IF(OR(cs=0,ce=0),"Thiếu ngày L6",IF(OR(ps="",pe=""),"Thiếu ngày kế hoạch gốc L5",IF(OR(cs&lt;ps,ce&gt;pe),"Cảnh báo: Con vượt khung kế hoạch gốc","L6 đúng khung kế hoạch gốc"))))))))))</f>
        <v/>
      </c>
      <c r="AL249" s="465"/>
      <c r="AM249" s="467"/>
      <c r="AN249" s="469"/>
      <c r="AO249" s="470"/>
      <c r="AP249" s="470"/>
      <c r="AQ249" s="471"/>
      <c r="AR249" s="469"/>
      <c r="AS249" s="475"/>
      <c r="AT249" s="476"/>
      <c r="AU249" s="478"/>
      <c r="AV249" s="465"/>
      <c r="AW249" s="465"/>
      <c r="AX249" s="479"/>
    </row>
    <row r="250" ht="15.75" customHeight="1">
      <c r="A250" s="424"/>
      <c r="B250" s="572"/>
      <c r="C250" s="591"/>
      <c r="D250" s="623"/>
      <c r="E250" s="617"/>
      <c r="F250" s="575"/>
      <c r="G250" s="575"/>
      <c r="H250" s="576"/>
      <c r="I250" s="577"/>
      <c r="J250" s="577"/>
      <c r="K250" s="597"/>
      <c r="L250" s="598"/>
      <c r="M250" s="438"/>
      <c r="N250" s="597"/>
      <c r="O250" s="597"/>
      <c r="P250" s="597"/>
      <c r="Q250" s="581"/>
      <c r="R250" s="420"/>
      <c r="S250" s="582"/>
      <c r="T250" s="583"/>
      <c r="U250" s="584" t="str">
        <f>IF($I250="","",LET(n,COUNTIFS('Lớp 6 - Chi tiết'!$J$14:$J$267,$I250,'Lớp 6 - Chi tiết'!$AE$14:$AE$267,"&lt;&gt;Hủy"),child,IFERROR(MAXIFS('Lớp 6 - Chi tiết'!$AH$14:$AH$267,'Lớp 6 - Chi tiết'!$J$14:$J$267,$I250,'Lớp 6 - Chi tiết'!$AE$14:$AE$267,"&lt;&gt;Hủy",'Lớp 6 - Chi tiết'!$AH$14:$AH$267,"&gt;0"),0),plan,'Trung tâm nhập liệu'!Q400,emergent,LOWER(TRIM('Trung tâm nhập liệu'!O400))="khi phát sinh",IF(n=0,IF(emergent,"",plan),IF(child=0,IF(emergent,"",plan),IF(OR(emergent,plan=""),child,MAX(plan,child))))))</f>
        <v/>
      </c>
      <c r="V250" s="584" t="str">
        <f>IF($I250="","",LET(n,COUNTIFS('Lớp 6 - Chi tiết'!$J$14:$J$267,$I250,'Lớp 6 - Chi tiết'!$AE$14:$AE$267,"&lt;&gt;Hủy"),child,IFERROR(MINIFS('Lớp 6 - Chi tiết'!$AG$14:$AG$267,'Lớp 6 - Chi tiết'!$J$14:$J$267,$I250,'Lớp 6 - Chi tiết'!$AE$14:$AE$267,"&lt;&gt;Hủy",'Lớp 6 - Chi tiết'!$AG$14:$AG$267,"&gt;0"),0),plan,'Trung tâm nhập liệu'!R400,emergent,LOWER(TRIM('Trung tâm nhập liệu'!O400))="khi phát sinh",IF(n=0,IF(emergent,"",plan),IF(child=0,IF(emergent,"",plan),IF(OR(emergent,plan=""),child,MIN(plan,child))))))</f>
        <v/>
      </c>
      <c r="W250" s="577"/>
      <c r="X250" s="577"/>
      <c r="Y250" s="585"/>
      <c r="Z250" s="586"/>
      <c r="AA250" s="577"/>
      <c r="AB250" s="572"/>
      <c r="AC250" s="420"/>
      <c r="AD250" s="584"/>
      <c r="AE250" s="584"/>
      <c r="AF250" s="587"/>
      <c r="AG250" s="588"/>
      <c r="AH250" s="587"/>
      <c r="AI250" s="589"/>
      <c r="AJ250" s="468"/>
      <c r="AK250" s="477" t="str">
        <f>IF(AM250="Chưa xếp lịch","Chưa xếp lịch",IF(AM250="Định kỳ",IF(AN250="","Thiếu chu kỳ","Theo chu kỳ"),IF(AM250="Khi phát sinh",IF(COUNTIFS('Lớp 6 - Chi tiết'!$J$14:$J$267,$I250,'Lớp 6 - Chi tiết'!$AE$14:$AE$267,"&lt;&gt;Hủy")=0,"Khi phát sinh – chờ việc con","Khi phát sinh – theo ngày con"),IF(I250="","",LET(n,COUNTIFS('Lớp 6 - Chi tiết'!$J$14:$J$267,$I250,'Lớp 6 - Chi tiết'!$AE$14:$AE$267,"&lt;&gt;Hủy"),cs,IFERROR(MINIFS('Lớp 6 - Chi tiết'!$AG$14:$AG$267,'Lớp 6 - Chi tiết'!$J$14:$J$267,$I250,'Lớp 6 - Chi tiết'!$AE$14:$AE$267,"&lt;&gt;Hủy",'Lớp 6 - Chi tiết'!$AG$14:$AG$267,"&gt;0"),0),ce,IFERROR(MAXIFS('Lớp 6 - Chi tiết'!$AH$14:$AH$267,'Lớp 6 - Chi tiết'!$J$14:$J$267,$I250,'Lớp 6 - Chi tiết'!$AE$14:$AE$267,"&lt;&gt;Hủy",'Lớp 6 - Chi tiết'!$AH$14:$AH$267,"&gt;0"),0),ps,'Trung tâm nhập liệu'!R400,pe,'Trung tâm nhập liệu'!Q400,IF(OR(AD250="",AE250=""),"Thiếu ngày L5",IF(n=0,"Chưa có L6",IF(OR(cs=0,ce=0),"Thiếu ngày L6",IF(OR(ps="",pe=""),"Thiếu ngày kế hoạch gốc L5",IF(OR(cs&lt;ps,ce&gt;pe),"Cảnh báo: Con vượt khung kế hoạch gốc","L6 đúng khung kế hoạch gốc"))))))))))</f>
        <v/>
      </c>
      <c r="AL250" s="465"/>
      <c r="AM250" s="467"/>
      <c r="AN250" s="469"/>
      <c r="AO250" s="470"/>
      <c r="AP250" s="470"/>
      <c r="AQ250" s="471"/>
      <c r="AR250" s="469"/>
      <c r="AS250" s="475"/>
      <c r="AT250" s="476"/>
      <c r="AU250" s="478"/>
      <c r="AV250" s="465"/>
      <c r="AW250" s="465"/>
      <c r="AX250" s="479"/>
    </row>
    <row r="251" ht="15.75" customHeight="1">
      <c r="A251" s="424"/>
      <c r="B251" s="572"/>
      <c r="C251" s="591"/>
      <c r="D251" s="623"/>
      <c r="E251" s="617"/>
      <c r="F251" s="575"/>
      <c r="G251" s="575"/>
      <c r="H251" s="576"/>
      <c r="I251" s="577"/>
      <c r="J251" s="577"/>
      <c r="K251" s="597"/>
      <c r="L251" s="598"/>
      <c r="M251" s="438"/>
      <c r="N251" s="597"/>
      <c r="O251" s="597"/>
      <c r="P251" s="597"/>
      <c r="Q251" s="581"/>
      <c r="R251" s="420"/>
      <c r="S251" s="582"/>
      <c r="T251" s="583"/>
      <c r="U251" s="584" t="str">
        <f>IF($I251="","",LET(n,COUNTIFS('Lớp 6 - Chi tiết'!$J$14:$J$267,$I251,'Lớp 6 - Chi tiết'!$AE$14:$AE$267,"&lt;&gt;Hủy"),child,IFERROR(MAXIFS('Lớp 6 - Chi tiết'!$AH$14:$AH$267,'Lớp 6 - Chi tiết'!$J$14:$J$267,$I251,'Lớp 6 - Chi tiết'!$AE$14:$AE$267,"&lt;&gt;Hủy",'Lớp 6 - Chi tiết'!$AH$14:$AH$267,"&gt;0"),0),plan,'Trung tâm nhập liệu'!Q401,emergent,LOWER(TRIM('Trung tâm nhập liệu'!O401))="khi phát sinh",IF(n=0,IF(emergent,"",plan),IF(child=0,IF(emergent,"",plan),IF(OR(emergent,plan=""),child,MAX(plan,child))))))</f>
        <v/>
      </c>
      <c r="V251" s="584" t="str">
        <f>IF($I251="","",LET(n,COUNTIFS('Lớp 6 - Chi tiết'!$J$14:$J$267,$I251,'Lớp 6 - Chi tiết'!$AE$14:$AE$267,"&lt;&gt;Hủy"),child,IFERROR(MINIFS('Lớp 6 - Chi tiết'!$AG$14:$AG$267,'Lớp 6 - Chi tiết'!$J$14:$J$267,$I251,'Lớp 6 - Chi tiết'!$AE$14:$AE$267,"&lt;&gt;Hủy",'Lớp 6 - Chi tiết'!$AG$14:$AG$267,"&gt;0"),0),plan,'Trung tâm nhập liệu'!R401,emergent,LOWER(TRIM('Trung tâm nhập liệu'!O401))="khi phát sinh",IF(n=0,IF(emergent,"",plan),IF(child=0,IF(emergent,"",plan),IF(OR(emergent,plan=""),child,MIN(plan,child))))))</f>
        <v/>
      </c>
      <c r="W251" s="577"/>
      <c r="X251" s="577"/>
      <c r="Y251" s="585"/>
      <c r="Z251" s="586"/>
      <c r="AA251" s="577"/>
      <c r="AB251" s="572"/>
      <c r="AC251" s="420"/>
      <c r="AD251" s="584"/>
      <c r="AE251" s="584"/>
      <c r="AF251" s="587"/>
      <c r="AG251" s="588"/>
      <c r="AH251" s="587"/>
      <c r="AI251" s="589"/>
      <c r="AJ251" s="468"/>
      <c r="AK251" s="477" t="str">
        <f>IF(AM251="Chưa xếp lịch","Chưa xếp lịch",IF(AM251="Định kỳ",IF(AN251="","Thiếu chu kỳ","Theo chu kỳ"),IF(AM251="Khi phát sinh",IF(COUNTIFS('Lớp 6 - Chi tiết'!$J$14:$J$267,$I251,'Lớp 6 - Chi tiết'!$AE$14:$AE$267,"&lt;&gt;Hủy")=0,"Khi phát sinh – chờ việc con","Khi phát sinh – theo ngày con"),IF(I251="","",LET(n,COUNTIFS('Lớp 6 - Chi tiết'!$J$14:$J$267,$I251,'Lớp 6 - Chi tiết'!$AE$14:$AE$267,"&lt;&gt;Hủy"),cs,IFERROR(MINIFS('Lớp 6 - Chi tiết'!$AG$14:$AG$267,'Lớp 6 - Chi tiết'!$J$14:$J$267,$I251,'Lớp 6 - Chi tiết'!$AE$14:$AE$267,"&lt;&gt;Hủy",'Lớp 6 - Chi tiết'!$AG$14:$AG$267,"&gt;0"),0),ce,IFERROR(MAXIFS('Lớp 6 - Chi tiết'!$AH$14:$AH$267,'Lớp 6 - Chi tiết'!$J$14:$J$267,$I251,'Lớp 6 - Chi tiết'!$AE$14:$AE$267,"&lt;&gt;Hủy",'Lớp 6 - Chi tiết'!$AH$14:$AH$267,"&gt;0"),0),ps,'Trung tâm nhập liệu'!R401,pe,'Trung tâm nhập liệu'!Q401,IF(OR(AD251="",AE251=""),"Thiếu ngày L5",IF(n=0,"Chưa có L6",IF(OR(cs=0,ce=0),"Thiếu ngày L6",IF(OR(ps="",pe=""),"Thiếu ngày kế hoạch gốc L5",IF(OR(cs&lt;ps,ce&gt;pe),"Cảnh báo: Con vượt khung kế hoạch gốc","L6 đúng khung kế hoạch gốc"))))))))))</f>
        <v/>
      </c>
      <c r="AL251" s="465"/>
      <c r="AM251" s="467"/>
      <c r="AN251" s="469"/>
      <c r="AO251" s="470"/>
      <c r="AP251" s="470"/>
      <c r="AQ251" s="471"/>
      <c r="AR251" s="469"/>
      <c r="AS251" s="475"/>
      <c r="AT251" s="476"/>
      <c r="AU251" s="478"/>
      <c r="AV251" s="465"/>
      <c r="AW251" s="465"/>
      <c r="AX251" s="479"/>
    </row>
    <row r="252" ht="15.75" customHeight="1">
      <c r="A252" s="424"/>
      <c r="B252" s="572"/>
      <c r="C252" s="591"/>
      <c r="D252" s="623"/>
      <c r="E252" s="617"/>
      <c r="F252" s="575"/>
      <c r="G252" s="575"/>
      <c r="H252" s="576"/>
      <c r="I252" s="577"/>
      <c r="J252" s="577"/>
      <c r="K252" s="597"/>
      <c r="L252" s="598"/>
      <c r="M252" s="438"/>
      <c r="N252" s="597"/>
      <c r="O252" s="597"/>
      <c r="P252" s="597"/>
      <c r="Q252" s="581"/>
      <c r="R252" s="420"/>
      <c r="S252" s="582"/>
      <c r="T252" s="583"/>
      <c r="U252" s="584" t="str">
        <f>IF($I252="","",LET(n,COUNTIFS('Lớp 6 - Chi tiết'!$J$14:$J$267,$I252,'Lớp 6 - Chi tiết'!$AE$14:$AE$267,"&lt;&gt;Hủy"),child,IFERROR(MAXIFS('Lớp 6 - Chi tiết'!$AH$14:$AH$267,'Lớp 6 - Chi tiết'!$J$14:$J$267,$I252,'Lớp 6 - Chi tiết'!$AE$14:$AE$267,"&lt;&gt;Hủy",'Lớp 6 - Chi tiết'!$AH$14:$AH$267,"&gt;0"),0),plan,'Trung tâm nhập liệu'!Q402,emergent,LOWER(TRIM('Trung tâm nhập liệu'!O402))="khi phát sinh",IF(n=0,IF(emergent,"",plan),IF(child=0,IF(emergent,"",plan),IF(OR(emergent,plan=""),child,MAX(plan,child))))))</f>
        <v/>
      </c>
      <c r="V252" s="584" t="str">
        <f>IF($I252="","",LET(n,COUNTIFS('Lớp 6 - Chi tiết'!$J$14:$J$267,$I252,'Lớp 6 - Chi tiết'!$AE$14:$AE$267,"&lt;&gt;Hủy"),child,IFERROR(MINIFS('Lớp 6 - Chi tiết'!$AG$14:$AG$267,'Lớp 6 - Chi tiết'!$J$14:$J$267,$I252,'Lớp 6 - Chi tiết'!$AE$14:$AE$267,"&lt;&gt;Hủy",'Lớp 6 - Chi tiết'!$AG$14:$AG$267,"&gt;0"),0),plan,'Trung tâm nhập liệu'!R402,emergent,LOWER(TRIM('Trung tâm nhập liệu'!O402))="khi phát sinh",IF(n=0,IF(emergent,"",plan),IF(child=0,IF(emergent,"",plan),IF(OR(emergent,plan=""),child,MIN(plan,child))))))</f>
        <v/>
      </c>
      <c r="W252" s="577"/>
      <c r="X252" s="577"/>
      <c r="Y252" s="585"/>
      <c r="Z252" s="586"/>
      <c r="AA252" s="577"/>
      <c r="AB252" s="572"/>
      <c r="AC252" s="420"/>
      <c r="AD252" s="584"/>
      <c r="AE252" s="584"/>
      <c r="AF252" s="587"/>
      <c r="AG252" s="588"/>
      <c r="AH252" s="587"/>
      <c r="AI252" s="589"/>
      <c r="AJ252" s="468"/>
      <c r="AK252" s="477" t="str">
        <f>IF(AM252="Chưa xếp lịch","Chưa xếp lịch",IF(AM252="Định kỳ",IF(AN252="","Thiếu chu kỳ","Theo chu kỳ"),IF(AM252="Khi phát sinh",IF(COUNTIFS('Lớp 6 - Chi tiết'!$J$14:$J$267,$I252,'Lớp 6 - Chi tiết'!$AE$14:$AE$267,"&lt;&gt;Hủy")=0,"Khi phát sinh – chờ việc con","Khi phát sinh – theo ngày con"),IF(I252="","",LET(n,COUNTIFS('Lớp 6 - Chi tiết'!$J$14:$J$267,$I252,'Lớp 6 - Chi tiết'!$AE$14:$AE$267,"&lt;&gt;Hủy"),cs,IFERROR(MINIFS('Lớp 6 - Chi tiết'!$AG$14:$AG$267,'Lớp 6 - Chi tiết'!$J$14:$J$267,$I252,'Lớp 6 - Chi tiết'!$AE$14:$AE$267,"&lt;&gt;Hủy",'Lớp 6 - Chi tiết'!$AG$14:$AG$267,"&gt;0"),0),ce,IFERROR(MAXIFS('Lớp 6 - Chi tiết'!$AH$14:$AH$267,'Lớp 6 - Chi tiết'!$J$14:$J$267,$I252,'Lớp 6 - Chi tiết'!$AE$14:$AE$267,"&lt;&gt;Hủy",'Lớp 6 - Chi tiết'!$AH$14:$AH$267,"&gt;0"),0),ps,'Trung tâm nhập liệu'!R402,pe,'Trung tâm nhập liệu'!Q402,IF(OR(AD252="",AE252=""),"Thiếu ngày L5",IF(n=0,"Chưa có L6",IF(OR(cs=0,ce=0),"Thiếu ngày L6",IF(OR(ps="",pe=""),"Thiếu ngày kế hoạch gốc L5",IF(OR(cs&lt;ps,ce&gt;pe),"Cảnh báo: Con vượt khung kế hoạch gốc","L6 đúng khung kế hoạch gốc"))))))))))</f>
        <v/>
      </c>
      <c r="AL252" s="465"/>
      <c r="AM252" s="467"/>
      <c r="AN252" s="469"/>
      <c r="AO252" s="470"/>
      <c r="AP252" s="470"/>
      <c r="AQ252" s="471"/>
      <c r="AR252" s="469"/>
      <c r="AS252" s="475"/>
      <c r="AT252" s="476"/>
      <c r="AU252" s="478"/>
      <c r="AV252" s="465"/>
      <c r="AW252" s="465"/>
      <c r="AX252" s="479"/>
    </row>
    <row r="253" ht="15.75" customHeight="1">
      <c r="A253" s="424"/>
      <c r="B253" s="572"/>
      <c r="C253" s="591"/>
      <c r="D253" s="623"/>
      <c r="E253" s="617"/>
      <c r="F253" s="575"/>
      <c r="G253" s="575"/>
      <c r="H253" s="576"/>
      <c r="I253" s="577"/>
      <c r="J253" s="577"/>
      <c r="K253" s="597"/>
      <c r="L253" s="598"/>
      <c r="M253" s="438"/>
      <c r="N253" s="597"/>
      <c r="O253" s="597"/>
      <c r="P253" s="597"/>
      <c r="Q253" s="581"/>
      <c r="R253" s="420"/>
      <c r="S253" s="582"/>
      <c r="T253" s="583"/>
      <c r="U253" s="584" t="str">
        <f>IF($I253="","",LET(n,COUNTIFS('Lớp 6 - Chi tiết'!$J$14:$J$267,$I253,'Lớp 6 - Chi tiết'!$AE$14:$AE$267,"&lt;&gt;Hủy"),child,IFERROR(MAXIFS('Lớp 6 - Chi tiết'!$AH$14:$AH$267,'Lớp 6 - Chi tiết'!$J$14:$J$267,$I253,'Lớp 6 - Chi tiết'!$AE$14:$AE$267,"&lt;&gt;Hủy",'Lớp 6 - Chi tiết'!$AH$14:$AH$267,"&gt;0"),0),plan,'Trung tâm nhập liệu'!Q403,emergent,LOWER(TRIM('Trung tâm nhập liệu'!O403))="khi phát sinh",IF(n=0,IF(emergent,"",plan),IF(child=0,IF(emergent,"",plan),IF(OR(emergent,plan=""),child,MAX(plan,child))))))</f>
        <v/>
      </c>
      <c r="V253" s="584" t="str">
        <f>IF($I253="","",LET(n,COUNTIFS('Lớp 6 - Chi tiết'!$J$14:$J$267,$I253,'Lớp 6 - Chi tiết'!$AE$14:$AE$267,"&lt;&gt;Hủy"),child,IFERROR(MINIFS('Lớp 6 - Chi tiết'!$AG$14:$AG$267,'Lớp 6 - Chi tiết'!$J$14:$J$267,$I253,'Lớp 6 - Chi tiết'!$AE$14:$AE$267,"&lt;&gt;Hủy",'Lớp 6 - Chi tiết'!$AG$14:$AG$267,"&gt;0"),0),plan,'Trung tâm nhập liệu'!R403,emergent,LOWER(TRIM('Trung tâm nhập liệu'!O403))="khi phát sinh",IF(n=0,IF(emergent,"",plan),IF(child=0,IF(emergent,"",plan),IF(OR(emergent,plan=""),child,MIN(plan,child))))))</f>
        <v/>
      </c>
      <c r="W253" s="577"/>
      <c r="X253" s="577"/>
      <c r="Y253" s="585"/>
      <c r="Z253" s="586"/>
      <c r="AA253" s="577"/>
      <c r="AB253" s="572"/>
      <c r="AC253" s="420"/>
      <c r="AD253" s="584"/>
      <c r="AE253" s="584"/>
      <c r="AF253" s="587"/>
      <c r="AG253" s="588"/>
      <c r="AH253" s="587"/>
      <c r="AI253" s="589"/>
      <c r="AJ253" s="468"/>
      <c r="AK253" s="477" t="str">
        <f>IF(AM253="Chưa xếp lịch","Chưa xếp lịch",IF(AM253="Định kỳ",IF(AN253="","Thiếu chu kỳ","Theo chu kỳ"),IF(AM253="Khi phát sinh",IF(COUNTIFS('Lớp 6 - Chi tiết'!$J$14:$J$267,$I253,'Lớp 6 - Chi tiết'!$AE$14:$AE$267,"&lt;&gt;Hủy")=0,"Khi phát sinh – chờ việc con","Khi phát sinh – theo ngày con"),IF(I253="","",LET(n,COUNTIFS('Lớp 6 - Chi tiết'!$J$14:$J$267,$I253,'Lớp 6 - Chi tiết'!$AE$14:$AE$267,"&lt;&gt;Hủy"),cs,IFERROR(MINIFS('Lớp 6 - Chi tiết'!$AG$14:$AG$267,'Lớp 6 - Chi tiết'!$J$14:$J$267,$I253,'Lớp 6 - Chi tiết'!$AE$14:$AE$267,"&lt;&gt;Hủy",'Lớp 6 - Chi tiết'!$AG$14:$AG$267,"&gt;0"),0),ce,IFERROR(MAXIFS('Lớp 6 - Chi tiết'!$AH$14:$AH$267,'Lớp 6 - Chi tiết'!$J$14:$J$267,$I253,'Lớp 6 - Chi tiết'!$AE$14:$AE$267,"&lt;&gt;Hủy",'Lớp 6 - Chi tiết'!$AH$14:$AH$267,"&gt;0"),0),ps,'Trung tâm nhập liệu'!R403,pe,'Trung tâm nhập liệu'!Q403,IF(OR(AD253="",AE253=""),"Thiếu ngày L5",IF(n=0,"Chưa có L6",IF(OR(cs=0,ce=0),"Thiếu ngày L6",IF(OR(ps="",pe=""),"Thiếu ngày kế hoạch gốc L5",IF(OR(cs&lt;ps,ce&gt;pe),"Cảnh báo: Con vượt khung kế hoạch gốc","L6 đúng khung kế hoạch gốc"))))))))))</f>
        <v/>
      </c>
      <c r="AL253" s="465"/>
      <c r="AM253" s="467"/>
      <c r="AN253" s="469"/>
      <c r="AO253" s="470"/>
      <c r="AP253" s="470"/>
      <c r="AQ253" s="471"/>
      <c r="AR253" s="469"/>
      <c r="AS253" s="475"/>
      <c r="AT253" s="476"/>
      <c r="AU253" s="478"/>
      <c r="AV253" s="465"/>
      <c r="AW253" s="465"/>
      <c r="AX253" s="479"/>
    </row>
    <row r="254" ht="15.75" customHeight="1">
      <c r="A254" s="424"/>
      <c r="B254" s="572"/>
      <c r="C254" s="591"/>
      <c r="D254" s="623"/>
      <c r="E254" s="617"/>
      <c r="F254" s="575"/>
      <c r="G254" s="575"/>
      <c r="H254" s="576"/>
      <c r="I254" s="577"/>
      <c r="J254" s="577"/>
      <c r="K254" s="597"/>
      <c r="L254" s="598"/>
      <c r="M254" s="438"/>
      <c r="N254" s="597"/>
      <c r="O254" s="597"/>
      <c r="P254" s="597"/>
      <c r="Q254" s="581"/>
      <c r="R254" s="420"/>
      <c r="S254" s="582"/>
      <c r="T254" s="583"/>
      <c r="U254" s="584" t="str">
        <f>IF($I254="","",LET(n,COUNTIFS('Lớp 6 - Chi tiết'!$J$14:$J$267,$I254,'Lớp 6 - Chi tiết'!$AE$14:$AE$267,"&lt;&gt;Hủy"),child,IFERROR(MAXIFS('Lớp 6 - Chi tiết'!$AH$14:$AH$267,'Lớp 6 - Chi tiết'!$J$14:$J$267,$I254,'Lớp 6 - Chi tiết'!$AE$14:$AE$267,"&lt;&gt;Hủy",'Lớp 6 - Chi tiết'!$AH$14:$AH$267,"&gt;0"),0),plan,'Trung tâm nhập liệu'!Q404,emergent,LOWER(TRIM('Trung tâm nhập liệu'!O404))="khi phát sinh",IF(n=0,IF(emergent,"",plan),IF(child=0,IF(emergent,"",plan),IF(OR(emergent,plan=""),child,MAX(plan,child))))))</f>
        <v/>
      </c>
      <c r="V254" s="584" t="str">
        <f>IF($I254="","",LET(n,COUNTIFS('Lớp 6 - Chi tiết'!$J$14:$J$267,$I254,'Lớp 6 - Chi tiết'!$AE$14:$AE$267,"&lt;&gt;Hủy"),child,IFERROR(MINIFS('Lớp 6 - Chi tiết'!$AG$14:$AG$267,'Lớp 6 - Chi tiết'!$J$14:$J$267,$I254,'Lớp 6 - Chi tiết'!$AE$14:$AE$267,"&lt;&gt;Hủy",'Lớp 6 - Chi tiết'!$AG$14:$AG$267,"&gt;0"),0),plan,'Trung tâm nhập liệu'!R404,emergent,LOWER(TRIM('Trung tâm nhập liệu'!O404))="khi phát sinh",IF(n=0,IF(emergent,"",plan),IF(child=0,IF(emergent,"",plan),IF(OR(emergent,plan=""),child,MIN(plan,child))))))</f>
        <v/>
      </c>
      <c r="W254" s="577"/>
      <c r="X254" s="577"/>
      <c r="Y254" s="585"/>
      <c r="Z254" s="586"/>
      <c r="AA254" s="577"/>
      <c r="AB254" s="572"/>
      <c r="AC254" s="420"/>
      <c r="AD254" s="584"/>
      <c r="AE254" s="584"/>
      <c r="AF254" s="587"/>
      <c r="AG254" s="588"/>
      <c r="AH254" s="587"/>
      <c r="AI254" s="589"/>
      <c r="AJ254" s="468"/>
      <c r="AK254" s="477" t="str">
        <f>IF(AM254="Chưa xếp lịch","Chưa xếp lịch",IF(AM254="Định kỳ",IF(AN254="","Thiếu chu kỳ","Theo chu kỳ"),IF(AM254="Khi phát sinh",IF(COUNTIFS('Lớp 6 - Chi tiết'!$J$14:$J$267,$I254,'Lớp 6 - Chi tiết'!$AE$14:$AE$267,"&lt;&gt;Hủy")=0,"Khi phát sinh – chờ việc con","Khi phát sinh – theo ngày con"),IF(I254="","",LET(n,COUNTIFS('Lớp 6 - Chi tiết'!$J$14:$J$267,$I254,'Lớp 6 - Chi tiết'!$AE$14:$AE$267,"&lt;&gt;Hủy"),cs,IFERROR(MINIFS('Lớp 6 - Chi tiết'!$AG$14:$AG$267,'Lớp 6 - Chi tiết'!$J$14:$J$267,$I254,'Lớp 6 - Chi tiết'!$AE$14:$AE$267,"&lt;&gt;Hủy",'Lớp 6 - Chi tiết'!$AG$14:$AG$267,"&gt;0"),0),ce,IFERROR(MAXIFS('Lớp 6 - Chi tiết'!$AH$14:$AH$267,'Lớp 6 - Chi tiết'!$J$14:$J$267,$I254,'Lớp 6 - Chi tiết'!$AE$14:$AE$267,"&lt;&gt;Hủy",'Lớp 6 - Chi tiết'!$AH$14:$AH$267,"&gt;0"),0),ps,'Trung tâm nhập liệu'!R404,pe,'Trung tâm nhập liệu'!Q404,IF(OR(AD254="",AE254=""),"Thiếu ngày L5",IF(n=0,"Chưa có L6",IF(OR(cs=0,ce=0),"Thiếu ngày L6",IF(OR(ps="",pe=""),"Thiếu ngày kế hoạch gốc L5",IF(OR(cs&lt;ps,ce&gt;pe),"Cảnh báo: Con vượt khung kế hoạch gốc","L6 đúng khung kế hoạch gốc"))))))))))</f>
        <v/>
      </c>
      <c r="AL254" s="465"/>
      <c r="AM254" s="467"/>
      <c r="AN254" s="469"/>
      <c r="AO254" s="470"/>
      <c r="AP254" s="470"/>
      <c r="AQ254" s="471"/>
      <c r="AR254" s="469"/>
      <c r="AS254" s="475"/>
      <c r="AT254" s="476"/>
      <c r="AU254" s="478"/>
      <c r="AV254" s="465"/>
      <c r="AW254" s="465"/>
      <c r="AX254" s="479"/>
    </row>
    <row r="255" ht="15.75" customHeight="1">
      <c r="A255" s="424"/>
      <c r="B255" s="572"/>
      <c r="C255" s="591"/>
      <c r="D255" s="623"/>
      <c r="E255" s="617"/>
      <c r="F255" s="575"/>
      <c r="G255" s="575"/>
      <c r="H255" s="576"/>
      <c r="I255" s="577"/>
      <c r="J255" s="577"/>
      <c r="K255" s="597"/>
      <c r="L255" s="598"/>
      <c r="M255" s="438"/>
      <c r="N255" s="597"/>
      <c r="O255" s="597"/>
      <c r="P255" s="597"/>
      <c r="Q255" s="581"/>
      <c r="R255" s="420"/>
      <c r="S255" s="582"/>
      <c r="T255" s="583"/>
      <c r="U255" s="584" t="str">
        <f>IF($I255="","",LET(n,COUNTIFS('Lớp 6 - Chi tiết'!$J$14:$J$267,$I255,'Lớp 6 - Chi tiết'!$AE$14:$AE$267,"&lt;&gt;Hủy"),child,IFERROR(MAXIFS('Lớp 6 - Chi tiết'!$AH$14:$AH$267,'Lớp 6 - Chi tiết'!$J$14:$J$267,$I255,'Lớp 6 - Chi tiết'!$AE$14:$AE$267,"&lt;&gt;Hủy",'Lớp 6 - Chi tiết'!$AH$14:$AH$267,"&gt;0"),0),plan,'Trung tâm nhập liệu'!Q405,emergent,LOWER(TRIM('Trung tâm nhập liệu'!O405))="khi phát sinh",IF(n=0,IF(emergent,"",plan),IF(child=0,IF(emergent,"",plan),IF(OR(emergent,plan=""),child,MAX(plan,child))))))</f>
        <v/>
      </c>
      <c r="V255" s="584" t="str">
        <f>IF($I255="","",LET(n,COUNTIFS('Lớp 6 - Chi tiết'!$J$14:$J$267,$I255,'Lớp 6 - Chi tiết'!$AE$14:$AE$267,"&lt;&gt;Hủy"),child,IFERROR(MINIFS('Lớp 6 - Chi tiết'!$AG$14:$AG$267,'Lớp 6 - Chi tiết'!$J$14:$J$267,$I255,'Lớp 6 - Chi tiết'!$AE$14:$AE$267,"&lt;&gt;Hủy",'Lớp 6 - Chi tiết'!$AG$14:$AG$267,"&gt;0"),0),plan,'Trung tâm nhập liệu'!R405,emergent,LOWER(TRIM('Trung tâm nhập liệu'!O405))="khi phát sinh",IF(n=0,IF(emergent,"",plan),IF(child=0,IF(emergent,"",plan),IF(OR(emergent,plan=""),child,MIN(plan,child))))))</f>
        <v/>
      </c>
      <c r="W255" s="577"/>
      <c r="X255" s="577"/>
      <c r="Y255" s="585"/>
      <c r="Z255" s="586"/>
      <c r="AA255" s="577"/>
      <c r="AB255" s="572"/>
      <c r="AC255" s="420"/>
      <c r="AD255" s="584"/>
      <c r="AE255" s="584"/>
      <c r="AF255" s="587"/>
      <c r="AG255" s="588"/>
      <c r="AH255" s="587"/>
      <c r="AI255" s="589"/>
      <c r="AJ255" s="468"/>
      <c r="AK255" s="477" t="str">
        <f>IF(AM255="Chưa xếp lịch","Chưa xếp lịch",IF(AM255="Định kỳ",IF(AN255="","Thiếu chu kỳ","Theo chu kỳ"),IF(AM255="Khi phát sinh",IF(COUNTIFS('Lớp 6 - Chi tiết'!$J$14:$J$267,$I255,'Lớp 6 - Chi tiết'!$AE$14:$AE$267,"&lt;&gt;Hủy")=0,"Khi phát sinh – chờ việc con","Khi phát sinh – theo ngày con"),IF(I255="","",LET(n,COUNTIFS('Lớp 6 - Chi tiết'!$J$14:$J$267,$I255,'Lớp 6 - Chi tiết'!$AE$14:$AE$267,"&lt;&gt;Hủy"),cs,IFERROR(MINIFS('Lớp 6 - Chi tiết'!$AG$14:$AG$267,'Lớp 6 - Chi tiết'!$J$14:$J$267,$I255,'Lớp 6 - Chi tiết'!$AE$14:$AE$267,"&lt;&gt;Hủy",'Lớp 6 - Chi tiết'!$AG$14:$AG$267,"&gt;0"),0),ce,IFERROR(MAXIFS('Lớp 6 - Chi tiết'!$AH$14:$AH$267,'Lớp 6 - Chi tiết'!$J$14:$J$267,$I255,'Lớp 6 - Chi tiết'!$AE$14:$AE$267,"&lt;&gt;Hủy",'Lớp 6 - Chi tiết'!$AH$14:$AH$267,"&gt;0"),0),ps,'Trung tâm nhập liệu'!R405,pe,'Trung tâm nhập liệu'!Q405,IF(OR(AD255="",AE255=""),"Thiếu ngày L5",IF(n=0,"Chưa có L6",IF(OR(cs=0,ce=0),"Thiếu ngày L6",IF(OR(ps="",pe=""),"Thiếu ngày kế hoạch gốc L5",IF(OR(cs&lt;ps,ce&gt;pe),"Cảnh báo: Con vượt khung kế hoạch gốc","L6 đúng khung kế hoạch gốc"))))))))))</f>
        <v/>
      </c>
      <c r="AL255" s="465"/>
      <c r="AM255" s="467"/>
      <c r="AN255" s="469"/>
      <c r="AO255" s="470"/>
      <c r="AP255" s="470"/>
      <c r="AQ255" s="471"/>
      <c r="AR255" s="469"/>
      <c r="AS255" s="475"/>
      <c r="AT255" s="476"/>
      <c r="AU255" s="478"/>
      <c r="AV255" s="465"/>
      <c r="AW255" s="465"/>
      <c r="AX255" s="479"/>
    </row>
    <row r="256" ht="15.75" customHeight="1">
      <c r="A256" s="424"/>
      <c r="B256" s="572"/>
      <c r="C256" s="591"/>
      <c r="D256" s="623"/>
      <c r="E256" s="617"/>
      <c r="F256" s="575"/>
      <c r="G256" s="575"/>
      <c r="H256" s="576"/>
      <c r="I256" s="577"/>
      <c r="J256" s="577"/>
      <c r="K256" s="597"/>
      <c r="L256" s="598"/>
      <c r="M256" s="438"/>
      <c r="N256" s="597"/>
      <c r="O256" s="597"/>
      <c r="P256" s="597"/>
      <c r="Q256" s="581"/>
      <c r="R256" s="420"/>
      <c r="S256" s="582"/>
      <c r="T256" s="583"/>
      <c r="U256" s="584" t="str">
        <f>IF($I256="","",LET(n,COUNTIFS('Lớp 6 - Chi tiết'!$J$14:$J$267,$I256,'Lớp 6 - Chi tiết'!$AE$14:$AE$267,"&lt;&gt;Hủy"),child,IFERROR(MAXIFS('Lớp 6 - Chi tiết'!$AH$14:$AH$267,'Lớp 6 - Chi tiết'!$J$14:$J$267,$I256,'Lớp 6 - Chi tiết'!$AE$14:$AE$267,"&lt;&gt;Hủy",'Lớp 6 - Chi tiết'!$AH$14:$AH$267,"&gt;0"),0),plan,'Trung tâm nhập liệu'!Q406,emergent,LOWER(TRIM('Trung tâm nhập liệu'!O406))="khi phát sinh",IF(n=0,IF(emergent,"",plan),IF(child=0,IF(emergent,"",plan),IF(OR(emergent,plan=""),child,MAX(plan,child))))))</f>
        <v/>
      </c>
      <c r="V256" s="584" t="str">
        <f>IF($I256="","",LET(n,COUNTIFS('Lớp 6 - Chi tiết'!$J$14:$J$267,$I256,'Lớp 6 - Chi tiết'!$AE$14:$AE$267,"&lt;&gt;Hủy"),child,IFERROR(MINIFS('Lớp 6 - Chi tiết'!$AG$14:$AG$267,'Lớp 6 - Chi tiết'!$J$14:$J$267,$I256,'Lớp 6 - Chi tiết'!$AE$14:$AE$267,"&lt;&gt;Hủy",'Lớp 6 - Chi tiết'!$AG$14:$AG$267,"&gt;0"),0),plan,'Trung tâm nhập liệu'!R406,emergent,LOWER(TRIM('Trung tâm nhập liệu'!O406))="khi phát sinh",IF(n=0,IF(emergent,"",plan),IF(child=0,IF(emergent,"",plan),IF(OR(emergent,plan=""),child,MIN(plan,child))))))</f>
        <v/>
      </c>
      <c r="W256" s="577"/>
      <c r="X256" s="577"/>
      <c r="Y256" s="585"/>
      <c r="Z256" s="586"/>
      <c r="AA256" s="577"/>
      <c r="AB256" s="572"/>
      <c r="AC256" s="420"/>
      <c r="AD256" s="584"/>
      <c r="AE256" s="584"/>
      <c r="AF256" s="587"/>
      <c r="AG256" s="588"/>
      <c r="AH256" s="587"/>
      <c r="AI256" s="589"/>
      <c r="AJ256" s="468"/>
      <c r="AK256" s="477" t="str">
        <f>IF(AM256="Chưa xếp lịch","Chưa xếp lịch",IF(AM256="Định kỳ",IF(AN256="","Thiếu chu kỳ","Theo chu kỳ"),IF(AM256="Khi phát sinh",IF(COUNTIFS('Lớp 6 - Chi tiết'!$J$14:$J$267,$I256,'Lớp 6 - Chi tiết'!$AE$14:$AE$267,"&lt;&gt;Hủy")=0,"Khi phát sinh – chờ việc con","Khi phát sinh – theo ngày con"),IF(I256="","",LET(n,COUNTIFS('Lớp 6 - Chi tiết'!$J$14:$J$267,$I256,'Lớp 6 - Chi tiết'!$AE$14:$AE$267,"&lt;&gt;Hủy"),cs,IFERROR(MINIFS('Lớp 6 - Chi tiết'!$AG$14:$AG$267,'Lớp 6 - Chi tiết'!$J$14:$J$267,$I256,'Lớp 6 - Chi tiết'!$AE$14:$AE$267,"&lt;&gt;Hủy",'Lớp 6 - Chi tiết'!$AG$14:$AG$267,"&gt;0"),0),ce,IFERROR(MAXIFS('Lớp 6 - Chi tiết'!$AH$14:$AH$267,'Lớp 6 - Chi tiết'!$J$14:$J$267,$I256,'Lớp 6 - Chi tiết'!$AE$14:$AE$267,"&lt;&gt;Hủy",'Lớp 6 - Chi tiết'!$AH$14:$AH$267,"&gt;0"),0),ps,'Trung tâm nhập liệu'!R406,pe,'Trung tâm nhập liệu'!Q406,IF(OR(AD256="",AE256=""),"Thiếu ngày L5",IF(n=0,"Chưa có L6",IF(OR(cs=0,ce=0),"Thiếu ngày L6",IF(OR(ps="",pe=""),"Thiếu ngày kế hoạch gốc L5",IF(OR(cs&lt;ps,ce&gt;pe),"Cảnh báo: Con vượt khung kế hoạch gốc","L6 đúng khung kế hoạch gốc"))))))))))</f>
        <v/>
      </c>
      <c r="AL256" s="465"/>
      <c r="AM256" s="467"/>
      <c r="AN256" s="469"/>
      <c r="AO256" s="470"/>
      <c r="AP256" s="470"/>
      <c r="AQ256" s="471"/>
      <c r="AR256" s="469"/>
      <c r="AS256" s="475"/>
      <c r="AT256" s="476"/>
      <c r="AU256" s="478"/>
      <c r="AV256" s="465"/>
      <c r="AW256" s="465"/>
      <c r="AX256" s="479"/>
    </row>
    <row r="257" ht="15.75" customHeight="1">
      <c r="A257" s="424"/>
      <c r="B257" s="572"/>
      <c r="C257" s="591"/>
      <c r="D257" s="623"/>
      <c r="E257" s="617"/>
      <c r="F257" s="575"/>
      <c r="G257" s="575"/>
      <c r="H257" s="576"/>
      <c r="I257" s="577"/>
      <c r="J257" s="577"/>
      <c r="K257" s="597"/>
      <c r="L257" s="598"/>
      <c r="M257" s="438"/>
      <c r="N257" s="597"/>
      <c r="O257" s="597"/>
      <c r="P257" s="597"/>
      <c r="Q257" s="581"/>
      <c r="R257" s="420"/>
      <c r="S257" s="582"/>
      <c r="T257" s="583"/>
      <c r="U257" s="584" t="str">
        <f>IF($I257="","",LET(n,COUNTIFS('Lớp 6 - Chi tiết'!$J$14:$J$267,$I257,'Lớp 6 - Chi tiết'!$AE$14:$AE$267,"&lt;&gt;Hủy"),child,IFERROR(MAXIFS('Lớp 6 - Chi tiết'!$AH$14:$AH$267,'Lớp 6 - Chi tiết'!$J$14:$J$267,$I257,'Lớp 6 - Chi tiết'!$AE$14:$AE$267,"&lt;&gt;Hủy",'Lớp 6 - Chi tiết'!$AH$14:$AH$267,"&gt;0"),0),plan,'Trung tâm nhập liệu'!Q407,emergent,LOWER(TRIM('Trung tâm nhập liệu'!O407))="khi phát sinh",IF(n=0,IF(emergent,"",plan),IF(child=0,IF(emergent,"",plan),IF(OR(emergent,plan=""),child,MAX(plan,child))))))</f>
        <v/>
      </c>
      <c r="V257" s="584" t="str">
        <f>IF($I257="","",LET(n,COUNTIFS('Lớp 6 - Chi tiết'!$J$14:$J$267,$I257,'Lớp 6 - Chi tiết'!$AE$14:$AE$267,"&lt;&gt;Hủy"),child,IFERROR(MINIFS('Lớp 6 - Chi tiết'!$AG$14:$AG$267,'Lớp 6 - Chi tiết'!$J$14:$J$267,$I257,'Lớp 6 - Chi tiết'!$AE$14:$AE$267,"&lt;&gt;Hủy",'Lớp 6 - Chi tiết'!$AG$14:$AG$267,"&gt;0"),0),plan,'Trung tâm nhập liệu'!R407,emergent,LOWER(TRIM('Trung tâm nhập liệu'!O407))="khi phát sinh",IF(n=0,IF(emergent,"",plan),IF(child=0,IF(emergent,"",plan),IF(OR(emergent,plan=""),child,MIN(plan,child))))))</f>
        <v/>
      </c>
      <c r="W257" s="577"/>
      <c r="X257" s="577"/>
      <c r="Y257" s="585"/>
      <c r="Z257" s="586"/>
      <c r="AA257" s="577"/>
      <c r="AB257" s="572"/>
      <c r="AC257" s="420"/>
      <c r="AD257" s="584"/>
      <c r="AE257" s="584"/>
      <c r="AF257" s="587"/>
      <c r="AG257" s="588"/>
      <c r="AH257" s="587"/>
      <c r="AI257" s="589"/>
      <c r="AJ257" s="468"/>
      <c r="AK257" s="477" t="str">
        <f>IF(AM257="Chưa xếp lịch","Chưa xếp lịch",IF(AM257="Định kỳ",IF(AN257="","Thiếu chu kỳ","Theo chu kỳ"),IF(AM257="Khi phát sinh",IF(COUNTIFS('Lớp 6 - Chi tiết'!$J$14:$J$267,$I257,'Lớp 6 - Chi tiết'!$AE$14:$AE$267,"&lt;&gt;Hủy")=0,"Khi phát sinh – chờ việc con","Khi phát sinh – theo ngày con"),IF(I257="","",LET(n,COUNTIFS('Lớp 6 - Chi tiết'!$J$14:$J$267,$I257,'Lớp 6 - Chi tiết'!$AE$14:$AE$267,"&lt;&gt;Hủy"),cs,IFERROR(MINIFS('Lớp 6 - Chi tiết'!$AG$14:$AG$267,'Lớp 6 - Chi tiết'!$J$14:$J$267,$I257,'Lớp 6 - Chi tiết'!$AE$14:$AE$267,"&lt;&gt;Hủy",'Lớp 6 - Chi tiết'!$AG$14:$AG$267,"&gt;0"),0),ce,IFERROR(MAXIFS('Lớp 6 - Chi tiết'!$AH$14:$AH$267,'Lớp 6 - Chi tiết'!$J$14:$J$267,$I257,'Lớp 6 - Chi tiết'!$AE$14:$AE$267,"&lt;&gt;Hủy",'Lớp 6 - Chi tiết'!$AH$14:$AH$267,"&gt;0"),0),ps,'Trung tâm nhập liệu'!R407,pe,'Trung tâm nhập liệu'!Q407,IF(OR(AD257="",AE257=""),"Thiếu ngày L5",IF(n=0,"Chưa có L6",IF(OR(cs=0,ce=0),"Thiếu ngày L6",IF(OR(ps="",pe=""),"Thiếu ngày kế hoạch gốc L5",IF(OR(cs&lt;ps,ce&gt;pe),"Cảnh báo: Con vượt khung kế hoạch gốc","L6 đúng khung kế hoạch gốc"))))))))))</f>
        <v/>
      </c>
      <c r="AL257" s="465"/>
      <c r="AM257" s="467"/>
      <c r="AN257" s="469"/>
      <c r="AO257" s="470"/>
      <c r="AP257" s="470"/>
      <c r="AQ257" s="471"/>
      <c r="AR257" s="469"/>
      <c r="AS257" s="475"/>
      <c r="AT257" s="476"/>
      <c r="AU257" s="478"/>
      <c r="AV257" s="465"/>
      <c r="AW257" s="465"/>
      <c r="AX257" s="479"/>
    </row>
    <row r="258" ht="15.75" customHeight="1">
      <c r="A258" s="424"/>
      <c r="B258" s="572"/>
      <c r="C258" s="591"/>
      <c r="D258" s="623"/>
      <c r="E258" s="617"/>
      <c r="F258" s="575"/>
      <c r="G258" s="575"/>
      <c r="H258" s="576"/>
      <c r="I258" s="577"/>
      <c r="J258" s="577"/>
      <c r="K258" s="597"/>
      <c r="L258" s="598"/>
      <c r="M258" s="438"/>
      <c r="N258" s="597"/>
      <c r="O258" s="597"/>
      <c r="P258" s="597"/>
      <c r="Q258" s="581"/>
      <c r="R258" s="420"/>
      <c r="S258" s="582"/>
      <c r="T258" s="583"/>
      <c r="U258" s="584" t="str">
        <f>IF($I258="","",LET(n,COUNTIFS('Lớp 6 - Chi tiết'!$J$14:$J$267,$I258,'Lớp 6 - Chi tiết'!$AE$14:$AE$267,"&lt;&gt;Hủy"),child,IFERROR(MAXIFS('Lớp 6 - Chi tiết'!$AH$14:$AH$267,'Lớp 6 - Chi tiết'!$J$14:$J$267,$I258,'Lớp 6 - Chi tiết'!$AE$14:$AE$267,"&lt;&gt;Hủy",'Lớp 6 - Chi tiết'!$AH$14:$AH$267,"&gt;0"),0),plan,'Trung tâm nhập liệu'!Q408,emergent,LOWER(TRIM('Trung tâm nhập liệu'!O408))="khi phát sinh",IF(n=0,IF(emergent,"",plan),IF(child=0,IF(emergent,"",plan),IF(OR(emergent,plan=""),child,MAX(plan,child))))))</f>
        <v/>
      </c>
      <c r="V258" s="584" t="str">
        <f>IF($I258="","",LET(n,COUNTIFS('Lớp 6 - Chi tiết'!$J$14:$J$267,$I258,'Lớp 6 - Chi tiết'!$AE$14:$AE$267,"&lt;&gt;Hủy"),child,IFERROR(MINIFS('Lớp 6 - Chi tiết'!$AG$14:$AG$267,'Lớp 6 - Chi tiết'!$J$14:$J$267,$I258,'Lớp 6 - Chi tiết'!$AE$14:$AE$267,"&lt;&gt;Hủy",'Lớp 6 - Chi tiết'!$AG$14:$AG$267,"&gt;0"),0),plan,'Trung tâm nhập liệu'!R408,emergent,LOWER(TRIM('Trung tâm nhập liệu'!O408))="khi phát sinh",IF(n=0,IF(emergent,"",plan),IF(child=0,IF(emergent,"",plan),IF(OR(emergent,plan=""),child,MIN(plan,child))))))</f>
        <v/>
      </c>
      <c r="W258" s="577"/>
      <c r="X258" s="577"/>
      <c r="Y258" s="585"/>
      <c r="Z258" s="586"/>
      <c r="AA258" s="577"/>
      <c r="AB258" s="572"/>
      <c r="AC258" s="420"/>
      <c r="AD258" s="584"/>
      <c r="AE258" s="584"/>
      <c r="AF258" s="587"/>
      <c r="AG258" s="588"/>
      <c r="AH258" s="587"/>
      <c r="AI258" s="589"/>
      <c r="AJ258" s="468"/>
      <c r="AK258" s="477" t="str">
        <f>IF(AM258="Chưa xếp lịch","Chưa xếp lịch",IF(AM258="Định kỳ",IF(AN258="","Thiếu chu kỳ","Theo chu kỳ"),IF(AM258="Khi phát sinh",IF(COUNTIFS('Lớp 6 - Chi tiết'!$J$14:$J$267,$I258,'Lớp 6 - Chi tiết'!$AE$14:$AE$267,"&lt;&gt;Hủy")=0,"Khi phát sinh – chờ việc con","Khi phát sinh – theo ngày con"),IF(I258="","",LET(n,COUNTIFS('Lớp 6 - Chi tiết'!$J$14:$J$267,$I258,'Lớp 6 - Chi tiết'!$AE$14:$AE$267,"&lt;&gt;Hủy"),cs,IFERROR(MINIFS('Lớp 6 - Chi tiết'!$AG$14:$AG$267,'Lớp 6 - Chi tiết'!$J$14:$J$267,$I258,'Lớp 6 - Chi tiết'!$AE$14:$AE$267,"&lt;&gt;Hủy",'Lớp 6 - Chi tiết'!$AG$14:$AG$267,"&gt;0"),0),ce,IFERROR(MAXIFS('Lớp 6 - Chi tiết'!$AH$14:$AH$267,'Lớp 6 - Chi tiết'!$J$14:$J$267,$I258,'Lớp 6 - Chi tiết'!$AE$14:$AE$267,"&lt;&gt;Hủy",'Lớp 6 - Chi tiết'!$AH$14:$AH$267,"&gt;0"),0),ps,'Trung tâm nhập liệu'!R408,pe,'Trung tâm nhập liệu'!Q408,IF(OR(AD258="",AE258=""),"Thiếu ngày L5",IF(n=0,"Chưa có L6",IF(OR(cs=0,ce=0),"Thiếu ngày L6",IF(OR(ps="",pe=""),"Thiếu ngày kế hoạch gốc L5",IF(OR(cs&lt;ps,ce&gt;pe),"Cảnh báo: Con vượt khung kế hoạch gốc","L6 đúng khung kế hoạch gốc"))))))))))</f>
        <v/>
      </c>
      <c r="AL258" s="465"/>
      <c r="AM258" s="467"/>
      <c r="AN258" s="469"/>
      <c r="AO258" s="470"/>
      <c r="AP258" s="470"/>
      <c r="AQ258" s="471"/>
      <c r="AR258" s="469"/>
      <c r="AS258" s="475"/>
      <c r="AT258" s="476"/>
      <c r="AU258" s="478"/>
      <c r="AV258" s="465"/>
      <c r="AW258" s="465"/>
      <c r="AX258" s="479"/>
    </row>
    <row r="259" ht="15.75" customHeight="1">
      <c r="A259" s="424"/>
      <c r="B259" s="572"/>
      <c r="C259" s="591"/>
      <c r="D259" s="623"/>
      <c r="E259" s="617"/>
      <c r="F259" s="575"/>
      <c r="G259" s="575"/>
      <c r="H259" s="576"/>
      <c r="I259" s="577"/>
      <c r="J259" s="577"/>
      <c r="K259" s="597"/>
      <c r="L259" s="598"/>
      <c r="M259" s="438"/>
      <c r="N259" s="597"/>
      <c r="O259" s="597"/>
      <c r="P259" s="597"/>
      <c r="Q259" s="581"/>
      <c r="R259" s="420"/>
      <c r="S259" s="582"/>
      <c r="T259" s="583"/>
      <c r="U259" s="584" t="str">
        <f>IF($I259="","",LET(n,COUNTIFS('Lớp 6 - Chi tiết'!$J$14:$J$267,$I259,'Lớp 6 - Chi tiết'!$AE$14:$AE$267,"&lt;&gt;Hủy"),child,IFERROR(MAXIFS('Lớp 6 - Chi tiết'!$AH$14:$AH$267,'Lớp 6 - Chi tiết'!$J$14:$J$267,$I259,'Lớp 6 - Chi tiết'!$AE$14:$AE$267,"&lt;&gt;Hủy",'Lớp 6 - Chi tiết'!$AH$14:$AH$267,"&gt;0"),0),plan,'Trung tâm nhập liệu'!Q409,emergent,LOWER(TRIM('Trung tâm nhập liệu'!O409))="khi phát sinh",IF(n=0,IF(emergent,"",plan),IF(child=0,IF(emergent,"",plan),IF(OR(emergent,plan=""),child,MAX(plan,child))))))</f>
        <v/>
      </c>
      <c r="V259" s="584" t="str">
        <f>IF($I259="","",LET(n,COUNTIFS('Lớp 6 - Chi tiết'!$J$14:$J$267,$I259,'Lớp 6 - Chi tiết'!$AE$14:$AE$267,"&lt;&gt;Hủy"),child,IFERROR(MINIFS('Lớp 6 - Chi tiết'!$AG$14:$AG$267,'Lớp 6 - Chi tiết'!$J$14:$J$267,$I259,'Lớp 6 - Chi tiết'!$AE$14:$AE$267,"&lt;&gt;Hủy",'Lớp 6 - Chi tiết'!$AG$14:$AG$267,"&gt;0"),0),plan,'Trung tâm nhập liệu'!R409,emergent,LOWER(TRIM('Trung tâm nhập liệu'!O409))="khi phát sinh",IF(n=0,IF(emergent,"",plan),IF(child=0,IF(emergent,"",plan),IF(OR(emergent,plan=""),child,MIN(plan,child))))))</f>
        <v/>
      </c>
      <c r="W259" s="577"/>
      <c r="X259" s="577"/>
      <c r="Y259" s="585"/>
      <c r="Z259" s="586"/>
      <c r="AA259" s="577"/>
      <c r="AB259" s="572"/>
      <c r="AC259" s="420"/>
      <c r="AD259" s="584"/>
      <c r="AE259" s="584"/>
      <c r="AF259" s="587"/>
      <c r="AG259" s="588"/>
      <c r="AH259" s="587"/>
      <c r="AI259" s="589"/>
      <c r="AJ259" s="468"/>
      <c r="AK259" s="477" t="str">
        <f>IF(AM259="Chưa xếp lịch","Chưa xếp lịch",IF(AM259="Định kỳ",IF(AN259="","Thiếu chu kỳ","Theo chu kỳ"),IF(AM259="Khi phát sinh",IF(COUNTIFS('Lớp 6 - Chi tiết'!$J$14:$J$267,$I259,'Lớp 6 - Chi tiết'!$AE$14:$AE$267,"&lt;&gt;Hủy")=0,"Khi phát sinh – chờ việc con","Khi phát sinh – theo ngày con"),IF(I259="","",LET(n,COUNTIFS('Lớp 6 - Chi tiết'!$J$14:$J$267,$I259,'Lớp 6 - Chi tiết'!$AE$14:$AE$267,"&lt;&gt;Hủy"),cs,IFERROR(MINIFS('Lớp 6 - Chi tiết'!$AG$14:$AG$267,'Lớp 6 - Chi tiết'!$J$14:$J$267,$I259,'Lớp 6 - Chi tiết'!$AE$14:$AE$267,"&lt;&gt;Hủy",'Lớp 6 - Chi tiết'!$AG$14:$AG$267,"&gt;0"),0),ce,IFERROR(MAXIFS('Lớp 6 - Chi tiết'!$AH$14:$AH$267,'Lớp 6 - Chi tiết'!$J$14:$J$267,$I259,'Lớp 6 - Chi tiết'!$AE$14:$AE$267,"&lt;&gt;Hủy",'Lớp 6 - Chi tiết'!$AH$14:$AH$267,"&gt;0"),0),ps,'Trung tâm nhập liệu'!R409,pe,'Trung tâm nhập liệu'!Q409,IF(OR(AD259="",AE259=""),"Thiếu ngày L5",IF(n=0,"Chưa có L6",IF(OR(cs=0,ce=0),"Thiếu ngày L6",IF(OR(ps="",pe=""),"Thiếu ngày kế hoạch gốc L5",IF(OR(cs&lt;ps,ce&gt;pe),"Cảnh báo: Con vượt khung kế hoạch gốc","L6 đúng khung kế hoạch gốc"))))))))))</f>
        <v/>
      </c>
      <c r="AL259" s="465"/>
      <c r="AM259" s="467"/>
      <c r="AN259" s="469"/>
      <c r="AO259" s="470"/>
      <c r="AP259" s="470"/>
      <c r="AQ259" s="471"/>
      <c r="AR259" s="469"/>
      <c r="AS259" s="475"/>
      <c r="AT259" s="476"/>
      <c r="AU259" s="478"/>
      <c r="AV259" s="465"/>
      <c r="AW259" s="465"/>
      <c r="AX259" s="479"/>
    </row>
    <row r="260" ht="15.75" customHeight="1">
      <c r="A260" s="424"/>
      <c r="B260" s="572"/>
      <c r="C260" s="591"/>
      <c r="D260" s="623"/>
      <c r="E260" s="617"/>
      <c r="F260" s="575"/>
      <c r="G260" s="575"/>
      <c r="H260" s="576"/>
      <c r="I260" s="577"/>
      <c r="J260" s="577"/>
      <c r="K260" s="597"/>
      <c r="L260" s="598"/>
      <c r="M260" s="438"/>
      <c r="N260" s="597"/>
      <c r="O260" s="597"/>
      <c r="P260" s="597"/>
      <c r="Q260" s="581"/>
      <c r="R260" s="420"/>
      <c r="S260" s="582"/>
      <c r="T260" s="583"/>
      <c r="U260" s="584" t="str">
        <f>IF($I260="","",LET(n,COUNTIFS('Lớp 6 - Chi tiết'!$J$14:$J$267,$I260,'Lớp 6 - Chi tiết'!$AE$14:$AE$267,"&lt;&gt;Hủy"),child,IFERROR(MAXIFS('Lớp 6 - Chi tiết'!$AH$14:$AH$267,'Lớp 6 - Chi tiết'!$J$14:$J$267,$I260,'Lớp 6 - Chi tiết'!$AE$14:$AE$267,"&lt;&gt;Hủy",'Lớp 6 - Chi tiết'!$AH$14:$AH$267,"&gt;0"),0),plan,'Trung tâm nhập liệu'!Q410,emergent,LOWER(TRIM('Trung tâm nhập liệu'!O410))="khi phát sinh",IF(n=0,IF(emergent,"",plan),IF(child=0,IF(emergent,"",plan),IF(OR(emergent,plan=""),child,MAX(plan,child))))))</f>
        <v/>
      </c>
      <c r="V260" s="584" t="str">
        <f>IF($I260="","",LET(n,COUNTIFS('Lớp 6 - Chi tiết'!$J$14:$J$267,$I260,'Lớp 6 - Chi tiết'!$AE$14:$AE$267,"&lt;&gt;Hủy"),child,IFERROR(MINIFS('Lớp 6 - Chi tiết'!$AG$14:$AG$267,'Lớp 6 - Chi tiết'!$J$14:$J$267,$I260,'Lớp 6 - Chi tiết'!$AE$14:$AE$267,"&lt;&gt;Hủy",'Lớp 6 - Chi tiết'!$AG$14:$AG$267,"&gt;0"),0),plan,'Trung tâm nhập liệu'!R410,emergent,LOWER(TRIM('Trung tâm nhập liệu'!O410))="khi phát sinh",IF(n=0,IF(emergent,"",plan),IF(child=0,IF(emergent,"",plan),IF(OR(emergent,plan=""),child,MIN(plan,child))))))</f>
        <v/>
      </c>
      <c r="W260" s="577"/>
      <c r="X260" s="577"/>
      <c r="Y260" s="585"/>
      <c r="Z260" s="586"/>
      <c r="AA260" s="577"/>
      <c r="AB260" s="572"/>
      <c r="AC260" s="420"/>
      <c r="AD260" s="584"/>
      <c r="AE260" s="584"/>
      <c r="AF260" s="587"/>
      <c r="AG260" s="588"/>
      <c r="AH260" s="587"/>
      <c r="AI260" s="589"/>
      <c r="AJ260" s="468"/>
      <c r="AK260" s="477" t="str">
        <f>IF(AM260="Chưa xếp lịch","Chưa xếp lịch",IF(AM260="Định kỳ",IF(AN260="","Thiếu chu kỳ","Theo chu kỳ"),IF(AM260="Khi phát sinh",IF(COUNTIFS('Lớp 6 - Chi tiết'!$J$14:$J$267,$I260,'Lớp 6 - Chi tiết'!$AE$14:$AE$267,"&lt;&gt;Hủy")=0,"Khi phát sinh – chờ việc con","Khi phát sinh – theo ngày con"),IF(I260="","",LET(n,COUNTIFS('Lớp 6 - Chi tiết'!$J$14:$J$267,$I260,'Lớp 6 - Chi tiết'!$AE$14:$AE$267,"&lt;&gt;Hủy"),cs,IFERROR(MINIFS('Lớp 6 - Chi tiết'!$AG$14:$AG$267,'Lớp 6 - Chi tiết'!$J$14:$J$267,$I260,'Lớp 6 - Chi tiết'!$AE$14:$AE$267,"&lt;&gt;Hủy",'Lớp 6 - Chi tiết'!$AG$14:$AG$267,"&gt;0"),0),ce,IFERROR(MAXIFS('Lớp 6 - Chi tiết'!$AH$14:$AH$267,'Lớp 6 - Chi tiết'!$J$14:$J$267,$I260,'Lớp 6 - Chi tiết'!$AE$14:$AE$267,"&lt;&gt;Hủy",'Lớp 6 - Chi tiết'!$AH$14:$AH$267,"&gt;0"),0),ps,'Trung tâm nhập liệu'!R410,pe,'Trung tâm nhập liệu'!Q410,IF(OR(AD260="",AE260=""),"Thiếu ngày L5",IF(n=0,"Chưa có L6",IF(OR(cs=0,ce=0),"Thiếu ngày L6",IF(OR(ps="",pe=""),"Thiếu ngày kế hoạch gốc L5",IF(OR(cs&lt;ps,ce&gt;pe),"Cảnh báo: Con vượt khung kế hoạch gốc","L6 đúng khung kế hoạch gốc"))))))))))</f>
        <v/>
      </c>
      <c r="AL260" s="465"/>
      <c r="AM260" s="467"/>
      <c r="AN260" s="469"/>
      <c r="AO260" s="470"/>
      <c r="AP260" s="470"/>
      <c r="AQ260" s="471"/>
      <c r="AR260" s="469"/>
      <c r="AS260" s="475"/>
      <c r="AT260" s="476"/>
      <c r="AU260" s="478"/>
      <c r="AV260" s="465"/>
      <c r="AW260" s="465"/>
      <c r="AX260" s="479"/>
    </row>
    <row r="261" ht="15.75" customHeight="1">
      <c r="A261" s="424"/>
      <c r="B261" s="572"/>
      <c r="C261" s="591"/>
      <c r="D261" s="623"/>
      <c r="E261" s="617"/>
      <c r="F261" s="575"/>
      <c r="G261" s="575"/>
      <c r="H261" s="576"/>
      <c r="I261" s="577"/>
      <c r="J261" s="577"/>
      <c r="K261" s="597"/>
      <c r="L261" s="598"/>
      <c r="M261" s="438"/>
      <c r="N261" s="597"/>
      <c r="O261" s="597"/>
      <c r="P261" s="597"/>
      <c r="Q261" s="581"/>
      <c r="R261" s="420"/>
      <c r="S261" s="582"/>
      <c r="T261" s="583"/>
      <c r="U261" s="584" t="str">
        <f>IF($I261="","",LET(n,COUNTIFS('Lớp 6 - Chi tiết'!$J$14:$J$267,$I261,'Lớp 6 - Chi tiết'!$AE$14:$AE$267,"&lt;&gt;Hủy"),child,IFERROR(MAXIFS('Lớp 6 - Chi tiết'!$AH$14:$AH$267,'Lớp 6 - Chi tiết'!$J$14:$J$267,$I261,'Lớp 6 - Chi tiết'!$AE$14:$AE$267,"&lt;&gt;Hủy",'Lớp 6 - Chi tiết'!$AH$14:$AH$267,"&gt;0"),0),plan,'Trung tâm nhập liệu'!Q411,emergent,LOWER(TRIM('Trung tâm nhập liệu'!O411))="khi phát sinh",IF(n=0,IF(emergent,"",plan),IF(child=0,IF(emergent,"",plan),IF(OR(emergent,plan=""),child,MAX(plan,child))))))</f>
        <v/>
      </c>
      <c r="V261" s="584" t="str">
        <f>IF($I261="","",LET(n,COUNTIFS('Lớp 6 - Chi tiết'!$J$14:$J$267,$I261,'Lớp 6 - Chi tiết'!$AE$14:$AE$267,"&lt;&gt;Hủy"),child,IFERROR(MINIFS('Lớp 6 - Chi tiết'!$AG$14:$AG$267,'Lớp 6 - Chi tiết'!$J$14:$J$267,$I261,'Lớp 6 - Chi tiết'!$AE$14:$AE$267,"&lt;&gt;Hủy",'Lớp 6 - Chi tiết'!$AG$14:$AG$267,"&gt;0"),0),plan,'Trung tâm nhập liệu'!R411,emergent,LOWER(TRIM('Trung tâm nhập liệu'!O411))="khi phát sinh",IF(n=0,IF(emergent,"",plan),IF(child=0,IF(emergent,"",plan),IF(OR(emergent,plan=""),child,MIN(plan,child))))))</f>
        <v/>
      </c>
      <c r="W261" s="577"/>
      <c r="X261" s="577"/>
      <c r="Y261" s="585"/>
      <c r="Z261" s="586"/>
      <c r="AA261" s="577"/>
      <c r="AB261" s="572"/>
      <c r="AC261" s="420"/>
      <c r="AD261" s="584"/>
      <c r="AE261" s="584"/>
      <c r="AF261" s="587"/>
      <c r="AG261" s="588"/>
      <c r="AH261" s="587"/>
      <c r="AI261" s="589"/>
      <c r="AJ261" s="468"/>
      <c r="AK261" s="477" t="str">
        <f>IF(AM261="Chưa xếp lịch","Chưa xếp lịch",IF(AM261="Định kỳ",IF(AN261="","Thiếu chu kỳ","Theo chu kỳ"),IF(AM261="Khi phát sinh",IF(COUNTIFS('Lớp 6 - Chi tiết'!$J$14:$J$267,$I261,'Lớp 6 - Chi tiết'!$AE$14:$AE$267,"&lt;&gt;Hủy")=0,"Khi phát sinh – chờ việc con","Khi phát sinh – theo ngày con"),IF(I261="","",LET(n,COUNTIFS('Lớp 6 - Chi tiết'!$J$14:$J$267,$I261,'Lớp 6 - Chi tiết'!$AE$14:$AE$267,"&lt;&gt;Hủy"),cs,IFERROR(MINIFS('Lớp 6 - Chi tiết'!$AG$14:$AG$267,'Lớp 6 - Chi tiết'!$J$14:$J$267,$I261,'Lớp 6 - Chi tiết'!$AE$14:$AE$267,"&lt;&gt;Hủy",'Lớp 6 - Chi tiết'!$AG$14:$AG$267,"&gt;0"),0),ce,IFERROR(MAXIFS('Lớp 6 - Chi tiết'!$AH$14:$AH$267,'Lớp 6 - Chi tiết'!$J$14:$J$267,$I261,'Lớp 6 - Chi tiết'!$AE$14:$AE$267,"&lt;&gt;Hủy",'Lớp 6 - Chi tiết'!$AH$14:$AH$267,"&gt;0"),0),ps,'Trung tâm nhập liệu'!R411,pe,'Trung tâm nhập liệu'!Q411,IF(OR(AD261="",AE261=""),"Thiếu ngày L5",IF(n=0,"Chưa có L6",IF(OR(cs=0,ce=0),"Thiếu ngày L6",IF(OR(ps="",pe=""),"Thiếu ngày kế hoạch gốc L5",IF(OR(cs&lt;ps,ce&gt;pe),"Cảnh báo: Con vượt khung kế hoạch gốc","L6 đúng khung kế hoạch gốc"))))))))))</f>
        <v/>
      </c>
      <c r="AL261" s="465"/>
      <c r="AM261" s="467"/>
      <c r="AN261" s="469"/>
      <c r="AO261" s="470"/>
      <c r="AP261" s="470"/>
      <c r="AQ261" s="471"/>
      <c r="AR261" s="469"/>
      <c r="AS261" s="475"/>
      <c r="AT261" s="476"/>
      <c r="AU261" s="478"/>
      <c r="AV261" s="465"/>
      <c r="AW261" s="465"/>
      <c r="AX261" s="479"/>
    </row>
    <row r="262" ht="15.75" customHeight="1">
      <c r="A262" s="424"/>
      <c r="B262" s="572"/>
      <c r="C262" s="591"/>
      <c r="D262" s="649"/>
      <c r="E262" s="704"/>
      <c r="F262" s="575"/>
      <c r="G262" s="575"/>
      <c r="H262" s="576"/>
      <c r="I262" s="577"/>
      <c r="J262" s="577"/>
      <c r="K262" s="705"/>
      <c r="L262" s="706"/>
      <c r="M262" s="652"/>
      <c r="N262" s="705"/>
      <c r="O262" s="705"/>
      <c r="P262" s="705"/>
      <c r="Q262" s="581"/>
      <c r="R262" s="420"/>
      <c r="S262" s="582"/>
      <c r="T262" s="583"/>
      <c r="U262" s="584" t="str">
        <f>IF($I262="","",LET(n,COUNTIFS('Lớp 6 - Chi tiết'!$J$14:$J$267,$I262,'Lớp 6 - Chi tiết'!$AE$14:$AE$267,"&lt;&gt;Hủy"),child,IFERROR(MAXIFS('Lớp 6 - Chi tiết'!$AH$14:$AH$267,'Lớp 6 - Chi tiết'!$J$14:$J$267,$I262,'Lớp 6 - Chi tiết'!$AE$14:$AE$267,"&lt;&gt;Hủy",'Lớp 6 - Chi tiết'!$AH$14:$AH$267,"&gt;0"),0),plan,'Trung tâm nhập liệu'!Q412,emergent,LOWER(TRIM('Trung tâm nhập liệu'!O412))="khi phát sinh",IF(n=0,IF(emergent,"",plan),IF(child=0,IF(emergent,"",plan),IF(OR(emergent,plan=""),child,MAX(plan,child))))))</f>
        <v/>
      </c>
      <c r="V262" s="584" t="str">
        <f>IF($I262="","",LET(n,COUNTIFS('Lớp 6 - Chi tiết'!$J$14:$J$267,$I262,'Lớp 6 - Chi tiết'!$AE$14:$AE$267,"&lt;&gt;Hủy"),child,IFERROR(MINIFS('Lớp 6 - Chi tiết'!$AG$14:$AG$267,'Lớp 6 - Chi tiết'!$J$14:$J$267,$I262,'Lớp 6 - Chi tiết'!$AE$14:$AE$267,"&lt;&gt;Hủy",'Lớp 6 - Chi tiết'!$AG$14:$AG$267,"&gt;0"),0),plan,'Trung tâm nhập liệu'!R412,emergent,LOWER(TRIM('Trung tâm nhập liệu'!O412))="khi phát sinh",IF(n=0,IF(emergent,"",plan),IF(child=0,IF(emergent,"",plan),IF(OR(emergent,plan=""),child,MIN(plan,child))))))</f>
        <v/>
      </c>
      <c r="W262" s="577"/>
      <c r="X262" s="577"/>
      <c r="Y262" s="585"/>
      <c r="Z262" s="586"/>
      <c r="AA262" s="577"/>
      <c r="AB262" s="572"/>
      <c r="AC262" s="420"/>
      <c r="AD262" s="584"/>
      <c r="AE262" s="584"/>
      <c r="AF262" s="587"/>
      <c r="AG262" s="588"/>
      <c r="AH262" s="587"/>
      <c r="AI262" s="589"/>
      <c r="AJ262" s="468"/>
      <c r="AK262" s="477" t="str">
        <f>IF(AM262="Chưa xếp lịch","Chưa xếp lịch",IF(AM262="Định kỳ",IF(AN262="","Thiếu chu kỳ","Theo chu kỳ"),IF(AM262="Khi phát sinh",IF(COUNTIFS('Lớp 6 - Chi tiết'!$J$14:$J$267,$I262,'Lớp 6 - Chi tiết'!$AE$14:$AE$267,"&lt;&gt;Hủy")=0,"Khi phát sinh – chờ việc con","Khi phát sinh – theo ngày con"),IF(I262="","",LET(n,COUNTIFS('Lớp 6 - Chi tiết'!$J$14:$J$267,$I262,'Lớp 6 - Chi tiết'!$AE$14:$AE$267,"&lt;&gt;Hủy"),cs,IFERROR(MINIFS('Lớp 6 - Chi tiết'!$AG$14:$AG$267,'Lớp 6 - Chi tiết'!$J$14:$J$267,$I262,'Lớp 6 - Chi tiết'!$AE$14:$AE$267,"&lt;&gt;Hủy",'Lớp 6 - Chi tiết'!$AG$14:$AG$267,"&gt;0"),0),ce,IFERROR(MAXIFS('Lớp 6 - Chi tiết'!$AH$14:$AH$267,'Lớp 6 - Chi tiết'!$J$14:$J$267,$I262,'Lớp 6 - Chi tiết'!$AE$14:$AE$267,"&lt;&gt;Hủy",'Lớp 6 - Chi tiết'!$AH$14:$AH$267,"&gt;0"),0),ps,'Trung tâm nhập liệu'!R412,pe,'Trung tâm nhập liệu'!Q412,IF(OR(AD262="",AE262=""),"Thiếu ngày L5",IF(n=0,"Chưa có L6",IF(OR(cs=0,ce=0),"Thiếu ngày L6",IF(OR(ps="",pe=""),"Thiếu ngày kế hoạch gốc L5",IF(OR(cs&lt;ps,ce&gt;pe),"Cảnh báo: Con vượt khung kế hoạch gốc","L6 đúng khung kế hoạch gốc"))))))))))</f>
        <v/>
      </c>
      <c r="AL262" s="465"/>
      <c r="AM262" s="467"/>
      <c r="AN262" s="469"/>
      <c r="AO262" s="470"/>
      <c r="AP262" s="470"/>
      <c r="AQ262" s="471"/>
      <c r="AR262" s="469"/>
      <c r="AS262" s="475"/>
      <c r="AT262" s="476"/>
      <c r="AU262" s="478"/>
      <c r="AV262" s="465"/>
      <c r="AW262" s="465"/>
      <c r="AX262" s="479"/>
    </row>
    <row r="263" ht="15.75" customHeight="1">
      <c r="A263" s="424"/>
      <c r="B263" s="572"/>
      <c r="C263" s="591"/>
      <c r="D263" s="649"/>
      <c r="E263" s="704"/>
      <c r="F263" s="575"/>
      <c r="G263" s="575"/>
      <c r="H263" s="576"/>
      <c r="I263" s="577"/>
      <c r="J263" s="577"/>
      <c r="K263" s="705"/>
      <c r="L263" s="706"/>
      <c r="M263" s="652"/>
      <c r="N263" s="705"/>
      <c r="O263" s="705"/>
      <c r="P263" s="705"/>
      <c r="Q263" s="581"/>
      <c r="R263" s="420"/>
      <c r="S263" s="582"/>
      <c r="T263" s="583"/>
      <c r="U263" s="584"/>
      <c r="V263" s="584"/>
      <c r="W263" s="577"/>
      <c r="X263" s="577"/>
      <c r="Y263" s="585"/>
      <c r="Z263" s="586"/>
      <c r="AA263" s="577"/>
      <c r="AB263" s="572"/>
      <c r="AC263" s="420"/>
      <c r="AD263" s="584"/>
      <c r="AE263" s="584"/>
      <c r="AF263" s="587"/>
      <c r="AG263" s="588"/>
      <c r="AH263" s="587"/>
      <c r="AI263" s="589"/>
      <c r="AJ263" s="468"/>
      <c r="AK263" s="477"/>
      <c r="AL263" s="465"/>
      <c r="AM263" s="467"/>
      <c r="AN263" s="469"/>
      <c r="AO263" s="470"/>
      <c r="AP263" s="470"/>
      <c r="AQ263" s="471"/>
      <c r="AR263" s="469"/>
      <c r="AS263" s="475"/>
      <c r="AT263" s="476"/>
      <c r="AU263" s="478"/>
      <c r="AV263" s="465"/>
      <c r="AW263" s="465"/>
      <c r="AX263" s="479"/>
    </row>
    <row r="264" ht="15.75" customHeight="1">
      <c r="A264" s="424"/>
      <c r="B264" s="572"/>
      <c r="C264" s="591"/>
      <c r="D264" s="649"/>
      <c r="E264" s="704"/>
      <c r="F264" s="575"/>
      <c r="G264" s="575"/>
      <c r="H264" s="576"/>
      <c r="I264" s="577"/>
      <c r="J264" s="577"/>
      <c r="K264" s="705"/>
      <c r="L264" s="706"/>
      <c r="M264" s="652"/>
      <c r="N264" s="705"/>
      <c r="O264" s="705"/>
      <c r="P264" s="705"/>
      <c r="Q264" s="581"/>
      <c r="R264" s="420"/>
      <c r="S264" s="582"/>
      <c r="T264" s="583"/>
      <c r="U264" s="584"/>
      <c r="V264" s="584"/>
      <c r="W264" s="577"/>
      <c r="X264" s="577"/>
      <c r="Y264" s="585"/>
      <c r="Z264" s="586"/>
      <c r="AA264" s="577"/>
      <c r="AB264" s="572"/>
      <c r="AC264" s="420"/>
      <c r="AD264" s="584"/>
      <c r="AE264" s="584"/>
      <c r="AF264" s="587"/>
      <c r="AG264" s="588"/>
      <c r="AH264" s="587"/>
      <c r="AI264" s="589"/>
      <c r="AJ264" s="468"/>
      <c r="AK264" s="477"/>
      <c r="AL264" s="465"/>
      <c r="AM264" s="467"/>
      <c r="AN264" s="469"/>
      <c r="AO264" s="470"/>
      <c r="AP264" s="470"/>
      <c r="AQ264" s="471"/>
      <c r="AR264" s="469"/>
      <c r="AS264" s="475"/>
      <c r="AT264" s="476"/>
      <c r="AU264" s="478"/>
      <c r="AV264" s="465"/>
      <c r="AW264" s="465"/>
      <c r="AX264" s="479"/>
    </row>
    <row r="265" ht="15.75" customHeight="1">
      <c r="A265" s="424"/>
      <c r="B265" s="572"/>
      <c r="C265" s="591"/>
      <c r="D265" s="649"/>
      <c r="E265" s="704"/>
      <c r="F265" s="575"/>
      <c r="G265" s="575"/>
      <c r="H265" s="576"/>
      <c r="I265" s="577"/>
      <c r="J265" s="577"/>
      <c r="K265" s="705"/>
      <c r="L265" s="706"/>
      <c r="M265" s="652"/>
      <c r="N265" s="705"/>
      <c r="O265" s="705"/>
      <c r="P265" s="705"/>
      <c r="Q265" s="581"/>
      <c r="R265" s="420"/>
      <c r="S265" s="582"/>
      <c r="T265" s="583"/>
      <c r="U265" s="584"/>
      <c r="V265" s="584"/>
      <c r="W265" s="577"/>
      <c r="X265" s="577"/>
      <c r="Y265" s="585"/>
      <c r="Z265" s="586"/>
      <c r="AA265" s="577"/>
      <c r="AB265" s="572"/>
      <c r="AC265" s="420"/>
      <c r="AD265" s="584"/>
      <c r="AE265" s="584"/>
      <c r="AF265" s="587"/>
      <c r="AG265" s="588"/>
      <c r="AH265" s="587"/>
      <c r="AI265" s="707"/>
      <c r="AJ265" s="468"/>
      <c r="AK265" s="477"/>
      <c r="AL265" s="465"/>
      <c r="AM265" s="467"/>
      <c r="AN265" s="469"/>
      <c r="AO265" s="470"/>
      <c r="AP265" s="470"/>
      <c r="AQ265" s="471"/>
      <c r="AR265" s="469"/>
      <c r="AS265" s="475"/>
      <c r="AT265" s="476"/>
      <c r="AU265" s="478"/>
      <c r="AV265" s="465"/>
      <c r="AW265" s="465"/>
      <c r="AX265" s="479"/>
    </row>
    <row r="266" ht="15.75" customHeight="1">
      <c r="A266" s="424"/>
      <c r="B266" s="572"/>
      <c r="C266" s="591"/>
      <c r="D266" s="649"/>
      <c r="E266" s="704"/>
      <c r="F266" s="575"/>
      <c r="G266" s="575"/>
      <c r="H266" s="576"/>
      <c r="I266" s="577"/>
      <c r="J266" s="577"/>
      <c r="K266" s="705"/>
      <c r="L266" s="706"/>
      <c r="M266" s="652"/>
      <c r="N266" s="705"/>
      <c r="O266" s="705"/>
      <c r="P266" s="705"/>
      <c r="Q266" s="581"/>
      <c r="R266" s="420"/>
      <c r="S266" s="582"/>
      <c r="T266" s="583"/>
      <c r="U266" s="584"/>
      <c r="V266" s="584"/>
      <c r="W266" s="577"/>
      <c r="X266" s="577"/>
      <c r="Y266" s="585"/>
      <c r="Z266" s="586"/>
      <c r="AA266" s="577"/>
      <c r="AB266" s="572"/>
      <c r="AC266" s="420"/>
      <c r="AD266" s="584"/>
      <c r="AE266" s="584"/>
      <c r="AF266" s="587"/>
      <c r="AG266" s="588"/>
      <c r="AH266" s="587"/>
      <c r="AI266" s="589"/>
      <c r="AJ266" s="468"/>
      <c r="AK266" s="477"/>
      <c r="AL266" s="465"/>
      <c r="AM266" s="467"/>
      <c r="AN266" s="469"/>
      <c r="AO266" s="470"/>
      <c r="AP266" s="470"/>
      <c r="AQ266" s="471"/>
      <c r="AR266" s="469"/>
      <c r="AS266" s="475"/>
      <c r="AT266" s="476"/>
      <c r="AU266" s="478"/>
      <c r="AV266" s="465"/>
      <c r="AW266" s="465"/>
      <c r="AX266" s="479"/>
    </row>
    <row r="267" ht="15.75" customHeight="1">
      <c r="A267" s="424"/>
      <c r="B267" s="572"/>
      <c r="C267" s="591"/>
      <c r="D267" s="649"/>
      <c r="E267" s="704"/>
      <c r="F267" s="575"/>
      <c r="G267" s="575"/>
      <c r="H267" s="576"/>
      <c r="I267" s="577"/>
      <c r="J267" s="577"/>
      <c r="K267" s="705"/>
      <c r="L267" s="706"/>
      <c r="M267" s="652"/>
      <c r="N267" s="705"/>
      <c r="O267" s="705"/>
      <c r="P267" s="705"/>
      <c r="Q267" s="581"/>
      <c r="R267" s="420"/>
      <c r="S267" s="582"/>
      <c r="T267" s="583"/>
      <c r="U267" s="584"/>
      <c r="V267" s="584"/>
      <c r="W267" s="577"/>
      <c r="X267" s="577"/>
      <c r="Y267" s="585"/>
      <c r="Z267" s="586"/>
      <c r="AA267" s="577"/>
      <c r="AB267" s="572"/>
      <c r="AC267" s="420"/>
      <c r="AD267" s="584"/>
      <c r="AE267" s="584"/>
      <c r="AF267" s="587"/>
      <c r="AG267" s="588"/>
      <c r="AH267" s="587"/>
      <c r="AI267" s="589"/>
      <c r="AJ267" s="468"/>
      <c r="AK267" s="477"/>
      <c r="AL267" s="465"/>
      <c r="AM267" s="467"/>
      <c r="AN267" s="469"/>
      <c r="AO267" s="470"/>
      <c r="AP267" s="470"/>
      <c r="AQ267" s="471"/>
      <c r="AR267" s="469"/>
      <c r="AS267" s="475"/>
      <c r="AT267" s="476"/>
      <c r="AU267" s="478"/>
      <c r="AV267" s="465"/>
      <c r="AW267" s="465"/>
      <c r="AX267" s="479"/>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4">
    <mergeCell ref="I12:J12"/>
    <mergeCell ref="K12:P12"/>
    <mergeCell ref="Q12:AG12"/>
    <mergeCell ref="AH12:AK12"/>
  </mergeCells>
  <conditionalFormatting sqref="A14:D267 Q14:R267 AC14:AC267 AG14:AG267">
    <cfRule type="expression" dxfId="9" priority="1" stopIfTrue="1">
      <formula>$AC14="P1"</formula>
    </cfRule>
  </conditionalFormatting>
  <conditionalFormatting sqref="A14:D267 Q14:R267 AC14:AC267 AG14:AG267">
    <cfRule type="expression" dxfId="10" priority="2" stopIfTrue="1">
      <formula>$AC14="P2"</formula>
    </cfRule>
  </conditionalFormatting>
  <conditionalFormatting sqref="A14:D267 Q14:R267 AC14:AC267 AG14:AG267">
    <cfRule type="expression" dxfId="11" priority="3" stopIfTrue="1">
      <formula>$AC14="P3"</formula>
    </cfRule>
  </conditionalFormatting>
  <conditionalFormatting sqref="A14:D267 Q14:R267 AC14:AC267 AG14:AG267">
    <cfRule type="expression" dxfId="12" priority="4" stopIfTrue="1">
      <formula>$AC14="P4"</formula>
    </cfRule>
  </conditionalFormatting>
  <conditionalFormatting sqref="A14:B267 D14:D267 Q14:Q267 AG14:AG267">
    <cfRule type="expression" dxfId="26" priority="5" stopIfTrue="1">
      <formula>#REF!="P1"</formula>
    </cfRule>
  </conditionalFormatting>
  <conditionalFormatting sqref="A14:B267 D14:D267 Q14:Q267 AG14:AG267">
    <cfRule type="expression" dxfId="27" priority="6" stopIfTrue="1">
      <formula>#REF!="P2"</formula>
    </cfRule>
  </conditionalFormatting>
  <conditionalFormatting sqref="A14:B267 D14:D267 Q14:Q267 AG14:AG267">
    <cfRule type="expression" dxfId="28" priority="7" stopIfTrue="1">
      <formula>#REF!="P3"</formula>
    </cfRule>
  </conditionalFormatting>
  <conditionalFormatting sqref="A14:B267 D14:D267 Q14:Q267 AG14:AG267">
    <cfRule type="expression" dxfId="29" priority="8" stopIfTrue="1">
      <formula>#REF!="P4"</formula>
    </cfRule>
  </conditionalFormatting>
  <conditionalFormatting sqref="C14:C267 R14:R267 AC14:AC267">
    <cfRule type="cellIs" dxfId="9" priority="9" stopIfTrue="1" operator="equal">
      <formula>"P1"</formula>
    </cfRule>
  </conditionalFormatting>
  <conditionalFormatting sqref="C14:C267 R14:R267 AC14:AC267">
    <cfRule type="cellIs" dxfId="13" priority="10" stopIfTrue="1" operator="equal">
      <formula>"P2"</formula>
    </cfRule>
  </conditionalFormatting>
  <conditionalFormatting sqref="C14:C267 R14:R267 AC14:AC267">
    <cfRule type="cellIs" dxfId="14" priority="11" stopIfTrue="1" operator="equal">
      <formula>"P3"</formula>
    </cfRule>
  </conditionalFormatting>
  <conditionalFormatting sqref="C14:C267 R14:R267 AC14:AC267">
    <cfRule type="cellIs" dxfId="15" priority="12" stopIfTrue="1" operator="equal">
      <formula>"P4"</formula>
    </cfRule>
  </conditionalFormatting>
  <conditionalFormatting sqref="N14:N267">
    <cfRule type="containsText" dxfId="18" priority="13" stopIfTrue="1" operator="containsText" text="Công việc khác">
      <formula>NOT(ISERROR(SEARCH(("Công việc khác"),(N14))))</formula>
    </cfRule>
  </conditionalFormatting>
  <conditionalFormatting sqref="C14:C267 F14:G267 R14:R267 U14:V267 AB14:AE267">
    <cfRule type="expression" dxfId="20" priority="14" stopIfTrue="1">
      <formula>ISNUMBER(SEARCH("Vượt khung",$AK14))</formula>
    </cfRule>
  </conditionalFormatting>
  <conditionalFormatting sqref="AB14:AB267">
    <cfRule type="containsText" dxfId="17" priority="15" stopIfTrue="1" operator="containsText" text="Hoàn thành">
      <formula>NOT(ISERROR(SEARCH(("Hoàn thành"),(AB14))))</formula>
    </cfRule>
  </conditionalFormatting>
  <conditionalFormatting sqref="AB14:AB267">
    <cfRule type="containsText" dxfId="19" priority="16" stopIfTrue="1" operator="containsText" text="Tạm dừng">
      <formula>NOT(ISERROR(SEARCH(("Tạm dừng"),(AB14))))</formula>
    </cfRule>
  </conditionalFormatting>
  <conditionalFormatting sqref="AH14:AH267">
    <cfRule type="cellIs" dxfId="20" priority="17" stopIfTrue="1" operator="lessThan">
      <formula>0</formula>
    </cfRule>
  </conditionalFormatting>
  <conditionalFormatting sqref="AH14:AH267">
    <cfRule type="cellIs" dxfId="21" priority="18" stopIfTrue="1" operator="between">
      <formula>0</formula>
      <formula>3</formula>
    </cfRule>
  </conditionalFormatting>
  <dataValidations>
    <dataValidation type="list" allowBlank="1" showInputMessage="1" showErrorMessage="1" prompt="Chọn người thực hiện." sqref="AA14:AA267">
      <formula1>'Danh mục chọn'!$P$2:$P$500</formula1>
    </dataValidation>
    <dataValidation type="decimal" allowBlank="1" sqref="AI14:AI267">
      <formula1>0.0</formula1>
      <formula2>10000.0</formula2>
    </dataValidation>
    <dataValidation type="list" allowBlank="1" showInputMessage="1" showErrorMessage="1" prompt="Chọn chu kỳ." sqref="AN14:AN267">
      <formula1>'Danh mục chọn'!$L$2:$L$100</formula1>
    </dataValidation>
    <dataValidation type="list" allowBlank="1" showInputMessage="1" showErrorMessage="1" prompt="Chọn trạng thái." sqref="AB14:AB267">
      <formula1>'Danh mục chọn'!$D$2:$D$100</formula1>
    </dataValidation>
    <dataValidation type="list" allowBlank="1" showInputMessage="1" showErrorMessage="1" prompt="Chọn loại lịch." sqref="AM14:AM267">
      <formula1>'Danh mục chọn'!$K$2:$K$100</formula1>
    </dataValidation>
    <dataValidation type="list" allowBlank="1" showInputMessage="1" showErrorMessage="1" prompt="Chọn mức độ ưu tiên." sqref="C14:C267 R14:R267 AC14:AC267">
      <formula1>'Danh mục chọn'!$E$2:$E$100</formula1>
    </dataValidation>
    <dataValidation type="list" allowBlank="1" showInputMessage="1" showErrorMessage="1" prompt="Chọn Mã L4 cha." sqref="J14:J267">
      <formula1>'Lớp 4 - Danh mục'!$I$14:$I$132</formula1>
    </dataValidation>
    <dataValidation type="date" allowBlank="1" sqref="F14:G267 U14:V267 AD14:AE267">
      <formula1>DATE(2025,1,1)</formula1>
      <formula2>DATE(2035,12,31)</formula2>
    </dataValidation>
    <dataValidation type="list" allowBlank="1" showInputMessage="1" showErrorMessage="1" prompt="Chọn phân bổ theo Ngày hoặc Tuần." sqref="AS14:AS267">
      <formula1>'Danh mục chọn'!$N$2:$N$100</formula1>
    </dataValidation>
  </dataValidations>
  <printOptions/>
  <pageMargins bottom="0.75" footer="0.0" header="0.0" left="0.7" right="0.7" top="0.75"/>
  <pageSetup paperSize="9" orientation="portrait"/>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3.0" topLeftCell="A14" activePane="bottomLeft" state="frozen"/>
      <selection activeCell="B15" sqref="B15" pane="bottomLeft"/>
    </sheetView>
  </sheetViews>
  <sheetFormatPr customHeight="1" defaultColWidth="12.63" defaultRowHeight="15.0"/>
  <cols>
    <col customWidth="1" min="1" max="1" width="5.75"/>
    <col customWidth="1" min="2" max="2" width="37.63"/>
    <col customWidth="1" min="3" max="3" width="12.0"/>
    <col customWidth="1" min="4" max="4" width="15.75"/>
    <col customWidth="1" min="5" max="5" width="15.13"/>
    <col customWidth="1" min="6" max="7" width="12.63"/>
    <col customWidth="1" min="8" max="8" width="35.13"/>
    <col customWidth="1" min="9" max="9" width="21.88"/>
    <col customWidth="1" min="10" max="10" width="11.63"/>
    <col customWidth="1" hidden="1" min="11" max="11" width="11.63"/>
    <col customWidth="1" hidden="1" min="12" max="12" width="15.25"/>
    <col customWidth="1" hidden="1" min="13" max="13" width="16.0"/>
    <col customWidth="1" hidden="1" min="14" max="14" width="34.88"/>
    <col customWidth="1" hidden="1" min="15" max="15" width="39.88"/>
    <col customWidth="1" hidden="1" min="16" max="16" width="43.38"/>
    <col customWidth="1" hidden="1" min="17" max="18" width="21.13"/>
    <col customWidth="1" hidden="1" min="19" max="19" width="40.38"/>
    <col customWidth="1" hidden="1" min="20" max="20" width="15.25"/>
    <col customWidth="1" hidden="1" min="21" max="21" width="20.25"/>
    <col customWidth="1" hidden="1" min="22" max="22" width="19.63"/>
    <col customWidth="1" hidden="1" min="23" max="23" width="14.25"/>
    <col customWidth="1" hidden="1" min="24" max="24" width="13.75"/>
    <col customWidth="1" hidden="1" min="25" max="25" width="31.25"/>
    <col customWidth="1" min="26" max="26" width="43.13"/>
    <col customWidth="1" min="27" max="27" width="13.88"/>
    <col customWidth="1" hidden="1" min="28" max="28" width="13.88"/>
    <col customWidth="1" min="29" max="29" width="13.88"/>
    <col customWidth="1" min="30" max="30" width="13.38"/>
    <col customWidth="1" min="31" max="31" width="9.88"/>
    <col customWidth="1" hidden="1" min="32" max="33" width="9.88"/>
    <col customWidth="1" hidden="1" min="34" max="34" width="17.75"/>
    <col customWidth="1" hidden="1" min="35" max="36" width="15.13"/>
    <col customWidth="1" hidden="1" min="37" max="37" width="14.25"/>
    <col customWidth="1" min="38" max="38" width="18.88"/>
    <col customWidth="1" min="39" max="39" width="19.0"/>
    <col customWidth="1" hidden="1" min="40" max="40" width="17.13"/>
    <col customWidth="1" min="41" max="41" width="27.63"/>
    <col customWidth="1" min="42" max="42" width="12.63"/>
    <col customWidth="1" hidden="1" min="43" max="43" width="9.5"/>
    <col customWidth="1" min="44" max="44" width="13.25"/>
    <col customWidth="1" min="45" max="45" width="17.0"/>
    <col customWidth="1" hidden="1" min="46" max="46" width="12.0"/>
    <col customWidth="1" hidden="1" min="47" max="47" width="26.38"/>
    <col customWidth="1" min="48" max="48" width="15.0"/>
    <col customWidth="1" min="49" max="49" width="16.25"/>
    <col customWidth="1" hidden="1" min="50" max="50" width="21.75"/>
    <col customWidth="1" min="51" max="51" width="16.88"/>
    <col customWidth="1" min="52" max="52" width="30.75"/>
    <col customWidth="1" min="53" max="53" width="16.88"/>
  </cols>
  <sheetData>
    <row r="1" ht="15.75" customHeight="1">
      <c r="A1" s="152"/>
      <c r="B1" s="5" t="s">
        <v>619</v>
      </c>
      <c r="C1" s="156"/>
      <c r="D1" s="156"/>
      <c r="E1" s="156"/>
      <c r="F1" s="156"/>
      <c r="G1" s="156"/>
      <c r="H1" s="156"/>
      <c r="I1" s="156"/>
      <c r="J1" s="156"/>
      <c r="K1" s="156"/>
      <c r="L1" s="156"/>
      <c r="M1" s="156"/>
      <c r="N1" s="156"/>
      <c r="O1" s="156"/>
      <c r="P1" s="156"/>
      <c r="Q1" s="156"/>
      <c r="R1" s="156"/>
      <c r="S1" s="156"/>
      <c r="T1" s="156"/>
      <c r="U1" s="156"/>
      <c r="V1" s="156"/>
      <c r="W1" s="156"/>
      <c r="X1" s="156"/>
      <c r="Y1" s="67"/>
      <c r="Z1" s="67"/>
      <c r="AA1" s="67"/>
      <c r="AB1" s="67"/>
      <c r="AC1" s="67"/>
      <c r="AD1" s="67"/>
      <c r="AE1" s="67"/>
      <c r="AF1" s="156"/>
      <c r="AG1" s="156"/>
      <c r="AH1" s="156"/>
      <c r="AI1" s="156"/>
      <c r="AJ1" s="156"/>
      <c r="AK1" s="156"/>
      <c r="AL1" s="203"/>
      <c r="AM1" s="3"/>
      <c r="AN1" s="3"/>
      <c r="AO1" s="3"/>
      <c r="AP1" s="3"/>
      <c r="AQ1" s="3"/>
      <c r="AR1" s="3"/>
      <c r="AS1" s="3"/>
      <c r="AT1" s="3"/>
      <c r="AU1" s="3"/>
      <c r="AV1" s="3"/>
      <c r="AW1" s="3"/>
      <c r="AX1" s="3"/>
      <c r="AY1" s="3"/>
      <c r="AZ1" s="160"/>
      <c r="BA1" s="160"/>
    </row>
    <row r="2" ht="15.75" customHeight="1">
      <c r="A2" s="162"/>
      <c r="B2" s="210" t="s">
        <v>620</v>
      </c>
      <c r="C2" s="210"/>
      <c r="D2" s="210"/>
      <c r="E2" s="214" t="s">
        <v>117</v>
      </c>
      <c r="F2" s="214"/>
      <c r="G2" s="216" t="s">
        <v>118</v>
      </c>
      <c r="H2" s="216" t="s">
        <v>119</v>
      </c>
      <c r="I2" s="216" t="s">
        <v>120</v>
      </c>
      <c r="J2" s="216" t="s">
        <v>121</v>
      </c>
      <c r="K2" s="216" t="s">
        <v>122</v>
      </c>
      <c r="L2" s="216" t="s">
        <v>123</v>
      </c>
      <c r="M2" s="67"/>
      <c r="N2" s="67"/>
      <c r="O2" s="67"/>
      <c r="P2" s="67"/>
      <c r="Q2" s="67"/>
      <c r="R2" s="67"/>
      <c r="S2" s="67"/>
      <c r="T2" s="67"/>
      <c r="U2" s="67"/>
      <c r="V2" s="67"/>
      <c r="W2" s="67"/>
      <c r="X2" s="67"/>
      <c r="Y2" s="67"/>
      <c r="Z2" s="67"/>
      <c r="AA2" s="67"/>
      <c r="AB2" s="67"/>
      <c r="AC2" s="67"/>
      <c r="AD2" s="67"/>
      <c r="AE2" s="67"/>
      <c r="AF2" s="214"/>
      <c r="AG2" s="214"/>
      <c r="AH2" s="214"/>
      <c r="AI2" s="214"/>
      <c r="AJ2" s="214"/>
      <c r="AK2" s="214"/>
      <c r="AL2" s="214"/>
    </row>
    <row r="3" ht="15.75" customHeight="1">
      <c r="A3" s="222"/>
      <c r="B3" s="224" t="s">
        <v>621</v>
      </c>
      <c r="C3" s="224"/>
      <c r="D3" s="224"/>
      <c r="E3" s="228">
        <f>COUNTIF($B$14:$B$267,"&lt;&gt;")</f>
        <v>4</v>
      </c>
      <c r="F3" s="229"/>
      <c r="G3" s="234">
        <f>COUNTIFS($B$14:$B$267,"&lt;&gt;",$AB$14:$AB$267,"Công ty")</f>
        <v>0</v>
      </c>
      <c r="H3" s="234">
        <f>COUNTIFS($B$14:$B$267,"&lt;&gt;",$AB$14:$AB$267,"R&amp;D")</f>
        <v>0</v>
      </c>
      <c r="I3" s="234">
        <f>COUNTIFS($B$14:$B$267,"&lt;&gt;",$AB$14:$AB$267,"MKT*")</f>
        <v>0</v>
      </c>
      <c r="J3" s="234">
        <f>COUNTIFS($B$14:$B$267,"&lt;&gt;",$AB$14:$AB$267,"KH &amp; Cung ứng*")</f>
        <v>0</v>
      </c>
      <c r="K3" s="234">
        <f>COUNTIFS($B$14:$B$267,"&lt;&gt;",$AB$14:$AB$267,"Dữ liệu điều hành*")</f>
        <v>0</v>
      </c>
      <c r="L3" s="234">
        <f>COUNTIFS($B$14:$B$267,"&lt;&gt;",$AB$14:$AB$267,"Kinh doanh quốc tế*")</f>
        <v>0</v>
      </c>
      <c r="M3" s="187"/>
      <c r="N3" s="187"/>
      <c r="O3" s="187"/>
      <c r="P3" s="187"/>
      <c r="Q3" s="187"/>
      <c r="R3" s="187"/>
      <c r="S3" s="187"/>
      <c r="T3" s="187"/>
      <c r="U3" s="187"/>
      <c r="V3" s="187"/>
      <c r="W3" s="187"/>
      <c r="X3" s="187"/>
      <c r="Y3" s="187"/>
      <c r="Z3" s="187"/>
      <c r="AA3" s="187"/>
      <c r="AB3" s="187"/>
      <c r="AC3" s="187"/>
      <c r="AD3" s="187"/>
      <c r="AE3" s="187"/>
      <c r="AF3" s="229"/>
      <c r="AG3" s="229"/>
      <c r="AH3" s="229"/>
      <c r="AI3" s="229"/>
      <c r="AJ3" s="229"/>
      <c r="AK3" s="229"/>
      <c r="AL3" s="229"/>
    </row>
    <row r="4" ht="15.75" customHeight="1">
      <c r="A4" s="222"/>
      <c r="B4" s="224" t="s">
        <v>88</v>
      </c>
      <c r="C4" s="224"/>
      <c r="D4" s="224"/>
      <c r="E4" s="228">
        <f t="shared" ref="E4:E6" si="1">COUNTIFS($B$14:$B$267,"&lt;&gt;",$O$14:$O$267,$B4)</f>
        <v>0</v>
      </c>
      <c r="F4" s="229"/>
      <c r="G4" s="229">
        <f t="shared" ref="G4:G6" si="2">COUNTIFS($B$14:$B$267,"&lt;&gt;",$O$14:$O$267,$B4,$AB$14:$AB$267,"Công ty")</f>
        <v>0</v>
      </c>
      <c r="H4" s="229">
        <f t="shared" ref="H4:H6" si="3">COUNTIFS($B$14:$B$267,"&lt;&gt;",$O$14:$O$267,$B4,$AB$14:$AB$267,"R&amp;D")</f>
        <v>0</v>
      </c>
      <c r="I4" s="229">
        <f t="shared" ref="I4:I6" si="4">COUNTIFS($B$14:$B$267,"&lt;&gt;",$O$14:$O$267,$B4,$AB$14:$AB$267,"MKT*")</f>
        <v>0</v>
      </c>
      <c r="J4" s="229">
        <f t="shared" ref="J4:J6" si="5">COUNTIFS($B$14:$B$267,"&lt;&gt;",$O$14:$O$267,$B4,$AB$14:$AB$267,"KH &amp; Cung ứng*")</f>
        <v>0</v>
      </c>
      <c r="K4" s="229">
        <f t="shared" ref="K4:K6" si="6">COUNTIFS($B$14:$B$267,"&lt;&gt;",$O$14:$O$267,$B4,$AB$14:$AB$267,"Dữ liệu điều hành*")</f>
        <v>0</v>
      </c>
      <c r="L4" s="229">
        <f t="shared" ref="L4:L6" si="7">COUNTIFS($B$14:$B$267,"&lt;&gt;",$O$14:$O$267,$B4,$AB$14:$AB$267,"Kinh doanh quốc tế*")</f>
        <v>0</v>
      </c>
      <c r="M4" s="187"/>
      <c r="N4" s="187"/>
      <c r="O4" s="187"/>
      <c r="P4" s="187"/>
      <c r="Q4" s="187"/>
      <c r="R4" s="187"/>
      <c r="S4" s="187"/>
      <c r="T4" s="187"/>
      <c r="U4" s="187"/>
      <c r="V4" s="187"/>
      <c r="W4" s="187"/>
      <c r="X4" s="187"/>
      <c r="Y4" s="187"/>
      <c r="Z4" s="187"/>
      <c r="AA4" s="187"/>
      <c r="AB4" s="187"/>
      <c r="AC4" s="187"/>
      <c r="AD4" s="187"/>
      <c r="AE4" s="187"/>
      <c r="AF4" s="229"/>
      <c r="AG4" s="229"/>
      <c r="AH4" s="229"/>
      <c r="AI4" s="229"/>
      <c r="AJ4" s="229"/>
      <c r="AK4" s="229"/>
      <c r="AL4" s="229"/>
    </row>
    <row r="5" ht="15.75" customHeight="1">
      <c r="A5" s="222"/>
      <c r="B5" s="224" t="s">
        <v>78</v>
      </c>
      <c r="C5" s="224"/>
      <c r="D5" s="224"/>
      <c r="E5" s="228">
        <f t="shared" si="1"/>
        <v>0</v>
      </c>
      <c r="F5" s="229"/>
      <c r="G5" s="229">
        <f t="shared" si="2"/>
        <v>0</v>
      </c>
      <c r="H5" s="229">
        <f t="shared" si="3"/>
        <v>0</v>
      </c>
      <c r="I5" s="229">
        <f t="shared" si="4"/>
        <v>0</v>
      </c>
      <c r="J5" s="229">
        <f t="shared" si="5"/>
        <v>0</v>
      </c>
      <c r="K5" s="229">
        <f t="shared" si="6"/>
        <v>0</v>
      </c>
      <c r="L5" s="229">
        <f t="shared" si="7"/>
        <v>0</v>
      </c>
      <c r="M5" s="187"/>
      <c r="N5" s="187"/>
      <c r="O5" s="187"/>
      <c r="P5" s="187"/>
      <c r="Q5" s="187"/>
      <c r="R5" s="187"/>
      <c r="S5" s="187"/>
      <c r="T5" s="187"/>
      <c r="U5" s="187"/>
      <c r="V5" s="187"/>
      <c r="W5" s="187"/>
      <c r="X5" s="187"/>
      <c r="Y5" s="187"/>
      <c r="Z5" s="187"/>
      <c r="AA5" s="187"/>
      <c r="AB5" s="187"/>
      <c r="AC5" s="187"/>
      <c r="AD5" s="187"/>
      <c r="AE5" s="187"/>
      <c r="AF5" s="229"/>
      <c r="AG5" s="229"/>
      <c r="AH5" s="229"/>
      <c r="AI5" s="229"/>
      <c r="AJ5" s="229"/>
      <c r="AK5" s="229"/>
      <c r="AL5" s="229"/>
    </row>
    <row r="6" ht="15.75" customHeight="1">
      <c r="A6" s="222"/>
      <c r="B6" s="274" t="s">
        <v>89</v>
      </c>
      <c r="C6" s="274"/>
      <c r="D6" s="274"/>
      <c r="E6" s="279">
        <f t="shared" si="1"/>
        <v>0</v>
      </c>
      <c r="F6" s="281"/>
      <c r="G6" s="229">
        <f t="shared" si="2"/>
        <v>0</v>
      </c>
      <c r="H6" s="229">
        <f t="shared" si="3"/>
        <v>0</v>
      </c>
      <c r="I6" s="229">
        <f t="shared" si="4"/>
        <v>0</v>
      </c>
      <c r="J6" s="229">
        <f t="shared" si="5"/>
        <v>0</v>
      </c>
      <c r="K6" s="229">
        <f t="shared" si="6"/>
        <v>0</v>
      </c>
      <c r="L6" s="229">
        <f t="shared" si="7"/>
        <v>0</v>
      </c>
      <c r="M6" s="187"/>
      <c r="N6" s="187"/>
      <c r="O6" s="187"/>
      <c r="P6" s="187"/>
      <c r="Q6" s="187"/>
      <c r="R6" s="187"/>
      <c r="S6" s="187"/>
      <c r="T6" s="187"/>
      <c r="U6" s="187"/>
      <c r="V6" s="187"/>
      <c r="W6" s="187"/>
      <c r="X6" s="187"/>
      <c r="Y6" s="187"/>
      <c r="Z6" s="187"/>
      <c r="AA6" s="187"/>
      <c r="AB6" s="187"/>
      <c r="AC6" s="187"/>
      <c r="AD6" s="187"/>
      <c r="AE6" s="187"/>
      <c r="AF6" s="281"/>
      <c r="AG6" s="281"/>
      <c r="AH6" s="281"/>
      <c r="AI6" s="281"/>
      <c r="AJ6" s="281"/>
      <c r="AK6" s="281"/>
      <c r="AL6" s="281"/>
    </row>
    <row r="7" ht="15.75" customHeight="1">
      <c r="A7" s="288"/>
      <c r="B7" s="290" t="s">
        <v>141</v>
      </c>
      <c r="C7" s="292"/>
      <c r="D7" s="292"/>
      <c r="E7" s="295">
        <f>COUNTIFS($B$14:$B$267,"&lt;&gt;",$C$14:$C$267,"P1")</f>
        <v>4</v>
      </c>
      <c r="F7" s="298"/>
      <c r="G7" s="302" t="s">
        <v>622</v>
      </c>
      <c r="H7" s="229"/>
      <c r="I7" s="229"/>
      <c r="J7" s="229"/>
      <c r="K7" s="229"/>
      <c r="L7" s="229"/>
      <c r="M7" s="229"/>
      <c r="N7" s="229"/>
      <c r="O7" s="229"/>
      <c r="P7" s="229"/>
      <c r="Q7" s="229"/>
      <c r="R7" s="229"/>
      <c r="S7" s="229"/>
      <c r="T7" s="229"/>
      <c r="U7" s="229"/>
      <c r="V7" s="229"/>
      <c r="W7" s="229"/>
      <c r="X7" s="229"/>
      <c r="Y7" s="187"/>
      <c r="Z7" s="187"/>
      <c r="AA7" s="187"/>
      <c r="AB7" s="187"/>
      <c r="AC7" s="187"/>
      <c r="AD7" s="187"/>
      <c r="AE7" s="187"/>
      <c r="AF7" s="229"/>
      <c r="AG7" s="229"/>
      <c r="AH7" s="229"/>
      <c r="AI7" s="229"/>
      <c r="AJ7" s="229"/>
      <c r="AK7" s="229"/>
      <c r="AL7" s="229"/>
    </row>
    <row r="8" ht="15.75" customHeight="1">
      <c r="A8" s="222"/>
      <c r="B8" s="224" t="s">
        <v>142</v>
      </c>
      <c r="C8" s="309"/>
      <c r="D8" s="309"/>
      <c r="E8" s="314">
        <f>COUNTIFS($B$14:$B$267,"&lt;&gt;",$C$14:$C$267,"P2")</f>
        <v>0</v>
      </c>
      <c r="F8" s="298"/>
      <c r="G8" s="316" t="s">
        <v>191</v>
      </c>
      <c r="H8" s="320"/>
      <c r="I8" s="229"/>
      <c r="J8" s="229"/>
      <c r="K8" s="229"/>
      <c r="L8" s="229"/>
      <c r="M8" s="229"/>
      <c r="N8" s="229"/>
      <c r="O8" s="229"/>
      <c r="P8" s="229"/>
      <c r="Q8" s="229"/>
      <c r="R8" s="229"/>
      <c r="S8" s="229"/>
      <c r="T8" s="229"/>
      <c r="U8" s="229"/>
      <c r="V8" s="229"/>
      <c r="W8" s="229"/>
      <c r="X8" s="229"/>
      <c r="Y8" s="187"/>
      <c r="Z8" s="187"/>
      <c r="AA8" s="187"/>
      <c r="AB8" s="187"/>
      <c r="AC8" s="187"/>
      <c r="AD8" s="187"/>
      <c r="AE8" s="187"/>
      <c r="AF8" s="229"/>
      <c r="AG8" s="229"/>
      <c r="AH8" s="229"/>
      <c r="AI8" s="229"/>
      <c r="AJ8" s="229"/>
      <c r="AK8" s="229"/>
      <c r="AL8" s="229"/>
    </row>
    <row r="9" ht="15.75" customHeight="1">
      <c r="A9" s="222"/>
      <c r="B9" s="224" t="s">
        <v>143</v>
      </c>
      <c r="C9" s="309"/>
      <c r="D9" s="309"/>
      <c r="E9" s="331">
        <f>IFERROR(AVERAGEIFS($D$14:$D$267,$B$14:$B$267,"&lt;&gt;"),"")</f>
        <v>0.25</v>
      </c>
      <c r="F9" s="298"/>
      <c r="G9" s="347" t="s">
        <v>201</v>
      </c>
      <c r="H9" s="569" t="str">
        <f t="array" ref="H9">IF($H$8="","",XLOOKUP("*"&amp;$H$8&amp;"*",'Lớp 5 - Phân công'!$B$14:$B$262,'Lớp 5 - Phân công'!$B$14:$B$262,"Không tìm thấy",2))</f>
        <v/>
      </c>
      <c r="I9" s="229"/>
      <c r="J9" s="229"/>
      <c r="K9" s="229"/>
      <c r="L9" s="229"/>
      <c r="M9" s="229"/>
      <c r="N9" s="229"/>
      <c r="O9" s="229"/>
      <c r="P9" s="229"/>
      <c r="Q9" s="229"/>
      <c r="R9" s="229"/>
      <c r="S9" s="229"/>
      <c r="T9" s="229"/>
      <c r="U9" s="229"/>
      <c r="V9" s="229"/>
      <c r="W9" s="229"/>
      <c r="X9" s="229"/>
      <c r="Y9" s="187"/>
      <c r="Z9" s="187"/>
      <c r="AA9" s="187"/>
      <c r="AB9" s="187"/>
      <c r="AC9" s="187"/>
      <c r="AD9" s="187"/>
      <c r="AE9" s="187"/>
      <c r="AF9" s="229"/>
      <c r="AG9" s="229"/>
      <c r="AH9" s="229"/>
      <c r="AI9" s="229"/>
      <c r="AJ9" s="229"/>
      <c r="AK9" s="229"/>
      <c r="AL9" s="229"/>
    </row>
    <row r="10" ht="15.75" customHeight="1">
      <c r="A10" s="222"/>
      <c r="B10" s="224" t="s">
        <v>144</v>
      </c>
      <c r="C10" s="309"/>
      <c r="D10" s="309"/>
      <c r="E10" s="346">
        <f>COUNTIFS($B$14:$B$267,"&lt;&gt;",$E$14:$E$267,"&lt;0")</f>
        <v>0</v>
      </c>
      <c r="F10" s="298"/>
      <c r="G10" s="347" t="s">
        <v>209</v>
      </c>
      <c r="H10" s="353" t="str">
        <f t="array" ref="H10">IF($H$8="","",XLOOKUP("*"&amp;$H$8&amp;"*",'Lớp 5 - Phân công'!$B$14:$B$262,'Lớp 5 - Phân công'!$I$14:$I$262,"",2))</f>
        <v/>
      </c>
      <c r="I10" s="229"/>
      <c r="J10" s="229"/>
      <c r="K10" s="229"/>
      <c r="L10" s="229"/>
      <c r="M10" s="229"/>
      <c r="N10" s="229"/>
      <c r="O10" s="229"/>
      <c r="P10" s="229"/>
      <c r="Q10" s="229"/>
      <c r="R10" s="229"/>
      <c r="S10" s="229"/>
      <c r="T10" s="229"/>
      <c r="U10" s="229"/>
      <c r="V10" s="229"/>
      <c r="W10" s="229"/>
      <c r="X10" s="229"/>
      <c r="Y10" s="187"/>
      <c r="Z10" s="187"/>
      <c r="AA10" s="187"/>
      <c r="AB10" s="187"/>
      <c r="AC10" s="187"/>
      <c r="AD10" s="187"/>
      <c r="AE10" s="187"/>
      <c r="AF10" s="229"/>
      <c r="AG10" s="229"/>
      <c r="AH10" s="229"/>
      <c r="AI10" s="229"/>
      <c r="AJ10" s="229"/>
      <c r="AK10" s="229"/>
      <c r="AL10" s="229"/>
    </row>
    <row r="11" ht="3.0" customHeight="1">
      <c r="A11" s="261"/>
      <c r="B11" s="261"/>
      <c r="C11" s="261"/>
      <c r="D11" s="261"/>
      <c r="E11" s="261"/>
      <c r="F11" s="261"/>
      <c r="G11" s="261"/>
      <c r="H11" s="261"/>
      <c r="I11" s="570"/>
      <c r="J11" s="263"/>
      <c r="K11" s="263"/>
      <c r="L11" s="261"/>
      <c r="M11" s="571"/>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368"/>
      <c r="AN11" s="366"/>
      <c r="AO11" s="366"/>
      <c r="AP11" s="368"/>
      <c r="AQ11" s="368"/>
      <c r="AR11" s="368"/>
      <c r="AS11" s="368"/>
      <c r="AT11" s="368"/>
      <c r="AU11" s="368"/>
      <c r="AV11" s="368"/>
      <c r="AW11" s="368"/>
      <c r="AX11" s="368"/>
      <c r="AY11" s="368"/>
      <c r="AZ11" s="368"/>
      <c r="BA11" s="368"/>
    </row>
    <row r="12" ht="15.75" customHeight="1">
      <c r="A12" s="272" t="s">
        <v>157</v>
      </c>
      <c r="B12" s="272"/>
      <c r="C12" s="272"/>
      <c r="D12" s="272"/>
      <c r="E12" s="272"/>
      <c r="F12" s="272"/>
      <c r="G12" s="272"/>
      <c r="H12" s="272"/>
      <c r="I12" s="625" t="s">
        <v>161</v>
      </c>
      <c r="J12" s="280"/>
      <c r="K12" s="377"/>
      <c r="L12" s="379"/>
      <c r="M12" s="379"/>
      <c r="N12" s="379"/>
      <c r="O12" s="382"/>
      <c r="P12" s="275"/>
      <c r="Q12" s="379"/>
      <c r="R12" s="379"/>
      <c r="S12" s="379"/>
      <c r="T12" s="379"/>
      <c r="U12" s="379"/>
      <c r="V12" s="379"/>
      <c r="W12" s="379"/>
      <c r="X12" s="379"/>
      <c r="Y12" s="379"/>
      <c r="Z12" s="379"/>
      <c r="AA12" s="379"/>
      <c r="AB12" s="379"/>
      <c r="AC12" s="379"/>
      <c r="AD12" s="379"/>
      <c r="AE12" s="379"/>
      <c r="AF12" s="379"/>
      <c r="AG12" s="379"/>
      <c r="AH12" s="382"/>
      <c r="AI12" s="275"/>
      <c r="AJ12" s="275"/>
      <c r="AK12" s="379"/>
      <c r="AL12" s="374"/>
      <c r="AM12" s="280"/>
      <c r="AN12" s="280"/>
      <c r="AO12" s="280"/>
      <c r="AP12" s="280"/>
      <c r="AQ12" s="280"/>
      <c r="AR12" s="280"/>
      <c r="AS12" s="280"/>
      <c r="AT12" s="280"/>
      <c r="AU12" s="280"/>
      <c r="AV12" s="280"/>
      <c r="AW12" s="280"/>
      <c r="AX12" s="280"/>
      <c r="AY12" s="280"/>
      <c r="AZ12" s="280"/>
      <c r="BA12" s="280"/>
    </row>
    <row r="13" ht="15.75" customHeight="1">
      <c r="A13" s="293" t="s">
        <v>163</v>
      </c>
      <c r="B13" s="385" t="s">
        <v>623</v>
      </c>
      <c r="C13" s="305" t="s">
        <v>175</v>
      </c>
      <c r="D13" s="305" t="s">
        <v>177</v>
      </c>
      <c r="E13" s="305" t="s">
        <v>178</v>
      </c>
      <c r="F13" s="305" t="s">
        <v>179</v>
      </c>
      <c r="G13" s="305" t="s">
        <v>180</v>
      </c>
      <c r="H13" s="305" t="s">
        <v>187</v>
      </c>
      <c r="I13" s="312" t="s">
        <v>624</v>
      </c>
      <c r="J13" s="626" t="s">
        <v>617</v>
      </c>
      <c r="K13" s="313" t="s">
        <v>249</v>
      </c>
      <c r="L13" s="312" t="s">
        <v>190</v>
      </c>
      <c r="M13" s="312" t="s">
        <v>167</v>
      </c>
      <c r="N13" s="312" t="s">
        <v>37</v>
      </c>
      <c r="O13" s="312" t="s">
        <v>45</v>
      </c>
      <c r="P13" s="312" t="s">
        <v>174</v>
      </c>
      <c r="Q13" s="626" t="s">
        <v>247</v>
      </c>
      <c r="R13" s="312" t="s">
        <v>616</v>
      </c>
      <c r="S13" s="312" t="s">
        <v>625</v>
      </c>
      <c r="T13" s="312" t="s">
        <v>195</v>
      </c>
      <c r="U13" s="312" t="s">
        <v>196</v>
      </c>
      <c r="V13" s="312" t="s">
        <v>197</v>
      </c>
      <c r="W13" s="313" t="s">
        <v>198</v>
      </c>
      <c r="X13" s="312" t="s">
        <v>199</v>
      </c>
      <c r="Y13" s="627" t="s">
        <v>200</v>
      </c>
      <c r="Z13" s="313" t="s">
        <v>169</v>
      </c>
      <c r="AA13" s="312" t="s">
        <v>170</v>
      </c>
      <c r="AB13" s="627" t="s">
        <v>171</v>
      </c>
      <c r="AC13" s="326" t="s">
        <v>82</v>
      </c>
      <c r="AD13" s="326" t="s">
        <v>626</v>
      </c>
      <c r="AE13" s="410" t="s">
        <v>173</v>
      </c>
      <c r="AF13" s="312" t="s">
        <v>202</v>
      </c>
      <c r="AG13" s="312" t="s">
        <v>203</v>
      </c>
      <c r="AH13" s="312" t="s">
        <v>204</v>
      </c>
      <c r="AI13" s="313" t="s">
        <v>205</v>
      </c>
      <c r="AJ13" s="312" t="s">
        <v>206</v>
      </c>
      <c r="AK13" s="627" t="s">
        <v>207</v>
      </c>
      <c r="AL13" s="318" t="s">
        <v>210</v>
      </c>
      <c r="AM13" s="352" t="s">
        <v>211</v>
      </c>
      <c r="AN13" s="628" t="s">
        <v>212</v>
      </c>
      <c r="AO13" s="357" t="s">
        <v>213</v>
      </c>
      <c r="AP13" s="361" t="s">
        <v>58</v>
      </c>
      <c r="AQ13" s="361" t="s">
        <v>61</v>
      </c>
      <c r="AR13" s="361" t="s">
        <v>181</v>
      </c>
      <c r="AS13" s="361" t="s">
        <v>214</v>
      </c>
      <c r="AT13" s="361" t="s">
        <v>215</v>
      </c>
      <c r="AU13" s="367" t="s">
        <v>219</v>
      </c>
      <c r="AV13" s="352" t="s">
        <v>184</v>
      </c>
      <c r="AW13" s="352" t="s">
        <v>185</v>
      </c>
      <c r="AX13" s="352" t="s">
        <v>236</v>
      </c>
      <c r="AY13" s="376" t="s">
        <v>241</v>
      </c>
      <c r="AZ13" s="380" t="s">
        <v>245</v>
      </c>
      <c r="BA13" s="381" t="s">
        <v>246</v>
      </c>
    </row>
    <row r="14" ht="15.75" customHeight="1">
      <c r="A14" s="424">
        <f t="shared" ref="A14:A20" si="9">IF(B14="","",COUNTIF($B$14:B14,"&lt;&gt;"))</f>
        <v>1</v>
      </c>
      <c r="B14" s="572" t="str">
        <f>'Trung tâm nhập liệu'!F206</f>
        <v>Khảo sát thị phần tương đối tại các Vùng thị trường</v>
      </c>
      <c r="C14" s="629" t="str">
        <f>'Trung tâm nhập liệu'!M206</f>
        <v>P1</v>
      </c>
      <c r="D14" s="630">
        <f>'Trung tâm nhập liệu'!N206</f>
        <v>0</v>
      </c>
      <c r="E14" s="574">
        <f t="shared" ref="E14:E20" si="10">AK14</f>
        <v>8</v>
      </c>
      <c r="F14" s="575">
        <f>'Trung tâm nhập liệu'!Q206</f>
        <v>46254</v>
      </c>
      <c r="G14" s="575">
        <f>'Trung tâm nhập liệu'!R206</f>
        <v>46239</v>
      </c>
      <c r="H14" s="631" t="str">
        <f t="shared" ref="H14:H20" si="11">IF(B14="","","Không")</f>
        <v>Không</v>
      </c>
      <c r="I14" s="632" t="str">
        <f>'Trung tâm nhập liệu'!B206</f>
        <v>HHL5RD05-01.01</v>
      </c>
      <c r="J14" s="633" t="str">
        <f>'Trung tâm nhập liệu'!D206</f>
        <v>HHL5RD05-01</v>
      </c>
      <c r="K14" s="578" t="str">
        <f t="array" ref="K14">IFERROR(INDEX('Lớp 5 - Phân công'!$J$14:$J$262,MATCH(J14,'Lớp 5 - Phân công'!$I$14:$I$262,0)),"")</f>
        <v/>
      </c>
      <c r="L14" s="580" t="str">
        <f t="array" ref="L14">IFERROR(INDEX('Lớp 5 - Phân công'!$K$14:$K$262,MATCH(J14,'Lớp 5 - Phân công'!$I$14:$I$262,0)),"")</f>
        <v/>
      </c>
      <c r="M14" s="579" t="str">
        <f t="array" ref="M14">IFERROR(INDEX('Lớp 5 - Phân công'!$L$14:$L$262,MATCH(J14,'Lớp 5 - Phân công'!$I$14:$I$262,0)),"")</f>
        <v/>
      </c>
      <c r="N14" s="578" t="str">
        <f t="array" ref="N14">IFERROR(INDEX('Lớp 5 - Phân công'!$M$14:$M$262,MATCH(J14,'Lớp 5 - Phân công'!$I$14:$I$262,0)),"")</f>
        <v/>
      </c>
      <c r="O14" s="578" t="str">
        <f t="array" ref="O14">IFERROR(INDEX('Lớp 5 - Phân công'!$N$14:$N$262,MATCH(J14,'Lớp 5 - Phân công'!$I$14:$I$262,0)),"")</f>
        <v/>
      </c>
      <c r="P14" s="634" t="str">
        <f t="array" ref="P14">IFERROR(INDEX('Lớp 5 - Phân công'!$O$14:$O$262,MATCH(J14,'Lớp 5 - Phân công'!$I$14:$I$262,0)),"")</f>
        <v/>
      </c>
      <c r="Q14" s="634" t="str">
        <f t="array" ref="Q14">IFERROR(INDEX('Lớp 5 - Phân công'!$P$14:$P$262,MATCH(J14,'Lớp 5 - Phân công'!$I$14:$I$262,0)),"")</f>
        <v/>
      </c>
      <c r="R14" s="634" t="str">
        <f t="array" ref="R14">IFERROR(INDEX('Lớp 5 - Phân công'!$Q$14:$Q$262,MATCH(J14,'Lớp 5 - Phân công'!$I$14:$I$262,0)),"")</f>
        <v/>
      </c>
      <c r="S14" s="581" t="str">
        <f t="shared" ref="S14:Y14" si="8">B14</f>
        <v>Khảo sát thị phần tương đối tại các Vùng thị trường</v>
      </c>
      <c r="T14" s="635" t="str">
        <f t="shared" si="8"/>
        <v>P1</v>
      </c>
      <c r="U14" s="636">
        <f t="shared" si="8"/>
        <v>0</v>
      </c>
      <c r="V14" s="581">
        <f t="shared" si="8"/>
        <v>8</v>
      </c>
      <c r="W14" s="637">
        <f t="shared" si="8"/>
        <v>46254</v>
      </c>
      <c r="X14" s="637">
        <f t="shared" si="8"/>
        <v>46239</v>
      </c>
      <c r="Y14" s="581" t="str">
        <f t="shared" si="8"/>
        <v>Không</v>
      </c>
      <c r="Z14" s="581" t="str">
        <f>'Trung tâm nhập liệu'!G206</f>
        <v>Báo cáo thị phần tương đối của danh mục sản phẩm theo Vùng _ Miền _Cấp cty</v>
      </c>
      <c r="AA14" s="585" t="str">
        <f>'Trung tâm nhập liệu'!H206</f>
        <v/>
      </c>
      <c r="AB14" s="586" t="str">
        <f t="array" ref="AB14">IFERROR(INDEX('Lớp 5 - Phân công'!$Z$14:$Z$262,MATCH(J14,'Lớp 5 - Phân công'!$I$14:$I$262,0)),"")</f>
        <v/>
      </c>
      <c r="AC14" s="577" t="str">
        <f>'Trung tâm nhập liệu'!K206</f>
        <v>Team PTSP</v>
      </c>
      <c r="AD14" s="577" t="str">
        <f t="shared" ref="AD14:AD20" si="13">#REF!</f>
        <v>#REF!</v>
      </c>
      <c r="AE14" s="572" t="str">
        <f>'Trung tâm nhập liệu'!L206</f>
        <v>Đang thực hiện</v>
      </c>
      <c r="AF14" s="635" t="str">
        <f t="shared" ref="AF14:AF20" si="14">T14</f>
        <v>P1</v>
      </c>
      <c r="AG14" s="637">
        <f t="shared" ref="AG14:AG20" si="15">X14</f>
        <v>46239</v>
      </c>
      <c r="AH14" s="637">
        <f t="shared" ref="AH14:AH20" si="16">W14</f>
        <v>46254</v>
      </c>
      <c r="AI14" s="587">
        <f>IF(AP14&lt;&gt;"Có thời hạn","",IF(OR(AG14="",AH14=""),"",IF(AH14&lt;AG14,"",_xlfn.NETWORKDAYS.INTL(AG14,AH14,11,'Ngày nghỉ lễ'!$A$5:$A$80))))</f>
        <v>14</v>
      </c>
      <c r="AJ14" s="636">
        <f t="shared" ref="AJ14:AJ20" si="17">U14</f>
        <v>0</v>
      </c>
      <c r="AK14" s="587">
        <f>IF(AP14&lt;&gt;"Có thời hạn","",IF(OR(S14="",AG14="",AH14=""),"",IF(OR(AE14="Hoàn thành",AE14="Hủy"),0,IF(AH14&lt;TODAY(),-_xlfn.NETWORKDAYS.INTL(AH14,TODAY()-1,11,'Ngày nghỉ lễ'!$A$5:$A$80),MAX(0,_xlfn.NETWORKDAYS.INTL(MAX(TODAY()+1,AG14),AH14,11,'Ngày nghỉ lễ'!$A$5:$A$80))))))</f>
        <v>8</v>
      </c>
      <c r="AL14" s="589" t="str">
        <f>'Trung tâm nhập liệu'!T206</f>
        <v/>
      </c>
      <c r="AM14" s="638" t="str">
        <f t="shared" ref="AM14:AM20" si="18">IF(S14="","",IF(OR(AE14="Hoàn thành",AE14="Hủy"),"",IF(AV14="Ngày",AW14,IF(AV14="Tuần",AW14/5,""))))</f>
        <v/>
      </c>
      <c r="AN14" s="639" t="str">
        <f t="array" ref="AN14">IF(AP14="Chưa xếp lịch","Chưa xếp lịch",IF(AP14="Định kỳ",IF(AQ14="","Thiếu chu kỳ","Theo chu kỳ"),IF(AP14="Khi phát sinh","Khi phát sinh",IF(S14="","",IF(J14="","Thiếu mã L5",IF(OR(AG14="",AH14=""),"Thiếu ngày L6",IF(OR(IFERROR(INDEX('Lớp 5 - Phân công'!$AD$14:$AD$262,MATCH(J14,'Lớp 5 - Phân công'!$I$14:$I$262,0)),"")="",IFERROR(INDEX('Lớp 5 - Phân công'!$AE$14:$AE$262,MATCH(J14,'Lớp 5 - Phân công'!$I$14:$I$262,0)),"")=""),"Thiếu ngày L5",IF(OR(AG14&lt;INDEX('Lớp 5 - Phân công'!$AD$14:$AD$262,MATCH(J14,'Lớp 5 - Phân công'!$I$14:$I$262,0)),AH14&gt;INDEX('Lớp 5 - Phân công'!$AE$14:$AE$262,MATCH(J14,'Lớp 5 - Phân công'!$I$14:$I$262,0))),"L6 ngoài khung L5","L6 đúng khung"))))))))</f>
        <v>Thiếu ngày L5</v>
      </c>
      <c r="AO14" s="639" t="str">
        <f>IF(OR(AY14="Thiếu tham số phân bổ",AY14="Phân bổ phải &gt; 0"),AY14,SWITCH(AP14,"Chưa xếp lịch","Chưa tính tải","Định kỳ","Theo chu kỳ","Khi phát sinh","Khi phát sinh",IF(S14="","",IF(OR(AE14="Hoàn thành",AE14="Hủy"),AE14,IF(AL14="","Chưa nhập khối lượng",IF(AC14="","Thiếu người thực hiện",IF(OR(AG14="",AH14=""),"Chưa nhập đủ thời gian",IF(AK14&lt;0,"Quá hạn – còn "&amp;TEXT(MAX(0,AL14*(1-AJ14)),"0.0")&amp;" giờ",LET(bd,MAX(TODAY(),AG14),kt,AH14,nguoi,AC14,tai,SUMIFS('Lớp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P14" s="640" t="str">
        <f>'Trung tâm nhập liệu'!O206</f>
        <v>Có thời hạn</v>
      </c>
      <c r="AQ14" s="640" t="str">
        <f>'Trung tâm nhập liệu'!P206</f>
        <v/>
      </c>
      <c r="AR14" s="641" t="str">
        <f>'Trung tâm nhập liệu'!S206</f>
        <v/>
      </c>
      <c r="AS14" s="642" t="str">
        <f>'Trung tâm nhập liệu'!X206</f>
        <v/>
      </c>
      <c r="AT14" s="643" t="str">
        <f t="shared" ref="AT14:AT20" si="19">IF(AS14="","",TEXT(AS14,"yyyy-mm"))</f>
        <v/>
      </c>
      <c r="AU14" s="640" t="str">
        <f t="shared" ref="AU14:AU20" si="20">BA14</f>
        <v/>
      </c>
      <c r="AV14" s="644" t="str">
        <f>'Trung tâm nhập liệu'!V206</f>
        <v/>
      </c>
      <c r="AW14" s="645" t="str">
        <f>'Trung tâm nhập liệu'!W206</f>
        <v/>
      </c>
      <c r="AX14" s="638" t="str">
        <f t="shared" ref="AX14:AX20" si="21">IF(AP14&lt;&gt;"Có thời hạn","",IF(OR(S14="",AL14="",AE14="Hoàn thành",AE14="Hủy"),"",LET(canNgay,MAX(0,AL14*(1-AJ14))/MAX(1,AK14),IF(AV14="Ngày",canNgay,IF(AV14="Tuần",canNgay*5,"")))))</f>
        <v/>
      </c>
      <c r="AY14" s="639" t="str">
        <f t="shared" ref="AY14:AY20" si="22">IF(S14="","",IF(OR(AE14="Hoàn thành",AE14="Hủy"),AE14,IF(AL14="","Thiếu tổng giờ",IF(OR(AV14="",AW14=""),"Thiếu tham số phân bổ",IF(AW14&lt;=0,"Phân bổ phải &gt; 0",IF(AP14&lt;&gt;"Có thời hạn","Đã có phân bổ",IF(AX14="","Chưa đủ dữ liệu hạn",IF(AW14&gt;=AX14,"Đủ phân bổ theo "&amp;LOWER(AV14),"Thiếu "&amp;TEXT(AX14-AW14,"0.0")&amp;" giờ/"&amp;LOWER(AV14)))))))))</f>
        <v>Thiếu tổng giờ</v>
      </c>
      <c r="AZ14" s="639" t="str">
        <f t="shared" ref="AZ14:AZ20" si="23">IF(I14="","",LET(tt,AE14,bd,AG14,kt,AH14,td,AJ14,ht,AS14,lk,AU14,loai,AP14,IF(tt="","Thiếu trạng thái",IFS(tt="Hủy","OK",AND(tt="Hoàn thành",ht=""),"Thiếu ngày hoàn thành thực tế",AND(tt="Hoàn thành",td&lt;1),"Hoàn thành nhưng tiến độ chưa 100%",AND(tt="Hoàn thành",lk=""),"Thiếu đường link kết quả",AND(tt&lt;&gt;"Hoàn thành",ht&lt;&gt;""),"Có ngày hoàn thành nhưng chưa Hoàn thành",AND(tt="Chưa lên lịch",OR(bd&lt;&gt;"",kt&lt;&gt;"")),"Chưa lên lịch nhưng đã có ngày",tt="Chưa lên lịch","OK",loai&lt;&gt;"Có thời hạn","OK",OR(bd="",kt=""),"Thiếu ngày bắt đầu/kết thúc",kt&lt;bd,"Ngày kết thúc trước ngày bắt đầu",AND(tt="Đã lên lịch",bd&lt;=TODAY()),"Đã đến ngày bắt đầu – cập nhật trạng thái",tt="Đã lên lịch","OK",AND(tt="Chưa bắt đầu",bd&gt;TODAY()),"Chưa đến ngày bắt đầu – nên Đã lên lịch",AND(tt="Chưa bắt đầu",kt&lt;TODAY()),"Quá hạn nhưng chưa bắt đầu",tt="Chưa bắt đầu","OK",AND(tt="Đang thực hiện",bd&gt;TODAY()),"Chưa đến ngày bắt đầu – nên Đã lên lịch",AND(tt="Đang thực hiện",td&gt;=1),"Tiến độ 100% – chuyển Hoàn thành",tt="Đang thực hiện","OK",TRUE,"Kiểm tra trạng thái"))))</f>
        <v>OK</v>
      </c>
      <c r="BA14" s="646" t="str">
        <f>'Trung tâm nhập liệu'!Y206</f>
        <v/>
      </c>
    </row>
    <row r="15" ht="15.75" customHeight="1">
      <c r="A15" s="424">
        <f t="shared" si="9"/>
        <v>2</v>
      </c>
      <c r="B15" s="572" t="str">
        <f>'Trung tâm nhập liệu'!F207</f>
        <v>Phân tích tốc độ tăng trưởng 4 năm của danh mục sản phẩm</v>
      </c>
      <c r="C15" s="629" t="str">
        <f>'Trung tâm nhập liệu'!M207</f>
        <v>P1</v>
      </c>
      <c r="D15" s="630">
        <f>'Trung tâm nhập liệu'!N207</f>
        <v>0</v>
      </c>
      <c r="E15" s="593">
        <f t="shared" si="10"/>
        <v>8</v>
      </c>
      <c r="F15" s="575">
        <f>'Trung tâm nhập liệu'!Q207</f>
        <v>46254</v>
      </c>
      <c r="G15" s="575">
        <f>'Trung tâm nhập liệu'!R207</f>
        <v>46239</v>
      </c>
      <c r="H15" s="631" t="str">
        <f t="shared" si="11"/>
        <v>Không</v>
      </c>
      <c r="I15" s="632" t="str">
        <f>'Trung tâm nhập liệu'!B207</f>
        <v>HHL5RD05-01.02</v>
      </c>
      <c r="J15" s="633" t="str">
        <f>'Trung tâm nhập liệu'!D207</f>
        <v>HHL5RD05-01</v>
      </c>
      <c r="K15" s="578" t="str">
        <f t="array" ref="K15">IFERROR(INDEX('Lớp 5 - Phân công'!$J$14:$J$262,MATCH(J15,'Lớp 5 - Phân công'!$I$14:$I$262,0)),"")</f>
        <v/>
      </c>
      <c r="L15" s="580" t="str">
        <f t="array" ref="L15">IFERROR(INDEX('Lớp 5 - Phân công'!$K$14:$K$262,MATCH(J15,'Lớp 5 - Phân công'!$I$14:$I$262,0)),"")</f>
        <v/>
      </c>
      <c r="M15" s="579" t="str">
        <f t="array" ref="M15">IFERROR(INDEX('Lớp 5 - Phân công'!$L$14:$L$262,MATCH(J15,'Lớp 5 - Phân công'!$I$14:$I$262,0)),"")</f>
        <v/>
      </c>
      <c r="N15" s="578" t="str">
        <f t="array" ref="N15">IFERROR(INDEX('Lớp 5 - Phân công'!$M$14:$M$262,MATCH(J15,'Lớp 5 - Phân công'!$I$14:$I$262,0)),"")</f>
        <v/>
      </c>
      <c r="O15" s="578" t="str">
        <f t="array" ref="O15">IFERROR(INDEX('Lớp 5 - Phân công'!$N$14:$N$262,MATCH(J15,'Lớp 5 - Phân công'!$I$14:$I$262,0)),"")</f>
        <v/>
      </c>
      <c r="P15" s="634" t="str">
        <f t="array" ref="P15">IFERROR(INDEX('Lớp 5 - Phân công'!$O$14:$O$262,MATCH(J15,'Lớp 5 - Phân công'!$I$14:$I$262,0)),"")</f>
        <v/>
      </c>
      <c r="Q15" s="634" t="str">
        <f t="array" ref="Q15">IFERROR(INDEX('Lớp 5 - Phân công'!$P$14:$P$262,MATCH(J15,'Lớp 5 - Phân công'!$I$14:$I$262,0)),"")</f>
        <v/>
      </c>
      <c r="R15" s="634" t="str">
        <f t="array" ref="R15">IFERROR(INDEX('Lớp 5 - Phân công'!$Q$14:$Q$262,MATCH(J15,'Lớp 5 - Phân công'!$I$14:$I$262,0)),"")</f>
        <v/>
      </c>
      <c r="S15" s="581" t="str">
        <f t="shared" ref="S15:Y15" si="12">B15</f>
        <v>Phân tích tốc độ tăng trưởng 4 năm của danh mục sản phẩm</v>
      </c>
      <c r="T15" s="635" t="str">
        <f t="shared" si="12"/>
        <v>P1</v>
      </c>
      <c r="U15" s="636">
        <f t="shared" si="12"/>
        <v>0</v>
      </c>
      <c r="V15" s="581">
        <f t="shared" si="12"/>
        <v>8</v>
      </c>
      <c r="W15" s="637">
        <f t="shared" si="12"/>
        <v>46254</v>
      </c>
      <c r="X15" s="637">
        <f t="shared" si="12"/>
        <v>46239</v>
      </c>
      <c r="Y15" s="581" t="str">
        <f t="shared" si="12"/>
        <v>Không</v>
      </c>
      <c r="Z15" s="581" t="str">
        <f>'Trung tâm nhập liệu'!G207</f>
        <v>Bảng excel dữ liệu thô + bản phân tích sơ bộ về tốc độ tăng trưởng của danh mục sản phẩm </v>
      </c>
      <c r="AA15" s="585" t="str">
        <f>'Trung tâm nhập liệu'!H207</f>
        <v/>
      </c>
      <c r="AB15" s="586" t="str">
        <f t="array" ref="AB15">IFERROR(INDEX('Lớp 5 - Phân công'!$Z$14:$Z$262,MATCH(J15,'Lớp 5 - Phân công'!$I$14:$I$262,0)),"")</f>
        <v/>
      </c>
      <c r="AC15" s="577" t="str">
        <f>'Trung tâm nhập liệu'!K207</f>
        <v>Em Đại</v>
      </c>
      <c r="AD15" s="577" t="str">
        <f t="shared" si="13"/>
        <v>#REF!</v>
      </c>
      <c r="AE15" s="572" t="str">
        <f>'Trung tâm nhập liệu'!L207</f>
        <v>Đang thực hiện</v>
      </c>
      <c r="AF15" s="635" t="str">
        <f t="shared" si="14"/>
        <v>P1</v>
      </c>
      <c r="AG15" s="637">
        <f t="shared" si="15"/>
        <v>46239</v>
      </c>
      <c r="AH15" s="637">
        <f t="shared" si="16"/>
        <v>46254</v>
      </c>
      <c r="AI15" s="587">
        <f>IF(AP15&lt;&gt;"Có thời hạn","",IF(OR(AG15="",AH15=""),"",IF(AH15&lt;AG15,"",_xlfn.NETWORKDAYS.INTL(AG15,AH15,11,'Ngày nghỉ lễ'!$A$5:$A$80))))</f>
        <v>14</v>
      </c>
      <c r="AJ15" s="636">
        <f t="shared" si="17"/>
        <v>0</v>
      </c>
      <c r="AK15" s="587">
        <f>IF(AP15&lt;&gt;"Có thời hạn","",IF(OR(S15="",AG15="",AH15=""),"",IF(OR(AE15="Hoàn thành",AE15="Hủy"),0,IF(AH15&lt;TODAY(),-_xlfn.NETWORKDAYS.INTL(AH15,TODAY()-1,11,'Ngày nghỉ lễ'!$A$5:$A$80),MAX(0,_xlfn.NETWORKDAYS.INTL(MAX(TODAY()+1,AG15),AH15,11,'Ngày nghỉ lễ'!$A$5:$A$80))))))</f>
        <v>8</v>
      </c>
      <c r="AL15" s="589" t="str">
        <f>'Trung tâm nhập liệu'!T207</f>
        <v/>
      </c>
      <c r="AM15" s="638" t="str">
        <f t="shared" si="18"/>
        <v/>
      </c>
      <c r="AN15" s="639" t="str">
        <f t="array" ref="AN15">IF(AP15="Chưa xếp lịch","Chưa xếp lịch",IF(AP15="Định kỳ",IF(AQ15="","Thiếu chu kỳ","Theo chu kỳ"),IF(AP15="Khi phát sinh","Khi phát sinh",IF(S15="","",IF(J15="","Thiếu mã L5",IF(OR(AG15="",AH15=""),"Thiếu ngày L6",IF(OR(IFERROR(INDEX('Lớp 5 - Phân công'!$AD$14:$AD$262,MATCH(J15,'Lớp 5 - Phân công'!$I$14:$I$262,0)),"")="",IFERROR(INDEX('Lớp 5 - Phân công'!$AE$14:$AE$262,MATCH(J15,'Lớp 5 - Phân công'!$I$14:$I$262,0)),"")=""),"Thiếu ngày L5",IF(OR(AG15&lt;INDEX('Lớp 5 - Phân công'!$AD$14:$AD$262,MATCH(J15,'Lớp 5 - Phân công'!$I$14:$I$262,0)),AH15&gt;INDEX('Lớp 5 - Phân công'!$AE$14:$AE$262,MATCH(J15,'Lớp 5 - Phân công'!$I$14:$I$262,0))),"L6 ngoài khung L5","L6 đúng khung"))))))))</f>
        <v>Thiếu ngày L5</v>
      </c>
      <c r="AO15" s="639" t="str">
        <f>IF(OR(AY15="Thiếu tham số phân bổ",AY15="Phân bổ phải &gt; 0"),AY15,SWITCH(AP15,"Chưa xếp lịch","Chưa tính tải","Định kỳ","Theo chu kỳ","Khi phát sinh","Khi phát sinh",IF(S15="","",IF(OR(AE15="Hoàn thành",AE15="Hủy"),AE15,IF(AL15="","Chưa nhập khối lượng",IF(AC15="","Thiếu người thực hiện",IF(OR(AG15="",AH15=""),"Chưa nhập đủ thời gian",IF(AK15&lt;0,"Quá hạn – còn "&amp;TEXT(MAX(0,AL15*(1-AJ15)),"0.0")&amp;" giờ",LET(bd,MAX(TODAY(),AG15),kt,AH15,nguoi,AC15,tai,SUMIFS('Lớp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P15" s="640" t="str">
        <f>'Trung tâm nhập liệu'!O207</f>
        <v>Có thời hạn</v>
      </c>
      <c r="AQ15" s="640" t="str">
        <f>'Trung tâm nhập liệu'!P207</f>
        <v/>
      </c>
      <c r="AR15" s="641" t="str">
        <f>'Trung tâm nhập liệu'!S207</f>
        <v/>
      </c>
      <c r="AS15" s="642" t="str">
        <f>'Trung tâm nhập liệu'!X207</f>
        <v/>
      </c>
      <c r="AT15" s="643" t="str">
        <f t="shared" si="19"/>
        <v/>
      </c>
      <c r="AU15" s="640" t="str">
        <f t="shared" si="20"/>
        <v/>
      </c>
      <c r="AV15" s="644" t="str">
        <f>'Trung tâm nhập liệu'!V207</f>
        <v/>
      </c>
      <c r="AW15" s="645" t="str">
        <f>'Trung tâm nhập liệu'!W207</f>
        <v/>
      </c>
      <c r="AX15" s="638" t="str">
        <f t="shared" si="21"/>
        <v/>
      </c>
      <c r="AY15" s="639" t="str">
        <f t="shared" si="22"/>
        <v>Thiếu tổng giờ</v>
      </c>
      <c r="AZ15" s="639" t="str">
        <f t="shared" si="23"/>
        <v>OK</v>
      </c>
      <c r="BA15" s="646" t="str">
        <f>'Trung tâm nhập liệu'!Y207</f>
        <v/>
      </c>
    </row>
    <row r="16" ht="15.75" customHeight="1">
      <c r="A16" s="424">
        <f t="shared" si="9"/>
        <v>3</v>
      </c>
      <c r="B16" s="572" t="str">
        <f>'Trung tâm nhập liệu'!F208</f>
        <v>Kiểm tra khả năng đáp ứng của CADS về mở trường thông tin mới phân loại sản phẩm</v>
      </c>
      <c r="C16" s="629" t="str">
        <f>'Trung tâm nhập liệu'!M208</f>
        <v>P1</v>
      </c>
      <c r="D16" s="630">
        <f>'Trung tâm nhập liệu'!N208</f>
        <v>1</v>
      </c>
      <c r="E16" s="593">
        <f t="shared" si="10"/>
        <v>0</v>
      </c>
      <c r="F16" s="575">
        <f>'Trung tâm nhập liệu'!Q208</f>
        <v>46239</v>
      </c>
      <c r="G16" s="575">
        <f>'Trung tâm nhập liệu'!R208</f>
        <v>46239</v>
      </c>
      <c r="H16" s="631" t="str">
        <f t="shared" si="11"/>
        <v>Không</v>
      </c>
      <c r="I16" s="632" t="str">
        <f>'Trung tâm nhập liệu'!B208</f>
        <v>HHL5RD05-01.03</v>
      </c>
      <c r="J16" s="633" t="str">
        <f>'Trung tâm nhập liệu'!D208</f>
        <v>HHL5RD05-01</v>
      </c>
      <c r="K16" s="578" t="str">
        <f t="array" ref="K16">IFERROR(INDEX('Lớp 5 - Phân công'!$J$14:$J$262,MATCH(J16,'Lớp 5 - Phân công'!$I$14:$I$262,0)),"")</f>
        <v/>
      </c>
      <c r="L16" s="580" t="str">
        <f t="array" ref="L16">IFERROR(INDEX('Lớp 5 - Phân công'!$K$14:$K$262,MATCH(J16,'Lớp 5 - Phân công'!$I$14:$I$262,0)),"")</f>
        <v/>
      </c>
      <c r="M16" s="579" t="str">
        <f t="array" ref="M16">IFERROR(INDEX('Lớp 5 - Phân công'!$L$14:$L$262,MATCH(J16,'Lớp 5 - Phân công'!$I$14:$I$262,0)),"")</f>
        <v/>
      </c>
      <c r="N16" s="578" t="str">
        <f t="array" ref="N16">IFERROR(INDEX('Lớp 5 - Phân công'!$M$14:$M$262,MATCH(J16,'Lớp 5 - Phân công'!$I$14:$I$262,0)),"")</f>
        <v/>
      </c>
      <c r="O16" s="578" t="str">
        <f t="array" ref="O16">IFERROR(INDEX('Lớp 5 - Phân công'!$N$14:$N$262,MATCH(J16,'Lớp 5 - Phân công'!$I$14:$I$262,0)),"")</f>
        <v/>
      </c>
      <c r="P16" s="634" t="str">
        <f t="array" ref="P16">IFERROR(INDEX('Lớp 5 - Phân công'!$O$14:$O$262,MATCH(J16,'Lớp 5 - Phân công'!$I$14:$I$262,0)),"")</f>
        <v/>
      </c>
      <c r="Q16" s="634" t="str">
        <f t="array" ref="Q16">IFERROR(INDEX('Lớp 5 - Phân công'!$P$14:$P$262,MATCH(J16,'Lớp 5 - Phân công'!$I$14:$I$262,0)),"")</f>
        <v/>
      </c>
      <c r="R16" s="634" t="str">
        <f t="array" ref="R16">IFERROR(INDEX('Lớp 5 - Phân công'!$Q$14:$Q$262,MATCH(J16,'Lớp 5 - Phân công'!$I$14:$I$262,0)),"")</f>
        <v/>
      </c>
      <c r="S16" s="581" t="str">
        <f t="shared" ref="S16:Y16" si="24">B16</f>
        <v>Kiểm tra khả năng đáp ứng của CADS về mở trường thông tin mới phân loại sản phẩm</v>
      </c>
      <c r="T16" s="635" t="str">
        <f t="shared" si="24"/>
        <v>P1</v>
      </c>
      <c r="U16" s="636">
        <f t="shared" si="24"/>
        <v>1</v>
      </c>
      <c r="V16" s="581">
        <f t="shared" si="24"/>
        <v>0</v>
      </c>
      <c r="W16" s="637">
        <f t="shared" si="24"/>
        <v>46239</v>
      </c>
      <c r="X16" s="637">
        <f t="shared" si="24"/>
        <v>46239</v>
      </c>
      <c r="Y16" s="581" t="str">
        <f t="shared" si="24"/>
        <v>Không</v>
      </c>
      <c r="Z16" s="581" t="str">
        <f>'Trung tâm nhập liệu'!G208</f>
        <v>Xác nhận với GĐ B.O.C hệ thống đáp ứng</v>
      </c>
      <c r="AA16" s="585" t="str">
        <f>'Trung tâm nhập liệu'!H208</f>
        <v/>
      </c>
      <c r="AB16" s="586" t="str">
        <f t="array" ref="AB16">IFERROR(INDEX('Lớp 5 - Phân công'!$Z$14:$Z$262,MATCH(J16,'Lớp 5 - Phân công'!$I$14:$I$262,0)),"")</f>
        <v/>
      </c>
      <c r="AC16" s="577" t="str">
        <f>'Trung tâm nhập liệu'!K208</f>
        <v>Thu Trang</v>
      </c>
      <c r="AD16" s="577" t="str">
        <f t="shared" si="13"/>
        <v>#REF!</v>
      </c>
      <c r="AE16" s="572" t="str">
        <f>'Trung tâm nhập liệu'!L208</f>
        <v>Hoàn thành</v>
      </c>
      <c r="AF16" s="635" t="str">
        <f t="shared" si="14"/>
        <v>P1</v>
      </c>
      <c r="AG16" s="637">
        <f t="shared" si="15"/>
        <v>46239</v>
      </c>
      <c r="AH16" s="637">
        <f t="shared" si="16"/>
        <v>46239</v>
      </c>
      <c r="AI16" s="587">
        <f>IF(AP16&lt;&gt;"Có thời hạn","",IF(OR(AG16="",AH16=""),"",IF(AH16&lt;AG16,"",_xlfn.NETWORKDAYS.INTL(AG16,AH16,11,'Ngày nghỉ lễ'!$A$5:$A$80))))</f>
        <v>1</v>
      </c>
      <c r="AJ16" s="636">
        <f t="shared" si="17"/>
        <v>1</v>
      </c>
      <c r="AK16" s="587">
        <f>IF(AP16&lt;&gt;"Có thời hạn","",IF(OR(S16="",AG16="",AH16=""),"",IF(OR(AE16="Hoàn thành",AE16="Hủy"),0,IF(AH16&lt;TODAY(),-_xlfn.NETWORKDAYS.INTL(AH16,TODAY()-1,11,'Ngày nghỉ lễ'!$A$5:$A$80),MAX(0,_xlfn.NETWORKDAYS.INTL(MAX(TODAY()+1,AG16),AH16,11,'Ngày nghỉ lễ'!$A$5:$A$80))))))</f>
        <v>0</v>
      </c>
      <c r="AL16" s="589" t="str">
        <f>'Trung tâm nhập liệu'!T208</f>
        <v/>
      </c>
      <c r="AM16" s="638" t="str">
        <f t="shared" si="18"/>
        <v/>
      </c>
      <c r="AN16" s="639" t="str">
        <f t="array" ref="AN16">IF(AP16="Chưa xếp lịch","Chưa xếp lịch",IF(AP16="Định kỳ",IF(AQ16="","Thiếu chu kỳ","Theo chu kỳ"),IF(AP16="Khi phát sinh","Khi phát sinh",IF(S16="","",IF(J16="","Thiếu mã L5",IF(OR(AG16="",AH16=""),"Thiếu ngày L6",IF(OR(IFERROR(INDEX('Lớp 5 - Phân công'!$AD$14:$AD$262,MATCH(J16,'Lớp 5 - Phân công'!$I$14:$I$262,0)),"")="",IFERROR(INDEX('Lớp 5 - Phân công'!$AE$14:$AE$262,MATCH(J16,'Lớp 5 - Phân công'!$I$14:$I$262,0)),"")=""),"Thiếu ngày L5",IF(OR(AG16&lt;INDEX('Lớp 5 - Phân công'!$AD$14:$AD$262,MATCH(J16,'Lớp 5 - Phân công'!$I$14:$I$262,0)),AH16&gt;INDEX('Lớp 5 - Phân công'!$AE$14:$AE$262,MATCH(J16,'Lớp 5 - Phân công'!$I$14:$I$262,0))),"L6 ngoài khung L5","L6 đúng khung"))))))))</f>
        <v>Thiếu ngày L5</v>
      </c>
      <c r="AO16" s="639" t="str">
        <f>IF(OR(AY16="Thiếu tham số phân bổ",AY16="Phân bổ phải &gt; 0"),AY16,SWITCH(AP16,"Chưa xếp lịch","Chưa tính tải","Định kỳ","Theo chu kỳ","Khi phát sinh","Khi phát sinh",IF(S16="","",IF(OR(AE16="Hoàn thành",AE16="Hủy"),AE16,IF(AL16="","Chưa nhập khối lượng",IF(AC16="","Thiếu người thực hiện",IF(OR(AG16="",AH16=""),"Chưa nhập đủ thời gian",IF(AK16&lt;0,"Quá hạn – còn "&amp;TEXT(MAX(0,AL16*(1-AJ16)),"0.0")&amp;" giờ",LET(bd,MAX(TODAY(),AG16),kt,AH16,nguoi,AC16,tai,SUMIFS('Lớp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Hoàn thành</v>
      </c>
      <c r="AP16" s="640" t="str">
        <f>'Trung tâm nhập liệu'!O208</f>
        <v>Có thời hạn</v>
      </c>
      <c r="AQ16" s="640" t="str">
        <f>'Trung tâm nhập liệu'!P208</f>
        <v/>
      </c>
      <c r="AR16" s="641" t="str">
        <f>'Trung tâm nhập liệu'!S208</f>
        <v/>
      </c>
      <c r="AS16" s="642">
        <f>'Trung tâm nhập liệu'!X208</f>
        <v>46239</v>
      </c>
      <c r="AT16" s="643" t="str">
        <f t="shared" si="19"/>
        <v>2026-08</v>
      </c>
      <c r="AU16" s="640" t="str">
        <f t="shared" si="20"/>
        <v/>
      </c>
      <c r="AV16" s="644" t="str">
        <f>'Trung tâm nhập liệu'!V208</f>
        <v/>
      </c>
      <c r="AW16" s="645" t="str">
        <f>'Trung tâm nhập liệu'!W208</f>
        <v/>
      </c>
      <c r="AX16" s="638" t="str">
        <f t="shared" si="21"/>
        <v/>
      </c>
      <c r="AY16" s="639" t="str">
        <f t="shared" si="22"/>
        <v>Hoàn thành</v>
      </c>
      <c r="AZ16" s="639" t="str">
        <f t="shared" si="23"/>
        <v>Thiếu đường link kết quả</v>
      </c>
      <c r="BA16" s="646" t="str">
        <f>'Trung tâm nhập liệu'!Y208</f>
        <v/>
      </c>
    </row>
    <row r="17" ht="15.75" customHeight="1">
      <c r="A17" s="424">
        <f t="shared" si="9"/>
        <v>4</v>
      </c>
      <c r="B17" s="572" t="str">
        <f>'Trung tâm nhập liệu'!F209</f>
        <v>Báo cáo phân loại sản phẩm + hiển thị thông tin trên CADS</v>
      </c>
      <c r="C17" s="629" t="str">
        <f>'Trung tâm nhập liệu'!M209</f>
        <v>P1</v>
      </c>
      <c r="D17" s="630">
        <f>'Trung tâm nhập liệu'!N209</f>
        <v>0</v>
      </c>
      <c r="E17" s="593">
        <f t="shared" si="10"/>
        <v>9</v>
      </c>
      <c r="F17" s="575">
        <f>'Trung tâm nhập liệu'!Q209</f>
        <v>46264</v>
      </c>
      <c r="G17" s="575">
        <f>'Trung tâm nhập liệu'!R209</f>
        <v>46254</v>
      </c>
      <c r="H17" s="631" t="str">
        <f t="shared" si="11"/>
        <v>Không</v>
      </c>
      <c r="I17" s="632" t="str">
        <f>'Trung tâm nhập liệu'!B209</f>
        <v>HHL5RD05-01.04</v>
      </c>
      <c r="J17" s="633" t="str">
        <f>'Trung tâm nhập liệu'!D209</f>
        <v>HHL5RD05-01</v>
      </c>
      <c r="K17" s="578" t="str">
        <f t="array" ref="K17">IFERROR(INDEX('Lớp 5 - Phân công'!$J$14:$J$262,MATCH(J17,'Lớp 5 - Phân công'!$I$14:$I$262,0)),"")</f>
        <v/>
      </c>
      <c r="L17" s="580" t="str">
        <f t="array" ref="L17">IFERROR(INDEX('Lớp 5 - Phân công'!$K$14:$K$262,MATCH(J17,'Lớp 5 - Phân công'!$I$14:$I$262,0)),"")</f>
        <v/>
      </c>
      <c r="M17" s="579" t="str">
        <f t="array" ref="M17">IFERROR(INDEX('Lớp 5 - Phân công'!$L$14:$L$262,MATCH(J17,'Lớp 5 - Phân công'!$I$14:$I$262,0)),"")</f>
        <v/>
      </c>
      <c r="N17" s="578" t="str">
        <f t="array" ref="N17">IFERROR(INDEX('Lớp 5 - Phân công'!$M$14:$M$262,MATCH(J17,'Lớp 5 - Phân công'!$I$14:$I$262,0)),"")</f>
        <v/>
      </c>
      <c r="O17" s="578" t="str">
        <f t="array" ref="O17">IFERROR(INDEX('Lớp 5 - Phân công'!$N$14:$N$262,MATCH(J17,'Lớp 5 - Phân công'!$I$14:$I$262,0)),"")</f>
        <v/>
      </c>
      <c r="P17" s="634" t="str">
        <f t="array" ref="P17">IFERROR(INDEX('Lớp 5 - Phân công'!$O$14:$O$262,MATCH(J17,'Lớp 5 - Phân công'!$I$14:$I$262,0)),"")</f>
        <v/>
      </c>
      <c r="Q17" s="634" t="str">
        <f t="array" ref="Q17">IFERROR(INDEX('Lớp 5 - Phân công'!$P$14:$P$262,MATCH(J17,'Lớp 5 - Phân công'!$I$14:$I$262,0)),"")</f>
        <v/>
      </c>
      <c r="R17" s="634" t="str">
        <f t="array" ref="R17">IFERROR(INDEX('Lớp 5 - Phân công'!$Q$14:$Q$262,MATCH(J17,'Lớp 5 - Phân công'!$I$14:$I$262,0)),"")</f>
        <v/>
      </c>
      <c r="S17" s="581" t="str">
        <f t="shared" ref="S17:Y17" si="25">B17</f>
        <v>Báo cáo phân loại sản phẩm + hiển thị thông tin trên CADS</v>
      </c>
      <c r="T17" s="635" t="str">
        <f t="shared" si="25"/>
        <v>P1</v>
      </c>
      <c r="U17" s="636">
        <f t="shared" si="25"/>
        <v>0</v>
      </c>
      <c r="V17" s="581">
        <f t="shared" si="25"/>
        <v>9</v>
      </c>
      <c r="W17" s="637">
        <f t="shared" si="25"/>
        <v>46264</v>
      </c>
      <c r="X17" s="637">
        <f t="shared" si="25"/>
        <v>46254</v>
      </c>
      <c r="Y17" s="581" t="str">
        <f t="shared" si="25"/>
        <v>Không</v>
      </c>
      <c r="Z17" s="581" t="str">
        <f>'Trung tâm nhập liệu'!G209</f>
        <v>Bản ppt báo cáo phân loại sản phẩm theo BCG</v>
      </c>
      <c r="AA17" s="585" t="str">
        <f>'Trung tâm nhập liệu'!H209</f>
        <v/>
      </c>
      <c r="AB17" s="586" t="str">
        <f t="array" ref="AB17">IFERROR(INDEX('Lớp 5 - Phân công'!$Z$14:$Z$262,MATCH(J17,'Lớp 5 - Phân công'!$I$14:$I$262,0)),"")</f>
        <v/>
      </c>
      <c r="AC17" s="577" t="str">
        <f>'Trung tâm nhập liệu'!K209</f>
        <v>Team PTSP</v>
      </c>
      <c r="AD17" s="577" t="str">
        <f t="shared" si="13"/>
        <v>#REF!</v>
      </c>
      <c r="AE17" s="572" t="str">
        <f>'Trung tâm nhập liệu'!L209</f>
        <v>Đã lên lịch</v>
      </c>
      <c r="AF17" s="635" t="str">
        <f t="shared" si="14"/>
        <v>P1</v>
      </c>
      <c r="AG17" s="637">
        <f t="shared" si="15"/>
        <v>46254</v>
      </c>
      <c r="AH17" s="637">
        <f t="shared" si="16"/>
        <v>46264</v>
      </c>
      <c r="AI17" s="587">
        <f>IF(AP17&lt;&gt;"Có thời hạn","",IF(OR(AG17="",AH17=""),"",IF(AH17&lt;AG17,"",_xlfn.NETWORKDAYS.INTL(AG17,AH17,11,'Ngày nghỉ lễ'!$A$5:$A$80))))</f>
        <v>9</v>
      </c>
      <c r="AJ17" s="636">
        <f t="shared" si="17"/>
        <v>0</v>
      </c>
      <c r="AK17" s="587">
        <f>IF(AP17&lt;&gt;"Có thời hạn","",IF(OR(S17="",AG17="",AH17=""),"",IF(OR(AE17="Hoàn thành",AE17="Hủy"),0,IF(AH17&lt;TODAY(),-_xlfn.NETWORKDAYS.INTL(AH17,TODAY()-1,11,'Ngày nghỉ lễ'!$A$5:$A$80),MAX(0,_xlfn.NETWORKDAYS.INTL(MAX(TODAY()+1,AG17),AH17,11,'Ngày nghỉ lễ'!$A$5:$A$80))))))</f>
        <v>9</v>
      </c>
      <c r="AL17" s="589" t="str">
        <f>'Trung tâm nhập liệu'!T209</f>
        <v/>
      </c>
      <c r="AM17" s="638" t="str">
        <f t="shared" si="18"/>
        <v/>
      </c>
      <c r="AN17" s="639" t="str">
        <f t="array" ref="AN17">IF(AP17="Chưa xếp lịch","Chưa xếp lịch",IF(AP17="Định kỳ",IF(AQ17="","Thiếu chu kỳ","Theo chu kỳ"),IF(AP17="Khi phát sinh","Khi phát sinh",IF(S17="","",IF(J17="","Thiếu mã L5",IF(OR(AG17="",AH17=""),"Thiếu ngày L6",IF(OR(IFERROR(INDEX('Lớp 5 - Phân công'!$AD$14:$AD$262,MATCH(J17,'Lớp 5 - Phân công'!$I$14:$I$262,0)),"")="",IFERROR(INDEX('Lớp 5 - Phân công'!$AE$14:$AE$262,MATCH(J17,'Lớp 5 - Phân công'!$I$14:$I$262,0)),"")=""),"Thiếu ngày L5",IF(OR(AG17&lt;INDEX('Lớp 5 - Phân công'!$AD$14:$AD$262,MATCH(J17,'Lớp 5 - Phân công'!$I$14:$I$262,0)),AH17&gt;INDEX('Lớp 5 - Phân công'!$AE$14:$AE$262,MATCH(J17,'Lớp 5 - Phân công'!$I$14:$I$262,0))),"L6 ngoài khung L5","L6 đúng khung"))))))))</f>
        <v>Thiếu ngày L5</v>
      </c>
      <c r="AO17" s="639" t="str">
        <f>IF(OR(AY17="Thiếu tham số phân bổ",AY17="Phân bổ phải &gt; 0"),AY17,SWITCH(AP17,"Chưa xếp lịch","Chưa tính tải","Định kỳ","Theo chu kỳ","Khi phát sinh","Khi phát sinh",IF(S17="","",IF(OR(AE17="Hoàn thành",AE17="Hủy"),AE17,IF(AL17="","Chưa nhập khối lượng",IF(AC17="","Thiếu người thực hiện",IF(OR(AG17="",AH17=""),"Chưa nhập đủ thời gian",IF(AK17&lt;0,"Quá hạn – còn "&amp;TEXT(MAX(0,AL17*(1-AJ17)),"0.0")&amp;" giờ",LET(bd,MAX(TODAY(),AG17),kt,AH17,nguoi,AC17,tai,SUMIFS('Lớp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Chưa nhập khối lượng</v>
      </c>
      <c r="AP17" s="640" t="str">
        <f>'Trung tâm nhập liệu'!O209</f>
        <v>Có thời hạn</v>
      </c>
      <c r="AQ17" s="640" t="str">
        <f>'Trung tâm nhập liệu'!P209</f>
        <v/>
      </c>
      <c r="AR17" s="641" t="str">
        <f>'Trung tâm nhập liệu'!S209</f>
        <v/>
      </c>
      <c r="AS17" s="642" t="str">
        <f>'Trung tâm nhập liệu'!X209</f>
        <v/>
      </c>
      <c r="AT17" s="643" t="str">
        <f t="shared" si="19"/>
        <v/>
      </c>
      <c r="AU17" s="640" t="str">
        <f t="shared" si="20"/>
        <v/>
      </c>
      <c r="AV17" s="644" t="str">
        <f>'Trung tâm nhập liệu'!V209</f>
        <v/>
      </c>
      <c r="AW17" s="645" t="str">
        <f>'Trung tâm nhập liệu'!W209</f>
        <v/>
      </c>
      <c r="AX17" s="638" t="str">
        <f t="shared" si="21"/>
        <v/>
      </c>
      <c r="AY17" s="639" t="str">
        <f t="shared" si="22"/>
        <v>Thiếu tổng giờ</v>
      </c>
      <c r="AZ17" s="639" t="str">
        <f t="shared" si="23"/>
        <v>OK</v>
      </c>
      <c r="BA17" s="646" t="str">
        <f>'Trung tâm nhập liệu'!Y209</f>
        <v/>
      </c>
    </row>
    <row r="18" ht="15.75" customHeight="1">
      <c r="A18" s="424" t="str">
        <f t="shared" si="9"/>
        <v/>
      </c>
      <c r="B18" s="572" t="str">
        <f>'Trung tâm nhập liệu'!F210</f>
        <v/>
      </c>
      <c r="C18" s="629" t="str">
        <f>'Trung tâm nhập liệu'!M210</f>
        <v/>
      </c>
      <c r="D18" s="630" t="str">
        <f>'Trung tâm nhập liệu'!N210</f>
        <v/>
      </c>
      <c r="E18" s="593" t="str">
        <f t="shared" si="10"/>
        <v/>
      </c>
      <c r="F18" s="575" t="str">
        <f>'Trung tâm nhập liệu'!Q210</f>
        <v/>
      </c>
      <c r="G18" s="575" t="str">
        <f>'Trung tâm nhập liệu'!R210</f>
        <v/>
      </c>
      <c r="H18" s="631" t="str">
        <f t="shared" si="11"/>
        <v/>
      </c>
      <c r="I18" s="632" t="str">
        <f>'Trung tâm nhập liệu'!B210</f>
        <v/>
      </c>
      <c r="J18" s="633" t="str">
        <f>'Trung tâm nhập liệu'!D210</f>
        <v/>
      </c>
      <c r="K18" s="578" t="str">
        <f t="array" ref="K18">IFERROR(INDEX('Lớp 5 - Phân công'!$J$14:$J$262,MATCH(J18,'Lớp 5 - Phân công'!$I$14:$I$262,0)),"")</f>
        <v/>
      </c>
      <c r="L18" s="580" t="str">
        <f t="array" ref="L18">IFERROR(INDEX('Lớp 5 - Phân công'!$K$14:$K$262,MATCH(J18,'Lớp 5 - Phân công'!$I$14:$I$262,0)),"")</f>
        <v/>
      </c>
      <c r="M18" s="579" t="str">
        <f t="array" ref="M18">IFERROR(INDEX('Lớp 5 - Phân công'!$L$14:$L$262,MATCH(J18,'Lớp 5 - Phân công'!$I$14:$I$262,0)),"")</f>
        <v/>
      </c>
      <c r="N18" s="578" t="str">
        <f t="array" ref="N18">IFERROR(INDEX('Lớp 5 - Phân công'!$M$14:$M$262,MATCH(J18,'Lớp 5 - Phân công'!$I$14:$I$262,0)),"")</f>
        <v/>
      </c>
      <c r="O18" s="578" t="str">
        <f t="array" ref="O18">IFERROR(INDEX('Lớp 5 - Phân công'!$N$14:$N$262,MATCH(J18,'Lớp 5 - Phân công'!$I$14:$I$262,0)),"")</f>
        <v/>
      </c>
      <c r="P18" s="634" t="str">
        <f t="array" ref="P18">IFERROR(INDEX('Lớp 5 - Phân công'!$O$14:$O$262,MATCH(J18,'Lớp 5 - Phân công'!$I$14:$I$262,0)),"")</f>
        <v/>
      </c>
      <c r="Q18" s="634" t="str">
        <f t="array" ref="Q18">IFERROR(INDEX('Lớp 5 - Phân công'!$P$14:$P$262,MATCH(J18,'Lớp 5 - Phân công'!$I$14:$I$262,0)),"")</f>
        <v/>
      </c>
      <c r="R18" s="634" t="str">
        <f t="array" ref="R18">IFERROR(INDEX('Lớp 5 - Phân công'!$Q$14:$Q$262,MATCH(J18,'Lớp 5 - Phân công'!$I$14:$I$262,0)),"")</f>
        <v/>
      </c>
      <c r="S18" s="581" t="str">
        <f t="shared" ref="S18:Y18" si="26">B18</f>
        <v/>
      </c>
      <c r="T18" s="635" t="str">
        <f t="shared" si="26"/>
        <v/>
      </c>
      <c r="U18" s="636" t="str">
        <f t="shared" si="26"/>
        <v/>
      </c>
      <c r="V18" s="581" t="str">
        <f t="shared" si="26"/>
        <v/>
      </c>
      <c r="W18" s="637" t="str">
        <f t="shared" si="26"/>
        <v/>
      </c>
      <c r="X18" s="637" t="str">
        <f t="shared" si="26"/>
        <v/>
      </c>
      <c r="Y18" s="581" t="str">
        <f t="shared" si="26"/>
        <v/>
      </c>
      <c r="Z18" s="581" t="str">
        <f>'Trung tâm nhập liệu'!G210</f>
        <v/>
      </c>
      <c r="AA18" s="585" t="str">
        <f>'Trung tâm nhập liệu'!H210</f>
        <v/>
      </c>
      <c r="AB18" s="586" t="str">
        <f t="array" ref="AB18">IFERROR(INDEX('Lớp 5 - Phân công'!$Z$14:$Z$262,MATCH(J18,'Lớp 5 - Phân công'!$I$14:$I$262,0)),"")</f>
        <v/>
      </c>
      <c r="AC18" s="577" t="str">
        <f>'Trung tâm nhập liệu'!K210</f>
        <v/>
      </c>
      <c r="AD18" s="577" t="str">
        <f t="shared" si="13"/>
        <v>#REF!</v>
      </c>
      <c r="AE18" s="572" t="str">
        <f>'Trung tâm nhập liệu'!L210</f>
        <v/>
      </c>
      <c r="AF18" s="635" t="str">
        <f t="shared" si="14"/>
        <v/>
      </c>
      <c r="AG18" s="637" t="str">
        <f t="shared" si="15"/>
        <v/>
      </c>
      <c r="AH18" s="637" t="str">
        <f t="shared" si="16"/>
        <v/>
      </c>
      <c r="AI18" s="587" t="str">
        <f>IF(AP18&lt;&gt;"Có thời hạn","",IF(OR(AG18="",AH18=""),"",IF(AH18&lt;AG18,"",_xlfn.NETWORKDAYS.INTL(AG18,AH18,11,'Ngày nghỉ lễ'!$A$5:$A$80))))</f>
        <v/>
      </c>
      <c r="AJ18" s="636" t="str">
        <f t="shared" si="17"/>
        <v/>
      </c>
      <c r="AK18" s="587" t="str">
        <f>IF(AP18&lt;&gt;"Có thời hạn","",IF(OR(S18="",AG18="",AH18=""),"",IF(OR(AE18="Hoàn thành",AE18="Hủy"),0,IF(AH18&lt;TODAY(),-_xlfn.NETWORKDAYS.INTL(AH18,TODAY()-1,11,'Ngày nghỉ lễ'!$A$5:$A$80),MAX(0,_xlfn.NETWORKDAYS.INTL(MAX(TODAY()+1,AG18),AH18,11,'Ngày nghỉ lễ'!$A$5:$A$80))))))</f>
        <v/>
      </c>
      <c r="AL18" s="589" t="str">
        <f>'Trung tâm nhập liệu'!T210</f>
        <v/>
      </c>
      <c r="AM18" s="638" t="str">
        <f t="shared" si="18"/>
        <v/>
      </c>
      <c r="AN18" s="639" t="str">
        <f t="array" ref="AN18">IF(AP18="Chưa xếp lịch","Chưa xếp lịch",IF(AP18="Định kỳ",IF(AQ18="","Thiếu chu kỳ","Theo chu kỳ"),IF(AP18="Khi phát sinh","Khi phát sinh",IF(S18="","",IF(J18="","Thiếu mã L5",IF(OR(AG18="",AH18=""),"Thiếu ngày L6",IF(OR(IFERROR(INDEX('Lớp 5 - Phân công'!$AD$14:$AD$262,MATCH(J18,'Lớp 5 - Phân công'!$I$14:$I$262,0)),"")="",IFERROR(INDEX('Lớp 5 - Phân công'!$AE$14:$AE$262,MATCH(J18,'Lớp 5 - Phân công'!$I$14:$I$262,0)),"")=""),"Thiếu ngày L5",IF(OR(AG18&lt;INDEX('Lớp 5 - Phân công'!$AD$14:$AD$262,MATCH(J18,'Lớp 5 - Phân công'!$I$14:$I$262,0)),AH18&gt;INDEX('Lớp 5 - Phân công'!$AE$14:$AE$262,MATCH(J18,'Lớp 5 - Phân công'!$I$14:$I$262,0))),"L6 ngoài khung L5","L6 đúng khung"))))))))</f>
        <v/>
      </c>
      <c r="AO18" s="639" t="str">
        <f>IF(OR(AY18="Thiếu tham số phân bổ",AY18="Phân bổ phải &gt; 0"),AY18,SWITCH(AP18,"Chưa xếp lịch","Chưa tính tải","Định kỳ","Theo chu kỳ","Khi phát sinh","Khi phát sinh",IF(S18="","",IF(OR(AE18="Hoàn thành",AE18="Hủy"),AE18,IF(AL18="","Chưa nhập khối lượng",IF(AC18="","Thiếu người thực hiện",IF(OR(AG18="",AH18=""),"Chưa nhập đủ thời gian",IF(AK18&lt;0,"Quá hạn – còn "&amp;TEXT(MAX(0,AL18*(1-AJ18)),"0.0")&amp;" giờ",LET(bd,MAX(TODAY(),AG18),kt,AH18,nguoi,AC18,tai,SUMIFS('Lớp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P18" s="640" t="str">
        <f>'Trung tâm nhập liệu'!O210</f>
        <v/>
      </c>
      <c r="AQ18" s="640" t="str">
        <f>'Trung tâm nhập liệu'!P210</f>
        <v/>
      </c>
      <c r="AR18" s="641" t="str">
        <f>'Trung tâm nhập liệu'!S210</f>
        <v/>
      </c>
      <c r="AS18" s="642" t="str">
        <f>'Trung tâm nhập liệu'!X210</f>
        <v/>
      </c>
      <c r="AT18" s="643" t="str">
        <f t="shared" si="19"/>
        <v/>
      </c>
      <c r="AU18" s="640" t="str">
        <f t="shared" si="20"/>
        <v/>
      </c>
      <c r="AV18" s="644" t="str">
        <f>'Trung tâm nhập liệu'!V210</f>
        <v/>
      </c>
      <c r="AW18" s="645" t="str">
        <f>'Trung tâm nhập liệu'!W210</f>
        <v/>
      </c>
      <c r="AX18" s="638" t="str">
        <f t="shared" si="21"/>
        <v/>
      </c>
      <c r="AY18" s="639" t="str">
        <f t="shared" si="22"/>
        <v/>
      </c>
      <c r="AZ18" s="639" t="str">
        <f t="shared" si="23"/>
        <v/>
      </c>
      <c r="BA18" s="646" t="str">
        <f>'Trung tâm nhập liệu'!Y210</f>
        <v/>
      </c>
    </row>
    <row r="19" ht="15.75" customHeight="1">
      <c r="A19" s="424" t="str">
        <f t="shared" si="9"/>
        <v/>
      </c>
      <c r="B19" s="572" t="str">
        <f>'Trung tâm nhập liệu'!F211</f>
        <v/>
      </c>
      <c r="C19" s="629" t="str">
        <f>'Trung tâm nhập liệu'!M211</f>
        <v/>
      </c>
      <c r="D19" s="630" t="str">
        <f>'Trung tâm nhập liệu'!N211</f>
        <v/>
      </c>
      <c r="E19" s="593" t="str">
        <f t="shared" si="10"/>
        <v/>
      </c>
      <c r="F19" s="575" t="str">
        <f>'Trung tâm nhập liệu'!Q211</f>
        <v/>
      </c>
      <c r="G19" s="575" t="str">
        <f>'Trung tâm nhập liệu'!R211</f>
        <v/>
      </c>
      <c r="H19" s="631" t="str">
        <f t="shared" si="11"/>
        <v/>
      </c>
      <c r="I19" s="632" t="str">
        <f>'Trung tâm nhập liệu'!B211</f>
        <v/>
      </c>
      <c r="J19" s="633" t="str">
        <f>'Trung tâm nhập liệu'!D211</f>
        <v/>
      </c>
      <c r="K19" s="578" t="str">
        <f t="array" ref="K19">IFERROR(INDEX('Lớp 5 - Phân công'!$J$14:$J$262,MATCH(J19,'Lớp 5 - Phân công'!$I$14:$I$262,0)),"")</f>
        <v/>
      </c>
      <c r="L19" s="580" t="str">
        <f t="array" ref="L19">IFERROR(INDEX('Lớp 5 - Phân công'!$K$14:$K$262,MATCH(J19,'Lớp 5 - Phân công'!$I$14:$I$262,0)),"")</f>
        <v/>
      </c>
      <c r="M19" s="579" t="str">
        <f t="array" ref="M19">IFERROR(INDEX('Lớp 5 - Phân công'!$L$14:$L$262,MATCH(J19,'Lớp 5 - Phân công'!$I$14:$I$262,0)),"")</f>
        <v/>
      </c>
      <c r="N19" s="578" t="str">
        <f t="array" ref="N19">IFERROR(INDEX('Lớp 5 - Phân công'!$M$14:$M$262,MATCH(J19,'Lớp 5 - Phân công'!$I$14:$I$262,0)),"")</f>
        <v/>
      </c>
      <c r="O19" s="578" t="str">
        <f t="array" ref="O19">IFERROR(INDEX('Lớp 5 - Phân công'!$N$14:$N$262,MATCH(J19,'Lớp 5 - Phân công'!$I$14:$I$262,0)),"")</f>
        <v/>
      </c>
      <c r="P19" s="634" t="str">
        <f t="array" ref="P19">IFERROR(INDEX('Lớp 5 - Phân công'!$O$14:$O$262,MATCH(J19,'Lớp 5 - Phân công'!$I$14:$I$262,0)),"")</f>
        <v/>
      </c>
      <c r="Q19" s="634" t="str">
        <f t="array" ref="Q19">IFERROR(INDEX('Lớp 5 - Phân công'!$P$14:$P$262,MATCH(J19,'Lớp 5 - Phân công'!$I$14:$I$262,0)),"")</f>
        <v/>
      </c>
      <c r="R19" s="634" t="str">
        <f t="array" ref="R19">IFERROR(INDEX('Lớp 5 - Phân công'!$Q$14:$Q$262,MATCH(J19,'Lớp 5 - Phân công'!$I$14:$I$262,0)),"")</f>
        <v/>
      </c>
      <c r="S19" s="581" t="str">
        <f t="shared" ref="S19:Y19" si="27">B19</f>
        <v/>
      </c>
      <c r="T19" s="635" t="str">
        <f t="shared" si="27"/>
        <v/>
      </c>
      <c r="U19" s="636" t="str">
        <f t="shared" si="27"/>
        <v/>
      </c>
      <c r="V19" s="581" t="str">
        <f t="shared" si="27"/>
        <v/>
      </c>
      <c r="W19" s="637" t="str">
        <f t="shared" si="27"/>
        <v/>
      </c>
      <c r="X19" s="637" t="str">
        <f t="shared" si="27"/>
        <v/>
      </c>
      <c r="Y19" s="581" t="str">
        <f t="shared" si="27"/>
        <v/>
      </c>
      <c r="Z19" s="581" t="str">
        <f>'Trung tâm nhập liệu'!G211</f>
        <v/>
      </c>
      <c r="AA19" s="585" t="str">
        <f>'Trung tâm nhập liệu'!H211</f>
        <v/>
      </c>
      <c r="AB19" s="586" t="str">
        <f t="array" ref="AB19">IFERROR(INDEX('Lớp 5 - Phân công'!$Z$14:$Z$262,MATCH(J19,'Lớp 5 - Phân công'!$I$14:$I$262,0)),"")</f>
        <v/>
      </c>
      <c r="AC19" s="577" t="str">
        <f>'Trung tâm nhập liệu'!K211</f>
        <v/>
      </c>
      <c r="AD19" s="577" t="str">
        <f t="shared" si="13"/>
        <v>#REF!</v>
      </c>
      <c r="AE19" s="572" t="str">
        <f>'Trung tâm nhập liệu'!L211</f>
        <v/>
      </c>
      <c r="AF19" s="635" t="str">
        <f t="shared" si="14"/>
        <v/>
      </c>
      <c r="AG19" s="637" t="str">
        <f t="shared" si="15"/>
        <v/>
      </c>
      <c r="AH19" s="637" t="str">
        <f t="shared" si="16"/>
        <v/>
      </c>
      <c r="AI19" s="587" t="str">
        <f>IF(AP19&lt;&gt;"Có thời hạn","",IF(OR(AG19="",AH19=""),"",IF(AH19&lt;AG19,"",_xlfn.NETWORKDAYS.INTL(AG19,AH19,11,'Ngày nghỉ lễ'!$A$5:$A$80))))</f>
        <v/>
      </c>
      <c r="AJ19" s="636" t="str">
        <f t="shared" si="17"/>
        <v/>
      </c>
      <c r="AK19" s="587" t="str">
        <f>IF(AP19&lt;&gt;"Có thời hạn","",IF(OR(S19="",AG19="",AH19=""),"",IF(OR(AE19="Hoàn thành",AE19="Hủy"),0,IF(AH19&lt;TODAY(),-_xlfn.NETWORKDAYS.INTL(AH19,TODAY()-1,11,'Ngày nghỉ lễ'!$A$5:$A$80),MAX(0,_xlfn.NETWORKDAYS.INTL(MAX(TODAY()+1,AG19),AH19,11,'Ngày nghỉ lễ'!$A$5:$A$80))))))</f>
        <v/>
      </c>
      <c r="AL19" s="589" t="str">
        <f>'Trung tâm nhập liệu'!T211</f>
        <v/>
      </c>
      <c r="AM19" s="638" t="str">
        <f t="shared" si="18"/>
        <v/>
      </c>
      <c r="AN19" s="639" t="str">
        <f t="array" ref="AN19">IF(AP19="Chưa xếp lịch","Chưa xếp lịch",IF(AP19="Định kỳ",IF(AQ19="","Thiếu chu kỳ","Theo chu kỳ"),IF(AP19="Khi phát sinh","Khi phát sinh",IF(S19="","",IF(J19="","Thiếu mã L5",IF(OR(AG19="",AH19=""),"Thiếu ngày L6",IF(OR(IFERROR(INDEX('Lớp 5 - Phân công'!$AD$14:$AD$262,MATCH(J19,'Lớp 5 - Phân công'!$I$14:$I$262,0)),"")="",IFERROR(INDEX('Lớp 5 - Phân công'!$AE$14:$AE$262,MATCH(J19,'Lớp 5 - Phân công'!$I$14:$I$262,0)),"")=""),"Thiếu ngày L5",IF(OR(AG19&lt;INDEX('Lớp 5 - Phân công'!$AD$14:$AD$262,MATCH(J19,'Lớp 5 - Phân công'!$I$14:$I$262,0)),AH19&gt;INDEX('Lớp 5 - Phân công'!$AE$14:$AE$262,MATCH(J19,'Lớp 5 - Phân công'!$I$14:$I$262,0))),"L6 ngoài khung L5","L6 đúng khung"))))))))</f>
        <v/>
      </c>
      <c r="AO19" s="639" t="str">
        <f>IF(OR(AY19="Thiếu tham số phân bổ",AY19="Phân bổ phải &gt; 0"),AY19,SWITCH(AP19,"Chưa xếp lịch","Chưa tính tải","Định kỳ","Theo chu kỳ","Khi phát sinh","Khi phát sinh",IF(S19="","",IF(OR(AE19="Hoàn thành",AE19="Hủy"),AE19,IF(AL19="","Chưa nhập khối lượng",IF(AC19="","Thiếu người thực hiện",IF(OR(AG19="",AH19=""),"Chưa nhập đủ thời gian",IF(AK19&lt;0,"Quá hạn – còn "&amp;TEXT(MAX(0,AL19*(1-AJ19)),"0.0")&amp;" giờ",LET(bd,MAX(TODAY(),AG19),kt,AH19,nguoi,AC19,tai,SUMIFS('Lớp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P19" s="640" t="str">
        <f>'Trung tâm nhập liệu'!O211</f>
        <v/>
      </c>
      <c r="AQ19" s="640" t="str">
        <f>'Trung tâm nhập liệu'!P211</f>
        <v/>
      </c>
      <c r="AR19" s="641" t="str">
        <f>'Trung tâm nhập liệu'!S211</f>
        <v/>
      </c>
      <c r="AS19" s="642" t="str">
        <f>'Trung tâm nhập liệu'!X211</f>
        <v/>
      </c>
      <c r="AT19" s="643" t="str">
        <f t="shared" si="19"/>
        <v/>
      </c>
      <c r="AU19" s="640" t="str">
        <f t="shared" si="20"/>
        <v/>
      </c>
      <c r="AV19" s="644" t="str">
        <f>'Trung tâm nhập liệu'!V211</f>
        <v/>
      </c>
      <c r="AW19" s="645" t="str">
        <f>'Trung tâm nhập liệu'!W211</f>
        <v/>
      </c>
      <c r="AX19" s="638" t="str">
        <f t="shared" si="21"/>
        <v/>
      </c>
      <c r="AY19" s="639" t="str">
        <f t="shared" si="22"/>
        <v/>
      </c>
      <c r="AZ19" s="639" t="str">
        <f t="shared" si="23"/>
        <v/>
      </c>
      <c r="BA19" s="646" t="str">
        <f>'Trung tâm nhập liệu'!Y211</f>
        <v/>
      </c>
    </row>
    <row r="20" ht="15.75" customHeight="1">
      <c r="A20" s="424" t="str">
        <f t="shared" si="9"/>
        <v/>
      </c>
      <c r="B20" s="572" t="str">
        <f>'Trung tâm nhập liệu'!F212</f>
        <v/>
      </c>
      <c r="C20" s="629" t="str">
        <f>'Trung tâm nhập liệu'!M212</f>
        <v/>
      </c>
      <c r="D20" s="630" t="str">
        <f>'Trung tâm nhập liệu'!N212</f>
        <v/>
      </c>
      <c r="E20" s="593" t="str">
        <f t="shared" si="10"/>
        <v/>
      </c>
      <c r="F20" s="575" t="str">
        <f>'Trung tâm nhập liệu'!Q212</f>
        <v/>
      </c>
      <c r="G20" s="575" t="str">
        <f>'Trung tâm nhập liệu'!R212</f>
        <v/>
      </c>
      <c r="H20" s="631" t="str">
        <f t="shared" si="11"/>
        <v/>
      </c>
      <c r="I20" s="632" t="str">
        <f>'Trung tâm nhập liệu'!B212</f>
        <v/>
      </c>
      <c r="J20" s="633" t="str">
        <f>'Trung tâm nhập liệu'!D212</f>
        <v/>
      </c>
      <c r="K20" s="578" t="str">
        <f t="array" ref="K20">IFERROR(INDEX('Lớp 5 - Phân công'!$J$14:$J$262,MATCH(J20,'Lớp 5 - Phân công'!$I$14:$I$262,0)),"")</f>
        <v/>
      </c>
      <c r="L20" s="580" t="str">
        <f t="array" ref="L20">IFERROR(INDEX('Lớp 5 - Phân công'!$K$14:$K$262,MATCH(J20,'Lớp 5 - Phân công'!$I$14:$I$262,0)),"")</f>
        <v/>
      </c>
      <c r="M20" s="579" t="str">
        <f t="array" ref="M20">IFERROR(INDEX('Lớp 5 - Phân công'!$L$14:$L$262,MATCH(J20,'Lớp 5 - Phân công'!$I$14:$I$262,0)),"")</f>
        <v/>
      </c>
      <c r="N20" s="578" t="str">
        <f t="array" ref="N20">IFERROR(INDEX('Lớp 5 - Phân công'!$M$14:$M$262,MATCH(J20,'Lớp 5 - Phân công'!$I$14:$I$262,0)),"")</f>
        <v/>
      </c>
      <c r="O20" s="578" t="str">
        <f t="array" ref="O20">IFERROR(INDEX('Lớp 5 - Phân công'!$N$14:$N$262,MATCH(J20,'Lớp 5 - Phân công'!$I$14:$I$262,0)),"")</f>
        <v/>
      </c>
      <c r="P20" s="634" t="str">
        <f t="array" ref="P20">IFERROR(INDEX('Lớp 5 - Phân công'!$O$14:$O$262,MATCH(J20,'Lớp 5 - Phân công'!$I$14:$I$262,0)),"")</f>
        <v/>
      </c>
      <c r="Q20" s="634" t="str">
        <f t="array" ref="Q20">IFERROR(INDEX('Lớp 5 - Phân công'!$P$14:$P$262,MATCH(J20,'Lớp 5 - Phân công'!$I$14:$I$262,0)),"")</f>
        <v/>
      </c>
      <c r="R20" s="634" t="str">
        <f t="array" ref="R20">IFERROR(INDEX('Lớp 5 - Phân công'!$Q$14:$Q$262,MATCH(J20,'Lớp 5 - Phân công'!$I$14:$I$262,0)),"")</f>
        <v/>
      </c>
      <c r="S20" s="581" t="str">
        <f t="shared" ref="S20:Y20" si="28">B20</f>
        <v/>
      </c>
      <c r="T20" s="635" t="str">
        <f t="shared" si="28"/>
        <v/>
      </c>
      <c r="U20" s="636" t="str">
        <f t="shared" si="28"/>
        <v/>
      </c>
      <c r="V20" s="581" t="str">
        <f t="shared" si="28"/>
        <v/>
      </c>
      <c r="W20" s="637" t="str">
        <f t="shared" si="28"/>
        <v/>
      </c>
      <c r="X20" s="637" t="str">
        <f t="shared" si="28"/>
        <v/>
      </c>
      <c r="Y20" s="581" t="str">
        <f t="shared" si="28"/>
        <v/>
      </c>
      <c r="Z20" s="581" t="str">
        <f>'Trung tâm nhập liệu'!G212</f>
        <v/>
      </c>
      <c r="AA20" s="585" t="str">
        <f>'Trung tâm nhập liệu'!H212</f>
        <v/>
      </c>
      <c r="AB20" s="586" t="str">
        <f t="array" ref="AB20">IFERROR(INDEX('Lớp 5 - Phân công'!$Z$14:$Z$262,MATCH(J20,'Lớp 5 - Phân công'!$I$14:$I$262,0)),"")</f>
        <v/>
      </c>
      <c r="AC20" s="577" t="str">
        <f>'Trung tâm nhập liệu'!K212</f>
        <v/>
      </c>
      <c r="AD20" s="577" t="str">
        <f t="shared" si="13"/>
        <v>#REF!</v>
      </c>
      <c r="AE20" s="572" t="str">
        <f>'Trung tâm nhập liệu'!L212</f>
        <v/>
      </c>
      <c r="AF20" s="635" t="str">
        <f t="shared" si="14"/>
        <v/>
      </c>
      <c r="AG20" s="637" t="str">
        <f t="shared" si="15"/>
        <v/>
      </c>
      <c r="AH20" s="637" t="str">
        <f t="shared" si="16"/>
        <v/>
      </c>
      <c r="AI20" s="587" t="str">
        <f>IF(AP20&lt;&gt;"Có thời hạn","",IF(OR(AG20="",AH20=""),"",IF(AH20&lt;AG20,"",_xlfn.NETWORKDAYS.INTL(AG20,AH20,11,'Ngày nghỉ lễ'!$A$5:$A$80))))</f>
        <v/>
      </c>
      <c r="AJ20" s="636" t="str">
        <f t="shared" si="17"/>
        <v/>
      </c>
      <c r="AK20" s="587" t="str">
        <f>IF(AP20&lt;&gt;"Có thời hạn","",IF(OR(S20="",AG20="",AH20=""),"",IF(OR(AE20="Hoàn thành",AE20="Hủy"),0,IF(AH20&lt;TODAY(),-_xlfn.NETWORKDAYS.INTL(AH20,TODAY()-1,11,'Ngày nghỉ lễ'!$A$5:$A$80),MAX(0,_xlfn.NETWORKDAYS.INTL(MAX(TODAY()+1,AG20),AH20,11,'Ngày nghỉ lễ'!$A$5:$A$80))))))</f>
        <v/>
      </c>
      <c r="AL20" s="589" t="str">
        <f>'Trung tâm nhập liệu'!T212</f>
        <v/>
      </c>
      <c r="AM20" s="638" t="str">
        <f t="shared" si="18"/>
        <v/>
      </c>
      <c r="AN20" s="639" t="str">
        <f t="array" ref="AN20">IF(AP20="Chưa xếp lịch","Chưa xếp lịch",IF(AP20="Định kỳ",IF(AQ20="","Thiếu chu kỳ","Theo chu kỳ"),IF(AP20="Khi phát sinh","Khi phát sinh",IF(S20="","",IF(J20="","Thiếu mã L5",IF(OR(AG20="",AH20=""),"Thiếu ngày L6",IF(OR(IFERROR(INDEX('Lớp 5 - Phân công'!$AD$14:$AD$262,MATCH(J20,'Lớp 5 - Phân công'!$I$14:$I$262,0)),"")="",IFERROR(INDEX('Lớp 5 - Phân công'!$AE$14:$AE$262,MATCH(J20,'Lớp 5 - Phân công'!$I$14:$I$262,0)),"")=""),"Thiếu ngày L5",IF(OR(AG20&lt;INDEX('Lớp 5 - Phân công'!$AD$14:$AD$262,MATCH(J20,'Lớp 5 - Phân công'!$I$14:$I$262,0)),AH20&gt;INDEX('Lớp 5 - Phân công'!$AE$14:$AE$262,MATCH(J20,'Lớp 5 - Phân công'!$I$14:$I$262,0))),"L6 ngoài khung L5","L6 đúng khung"))))))))</f>
        <v/>
      </c>
      <c r="AO20" s="639" t="str">
        <f>IF(OR(AY20="Thiếu tham số phân bổ",AY20="Phân bổ phải &gt; 0"),AY20,SWITCH(AP20,"Chưa xếp lịch","Chưa tính tải","Định kỳ","Theo chu kỳ","Khi phát sinh","Khi phát sinh",IF(S20="","",IF(OR(AE20="Hoàn thành",AE20="Hủy"),AE20,IF(AL20="","Chưa nhập khối lượng",IF(AC20="","Thiếu người thực hiện",IF(OR(AG20="",AH20=""),"Chưa nhập đủ thời gian",IF(AK20&lt;0,"Quá hạn – còn "&amp;TEXT(MAX(0,AL20*(1-AJ20)),"0.0")&amp;" giờ",LET(bd,MAX(TODAY(),AG20),kt,AH20,nguoi,AC20,tai,SUMIFS('Lớp 3 - Công việc chính'!$AF$14:$AF$73,'Lớp 3 - Công việc chính'!$V$14:$V$73,nguoi,'Lớp 3 - Công việc chính'!$Z$14:$Z$73,"&lt;="&amp;kt,'Lớp 3 - Công việc chính'!$AA$14:$AA$73,"&gt;="&amp;bd)+SUMIFS('Lớp 4 - Danh mục'!$AI$14:$AI$132,'Lớp 4 - Danh mục'!$Z$14:$Z$132,nguoi,'Lớp 4 - Danh mục'!$AC$14:$AC$132,"&lt;="&amp;kt,'Lớp 4 - Danh mục'!$AD$14:$AD$132,"&gt;="&amp;bd)+SUMIFS('Lớp 5 - Phân công'!$AJ$14:$AJ$262,'Lớp 5 - Phân công'!$AA$14:$AA$262,nguoi,'Lớp 5 - Phân công'!$AD$14:$AD$262,"&lt;="&amp;kt,'Lớp 5 - Phân công'!$AE$14:$AE$262,"&gt;="&amp;bd)+SUMIFS('Lớp 6 - Chi tiết'!$AM$14:$AM$267,'Lớp 6 - Chi tiết'!$AC$14:$AC$267,nguoi,'Lớp 6 - Chi tiết'!$AG$14:$AG$267,"&lt;="&amp;kt,'Lớp 6 - Chi tiết'!$AH$14:$AH$267,"&gt;="&amp;bd),cs,'Danh mục chọn'!$J$2,cb,'Danh mục chọn'!$J$3,IF(tai&gt;cs,"Quá tải – tổng "&amp;TEXT(tai,"0.0")&amp;"/"&amp;TEXT(cs,"0.0")&amp;" giờ/ngày",IF(tai&gt;=cs*cb,"Cận tải – tổng "&amp;TEXT(tai,"0.0")&amp;"/"&amp;TEXT(cs,"0.0")&amp;" giờ/ngày","Bình thường – tổng "&amp;TEXT(tai,"0.0")&amp;"/"&amp;TEXT(cs,"0.0")&amp;" giờ/ngày")))))))))))</f>
        <v/>
      </c>
      <c r="AP20" s="640" t="str">
        <f>'Trung tâm nhập liệu'!O212</f>
        <v/>
      </c>
      <c r="AQ20" s="640" t="str">
        <f>'Trung tâm nhập liệu'!P212</f>
        <v/>
      </c>
      <c r="AR20" s="641" t="str">
        <f>'Trung tâm nhập liệu'!S212</f>
        <v/>
      </c>
      <c r="AS20" s="642" t="str">
        <f>'Trung tâm nhập liệu'!X212</f>
        <v/>
      </c>
      <c r="AT20" s="643" t="str">
        <f t="shared" si="19"/>
        <v/>
      </c>
      <c r="AU20" s="640" t="str">
        <f t="shared" si="20"/>
        <v/>
      </c>
      <c r="AV20" s="644" t="str">
        <f>'Trung tâm nhập liệu'!V212</f>
        <v/>
      </c>
      <c r="AW20" s="645" t="str">
        <f>'Trung tâm nhập liệu'!W212</f>
        <v/>
      </c>
      <c r="AX20" s="638" t="str">
        <f t="shared" si="21"/>
        <v/>
      </c>
      <c r="AY20" s="639" t="str">
        <f t="shared" si="22"/>
        <v/>
      </c>
      <c r="AZ20" s="639" t="str">
        <f t="shared" si="23"/>
        <v/>
      </c>
      <c r="BA20" s="646" t="str">
        <f>'Trung tâm nhập liệu'!Y212</f>
        <v/>
      </c>
    </row>
    <row r="21" ht="15.75" customHeight="1">
      <c r="A21" s="424"/>
      <c r="B21" s="572"/>
      <c r="C21" s="629"/>
      <c r="D21" s="630"/>
      <c r="E21" s="617"/>
      <c r="F21" s="575"/>
      <c r="G21" s="575"/>
      <c r="H21" s="631"/>
      <c r="I21" s="632"/>
      <c r="J21" s="647"/>
      <c r="K21" s="578"/>
      <c r="L21" s="580"/>
      <c r="M21" s="579"/>
      <c r="N21" s="578"/>
      <c r="O21" s="578"/>
      <c r="P21" s="634"/>
      <c r="Q21" s="634"/>
      <c r="R21" s="634"/>
      <c r="S21" s="581"/>
      <c r="T21" s="635"/>
      <c r="U21" s="636"/>
      <c r="V21" s="581"/>
      <c r="W21" s="637"/>
      <c r="X21" s="637"/>
      <c r="Y21" s="581"/>
      <c r="Z21" s="581"/>
      <c r="AA21" s="585"/>
      <c r="AB21" s="586"/>
      <c r="AC21" s="577"/>
      <c r="AD21" s="577"/>
      <c r="AE21" s="572"/>
      <c r="AF21" s="635"/>
      <c r="AG21" s="637"/>
      <c r="AH21" s="637"/>
      <c r="AI21" s="587"/>
      <c r="AJ21" s="636"/>
      <c r="AK21" s="587"/>
      <c r="AL21" s="589"/>
      <c r="AM21" s="638"/>
      <c r="AN21" s="639"/>
      <c r="AO21" s="639"/>
      <c r="AP21" s="640"/>
      <c r="AQ21" s="640"/>
      <c r="AR21" s="641"/>
      <c r="AS21" s="642"/>
      <c r="AT21" s="643"/>
      <c r="AU21" s="640"/>
      <c r="AV21" s="644"/>
      <c r="AW21" s="645"/>
      <c r="AX21" s="638"/>
      <c r="AY21" s="639"/>
      <c r="AZ21" s="639"/>
      <c r="BA21" s="646"/>
    </row>
    <row r="22" ht="15.75" customHeight="1">
      <c r="A22" s="424"/>
      <c r="B22" s="572"/>
      <c r="C22" s="629"/>
      <c r="D22" s="630"/>
      <c r="E22" s="617"/>
      <c r="F22" s="575"/>
      <c r="G22" s="575"/>
      <c r="H22" s="631"/>
      <c r="I22" s="632"/>
      <c r="J22" s="647"/>
      <c r="K22" s="578"/>
      <c r="L22" s="580"/>
      <c r="M22" s="579"/>
      <c r="N22" s="578"/>
      <c r="O22" s="578"/>
      <c r="P22" s="634"/>
      <c r="Q22" s="634"/>
      <c r="R22" s="634"/>
      <c r="S22" s="581"/>
      <c r="T22" s="635"/>
      <c r="U22" s="636"/>
      <c r="V22" s="581"/>
      <c r="W22" s="637"/>
      <c r="X22" s="637"/>
      <c r="Y22" s="581"/>
      <c r="Z22" s="581"/>
      <c r="AA22" s="585"/>
      <c r="AB22" s="586"/>
      <c r="AC22" s="577"/>
      <c r="AD22" s="577"/>
      <c r="AE22" s="572"/>
      <c r="AF22" s="635"/>
      <c r="AG22" s="637"/>
      <c r="AH22" s="637"/>
      <c r="AI22" s="587"/>
      <c r="AJ22" s="636"/>
      <c r="AK22" s="587"/>
      <c r="AL22" s="589"/>
      <c r="AM22" s="638"/>
      <c r="AN22" s="639"/>
      <c r="AO22" s="639"/>
      <c r="AP22" s="640"/>
      <c r="AQ22" s="640"/>
      <c r="AR22" s="641"/>
      <c r="AS22" s="642"/>
      <c r="AT22" s="643"/>
      <c r="AU22" s="640"/>
      <c r="AV22" s="644"/>
      <c r="AW22" s="645"/>
      <c r="AX22" s="638"/>
      <c r="AY22" s="639"/>
      <c r="AZ22" s="639"/>
      <c r="BA22" s="646"/>
    </row>
    <row r="23" ht="15.75" customHeight="1">
      <c r="A23" s="424"/>
      <c r="B23" s="572"/>
      <c r="C23" s="629"/>
      <c r="D23" s="630"/>
      <c r="E23" s="617"/>
      <c r="F23" s="575"/>
      <c r="G23" s="575"/>
      <c r="H23" s="631"/>
      <c r="I23" s="632"/>
      <c r="J23" s="647"/>
      <c r="K23" s="578"/>
      <c r="L23" s="580"/>
      <c r="M23" s="579"/>
      <c r="N23" s="578"/>
      <c r="O23" s="578"/>
      <c r="P23" s="634"/>
      <c r="Q23" s="634"/>
      <c r="R23" s="634"/>
      <c r="S23" s="581"/>
      <c r="T23" s="635"/>
      <c r="U23" s="636"/>
      <c r="V23" s="581"/>
      <c r="W23" s="637"/>
      <c r="X23" s="637"/>
      <c r="Y23" s="581"/>
      <c r="Z23" s="581"/>
      <c r="AA23" s="585"/>
      <c r="AB23" s="586"/>
      <c r="AC23" s="577"/>
      <c r="AD23" s="577"/>
      <c r="AE23" s="572"/>
      <c r="AF23" s="635"/>
      <c r="AG23" s="637"/>
      <c r="AH23" s="637"/>
      <c r="AI23" s="587"/>
      <c r="AJ23" s="636"/>
      <c r="AK23" s="587"/>
      <c r="AL23" s="589"/>
      <c r="AM23" s="638"/>
      <c r="AN23" s="639"/>
      <c r="AO23" s="639"/>
      <c r="AP23" s="640"/>
      <c r="AQ23" s="640"/>
      <c r="AR23" s="641"/>
      <c r="AS23" s="642"/>
      <c r="AT23" s="643"/>
      <c r="AU23" s="640"/>
      <c r="AV23" s="644"/>
      <c r="AW23" s="645"/>
      <c r="AX23" s="638"/>
      <c r="AY23" s="639"/>
      <c r="AZ23" s="639"/>
      <c r="BA23" s="646"/>
    </row>
    <row r="24" ht="15.75" customHeight="1">
      <c r="A24" s="424"/>
      <c r="B24" s="572"/>
      <c r="C24" s="629"/>
      <c r="D24" s="630"/>
      <c r="E24" s="617"/>
      <c r="F24" s="575"/>
      <c r="G24" s="575"/>
      <c r="H24" s="631"/>
      <c r="I24" s="632"/>
      <c r="J24" s="647"/>
      <c r="K24" s="578"/>
      <c r="L24" s="580"/>
      <c r="M24" s="579"/>
      <c r="N24" s="578"/>
      <c r="O24" s="578"/>
      <c r="P24" s="634"/>
      <c r="Q24" s="634"/>
      <c r="R24" s="634"/>
      <c r="S24" s="581"/>
      <c r="T24" s="635"/>
      <c r="U24" s="636"/>
      <c r="V24" s="581"/>
      <c r="W24" s="637"/>
      <c r="X24" s="637"/>
      <c r="Y24" s="581"/>
      <c r="Z24" s="581"/>
      <c r="AA24" s="585"/>
      <c r="AB24" s="586"/>
      <c r="AC24" s="577"/>
      <c r="AD24" s="577"/>
      <c r="AE24" s="572"/>
      <c r="AF24" s="635"/>
      <c r="AG24" s="637"/>
      <c r="AH24" s="637"/>
      <c r="AI24" s="587"/>
      <c r="AJ24" s="636"/>
      <c r="AK24" s="587"/>
      <c r="AL24" s="589"/>
      <c r="AM24" s="638"/>
      <c r="AN24" s="639"/>
      <c r="AO24" s="639"/>
      <c r="AP24" s="640"/>
      <c r="AQ24" s="640"/>
      <c r="AR24" s="641"/>
      <c r="AS24" s="642"/>
      <c r="AT24" s="643"/>
      <c r="AU24" s="640"/>
      <c r="AV24" s="644"/>
      <c r="AW24" s="645"/>
      <c r="AX24" s="638"/>
      <c r="AY24" s="639"/>
      <c r="AZ24" s="639"/>
      <c r="BA24" s="646"/>
    </row>
    <row r="25" ht="15.75" customHeight="1">
      <c r="A25" s="424"/>
      <c r="B25" s="572"/>
      <c r="C25" s="629"/>
      <c r="D25" s="630"/>
      <c r="E25" s="617"/>
      <c r="F25" s="575"/>
      <c r="G25" s="575"/>
      <c r="H25" s="631"/>
      <c r="I25" s="632"/>
      <c r="J25" s="647"/>
      <c r="K25" s="578"/>
      <c r="L25" s="580"/>
      <c r="M25" s="579"/>
      <c r="N25" s="578"/>
      <c r="O25" s="578"/>
      <c r="P25" s="634"/>
      <c r="Q25" s="634"/>
      <c r="R25" s="634"/>
      <c r="S25" s="581"/>
      <c r="T25" s="635"/>
      <c r="U25" s="636"/>
      <c r="V25" s="581"/>
      <c r="W25" s="637"/>
      <c r="X25" s="637"/>
      <c r="Y25" s="581"/>
      <c r="Z25" s="581"/>
      <c r="AA25" s="585"/>
      <c r="AB25" s="586"/>
      <c r="AC25" s="577"/>
      <c r="AD25" s="577"/>
      <c r="AE25" s="572"/>
      <c r="AF25" s="635"/>
      <c r="AG25" s="637"/>
      <c r="AH25" s="637"/>
      <c r="AI25" s="587"/>
      <c r="AJ25" s="636"/>
      <c r="AK25" s="587"/>
      <c r="AL25" s="589"/>
      <c r="AM25" s="638"/>
      <c r="AN25" s="639"/>
      <c r="AO25" s="639"/>
      <c r="AP25" s="640"/>
      <c r="AQ25" s="640"/>
      <c r="AR25" s="641"/>
      <c r="AS25" s="642"/>
      <c r="AT25" s="643"/>
      <c r="AU25" s="640"/>
      <c r="AV25" s="644"/>
      <c r="AW25" s="645"/>
      <c r="AX25" s="638"/>
      <c r="AY25" s="639"/>
      <c r="AZ25" s="639"/>
      <c r="BA25" s="646"/>
    </row>
    <row r="26" ht="15.75" customHeight="1">
      <c r="A26" s="424"/>
      <c r="B26" s="572"/>
      <c r="C26" s="629"/>
      <c r="D26" s="630"/>
      <c r="E26" s="617"/>
      <c r="F26" s="575"/>
      <c r="G26" s="575"/>
      <c r="H26" s="631"/>
      <c r="I26" s="632"/>
      <c r="J26" s="647"/>
      <c r="K26" s="578"/>
      <c r="L26" s="580"/>
      <c r="M26" s="579"/>
      <c r="N26" s="578"/>
      <c r="O26" s="578"/>
      <c r="P26" s="634"/>
      <c r="Q26" s="634"/>
      <c r="R26" s="634"/>
      <c r="S26" s="581"/>
      <c r="T26" s="635"/>
      <c r="U26" s="636"/>
      <c r="V26" s="581"/>
      <c r="W26" s="637"/>
      <c r="X26" s="637"/>
      <c r="Y26" s="581"/>
      <c r="Z26" s="581"/>
      <c r="AA26" s="585"/>
      <c r="AB26" s="586"/>
      <c r="AC26" s="577"/>
      <c r="AD26" s="577"/>
      <c r="AE26" s="572"/>
      <c r="AF26" s="635"/>
      <c r="AG26" s="637"/>
      <c r="AH26" s="637"/>
      <c r="AI26" s="587"/>
      <c r="AJ26" s="636"/>
      <c r="AK26" s="587"/>
      <c r="AL26" s="589"/>
      <c r="AM26" s="638"/>
      <c r="AN26" s="639"/>
      <c r="AO26" s="639"/>
      <c r="AP26" s="640"/>
      <c r="AQ26" s="640"/>
      <c r="AR26" s="641"/>
      <c r="AS26" s="642"/>
      <c r="AT26" s="643"/>
      <c r="AU26" s="640"/>
      <c r="AV26" s="644"/>
      <c r="AW26" s="645"/>
      <c r="AX26" s="638"/>
      <c r="AY26" s="639"/>
      <c r="AZ26" s="639"/>
      <c r="BA26" s="646"/>
    </row>
    <row r="27" ht="15.75" customHeight="1">
      <c r="A27" s="424"/>
      <c r="B27" s="572"/>
      <c r="C27" s="629"/>
      <c r="D27" s="630"/>
      <c r="E27" s="617"/>
      <c r="F27" s="575"/>
      <c r="G27" s="575"/>
      <c r="H27" s="631"/>
      <c r="I27" s="632"/>
      <c r="J27" s="647"/>
      <c r="K27" s="578"/>
      <c r="L27" s="580"/>
      <c r="M27" s="579"/>
      <c r="N27" s="578"/>
      <c r="O27" s="578"/>
      <c r="P27" s="634"/>
      <c r="Q27" s="634"/>
      <c r="R27" s="634"/>
      <c r="S27" s="581"/>
      <c r="T27" s="635"/>
      <c r="U27" s="636"/>
      <c r="V27" s="581"/>
      <c r="W27" s="637"/>
      <c r="X27" s="637"/>
      <c r="Y27" s="581"/>
      <c r="Z27" s="581"/>
      <c r="AA27" s="585"/>
      <c r="AB27" s="586"/>
      <c r="AC27" s="577"/>
      <c r="AD27" s="577"/>
      <c r="AE27" s="572"/>
      <c r="AF27" s="635"/>
      <c r="AG27" s="637"/>
      <c r="AH27" s="637"/>
      <c r="AI27" s="587"/>
      <c r="AJ27" s="636"/>
      <c r="AK27" s="587"/>
      <c r="AL27" s="589"/>
      <c r="AM27" s="638"/>
      <c r="AN27" s="639"/>
      <c r="AO27" s="639"/>
      <c r="AP27" s="640"/>
      <c r="AQ27" s="640"/>
      <c r="AR27" s="641"/>
      <c r="AS27" s="642"/>
      <c r="AT27" s="643"/>
      <c r="AU27" s="640"/>
      <c r="AV27" s="644"/>
      <c r="AW27" s="645"/>
      <c r="AX27" s="638"/>
      <c r="AY27" s="639"/>
      <c r="AZ27" s="639"/>
      <c r="BA27" s="646"/>
    </row>
    <row r="28" ht="15.75" customHeight="1">
      <c r="A28" s="424"/>
      <c r="B28" s="572"/>
      <c r="C28" s="629"/>
      <c r="D28" s="630"/>
      <c r="E28" s="617"/>
      <c r="F28" s="575"/>
      <c r="G28" s="575"/>
      <c r="H28" s="631"/>
      <c r="I28" s="632"/>
      <c r="J28" s="647"/>
      <c r="K28" s="578"/>
      <c r="L28" s="580"/>
      <c r="M28" s="579"/>
      <c r="N28" s="578"/>
      <c r="O28" s="578"/>
      <c r="P28" s="634"/>
      <c r="Q28" s="634"/>
      <c r="R28" s="634"/>
      <c r="S28" s="581"/>
      <c r="T28" s="635"/>
      <c r="U28" s="636"/>
      <c r="V28" s="581"/>
      <c r="W28" s="637"/>
      <c r="X28" s="637"/>
      <c r="Y28" s="581"/>
      <c r="Z28" s="581"/>
      <c r="AA28" s="585"/>
      <c r="AB28" s="586"/>
      <c r="AC28" s="577"/>
      <c r="AD28" s="577"/>
      <c r="AE28" s="572"/>
      <c r="AF28" s="635"/>
      <c r="AG28" s="637"/>
      <c r="AH28" s="637"/>
      <c r="AI28" s="587"/>
      <c r="AJ28" s="636"/>
      <c r="AK28" s="587"/>
      <c r="AL28" s="589"/>
      <c r="AM28" s="638"/>
      <c r="AN28" s="639"/>
      <c r="AO28" s="639"/>
      <c r="AP28" s="640"/>
      <c r="AQ28" s="640"/>
      <c r="AR28" s="641"/>
      <c r="AS28" s="642"/>
      <c r="AT28" s="643"/>
      <c r="AU28" s="640"/>
      <c r="AV28" s="644"/>
      <c r="AW28" s="645"/>
      <c r="AX28" s="638"/>
      <c r="AY28" s="639"/>
      <c r="AZ28" s="639"/>
      <c r="BA28" s="646"/>
    </row>
    <row r="29" ht="15.75" customHeight="1">
      <c r="A29" s="424"/>
      <c r="B29" s="572"/>
      <c r="C29" s="629"/>
      <c r="D29" s="630"/>
      <c r="E29" s="617"/>
      <c r="F29" s="575"/>
      <c r="G29" s="575"/>
      <c r="H29" s="631"/>
      <c r="I29" s="632"/>
      <c r="J29" s="647"/>
      <c r="K29" s="578"/>
      <c r="L29" s="580"/>
      <c r="M29" s="579"/>
      <c r="N29" s="578"/>
      <c r="O29" s="578"/>
      <c r="P29" s="634"/>
      <c r="Q29" s="634"/>
      <c r="R29" s="634"/>
      <c r="S29" s="581"/>
      <c r="T29" s="635"/>
      <c r="U29" s="636"/>
      <c r="V29" s="581"/>
      <c r="W29" s="637"/>
      <c r="X29" s="637"/>
      <c r="Y29" s="581"/>
      <c r="Z29" s="581"/>
      <c r="AA29" s="585"/>
      <c r="AB29" s="586"/>
      <c r="AC29" s="577"/>
      <c r="AD29" s="577"/>
      <c r="AE29" s="572"/>
      <c r="AF29" s="635"/>
      <c r="AG29" s="637"/>
      <c r="AH29" s="637"/>
      <c r="AI29" s="587"/>
      <c r="AJ29" s="636"/>
      <c r="AK29" s="587"/>
      <c r="AL29" s="589"/>
      <c r="AM29" s="638"/>
      <c r="AN29" s="639"/>
      <c r="AO29" s="639"/>
      <c r="AP29" s="640"/>
      <c r="AQ29" s="640"/>
      <c r="AR29" s="641"/>
      <c r="AS29" s="642"/>
      <c r="AT29" s="643"/>
      <c r="AU29" s="640"/>
      <c r="AV29" s="644"/>
      <c r="AW29" s="645"/>
      <c r="AX29" s="638"/>
      <c r="AY29" s="639"/>
      <c r="AZ29" s="639"/>
      <c r="BA29" s="646"/>
    </row>
    <row r="30" ht="15.75" customHeight="1">
      <c r="A30" s="424"/>
      <c r="B30" s="572"/>
      <c r="C30" s="629"/>
      <c r="D30" s="630"/>
      <c r="E30" s="617"/>
      <c r="F30" s="575"/>
      <c r="G30" s="575"/>
      <c r="H30" s="631"/>
      <c r="I30" s="632"/>
      <c r="J30" s="647"/>
      <c r="K30" s="578"/>
      <c r="L30" s="580"/>
      <c r="M30" s="579"/>
      <c r="N30" s="578"/>
      <c r="O30" s="578"/>
      <c r="P30" s="634"/>
      <c r="Q30" s="634"/>
      <c r="R30" s="634"/>
      <c r="S30" s="581"/>
      <c r="T30" s="635"/>
      <c r="U30" s="636"/>
      <c r="V30" s="581"/>
      <c r="W30" s="637"/>
      <c r="X30" s="637"/>
      <c r="Y30" s="581"/>
      <c r="Z30" s="581"/>
      <c r="AA30" s="585"/>
      <c r="AB30" s="586"/>
      <c r="AC30" s="577"/>
      <c r="AD30" s="577"/>
      <c r="AE30" s="572"/>
      <c r="AF30" s="635"/>
      <c r="AG30" s="637"/>
      <c r="AH30" s="637"/>
      <c r="AI30" s="587"/>
      <c r="AJ30" s="636"/>
      <c r="AK30" s="587"/>
      <c r="AL30" s="589"/>
      <c r="AM30" s="638"/>
      <c r="AN30" s="639"/>
      <c r="AO30" s="639"/>
      <c r="AP30" s="640"/>
      <c r="AQ30" s="640"/>
      <c r="AR30" s="641"/>
      <c r="AS30" s="642"/>
      <c r="AT30" s="643"/>
      <c r="AU30" s="640"/>
      <c r="AV30" s="644"/>
      <c r="AW30" s="645"/>
      <c r="AX30" s="638"/>
      <c r="AY30" s="639"/>
      <c r="AZ30" s="639"/>
      <c r="BA30" s="646"/>
    </row>
    <row r="31" ht="15.75" customHeight="1">
      <c r="A31" s="424"/>
      <c r="B31" s="572"/>
      <c r="C31" s="629"/>
      <c r="D31" s="630"/>
      <c r="E31" s="617"/>
      <c r="F31" s="575"/>
      <c r="G31" s="575"/>
      <c r="H31" s="631"/>
      <c r="I31" s="632"/>
      <c r="J31" s="647"/>
      <c r="K31" s="578"/>
      <c r="L31" s="580"/>
      <c r="M31" s="579"/>
      <c r="N31" s="578"/>
      <c r="O31" s="578"/>
      <c r="P31" s="634"/>
      <c r="Q31" s="634"/>
      <c r="R31" s="634"/>
      <c r="S31" s="581"/>
      <c r="T31" s="635"/>
      <c r="U31" s="636"/>
      <c r="V31" s="581"/>
      <c r="W31" s="637"/>
      <c r="X31" s="637"/>
      <c r="Y31" s="581"/>
      <c r="Z31" s="581"/>
      <c r="AA31" s="585"/>
      <c r="AB31" s="586"/>
      <c r="AC31" s="577"/>
      <c r="AD31" s="577"/>
      <c r="AE31" s="572"/>
      <c r="AF31" s="635"/>
      <c r="AG31" s="637"/>
      <c r="AH31" s="637"/>
      <c r="AI31" s="587"/>
      <c r="AJ31" s="636"/>
      <c r="AK31" s="587"/>
      <c r="AL31" s="589"/>
      <c r="AM31" s="638"/>
      <c r="AN31" s="639"/>
      <c r="AO31" s="639"/>
      <c r="AP31" s="640"/>
      <c r="AQ31" s="640"/>
      <c r="AR31" s="641"/>
      <c r="AS31" s="642"/>
      <c r="AT31" s="643"/>
      <c r="AU31" s="640"/>
      <c r="AV31" s="644"/>
      <c r="AW31" s="645"/>
      <c r="AX31" s="638"/>
      <c r="AY31" s="639"/>
      <c r="AZ31" s="639"/>
      <c r="BA31" s="646"/>
    </row>
    <row r="32" ht="15.75" customHeight="1">
      <c r="A32" s="424"/>
      <c r="B32" s="572"/>
      <c r="C32" s="629"/>
      <c r="D32" s="630"/>
      <c r="E32" s="617"/>
      <c r="F32" s="575"/>
      <c r="G32" s="575"/>
      <c r="H32" s="631"/>
      <c r="I32" s="632"/>
      <c r="J32" s="647"/>
      <c r="K32" s="578"/>
      <c r="L32" s="580"/>
      <c r="M32" s="579"/>
      <c r="N32" s="578"/>
      <c r="O32" s="578"/>
      <c r="P32" s="634"/>
      <c r="Q32" s="634"/>
      <c r="R32" s="634"/>
      <c r="S32" s="581"/>
      <c r="T32" s="635"/>
      <c r="U32" s="636"/>
      <c r="V32" s="581"/>
      <c r="W32" s="637"/>
      <c r="X32" s="637"/>
      <c r="Y32" s="581"/>
      <c r="Z32" s="581"/>
      <c r="AA32" s="585"/>
      <c r="AB32" s="586"/>
      <c r="AC32" s="577"/>
      <c r="AD32" s="577"/>
      <c r="AE32" s="572"/>
      <c r="AF32" s="635"/>
      <c r="AG32" s="637"/>
      <c r="AH32" s="637"/>
      <c r="AI32" s="587"/>
      <c r="AJ32" s="636"/>
      <c r="AK32" s="587"/>
      <c r="AL32" s="589"/>
      <c r="AM32" s="638"/>
      <c r="AN32" s="639"/>
      <c r="AO32" s="639"/>
      <c r="AP32" s="640"/>
      <c r="AQ32" s="640"/>
      <c r="AR32" s="641"/>
      <c r="AS32" s="642"/>
      <c r="AT32" s="643"/>
      <c r="AU32" s="640"/>
      <c r="AV32" s="644"/>
      <c r="AW32" s="645"/>
      <c r="AX32" s="638"/>
      <c r="AY32" s="639"/>
      <c r="AZ32" s="639"/>
      <c r="BA32" s="646"/>
    </row>
    <row r="33" ht="15.75" customHeight="1">
      <c r="A33" s="424"/>
      <c r="B33" s="572"/>
      <c r="C33" s="629"/>
      <c r="D33" s="630"/>
      <c r="E33" s="617"/>
      <c r="F33" s="575"/>
      <c r="G33" s="575"/>
      <c r="H33" s="631"/>
      <c r="I33" s="632"/>
      <c r="J33" s="647"/>
      <c r="K33" s="578"/>
      <c r="L33" s="580"/>
      <c r="M33" s="579"/>
      <c r="N33" s="578"/>
      <c r="O33" s="578"/>
      <c r="P33" s="634"/>
      <c r="Q33" s="634"/>
      <c r="R33" s="634"/>
      <c r="S33" s="581"/>
      <c r="T33" s="635"/>
      <c r="U33" s="636"/>
      <c r="V33" s="581"/>
      <c r="W33" s="637"/>
      <c r="X33" s="637"/>
      <c r="Y33" s="581"/>
      <c r="Z33" s="581"/>
      <c r="AA33" s="585"/>
      <c r="AB33" s="586"/>
      <c r="AC33" s="577"/>
      <c r="AD33" s="577"/>
      <c r="AE33" s="572"/>
      <c r="AF33" s="635"/>
      <c r="AG33" s="637"/>
      <c r="AH33" s="637"/>
      <c r="AI33" s="587"/>
      <c r="AJ33" s="636"/>
      <c r="AK33" s="587"/>
      <c r="AL33" s="589"/>
      <c r="AM33" s="638"/>
      <c r="AN33" s="639"/>
      <c r="AO33" s="639"/>
      <c r="AP33" s="640"/>
      <c r="AQ33" s="640"/>
      <c r="AR33" s="641"/>
      <c r="AS33" s="642"/>
      <c r="AT33" s="643"/>
      <c r="AU33" s="640"/>
      <c r="AV33" s="644"/>
      <c r="AW33" s="645"/>
      <c r="AX33" s="638"/>
      <c r="AY33" s="639"/>
      <c r="AZ33" s="639"/>
      <c r="BA33" s="646"/>
    </row>
    <row r="34" ht="15.75" customHeight="1">
      <c r="A34" s="424"/>
      <c r="B34" s="572"/>
      <c r="C34" s="629"/>
      <c r="D34" s="630"/>
      <c r="E34" s="617"/>
      <c r="F34" s="575"/>
      <c r="G34" s="575"/>
      <c r="H34" s="631"/>
      <c r="I34" s="632"/>
      <c r="J34" s="647"/>
      <c r="K34" s="578"/>
      <c r="L34" s="580"/>
      <c r="M34" s="579"/>
      <c r="N34" s="578"/>
      <c r="O34" s="578"/>
      <c r="P34" s="634"/>
      <c r="Q34" s="634"/>
      <c r="R34" s="634"/>
      <c r="S34" s="581"/>
      <c r="T34" s="635"/>
      <c r="U34" s="636"/>
      <c r="V34" s="581"/>
      <c r="W34" s="637"/>
      <c r="X34" s="637"/>
      <c r="Y34" s="581"/>
      <c r="Z34" s="581"/>
      <c r="AA34" s="585"/>
      <c r="AB34" s="586"/>
      <c r="AC34" s="577"/>
      <c r="AD34" s="577"/>
      <c r="AE34" s="572"/>
      <c r="AF34" s="635"/>
      <c r="AG34" s="637"/>
      <c r="AH34" s="637"/>
      <c r="AI34" s="587"/>
      <c r="AJ34" s="636"/>
      <c r="AK34" s="587"/>
      <c r="AL34" s="589"/>
      <c r="AM34" s="638"/>
      <c r="AN34" s="639"/>
      <c r="AO34" s="639"/>
      <c r="AP34" s="640"/>
      <c r="AQ34" s="640"/>
      <c r="AR34" s="641"/>
      <c r="AS34" s="642"/>
      <c r="AT34" s="643"/>
      <c r="AU34" s="640"/>
      <c r="AV34" s="644"/>
      <c r="AW34" s="645"/>
      <c r="AX34" s="638"/>
      <c r="AY34" s="639"/>
      <c r="AZ34" s="639"/>
      <c r="BA34" s="646"/>
    </row>
    <row r="35" ht="15.75" customHeight="1">
      <c r="A35" s="424"/>
      <c r="B35" s="572"/>
      <c r="C35" s="629"/>
      <c r="D35" s="630"/>
      <c r="E35" s="617"/>
      <c r="F35" s="575"/>
      <c r="G35" s="575"/>
      <c r="H35" s="631"/>
      <c r="I35" s="632"/>
      <c r="J35" s="647"/>
      <c r="K35" s="578"/>
      <c r="L35" s="580"/>
      <c r="M35" s="579"/>
      <c r="N35" s="578"/>
      <c r="O35" s="578"/>
      <c r="P35" s="634"/>
      <c r="Q35" s="634"/>
      <c r="R35" s="634"/>
      <c r="S35" s="581"/>
      <c r="T35" s="635"/>
      <c r="U35" s="636"/>
      <c r="V35" s="581"/>
      <c r="W35" s="637"/>
      <c r="X35" s="637"/>
      <c r="Y35" s="581"/>
      <c r="Z35" s="581"/>
      <c r="AA35" s="585"/>
      <c r="AB35" s="586"/>
      <c r="AC35" s="577"/>
      <c r="AD35" s="577"/>
      <c r="AE35" s="572"/>
      <c r="AF35" s="635"/>
      <c r="AG35" s="637"/>
      <c r="AH35" s="637"/>
      <c r="AI35" s="587"/>
      <c r="AJ35" s="636"/>
      <c r="AK35" s="587"/>
      <c r="AL35" s="589"/>
      <c r="AM35" s="638"/>
      <c r="AN35" s="639"/>
      <c r="AO35" s="639"/>
      <c r="AP35" s="640"/>
      <c r="AQ35" s="640"/>
      <c r="AR35" s="641"/>
      <c r="AS35" s="642"/>
      <c r="AT35" s="643"/>
      <c r="AU35" s="640"/>
      <c r="AV35" s="644"/>
      <c r="AW35" s="645"/>
      <c r="AX35" s="638"/>
      <c r="AY35" s="639"/>
      <c r="AZ35" s="639"/>
      <c r="BA35" s="646"/>
    </row>
    <row r="36" ht="15.75" customHeight="1">
      <c r="A36" s="424"/>
      <c r="B36" s="572"/>
      <c r="C36" s="629"/>
      <c r="D36" s="630"/>
      <c r="E36" s="617"/>
      <c r="F36" s="575"/>
      <c r="G36" s="575"/>
      <c r="H36" s="631"/>
      <c r="I36" s="632"/>
      <c r="J36" s="647"/>
      <c r="K36" s="578"/>
      <c r="L36" s="580"/>
      <c r="M36" s="579"/>
      <c r="N36" s="578"/>
      <c r="O36" s="578"/>
      <c r="P36" s="634"/>
      <c r="Q36" s="634"/>
      <c r="R36" s="634"/>
      <c r="S36" s="581"/>
      <c r="T36" s="635"/>
      <c r="U36" s="636"/>
      <c r="V36" s="581"/>
      <c r="W36" s="637"/>
      <c r="X36" s="637"/>
      <c r="Y36" s="581"/>
      <c r="Z36" s="581"/>
      <c r="AA36" s="585"/>
      <c r="AB36" s="586"/>
      <c r="AC36" s="577"/>
      <c r="AD36" s="577"/>
      <c r="AE36" s="572"/>
      <c r="AF36" s="635"/>
      <c r="AG36" s="637"/>
      <c r="AH36" s="637"/>
      <c r="AI36" s="587"/>
      <c r="AJ36" s="636"/>
      <c r="AK36" s="587"/>
      <c r="AL36" s="589"/>
      <c r="AM36" s="638"/>
      <c r="AN36" s="639"/>
      <c r="AO36" s="639"/>
      <c r="AP36" s="640"/>
      <c r="AQ36" s="640"/>
      <c r="AR36" s="641"/>
      <c r="AS36" s="642"/>
      <c r="AT36" s="643"/>
      <c r="AU36" s="640"/>
      <c r="AV36" s="644"/>
      <c r="AW36" s="645"/>
      <c r="AX36" s="638"/>
      <c r="AY36" s="639"/>
      <c r="AZ36" s="639"/>
      <c r="BA36" s="646"/>
    </row>
    <row r="37" ht="15.75" customHeight="1">
      <c r="A37" s="424"/>
      <c r="B37" s="572"/>
      <c r="C37" s="629"/>
      <c r="D37" s="630"/>
      <c r="E37" s="617"/>
      <c r="F37" s="575"/>
      <c r="G37" s="575"/>
      <c r="H37" s="631"/>
      <c r="I37" s="632"/>
      <c r="J37" s="647"/>
      <c r="K37" s="578"/>
      <c r="L37" s="580"/>
      <c r="M37" s="579"/>
      <c r="N37" s="578"/>
      <c r="O37" s="578"/>
      <c r="P37" s="634"/>
      <c r="Q37" s="634"/>
      <c r="R37" s="634"/>
      <c r="S37" s="581"/>
      <c r="T37" s="635"/>
      <c r="U37" s="636"/>
      <c r="V37" s="581"/>
      <c r="W37" s="637"/>
      <c r="X37" s="637"/>
      <c r="Y37" s="581"/>
      <c r="Z37" s="581"/>
      <c r="AA37" s="585"/>
      <c r="AB37" s="586"/>
      <c r="AC37" s="577"/>
      <c r="AD37" s="577"/>
      <c r="AE37" s="572"/>
      <c r="AF37" s="635"/>
      <c r="AG37" s="637"/>
      <c r="AH37" s="637"/>
      <c r="AI37" s="587"/>
      <c r="AJ37" s="636"/>
      <c r="AK37" s="587"/>
      <c r="AL37" s="589"/>
      <c r="AM37" s="638"/>
      <c r="AN37" s="639"/>
      <c r="AO37" s="639"/>
      <c r="AP37" s="640"/>
      <c r="AQ37" s="640"/>
      <c r="AR37" s="641"/>
      <c r="AS37" s="642"/>
      <c r="AT37" s="643"/>
      <c r="AU37" s="640"/>
      <c r="AV37" s="644"/>
      <c r="AW37" s="645"/>
      <c r="AX37" s="638"/>
      <c r="AY37" s="639"/>
      <c r="AZ37" s="639"/>
      <c r="BA37" s="646"/>
    </row>
    <row r="38" ht="15.75" customHeight="1">
      <c r="A38" s="424"/>
      <c r="B38" s="572"/>
      <c r="C38" s="629"/>
      <c r="D38" s="630"/>
      <c r="E38" s="617"/>
      <c r="F38" s="575"/>
      <c r="G38" s="575"/>
      <c r="H38" s="631"/>
      <c r="I38" s="632"/>
      <c r="J38" s="647"/>
      <c r="K38" s="578"/>
      <c r="L38" s="580"/>
      <c r="M38" s="579"/>
      <c r="N38" s="578"/>
      <c r="O38" s="578"/>
      <c r="P38" s="634"/>
      <c r="Q38" s="634"/>
      <c r="R38" s="634"/>
      <c r="S38" s="581"/>
      <c r="T38" s="635"/>
      <c r="U38" s="636"/>
      <c r="V38" s="581"/>
      <c r="W38" s="637"/>
      <c r="X38" s="637"/>
      <c r="Y38" s="581"/>
      <c r="Z38" s="581"/>
      <c r="AA38" s="585"/>
      <c r="AB38" s="586"/>
      <c r="AC38" s="577"/>
      <c r="AD38" s="577"/>
      <c r="AE38" s="572"/>
      <c r="AF38" s="635"/>
      <c r="AG38" s="637"/>
      <c r="AH38" s="637"/>
      <c r="AI38" s="587"/>
      <c r="AJ38" s="636"/>
      <c r="AK38" s="587"/>
      <c r="AL38" s="589"/>
      <c r="AM38" s="638"/>
      <c r="AN38" s="639"/>
      <c r="AO38" s="639"/>
      <c r="AP38" s="640"/>
      <c r="AQ38" s="640"/>
      <c r="AR38" s="641"/>
      <c r="AS38" s="642"/>
      <c r="AT38" s="643"/>
      <c r="AU38" s="640"/>
      <c r="AV38" s="644"/>
      <c r="AW38" s="645"/>
      <c r="AX38" s="638"/>
      <c r="AY38" s="639"/>
      <c r="AZ38" s="639"/>
      <c r="BA38" s="646"/>
    </row>
    <row r="39" ht="15.75" customHeight="1">
      <c r="A39" s="424"/>
      <c r="B39" s="572"/>
      <c r="C39" s="629"/>
      <c r="D39" s="630"/>
      <c r="E39" s="617"/>
      <c r="F39" s="575"/>
      <c r="G39" s="575"/>
      <c r="H39" s="631"/>
      <c r="I39" s="632"/>
      <c r="J39" s="647"/>
      <c r="K39" s="578"/>
      <c r="L39" s="580"/>
      <c r="M39" s="579"/>
      <c r="N39" s="578"/>
      <c r="O39" s="578"/>
      <c r="P39" s="634"/>
      <c r="Q39" s="634"/>
      <c r="R39" s="634"/>
      <c r="S39" s="581"/>
      <c r="T39" s="635"/>
      <c r="U39" s="636"/>
      <c r="V39" s="581"/>
      <c r="W39" s="637"/>
      <c r="X39" s="637"/>
      <c r="Y39" s="581"/>
      <c r="Z39" s="581"/>
      <c r="AA39" s="585"/>
      <c r="AB39" s="586"/>
      <c r="AC39" s="577"/>
      <c r="AD39" s="577"/>
      <c r="AE39" s="572"/>
      <c r="AF39" s="635"/>
      <c r="AG39" s="637"/>
      <c r="AH39" s="637"/>
      <c r="AI39" s="587"/>
      <c r="AJ39" s="636"/>
      <c r="AK39" s="587"/>
      <c r="AL39" s="589"/>
      <c r="AM39" s="638"/>
      <c r="AN39" s="639"/>
      <c r="AO39" s="639"/>
      <c r="AP39" s="640"/>
      <c r="AQ39" s="640"/>
      <c r="AR39" s="641"/>
      <c r="AS39" s="642"/>
      <c r="AT39" s="643"/>
      <c r="AU39" s="640"/>
      <c r="AV39" s="644"/>
      <c r="AW39" s="645"/>
      <c r="AX39" s="638"/>
      <c r="AY39" s="639"/>
      <c r="AZ39" s="639"/>
      <c r="BA39" s="646"/>
    </row>
    <row r="40" ht="15.75" customHeight="1">
      <c r="A40" s="424"/>
      <c r="B40" s="572"/>
      <c r="C40" s="629"/>
      <c r="D40" s="630"/>
      <c r="E40" s="617"/>
      <c r="F40" s="575"/>
      <c r="G40" s="575"/>
      <c r="H40" s="631"/>
      <c r="I40" s="632"/>
      <c r="J40" s="647"/>
      <c r="K40" s="578"/>
      <c r="L40" s="580"/>
      <c r="M40" s="579"/>
      <c r="N40" s="578"/>
      <c r="O40" s="578"/>
      <c r="P40" s="634"/>
      <c r="Q40" s="634"/>
      <c r="R40" s="634"/>
      <c r="S40" s="581"/>
      <c r="T40" s="635"/>
      <c r="U40" s="636"/>
      <c r="V40" s="581"/>
      <c r="W40" s="637"/>
      <c r="X40" s="637"/>
      <c r="Y40" s="581"/>
      <c r="Z40" s="581"/>
      <c r="AA40" s="585"/>
      <c r="AB40" s="586"/>
      <c r="AC40" s="577"/>
      <c r="AD40" s="577"/>
      <c r="AE40" s="572"/>
      <c r="AF40" s="635"/>
      <c r="AG40" s="637"/>
      <c r="AH40" s="637"/>
      <c r="AI40" s="587"/>
      <c r="AJ40" s="636"/>
      <c r="AK40" s="587"/>
      <c r="AL40" s="589"/>
      <c r="AM40" s="638"/>
      <c r="AN40" s="639"/>
      <c r="AO40" s="639"/>
      <c r="AP40" s="640"/>
      <c r="AQ40" s="640"/>
      <c r="AR40" s="641"/>
      <c r="AS40" s="642"/>
      <c r="AT40" s="643"/>
      <c r="AU40" s="640"/>
      <c r="AV40" s="644"/>
      <c r="AW40" s="645"/>
      <c r="AX40" s="638"/>
      <c r="AY40" s="639"/>
      <c r="AZ40" s="639"/>
      <c r="BA40" s="646"/>
    </row>
    <row r="41" ht="15.75" customHeight="1">
      <c r="A41" s="424"/>
      <c r="B41" s="572"/>
      <c r="C41" s="629"/>
      <c r="D41" s="630"/>
      <c r="E41" s="617"/>
      <c r="F41" s="575"/>
      <c r="G41" s="575"/>
      <c r="H41" s="631"/>
      <c r="I41" s="632"/>
      <c r="J41" s="647"/>
      <c r="K41" s="578"/>
      <c r="L41" s="580"/>
      <c r="M41" s="579"/>
      <c r="N41" s="578"/>
      <c r="O41" s="578"/>
      <c r="P41" s="634"/>
      <c r="Q41" s="634"/>
      <c r="R41" s="634"/>
      <c r="S41" s="581"/>
      <c r="T41" s="635"/>
      <c r="U41" s="636"/>
      <c r="V41" s="581"/>
      <c r="W41" s="637"/>
      <c r="X41" s="637"/>
      <c r="Y41" s="581"/>
      <c r="Z41" s="581"/>
      <c r="AA41" s="585"/>
      <c r="AB41" s="586"/>
      <c r="AC41" s="577"/>
      <c r="AD41" s="577"/>
      <c r="AE41" s="572"/>
      <c r="AF41" s="635"/>
      <c r="AG41" s="637"/>
      <c r="AH41" s="637"/>
      <c r="AI41" s="587"/>
      <c r="AJ41" s="636"/>
      <c r="AK41" s="587"/>
      <c r="AL41" s="589"/>
      <c r="AM41" s="638"/>
      <c r="AN41" s="639"/>
      <c r="AO41" s="639"/>
      <c r="AP41" s="640"/>
      <c r="AQ41" s="640"/>
      <c r="AR41" s="641"/>
      <c r="AS41" s="642"/>
      <c r="AT41" s="643"/>
      <c r="AU41" s="640"/>
      <c r="AV41" s="644"/>
      <c r="AW41" s="645"/>
      <c r="AX41" s="638"/>
      <c r="AY41" s="639"/>
      <c r="AZ41" s="639"/>
      <c r="BA41" s="646"/>
    </row>
    <row r="42" ht="15.75" customHeight="1">
      <c r="A42" s="424"/>
      <c r="B42" s="572"/>
      <c r="C42" s="629"/>
      <c r="D42" s="630"/>
      <c r="E42" s="617"/>
      <c r="F42" s="575"/>
      <c r="G42" s="575"/>
      <c r="H42" s="631"/>
      <c r="I42" s="632"/>
      <c r="J42" s="647"/>
      <c r="K42" s="578"/>
      <c r="L42" s="580"/>
      <c r="M42" s="579"/>
      <c r="N42" s="578"/>
      <c r="O42" s="578"/>
      <c r="P42" s="634"/>
      <c r="Q42" s="634"/>
      <c r="R42" s="634"/>
      <c r="S42" s="581"/>
      <c r="T42" s="635"/>
      <c r="U42" s="636"/>
      <c r="V42" s="581"/>
      <c r="W42" s="637"/>
      <c r="X42" s="637"/>
      <c r="Y42" s="581"/>
      <c r="Z42" s="581"/>
      <c r="AA42" s="585"/>
      <c r="AB42" s="586"/>
      <c r="AC42" s="577"/>
      <c r="AD42" s="577"/>
      <c r="AE42" s="572"/>
      <c r="AF42" s="635"/>
      <c r="AG42" s="637"/>
      <c r="AH42" s="637"/>
      <c r="AI42" s="587"/>
      <c r="AJ42" s="636"/>
      <c r="AK42" s="587"/>
      <c r="AL42" s="589"/>
      <c r="AM42" s="638"/>
      <c r="AN42" s="639"/>
      <c r="AO42" s="639"/>
      <c r="AP42" s="640"/>
      <c r="AQ42" s="640"/>
      <c r="AR42" s="641"/>
      <c r="AS42" s="642"/>
      <c r="AT42" s="643"/>
      <c r="AU42" s="640"/>
      <c r="AV42" s="644"/>
      <c r="AW42" s="645"/>
      <c r="AX42" s="638"/>
      <c r="AY42" s="639"/>
      <c r="AZ42" s="639"/>
      <c r="BA42" s="646"/>
    </row>
    <row r="43" ht="15.75" customHeight="1">
      <c r="A43" s="424"/>
      <c r="B43" s="572"/>
      <c r="C43" s="629"/>
      <c r="D43" s="630"/>
      <c r="E43" s="617"/>
      <c r="F43" s="575"/>
      <c r="G43" s="575"/>
      <c r="H43" s="631"/>
      <c r="I43" s="632"/>
      <c r="J43" s="647"/>
      <c r="K43" s="578"/>
      <c r="L43" s="580"/>
      <c r="M43" s="579"/>
      <c r="N43" s="578"/>
      <c r="O43" s="578"/>
      <c r="P43" s="634"/>
      <c r="Q43" s="634"/>
      <c r="R43" s="634"/>
      <c r="S43" s="581"/>
      <c r="T43" s="635"/>
      <c r="U43" s="636"/>
      <c r="V43" s="581"/>
      <c r="W43" s="637"/>
      <c r="X43" s="637"/>
      <c r="Y43" s="581"/>
      <c r="Z43" s="581"/>
      <c r="AA43" s="585"/>
      <c r="AB43" s="586"/>
      <c r="AC43" s="577"/>
      <c r="AD43" s="577"/>
      <c r="AE43" s="572"/>
      <c r="AF43" s="635"/>
      <c r="AG43" s="637"/>
      <c r="AH43" s="637"/>
      <c r="AI43" s="587"/>
      <c r="AJ43" s="636"/>
      <c r="AK43" s="587"/>
      <c r="AL43" s="589"/>
      <c r="AM43" s="638"/>
      <c r="AN43" s="639"/>
      <c r="AO43" s="639"/>
      <c r="AP43" s="640"/>
      <c r="AQ43" s="640"/>
      <c r="AR43" s="641"/>
      <c r="AS43" s="642"/>
      <c r="AT43" s="643"/>
      <c r="AU43" s="640"/>
      <c r="AV43" s="644"/>
      <c r="AW43" s="645"/>
      <c r="AX43" s="638"/>
      <c r="AY43" s="639"/>
      <c r="AZ43" s="639"/>
      <c r="BA43" s="646"/>
    </row>
    <row r="44" ht="15.75" customHeight="1">
      <c r="A44" s="424"/>
      <c r="B44" s="572"/>
      <c r="C44" s="629"/>
      <c r="D44" s="630"/>
      <c r="E44" s="617"/>
      <c r="F44" s="575"/>
      <c r="G44" s="575"/>
      <c r="H44" s="631"/>
      <c r="I44" s="632"/>
      <c r="J44" s="647"/>
      <c r="K44" s="578"/>
      <c r="L44" s="580"/>
      <c r="M44" s="579"/>
      <c r="N44" s="578"/>
      <c r="O44" s="578"/>
      <c r="P44" s="634"/>
      <c r="Q44" s="634"/>
      <c r="R44" s="634"/>
      <c r="S44" s="581"/>
      <c r="T44" s="635"/>
      <c r="U44" s="636"/>
      <c r="V44" s="581"/>
      <c r="W44" s="637"/>
      <c r="X44" s="637"/>
      <c r="Y44" s="581"/>
      <c r="Z44" s="581"/>
      <c r="AA44" s="585"/>
      <c r="AB44" s="586"/>
      <c r="AC44" s="577"/>
      <c r="AD44" s="577"/>
      <c r="AE44" s="572"/>
      <c r="AF44" s="635"/>
      <c r="AG44" s="637"/>
      <c r="AH44" s="637"/>
      <c r="AI44" s="587"/>
      <c r="AJ44" s="636"/>
      <c r="AK44" s="587"/>
      <c r="AL44" s="589"/>
      <c r="AM44" s="638"/>
      <c r="AN44" s="639"/>
      <c r="AO44" s="639"/>
      <c r="AP44" s="640"/>
      <c r="AQ44" s="640"/>
      <c r="AR44" s="641"/>
      <c r="AS44" s="642"/>
      <c r="AT44" s="643"/>
      <c r="AU44" s="640"/>
      <c r="AV44" s="644"/>
      <c r="AW44" s="645"/>
      <c r="AX44" s="638"/>
      <c r="AY44" s="639"/>
      <c r="AZ44" s="639"/>
      <c r="BA44" s="646"/>
    </row>
    <row r="45" ht="15.75" customHeight="1">
      <c r="A45" s="424"/>
      <c r="B45" s="572"/>
      <c r="C45" s="629"/>
      <c r="D45" s="630"/>
      <c r="E45" s="617"/>
      <c r="F45" s="575"/>
      <c r="G45" s="575"/>
      <c r="H45" s="631"/>
      <c r="I45" s="632"/>
      <c r="J45" s="647"/>
      <c r="K45" s="578"/>
      <c r="L45" s="580"/>
      <c r="M45" s="579"/>
      <c r="N45" s="578"/>
      <c r="O45" s="578"/>
      <c r="P45" s="634"/>
      <c r="Q45" s="634"/>
      <c r="R45" s="634"/>
      <c r="S45" s="581"/>
      <c r="T45" s="635"/>
      <c r="U45" s="636"/>
      <c r="V45" s="581"/>
      <c r="W45" s="637"/>
      <c r="X45" s="637"/>
      <c r="Y45" s="581"/>
      <c r="Z45" s="581"/>
      <c r="AA45" s="585"/>
      <c r="AB45" s="586"/>
      <c r="AC45" s="577"/>
      <c r="AD45" s="577"/>
      <c r="AE45" s="572"/>
      <c r="AF45" s="635"/>
      <c r="AG45" s="637"/>
      <c r="AH45" s="637"/>
      <c r="AI45" s="587"/>
      <c r="AJ45" s="636"/>
      <c r="AK45" s="587"/>
      <c r="AL45" s="589"/>
      <c r="AM45" s="638"/>
      <c r="AN45" s="639"/>
      <c r="AO45" s="639"/>
      <c r="AP45" s="640"/>
      <c r="AQ45" s="640"/>
      <c r="AR45" s="641"/>
      <c r="AS45" s="642"/>
      <c r="AT45" s="643"/>
      <c r="AU45" s="640"/>
      <c r="AV45" s="644"/>
      <c r="AW45" s="645"/>
      <c r="AX45" s="638"/>
      <c r="AY45" s="639"/>
      <c r="AZ45" s="639"/>
      <c r="BA45" s="646"/>
    </row>
    <row r="46" ht="15.75" customHeight="1">
      <c r="A46" s="424"/>
      <c r="B46" s="572"/>
      <c r="C46" s="629"/>
      <c r="D46" s="630"/>
      <c r="E46" s="617"/>
      <c r="F46" s="575"/>
      <c r="G46" s="575"/>
      <c r="H46" s="631"/>
      <c r="I46" s="632"/>
      <c r="J46" s="647"/>
      <c r="K46" s="578"/>
      <c r="L46" s="580"/>
      <c r="M46" s="579"/>
      <c r="N46" s="578"/>
      <c r="O46" s="578"/>
      <c r="P46" s="634"/>
      <c r="Q46" s="634"/>
      <c r="R46" s="634"/>
      <c r="S46" s="581"/>
      <c r="T46" s="635"/>
      <c r="U46" s="636"/>
      <c r="V46" s="581"/>
      <c r="W46" s="637"/>
      <c r="X46" s="637"/>
      <c r="Y46" s="581"/>
      <c r="Z46" s="581"/>
      <c r="AA46" s="585"/>
      <c r="AB46" s="586"/>
      <c r="AC46" s="577"/>
      <c r="AD46" s="577"/>
      <c r="AE46" s="572"/>
      <c r="AF46" s="635"/>
      <c r="AG46" s="637"/>
      <c r="AH46" s="637"/>
      <c r="AI46" s="587"/>
      <c r="AJ46" s="636"/>
      <c r="AK46" s="587"/>
      <c r="AL46" s="589"/>
      <c r="AM46" s="638"/>
      <c r="AN46" s="639"/>
      <c r="AO46" s="639"/>
      <c r="AP46" s="640"/>
      <c r="AQ46" s="640"/>
      <c r="AR46" s="641"/>
      <c r="AS46" s="642"/>
      <c r="AT46" s="643"/>
      <c r="AU46" s="640"/>
      <c r="AV46" s="644"/>
      <c r="AW46" s="645"/>
      <c r="AX46" s="638"/>
      <c r="AY46" s="639"/>
      <c r="AZ46" s="639"/>
      <c r="BA46" s="646"/>
    </row>
    <row r="47" ht="15.75" customHeight="1">
      <c r="A47" s="424"/>
      <c r="B47" s="572"/>
      <c r="C47" s="629"/>
      <c r="D47" s="630"/>
      <c r="E47" s="617"/>
      <c r="F47" s="575"/>
      <c r="G47" s="575"/>
      <c r="H47" s="631"/>
      <c r="I47" s="632"/>
      <c r="J47" s="647"/>
      <c r="K47" s="578"/>
      <c r="L47" s="580"/>
      <c r="M47" s="579"/>
      <c r="N47" s="578"/>
      <c r="O47" s="578"/>
      <c r="P47" s="634"/>
      <c r="Q47" s="634"/>
      <c r="R47" s="634"/>
      <c r="S47" s="581"/>
      <c r="T47" s="635"/>
      <c r="U47" s="636"/>
      <c r="V47" s="581"/>
      <c r="W47" s="637"/>
      <c r="X47" s="637"/>
      <c r="Y47" s="581"/>
      <c r="Z47" s="581"/>
      <c r="AA47" s="585"/>
      <c r="AB47" s="586"/>
      <c r="AC47" s="577"/>
      <c r="AD47" s="577"/>
      <c r="AE47" s="572"/>
      <c r="AF47" s="635"/>
      <c r="AG47" s="637"/>
      <c r="AH47" s="637"/>
      <c r="AI47" s="587"/>
      <c r="AJ47" s="636"/>
      <c r="AK47" s="587"/>
      <c r="AL47" s="589"/>
      <c r="AM47" s="638"/>
      <c r="AN47" s="639"/>
      <c r="AO47" s="639"/>
      <c r="AP47" s="640"/>
      <c r="AQ47" s="640"/>
      <c r="AR47" s="641"/>
      <c r="AS47" s="642"/>
      <c r="AT47" s="643"/>
      <c r="AU47" s="640"/>
      <c r="AV47" s="644"/>
      <c r="AW47" s="645"/>
      <c r="AX47" s="638"/>
      <c r="AY47" s="639"/>
      <c r="AZ47" s="639"/>
      <c r="BA47" s="646"/>
    </row>
    <row r="48" ht="15.75" customHeight="1">
      <c r="A48" s="424"/>
      <c r="B48" s="572"/>
      <c r="C48" s="629"/>
      <c r="D48" s="630"/>
      <c r="E48" s="617"/>
      <c r="F48" s="575"/>
      <c r="G48" s="575"/>
      <c r="H48" s="631"/>
      <c r="I48" s="632"/>
      <c r="J48" s="647"/>
      <c r="K48" s="578"/>
      <c r="L48" s="580"/>
      <c r="M48" s="579"/>
      <c r="N48" s="578"/>
      <c r="O48" s="578"/>
      <c r="P48" s="634"/>
      <c r="Q48" s="634"/>
      <c r="R48" s="634"/>
      <c r="S48" s="581"/>
      <c r="T48" s="635"/>
      <c r="U48" s="636"/>
      <c r="V48" s="581"/>
      <c r="W48" s="637"/>
      <c r="X48" s="637"/>
      <c r="Y48" s="581"/>
      <c r="Z48" s="581"/>
      <c r="AA48" s="585"/>
      <c r="AB48" s="586"/>
      <c r="AC48" s="577"/>
      <c r="AD48" s="577"/>
      <c r="AE48" s="572"/>
      <c r="AF48" s="635"/>
      <c r="AG48" s="637"/>
      <c r="AH48" s="637"/>
      <c r="AI48" s="587"/>
      <c r="AJ48" s="636"/>
      <c r="AK48" s="587"/>
      <c r="AL48" s="589"/>
      <c r="AM48" s="638"/>
      <c r="AN48" s="639"/>
      <c r="AO48" s="639"/>
      <c r="AP48" s="640"/>
      <c r="AQ48" s="640"/>
      <c r="AR48" s="641"/>
      <c r="AS48" s="642"/>
      <c r="AT48" s="643"/>
      <c r="AU48" s="640"/>
      <c r="AV48" s="644"/>
      <c r="AW48" s="645"/>
      <c r="AX48" s="638"/>
      <c r="AY48" s="639"/>
      <c r="AZ48" s="639"/>
      <c r="BA48" s="646"/>
    </row>
    <row r="49" ht="15.75" customHeight="1">
      <c r="A49" s="424"/>
      <c r="B49" s="572"/>
      <c r="C49" s="629"/>
      <c r="D49" s="630"/>
      <c r="E49" s="617"/>
      <c r="F49" s="575"/>
      <c r="G49" s="575"/>
      <c r="H49" s="631"/>
      <c r="I49" s="632"/>
      <c r="J49" s="647"/>
      <c r="K49" s="578"/>
      <c r="L49" s="580"/>
      <c r="M49" s="579"/>
      <c r="N49" s="578"/>
      <c r="O49" s="578"/>
      <c r="P49" s="634"/>
      <c r="Q49" s="634"/>
      <c r="R49" s="634"/>
      <c r="S49" s="581"/>
      <c r="T49" s="635"/>
      <c r="U49" s="636"/>
      <c r="V49" s="581"/>
      <c r="W49" s="637"/>
      <c r="X49" s="637"/>
      <c r="Y49" s="581"/>
      <c r="Z49" s="581"/>
      <c r="AA49" s="585"/>
      <c r="AB49" s="586"/>
      <c r="AC49" s="577"/>
      <c r="AD49" s="577"/>
      <c r="AE49" s="572"/>
      <c r="AF49" s="635"/>
      <c r="AG49" s="637"/>
      <c r="AH49" s="637"/>
      <c r="AI49" s="587"/>
      <c r="AJ49" s="636"/>
      <c r="AK49" s="587"/>
      <c r="AL49" s="589"/>
      <c r="AM49" s="638"/>
      <c r="AN49" s="639"/>
      <c r="AO49" s="639"/>
      <c r="AP49" s="640"/>
      <c r="AQ49" s="640"/>
      <c r="AR49" s="641"/>
      <c r="AS49" s="642"/>
      <c r="AT49" s="643"/>
      <c r="AU49" s="640"/>
      <c r="AV49" s="644"/>
      <c r="AW49" s="645"/>
      <c r="AX49" s="638"/>
      <c r="AY49" s="639"/>
      <c r="AZ49" s="639"/>
      <c r="BA49" s="646"/>
    </row>
    <row r="50" ht="15.75" customHeight="1">
      <c r="A50" s="424"/>
      <c r="B50" s="572"/>
      <c r="C50" s="629"/>
      <c r="D50" s="630"/>
      <c r="E50" s="617"/>
      <c r="F50" s="575"/>
      <c r="G50" s="575"/>
      <c r="H50" s="631"/>
      <c r="I50" s="632"/>
      <c r="J50" s="647"/>
      <c r="K50" s="578"/>
      <c r="L50" s="580"/>
      <c r="M50" s="579"/>
      <c r="N50" s="578"/>
      <c r="O50" s="578"/>
      <c r="P50" s="634"/>
      <c r="Q50" s="634"/>
      <c r="R50" s="634"/>
      <c r="S50" s="581"/>
      <c r="T50" s="635"/>
      <c r="U50" s="636"/>
      <c r="V50" s="581"/>
      <c r="W50" s="637"/>
      <c r="X50" s="637"/>
      <c r="Y50" s="581"/>
      <c r="Z50" s="581"/>
      <c r="AA50" s="585"/>
      <c r="AB50" s="586"/>
      <c r="AC50" s="577"/>
      <c r="AD50" s="577"/>
      <c r="AE50" s="572"/>
      <c r="AF50" s="635"/>
      <c r="AG50" s="637"/>
      <c r="AH50" s="637"/>
      <c r="AI50" s="587"/>
      <c r="AJ50" s="636"/>
      <c r="AK50" s="587"/>
      <c r="AL50" s="589"/>
      <c r="AM50" s="638"/>
      <c r="AN50" s="639"/>
      <c r="AO50" s="639"/>
      <c r="AP50" s="640"/>
      <c r="AQ50" s="640"/>
      <c r="AR50" s="641"/>
      <c r="AS50" s="642"/>
      <c r="AT50" s="643"/>
      <c r="AU50" s="640"/>
      <c r="AV50" s="644"/>
      <c r="AW50" s="645"/>
      <c r="AX50" s="638"/>
      <c r="AY50" s="639"/>
      <c r="AZ50" s="639"/>
      <c r="BA50" s="646"/>
    </row>
    <row r="51" ht="15.75" customHeight="1">
      <c r="A51" s="424"/>
      <c r="B51" s="572"/>
      <c r="C51" s="629"/>
      <c r="D51" s="630"/>
      <c r="E51" s="617"/>
      <c r="F51" s="575"/>
      <c r="G51" s="575"/>
      <c r="H51" s="631"/>
      <c r="I51" s="632"/>
      <c r="J51" s="647"/>
      <c r="K51" s="578"/>
      <c r="L51" s="580"/>
      <c r="M51" s="579"/>
      <c r="N51" s="578"/>
      <c r="O51" s="578"/>
      <c r="P51" s="634"/>
      <c r="Q51" s="634"/>
      <c r="R51" s="634"/>
      <c r="S51" s="581"/>
      <c r="T51" s="635"/>
      <c r="U51" s="636"/>
      <c r="V51" s="581"/>
      <c r="W51" s="637"/>
      <c r="X51" s="637"/>
      <c r="Y51" s="581"/>
      <c r="Z51" s="581"/>
      <c r="AA51" s="585"/>
      <c r="AB51" s="586"/>
      <c r="AC51" s="577"/>
      <c r="AD51" s="577"/>
      <c r="AE51" s="572"/>
      <c r="AF51" s="635"/>
      <c r="AG51" s="637"/>
      <c r="AH51" s="637"/>
      <c r="AI51" s="587"/>
      <c r="AJ51" s="636"/>
      <c r="AK51" s="587"/>
      <c r="AL51" s="589"/>
      <c r="AM51" s="638"/>
      <c r="AN51" s="639"/>
      <c r="AO51" s="639"/>
      <c r="AP51" s="640"/>
      <c r="AQ51" s="640"/>
      <c r="AR51" s="641"/>
      <c r="AS51" s="642"/>
      <c r="AT51" s="643"/>
      <c r="AU51" s="640"/>
      <c r="AV51" s="644"/>
      <c r="AW51" s="645"/>
      <c r="AX51" s="638"/>
      <c r="AY51" s="639"/>
      <c r="AZ51" s="639"/>
      <c r="BA51" s="646"/>
    </row>
    <row r="52" ht="15.75" customHeight="1">
      <c r="A52" s="424"/>
      <c r="B52" s="572"/>
      <c r="C52" s="629"/>
      <c r="D52" s="630"/>
      <c r="E52" s="617"/>
      <c r="F52" s="575"/>
      <c r="G52" s="575"/>
      <c r="H52" s="631"/>
      <c r="I52" s="632"/>
      <c r="J52" s="647"/>
      <c r="K52" s="578"/>
      <c r="L52" s="580"/>
      <c r="M52" s="579"/>
      <c r="N52" s="578"/>
      <c r="O52" s="578"/>
      <c r="P52" s="634"/>
      <c r="Q52" s="634"/>
      <c r="R52" s="634"/>
      <c r="S52" s="581"/>
      <c r="T52" s="635"/>
      <c r="U52" s="636"/>
      <c r="V52" s="581"/>
      <c r="W52" s="637"/>
      <c r="X52" s="637"/>
      <c r="Y52" s="581"/>
      <c r="Z52" s="581"/>
      <c r="AA52" s="585"/>
      <c r="AB52" s="586"/>
      <c r="AC52" s="577"/>
      <c r="AD52" s="577"/>
      <c r="AE52" s="572"/>
      <c r="AF52" s="635"/>
      <c r="AG52" s="637"/>
      <c r="AH52" s="637"/>
      <c r="AI52" s="587"/>
      <c r="AJ52" s="636"/>
      <c r="AK52" s="587"/>
      <c r="AL52" s="589"/>
      <c r="AM52" s="638"/>
      <c r="AN52" s="639"/>
      <c r="AO52" s="639"/>
      <c r="AP52" s="640"/>
      <c r="AQ52" s="640"/>
      <c r="AR52" s="641"/>
      <c r="AS52" s="642"/>
      <c r="AT52" s="643"/>
      <c r="AU52" s="640"/>
      <c r="AV52" s="644"/>
      <c r="AW52" s="645"/>
      <c r="AX52" s="638"/>
      <c r="AY52" s="639"/>
      <c r="AZ52" s="639"/>
      <c r="BA52" s="646"/>
    </row>
    <row r="53" ht="15.75" customHeight="1">
      <c r="A53" s="424"/>
      <c r="B53" s="572"/>
      <c r="C53" s="629"/>
      <c r="D53" s="630"/>
      <c r="E53" s="617"/>
      <c r="F53" s="575"/>
      <c r="G53" s="575"/>
      <c r="H53" s="631"/>
      <c r="I53" s="632"/>
      <c r="J53" s="647"/>
      <c r="K53" s="578"/>
      <c r="L53" s="580"/>
      <c r="M53" s="579"/>
      <c r="N53" s="578"/>
      <c r="O53" s="578"/>
      <c r="P53" s="634"/>
      <c r="Q53" s="634"/>
      <c r="R53" s="634"/>
      <c r="S53" s="581"/>
      <c r="T53" s="635"/>
      <c r="U53" s="636"/>
      <c r="V53" s="581"/>
      <c r="W53" s="637"/>
      <c r="X53" s="637"/>
      <c r="Y53" s="581"/>
      <c r="Z53" s="581"/>
      <c r="AA53" s="585"/>
      <c r="AB53" s="586"/>
      <c r="AC53" s="577"/>
      <c r="AD53" s="577"/>
      <c r="AE53" s="572"/>
      <c r="AF53" s="635"/>
      <c r="AG53" s="637"/>
      <c r="AH53" s="637"/>
      <c r="AI53" s="587"/>
      <c r="AJ53" s="636"/>
      <c r="AK53" s="587"/>
      <c r="AL53" s="589"/>
      <c r="AM53" s="638"/>
      <c r="AN53" s="639"/>
      <c r="AO53" s="639"/>
      <c r="AP53" s="640"/>
      <c r="AQ53" s="640"/>
      <c r="AR53" s="641"/>
      <c r="AS53" s="642"/>
      <c r="AT53" s="643"/>
      <c r="AU53" s="640"/>
      <c r="AV53" s="644"/>
      <c r="AW53" s="645"/>
      <c r="AX53" s="638"/>
      <c r="AY53" s="639"/>
      <c r="AZ53" s="639"/>
      <c r="BA53" s="646"/>
    </row>
    <row r="54" ht="15.75" customHeight="1">
      <c r="A54" s="424"/>
      <c r="B54" s="572"/>
      <c r="C54" s="629"/>
      <c r="D54" s="630"/>
      <c r="E54" s="617"/>
      <c r="F54" s="575"/>
      <c r="G54" s="575"/>
      <c r="H54" s="631"/>
      <c r="I54" s="632"/>
      <c r="J54" s="647"/>
      <c r="K54" s="578"/>
      <c r="L54" s="580"/>
      <c r="M54" s="579"/>
      <c r="N54" s="578"/>
      <c r="O54" s="578"/>
      <c r="P54" s="634"/>
      <c r="Q54" s="634"/>
      <c r="R54" s="634"/>
      <c r="S54" s="581"/>
      <c r="T54" s="635"/>
      <c r="U54" s="636"/>
      <c r="V54" s="581"/>
      <c r="W54" s="637"/>
      <c r="X54" s="637"/>
      <c r="Y54" s="581"/>
      <c r="Z54" s="581"/>
      <c r="AA54" s="585"/>
      <c r="AB54" s="586"/>
      <c r="AC54" s="577"/>
      <c r="AD54" s="577"/>
      <c r="AE54" s="572"/>
      <c r="AF54" s="635"/>
      <c r="AG54" s="637"/>
      <c r="AH54" s="637"/>
      <c r="AI54" s="587"/>
      <c r="AJ54" s="636"/>
      <c r="AK54" s="587"/>
      <c r="AL54" s="589"/>
      <c r="AM54" s="638"/>
      <c r="AN54" s="639"/>
      <c r="AO54" s="639"/>
      <c r="AP54" s="640"/>
      <c r="AQ54" s="640"/>
      <c r="AR54" s="641"/>
      <c r="AS54" s="642"/>
      <c r="AT54" s="643"/>
      <c r="AU54" s="640"/>
      <c r="AV54" s="644"/>
      <c r="AW54" s="645"/>
      <c r="AX54" s="638"/>
      <c r="AY54" s="639"/>
      <c r="AZ54" s="639"/>
      <c r="BA54" s="646"/>
    </row>
    <row r="55" ht="15.75" customHeight="1">
      <c r="A55" s="424"/>
      <c r="B55" s="572"/>
      <c r="C55" s="629"/>
      <c r="D55" s="630"/>
      <c r="E55" s="617"/>
      <c r="F55" s="575"/>
      <c r="G55" s="575"/>
      <c r="H55" s="631"/>
      <c r="I55" s="632"/>
      <c r="J55" s="647"/>
      <c r="K55" s="578"/>
      <c r="L55" s="580"/>
      <c r="M55" s="579"/>
      <c r="N55" s="578"/>
      <c r="O55" s="578"/>
      <c r="P55" s="634"/>
      <c r="Q55" s="634"/>
      <c r="R55" s="634"/>
      <c r="S55" s="581"/>
      <c r="T55" s="635"/>
      <c r="U55" s="636"/>
      <c r="V55" s="581"/>
      <c r="W55" s="637"/>
      <c r="X55" s="637"/>
      <c r="Y55" s="581"/>
      <c r="Z55" s="581"/>
      <c r="AA55" s="585"/>
      <c r="AB55" s="586"/>
      <c r="AC55" s="577"/>
      <c r="AD55" s="577"/>
      <c r="AE55" s="572"/>
      <c r="AF55" s="635"/>
      <c r="AG55" s="637"/>
      <c r="AH55" s="637"/>
      <c r="AI55" s="587"/>
      <c r="AJ55" s="636"/>
      <c r="AK55" s="587"/>
      <c r="AL55" s="589"/>
      <c r="AM55" s="638"/>
      <c r="AN55" s="639"/>
      <c r="AO55" s="639"/>
      <c r="AP55" s="640"/>
      <c r="AQ55" s="640"/>
      <c r="AR55" s="641"/>
      <c r="AS55" s="642"/>
      <c r="AT55" s="643"/>
      <c r="AU55" s="640"/>
      <c r="AV55" s="644"/>
      <c r="AW55" s="645"/>
      <c r="AX55" s="638"/>
      <c r="AY55" s="639"/>
      <c r="AZ55" s="639"/>
      <c r="BA55" s="646"/>
    </row>
    <row r="56" ht="15.75" customHeight="1">
      <c r="A56" s="424"/>
      <c r="B56" s="572"/>
      <c r="C56" s="629"/>
      <c r="D56" s="630"/>
      <c r="E56" s="617"/>
      <c r="F56" s="575"/>
      <c r="G56" s="575"/>
      <c r="H56" s="631"/>
      <c r="I56" s="632"/>
      <c r="J56" s="647"/>
      <c r="K56" s="578"/>
      <c r="L56" s="580"/>
      <c r="M56" s="579"/>
      <c r="N56" s="578"/>
      <c r="O56" s="578"/>
      <c r="P56" s="634"/>
      <c r="Q56" s="634"/>
      <c r="R56" s="634"/>
      <c r="S56" s="581"/>
      <c r="T56" s="635"/>
      <c r="U56" s="636"/>
      <c r="V56" s="581"/>
      <c r="W56" s="637"/>
      <c r="X56" s="637"/>
      <c r="Y56" s="581"/>
      <c r="Z56" s="581"/>
      <c r="AA56" s="585"/>
      <c r="AB56" s="586"/>
      <c r="AC56" s="577"/>
      <c r="AD56" s="577"/>
      <c r="AE56" s="572"/>
      <c r="AF56" s="635"/>
      <c r="AG56" s="637"/>
      <c r="AH56" s="637"/>
      <c r="AI56" s="587"/>
      <c r="AJ56" s="636"/>
      <c r="AK56" s="587"/>
      <c r="AL56" s="589"/>
      <c r="AM56" s="638"/>
      <c r="AN56" s="639"/>
      <c r="AO56" s="639"/>
      <c r="AP56" s="640"/>
      <c r="AQ56" s="640"/>
      <c r="AR56" s="641"/>
      <c r="AS56" s="642"/>
      <c r="AT56" s="643"/>
      <c r="AU56" s="640"/>
      <c r="AV56" s="644"/>
      <c r="AW56" s="645"/>
      <c r="AX56" s="638"/>
      <c r="AY56" s="639"/>
      <c r="AZ56" s="639"/>
      <c r="BA56" s="646"/>
    </row>
    <row r="57" ht="15.75" customHeight="1">
      <c r="A57" s="424"/>
      <c r="B57" s="572"/>
      <c r="C57" s="629"/>
      <c r="D57" s="630"/>
      <c r="E57" s="617"/>
      <c r="F57" s="575"/>
      <c r="G57" s="575"/>
      <c r="H57" s="631"/>
      <c r="I57" s="632"/>
      <c r="J57" s="647"/>
      <c r="K57" s="578"/>
      <c r="L57" s="580"/>
      <c r="M57" s="579"/>
      <c r="N57" s="578"/>
      <c r="O57" s="578"/>
      <c r="P57" s="634"/>
      <c r="Q57" s="634"/>
      <c r="R57" s="634"/>
      <c r="S57" s="581"/>
      <c r="T57" s="635"/>
      <c r="U57" s="636"/>
      <c r="V57" s="581"/>
      <c r="W57" s="637"/>
      <c r="X57" s="637"/>
      <c r="Y57" s="581"/>
      <c r="Z57" s="581"/>
      <c r="AA57" s="585"/>
      <c r="AB57" s="586"/>
      <c r="AC57" s="577"/>
      <c r="AD57" s="577"/>
      <c r="AE57" s="572"/>
      <c r="AF57" s="635"/>
      <c r="AG57" s="637"/>
      <c r="AH57" s="637"/>
      <c r="AI57" s="587"/>
      <c r="AJ57" s="636"/>
      <c r="AK57" s="587"/>
      <c r="AL57" s="589"/>
      <c r="AM57" s="638"/>
      <c r="AN57" s="639"/>
      <c r="AO57" s="639"/>
      <c r="AP57" s="640"/>
      <c r="AQ57" s="640"/>
      <c r="AR57" s="641"/>
      <c r="AS57" s="642"/>
      <c r="AT57" s="643"/>
      <c r="AU57" s="640"/>
      <c r="AV57" s="644"/>
      <c r="AW57" s="645"/>
      <c r="AX57" s="638"/>
      <c r="AY57" s="639"/>
      <c r="AZ57" s="639"/>
      <c r="BA57" s="646"/>
    </row>
    <row r="58" ht="15.75" customHeight="1">
      <c r="A58" s="424"/>
      <c r="B58" s="572"/>
      <c r="C58" s="629"/>
      <c r="D58" s="630"/>
      <c r="E58" s="617"/>
      <c r="F58" s="575"/>
      <c r="G58" s="575"/>
      <c r="H58" s="631"/>
      <c r="I58" s="632"/>
      <c r="J58" s="647"/>
      <c r="K58" s="578"/>
      <c r="L58" s="580"/>
      <c r="M58" s="579"/>
      <c r="N58" s="578"/>
      <c r="O58" s="578"/>
      <c r="P58" s="634"/>
      <c r="Q58" s="634"/>
      <c r="R58" s="634"/>
      <c r="S58" s="581"/>
      <c r="T58" s="635"/>
      <c r="U58" s="636"/>
      <c r="V58" s="581"/>
      <c r="W58" s="637"/>
      <c r="X58" s="637"/>
      <c r="Y58" s="581"/>
      <c r="Z58" s="581"/>
      <c r="AA58" s="585"/>
      <c r="AB58" s="586"/>
      <c r="AC58" s="577"/>
      <c r="AD58" s="577"/>
      <c r="AE58" s="572"/>
      <c r="AF58" s="635"/>
      <c r="AG58" s="637"/>
      <c r="AH58" s="637"/>
      <c r="AI58" s="587"/>
      <c r="AJ58" s="636"/>
      <c r="AK58" s="587"/>
      <c r="AL58" s="589"/>
      <c r="AM58" s="638"/>
      <c r="AN58" s="639"/>
      <c r="AO58" s="639"/>
      <c r="AP58" s="640"/>
      <c r="AQ58" s="640"/>
      <c r="AR58" s="641"/>
      <c r="AS58" s="642"/>
      <c r="AT58" s="643"/>
      <c r="AU58" s="640"/>
      <c r="AV58" s="644"/>
      <c r="AW58" s="645"/>
      <c r="AX58" s="638"/>
      <c r="AY58" s="639"/>
      <c r="AZ58" s="639"/>
      <c r="BA58" s="646"/>
    </row>
    <row r="59" ht="15.75" customHeight="1">
      <c r="A59" s="424"/>
      <c r="B59" s="572"/>
      <c r="C59" s="629"/>
      <c r="D59" s="630"/>
      <c r="E59" s="617"/>
      <c r="F59" s="575"/>
      <c r="G59" s="575"/>
      <c r="H59" s="631"/>
      <c r="I59" s="632"/>
      <c r="J59" s="647"/>
      <c r="K59" s="578"/>
      <c r="L59" s="580"/>
      <c r="M59" s="579"/>
      <c r="N59" s="578"/>
      <c r="O59" s="578"/>
      <c r="P59" s="634"/>
      <c r="Q59" s="634"/>
      <c r="R59" s="634"/>
      <c r="S59" s="581"/>
      <c r="T59" s="635"/>
      <c r="U59" s="636"/>
      <c r="V59" s="581"/>
      <c r="W59" s="637"/>
      <c r="X59" s="637"/>
      <c r="Y59" s="581"/>
      <c r="Z59" s="581"/>
      <c r="AA59" s="585"/>
      <c r="AB59" s="586"/>
      <c r="AC59" s="577"/>
      <c r="AD59" s="577"/>
      <c r="AE59" s="572"/>
      <c r="AF59" s="635"/>
      <c r="AG59" s="637"/>
      <c r="AH59" s="637"/>
      <c r="AI59" s="587"/>
      <c r="AJ59" s="636"/>
      <c r="AK59" s="587"/>
      <c r="AL59" s="589"/>
      <c r="AM59" s="638"/>
      <c r="AN59" s="639"/>
      <c r="AO59" s="639"/>
      <c r="AP59" s="640"/>
      <c r="AQ59" s="640"/>
      <c r="AR59" s="641"/>
      <c r="AS59" s="642"/>
      <c r="AT59" s="643"/>
      <c r="AU59" s="640"/>
      <c r="AV59" s="644"/>
      <c r="AW59" s="645"/>
      <c r="AX59" s="638"/>
      <c r="AY59" s="639"/>
      <c r="AZ59" s="639"/>
      <c r="BA59" s="646"/>
    </row>
    <row r="60" ht="15.75" customHeight="1">
      <c r="A60" s="424"/>
      <c r="B60" s="572"/>
      <c r="C60" s="629"/>
      <c r="D60" s="630"/>
      <c r="E60" s="617"/>
      <c r="F60" s="575"/>
      <c r="G60" s="575"/>
      <c r="H60" s="631"/>
      <c r="I60" s="632"/>
      <c r="J60" s="647"/>
      <c r="K60" s="578"/>
      <c r="L60" s="580"/>
      <c r="M60" s="579"/>
      <c r="N60" s="578"/>
      <c r="O60" s="578"/>
      <c r="P60" s="634"/>
      <c r="Q60" s="634"/>
      <c r="R60" s="634"/>
      <c r="S60" s="581"/>
      <c r="T60" s="635"/>
      <c r="U60" s="636"/>
      <c r="V60" s="581"/>
      <c r="W60" s="637"/>
      <c r="X60" s="637"/>
      <c r="Y60" s="581"/>
      <c r="Z60" s="581"/>
      <c r="AA60" s="585"/>
      <c r="AB60" s="586"/>
      <c r="AC60" s="577"/>
      <c r="AD60" s="577"/>
      <c r="AE60" s="572"/>
      <c r="AF60" s="635"/>
      <c r="AG60" s="637"/>
      <c r="AH60" s="637"/>
      <c r="AI60" s="587"/>
      <c r="AJ60" s="636"/>
      <c r="AK60" s="587"/>
      <c r="AL60" s="589"/>
      <c r="AM60" s="638"/>
      <c r="AN60" s="639"/>
      <c r="AO60" s="639"/>
      <c r="AP60" s="640"/>
      <c r="AQ60" s="640"/>
      <c r="AR60" s="641"/>
      <c r="AS60" s="642"/>
      <c r="AT60" s="643"/>
      <c r="AU60" s="640"/>
      <c r="AV60" s="644"/>
      <c r="AW60" s="645"/>
      <c r="AX60" s="638"/>
      <c r="AY60" s="639"/>
      <c r="AZ60" s="639"/>
      <c r="BA60" s="646"/>
    </row>
    <row r="61" ht="15.75" customHeight="1">
      <c r="A61" s="424"/>
      <c r="B61" s="572"/>
      <c r="C61" s="629"/>
      <c r="D61" s="630"/>
      <c r="E61" s="617"/>
      <c r="F61" s="575"/>
      <c r="G61" s="575"/>
      <c r="H61" s="631"/>
      <c r="I61" s="632"/>
      <c r="J61" s="647"/>
      <c r="K61" s="578"/>
      <c r="L61" s="580"/>
      <c r="M61" s="579"/>
      <c r="N61" s="578"/>
      <c r="O61" s="578"/>
      <c r="P61" s="634"/>
      <c r="Q61" s="634"/>
      <c r="R61" s="634"/>
      <c r="S61" s="581"/>
      <c r="T61" s="635"/>
      <c r="U61" s="636"/>
      <c r="V61" s="581"/>
      <c r="W61" s="637"/>
      <c r="X61" s="637"/>
      <c r="Y61" s="581"/>
      <c r="Z61" s="581"/>
      <c r="AA61" s="585"/>
      <c r="AB61" s="586"/>
      <c r="AC61" s="577"/>
      <c r="AD61" s="577"/>
      <c r="AE61" s="572"/>
      <c r="AF61" s="635"/>
      <c r="AG61" s="637"/>
      <c r="AH61" s="637"/>
      <c r="AI61" s="587"/>
      <c r="AJ61" s="636"/>
      <c r="AK61" s="587"/>
      <c r="AL61" s="589"/>
      <c r="AM61" s="638"/>
      <c r="AN61" s="639"/>
      <c r="AO61" s="639"/>
      <c r="AP61" s="640"/>
      <c r="AQ61" s="640"/>
      <c r="AR61" s="641"/>
      <c r="AS61" s="642"/>
      <c r="AT61" s="643"/>
      <c r="AU61" s="640"/>
      <c r="AV61" s="644"/>
      <c r="AW61" s="645"/>
      <c r="AX61" s="638"/>
      <c r="AY61" s="639"/>
      <c r="AZ61" s="639"/>
      <c r="BA61" s="646"/>
    </row>
    <row r="62" ht="15.75" customHeight="1">
      <c r="A62" s="424"/>
      <c r="B62" s="572"/>
      <c r="C62" s="629"/>
      <c r="D62" s="630"/>
      <c r="E62" s="617"/>
      <c r="F62" s="575"/>
      <c r="G62" s="575"/>
      <c r="H62" s="631"/>
      <c r="I62" s="632"/>
      <c r="J62" s="647"/>
      <c r="K62" s="578"/>
      <c r="L62" s="580"/>
      <c r="M62" s="579"/>
      <c r="N62" s="578"/>
      <c r="O62" s="578"/>
      <c r="P62" s="634"/>
      <c r="Q62" s="634"/>
      <c r="R62" s="634"/>
      <c r="S62" s="581"/>
      <c r="T62" s="635"/>
      <c r="U62" s="636"/>
      <c r="V62" s="581"/>
      <c r="W62" s="637"/>
      <c r="X62" s="637"/>
      <c r="Y62" s="581"/>
      <c r="Z62" s="581"/>
      <c r="AA62" s="585"/>
      <c r="AB62" s="586"/>
      <c r="AC62" s="577"/>
      <c r="AD62" s="577"/>
      <c r="AE62" s="572"/>
      <c r="AF62" s="635"/>
      <c r="AG62" s="637"/>
      <c r="AH62" s="637"/>
      <c r="AI62" s="587"/>
      <c r="AJ62" s="636"/>
      <c r="AK62" s="587"/>
      <c r="AL62" s="589"/>
      <c r="AM62" s="638"/>
      <c r="AN62" s="639"/>
      <c r="AO62" s="639"/>
      <c r="AP62" s="640"/>
      <c r="AQ62" s="640"/>
      <c r="AR62" s="641"/>
      <c r="AS62" s="642"/>
      <c r="AT62" s="643"/>
      <c r="AU62" s="640"/>
      <c r="AV62" s="644"/>
      <c r="AW62" s="645"/>
      <c r="AX62" s="638"/>
      <c r="AY62" s="639"/>
      <c r="AZ62" s="639"/>
      <c r="BA62" s="646"/>
    </row>
    <row r="63" ht="15.75" customHeight="1">
      <c r="A63" s="424"/>
      <c r="B63" s="572"/>
      <c r="C63" s="629"/>
      <c r="D63" s="630"/>
      <c r="E63" s="617"/>
      <c r="F63" s="575"/>
      <c r="G63" s="575"/>
      <c r="H63" s="631"/>
      <c r="I63" s="632"/>
      <c r="J63" s="647"/>
      <c r="K63" s="578"/>
      <c r="L63" s="580"/>
      <c r="M63" s="579"/>
      <c r="N63" s="578"/>
      <c r="O63" s="578"/>
      <c r="P63" s="634"/>
      <c r="Q63" s="634"/>
      <c r="R63" s="634"/>
      <c r="S63" s="581"/>
      <c r="T63" s="635"/>
      <c r="U63" s="636"/>
      <c r="V63" s="581"/>
      <c r="W63" s="637"/>
      <c r="X63" s="637"/>
      <c r="Y63" s="581"/>
      <c r="Z63" s="581"/>
      <c r="AA63" s="585"/>
      <c r="AB63" s="586"/>
      <c r="AC63" s="577"/>
      <c r="AD63" s="577"/>
      <c r="AE63" s="572"/>
      <c r="AF63" s="635"/>
      <c r="AG63" s="637"/>
      <c r="AH63" s="637"/>
      <c r="AI63" s="587"/>
      <c r="AJ63" s="636"/>
      <c r="AK63" s="587"/>
      <c r="AL63" s="589"/>
      <c r="AM63" s="638"/>
      <c r="AN63" s="639"/>
      <c r="AO63" s="639"/>
      <c r="AP63" s="640"/>
      <c r="AQ63" s="640"/>
      <c r="AR63" s="641"/>
      <c r="AS63" s="642"/>
      <c r="AT63" s="643"/>
      <c r="AU63" s="640"/>
      <c r="AV63" s="644"/>
      <c r="AW63" s="645"/>
      <c r="AX63" s="638"/>
      <c r="AY63" s="639"/>
      <c r="AZ63" s="639"/>
      <c r="BA63" s="646"/>
    </row>
    <row r="64" ht="15.75" customHeight="1">
      <c r="A64" s="424"/>
      <c r="B64" s="572"/>
      <c r="C64" s="629"/>
      <c r="D64" s="630"/>
      <c r="E64" s="617"/>
      <c r="F64" s="575"/>
      <c r="G64" s="575"/>
      <c r="H64" s="631"/>
      <c r="I64" s="632"/>
      <c r="J64" s="647"/>
      <c r="K64" s="578"/>
      <c r="L64" s="580"/>
      <c r="M64" s="579"/>
      <c r="N64" s="578"/>
      <c r="O64" s="578"/>
      <c r="P64" s="634"/>
      <c r="Q64" s="634"/>
      <c r="R64" s="634"/>
      <c r="S64" s="581"/>
      <c r="T64" s="635"/>
      <c r="U64" s="636"/>
      <c r="V64" s="581"/>
      <c r="W64" s="637"/>
      <c r="X64" s="637"/>
      <c r="Y64" s="581"/>
      <c r="Z64" s="581"/>
      <c r="AA64" s="585"/>
      <c r="AB64" s="586"/>
      <c r="AC64" s="577"/>
      <c r="AD64" s="577"/>
      <c r="AE64" s="572"/>
      <c r="AF64" s="635"/>
      <c r="AG64" s="637"/>
      <c r="AH64" s="637"/>
      <c r="AI64" s="587"/>
      <c r="AJ64" s="636"/>
      <c r="AK64" s="587"/>
      <c r="AL64" s="589"/>
      <c r="AM64" s="638"/>
      <c r="AN64" s="639"/>
      <c r="AO64" s="639"/>
      <c r="AP64" s="640"/>
      <c r="AQ64" s="640"/>
      <c r="AR64" s="641"/>
      <c r="AS64" s="642"/>
      <c r="AT64" s="643"/>
      <c r="AU64" s="640"/>
      <c r="AV64" s="644"/>
      <c r="AW64" s="645"/>
      <c r="AX64" s="638"/>
      <c r="AY64" s="639"/>
      <c r="AZ64" s="639"/>
      <c r="BA64" s="646"/>
    </row>
    <row r="65" ht="15.75" customHeight="1">
      <c r="A65" s="424"/>
      <c r="B65" s="572"/>
      <c r="C65" s="629"/>
      <c r="D65" s="630"/>
      <c r="E65" s="617"/>
      <c r="F65" s="575"/>
      <c r="G65" s="575"/>
      <c r="H65" s="631"/>
      <c r="I65" s="632"/>
      <c r="J65" s="647"/>
      <c r="K65" s="578"/>
      <c r="L65" s="580"/>
      <c r="M65" s="579"/>
      <c r="N65" s="578"/>
      <c r="O65" s="578"/>
      <c r="P65" s="634"/>
      <c r="Q65" s="634"/>
      <c r="R65" s="634"/>
      <c r="S65" s="581"/>
      <c r="T65" s="635"/>
      <c r="U65" s="636"/>
      <c r="V65" s="581"/>
      <c r="W65" s="637"/>
      <c r="X65" s="637"/>
      <c r="Y65" s="581"/>
      <c r="Z65" s="581"/>
      <c r="AA65" s="585"/>
      <c r="AB65" s="586"/>
      <c r="AC65" s="577"/>
      <c r="AD65" s="577"/>
      <c r="AE65" s="572"/>
      <c r="AF65" s="635"/>
      <c r="AG65" s="637"/>
      <c r="AH65" s="637"/>
      <c r="AI65" s="587"/>
      <c r="AJ65" s="636"/>
      <c r="AK65" s="587"/>
      <c r="AL65" s="589"/>
      <c r="AM65" s="638"/>
      <c r="AN65" s="639"/>
      <c r="AO65" s="639"/>
      <c r="AP65" s="640"/>
      <c r="AQ65" s="640"/>
      <c r="AR65" s="641"/>
      <c r="AS65" s="642"/>
      <c r="AT65" s="643"/>
      <c r="AU65" s="640"/>
      <c r="AV65" s="644"/>
      <c r="AW65" s="645"/>
      <c r="AX65" s="638"/>
      <c r="AY65" s="639"/>
      <c r="AZ65" s="639"/>
      <c r="BA65" s="646"/>
    </row>
    <row r="66" ht="15.75" customHeight="1">
      <c r="A66" s="424"/>
      <c r="B66" s="572"/>
      <c r="C66" s="629"/>
      <c r="D66" s="630"/>
      <c r="E66" s="617"/>
      <c r="F66" s="575"/>
      <c r="G66" s="575"/>
      <c r="H66" s="631"/>
      <c r="I66" s="632"/>
      <c r="J66" s="647"/>
      <c r="K66" s="578"/>
      <c r="L66" s="580"/>
      <c r="M66" s="579"/>
      <c r="N66" s="578"/>
      <c r="O66" s="578"/>
      <c r="P66" s="634"/>
      <c r="Q66" s="634"/>
      <c r="R66" s="634"/>
      <c r="S66" s="581"/>
      <c r="T66" s="635"/>
      <c r="U66" s="636"/>
      <c r="V66" s="581"/>
      <c r="W66" s="637"/>
      <c r="X66" s="637"/>
      <c r="Y66" s="581"/>
      <c r="Z66" s="581"/>
      <c r="AA66" s="585"/>
      <c r="AB66" s="586"/>
      <c r="AC66" s="577"/>
      <c r="AD66" s="577"/>
      <c r="AE66" s="572"/>
      <c r="AF66" s="635"/>
      <c r="AG66" s="637"/>
      <c r="AH66" s="637"/>
      <c r="AI66" s="587"/>
      <c r="AJ66" s="636"/>
      <c r="AK66" s="587"/>
      <c r="AL66" s="589"/>
      <c r="AM66" s="638"/>
      <c r="AN66" s="639"/>
      <c r="AO66" s="639"/>
      <c r="AP66" s="640"/>
      <c r="AQ66" s="640"/>
      <c r="AR66" s="641"/>
      <c r="AS66" s="642"/>
      <c r="AT66" s="643"/>
      <c r="AU66" s="640"/>
      <c r="AV66" s="644"/>
      <c r="AW66" s="645"/>
      <c r="AX66" s="638"/>
      <c r="AY66" s="639"/>
      <c r="AZ66" s="639"/>
      <c r="BA66" s="646"/>
    </row>
    <row r="67" ht="15.75" customHeight="1">
      <c r="A67" s="424"/>
      <c r="B67" s="572"/>
      <c r="C67" s="629"/>
      <c r="D67" s="630"/>
      <c r="E67" s="617"/>
      <c r="F67" s="575"/>
      <c r="G67" s="575"/>
      <c r="H67" s="631"/>
      <c r="I67" s="632"/>
      <c r="J67" s="647"/>
      <c r="K67" s="578"/>
      <c r="L67" s="580"/>
      <c r="M67" s="579"/>
      <c r="N67" s="578"/>
      <c r="O67" s="578"/>
      <c r="P67" s="634"/>
      <c r="Q67" s="634"/>
      <c r="R67" s="634"/>
      <c r="S67" s="581"/>
      <c r="T67" s="635"/>
      <c r="U67" s="636"/>
      <c r="V67" s="581"/>
      <c r="W67" s="637"/>
      <c r="X67" s="637"/>
      <c r="Y67" s="581"/>
      <c r="Z67" s="581"/>
      <c r="AA67" s="585"/>
      <c r="AB67" s="586"/>
      <c r="AC67" s="577"/>
      <c r="AD67" s="577"/>
      <c r="AE67" s="572"/>
      <c r="AF67" s="635"/>
      <c r="AG67" s="637"/>
      <c r="AH67" s="637"/>
      <c r="AI67" s="587"/>
      <c r="AJ67" s="636"/>
      <c r="AK67" s="587"/>
      <c r="AL67" s="589"/>
      <c r="AM67" s="638"/>
      <c r="AN67" s="639"/>
      <c r="AO67" s="639"/>
      <c r="AP67" s="640"/>
      <c r="AQ67" s="640"/>
      <c r="AR67" s="641"/>
      <c r="AS67" s="642"/>
      <c r="AT67" s="643"/>
      <c r="AU67" s="640"/>
      <c r="AV67" s="644"/>
      <c r="AW67" s="645"/>
      <c r="AX67" s="638"/>
      <c r="AY67" s="639"/>
      <c r="AZ67" s="639"/>
      <c r="BA67" s="646"/>
    </row>
    <row r="68" ht="15.75" customHeight="1">
      <c r="A68" s="424"/>
      <c r="B68" s="572"/>
      <c r="C68" s="629"/>
      <c r="D68" s="630"/>
      <c r="E68" s="617"/>
      <c r="F68" s="575"/>
      <c r="G68" s="575"/>
      <c r="H68" s="631"/>
      <c r="I68" s="632"/>
      <c r="J68" s="647"/>
      <c r="K68" s="578"/>
      <c r="L68" s="580"/>
      <c r="M68" s="579"/>
      <c r="N68" s="578"/>
      <c r="O68" s="578"/>
      <c r="P68" s="634"/>
      <c r="Q68" s="634"/>
      <c r="R68" s="634"/>
      <c r="S68" s="581"/>
      <c r="T68" s="635"/>
      <c r="U68" s="636"/>
      <c r="V68" s="581"/>
      <c r="W68" s="637"/>
      <c r="X68" s="637"/>
      <c r="Y68" s="581"/>
      <c r="Z68" s="581"/>
      <c r="AA68" s="585"/>
      <c r="AB68" s="586"/>
      <c r="AC68" s="577"/>
      <c r="AD68" s="577"/>
      <c r="AE68" s="572"/>
      <c r="AF68" s="635"/>
      <c r="AG68" s="637"/>
      <c r="AH68" s="637"/>
      <c r="AI68" s="587"/>
      <c r="AJ68" s="636"/>
      <c r="AK68" s="587"/>
      <c r="AL68" s="589"/>
      <c r="AM68" s="638"/>
      <c r="AN68" s="639"/>
      <c r="AO68" s="639"/>
      <c r="AP68" s="640"/>
      <c r="AQ68" s="640"/>
      <c r="AR68" s="641"/>
      <c r="AS68" s="642"/>
      <c r="AT68" s="643"/>
      <c r="AU68" s="640"/>
      <c r="AV68" s="644"/>
      <c r="AW68" s="645"/>
      <c r="AX68" s="638"/>
      <c r="AY68" s="639"/>
      <c r="AZ68" s="639"/>
      <c r="BA68" s="646"/>
    </row>
    <row r="69" ht="15.75" customHeight="1">
      <c r="A69" s="424"/>
      <c r="B69" s="572"/>
      <c r="C69" s="629"/>
      <c r="D69" s="630"/>
      <c r="E69" s="617"/>
      <c r="F69" s="575"/>
      <c r="G69" s="575"/>
      <c r="H69" s="631"/>
      <c r="I69" s="632"/>
      <c r="J69" s="647"/>
      <c r="K69" s="578"/>
      <c r="L69" s="580"/>
      <c r="M69" s="579"/>
      <c r="N69" s="578"/>
      <c r="O69" s="578"/>
      <c r="P69" s="634"/>
      <c r="Q69" s="634"/>
      <c r="R69" s="634"/>
      <c r="S69" s="581"/>
      <c r="T69" s="635"/>
      <c r="U69" s="636"/>
      <c r="V69" s="581"/>
      <c r="W69" s="637"/>
      <c r="X69" s="637"/>
      <c r="Y69" s="581"/>
      <c r="Z69" s="581"/>
      <c r="AA69" s="585"/>
      <c r="AB69" s="586"/>
      <c r="AC69" s="577"/>
      <c r="AD69" s="577"/>
      <c r="AE69" s="572"/>
      <c r="AF69" s="635"/>
      <c r="AG69" s="637"/>
      <c r="AH69" s="637"/>
      <c r="AI69" s="587"/>
      <c r="AJ69" s="636"/>
      <c r="AK69" s="587"/>
      <c r="AL69" s="589"/>
      <c r="AM69" s="638"/>
      <c r="AN69" s="639"/>
      <c r="AO69" s="639"/>
      <c r="AP69" s="640"/>
      <c r="AQ69" s="640"/>
      <c r="AR69" s="641"/>
      <c r="AS69" s="642"/>
      <c r="AT69" s="643"/>
      <c r="AU69" s="640"/>
      <c r="AV69" s="644"/>
      <c r="AW69" s="645"/>
      <c r="AX69" s="638"/>
      <c r="AY69" s="639"/>
      <c r="AZ69" s="639"/>
      <c r="BA69" s="646"/>
    </row>
    <row r="70" ht="15.75" customHeight="1">
      <c r="A70" s="424"/>
      <c r="B70" s="572"/>
      <c r="C70" s="629"/>
      <c r="D70" s="630"/>
      <c r="E70" s="617"/>
      <c r="F70" s="575"/>
      <c r="G70" s="575"/>
      <c r="H70" s="631"/>
      <c r="I70" s="632"/>
      <c r="J70" s="647"/>
      <c r="K70" s="578"/>
      <c r="L70" s="580"/>
      <c r="M70" s="579"/>
      <c r="N70" s="578"/>
      <c r="O70" s="578"/>
      <c r="P70" s="634"/>
      <c r="Q70" s="634"/>
      <c r="R70" s="634"/>
      <c r="S70" s="581"/>
      <c r="T70" s="635"/>
      <c r="U70" s="636"/>
      <c r="V70" s="581"/>
      <c r="W70" s="637"/>
      <c r="X70" s="637"/>
      <c r="Y70" s="581"/>
      <c r="Z70" s="581"/>
      <c r="AA70" s="585"/>
      <c r="AB70" s="586"/>
      <c r="AC70" s="577"/>
      <c r="AD70" s="577"/>
      <c r="AE70" s="572"/>
      <c r="AF70" s="635"/>
      <c r="AG70" s="637"/>
      <c r="AH70" s="637"/>
      <c r="AI70" s="587"/>
      <c r="AJ70" s="636"/>
      <c r="AK70" s="587"/>
      <c r="AL70" s="589"/>
      <c r="AM70" s="638"/>
      <c r="AN70" s="639"/>
      <c r="AO70" s="639"/>
      <c r="AP70" s="640"/>
      <c r="AQ70" s="640"/>
      <c r="AR70" s="641"/>
      <c r="AS70" s="642"/>
      <c r="AT70" s="643"/>
      <c r="AU70" s="640"/>
      <c r="AV70" s="644"/>
      <c r="AW70" s="645"/>
      <c r="AX70" s="638"/>
      <c r="AY70" s="639"/>
      <c r="AZ70" s="639"/>
      <c r="BA70" s="646"/>
    </row>
    <row r="71" ht="15.75" customHeight="1">
      <c r="A71" s="424"/>
      <c r="B71" s="572"/>
      <c r="C71" s="629"/>
      <c r="D71" s="630"/>
      <c r="E71" s="617"/>
      <c r="F71" s="575"/>
      <c r="G71" s="575"/>
      <c r="H71" s="631"/>
      <c r="I71" s="632"/>
      <c r="J71" s="647"/>
      <c r="K71" s="578"/>
      <c r="L71" s="580"/>
      <c r="M71" s="579"/>
      <c r="N71" s="578"/>
      <c r="O71" s="578"/>
      <c r="P71" s="634"/>
      <c r="Q71" s="634"/>
      <c r="R71" s="634"/>
      <c r="S71" s="581"/>
      <c r="T71" s="635"/>
      <c r="U71" s="636"/>
      <c r="V71" s="581"/>
      <c r="W71" s="637"/>
      <c r="X71" s="637"/>
      <c r="Y71" s="581"/>
      <c r="Z71" s="581"/>
      <c r="AA71" s="585"/>
      <c r="AB71" s="586"/>
      <c r="AC71" s="577"/>
      <c r="AD71" s="577"/>
      <c r="AE71" s="572"/>
      <c r="AF71" s="635"/>
      <c r="AG71" s="637"/>
      <c r="AH71" s="637"/>
      <c r="AI71" s="587"/>
      <c r="AJ71" s="636"/>
      <c r="AK71" s="587"/>
      <c r="AL71" s="589"/>
      <c r="AM71" s="638"/>
      <c r="AN71" s="639"/>
      <c r="AO71" s="639"/>
      <c r="AP71" s="640"/>
      <c r="AQ71" s="640"/>
      <c r="AR71" s="641"/>
      <c r="AS71" s="642"/>
      <c r="AT71" s="643"/>
      <c r="AU71" s="640"/>
      <c r="AV71" s="644"/>
      <c r="AW71" s="645"/>
      <c r="AX71" s="638"/>
      <c r="AY71" s="639"/>
      <c r="AZ71" s="639"/>
      <c r="BA71" s="646"/>
    </row>
    <row r="72" ht="15.75" customHeight="1">
      <c r="A72" s="424"/>
      <c r="B72" s="572"/>
      <c r="C72" s="629"/>
      <c r="D72" s="630"/>
      <c r="E72" s="617"/>
      <c r="F72" s="575"/>
      <c r="G72" s="575"/>
      <c r="H72" s="631"/>
      <c r="I72" s="632"/>
      <c r="J72" s="647"/>
      <c r="K72" s="578"/>
      <c r="L72" s="580"/>
      <c r="M72" s="579"/>
      <c r="N72" s="578"/>
      <c r="O72" s="578"/>
      <c r="P72" s="634"/>
      <c r="Q72" s="634"/>
      <c r="R72" s="634"/>
      <c r="S72" s="581"/>
      <c r="T72" s="635"/>
      <c r="U72" s="636"/>
      <c r="V72" s="581"/>
      <c r="W72" s="637"/>
      <c r="X72" s="637"/>
      <c r="Y72" s="581"/>
      <c r="Z72" s="581"/>
      <c r="AA72" s="585"/>
      <c r="AB72" s="586"/>
      <c r="AC72" s="577"/>
      <c r="AD72" s="577"/>
      <c r="AE72" s="572"/>
      <c r="AF72" s="635"/>
      <c r="AG72" s="637"/>
      <c r="AH72" s="637"/>
      <c r="AI72" s="587"/>
      <c r="AJ72" s="636"/>
      <c r="AK72" s="587"/>
      <c r="AL72" s="589"/>
      <c r="AM72" s="638"/>
      <c r="AN72" s="639"/>
      <c r="AO72" s="639"/>
      <c r="AP72" s="640"/>
      <c r="AQ72" s="640"/>
      <c r="AR72" s="641"/>
      <c r="AS72" s="642"/>
      <c r="AT72" s="643"/>
      <c r="AU72" s="640"/>
      <c r="AV72" s="644"/>
      <c r="AW72" s="645"/>
      <c r="AX72" s="638"/>
      <c r="AY72" s="639"/>
      <c r="AZ72" s="639"/>
      <c r="BA72" s="646"/>
    </row>
    <row r="73" ht="15.75" customHeight="1">
      <c r="A73" s="424"/>
      <c r="B73" s="572"/>
      <c r="C73" s="629"/>
      <c r="D73" s="630"/>
      <c r="E73" s="617"/>
      <c r="F73" s="575"/>
      <c r="G73" s="575"/>
      <c r="H73" s="631"/>
      <c r="I73" s="632"/>
      <c r="J73" s="647"/>
      <c r="K73" s="578"/>
      <c r="L73" s="580"/>
      <c r="M73" s="579"/>
      <c r="N73" s="578"/>
      <c r="O73" s="578"/>
      <c r="P73" s="634"/>
      <c r="Q73" s="634"/>
      <c r="R73" s="634"/>
      <c r="S73" s="581"/>
      <c r="T73" s="635"/>
      <c r="U73" s="636"/>
      <c r="V73" s="581"/>
      <c r="W73" s="637"/>
      <c r="X73" s="637"/>
      <c r="Y73" s="581"/>
      <c r="Z73" s="581"/>
      <c r="AA73" s="585"/>
      <c r="AB73" s="586"/>
      <c r="AC73" s="577"/>
      <c r="AD73" s="577"/>
      <c r="AE73" s="572"/>
      <c r="AF73" s="635"/>
      <c r="AG73" s="637"/>
      <c r="AH73" s="637"/>
      <c r="AI73" s="587"/>
      <c r="AJ73" s="636"/>
      <c r="AK73" s="587"/>
      <c r="AL73" s="589"/>
      <c r="AM73" s="638"/>
      <c r="AN73" s="639"/>
      <c r="AO73" s="639"/>
      <c r="AP73" s="640"/>
      <c r="AQ73" s="640"/>
      <c r="AR73" s="641"/>
      <c r="AS73" s="642"/>
      <c r="AT73" s="643"/>
      <c r="AU73" s="640"/>
      <c r="AV73" s="644"/>
      <c r="AW73" s="645"/>
      <c r="AX73" s="638"/>
      <c r="AY73" s="639"/>
      <c r="AZ73" s="639"/>
      <c r="BA73" s="646"/>
    </row>
    <row r="74" ht="15.75" customHeight="1">
      <c r="A74" s="424"/>
      <c r="B74" s="572"/>
      <c r="C74" s="629"/>
      <c r="D74" s="630"/>
      <c r="E74" s="617"/>
      <c r="F74" s="575"/>
      <c r="G74" s="575"/>
      <c r="H74" s="631"/>
      <c r="I74" s="632"/>
      <c r="J74" s="647"/>
      <c r="K74" s="578"/>
      <c r="L74" s="580"/>
      <c r="M74" s="579"/>
      <c r="N74" s="578"/>
      <c r="O74" s="578"/>
      <c r="P74" s="634"/>
      <c r="Q74" s="634"/>
      <c r="R74" s="634"/>
      <c r="S74" s="581"/>
      <c r="T74" s="635"/>
      <c r="U74" s="636"/>
      <c r="V74" s="581"/>
      <c r="W74" s="637"/>
      <c r="X74" s="637"/>
      <c r="Y74" s="581"/>
      <c r="Z74" s="581"/>
      <c r="AA74" s="585"/>
      <c r="AB74" s="586"/>
      <c r="AC74" s="577"/>
      <c r="AD74" s="577"/>
      <c r="AE74" s="572"/>
      <c r="AF74" s="635"/>
      <c r="AG74" s="637"/>
      <c r="AH74" s="637"/>
      <c r="AI74" s="587"/>
      <c r="AJ74" s="636"/>
      <c r="AK74" s="587"/>
      <c r="AL74" s="589"/>
      <c r="AM74" s="638"/>
      <c r="AN74" s="639"/>
      <c r="AO74" s="639"/>
      <c r="AP74" s="640"/>
      <c r="AQ74" s="640"/>
      <c r="AR74" s="641"/>
      <c r="AS74" s="642"/>
      <c r="AT74" s="643"/>
      <c r="AU74" s="640"/>
      <c r="AV74" s="644"/>
      <c r="AW74" s="645"/>
      <c r="AX74" s="638"/>
      <c r="AY74" s="639"/>
      <c r="AZ74" s="639"/>
      <c r="BA74" s="646"/>
    </row>
    <row r="75" ht="15.75" customHeight="1">
      <c r="A75" s="424"/>
      <c r="B75" s="572"/>
      <c r="C75" s="629"/>
      <c r="D75" s="630"/>
      <c r="E75" s="617"/>
      <c r="F75" s="575"/>
      <c r="G75" s="575"/>
      <c r="H75" s="631"/>
      <c r="I75" s="632"/>
      <c r="J75" s="647"/>
      <c r="K75" s="578"/>
      <c r="L75" s="580"/>
      <c r="M75" s="579"/>
      <c r="N75" s="578"/>
      <c r="O75" s="578"/>
      <c r="P75" s="634"/>
      <c r="Q75" s="634"/>
      <c r="R75" s="634"/>
      <c r="S75" s="581"/>
      <c r="T75" s="635"/>
      <c r="U75" s="636"/>
      <c r="V75" s="581"/>
      <c r="W75" s="637"/>
      <c r="X75" s="637"/>
      <c r="Y75" s="581"/>
      <c r="Z75" s="581"/>
      <c r="AA75" s="585"/>
      <c r="AB75" s="586"/>
      <c r="AC75" s="577"/>
      <c r="AD75" s="577"/>
      <c r="AE75" s="572"/>
      <c r="AF75" s="635"/>
      <c r="AG75" s="637"/>
      <c r="AH75" s="637"/>
      <c r="AI75" s="587"/>
      <c r="AJ75" s="636"/>
      <c r="AK75" s="587"/>
      <c r="AL75" s="589"/>
      <c r="AM75" s="638"/>
      <c r="AN75" s="639"/>
      <c r="AO75" s="639"/>
      <c r="AP75" s="640"/>
      <c r="AQ75" s="640"/>
      <c r="AR75" s="641"/>
      <c r="AS75" s="642"/>
      <c r="AT75" s="643"/>
      <c r="AU75" s="640"/>
      <c r="AV75" s="644"/>
      <c r="AW75" s="645"/>
      <c r="AX75" s="638"/>
      <c r="AY75" s="639"/>
      <c r="AZ75" s="639"/>
      <c r="BA75" s="646"/>
    </row>
    <row r="76" ht="15.75" customHeight="1">
      <c r="A76" s="424"/>
      <c r="B76" s="572"/>
      <c r="C76" s="629"/>
      <c r="D76" s="630"/>
      <c r="E76" s="617"/>
      <c r="F76" s="575"/>
      <c r="G76" s="575"/>
      <c r="H76" s="631"/>
      <c r="I76" s="632"/>
      <c r="J76" s="647"/>
      <c r="K76" s="578"/>
      <c r="L76" s="580"/>
      <c r="M76" s="579"/>
      <c r="N76" s="578"/>
      <c r="O76" s="578"/>
      <c r="P76" s="634"/>
      <c r="Q76" s="634"/>
      <c r="R76" s="634"/>
      <c r="S76" s="581"/>
      <c r="T76" s="635"/>
      <c r="U76" s="636"/>
      <c r="V76" s="581"/>
      <c r="W76" s="637"/>
      <c r="X76" s="637"/>
      <c r="Y76" s="581"/>
      <c r="Z76" s="581"/>
      <c r="AA76" s="585"/>
      <c r="AB76" s="586"/>
      <c r="AC76" s="577"/>
      <c r="AD76" s="577"/>
      <c r="AE76" s="572"/>
      <c r="AF76" s="635"/>
      <c r="AG76" s="637"/>
      <c r="AH76" s="637"/>
      <c r="AI76" s="587"/>
      <c r="AJ76" s="636"/>
      <c r="AK76" s="587"/>
      <c r="AL76" s="589"/>
      <c r="AM76" s="638"/>
      <c r="AN76" s="639"/>
      <c r="AO76" s="639"/>
      <c r="AP76" s="640"/>
      <c r="AQ76" s="640"/>
      <c r="AR76" s="641"/>
      <c r="AS76" s="642"/>
      <c r="AT76" s="643"/>
      <c r="AU76" s="640"/>
      <c r="AV76" s="644"/>
      <c r="AW76" s="645"/>
      <c r="AX76" s="638"/>
      <c r="AY76" s="639"/>
      <c r="AZ76" s="639"/>
      <c r="BA76" s="646"/>
    </row>
    <row r="77" ht="15.75" customHeight="1">
      <c r="A77" s="424"/>
      <c r="B77" s="572"/>
      <c r="C77" s="629"/>
      <c r="D77" s="630"/>
      <c r="E77" s="617"/>
      <c r="F77" s="575"/>
      <c r="G77" s="575"/>
      <c r="H77" s="631"/>
      <c r="I77" s="632"/>
      <c r="J77" s="647"/>
      <c r="K77" s="578"/>
      <c r="L77" s="580"/>
      <c r="M77" s="579"/>
      <c r="N77" s="578"/>
      <c r="O77" s="578"/>
      <c r="P77" s="634"/>
      <c r="Q77" s="634"/>
      <c r="R77" s="634"/>
      <c r="S77" s="581"/>
      <c r="T77" s="635"/>
      <c r="U77" s="636"/>
      <c r="V77" s="581"/>
      <c r="W77" s="637"/>
      <c r="X77" s="637"/>
      <c r="Y77" s="581"/>
      <c r="Z77" s="581"/>
      <c r="AA77" s="585"/>
      <c r="AB77" s="586"/>
      <c r="AC77" s="577"/>
      <c r="AD77" s="577"/>
      <c r="AE77" s="572"/>
      <c r="AF77" s="635"/>
      <c r="AG77" s="637"/>
      <c r="AH77" s="637"/>
      <c r="AI77" s="587"/>
      <c r="AJ77" s="636"/>
      <c r="AK77" s="587"/>
      <c r="AL77" s="589"/>
      <c r="AM77" s="638"/>
      <c r="AN77" s="639"/>
      <c r="AO77" s="639"/>
      <c r="AP77" s="640"/>
      <c r="AQ77" s="640"/>
      <c r="AR77" s="641"/>
      <c r="AS77" s="642"/>
      <c r="AT77" s="643"/>
      <c r="AU77" s="640"/>
      <c r="AV77" s="644"/>
      <c r="AW77" s="645"/>
      <c r="AX77" s="638"/>
      <c r="AY77" s="639"/>
      <c r="AZ77" s="639"/>
      <c r="BA77" s="646"/>
    </row>
    <row r="78" ht="15.75" customHeight="1">
      <c r="A78" s="424"/>
      <c r="B78" s="572"/>
      <c r="C78" s="629"/>
      <c r="D78" s="630"/>
      <c r="E78" s="617"/>
      <c r="F78" s="575"/>
      <c r="G78" s="575"/>
      <c r="H78" s="631"/>
      <c r="I78" s="632"/>
      <c r="J78" s="647"/>
      <c r="K78" s="578"/>
      <c r="L78" s="580"/>
      <c r="M78" s="579"/>
      <c r="N78" s="578"/>
      <c r="O78" s="578"/>
      <c r="P78" s="634"/>
      <c r="Q78" s="634"/>
      <c r="R78" s="634"/>
      <c r="S78" s="581"/>
      <c r="T78" s="635"/>
      <c r="U78" s="636"/>
      <c r="V78" s="581"/>
      <c r="W78" s="637"/>
      <c r="X78" s="637"/>
      <c r="Y78" s="581"/>
      <c r="Z78" s="581"/>
      <c r="AA78" s="585"/>
      <c r="AB78" s="586"/>
      <c r="AC78" s="577"/>
      <c r="AD78" s="577"/>
      <c r="AE78" s="572"/>
      <c r="AF78" s="635"/>
      <c r="AG78" s="637"/>
      <c r="AH78" s="637"/>
      <c r="AI78" s="587"/>
      <c r="AJ78" s="636"/>
      <c r="AK78" s="587"/>
      <c r="AL78" s="589"/>
      <c r="AM78" s="638"/>
      <c r="AN78" s="639"/>
      <c r="AO78" s="639"/>
      <c r="AP78" s="640"/>
      <c r="AQ78" s="640"/>
      <c r="AR78" s="641"/>
      <c r="AS78" s="642"/>
      <c r="AT78" s="643"/>
      <c r="AU78" s="640"/>
      <c r="AV78" s="644"/>
      <c r="AW78" s="645"/>
      <c r="AX78" s="638"/>
      <c r="AY78" s="639"/>
      <c r="AZ78" s="639"/>
      <c r="BA78" s="646"/>
    </row>
    <row r="79" ht="15.75" customHeight="1">
      <c r="A79" s="424"/>
      <c r="B79" s="572"/>
      <c r="C79" s="629"/>
      <c r="D79" s="630"/>
      <c r="E79" s="617"/>
      <c r="F79" s="575"/>
      <c r="G79" s="575"/>
      <c r="H79" s="631"/>
      <c r="I79" s="632"/>
      <c r="J79" s="647"/>
      <c r="K79" s="578"/>
      <c r="L79" s="580"/>
      <c r="M79" s="579"/>
      <c r="N79" s="578"/>
      <c r="O79" s="578"/>
      <c r="P79" s="634"/>
      <c r="Q79" s="634"/>
      <c r="R79" s="634"/>
      <c r="S79" s="581"/>
      <c r="T79" s="635"/>
      <c r="U79" s="636"/>
      <c r="V79" s="581"/>
      <c r="W79" s="637"/>
      <c r="X79" s="637"/>
      <c r="Y79" s="581"/>
      <c r="Z79" s="581"/>
      <c r="AA79" s="585"/>
      <c r="AB79" s="586"/>
      <c r="AC79" s="577"/>
      <c r="AD79" s="577"/>
      <c r="AE79" s="572"/>
      <c r="AF79" s="635"/>
      <c r="AG79" s="637"/>
      <c r="AH79" s="637"/>
      <c r="AI79" s="587"/>
      <c r="AJ79" s="636"/>
      <c r="AK79" s="587"/>
      <c r="AL79" s="589"/>
      <c r="AM79" s="638"/>
      <c r="AN79" s="639"/>
      <c r="AO79" s="639"/>
      <c r="AP79" s="640"/>
      <c r="AQ79" s="640"/>
      <c r="AR79" s="641"/>
      <c r="AS79" s="642"/>
      <c r="AT79" s="643"/>
      <c r="AU79" s="640"/>
      <c r="AV79" s="644"/>
      <c r="AW79" s="645"/>
      <c r="AX79" s="638"/>
      <c r="AY79" s="639"/>
      <c r="AZ79" s="639"/>
      <c r="BA79" s="646"/>
    </row>
    <row r="80" ht="15.75" customHeight="1">
      <c r="A80" s="424"/>
      <c r="B80" s="572"/>
      <c r="C80" s="629"/>
      <c r="D80" s="630"/>
      <c r="E80" s="617"/>
      <c r="F80" s="575"/>
      <c r="G80" s="575"/>
      <c r="H80" s="631"/>
      <c r="I80" s="632"/>
      <c r="J80" s="647"/>
      <c r="K80" s="578"/>
      <c r="L80" s="580"/>
      <c r="M80" s="579"/>
      <c r="N80" s="578"/>
      <c r="O80" s="578"/>
      <c r="P80" s="634"/>
      <c r="Q80" s="634"/>
      <c r="R80" s="634"/>
      <c r="S80" s="581"/>
      <c r="T80" s="635"/>
      <c r="U80" s="636"/>
      <c r="V80" s="581"/>
      <c r="W80" s="637"/>
      <c r="X80" s="637"/>
      <c r="Y80" s="581"/>
      <c r="Z80" s="581"/>
      <c r="AA80" s="585"/>
      <c r="AB80" s="586"/>
      <c r="AC80" s="577"/>
      <c r="AD80" s="577"/>
      <c r="AE80" s="572"/>
      <c r="AF80" s="635"/>
      <c r="AG80" s="637"/>
      <c r="AH80" s="637"/>
      <c r="AI80" s="587"/>
      <c r="AJ80" s="636"/>
      <c r="AK80" s="587"/>
      <c r="AL80" s="589"/>
      <c r="AM80" s="638"/>
      <c r="AN80" s="639"/>
      <c r="AO80" s="639"/>
      <c r="AP80" s="640"/>
      <c r="AQ80" s="640"/>
      <c r="AR80" s="641"/>
      <c r="AS80" s="642"/>
      <c r="AT80" s="643"/>
      <c r="AU80" s="640"/>
      <c r="AV80" s="644"/>
      <c r="AW80" s="645"/>
      <c r="AX80" s="638"/>
      <c r="AY80" s="639"/>
      <c r="AZ80" s="639"/>
      <c r="BA80" s="646"/>
    </row>
    <row r="81" ht="15.75" customHeight="1">
      <c r="A81" s="424"/>
      <c r="B81" s="572"/>
      <c r="C81" s="629"/>
      <c r="D81" s="630"/>
      <c r="E81" s="617"/>
      <c r="F81" s="575"/>
      <c r="G81" s="575"/>
      <c r="H81" s="631"/>
      <c r="I81" s="632"/>
      <c r="J81" s="647"/>
      <c r="K81" s="578"/>
      <c r="L81" s="580"/>
      <c r="M81" s="579"/>
      <c r="N81" s="578"/>
      <c r="O81" s="578"/>
      <c r="P81" s="634"/>
      <c r="Q81" s="634"/>
      <c r="R81" s="634"/>
      <c r="S81" s="581"/>
      <c r="T81" s="635"/>
      <c r="U81" s="636"/>
      <c r="V81" s="581"/>
      <c r="W81" s="637"/>
      <c r="X81" s="637"/>
      <c r="Y81" s="581"/>
      <c r="Z81" s="581"/>
      <c r="AA81" s="585"/>
      <c r="AB81" s="586"/>
      <c r="AC81" s="577"/>
      <c r="AD81" s="577"/>
      <c r="AE81" s="572"/>
      <c r="AF81" s="635"/>
      <c r="AG81" s="637"/>
      <c r="AH81" s="637"/>
      <c r="AI81" s="587"/>
      <c r="AJ81" s="636"/>
      <c r="AK81" s="587"/>
      <c r="AL81" s="589"/>
      <c r="AM81" s="638"/>
      <c r="AN81" s="639"/>
      <c r="AO81" s="639"/>
      <c r="AP81" s="640"/>
      <c r="AQ81" s="640"/>
      <c r="AR81" s="641"/>
      <c r="AS81" s="642"/>
      <c r="AT81" s="643"/>
      <c r="AU81" s="640"/>
      <c r="AV81" s="644"/>
      <c r="AW81" s="645"/>
      <c r="AX81" s="638"/>
      <c r="AY81" s="639"/>
      <c r="AZ81" s="639"/>
      <c r="BA81" s="646"/>
    </row>
    <row r="82" ht="15.75" customHeight="1">
      <c r="A82" s="424"/>
      <c r="B82" s="572"/>
      <c r="C82" s="629"/>
      <c r="D82" s="630"/>
      <c r="E82" s="617"/>
      <c r="F82" s="575"/>
      <c r="G82" s="575"/>
      <c r="H82" s="631"/>
      <c r="I82" s="632"/>
      <c r="J82" s="647"/>
      <c r="K82" s="578"/>
      <c r="L82" s="580"/>
      <c r="M82" s="579"/>
      <c r="N82" s="578"/>
      <c r="O82" s="578"/>
      <c r="P82" s="634"/>
      <c r="Q82" s="634"/>
      <c r="R82" s="634"/>
      <c r="S82" s="581"/>
      <c r="T82" s="635"/>
      <c r="U82" s="636"/>
      <c r="V82" s="581"/>
      <c r="W82" s="637"/>
      <c r="X82" s="637"/>
      <c r="Y82" s="581"/>
      <c r="Z82" s="581"/>
      <c r="AA82" s="585"/>
      <c r="AB82" s="586"/>
      <c r="AC82" s="577"/>
      <c r="AD82" s="577"/>
      <c r="AE82" s="572"/>
      <c r="AF82" s="635"/>
      <c r="AG82" s="637"/>
      <c r="AH82" s="637"/>
      <c r="AI82" s="587"/>
      <c r="AJ82" s="636"/>
      <c r="AK82" s="587"/>
      <c r="AL82" s="589"/>
      <c r="AM82" s="638"/>
      <c r="AN82" s="639"/>
      <c r="AO82" s="639"/>
      <c r="AP82" s="640"/>
      <c r="AQ82" s="640"/>
      <c r="AR82" s="641"/>
      <c r="AS82" s="642"/>
      <c r="AT82" s="643"/>
      <c r="AU82" s="640"/>
      <c r="AV82" s="644"/>
      <c r="AW82" s="645"/>
      <c r="AX82" s="638"/>
      <c r="AY82" s="639"/>
      <c r="AZ82" s="639"/>
      <c r="BA82" s="646"/>
    </row>
    <row r="83" ht="15.75" customHeight="1">
      <c r="A83" s="424"/>
      <c r="B83" s="572"/>
      <c r="C83" s="629"/>
      <c r="D83" s="630"/>
      <c r="E83" s="617"/>
      <c r="F83" s="575"/>
      <c r="G83" s="575"/>
      <c r="H83" s="631"/>
      <c r="I83" s="632"/>
      <c r="J83" s="647"/>
      <c r="K83" s="578"/>
      <c r="L83" s="580"/>
      <c r="M83" s="579"/>
      <c r="N83" s="578"/>
      <c r="O83" s="578"/>
      <c r="P83" s="634"/>
      <c r="Q83" s="634"/>
      <c r="R83" s="634"/>
      <c r="S83" s="581"/>
      <c r="T83" s="635"/>
      <c r="U83" s="636"/>
      <c r="V83" s="581"/>
      <c r="W83" s="637"/>
      <c r="X83" s="637"/>
      <c r="Y83" s="581"/>
      <c r="Z83" s="581"/>
      <c r="AA83" s="585"/>
      <c r="AB83" s="586"/>
      <c r="AC83" s="577"/>
      <c r="AD83" s="577"/>
      <c r="AE83" s="572"/>
      <c r="AF83" s="635"/>
      <c r="AG83" s="637"/>
      <c r="AH83" s="637"/>
      <c r="AI83" s="587"/>
      <c r="AJ83" s="636"/>
      <c r="AK83" s="587"/>
      <c r="AL83" s="589"/>
      <c r="AM83" s="638"/>
      <c r="AN83" s="639"/>
      <c r="AO83" s="639"/>
      <c r="AP83" s="640"/>
      <c r="AQ83" s="640"/>
      <c r="AR83" s="641"/>
      <c r="AS83" s="642"/>
      <c r="AT83" s="643"/>
      <c r="AU83" s="640"/>
      <c r="AV83" s="644"/>
      <c r="AW83" s="645"/>
      <c r="AX83" s="638"/>
      <c r="AY83" s="639"/>
      <c r="AZ83" s="639"/>
      <c r="BA83" s="646"/>
    </row>
    <row r="84" ht="15.75" customHeight="1">
      <c r="A84" s="424"/>
      <c r="B84" s="572"/>
      <c r="C84" s="629"/>
      <c r="D84" s="630"/>
      <c r="E84" s="617"/>
      <c r="F84" s="575"/>
      <c r="G84" s="575"/>
      <c r="H84" s="631"/>
      <c r="I84" s="632"/>
      <c r="J84" s="647"/>
      <c r="K84" s="578"/>
      <c r="L84" s="580"/>
      <c r="M84" s="579"/>
      <c r="N84" s="578"/>
      <c r="O84" s="578"/>
      <c r="P84" s="634"/>
      <c r="Q84" s="634"/>
      <c r="R84" s="634"/>
      <c r="S84" s="581"/>
      <c r="T84" s="635"/>
      <c r="U84" s="636"/>
      <c r="V84" s="581"/>
      <c r="W84" s="637"/>
      <c r="X84" s="637"/>
      <c r="Y84" s="581"/>
      <c r="Z84" s="581"/>
      <c r="AA84" s="585"/>
      <c r="AB84" s="586"/>
      <c r="AC84" s="577"/>
      <c r="AD84" s="577"/>
      <c r="AE84" s="572"/>
      <c r="AF84" s="635"/>
      <c r="AG84" s="637"/>
      <c r="AH84" s="637"/>
      <c r="AI84" s="587"/>
      <c r="AJ84" s="636"/>
      <c r="AK84" s="587"/>
      <c r="AL84" s="589"/>
      <c r="AM84" s="638"/>
      <c r="AN84" s="639"/>
      <c r="AO84" s="639"/>
      <c r="AP84" s="640"/>
      <c r="AQ84" s="640"/>
      <c r="AR84" s="641"/>
      <c r="AS84" s="642"/>
      <c r="AT84" s="643"/>
      <c r="AU84" s="640"/>
      <c r="AV84" s="644"/>
      <c r="AW84" s="645"/>
      <c r="AX84" s="638"/>
      <c r="AY84" s="639"/>
      <c r="AZ84" s="639"/>
      <c r="BA84" s="646"/>
    </row>
    <row r="85" ht="15.75" customHeight="1">
      <c r="A85" s="424"/>
      <c r="B85" s="572"/>
      <c r="C85" s="629"/>
      <c r="D85" s="630"/>
      <c r="E85" s="617"/>
      <c r="F85" s="575"/>
      <c r="G85" s="575"/>
      <c r="H85" s="631"/>
      <c r="I85" s="632"/>
      <c r="J85" s="647"/>
      <c r="K85" s="578"/>
      <c r="L85" s="580"/>
      <c r="M85" s="579"/>
      <c r="N85" s="578"/>
      <c r="O85" s="578"/>
      <c r="P85" s="634"/>
      <c r="Q85" s="634"/>
      <c r="R85" s="634"/>
      <c r="S85" s="581"/>
      <c r="T85" s="635"/>
      <c r="U85" s="636"/>
      <c r="V85" s="581"/>
      <c r="W85" s="637"/>
      <c r="X85" s="637"/>
      <c r="Y85" s="581"/>
      <c r="Z85" s="581"/>
      <c r="AA85" s="585"/>
      <c r="AB85" s="586"/>
      <c r="AC85" s="577"/>
      <c r="AD85" s="577"/>
      <c r="AE85" s="572"/>
      <c r="AF85" s="635"/>
      <c r="AG85" s="637"/>
      <c r="AH85" s="637"/>
      <c r="AI85" s="587"/>
      <c r="AJ85" s="636"/>
      <c r="AK85" s="587"/>
      <c r="AL85" s="589"/>
      <c r="AM85" s="638"/>
      <c r="AN85" s="639"/>
      <c r="AO85" s="639"/>
      <c r="AP85" s="640"/>
      <c r="AQ85" s="640"/>
      <c r="AR85" s="641"/>
      <c r="AS85" s="642"/>
      <c r="AT85" s="643"/>
      <c r="AU85" s="640"/>
      <c r="AV85" s="644"/>
      <c r="AW85" s="645"/>
      <c r="AX85" s="638"/>
      <c r="AY85" s="639"/>
      <c r="AZ85" s="639"/>
      <c r="BA85" s="646"/>
    </row>
    <row r="86" ht="15.75" customHeight="1">
      <c r="A86" s="424"/>
      <c r="B86" s="572"/>
      <c r="C86" s="629"/>
      <c r="D86" s="630"/>
      <c r="E86" s="617"/>
      <c r="F86" s="575"/>
      <c r="G86" s="575"/>
      <c r="H86" s="631"/>
      <c r="I86" s="632"/>
      <c r="J86" s="647"/>
      <c r="K86" s="578"/>
      <c r="L86" s="580"/>
      <c r="M86" s="579"/>
      <c r="N86" s="578"/>
      <c r="O86" s="578"/>
      <c r="P86" s="634"/>
      <c r="Q86" s="634"/>
      <c r="R86" s="634"/>
      <c r="S86" s="581"/>
      <c r="T86" s="635"/>
      <c r="U86" s="636"/>
      <c r="V86" s="581"/>
      <c r="W86" s="637"/>
      <c r="X86" s="637"/>
      <c r="Y86" s="581"/>
      <c r="Z86" s="581"/>
      <c r="AA86" s="585"/>
      <c r="AB86" s="586"/>
      <c r="AC86" s="577"/>
      <c r="AD86" s="577"/>
      <c r="AE86" s="572"/>
      <c r="AF86" s="635"/>
      <c r="AG86" s="637"/>
      <c r="AH86" s="637"/>
      <c r="AI86" s="587"/>
      <c r="AJ86" s="636"/>
      <c r="AK86" s="587"/>
      <c r="AL86" s="589"/>
      <c r="AM86" s="638"/>
      <c r="AN86" s="639"/>
      <c r="AO86" s="639"/>
      <c r="AP86" s="640"/>
      <c r="AQ86" s="640"/>
      <c r="AR86" s="641"/>
      <c r="AS86" s="642"/>
      <c r="AT86" s="643"/>
      <c r="AU86" s="640"/>
      <c r="AV86" s="644"/>
      <c r="AW86" s="645"/>
      <c r="AX86" s="638"/>
      <c r="AY86" s="639"/>
      <c r="AZ86" s="639"/>
      <c r="BA86" s="646"/>
    </row>
    <row r="87" ht="15.75" customHeight="1">
      <c r="A87" s="424"/>
      <c r="B87" s="572"/>
      <c r="C87" s="629"/>
      <c r="D87" s="630"/>
      <c r="E87" s="617"/>
      <c r="F87" s="575"/>
      <c r="G87" s="575"/>
      <c r="H87" s="631"/>
      <c r="I87" s="632"/>
      <c r="J87" s="647"/>
      <c r="K87" s="578"/>
      <c r="L87" s="580"/>
      <c r="M87" s="579"/>
      <c r="N87" s="578"/>
      <c r="O87" s="578"/>
      <c r="P87" s="634"/>
      <c r="Q87" s="634"/>
      <c r="R87" s="634"/>
      <c r="S87" s="581"/>
      <c r="T87" s="635"/>
      <c r="U87" s="636"/>
      <c r="V87" s="581"/>
      <c r="W87" s="637"/>
      <c r="X87" s="637"/>
      <c r="Y87" s="581"/>
      <c r="Z87" s="581"/>
      <c r="AA87" s="585"/>
      <c r="AB87" s="586"/>
      <c r="AC87" s="577"/>
      <c r="AD87" s="577"/>
      <c r="AE87" s="572"/>
      <c r="AF87" s="635"/>
      <c r="AG87" s="637"/>
      <c r="AH87" s="637"/>
      <c r="AI87" s="587"/>
      <c r="AJ87" s="636"/>
      <c r="AK87" s="587"/>
      <c r="AL87" s="589"/>
      <c r="AM87" s="638"/>
      <c r="AN87" s="639"/>
      <c r="AO87" s="639"/>
      <c r="AP87" s="640"/>
      <c r="AQ87" s="640"/>
      <c r="AR87" s="641"/>
      <c r="AS87" s="642"/>
      <c r="AT87" s="643"/>
      <c r="AU87" s="640"/>
      <c r="AV87" s="644"/>
      <c r="AW87" s="645"/>
      <c r="AX87" s="638"/>
      <c r="AY87" s="639"/>
      <c r="AZ87" s="639"/>
      <c r="BA87" s="646"/>
    </row>
    <row r="88" ht="15.75" customHeight="1">
      <c r="A88" s="424"/>
      <c r="B88" s="572"/>
      <c r="C88" s="629"/>
      <c r="D88" s="630"/>
      <c r="E88" s="617"/>
      <c r="F88" s="575"/>
      <c r="G88" s="575"/>
      <c r="H88" s="631"/>
      <c r="I88" s="632"/>
      <c r="J88" s="647"/>
      <c r="K88" s="578"/>
      <c r="L88" s="580"/>
      <c r="M88" s="579"/>
      <c r="N88" s="578"/>
      <c r="O88" s="578"/>
      <c r="P88" s="634"/>
      <c r="Q88" s="634"/>
      <c r="R88" s="634"/>
      <c r="S88" s="581"/>
      <c r="T88" s="635"/>
      <c r="U88" s="636"/>
      <c r="V88" s="581"/>
      <c r="W88" s="637"/>
      <c r="X88" s="637"/>
      <c r="Y88" s="581"/>
      <c r="Z88" s="581"/>
      <c r="AA88" s="585"/>
      <c r="AB88" s="586"/>
      <c r="AC88" s="577"/>
      <c r="AD88" s="577"/>
      <c r="AE88" s="572"/>
      <c r="AF88" s="635"/>
      <c r="AG88" s="637"/>
      <c r="AH88" s="637"/>
      <c r="AI88" s="587"/>
      <c r="AJ88" s="636"/>
      <c r="AK88" s="587"/>
      <c r="AL88" s="589"/>
      <c r="AM88" s="638"/>
      <c r="AN88" s="639"/>
      <c r="AO88" s="639"/>
      <c r="AP88" s="640"/>
      <c r="AQ88" s="640"/>
      <c r="AR88" s="641"/>
      <c r="AS88" s="642"/>
      <c r="AT88" s="643"/>
      <c r="AU88" s="640"/>
      <c r="AV88" s="644"/>
      <c r="AW88" s="645"/>
      <c r="AX88" s="638"/>
      <c r="AY88" s="639"/>
      <c r="AZ88" s="639"/>
      <c r="BA88" s="646"/>
    </row>
    <row r="89" ht="15.75" customHeight="1">
      <c r="A89" s="424"/>
      <c r="B89" s="572"/>
      <c r="C89" s="629"/>
      <c r="D89" s="630"/>
      <c r="E89" s="617"/>
      <c r="F89" s="575"/>
      <c r="G89" s="575"/>
      <c r="H89" s="631"/>
      <c r="I89" s="632"/>
      <c r="J89" s="647"/>
      <c r="K89" s="578"/>
      <c r="L89" s="580"/>
      <c r="M89" s="579"/>
      <c r="N89" s="578"/>
      <c r="O89" s="578"/>
      <c r="P89" s="634"/>
      <c r="Q89" s="634"/>
      <c r="R89" s="634"/>
      <c r="S89" s="581"/>
      <c r="T89" s="635"/>
      <c r="U89" s="636"/>
      <c r="V89" s="581"/>
      <c r="W89" s="637"/>
      <c r="X89" s="637"/>
      <c r="Y89" s="581"/>
      <c r="Z89" s="581"/>
      <c r="AA89" s="585"/>
      <c r="AB89" s="586"/>
      <c r="AC89" s="577"/>
      <c r="AD89" s="577"/>
      <c r="AE89" s="572"/>
      <c r="AF89" s="635"/>
      <c r="AG89" s="637"/>
      <c r="AH89" s="637"/>
      <c r="AI89" s="587"/>
      <c r="AJ89" s="636"/>
      <c r="AK89" s="587"/>
      <c r="AL89" s="589"/>
      <c r="AM89" s="638"/>
      <c r="AN89" s="639"/>
      <c r="AO89" s="639"/>
      <c r="AP89" s="640"/>
      <c r="AQ89" s="640"/>
      <c r="AR89" s="641"/>
      <c r="AS89" s="642"/>
      <c r="AT89" s="643"/>
      <c r="AU89" s="640"/>
      <c r="AV89" s="644"/>
      <c r="AW89" s="645"/>
      <c r="AX89" s="638"/>
      <c r="AY89" s="639"/>
      <c r="AZ89" s="639"/>
      <c r="BA89" s="646"/>
    </row>
    <row r="90" ht="15.75" customHeight="1">
      <c r="A90" s="424"/>
      <c r="B90" s="572"/>
      <c r="C90" s="629"/>
      <c r="D90" s="630"/>
      <c r="E90" s="617"/>
      <c r="F90" s="575"/>
      <c r="G90" s="575"/>
      <c r="H90" s="631"/>
      <c r="I90" s="632"/>
      <c r="J90" s="647"/>
      <c r="K90" s="578"/>
      <c r="L90" s="580"/>
      <c r="M90" s="579"/>
      <c r="N90" s="578"/>
      <c r="O90" s="578"/>
      <c r="P90" s="634"/>
      <c r="Q90" s="634"/>
      <c r="R90" s="634"/>
      <c r="S90" s="581"/>
      <c r="T90" s="635"/>
      <c r="U90" s="636"/>
      <c r="V90" s="581"/>
      <c r="W90" s="637"/>
      <c r="X90" s="637"/>
      <c r="Y90" s="581"/>
      <c r="Z90" s="581"/>
      <c r="AA90" s="585"/>
      <c r="AB90" s="586"/>
      <c r="AC90" s="577"/>
      <c r="AD90" s="577"/>
      <c r="AE90" s="572"/>
      <c r="AF90" s="635"/>
      <c r="AG90" s="637"/>
      <c r="AH90" s="637"/>
      <c r="AI90" s="587"/>
      <c r="AJ90" s="636"/>
      <c r="AK90" s="587"/>
      <c r="AL90" s="589"/>
      <c r="AM90" s="638"/>
      <c r="AN90" s="639"/>
      <c r="AO90" s="639"/>
      <c r="AP90" s="640"/>
      <c r="AQ90" s="640"/>
      <c r="AR90" s="641"/>
      <c r="AS90" s="642"/>
      <c r="AT90" s="643"/>
      <c r="AU90" s="640"/>
      <c r="AV90" s="644"/>
      <c r="AW90" s="645"/>
      <c r="AX90" s="638"/>
      <c r="AY90" s="639"/>
      <c r="AZ90" s="639"/>
      <c r="BA90" s="646"/>
    </row>
    <row r="91" ht="15.75" customHeight="1">
      <c r="A91" s="424"/>
      <c r="B91" s="572"/>
      <c r="C91" s="629"/>
      <c r="D91" s="630"/>
      <c r="E91" s="617"/>
      <c r="F91" s="575"/>
      <c r="G91" s="575"/>
      <c r="H91" s="631"/>
      <c r="I91" s="632"/>
      <c r="J91" s="647"/>
      <c r="K91" s="578"/>
      <c r="L91" s="580"/>
      <c r="M91" s="579"/>
      <c r="N91" s="578"/>
      <c r="O91" s="578"/>
      <c r="P91" s="634"/>
      <c r="Q91" s="634"/>
      <c r="R91" s="634"/>
      <c r="S91" s="581"/>
      <c r="T91" s="635"/>
      <c r="U91" s="636"/>
      <c r="V91" s="581"/>
      <c r="W91" s="637"/>
      <c r="X91" s="637"/>
      <c r="Y91" s="581"/>
      <c r="Z91" s="581"/>
      <c r="AA91" s="585"/>
      <c r="AB91" s="586"/>
      <c r="AC91" s="577"/>
      <c r="AD91" s="577"/>
      <c r="AE91" s="572"/>
      <c r="AF91" s="635"/>
      <c r="AG91" s="637"/>
      <c r="AH91" s="637"/>
      <c r="AI91" s="587"/>
      <c r="AJ91" s="636"/>
      <c r="AK91" s="587"/>
      <c r="AL91" s="589"/>
      <c r="AM91" s="638"/>
      <c r="AN91" s="639"/>
      <c r="AO91" s="639"/>
      <c r="AP91" s="640"/>
      <c r="AQ91" s="640"/>
      <c r="AR91" s="641"/>
      <c r="AS91" s="642"/>
      <c r="AT91" s="643"/>
      <c r="AU91" s="640"/>
      <c r="AV91" s="644"/>
      <c r="AW91" s="645"/>
      <c r="AX91" s="638"/>
      <c r="AY91" s="639"/>
      <c r="AZ91" s="639"/>
      <c r="BA91" s="646"/>
    </row>
    <row r="92" ht="15.75" customHeight="1">
      <c r="A92" s="424"/>
      <c r="B92" s="572"/>
      <c r="C92" s="629"/>
      <c r="D92" s="630"/>
      <c r="E92" s="617"/>
      <c r="F92" s="575"/>
      <c r="G92" s="575"/>
      <c r="H92" s="631"/>
      <c r="I92" s="632"/>
      <c r="J92" s="647"/>
      <c r="K92" s="578"/>
      <c r="L92" s="580"/>
      <c r="M92" s="579"/>
      <c r="N92" s="578"/>
      <c r="O92" s="578"/>
      <c r="P92" s="634"/>
      <c r="Q92" s="634"/>
      <c r="R92" s="634"/>
      <c r="S92" s="581"/>
      <c r="T92" s="635"/>
      <c r="U92" s="636"/>
      <c r="V92" s="581"/>
      <c r="W92" s="637"/>
      <c r="X92" s="637"/>
      <c r="Y92" s="581"/>
      <c r="Z92" s="581"/>
      <c r="AA92" s="585"/>
      <c r="AB92" s="586"/>
      <c r="AC92" s="577"/>
      <c r="AD92" s="577"/>
      <c r="AE92" s="572"/>
      <c r="AF92" s="635"/>
      <c r="AG92" s="637"/>
      <c r="AH92" s="637"/>
      <c r="AI92" s="587"/>
      <c r="AJ92" s="636"/>
      <c r="AK92" s="587"/>
      <c r="AL92" s="589"/>
      <c r="AM92" s="638"/>
      <c r="AN92" s="639"/>
      <c r="AO92" s="639"/>
      <c r="AP92" s="640"/>
      <c r="AQ92" s="640"/>
      <c r="AR92" s="641"/>
      <c r="AS92" s="642"/>
      <c r="AT92" s="643"/>
      <c r="AU92" s="640"/>
      <c r="AV92" s="644"/>
      <c r="AW92" s="645"/>
      <c r="AX92" s="638"/>
      <c r="AY92" s="639"/>
      <c r="AZ92" s="639"/>
      <c r="BA92" s="646"/>
    </row>
    <row r="93" ht="15.75" customHeight="1">
      <c r="A93" s="424"/>
      <c r="B93" s="572"/>
      <c r="C93" s="629"/>
      <c r="D93" s="630"/>
      <c r="E93" s="617"/>
      <c r="F93" s="575"/>
      <c r="G93" s="575"/>
      <c r="H93" s="631"/>
      <c r="I93" s="632"/>
      <c r="J93" s="647"/>
      <c r="K93" s="578"/>
      <c r="L93" s="580"/>
      <c r="M93" s="579"/>
      <c r="N93" s="578"/>
      <c r="O93" s="578"/>
      <c r="P93" s="634"/>
      <c r="Q93" s="634"/>
      <c r="R93" s="634"/>
      <c r="S93" s="581"/>
      <c r="T93" s="635"/>
      <c r="U93" s="636"/>
      <c r="V93" s="581"/>
      <c r="W93" s="637"/>
      <c r="X93" s="637"/>
      <c r="Y93" s="581"/>
      <c r="Z93" s="581"/>
      <c r="AA93" s="585"/>
      <c r="AB93" s="586"/>
      <c r="AC93" s="577"/>
      <c r="AD93" s="577"/>
      <c r="AE93" s="572"/>
      <c r="AF93" s="635"/>
      <c r="AG93" s="637"/>
      <c r="AH93" s="637"/>
      <c r="AI93" s="587"/>
      <c r="AJ93" s="636"/>
      <c r="AK93" s="587"/>
      <c r="AL93" s="589"/>
      <c r="AM93" s="638"/>
      <c r="AN93" s="639"/>
      <c r="AO93" s="639"/>
      <c r="AP93" s="640"/>
      <c r="AQ93" s="640"/>
      <c r="AR93" s="641"/>
      <c r="AS93" s="642"/>
      <c r="AT93" s="643"/>
      <c r="AU93" s="640"/>
      <c r="AV93" s="644"/>
      <c r="AW93" s="645"/>
      <c r="AX93" s="638"/>
      <c r="AY93" s="639"/>
      <c r="AZ93" s="639"/>
      <c r="BA93" s="646"/>
    </row>
    <row r="94" ht="15.75" customHeight="1">
      <c r="A94" s="424"/>
      <c r="B94" s="572"/>
      <c r="C94" s="629"/>
      <c r="D94" s="630"/>
      <c r="E94" s="617"/>
      <c r="F94" s="575"/>
      <c r="G94" s="575"/>
      <c r="H94" s="631"/>
      <c r="I94" s="632"/>
      <c r="J94" s="647"/>
      <c r="K94" s="578"/>
      <c r="L94" s="580"/>
      <c r="M94" s="579"/>
      <c r="N94" s="578"/>
      <c r="O94" s="578"/>
      <c r="P94" s="634"/>
      <c r="Q94" s="634"/>
      <c r="R94" s="634"/>
      <c r="S94" s="581"/>
      <c r="T94" s="635"/>
      <c r="U94" s="636"/>
      <c r="V94" s="581"/>
      <c r="W94" s="637"/>
      <c r="X94" s="637"/>
      <c r="Y94" s="581"/>
      <c r="Z94" s="581"/>
      <c r="AA94" s="585"/>
      <c r="AB94" s="586"/>
      <c r="AC94" s="577"/>
      <c r="AD94" s="577"/>
      <c r="AE94" s="572"/>
      <c r="AF94" s="635"/>
      <c r="AG94" s="637"/>
      <c r="AH94" s="637"/>
      <c r="AI94" s="587"/>
      <c r="AJ94" s="636"/>
      <c r="AK94" s="587"/>
      <c r="AL94" s="589"/>
      <c r="AM94" s="638"/>
      <c r="AN94" s="639"/>
      <c r="AO94" s="639"/>
      <c r="AP94" s="640"/>
      <c r="AQ94" s="640"/>
      <c r="AR94" s="641"/>
      <c r="AS94" s="642"/>
      <c r="AT94" s="643"/>
      <c r="AU94" s="640"/>
      <c r="AV94" s="644"/>
      <c r="AW94" s="645"/>
      <c r="AX94" s="638"/>
      <c r="AY94" s="639"/>
      <c r="AZ94" s="639"/>
      <c r="BA94" s="646"/>
    </row>
    <row r="95" ht="15.75" customHeight="1">
      <c r="A95" s="424"/>
      <c r="B95" s="572"/>
      <c r="C95" s="629"/>
      <c r="D95" s="630"/>
      <c r="E95" s="617"/>
      <c r="F95" s="575"/>
      <c r="G95" s="575"/>
      <c r="H95" s="631"/>
      <c r="I95" s="632"/>
      <c r="J95" s="647"/>
      <c r="K95" s="578"/>
      <c r="L95" s="580"/>
      <c r="M95" s="579"/>
      <c r="N95" s="578"/>
      <c r="O95" s="578"/>
      <c r="P95" s="634"/>
      <c r="Q95" s="634"/>
      <c r="R95" s="634"/>
      <c r="S95" s="581"/>
      <c r="T95" s="635"/>
      <c r="U95" s="636"/>
      <c r="V95" s="581"/>
      <c r="W95" s="637"/>
      <c r="X95" s="637"/>
      <c r="Y95" s="581"/>
      <c r="Z95" s="581"/>
      <c r="AA95" s="585"/>
      <c r="AB95" s="586"/>
      <c r="AC95" s="577"/>
      <c r="AD95" s="577"/>
      <c r="AE95" s="572"/>
      <c r="AF95" s="635"/>
      <c r="AG95" s="637"/>
      <c r="AH95" s="637"/>
      <c r="AI95" s="587"/>
      <c r="AJ95" s="636"/>
      <c r="AK95" s="587"/>
      <c r="AL95" s="589"/>
      <c r="AM95" s="638"/>
      <c r="AN95" s="639"/>
      <c r="AO95" s="639"/>
      <c r="AP95" s="640"/>
      <c r="AQ95" s="640"/>
      <c r="AR95" s="641"/>
      <c r="AS95" s="642"/>
      <c r="AT95" s="643"/>
      <c r="AU95" s="640"/>
      <c r="AV95" s="644"/>
      <c r="AW95" s="645"/>
      <c r="AX95" s="638"/>
      <c r="AY95" s="639"/>
      <c r="AZ95" s="639"/>
      <c r="BA95" s="646"/>
    </row>
    <row r="96" ht="15.75" customHeight="1">
      <c r="A96" s="424"/>
      <c r="B96" s="572"/>
      <c r="C96" s="629"/>
      <c r="D96" s="630"/>
      <c r="E96" s="617"/>
      <c r="F96" s="575"/>
      <c r="G96" s="575"/>
      <c r="H96" s="631"/>
      <c r="I96" s="632"/>
      <c r="J96" s="647"/>
      <c r="K96" s="578"/>
      <c r="L96" s="580"/>
      <c r="M96" s="579"/>
      <c r="N96" s="578"/>
      <c r="O96" s="578"/>
      <c r="P96" s="634"/>
      <c r="Q96" s="634"/>
      <c r="R96" s="634"/>
      <c r="S96" s="581"/>
      <c r="T96" s="635"/>
      <c r="U96" s="636"/>
      <c r="V96" s="581"/>
      <c r="W96" s="637"/>
      <c r="X96" s="637"/>
      <c r="Y96" s="581"/>
      <c r="Z96" s="581"/>
      <c r="AA96" s="585"/>
      <c r="AB96" s="586"/>
      <c r="AC96" s="577"/>
      <c r="AD96" s="577"/>
      <c r="AE96" s="572"/>
      <c r="AF96" s="635"/>
      <c r="AG96" s="637"/>
      <c r="AH96" s="637"/>
      <c r="AI96" s="587"/>
      <c r="AJ96" s="636"/>
      <c r="AK96" s="587"/>
      <c r="AL96" s="589"/>
      <c r="AM96" s="638"/>
      <c r="AN96" s="639"/>
      <c r="AO96" s="639"/>
      <c r="AP96" s="640"/>
      <c r="AQ96" s="640"/>
      <c r="AR96" s="641"/>
      <c r="AS96" s="642"/>
      <c r="AT96" s="643"/>
      <c r="AU96" s="640"/>
      <c r="AV96" s="644"/>
      <c r="AW96" s="645"/>
      <c r="AX96" s="638"/>
      <c r="AY96" s="639"/>
      <c r="AZ96" s="639"/>
      <c r="BA96" s="646"/>
    </row>
    <row r="97" ht="15.75" customHeight="1">
      <c r="A97" s="424"/>
      <c r="B97" s="572"/>
      <c r="C97" s="629"/>
      <c r="D97" s="630"/>
      <c r="E97" s="617"/>
      <c r="F97" s="575"/>
      <c r="G97" s="575"/>
      <c r="H97" s="631"/>
      <c r="I97" s="632"/>
      <c r="J97" s="647"/>
      <c r="K97" s="578"/>
      <c r="L97" s="580"/>
      <c r="M97" s="579"/>
      <c r="N97" s="578"/>
      <c r="O97" s="578"/>
      <c r="P97" s="634"/>
      <c r="Q97" s="634"/>
      <c r="R97" s="634"/>
      <c r="S97" s="581"/>
      <c r="T97" s="635"/>
      <c r="U97" s="636"/>
      <c r="V97" s="581"/>
      <c r="W97" s="637"/>
      <c r="X97" s="637"/>
      <c r="Y97" s="581"/>
      <c r="Z97" s="581"/>
      <c r="AA97" s="585"/>
      <c r="AB97" s="586"/>
      <c r="AC97" s="577"/>
      <c r="AD97" s="577"/>
      <c r="AE97" s="572"/>
      <c r="AF97" s="635"/>
      <c r="AG97" s="637"/>
      <c r="AH97" s="637"/>
      <c r="AI97" s="587"/>
      <c r="AJ97" s="636"/>
      <c r="AK97" s="587"/>
      <c r="AL97" s="589"/>
      <c r="AM97" s="638"/>
      <c r="AN97" s="639"/>
      <c r="AO97" s="639"/>
      <c r="AP97" s="640"/>
      <c r="AQ97" s="640"/>
      <c r="AR97" s="641"/>
      <c r="AS97" s="642"/>
      <c r="AT97" s="643"/>
      <c r="AU97" s="640"/>
      <c r="AV97" s="644"/>
      <c r="AW97" s="645"/>
      <c r="AX97" s="638"/>
      <c r="AY97" s="639"/>
      <c r="AZ97" s="639"/>
      <c r="BA97" s="646"/>
    </row>
    <row r="98" ht="15.75" customHeight="1">
      <c r="A98" s="424"/>
      <c r="B98" s="572"/>
      <c r="C98" s="629"/>
      <c r="D98" s="630"/>
      <c r="E98" s="617"/>
      <c r="F98" s="575"/>
      <c r="G98" s="575"/>
      <c r="H98" s="631"/>
      <c r="I98" s="632"/>
      <c r="J98" s="647"/>
      <c r="K98" s="578"/>
      <c r="L98" s="580"/>
      <c r="M98" s="579"/>
      <c r="N98" s="578"/>
      <c r="O98" s="578"/>
      <c r="P98" s="634"/>
      <c r="Q98" s="634"/>
      <c r="R98" s="634"/>
      <c r="S98" s="581"/>
      <c r="T98" s="635"/>
      <c r="U98" s="636"/>
      <c r="V98" s="581"/>
      <c r="W98" s="637"/>
      <c r="X98" s="637"/>
      <c r="Y98" s="581"/>
      <c r="Z98" s="581"/>
      <c r="AA98" s="585"/>
      <c r="AB98" s="586"/>
      <c r="AC98" s="577"/>
      <c r="AD98" s="577"/>
      <c r="AE98" s="572"/>
      <c r="AF98" s="635"/>
      <c r="AG98" s="637"/>
      <c r="AH98" s="637"/>
      <c r="AI98" s="587"/>
      <c r="AJ98" s="636"/>
      <c r="AK98" s="587"/>
      <c r="AL98" s="589"/>
      <c r="AM98" s="638"/>
      <c r="AN98" s="639"/>
      <c r="AO98" s="639"/>
      <c r="AP98" s="640"/>
      <c r="AQ98" s="640"/>
      <c r="AR98" s="641"/>
      <c r="AS98" s="642"/>
      <c r="AT98" s="643"/>
      <c r="AU98" s="640"/>
      <c r="AV98" s="644"/>
      <c r="AW98" s="645"/>
      <c r="AX98" s="638"/>
      <c r="AY98" s="639"/>
      <c r="AZ98" s="639"/>
      <c r="BA98" s="646"/>
    </row>
    <row r="99" ht="15.75" customHeight="1">
      <c r="A99" s="424"/>
      <c r="B99" s="572"/>
      <c r="C99" s="629"/>
      <c r="D99" s="630"/>
      <c r="E99" s="617"/>
      <c r="F99" s="575"/>
      <c r="G99" s="575"/>
      <c r="H99" s="631"/>
      <c r="I99" s="632"/>
      <c r="J99" s="647"/>
      <c r="K99" s="578"/>
      <c r="L99" s="580"/>
      <c r="M99" s="579"/>
      <c r="N99" s="578"/>
      <c r="O99" s="578"/>
      <c r="P99" s="634"/>
      <c r="Q99" s="634"/>
      <c r="R99" s="634"/>
      <c r="S99" s="581"/>
      <c r="T99" s="635"/>
      <c r="U99" s="636"/>
      <c r="V99" s="581"/>
      <c r="W99" s="637"/>
      <c r="X99" s="637"/>
      <c r="Y99" s="581"/>
      <c r="Z99" s="581"/>
      <c r="AA99" s="585"/>
      <c r="AB99" s="586"/>
      <c r="AC99" s="577"/>
      <c r="AD99" s="577"/>
      <c r="AE99" s="572"/>
      <c r="AF99" s="635"/>
      <c r="AG99" s="637"/>
      <c r="AH99" s="637"/>
      <c r="AI99" s="587"/>
      <c r="AJ99" s="636"/>
      <c r="AK99" s="587"/>
      <c r="AL99" s="589"/>
      <c r="AM99" s="638"/>
      <c r="AN99" s="639"/>
      <c r="AO99" s="639"/>
      <c r="AP99" s="640"/>
      <c r="AQ99" s="640"/>
      <c r="AR99" s="641"/>
      <c r="AS99" s="642"/>
      <c r="AT99" s="643"/>
      <c r="AU99" s="640"/>
      <c r="AV99" s="644"/>
      <c r="AW99" s="645"/>
      <c r="AX99" s="638"/>
      <c r="AY99" s="639"/>
      <c r="AZ99" s="639"/>
      <c r="BA99" s="646"/>
    </row>
    <row r="100" ht="15.75" customHeight="1">
      <c r="A100" s="424"/>
      <c r="B100" s="572"/>
      <c r="C100" s="629"/>
      <c r="D100" s="630"/>
      <c r="E100" s="617"/>
      <c r="F100" s="575"/>
      <c r="G100" s="575"/>
      <c r="H100" s="631"/>
      <c r="I100" s="632"/>
      <c r="J100" s="647"/>
      <c r="K100" s="578"/>
      <c r="L100" s="580"/>
      <c r="M100" s="579"/>
      <c r="N100" s="578"/>
      <c r="O100" s="578"/>
      <c r="P100" s="634"/>
      <c r="Q100" s="634"/>
      <c r="R100" s="634"/>
      <c r="S100" s="581"/>
      <c r="T100" s="635"/>
      <c r="U100" s="636"/>
      <c r="V100" s="581"/>
      <c r="W100" s="637"/>
      <c r="X100" s="637"/>
      <c r="Y100" s="581"/>
      <c r="Z100" s="581"/>
      <c r="AA100" s="585"/>
      <c r="AB100" s="586"/>
      <c r="AC100" s="577"/>
      <c r="AD100" s="577"/>
      <c r="AE100" s="572"/>
      <c r="AF100" s="635"/>
      <c r="AG100" s="637"/>
      <c r="AH100" s="637"/>
      <c r="AI100" s="587"/>
      <c r="AJ100" s="636"/>
      <c r="AK100" s="587"/>
      <c r="AL100" s="589"/>
      <c r="AM100" s="638"/>
      <c r="AN100" s="639"/>
      <c r="AO100" s="639"/>
      <c r="AP100" s="640"/>
      <c r="AQ100" s="640"/>
      <c r="AR100" s="641"/>
      <c r="AS100" s="642"/>
      <c r="AT100" s="643"/>
      <c r="AU100" s="640"/>
      <c r="AV100" s="644"/>
      <c r="AW100" s="645"/>
      <c r="AX100" s="638"/>
      <c r="AY100" s="639"/>
      <c r="AZ100" s="639"/>
      <c r="BA100" s="646"/>
    </row>
    <row r="101" ht="15.75" customHeight="1">
      <c r="A101" s="424"/>
      <c r="B101" s="572"/>
      <c r="C101" s="629"/>
      <c r="D101" s="630"/>
      <c r="E101" s="617"/>
      <c r="F101" s="575"/>
      <c r="G101" s="575"/>
      <c r="H101" s="631"/>
      <c r="I101" s="632"/>
      <c r="J101" s="647"/>
      <c r="K101" s="578"/>
      <c r="L101" s="580"/>
      <c r="M101" s="579"/>
      <c r="N101" s="578"/>
      <c r="O101" s="578"/>
      <c r="P101" s="634"/>
      <c r="Q101" s="634"/>
      <c r="R101" s="634"/>
      <c r="S101" s="581"/>
      <c r="T101" s="635"/>
      <c r="U101" s="636"/>
      <c r="V101" s="581"/>
      <c r="W101" s="637"/>
      <c r="X101" s="637"/>
      <c r="Y101" s="581"/>
      <c r="Z101" s="581"/>
      <c r="AA101" s="585"/>
      <c r="AB101" s="586"/>
      <c r="AC101" s="577"/>
      <c r="AD101" s="577"/>
      <c r="AE101" s="572"/>
      <c r="AF101" s="635"/>
      <c r="AG101" s="637"/>
      <c r="AH101" s="637"/>
      <c r="AI101" s="587"/>
      <c r="AJ101" s="636"/>
      <c r="AK101" s="587"/>
      <c r="AL101" s="589"/>
      <c r="AM101" s="638"/>
      <c r="AN101" s="639"/>
      <c r="AO101" s="639"/>
      <c r="AP101" s="640"/>
      <c r="AQ101" s="640"/>
      <c r="AR101" s="641"/>
      <c r="AS101" s="642"/>
      <c r="AT101" s="643"/>
      <c r="AU101" s="640"/>
      <c r="AV101" s="644"/>
      <c r="AW101" s="645"/>
      <c r="AX101" s="638"/>
      <c r="AY101" s="639"/>
      <c r="AZ101" s="639"/>
      <c r="BA101" s="646"/>
    </row>
    <row r="102" ht="15.75" customHeight="1">
      <c r="A102" s="424"/>
      <c r="B102" s="572"/>
      <c r="C102" s="629"/>
      <c r="D102" s="630"/>
      <c r="E102" s="617"/>
      <c r="F102" s="575"/>
      <c r="G102" s="575"/>
      <c r="H102" s="631"/>
      <c r="I102" s="632"/>
      <c r="J102" s="647"/>
      <c r="K102" s="578"/>
      <c r="L102" s="580"/>
      <c r="M102" s="579"/>
      <c r="N102" s="578"/>
      <c r="O102" s="578"/>
      <c r="P102" s="634"/>
      <c r="Q102" s="634"/>
      <c r="R102" s="634"/>
      <c r="S102" s="581"/>
      <c r="T102" s="635"/>
      <c r="U102" s="636"/>
      <c r="V102" s="581"/>
      <c r="W102" s="637"/>
      <c r="X102" s="637"/>
      <c r="Y102" s="581"/>
      <c r="Z102" s="581"/>
      <c r="AA102" s="585"/>
      <c r="AB102" s="586"/>
      <c r="AC102" s="577"/>
      <c r="AD102" s="577"/>
      <c r="AE102" s="572"/>
      <c r="AF102" s="635"/>
      <c r="AG102" s="637"/>
      <c r="AH102" s="637"/>
      <c r="AI102" s="587"/>
      <c r="AJ102" s="636"/>
      <c r="AK102" s="587"/>
      <c r="AL102" s="589"/>
      <c r="AM102" s="638"/>
      <c r="AN102" s="639"/>
      <c r="AO102" s="639"/>
      <c r="AP102" s="640"/>
      <c r="AQ102" s="640"/>
      <c r="AR102" s="641"/>
      <c r="AS102" s="642"/>
      <c r="AT102" s="643"/>
      <c r="AU102" s="640"/>
      <c r="AV102" s="644"/>
      <c r="AW102" s="645"/>
      <c r="AX102" s="638"/>
      <c r="AY102" s="639"/>
      <c r="AZ102" s="639"/>
      <c r="BA102" s="646"/>
    </row>
    <row r="103" ht="15.75" customHeight="1">
      <c r="A103" s="424"/>
      <c r="B103" s="572"/>
      <c r="C103" s="629"/>
      <c r="D103" s="630"/>
      <c r="E103" s="617"/>
      <c r="F103" s="575"/>
      <c r="G103" s="575"/>
      <c r="H103" s="631"/>
      <c r="I103" s="632"/>
      <c r="J103" s="647"/>
      <c r="K103" s="578"/>
      <c r="L103" s="580"/>
      <c r="M103" s="579"/>
      <c r="N103" s="578"/>
      <c r="O103" s="578"/>
      <c r="P103" s="634"/>
      <c r="Q103" s="634"/>
      <c r="R103" s="634"/>
      <c r="S103" s="581"/>
      <c r="T103" s="635"/>
      <c r="U103" s="636"/>
      <c r="V103" s="581"/>
      <c r="W103" s="637"/>
      <c r="X103" s="637"/>
      <c r="Y103" s="581"/>
      <c r="Z103" s="581"/>
      <c r="AA103" s="585"/>
      <c r="AB103" s="586"/>
      <c r="AC103" s="577"/>
      <c r="AD103" s="577"/>
      <c r="AE103" s="572"/>
      <c r="AF103" s="635"/>
      <c r="AG103" s="637"/>
      <c r="AH103" s="637"/>
      <c r="AI103" s="587"/>
      <c r="AJ103" s="636"/>
      <c r="AK103" s="587"/>
      <c r="AL103" s="589"/>
      <c r="AM103" s="638"/>
      <c r="AN103" s="639"/>
      <c r="AO103" s="639"/>
      <c r="AP103" s="640"/>
      <c r="AQ103" s="640"/>
      <c r="AR103" s="641"/>
      <c r="AS103" s="642"/>
      <c r="AT103" s="643"/>
      <c r="AU103" s="640"/>
      <c r="AV103" s="644"/>
      <c r="AW103" s="645"/>
      <c r="AX103" s="638"/>
      <c r="AY103" s="639"/>
      <c r="AZ103" s="639"/>
      <c r="BA103" s="646"/>
    </row>
    <row r="104" ht="15.75" customHeight="1">
      <c r="A104" s="424"/>
      <c r="B104" s="572"/>
      <c r="C104" s="629"/>
      <c r="D104" s="630"/>
      <c r="E104" s="617"/>
      <c r="F104" s="575"/>
      <c r="G104" s="575"/>
      <c r="H104" s="631"/>
      <c r="I104" s="632"/>
      <c r="J104" s="647"/>
      <c r="K104" s="578"/>
      <c r="L104" s="580"/>
      <c r="M104" s="579"/>
      <c r="N104" s="578"/>
      <c r="O104" s="578"/>
      <c r="P104" s="634"/>
      <c r="Q104" s="634"/>
      <c r="R104" s="634"/>
      <c r="S104" s="581"/>
      <c r="T104" s="635"/>
      <c r="U104" s="636"/>
      <c r="V104" s="581"/>
      <c r="W104" s="637"/>
      <c r="X104" s="637"/>
      <c r="Y104" s="581"/>
      <c r="Z104" s="581"/>
      <c r="AA104" s="585"/>
      <c r="AB104" s="586"/>
      <c r="AC104" s="577"/>
      <c r="AD104" s="577"/>
      <c r="AE104" s="572"/>
      <c r="AF104" s="635"/>
      <c r="AG104" s="637"/>
      <c r="AH104" s="637"/>
      <c r="AI104" s="587"/>
      <c r="AJ104" s="636"/>
      <c r="AK104" s="587"/>
      <c r="AL104" s="589"/>
      <c r="AM104" s="638"/>
      <c r="AN104" s="639"/>
      <c r="AO104" s="639"/>
      <c r="AP104" s="640"/>
      <c r="AQ104" s="640"/>
      <c r="AR104" s="641"/>
      <c r="AS104" s="642"/>
      <c r="AT104" s="643"/>
      <c r="AU104" s="640"/>
      <c r="AV104" s="644"/>
      <c r="AW104" s="645"/>
      <c r="AX104" s="638"/>
      <c r="AY104" s="639"/>
      <c r="AZ104" s="639"/>
      <c r="BA104" s="646"/>
    </row>
    <row r="105" ht="15.75" customHeight="1">
      <c r="A105" s="424"/>
      <c r="B105" s="572"/>
      <c r="C105" s="629"/>
      <c r="D105" s="630"/>
      <c r="E105" s="617"/>
      <c r="F105" s="575"/>
      <c r="G105" s="575"/>
      <c r="H105" s="631"/>
      <c r="I105" s="632"/>
      <c r="J105" s="647"/>
      <c r="K105" s="578"/>
      <c r="L105" s="580"/>
      <c r="M105" s="579"/>
      <c r="N105" s="578"/>
      <c r="O105" s="578"/>
      <c r="P105" s="634"/>
      <c r="Q105" s="634"/>
      <c r="R105" s="634"/>
      <c r="S105" s="581"/>
      <c r="T105" s="635"/>
      <c r="U105" s="636"/>
      <c r="V105" s="581"/>
      <c r="W105" s="637"/>
      <c r="X105" s="637"/>
      <c r="Y105" s="581"/>
      <c r="Z105" s="581"/>
      <c r="AA105" s="585"/>
      <c r="AB105" s="586"/>
      <c r="AC105" s="577"/>
      <c r="AD105" s="577"/>
      <c r="AE105" s="572"/>
      <c r="AF105" s="635"/>
      <c r="AG105" s="637"/>
      <c r="AH105" s="637"/>
      <c r="AI105" s="587"/>
      <c r="AJ105" s="636"/>
      <c r="AK105" s="587"/>
      <c r="AL105" s="589"/>
      <c r="AM105" s="638"/>
      <c r="AN105" s="639"/>
      <c r="AO105" s="639"/>
      <c r="AP105" s="640"/>
      <c r="AQ105" s="640"/>
      <c r="AR105" s="641"/>
      <c r="AS105" s="642"/>
      <c r="AT105" s="643"/>
      <c r="AU105" s="640"/>
      <c r="AV105" s="644"/>
      <c r="AW105" s="645"/>
      <c r="AX105" s="638"/>
      <c r="AY105" s="639"/>
      <c r="AZ105" s="639"/>
      <c r="BA105" s="646"/>
    </row>
    <row r="106" ht="15.75" customHeight="1">
      <c r="A106" s="424"/>
      <c r="B106" s="572"/>
      <c r="C106" s="629"/>
      <c r="D106" s="630"/>
      <c r="E106" s="617"/>
      <c r="F106" s="575"/>
      <c r="G106" s="575"/>
      <c r="H106" s="631"/>
      <c r="I106" s="632"/>
      <c r="J106" s="647"/>
      <c r="K106" s="578"/>
      <c r="L106" s="580"/>
      <c r="M106" s="579"/>
      <c r="N106" s="578"/>
      <c r="O106" s="578"/>
      <c r="P106" s="634"/>
      <c r="Q106" s="634"/>
      <c r="R106" s="634"/>
      <c r="S106" s="581"/>
      <c r="T106" s="635"/>
      <c r="U106" s="636"/>
      <c r="V106" s="581"/>
      <c r="W106" s="637"/>
      <c r="X106" s="637"/>
      <c r="Y106" s="581"/>
      <c r="Z106" s="581"/>
      <c r="AA106" s="585"/>
      <c r="AB106" s="586"/>
      <c r="AC106" s="577"/>
      <c r="AD106" s="577"/>
      <c r="AE106" s="572"/>
      <c r="AF106" s="635"/>
      <c r="AG106" s="637"/>
      <c r="AH106" s="637"/>
      <c r="AI106" s="587"/>
      <c r="AJ106" s="636"/>
      <c r="AK106" s="587"/>
      <c r="AL106" s="589"/>
      <c r="AM106" s="638"/>
      <c r="AN106" s="639"/>
      <c r="AO106" s="639"/>
      <c r="AP106" s="640"/>
      <c r="AQ106" s="640"/>
      <c r="AR106" s="641"/>
      <c r="AS106" s="642"/>
      <c r="AT106" s="643"/>
      <c r="AU106" s="640"/>
      <c r="AV106" s="644"/>
      <c r="AW106" s="645"/>
      <c r="AX106" s="638"/>
      <c r="AY106" s="639"/>
      <c r="AZ106" s="639"/>
      <c r="BA106" s="646"/>
    </row>
    <row r="107" ht="15.75" customHeight="1">
      <c r="A107" s="424"/>
      <c r="B107" s="572"/>
      <c r="C107" s="629"/>
      <c r="D107" s="630"/>
      <c r="E107" s="617"/>
      <c r="F107" s="575"/>
      <c r="G107" s="575"/>
      <c r="H107" s="631"/>
      <c r="I107" s="632"/>
      <c r="J107" s="647"/>
      <c r="K107" s="578"/>
      <c r="L107" s="580"/>
      <c r="M107" s="579"/>
      <c r="N107" s="578"/>
      <c r="O107" s="578"/>
      <c r="P107" s="634"/>
      <c r="Q107" s="634"/>
      <c r="R107" s="634"/>
      <c r="S107" s="581"/>
      <c r="T107" s="635"/>
      <c r="U107" s="636"/>
      <c r="V107" s="581"/>
      <c r="W107" s="637"/>
      <c r="X107" s="637"/>
      <c r="Y107" s="581"/>
      <c r="Z107" s="581"/>
      <c r="AA107" s="585"/>
      <c r="AB107" s="586"/>
      <c r="AC107" s="577"/>
      <c r="AD107" s="577"/>
      <c r="AE107" s="572"/>
      <c r="AF107" s="635"/>
      <c r="AG107" s="637"/>
      <c r="AH107" s="637"/>
      <c r="AI107" s="587"/>
      <c r="AJ107" s="636"/>
      <c r="AK107" s="587"/>
      <c r="AL107" s="589"/>
      <c r="AM107" s="638"/>
      <c r="AN107" s="639"/>
      <c r="AO107" s="639"/>
      <c r="AP107" s="640"/>
      <c r="AQ107" s="640"/>
      <c r="AR107" s="641"/>
      <c r="AS107" s="642"/>
      <c r="AT107" s="643"/>
      <c r="AU107" s="640"/>
      <c r="AV107" s="644"/>
      <c r="AW107" s="645"/>
      <c r="AX107" s="638"/>
      <c r="AY107" s="639"/>
      <c r="AZ107" s="639"/>
      <c r="BA107" s="646"/>
    </row>
    <row r="108" ht="15.75" customHeight="1">
      <c r="A108" s="424"/>
      <c r="B108" s="572"/>
      <c r="C108" s="629"/>
      <c r="D108" s="630"/>
      <c r="E108" s="617"/>
      <c r="F108" s="575"/>
      <c r="G108" s="575"/>
      <c r="H108" s="631"/>
      <c r="I108" s="632"/>
      <c r="J108" s="647"/>
      <c r="K108" s="578"/>
      <c r="L108" s="580"/>
      <c r="M108" s="579"/>
      <c r="N108" s="578"/>
      <c r="O108" s="578"/>
      <c r="P108" s="634"/>
      <c r="Q108" s="634"/>
      <c r="R108" s="634"/>
      <c r="S108" s="581"/>
      <c r="T108" s="635"/>
      <c r="U108" s="636"/>
      <c r="V108" s="581"/>
      <c r="W108" s="637"/>
      <c r="X108" s="637"/>
      <c r="Y108" s="581"/>
      <c r="Z108" s="581"/>
      <c r="AA108" s="585"/>
      <c r="AB108" s="586"/>
      <c r="AC108" s="577"/>
      <c r="AD108" s="577"/>
      <c r="AE108" s="572"/>
      <c r="AF108" s="635"/>
      <c r="AG108" s="637"/>
      <c r="AH108" s="637"/>
      <c r="AI108" s="587"/>
      <c r="AJ108" s="636"/>
      <c r="AK108" s="587"/>
      <c r="AL108" s="589"/>
      <c r="AM108" s="638"/>
      <c r="AN108" s="639"/>
      <c r="AO108" s="639"/>
      <c r="AP108" s="640"/>
      <c r="AQ108" s="640"/>
      <c r="AR108" s="641"/>
      <c r="AS108" s="642"/>
      <c r="AT108" s="643"/>
      <c r="AU108" s="640"/>
      <c r="AV108" s="644"/>
      <c r="AW108" s="645"/>
      <c r="AX108" s="638"/>
      <c r="AY108" s="639"/>
      <c r="AZ108" s="639"/>
      <c r="BA108" s="646"/>
    </row>
    <row r="109" ht="15.75" customHeight="1">
      <c r="A109" s="424"/>
      <c r="B109" s="572"/>
      <c r="C109" s="629"/>
      <c r="D109" s="630"/>
      <c r="E109" s="617"/>
      <c r="F109" s="575"/>
      <c r="G109" s="575"/>
      <c r="H109" s="631"/>
      <c r="I109" s="632"/>
      <c r="J109" s="647"/>
      <c r="K109" s="578"/>
      <c r="L109" s="580"/>
      <c r="M109" s="579"/>
      <c r="N109" s="578"/>
      <c r="O109" s="578"/>
      <c r="P109" s="634"/>
      <c r="Q109" s="634"/>
      <c r="R109" s="634"/>
      <c r="S109" s="581"/>
      <c r="T109" s="635"/>
      <c r="U109" s="636"/>
      <c r="V109" s="581"/>
      <c r="W109" s="637"/>
      <c r="X109" s="637"/>
      <c r="Y109" s="581"/>
      <c r="Z109" s="581"/>
      <c r="AA109" s="585"/>
      <c r="AB109" s="586"/>
      <c r="AC109" s="577"/>
      <c r="AD109" s="577"/>
      <c r="AE109" s="572"/>
      <c r="AF109" s="635"/>
      <c r="AG109" s="637"/>
      <c r="AH109" s="637"/>
      <c r="AI109" s="587"/>
      <c r="AJ109" s="636"/>
      <c r="AK109" s="587"/>
      <c r="AL109" s="589"/>
      <c r="AM109" s="638"/>
      <c r="AN109" s="639"/>
      <c r="AO109" s="639"/>
      <c r="AP109" s="640"/>
      <c r="AQ109" s="640"/>
      <c r="AR109" s="641"/>
      <c r="AS109" s="642"/>
      <c r="AT109" s="643"/>
      <c r="AU109" s="640"/>
      <c r="AV109" s="644"/>
      <c r="AW109" s="645"/>
      <c r="AX109" s="638"/>
      <c r="AY109" s="639"/>
      <c r="AZ109" s="639"/>
      <c r="BA109" s="646"/>
    </row>
    <row r="110" ht="15.75" customHeight="1">
      <c r="A110" s="424"/>
      <c r="B110" s="572"/>
      <c r="C110" s="629"/>
      <c r="D110" s="630"/>
      <c r="E110" s="617"/>
      <c r="F110" s="575"/>
      <c r="G110" s="575"/>
      <c r="H110" s="631"/>
      <c r="I110" s="632"/>
      <c r="J110" s="647"/>
      <c r="K110" s="578"/>
      <c r="L110" s="580"/>
      <c r="M110" s="579"/>
      <c r="N110" s="578"/>
      <c r="O110" s="578"/>
      <c r="P110" s="634"/>
      <c r="Q110" s="634"/>
      <c r="R110" s="634"/>
      <c r="S110" s="581"/>
      <c r="T110" s="635"/>
      <c r="U110" s="636"/>
      <c r="V110" s="581"/>
      <c r="W110" s="637"/>
      <c r="X110" s="637"/>
      <c r="Y110" s="581"/>
      <c r="Z110" s="581"/>
      <c r="AA110" s="585"/>
      <c r="AB110" s="586"/>
      <c r="AC110" s="577"/>
      <c r="AD110" s="577"/>
      <c r="AE110" s="572"/>
      <c r="AF110" s="635"/>
      <c r="AG110" s="637"/>
      <c r="AH110" s="637"/>
      <c r="AI110" s="587"/>
      <c r="AJ110" s="636"/>
      <c r="AK110" s="587"/>
      <c r="AL110" s="589"/>
      <c r="AM110" s="638"/>
      <c r="AN110" s="639"/>
      <c r="AO110" s="639"/>
      <c r="AP110" s="640"/>
      <c r="AQ110" s="640"/>
      <c r="AR110" s="641"/>
      <c r="AS110" s="642"/>
      <c r="AT110" s="643"/>
      <c r="AU110" s="640"/>
      <c r="AV110" s="644"/>
      <c r="AW110" s="645"/>
      <c r="AX110" s="638"/>
      <c r="AY110" s="639"/>
      <c r="AZ110" s="639"/>
      <c r="BA110" s="646"/>
    </row>
    <row r="111" ht="15.75" customHeight="1">
      <c r="A111" s="424"/>
      <c r="B111" s="572"/>
      <c r="C111" s="629"/>
      <c r="D111" s="630"/>
      <c r="E111" s="617"/>
      <c r="F111" s="575"/>
      <c r="G111" s="575"/>
      <c r="H111" s="631"/>
      <c r="I111" s="632"/>
      <c r="J111" s="647"/>
      <c r="K111" s="578"/>
      <c r="L111" s="580"/>
      <c r="M111" s="579"/>
      <c r="N111" s="578"/>
      <c r="O111" s="578"/>
      <c r="P111" s="634"/>
      <c r="Q111" s="634"/>
      <c r="R111" s="634"/>
      <c r="S111" s="581"/>
      <c r="T111" s="635"/>
      <c r="U111" s="636"/>
      <c r="V111" s="581"/>
      <c r="W111" s="637"/>
      <c r="X111" s="637"/>
      <c r="Y111" s="581"/>
      <c r="Z111" s="581"/>
      <c r="AA111" s="585"/>
      <c r="AB111" s="586"/>
      <c r="AC111" s="577"/>
      <c r="AD111" s="577"/>
      <c r="AE111" s="572"/>
      <c r="AF111" s="635"/>
      <c r="AG111" s="637"/>
      <c r="AH111" s="637"/>
      <c r="AI111" s="587"/>
      <c r="AJ111" s="636"/>
      <c r="AK111" s="587"/>
      <c r="AL111" s="589"/>
      <c r="AM111" s="638"/>
      <c r="AN111" s="639"/>
      <c r="AO111" s="639"/>
      <c r="AP111" s="640"/>
      <c r="AQ111" s="640"/>
      <c r="AR111" s="641"/>
      <c r="AS111" s="642"/>
      <c r="AT111" s="643"/>
      <c r="AU111" s="640"/>
      <c r="AV111" s="644"/>
      <c r="AW111" s="645"/>
      <c r="AX111" s="638"/>
      <c r="AY111" s="639"/>
      <c r="AZ111" s="639"/>
      <c r="BA111" s="646"/>
    </row>
    <row r="112" ht="15.75" customHeight="1">
      <c r="A112" s="424"/>
      <c r="B112" s="572"/>
      <c r="C112" s="629"/>
      <c r="D112" s="630"/>
      <c r="E112" s="617"/>
      <c r="F112" s="575"/>
      <c r="G112" s="575"/>
      <c r="H112" s="631"/>
      <c r="I112" s="632"/>
      <c r="J112" s="647"/>
      <c r="K112" s="578"/>
      <c r="L112" s="580"/>
      <c r="M112" s="579"/>
      <c r="N112" s="578"/>
      <c r="O112" s="578"/>
      <c r="P112" s="634"/>
      <c r="Q112" s="634"/>
      <c r="R112" s="634"/>
      <c r="S112" s="581"/>
      <c r="T112" s="635"/>
      <c r="U112" s="636"/>
      <c r="V112" s="581"/>
      <c r="W112" s="637"/>
      <c r="X112" s="637"/>
      <c r="Y112" s="581"/>
      <c r="Z112" s="581"/>
      <c r="AA112" s="585"/>
      <c r="AB112" s="586"/>
      <c r="AC112" s="577"/>
      <c r="AD112" s="577"/>
      <c r="AE112" s="572"/>
      <c r="AF112" s="635"/>
      <c r="AG112" s="637"/>
      <c r="AH112" s="637"/>
      <c r="AI112" s="587"/>
      <c r="AJ112" s="636"/>
      <c r="AK112" s="587"/>
      <c r="AL112" s="589"/>
      <c r="AM112" s="638"/>
      <c r="AN112" s="639"/>
      <c r="AO112" s="639"/>
      <c r="AP112" s="640"/>
      <c r="AQ112" s="640"/>
      <c r="AR112" s="641"/>
      <c r="AS112" s="642"/>
      <c r="AT112" s="643"/>
      <c r="AU112" s="640"/>
      <c r="AV112" s="644"/>
      <c r="AW112" s="645"/>
      <c r="AX112" s="638"/>
      <c r="AY112" s="639"/>
      <c r="AZ112" s="639"/>
      <c r="BA112" s="646"/>
    </row>
    <row r="113" ht="15.75" customHeight="1">
      <c r="A113" s="424"/>
      <c r="B113" s="572"/>
      <c r="C113" s="629"/>
      <c r="D113" s="630"/>
      <c r="E113" s="617"/>
      <c r="F113" s="575"/>
      <c r="G113" s="575"/>
      <c r="H113" s="631"/>
      <c r="I113" s="632"/>
      <c r="J113" s="647"/>
      <c r="K113" s="578"/>
      <c r="L113" s="580"/>
      <c r="M113" s="579"/>
      <c r="N113" s="578"/>
      <c r="O113" s="578"/>
      <c r="P113" s="634"/>
      <c r="Q113" s="634"/>
      <c r="R113" s="634"/>
      <c r="S113" s="581"/>
      <c r="T113" s="635"/>
      <c r="U113" s="636"/>
      <c r="V113" s="581"/>
      <c r="W113" s="637"/>
      <c r="X113" s="637"/>
      <c r="Y113" s="581"/>
      <c r="Z113" s="581"/>
      <c r="AA113" s="585"/>
      <c r="AB113" s="586"/>
      <c r="AC113" s="577"/>
      <c r="AD113" s="577"/>
      <c r="AE113" s="572"/>
      <c r="AF113" s="635"/>
      <c r="AG113" s="637"/>
      <c r="AH113" s="637"/>
      <c r="AI113" s="587"/>
      <c r="AJ113" s="636"/>
      <c r="AK113" s="587"/>
      <c r="AL113" s="589"/>
      <c r="AM113" s="638"/>
      <c r="AN113" s="639"/>
      <c r="AO113" s="639"/>
      <c r="AP113" s="640"/>
      <c r="AQ113" s="640"/>
      <c r="AR113" s="641"/>
      <c r="AS113" s="642"/>
      <c r="AT113" s="643"/>
      <c r="AU113" s="640"/>
      <c r="AV113" s="644"/>
      <c r="AW113" s="645"/>
      <c r="AX113" s="638"/>
      <c r="AY113" s="639"/>
      <c r="AZ113" s="639"/>
      <c r="BA113" s="646"/>
    </row>
    <row r="114" ht="15.75" customHeight="1">
      <c r="A114" s="424"/>
      <c r="B114" s="572"/>
      <c r="C114" s="629"/>
      <c r="D114" s="630"/>
      <c r="E114" s="617"/>
      <c r="F114" s="575"/>
      <c r="G114" s="575"/>
      <c r="H114" s="631"/>
      <c r="I114" s="632"/>
      <c r="J114" s="647"/>
      <c r="K114" s="578"/>
      <c r="L114" s="580"/>
      <c r="M114" s="579"/>
      <c r="N114" s="578"/>
      <c r="O114" s="578"/>
      <c r="P114" s="634"/>
      <c r="Q114" s="634"/>
      <c r="R114" s="634"/>
      <c r="S114" s="581"/>
      <c r="T114" s="635"/>
      <c r="U114" s="636"/>
      <c r="V114" s="581"/>
      <c r="W114" s="637"/>
      <c r="X114" s="637"/>
      <c r="Y114" s="581"/>
      <c r="Z114" s="581"/>
      <c r="AA114" s="585"/>
      <c r="AB114" s="586"/>
      <c r="AC114" s="577"/>
      <c r="AD114" s="577"/>
      <c r="AE114" s="572"/>
      <c r="AF114" s="635"/>
      <c r="AG114" s="637"/>
      <c r="AH114" s="637"/>
      <c r="AI114" s="587"/>
      <c r="AJ114" s="636"/>
      <c r="AK114" s="587"/>
      <c r="AL114" s="589"/>
      <c r="AM114" s="638"/>
      <c r="AN114" s="639"/>
      <c r="AO114" s="639"/>
      <c r="AP114" s="640"/>
      <c r="AQ114" s="640"/>
      <c r="AR114" s="641"/>
      <c r="AS114" s="642"/>
      <c r="AT114" s="643"/>
      <c r="AU114" s="640"/>
      <c r="AV114" s="644"/>
      <c r="AW114" s="645"/>
      <c r="AX114" s="638"/>
      <c r="AY114" s="639"/>
      <c r="AZ114" s="639"/>
      <c r="BA114" s="646"/>
    </row>
    <row r="115" ht="15.75" customHeight="1">
      <c r="A115" s="424"/>
      <c r="B115" s="572"/>
      <c r="C115" s="629"/>
      <c r="D115" s="630"/>
      <c r="E115" s="617"/>
      <c r="F115" s="575"/>
      <c r="G115" s="575"/>
      <c r="H115" s="631"/>
      <c r="I115" s="632"/>
      <c r="J115" s="647"/>
      <c r="K115" s="578"/>
      <c r="L115" s="580"/>
      <c r="M115" s="579"/>
      <c r="N115" s="578"/>
      <c r="O115" s="578"/>
      <c r="P115" s="634"/>
      <c r="Q115" s="634"/>
      <c r="R115" s="634"/>
      <c r="S115" s="581"/>
      <c r="T115" s="635"/>
      <c r="U115" s="636"/>
      <c r="V115" s="581"/>
      <c r="W115" s="637"/>
      <c r="X115" s="637"/>
      <c r="Y115" s="581"/>
      <c r="Z115" s="581"/>
      <c r="AA115" s="585"/>
      <c r="AB115" s="586"/>
      <c r="AC115" s="577"/>
      <c r="AD115" s="577"/>
      <c r="AE115" s="572"/>
      <c r="AF115" s="635"/>
      <c r="AG115" s="637"/>
      <c r="AH115" s="637"/>
      <c r="AI115" s="587"/>
      <c r="AJ115" s="636"/>
      <c r="AK115" s="587"/>
      <c r="AL115" s="589"/>
      <c r="AM115" s="638"/>
      <c r="AN115" s="639"/>
      <c r="AO115" s="639"/>
      <c r="AP115" s="640"/>
      <c r="AQ115" s="640"/>
      <c r="AR115" s="641"/>
      <c r="AS115" s="642"/>
      <c r="AT115" s="643"/>
      <c r="AU115" s="640"/>
      <c r="AV115" s="644"/>
      <c r="AW115" s="645"/>
      <c r="AX115" s="638"/>
      <c r="AY115" s="639"/>
      <c r="AZ115" s="639"/>
      <c r="BA115" s="646"/>
    </row>
    <row r="116" ht="15.75" customHeight="1">
      <c r="A116" s="424"/>
      <c r="B116" s="572"/>
      <c r="C116" s="629"/>
      <c r="D116" s="630"/>
      <c r="E116" s="617"/>
      <c r="F116" s="575"/>
      <c r="G116" s="575"/>
      <c r="H116" s="631"/>
      <c r="I116" s="632"/>
      <c r="J116" s="647"/>
      <c r="K116" s="578"/>
      <c r="L116" s="580"/>
      <c r="M116" s="579"/>
      <c r="N116" s="578"/>
      <c r="O116" s="578"/>
      <c r="P116" s="634"/>
      <c r="Q116" s="634"/>
      <c r="R116" s="634"/>
      <c r="S116" s="581"/>
      <c r="T116" s="635"/>
      <c r="U116" s="636"/>
      <c r="V116" s="581"/>
      <c r="W116" s="637"/>
      <c r="X116" s="637"/>
      <c r="Y116" s="581"/>
      <c r="Z116" s="581"/>
      <c r="AA116" s="585"/>
      <c r="AB116" s="586"/>
      <c r="AC116" s="577"/>
      <c r="AD116" s="577"/>
      <c r="AE116" s="572"/>
      <c r="AF116" s="635"/>
      <c r="AG116" s="637"/>
      <c r="AH116" s="637"/>
      <c r="AI116" s="587"/>
      <c r="AJ116" s="636"/>
      <c r="AK116" s="587"/>
      <c r="AL116" s="589"/>
      <c r="AM116" s="638"/>
      <c r="AN116" s="639"/>
      <c r="AO116" s="639"/>
      <c r="AP116" s="640"/>
      <c r="AQ116" s="640"/>
      <c r="AR116" s="641"/>
      <c r="AS116" s="642"/>
      <c r="AT116" s="643"/>
      <c r="AU116" s="640"/>
      <c r="AV116" s="644"/>
      <c r="AW116" s="645"/>
      <c r="AX116" s="638"/>
      <c r="AY116" s="639"/>
      <c r="AZ116" s="639"/>
      <c r="BA116" s="646"/>
    </row>
    <row r="117" ht="15.75" customHeight="1">
      <c r="A117" s="424"/>
      <c r="B117" s="572"/>
      <c r="C117" s="629"/>
      <c r="D117" s="630"/>
      <c r="E117" s="617"/>
      <c r="F117" s="575"/>
      <c r="G117" s="575"/>
      <c r="H117" s="631"/>
      <c r="I117" s="632"/>
      <c r="J117" s="647"/>
      <c r="K117" s="578"/>
      <c r="L117" s="580"/>
      <c r="M117" s="579"/>
      <c r="N117" s="578"/>
      <c r="O117" s="578"/>
      <c r="P117" s="634"/>
      <c r="Q117" s="634"/>
      <c r="R117" s="634"/>
      <c r="S117" s="581"/>
      <c r="T117" s="635"/>
      <c r="U117" s="636"/>
      <c r="V117" s="581"/>
      <c r="W117" s="637"/>
      <c r="X117" s="637"/>
      <c r="Y117" s="581"/>
      <c r="Z117" s="581"/>
      <c r="AA117" s="585"/>
      <c r="AB117" s="586"/>
      <c r="AC117" s="577"/>
      <c r="AD117" s="577"/>
      <c r="AE117" s="572"/>
      <c r="AF117" s="635"/>
      <c r="AG117" s="637"/>
      <c r="AH117" s="637"/>
      <c r="AI117" s="587"/>
      <c r="AJ117" s="636"/>
      <c r="AK117" s="587"/>
      <c r="AL117" s="589"/>
      <c r="AM117" s="638"/>
      <c r="AN117" s="639"/>
      <c r="AO117" s="639"/>
      <c r="AP117" s="640"/>
      <c r="AQ117" s="640"/>
      <c r="AR117" s="641"/>
      <c r="AS117" s="642"/>
      <c r="AT117" s="643"/>
      <c r="AU117" s="640"/>
      <c r="AV117" s="644"/>
      <c r="AW117" s="645"/>
      <c r="AX117" s="638"/>
      <c r="AY117" s="639"/>
      <c r="AZ117" s="639"/>
      <c r="BA117" s="646"/>
    </row>
    <row r="118" ht="15.75" customHeight="1">
      <c r="A118" s="424"/>
      <c r="B118" s="572"/>
      <c r="C118" s="629"/>
      <c r="D118" s="630"/>
      <c r="E118" s="617"/>
      <c r="F118" s="575"/>
      <c r="G118" s="575"/>
      <c r="H118" s="631"/>
      <c r="I118" s="632"/>
      <c r="J118" s="647"/>
      <c r="K118" s="578"/>
      <c r="L118" s="580"/>
      <c r="M118" s="579"/>
      <c r="N118" s="578"/>
      <c r="O118" s="578"/>
      <c r="P118" s="634"/>
      <c r="Q118" s="634"/>
      <c r="R118" s="634"/>
      <c r="S118" s="581"/>
      <c r="T118" s="635"/>
      <c r="U118" s="636"/>
      <c r="V118" s="581"/>
      <c r="W118" s="637"/>
      <c r="X118" s="637"/>
      <c r="Y118" s="581"/>
      <c r="Z118" s="581"/>
      <c r="AA118" s="585"/>
      <c r="AB118" s="586"/>
      <c r="AC118" s="577"/>
      <c r="AD118" s="577"/>
      <c r="AE118" s="572"/>
      <c r="AF118" s="635"/>
      <c r="AG118" s="637"/>
      <c r="AH118" s="637"/>
      <c r="AI118" s="587"/>
      <c r="AJ118" s="636"/>
      <c r="AK118" s="587"/>
      <c r="AL118" s="589"/>
      <c r="AM118" s="638"/>
      <c r="AN118" s="639"/>
      <c r="AO118" s="639"/>
      <c r="AP118" s="640"/>
      <c r="AQ118" s="640"/>
      <c r="AR118" s="641"/>
      <c r="AS118" s="642"/>
      <c r="AT118" s="643"/>
      <c r="AU118" s="640"/>
      <c r="AV118" s="644"/>
      <c r="AW118" s="645"/>
      <c r="AX118" s="638"/>
      <c r="AY118" s="639"/>
      <c r="AZ118" s="639"/>
      <c r="BA118" s="646"/>
    </row>
    <row r="119" ht="15.75" customHeight="1">
      <c r="A119" s="424"/>
      <c r="B119" s="572"/>
      <c r="C119" s="629"/>
      <c r="D119" s="630"/>
      <c r="E119" s="617"/>
      <c r="F119" s="575"/>
      <c r="G119" s="575"/>
      <c r="H119" s="631"/>
      <c r="I119" s="632"/>
      <c r="J119" s="647"/>
      <c r="K119" s="578"/>
      <c r="L119" s="580"/>
      <c r="M119" s="579"/>
      <c r="N119" s="578"/>
      <c r="O119" s="578"/>
      <c r="P119" s="634"/>
      <c r="Q119" s="634"/>
      <c r="R119" s="634"/>
      <c r="S119" s="581"/>
      <c r="T119" s="635"/>
      <c r="U119" s="636"/>
      <c r="V119" s="581"/>
      <c r="W119" s="637"/>
      <c r="X119" s="637"/>
      <c r="Y119" s="581"/>
      <c r="Z119" s="581"/>
      <c r="AA119" s="585"/>
      <c r="AB119" s="586"/>
      <c r="AC119" s="577"/>
      <c r="AD119" s="577"/>
      <c r="AE119" s="572"/>
      <c r="AF119" s="635"/>
      <c r="AG119" s="637"/>
      <c r="AH119" s="637"/>
      <c r="AI119" s="587"/>
      <c r="AJ119" s="636"/>
      <c r="AK119" s="587"/>
      <c r="AL119" s="589"/>
      <c r="AM119" s="638"/>
      <c r="AN119" s="639"/>
      <c r="AO119" s="639"/>
      <c r="AP119" s="640"/>
      <c r="AQ119" s="640"/>
      <c r="AR119" s="641"/>
      <c r="AS119" s="642"/>
      <c r="AT119" s="643"/>
      <c r="AU119" s="640"/>
      <c r="AV119" s="644"/>
      <c r="AW119" s="645"/>
      <c r="AX119" s="638"/>
      <c r="AY119" s="639"/>
      <c r="AZ119" s="639"/>
      <c r="BA119" s="646"/>
    </row>
    <row r="120" ht="15.75" customHeight="1">
      <c r="A120" s="424"/>
      <c r="B120" s="572"/>
      <c r="C120" s="629"/>
      <c r="D120" s="630"/>
      <c r="E120" s="617"/>
      <c r="F120" s="575"/>
      <c r="G120" s="575"/>
      <c r="H120" s="631"/>
      <c r="I120" s="632"/>
      <c r="J120" s="647"/>
      <c r="K120" s="578"/>
      <c r="L120" s="580"/>
      <c r="M120" s="579"/>
      <c r="N120" s="578"/>
      <c r="O120" s="578"/>
      <c r="P120" s="634"/>
      <c r="Q120" s="634"/>
      <c r="R120" s="634"/>
      <c r="S120" s="581"/>
      <c r="T120" s="635"/>
      <c r="U120" s="636"/>
      <c r="V120" s="581"/>
      <c r="W120" s="637"/>
      <c r="X120" s="637"/>
      <c r="Y120" s="581"/>
      <c r="Z120" s="581"/>
      <c r="AA120" s="585"/>
      <c r="AB120" s="586"/>
      <c r="AC120" s="577"/>
      <c r="AD120" s="577"/>
      <c r="AE120" s="572"/>
      <c r="AF120" s="635"/>
      <c r="AG120" s="637"/>
      <c r="AH120" s="637"/>
      <c r="AI120" s="587"/>
      <c r="AJ120" s="636"/>
      <c r="AK120" s="587"/>
      <c r="AL120" s="589"/>
      <c r="AM120" s="638"/>
      <c r="AN120" s="639"/>
      <c r="AO120" s="639"/>
      <c r="AP120" s="640"/>
      <c r="AQ120" s="640"/>
      <c r="AR120" s="641"/>
      <c r="AS120" s="642"/>
      <c r="AT120" s="643"/>
      <c r="AU120" s="640"/>
      <c r="AV120" s="644"/>
      <c r="AW120" s="645"/>
      <c r="AX120" s="638"/>
      <c r="AY120" s="639"/>
      <c r="AZ120" s="639"/>
      <c r="BA120" s="646"/>
    </row>
    <row r="121" ht="15.75" customHeight="1">
      <c r="A121" s="424"/>
      <c r="B121" s="572"/>
      <c r="C121" s="629"/>
      <c r="D121" s="630"/>
      <c r="E121" s="617"/>
      <c r="F121" s="575"/>
      <c r="G121" s="575"/>
      <c r="H121" s="631"/>
      <c r="I121" s="632"/>
      <c r="J121" s="647"/>
      <c r="K121" s="578"/>
      <c r="L121" s="580"/>
      <c r="M121" s="579"/>
      <c r="N121" s="578"/>
      <c r="O121" s="578"/>
      <c r="P121" s="634"/>
      <c r="Q121" s="634"/>
      <c r="R121" s="634"/>
      <c r="S121" s="581"/>
      <c r="T121" s="635"/>
      <c r="U121" s="636"/>
      <c r="V121" s="581"/>
      <c r="W121" s="637"/>
      <c r="X121" s="637"/>
      <c r="Y121" s="581"/>
      <c r="Z121" s="581"/>
      <c r="AA121" s="585"/>
      <c r="AB121" s="586"/>
      <c r="AC121" s="577"/>
      <c r="AD121" s="577"/>
      <c r="AE121" s="572"/>
      <c r="AF121" s="635"/>
      <c r="AG121" s="637"/>
      <c r="AH121" s="637"/>
      <c r="AI121" s="587"/>
      <c r="AJ121" s="636"/>
      <c r="AK121" s="587"/>
      <c r="AL121" s="589"/>
      <c r="AM121" s="638"/>
      <c r="AN121" s="639"/>
      <c r="AO121" s="639"/>
      <c r="AP121" s="640"/>
      <c r="AQ121" s="640"/>
      <c r="AR121" s="641"/>
      <c r="AS121" s="642"/>
      <c r="AT121" s="643"/>
      <c r="AU121" s="640"/>
      <c r="AV121" s="644"/>
      <c r="AW121" s="645"/>
      <c r="AX121" s="638"/>
      <c r="AY121" s="639"/>
      <c r="AZ121" s="639"/>
      <c r="BA121" s="646"/>
    </row>
    <row r="122" ht="15.75" customHeight="1">
      <c r="A122" s="424"/>
      <c r="B122" s="572"/>
      <c r="C122" s="629"/>
      <c r="D122" s="630"/>
      <c r="E122" s="617"/>
      <c r="F122" s="575"/>
      <c r="G122" s="575"/>
      <c r="H122" s="631"/>
      <c r="I122" s="632"/>
      <c r="J122" s="647"/>
      <c r="K122" s="578"/>
      <c r="L122" s="580"/>
      <c r="M122" s="579"/>
      <c r="N122" s="578"/>
      <c r="O122" s="578"/>
      <c r="P122" s="634"/>
      <c r="Q122" s="634"/>
      <c r="R122" s="634"/>
      <c r="S122" s="581"/>
      <c r="T122" s="635"/>
      <c r="U122" s="636"/>
      <c r="V122" s="581"/>
      <c r="W122" s="637"/>
      <c r="X122" s="637"/>
      <c r="Y122" s="581"/>
      <c r="Z122" s="581"/>
      <c r="AA122" s="585"/>
      <c r="AB122" s="586"/>
      <c r="AC122" s="577"/>
      <c r="AD122" s="577"/>
      <c r="AE122" s="572"/>
      <c r="AF122" s="635"/>
      <c r="AG122" s="637"/>
      <c r="AH122" s="637"/>
      <c r="AI122" s="587"/>
      <c r="AJ122" s="636"/>
      <c r="AK122" s="587"/>
      <c r="AL122" s="589"/>
      <c r="AM122" s="638"/>
      <c r="AN122" s="639"/>
      <c r="AO122" s="639"/>
      <c r="AP122" s="640"/>
      <c r="AQ122" s="640"/>
      <c r="AR122" s="641"/>
      <c r="AS122" s="642"/>
      <c r="AT122" s="643"/>
      <c r="AU122" s="640"/>
      <c r="AV122" s="644"/>
      <c r="AW122" s="645"/>
      <c r="AX122" s="638"/>
      <c r="AY122" s="639"/>
      <c r="AZ122" s="639"/>
      <c r="BA122" s="646"/>
    </row>
    <row r="123" ht="15.75" customHeight="1">
      <c r="A123" s="424"/>
      <c r="B123" s="572"/>
      <c r="C123" s="629"/>
      <c r="D123" s="630"/>
      <c r="E123" s="617"/>
      <c r="F123" s="575"/>
      <c r="G123" s="575"/>
      <c r="H123" s="631"/>
      <c r="I123" s="632"/>
      <c r="J123" s="647"/>
      <c r="K123" s="578"/>
      <c r="L123" s="580"/>
      <c r="M123" s="579"/>
      <c r="N123" s="578"/>
      <c r="O123" s="578"/>
      <c r="P123" s="634"/>
      <c r="Q123" s="634"/>
      <c r="R123" s="634"/>
      <c r="S123" s="581"/>
      <c r="T123" s="635"/>
      <c r="U123" s="636"/>
      <c r="V123" s="581"/>
      <c r="W123" s="637"/>
      <c r="X123" s="637"/>
      <c r="Y123" s="581"/>
      <c r="Z123" s="581"/>
      <c r="AA123" s="585"/>
      <c r="AB123" s="586"/>
      <c r="AC123" s="577"/>
      <c r="AD123" s="577"/>
      <c r="AE123" s="572"/>
      <c r="AF123" s="635"/>
      <c r="AG123" s="637"/>
      <c r="AH123" s="637"/>
      <c r="AI123" s="587"/>
      <c r="AJ123" s="636"/>
      <c r="AK123" s="587"/>
      <c r="AL123" s="589"/>
      <c r="AM123" s="638"/>
      <c r="AN123" s="639"/>
      <c r="AO123" s="639"/>
      <c r="AP123" s="640"/>
      <c r="AQ123" s="640"/>
      <c r="AR123" s="641"/>
      <c r="AS123" s="642"/>
      <c r="AT123" s="643"/>
      <c r="AU123" s="640"/>
      <c r="AV123" s="644"/>
      <c r="AW123" s="645"/>
      <c r="AX123" s="638"/>
      <c r="AY123" s="639"/>
      <c r="AZ123" s="639"/>
      <c r="BA123" s="646"/>
    </row>
    <row r="124" ht="15.75" customHeight="1">
      <c r="A124" s="424"/>
      <c r="B124" s="572"/>
      <c r="C124" s="629"/>
      <c r="D124" s="630"/>
      <c r="E124" s="617"/>
      <c r="F124" s="575"/>
      <c r="G124" s="575"/>
      <c r="H124" s="631"/>
      <c r="I124" s="632"/>
      <c r="J124" s="647"/>
      <c r="K124" s="578"/>
      <c r="L124" s="580"/>
      <c r="M124" s="579"/>
      <c r="N124" s="578"/>
      <c r="O124" s="578"/>
      <c r="P124" s="634"/>
      <c r="Q124" s="634"/>
      <c r="R124" s="634"/>
      <c r="S124" s="581"/>
      <c r="T124" s="635"/>
      <c r="U124" s="636"/>
      <c r="V124" s="581"/>
      <c r="W124" s="637"/>
      <c r="X124" s="637"/>
      <c r="Y124" s="581"/>
      <c r="Z124" s="581"/>
      <c r="AA124" s="585"/>
      <c r="AB124" s="586"/>
      <c r="AC124" s="577"/>
      <c r="AD124" s="577"/>
      <c r="AE124" s="572"/>
      <c r="AF124" s="635"/>
      <c r="AG124" s="637"/>
      <c r="AH124" s="637"/>
      <c r="AI124" s="587"/>
      <c r="AJ124" s="636"/>
      <c r="AK124" s="587"/>
      <c r="AL124" s="589"/>
      <c r="AM124" s="638"/>
      <c r="AN124" s="639"/>
      <c r="AO124" s="639"/>
      <c r="AP124" s="640"/>
      <c r="AQ124" s="640"/>
      <c r="AR124" s="641"/>
      <c r="AS124" s="642"/>
      <c r="AT124" s="643"/>
      <c r="AU124" s="640"/>
      <c r="AV124" s="644"/>
      <c r="AW124" s="645"/>
      <c r="AX124" s="638"/>
      <c r="AY124" s="639"/>
      <c r="AZ124" s="639"/>
      <c r="BA124" s="646"/>
    </row>
    <row r="125" ht="15.75" customHeight="1">
      <c r="A125" s="424"/>
      <c r="B125" s="572"/>
      <c r="C125" s="629"/>
      <c r="D125" s="630"/>
      <c r="E125" s="617"/>
      <c r="F125" s="575"/>
      <c r="G125" s="575"/>
      <c r="H125" s="631"/>
      <c r="I125" s="632"/>
      <c r="J125" s="647"/>
      <c r="K125" s="578"/>
      <c r="L125" s="580"/>
      <c r="M125" s="579"/>
      <c r="N125" s="578"/>
      <c r="O125" s="578"/>
      <c r="P125" s="634"/>
      <c r="Q125" s="634"/>
      <c r="R125" s="634"/>
      <c r="S125" s="581"/>
      <c r="T125" s="635"/>
      <c r="U125" s="636"/>
      <c r="V125" s="581"/>
      <c r="W125" s="637"/>
      <c r="X125" s="637"/>
      <c r="Y125" s="581"/>
      <c r="Z125" s="581"/>
      <c r="AA125" s="585"/>
      <c r="AB125" s="586"/>
      <c r="AC125" s="577"/>
      <c r="AD125" s="577"/>
      <c r="AE125" s="572"/>
      <c r="AF125" s="635"/>
      <c r="AG125" s="637"/>
      <c r="AH125" s="637"/>
      <c r="AI125" s="587"/>
      <c r="AJ125" s="636"/>
      <c r="AK125" s="587"/>
      <c r="AL125" s="589"/>
      <c r="AM125" s="638"/>
      <c r="AN125" s="639"/>
      <c r="AO125" s="639"/>
      <c r="AP125" s="640"/>
      <c r="AQ125" s="640"/>
      <c r="AR125" s="641"/>
      <c r="AS125" s="642"/>
      <c r="AT125" s="643"/>
      <c r="AU125" s="640"/>
      <c r="AV125" s="644"/>
      <c r="AW125" s="645"/>
      <c r="AX125" s="638"/>
      <c r="AY125" s="639"/>
      <c r="AZ125" s="639"/>
      <c r="BA125" s="646"/>
    </row>
    <row r="126" ht="15.75" customHeight="1">
      <c r="A126" s="424"/>
      <c r="B126" s="572"/>
      <c r="C126" s="629"/>
      <c r="D126" s="630"/>
      <c r="E126" s="617"/>
      <c r="F126" s="575"/>
      <c r="G126" s="575"/>
      <c r="H126" s="631"/>
      <c r="I126" s="632"/>
      <c r="J126" s="647"/>
      <c r="K126" s="578"/>
      <c r="L126" s="580"/>
      <c r="M126" s="579"/>
      <c r="N126" s="578"/>
      <c r="O126" s="578"/>
      <c r="P126" s="634"/>
      <c r="Q126" s="634"/>
      <c r="R126" s="634"/>
      <c r="S126" s="581"/>
      <c r="T126" s="635"/>
      <c r="U126" s="636"/>
      <c r="V126" s="581"/>
      <c r="W126" s="637"/>
      <c r="X126" s="637"/>
      <c r="Y126" s="581"/>
      <c r="Z126" s="581"/>
      <c r="AA126" s="585"/>
      <c r="AB126" s="586"/>
      <c r="AC126" s="577"/>
      <c r="AD126" s="577"/>
      <c r="AE126" s="572"/>
      <c r="AF126" s="635"/>
      <c r="AG126" s="637"/>
      <c r="AH126" s="637"/>
      <c r="AI126" s="587"/>
      <c r="AJ126" s="636"/>
      <c r="AK126" s="587"/>
      <c r="AL126" s="589"/>
      <c r="AM126" s="638"/>
      <c r="AN126" s="639"/>
      <c r="AO126" s="639"/>
      <c r="AP126" s="640"/>
      <c r="AQ126" s="640"/>
      <c r="AR126" s="641"/>
      <c r="AS126" s="642"/>
      <c r="AT126" s="643"/>
      <c r="AU126" s="640"/>
      <c r="AV126" s="644"/>
      <c r="AW126" s="645"/>
      <c r="AX126" s="638"/>
      <c r="AY126" s="639"/>
      <c r="AZ126" s="639"/>
      <c r="BA126" s="646"/>
    </row>
    <row r="127" ht="15.75" customHeight="1">
      <c r="A127" s="424"/>
      <c r="B127" s="572"/>
      <c r="C127" s="629"/>
      <c r="D127" s="630"/>
      <c r="E127" s="617"/>
      <c r="F127" s="575"/>
      <c r="G127" s="575"/>
      <c r="H127" s="631"/>
      <c r="I127" s="632"/>
      <c r="J127" s="647"/>
      <c r="K127" s="578"/>
      <c r="L127" s="580"/>
      <c r="M127" s="579"/>
      <c r="N127" s="578"/>
      <c r="O127" s="578"/>
      <c r="P127" s="634"/>
      <c r="Q127" s="634"/>
      <c r="R127" s="634"/>
      <c r="S127" s="581"/>
      <c r="T127" s="635"/>
      <c r="U127" s="636"/>
      <c r="V127" s="581"/>
      <c r="W127" s="637"/>
      <c r="X127" s="637"/>
      <c r="Y127" s="581"/>
      <c r="Z127" s="581"/>
      <c r="AA127" s="585"/>
      <c r="AB127" s="586"/>
      <c r="AC127" s="577"/>
      <c r="AD127" s="577"/>
      <c r="AE127" s="572"/>
      <c r="AF127" s="635"/>
      <c r="AG127" s="637"/>
      <c r="AH127" s="637"/>
      <c r="AI127" s="587"/>
      <c r="AJ127" s="636"/>
      <c r="AK127" s="587"/>
      <c r="AL127" s="589"/>
      <c r="AM127" s="638"/>
      <c r="AN127" s="639"/>
      <c r="AO127" s="639"/>
      <c r="AP127" s="640"/>
      <c r="AQ127" s="640"/>
      <c r="AR127" s="641"/>
      <c r="AS127" s="642"/>
      <c r="AT127" s="643"/>
      <c r="AU127" s="640"/>
      <c r="AV127" s="644"/>
      <c r="AW127" s="645"/>
      <c r="AX127" s="638"/>
      <c r="AY127" s="639"/>
      <c r="AZ127" s="639"/>
      <c r="BA127" s="646"/>
    </row>
    <row r="128" ht="15.75" customHeight="1">
      <c r="A128" s="424"/>
      <c r="B128" s="572"/>
      <c r="C128" s="629"/>
      <c r="D128" s="630"/>
      <c r="E128" s="617"/>
      <c r="F128" s="575"/>
      <c r="G128" s="575"/>
      <c r="H128" s="631"/>
      <c r="I128" s="632"/>
      <c r="J128" s="647"/>
      <c r="K128" s="578"/>
      <c r="L128" s="580"/>
      <c r="M128" s="579"/>
      <c r="N128" s="578"/>
      <c r="O128" s="578"/>
      <c r="P128" s="634"/>
      <c r="Q128" s="634"/>
      <c r="R128" s="634"/>
      <c r="S128" s="581"/>
      <c r="T128" s="635"/>
      <c r="U128" s="636"/>
      <c r="V128" s="581"/>
      <c r="W128" s="637"/>
      <c r="X128" s="637"/>
      <c r="Y128" s="581"/>
      <c r="Z128" s="581"/>
      <c r="AA128" s="585"/>
      <c r="AB128" s="586"/>
      <c r="AC128" s="577"/>
      <c r="AD128" s="577"/>
      <c r="AE128" s="572"/>
      <c r="AF128" s="635"/>
      <c r="AG128" s="637"/>
      <c r="AH128" s="637"/>
      <c r="AI128" s="587"/>
      <c r="AJ128" s="636"/>
      <c r="AK128" s="587"/>
      <c r="AL128" s="589"/>
      <c r="AM128" s="638"/>
      <c r="AN128" s="639"/>
      <c r="AO128" s="639"/>
      <c r="AP128" s="640"/>
      <c r="AQ128" s="640"/>
      <c r="AR128" s="641"/>
      <c r="AS128" s="642"/>
      <c r="AT128" s="643"/>
      <c r="AU128" s="640"/>
      <c r="AV128" s="644"/>
      <c r="AW128" s="645"/>
      <c r="AX128" s="638"/>
      <c r="AY128" s="639"/>
      <c r="AZ128" s="639"/>
      <c r="BA128" s="646"/>
    </row>
    <row r="129" ht="15.75" customHeight="1">
      <c r="A129" s="424"/>
      <c r="B129" s="572"/>
      <c r="C129" s="629"/>
      <c r="D129" s="630"/>
      <c r="E129" s="617"/>
      <c r="F129" s="575"/>
      <c r="G129" s="575"/>
      <c r="H129" s="631"/>
      <c r="I129" s="632"/>
      <c r="J129" s="647"/>
      <c r="K129" s="578"/>
      <c r="L129" s="580"/>
      <c r="M129" s="579"/>
      <c r="N129" s="578"/>
      <c r="O129" s="578"/>
      <c r="P129" s="634"/>
      <c r="Q129" s="634"/>
      <c r="R129" s="634"/>
      <c r="S129" s="581"/>
      <c r="T129" s="635"/>
      <c r="U129" s="636"/>
      <c r="V129" s="581"/>
      <c r="W129" s="637"/>
      <c r="X129" s="637"/>
      <c r="Y129" s="581"/>
      <c r="Z129" s="581"/>
      <c r="AA129" s="585"/>
      <c r="AB129" s="586"/>
      <c r="AC129" s="577"/>
      <c r="AD129" s="577"/>
      <c r="AE129" s="572"/>
      <c r="AF129" s="635"/>
      <c r="AG129" s="637"/>
      <c r="AH129" s="637"/>
      <c r="AI129" s="587"/>
      <c r="AJ129" s="636"/>
      <c r="AK129" s="587"/>
      <c r="AL129" s="589"/>
      <c r="AM129" s="638"/>
      <c r="AN129" s="639"/>
      <c r="AO129" s="639"/>
      <c r="AP129" s="640"/>
      <c r="AQ129" s="640"/>
      <c r="AR129" s="641"/>
      <c r="AS129" s="642"/>
      <c r="AT129" s="643"/>
      <c r="AU129" s="640"/>
      <c r="AV129" s="644"/>
      <c r="AW129" s="645"/>
      <c r="AX129" s="638"/>
      <c r="AY129" s="639"/>
      <c r="AZ129" s="639"/>
      <c r="BA129" s="646"/>
    </row>
    <row r="130" ht="15.75" customHeight="1">
      <c r="A130" s="424"/>
      <c r="B130" s="572"/>
      <c r="C130" s="629"/>
      <c r="D130" s="630"/>
      <c r="E130" s="617"/>
      <c r="F130" s="575"/>
      <c r="G130" s="575"/>
      <c r="H130" s="631"/>
      <c r="I130" s="632"/>
      <c r="J130" s="647"/>
      <c r="K130" s="578"/>
      <c r="L130" s="580"/>
      <c r="M130" s="579"/>
      <c r="N130" s="578"/>
      <c r="O130" s="578"/>
      <c r="P130" s="634"/>
      <c r="Q130" s="634"/>
      <c r="R130" s="634"/>
      <c r="S130" s="581"/>
      <c r="T130" s="635"/>
      <c r="U130" s="636"/>
      <c r="V130" s="581"/>
      <c r="W130" s="637"/>
      <c r="X130" s="637"/>
      <c r="Y130" s="581"/>
      <c r="Z130" s="581"/>
      <c r="AA130" s="585"/>
      <c r="AB130" s="586"/>
      <c r="AC130" s="577"/>
      <c r="AD130" s="577"/>
      <c r="AE130" s="572"/>
      <c r="AF130" s="635"/>
      <c r="AG130" s="637"/>
      <c r="AH130" s="637"/>
      <c r="AI130" s="587"/>
      <c r="AJ130" s="636"/>
      <c r="AK130" s="587"/>
      <c r="AL130" s="589"/>
      <c r="AM130" s="638"/>
      <c r="AN130" s="639"/>
      <c r="AO130" s="639"/>
      <c r="AP130" s="640"/>
      <c r="AQ130" s="640"/>
      <c r="AR130" s="641"/>
      <c r="AS130" s="642"/>
      <c r="AT130" s="643"/>
      <c r="AU130" s="640"/>
      <c r="AV130" s="644"/>
      <c r="AW130" s="645"/>
      <c r="AX130" s="638"/>
      <c r="AY130" s="639"/>
      <c r="AZ130" s="639"/>
      <c r="BA130" s="646"/>
    </row>
    <row r="131" ht="15.75" customHeight="1">
      <c r="A131" s="424"/>
      <c r="B131" s="572"/>
      <c r="C131" s="629"/>
      <c r="D131" s="630"/>
      <c r="E131" s="617"/>
      <c r="F131" s="575"/>
      <c r="G131" s="575"/>
      <c r="H131" s="631"/>
      <c r="I131" s="632"/>
      <c r="J131" s="647"/>
      <c r="K131" s="578"/>
      <c r="L131" s="580"/>
      <c r="M131" s="579"/>
      <c r="N131" s="578"/>
      <c r="O131" s="578"/>
      <c r="P131" s="634"/>
      <c r="Q131" s="634"/>
      <c r="R131" s="634"/>
      <c r="S131" s="581"/>
      <c r="T131" s="635"/>
      <c r="U131" s="636"/>
      <c r="V131" s="581"/>
      <c r="W131" s="637"/>
      <c r="X131" s="637"/>
      <c r="Y131" s="581"/>
      <c r="Z131" s="581"/>
      <c r="AA131" s="585"/>
      <c r="AB131" s="586"/>
      <c r="AC131" s="577"/>
      <c r="AD131" s="577"/>
      <c r="AE131" s="572"/>
      <c r="AF131" s="635"/>
      <c r="AG131" s="637"/>
      <c r="AH131" s="637"/>
      <c r="AI131" s="587"/>
      <c r="AJ131" s="636"/>
      <c r="AK131" s="587"/>
      <c r="AL131" s="589"/>
      <c r="AM131" s="638"/>
      <c r="AN131" s="639"/>
      <c r="AO131" s="639"/>
      <c r="AP131" s="640"/>
      <c r="AQ131" s="640"/>
      <c r="AR131" s="641"/>
      <c r="AS131" s="642"/>
      <c r="AT131" s="643"/>
      <c r="AU131" s="640"/>
      <c r="AV131" s="644"/>
      <c r="AW131" s="645"/>
      <c r="AX131" s="638"/>
      <c r="AY131" s="639"/>
      <c r="AZ131" s="639"/>
      <c r="BA131" s="646"/>
    </row>
    <row r="132" ht="15.75" customHeight="1">
      <c r="A132" s="424"/>
      <c r="B132" s="572"/>
      <c r="C132" s="629"/>
      <c r="D132" s="630"/>
      <c r="E132" s="617"/>
      <c r="F132" s="575"/>
      <c r="G132" s="575"/>
      <c r="H132" s="631"/>
      <c r="I132" s="632"/>
      <c r="J132" s="647"/>
      <c r="K132" s="578"/>
      <c r="L132" s="580"/>
      <c r="M132" s="579"/>
      <c r="N132" s="578"/>
      <c r="O132" s="578"/>
      <c r="P132" s="634"/>
      <c r="Q132" s="634"/>
      <c r="R132" s="634"/>
      <c r="S132" s="581"/>
      <c r="T132" s="635"/>
      <c r="U132" s="636"/>
      <c r="V132" s="581"/>
      <c r="W132" s="637"/>
      <c r="X132" s="637"/>
      <c r="Y132" s="581"/>
      <c r="Z132" s="581"/>
      <c r="AA132" s="585"/>
      <c r="AB132" s="586"/>
      <c r="AC132" s="577"/>
      <c r="AD132" s="577"/>
      <c r="AE132" s="572"/>
      <c r="AF132" s="635"/>
      <c r="AG132" s="637"/>
      <c r="AH132" s="637"/>
      <c r="AI132" s="587"/>
      <c r="AJ132" s="636"/>
      <c r="AK132" s="587"/>
      <c r="AL132" s="589"/>
      <c r="AM132" s="638"/>
      <c r="AN132" s="639"/>
      <c r="AO132" s="639"/>
      <c r="AP132" s="640"/>
      <c r="AQ132" s="640"/>
      <c r="AR132" s="641"/>
      <c r="AS132" s="642"/>
      <c r="AT132" s="643"/>
      <c r="AU132" s="640"/>
      <c r="AV132" s="644"/>
      <c r="AW132" s="645"/>
      <c r="AX132" s="638"/>
      <c r="AY132" s="639"/>
      <c r="AZ132" s="639"/>
      <c r="BA132" s="646"/>
    </row>
    <row r="133" ht="15.75" customHeight="1">
      <c r="A133" s="424"/>
      <c r="B133" s="572"/>
      <c r="C133" s="629"/>
      <c r="D133" s="630"/>
      <c r="E133" s="617"/>
      <c r="F133" s="575"/>
      <c r="G133" s="575"/>
      <c r="H133" s="631"/>
      <c r="I133" s="632"/>
      <c r="J133" s="647"/>
      <c r="K133" s="578"/>
      <c r="L133" s="580"/>
      <c r="M133" s="579"/>
      <c r="N133" s="578"/>
      <c r="O133" s="578"/>
      <c r="P133" s="634"/>
      <c r="Q133" s="634"/>
      <c r="R133" s="634"/>
      <c r="S133" s="581"/>
      <c r="T133" s="635"/>
      <c r="U133" s="636"/>
      <c r="V133" s="581"/>
      <c r="W133" s="637"/>
      <c r="X133" s="637"/>
      <c r="Y133" s="581"/>
      <c r="Z133" s="581"/>
      <c r="AA133" s="585"/>
      <c r="AB133" s="586"/>
      <c r="AC133" s="577"/>
      <c r="AD133" s="577"/>
      <c r="AE133" s="572"/>
      <c r="AF133" s="635"/>
      <c r="AG133" s="637"/>
      <c r="AH133" s="637"/>
      <c r="AI133" s="587"/>
      <c r="AJ133" s="636"/>
      <c r="AK133" s="587"/>
      <c r="AL133" s="589"/>
      <c r="AM133" s="638"/>
      <c r="AN133" s="639"/>
      <c r="AO133" s="639"/>
      <c r="AP133" s="640"/>
      <c r="AQ133" s="640"/>
      <c r="AR133" s="641"/>
      <c r="AS133" s="642"/>
      <c r="AT133" s="643"/>
      <c r="AU133" s="640"/>
      <c r="AV133" s="644"/>
      <c r="AW133" s="645"/>
      <c r="AX133" s="638"/>
      <c r="AY133" s="639"/>
      <c r="AZ133" s="639"/>
      <c r="BA133" s="646"/>
    </row>
    <row r="134" ht="15.75" customHeight="1">
      <c r="A134" s="424"/>
      <c r="B134" s="572"/>
      <c r="C134" s="629"/>
      <c r="D134" s="630"/>
      <c r="E134" s="617"/>
      <c r="F134" s="575"/>
      <c r="G134" s="575"/>
      <c r="H134" s="631"/>
      <c r="I134" s="632"/>
      <c r="J134" s="647"/>
      <c r="K134" s="578"/>
      <c r="L134" s="580"/>
      <c r="M134" s="579"/>
      <c r="N134" s="578"/>
      <c r="O134" s="578"/>
      <c r="P134" s="634"/>
      <c r="Q134" s="634"/>
      <c r="R134" s="634"/>
      <c r="S134" s="581"/>
      <c r="T134" s="635"/>
      <c r="U134" s="636"/>
      <c r="V134" s="581"/>
      <c r="W134" s="637"/>
      <c r="X134" s="637"/>
      <c r="Y134" s="581"/>
      <c r="Z134" s="581"/>
      <c r="AA134" s="585"/>
      <c r="AB134" s="586"/>
      <c r="AC134" s="577"/>
      <c r="AD134" s="577"/>
      <c r="AE134" s="572"/>
      <c r="AF134" s="635"/>
      <c r="AG134" s="637"/>
      <c r="AH134" s="637"/>
      <c r="AI134" s="587"/>
      <c r="AJ134" s="636"/>
      <c r="AK134" s="587"/>
      <c r="AL134" s="589"/>
      <c r="AM134" s="638"/>
      <c r="AN134" s="639"/>
      <c r="AO134" s="639"/>
      <c r="AP134" s="640"/>
      <c r="AQ134" s="640"/>
      <c r="AR134" s="641"/>
      <c r="AS134" s="642"/>
      <c r="AT134" s="643"/>
      <c r="AU134" s="640"/>
      <c r="AV134" s="644"/>
      <c r="AW134" s="645"/>
      <c r="AX134" s="638"/>
      <c r="AY134" s="639"/>
      <c r="AZ134" s="639"/>
      <c r="BA134" s="646"/>
    </row>
    <row r="135" ht="15.75" customHeight="1">
      <c r="A135" s="424"/>
      <c r="B135" s="572"/>
      <c r="C135" s="629"/>
      <c r="D135" s="630"/>
      <c r="E135" s="617"/>
      <c r="F135" s="575"/>
      <c r="G135" s="575"/>
      <c r="H135" s="631"/>
      <c r="I135" s="632"/>
      <c r="J135" s="647"/>
      <c r="K135" s="578"/>
      <c r="L135" s="580"/>
      <c r="M135" s="579"/>
      <c r="N135" s="578"/>
      <c r="O135" s="578"/>
      <c r="P135" s="634"/>
      <c r="Q135" s="634"/>
      <c r="R135" s="634"/>
      <c r="S135" s="581"/>
      <c r="T135" s="635"/>
      <c r="U135" s="636"/>
      <c r="V135" s="581"/>
      <c r="W135" s="637"/>
      <c r="X135" s="637"/>
      <c r="Y135" s="581"/>
      <c r="Z135" s="581"/>
      <c r="AA135" s="585"/>
      <c r="AB135" s="586"/>
      <c r="AC135" s="577"/>
      <c r="AD135" s="577"/>
      <c r="AE135" s="572"/>
      <c r="AF135" s="635"/>
      <c r="AG135" s="637"/>
      <c r="AH135" s="637"/>
      <c r="AI135" s="587"/>
      <c r="AJ135" s="636"/>
      <c r="AK135" s="587"/>
      <c r="AL135" s="589"/>
      <c r="AM135" s="638"/>
      <c r="AN135" s="639"/>
      <c r="AO135" s="639"/>
      <c r="AP135" s="640"/>
      <c r="AQ135" s="640"/>
      <c r="AR135" s="641"/>
      <c r="AS135" s="642"/>
      <c r="AT135" s="643"/>
      <c r="AU135" s="640"/>
      <c r="AV135" s="644"/>
      <c r="AW135" s="645"/>
      <c r="AX135" s="638"/>
      <c r="AY135" s="639"/>
      <c r="AZ135" s="639"/>
      <c r="BA135" s="646"/>
    </row>
    <row r="136" ht="15.75" customHeight="1">
      <c r="A136" s="424"/>
      <c r="B136" s="572"/>
      <c r="C136" s="629"/>
      <c r="D136" s="630"/>
      <c r="E136" s="617"/>
      <c r="F136" s="575"/>
      <c r="G136" s="575"/>
      <c r="H136" s="631"/>
      <c r="I136" s="632"/>
      <c r="J136" s="647"/>
      <c r="K136" s="578"/>
      <c r="L136" s="580"/>
      <c r="M136" s="579"/>
      <c r="N136" s="578"/>
      <c r="O136" s="578"/>
      <c r="P136" s="634"/>
      <c r="Q136" s="634"/>
      <c r="R136" s="634"/>
      <c r="S136" s="581"/>
      <c r="T136" s="635"/>
      <c r="U136" s="636"/>
      <c r="V136" s="581"/>
      <c r="W136" s="637"/>
      <c r="X136" s="637"/>
      <c r="Y136" s="581"/>
      <c r="Z136" s="581"/>
      <c r="AA136" s="585"/>
      <c r="AB136" s="586"/>
      <c r="AC136" s="577"/>
      <c r="AD136" s="577"/>
      <c r="AE136" s="572"/>
      <c r="AF136" s="635"/>
      <c r="AG136" s="637"/>
      <c r="AH136" s="637"/>
      <c r="AI136" s="587"/>
      <c r="AJ136" s="636"/>
      <c r="AK136" s="587"/>
      <c r="AL136" s="589"/>
      <c r="AM136" s="638"/>
      <c r="AN136" s="639"/>
      <c r="AO136" s="639"/>
      <c r="AP136" s="640"/>
      <c r="AQ136" s="640"/>
      <c r="AR136" s="641"/>
      <c r="AS136" s="642"/>
      <c r="AT136" s="643"/>
      <c r="AU136" s="640"/>
      <c r="AV136" s="644"/>
      <c r="AW136" s="645"/>
      <c r="AX136" s="638"/>
      <c r="AY136" s="639"/>
      <c r="AZ136" s="639"/>
      <c r="BA136" s="646"/>
    </row>
    <row r="137" ht="15.75" customHeight="1">
      <c r="A137" s="424"/>
      <c r="B137" s="572"/>
      <c r="C137" s="629"/>
      <c r="D137" s="630"/>
      <c r="E137" s="617"/>
      <c r="F137" s="575"/>
      <c r="G137" s="575"/>
      <c r="H137" s="631"/>
      <c r="I137" s="632"/>
      <c r="J137" s="647"/>
      <c r="K137" s="578"/>
      <c r="L137" s="580"/>
      <c r="M137" s="579"/>
      <c r="N137" s="578"/>
      <c r="O137" s="578"/>
      <c r="P137" s="634"/>
      <c r="Q137" s="634"/>
      <c r="R137" s="634"/>
      <c r="S137" s="581"/>
      <c r="T137" s="635"/>
      <c r="U137" s="636"/>
      <c r="V137" s="581"/>
      <c r="W137" s="637"/>
      <c r="X137" s="637"/>
      <c r="Y137" s="581"/>
      <c r="Z137" s="581"/>
      <c r="AA137" s="585"/>
      <c r="AB137" s="586"/>
      <c r="AC137" s="577"/>
      <c r="AD137" s="577"/>
      <c r="AE137" s="572"/>
      <c r="AF137" s="635"/>
      <c r="AG137" s="637"/>
      <c r="AH137" s="637"/>
      <c r="AI137" s="587"/>
      <c r="AJ137" s="636"/>
      <c r="AK137" s="587"/>
      <c r="AL137" s="589"/>
      <c r="AM137" s="638"/>
      <c r="AN137" s="639"/>
      <c r="AO137" s="639"/>
      <c r="AP137" s="640"/>
      <c r="AQ137" s="640"/>
      <c r="AR137" s="641"/>
      <c r="AS137" s="642"/>
      <c r="AT137" s="643"/>
      <c r="AU137" s="640"/>
      <c r="AV137" s="644"/>
      <c r="AW137" s="645"/>
      <c r="AX137" s="638"/>
      <c r="AY137" s="639"/>
      <c r="AZ137" s="639"/>
      <c r="BA137" s="646"/>
    </row>
    <row r="138" ht="15.75" customHeight="1">
      <c r="A138" s="424"/>
      <c r="B138" s="572"/>
      <c r="C138" s="629"/>
      <c r="D138" s="630"/>
      <c r="E138" s="617"/>
      <c r="F138" s="575"/>
      <c r="G138" s="575"/>
      <c r="H138" s="631"/>
      <c r="I138" s="632"/>
      <c r="J138" s="647"/>
      <c r="K138" s="578"/>
      <c r="L138" s="580"/>
      <c r="M138" s="579"/>
      <c r="N138" s="578"/>
      <c r="O138" s="578"/>
      <c r="P138" s="634"/>
      <c r="Q138" s="634"/>
      <c r="R138" s="634"/>
      <c r="S138" s="581"/>
      <c r="T138" s="635"/>
      <c r="U138" s="636"/>
      <c r="V138" s="581"/>
      <c r="W138" s="637"/>
      <c r="X138" s="637"/>
      <c r="Y138" s="581"/>
      <c r="Z138" s="581"/>
      <c r="AA138" s="585"/>
      <c r="AB138" s="586"/>
      <c r="AC138" s="577"/>
      <c r="AD138" s="577"/>
      <c r="AE138" s="572"/>
      <c r="AF138" s="635"/>
      <c r="AG138" s="637"/>
      <c r="AH138" s="637"/>
      <c r="AI138" s="587"/>
      <c r="AJ138" s="636"/>
      <c r="AK138" s="587"/>
      <c r="AL138" s="589"/>
      <c r="AM138" s="638"/>
      <c r="AN138" s="639"/>
      <c r="AO138" s="639"/>
      <c r="AP138" s="640"/>
      <c r="AQ138" s="640"/>
      <c r="AR138" s="641"/>
      <c r="AS138" s="642"/>
      <c r="AT138" s="643"/>
      <c r="AU138" s="640"/>
      <c r="AV138" s="644"/>
      <c r="AW138" s="645"/>
      <c r="AX138" s="638"/>
      <c r="AY138" s="639"/>
      <c r="AZ138" s="639"/>
      <c r="BA138" s="646"/>
    </row>
    <row r="139" ht="15.75" customHeight="1">
      <c r="A139" s="424"/>
      <c r="B139" s="572"/>
      <c r="C139" s="629"/>
      <c r="D139" s="630"/>
      <c r="E139" s="617"/>
      <c r="F139" s="575"/>
      <c r="G139" s="575"/>
      <c r="H139" s="631"/>
      <c r="I139" s="632"/>
      <c r="J139" s="647"/>
      <c r="K139" s="578"/>
      <c r="L139" s="580"/>
      <c r="M139" s="579"/>
      <c r="N139" s="578"/>
      <c r="O139" s="578"/>
      <c r="P139" s="634"/>
      <c r="Q139" s="634"/>
      <c r="R139" s="634"/>
      <c r="S139" s="581"/>
      <c r="T139" s="635"/>
      <c r="U139" s="636"/>
      <c r="V139" s="581"/>
      <c r="W139" s="637"/>
      <c r="X139" s="637"/>
      <c r="Y139" s="581"/>
      <c r="Z139" s="581"/>
      <c r="AA139" s="585"/>
      <c r="AB139" s="586"/>
      <c r="AC139" s="577"/>
      <c r="AD139" s="577"/>
      <c r="AE139" s="572"/>
      <c r="AF139" s="635"/>
      <c r="AG139" s="637"/>
      <c r="AH139" s="637"/>
      <c r="AI139" s="587"/>
      <c r="AJ139" s="636"/>
      <c r="AK139" s="587"/>
      <c r="AL139" s="589"/>
      <c r="AM139" s="638"/>
      <c r="AN139" s="639"/>
      <c r="AO139" s="639"/>
      <c r="AP139" s="640"/>
      <c r="AQ139" s="640"/>
      <c r="AR139" s="641"/>
      <c r="AS139" s="642"/>
      <c r="AT139" s="643"/>
      <c r="AU139" s="640"/>
      <c r="AV139" s="644"/>
      <c r="AW139" s="645"/>
      <c r="AX139" s="638"/>
      <c r="AY139" s="639"/>
      <c r="AZ139" s="639"/>
      <c r="BA139" s="646"/>
    </row>
    <row r="140" ht="15.75" customHeight="1">
      <c r="A140" s="424"/>
      <c r="B140" s="572"/>
      <c r="C140" s="629"/>
      <c r="D140" s="630"/>
      <c r="E140" s="617"/>
      <c r="F140" s="575"/>
      <c r="G140" s="575"/>
      <c r="H140" s="631"/>
      <c r="I140" s="632"/>
      <c r="J140" s="647"/>
      <c r="K140" s="578"/>
      <c r="L140" s="580"/>
      <c r="M140" s="579"/>
      <c r="N140" s="578"/>
      <c r="O140" s="578"/>
      <c r="P140" s="634"/>
      <c r="Q140" s="634"/>
      <c r="R140" s="634"/>
      <c r="S140" s="581"/>
      <c r="T140" s="635"/>
      <c r="U140" s="636"/>
      <c r="V140" s="581"/>
      <c r="W140" s="637"/>
      <c r="X140" s="637"/>
      <c r="Y140" s="581"/>
      <c r="Z140" s="581"/>
      <c r="AA140" s="585"/>
      <c r="AB140" s="586"/>
      <c r="AC140" s="577"/>
      <c r="AD140" s="577"/>
      <c r="AE140" s="572"/>
      <c r="AF140" s="635"/>
      <c r="AG140" s="637"/>
      <c r="AH140" s="637"/>
      <c r="AI140" s="587"/>
      <c r="AJ140" s="636"/>
      <c r="AK140" s="587"/>
      <c r="AL140" s="589"/>
      <c r="AM140" s="638"/>
      <c r="AN140" s="639"/>
      <c r="AO140" s="639"/>
      <c r="AP140" s="640"/>
      <c r="AQ140" s="640"/>
      <c r="AR140" s="641"/>
      <c r="AS140" s="642"/>
      <c r="AT140" s="643"/>
      <c r="AU140" s="640"/>
      <c r="AV140" s="644"/>
      <c r="AW140" s="645"/>
      <c r="AX140" s="638"/>
      <c r="AY140" s="639"/>
      <c r="AZ140" s="639"/>
      <c r="BA140" s="646"/>
    </row>
    <row r="141" ht="15.75" customHeight="1">
      <c r="A141" s="424"/>
      <c r="B141" s="572"/>
      <c r="C141" s="629"/>
      <c r="D141" s="630"/>
      <c r="E141" s="617"/>
      <c r="F141" s="575"/>
      <c r="G141" s="575"/>
      <c r="H141" s="631"/>
      <c r="I141" s="632"/>
      <c r="J141" s="647"/>
      <c r="K141" s="578"/>
      <c r="L141" s="580"/>
      <c r="M141" s="579"/>
      <c r="N141" s="578"/>
      <c r="O141" s="578"/>
      <c r="P141" s="634"/>
      <c r="Q141" s="634"/>
      <c r="R141" s="634"/>
      <c r="S141" s="581"/>
      <c r="T141" s="635"/>
      <c r="U141" s="636"/>
      <c r="V141" s="581"/>
      <c r="W141" s="637"/>
      <c r="X141" s="637"/>
      <c r="Y141" s="581"/>
      <c r="Z141" s="581"/>
      <c r="AA141" s="585"/>
      <c r="AB141" s="586"/>
      <c r="AC141" s="577"/>
      <c r="AD141" s="577"/>
      <c r="AE141" s="572"/>
      <c r="AF141" s="635"/>
      <c r="AG141" s="637"/>
      <c r="AH141" s="637"/>
      <c r="AI141" s="587"/>
      <c r="AJ141" s="636"/>
      <c r="AK141" s="587"/>
      <c r="AL141" s="589"/>
      <c r="AM141" s="638"/>
      <c r="AN141" s="639"/>
      <c r="AO141" s="639"/>
      <c r="AP141" s="640"/>
      <c r="AQ141" s="640"/>
      <c r="AR141" s="641"/>
      <c r="AS141" s="642"/>
      <c r="AT141" s="643"/>
      <c r="AU141" s="640"/>
      <c r="AV141" s="644"/>
      <c r="AW141" s="645"/>
      <c r="AX141" s="638"/>
      <c r="AY141" s="639"/>
      <c r="AZ141" s="639"/>
      <c r="BA141" s="646"/>
    </row>
    <row r="142" ht="15.75" customHeight="1">
      <c r="A142" s="424"/>
      <c r="B142" s="572"/>
      <c r="C142" s="629"/>
      <c r="D142" s="630"/>
      <c r="E142" s="617"/>
      <c r="F142" s="575"/>
      <c r="G142" s="575"/>
      <c r="H142" s="631"/>
      <c r="I142" s="632"/>
      <c r="J142" s="647"/>
      <c r="K142" s="578"/>
      <c r="L142" s="580"/>
      <c r="M142" s="579"/>
      <c r="N142" s="578"/>
      <c r="O142" s="578"/>
      <c r="P142" s="634"/>
      <c r="Q142" s="634"/>
      <c r="R142" s="634"/>
      <c r="S142" s="581"/>
      <c r="T142" s="635"/>
      <c r="U142" s="636"/>
      <c r="V142" s="581"/>
      <c r="W142" s="637"/>
      <c r="X142" s="637"/>
      <c r="Y142" s="581"/>
      <c r="Z142" s="581"/>
      <c r="AA142" s="585"/>
      <c r="AB142" s="586"/>
      <c r="AC142" s="577"/>
      <c r="AD142" s="577"/>
      <c r="AE142" s="572"/>
      <c r="AF142" s="635"/>
      <c r="AG142" s="637"/>
      <c r="AH142" s="637"/>
      <c r="AI142" s="587"/>
      <c r="AJ142" s="636"/>
      <c r="AK142" s="587"/>
      <c r="AL142" s="589"/>
      <c r="AM142" s="638"/>
      <c r="AN142" s="639"/>
      <c r="AO142" s="639"/>
      <c r="AP142" s="640"/>
      <c r="AQ142" s="640"/>
      <c r="AR142" s="641"/>
      <c r="AS142" s="642"/>
      <c r="AT142" s="643"/>
      <c r="AU142" s="640"/>
      <c r="AV142" s="644"/>
      <c r="AW142" s="645"/>
      <c r="AX142" s="638"/>
      <c r="AY142" s="639"/>
      <c r="AZ142" s="639"/>
      <c r="BA142" s="646"/>
    </row>
    <row r="143" ht="15.75" customHeight="1">
      <c r="A143" s="424"/>
      <c r="B143" s="572"/>
      <c r="C143" s="629"/>
      <c r="D143" s="630"/>
      <c r="E143" s="617"/>
      <c r="F143" s="575"/>
      <c r="G143" s="575"/>
      <c r="H143" s="631"/>
      <c r="I143" s="632"/>
      <c r="J143" s="647"/>
      <c r="K143" s="578"/>
      <c r="L143" s="580"/>
      <c r="M143" s="579"/>
      <c r="N143" s="578"/>
      <c r="O143" s="578"/>
      <c r="P143" s="634"/>
      <c r="Q143" s="634"/>
      <c r="R143" s="634"/>
      <c r="S143" s="581"/>
      <c r="T143" s="635"/>
      <c r="U143" s="636"/>
      <c r="V143" s="581"/>
      <c r="W143" s="637"/>
      <c r="X143" s="637"/>
      <c r="Y143" s="581"/>
      <c r="Z143" s="581"/>
      <c r="AA143" s="585"/>
      <c r="AB143" s="586"/>
      <c r="AC143" s="577"/>
      <c r="AD143" s="577"/>
      <c r="AE143" s="572"/>
      <c r="AF143" s="635"/>
      <c r="AG143" s="637"/>
      <c r="AH143" s="637"/>
      <c r="AI143" s="587"/>
      <c r="AJ143" s="636"/>
      <c r="AK143" s="587"/>
      <c r="AL143" s="589"/>
      <c r="AM143" s="638"/>
      <c r="AN143" s="639"/>
      <c r="AO143" s="639"/>
      <c r="AP143" s="640"/>
      <c r="AQ143" s="640"/>
      <c r="AR143" s="641"/>
      <c r="AS143" s="642"/>
      <c r="AT143" s="643"/>
      <c r="AU143" s="640"/>
      <c r="AV143" s="644"/>
      <c r="AW143" s="645"/>
      <c r="AX143" s="638"/>
      <c r="AY143" s="639"/>
      <c r="AZ143" s="639"/>
      <c r="BA143" s="646"/>
    </row>
    <row r="144" ht="15.75" customHeight="1">
      <c r="A144" s="424"/>
      <c r="B144" s="572"/>
      <c r="C144" s="629"/>
      <c r="D144" s="630"/>
      <c r="E144" s="617"/>
      <c r="F144" s="575"/>
      <c r="G144" s="575"/>
      <c r="H144" s="631"/>
      <c r="I144" s="632"/>
      <c r="J144" s="647"/>
      <c r="K144" s="578"/>
      <c r="L144" s="580"/>
      <c r="M144" s="579"/>
      <c r="N144" s="578"/>
      <c r="O144" s="578"/>
      <c r="P144" s="634"/>
      <c r="Q144" s="634"/>
      <c r="R144" s="634"/>
      <c r="S144" s="581"/>
      <c r="T144" s="635"/>
      <c r="U144" s="636"/>
      <c r="V144" s="581"/>
      <c r="W144" s="637"/>
      <c r="X144" s="637"/>
      <c r="Y144" s="581"/>
      <c r="Z144" s="581"/>
      <c r="AA144" s="585"/>
      <c r="AB144" s="586"/>
      <c r="AC144" s="577"/>
      <c r="AD144" s="577"/>
      <c r="AE144" s="572"/>
      <c r="AF144" s="635"/>
      <c r="AG144" s="637"/>
      <c r="AH144" s="637"/>
      <c r="AI144" s="587"/>
      <c r="AJ144" s="636"/>
      <c r="AK144" s="587"/>
      <c r="AL144" s="589"/>
      <c r="AM144" s="638"/>
      <c r="AN144" s="639"/>
      <c r="AO144" s="639"/>
      <c r="AP144" s="640"/>
      <c r="AQ144" s="640"/>
      <c r="AR144" s="641"/>
      <c r="AS144" s="642"/>
      <c r="AT144" s="643"/>
      <c r="AU144" s="640"/>
      <c r="AV144" s="644"/>
      <c r="AW144" s="645"/>
      <c r="AX144" s="638"/>
      <c r="AY144" s="639"/>
      <c r="AZ144" s="639"/>
      <c r="BA144" s="646"/>
    </row>
    <row r="145" ht="15.75" customHeight="1">
      <c r="A145" s="424"/>
      <c r="B145" s="572"/>
      <c r="C145" s="629"/>
      <c r="D145" s="630"/>
      <c r="E145" s="617"/>
      <c r="F145" s="575"/>
      <c r="G145" s="575"/>
      <c r="H145" s="631"/>
      <c r="I145" s="632"/>
      <c r="J145" s="647"/>
      <c r="K145" s="578"/>
      <c r="L145" s="580"/>
      <c r="M145" s="579"/>
      <c r="N145" s="578"/>
      <c r="O145" s="578"/>
      <c r="P145" s="634"/>
      <c r="Q145" s="634"/>
      <c r="R145" s="634"/>
      <c r="S145" s="581"/>
      <c r="T145" s="635"/>
      <c r="U145" s="636"/>
      <c r="V145" s="581"/>
      <c r="W145" s="637"/>
      <c r="X145" s="637"/>
      <c r="Y145" s="581"/>
      <c r="Z145" s="581"/>
      <c r="AA145" s="585"/>
      <c r="AB145" s="586"/>
      <c r="AC145" s="577"/>
      <c r="AD145" s="577"/>
      <c r="AE145" s="572"/>
      <c r="AF145" s="635"/>
      <c r="AG145" s="637"/>
      <c r="AH145" s="637"/>
      <c r="AI145" s="587"/>
      <c r="AJ145" s="636"/>
      <c r="AK145" s="587"/>
      <c r="AL145" s="589"/>
      <c r="AM145" s="638"/>
      <c r="AN145" s="639"/>
      <c r="AO145" s="639"/>
      <c r="AP145" s="640"/>
      <c r="AQ145" s="640"/>
      <c r="AR145" s="641"/>
      <c r="AS145" s="642"/>
      <c r="AT145" s="643"/>
      <c r="AU145" s="640"/>
      <c r="AV145" s="644"/>
      <c r="AW145" s="645"/>
      <c r="AX145" s="638"/>
      <c r="AY145" s="639"/>
      <c r="AZ145" s="639"/>
      <c r="BA145" s="646"/>
    </row>
    <row r="146" ht="15.75" customHeight="1">
      <c r="A146" s="424"/>
      <c r="B146" s="572"/>
      <c r="C146" s="629"/>
      <c r="D146" s="630"/>
      <c r="E146" s="617"/>
      <c r="F146" s="575"/>
      <c r="G146" s="575"/>
      <c r="H146" s="631"/>
      <c r="I146" s="632"/>
      <c r="J146" s="647"/>
      <c r="K146" s="578"/>
      <c r="L146" s="580"/>
      <c r="M146" s="579"/>
      <c r="N146" s="578"/>
      <c r="O146" s="578"/>
      <c r="P146" s="634"/>
      <c r="Q146" s="634"/>
      <c r="R146" s="634"/>
      <c r="S146" s="581"/>
      <c r="T146" s="635"/>
      <c r="U146" s="636"/>
      <c r="V146" s="581"/>
      <c r="W146" s="637"/>
      <c r="X146" s="637"/>
      <c r="Y146" s="581"/>
      <c r="Z146" s="581"/>
      <c r="AA146" s="585"/>
      <c r="AB146" s="586"/>
      <c r="AC146" s="577"/>
      <c r="AD146" s="577"/>
      <c r="AE146" s="572"/>
      <c r="AF146" s="635"/>
      <c r="AG146" s="637"/>
      <c r="AH146" s="637"/>
      <c r="AI146" s="587"/>
      <c r="AJ146" s="636"/>
      <c r="AK146" s="587"/>
      <c r="AL146" s="589"/>
      <c r="AM146" s="638"/>
      <c r="AN146" s="639"/>
      <c r="AO146" s="639"/>
      <c r="AP146" s="640"/>
      <c r="AQ146" s="640"/>
      <c r="AR146" s="641"/>
      <c r="AS146" s="642"/>
      <c r="AT146" s="643"/>
      <c r="AU146" s="640"/>
      <c r="AV146" s="644"/>
      <c r="AW146" s="645"/>
      <c r="AX146" s="638"/>
      <c r="AY146" s="639"/>
      <c r="AZ146" s="639"/>
      <c r="BA146" s="646"/>
    </row>
    <row r="147" ht="15.75" customHeight="1">
      <c r="A147" s="424"/>
      <c r="B147" s="572"/>
      <c r="C147" s="629"/>
      <c r="D147" s="630"/>
      <c r="E147" s="617"/>
      <c r="F147" s="575"/>
      <c r="G147" s="575"/>
      <c r="H147" s="631"/>
      <c r="I147" s="632"/>
      <c r="J147" s="647"/>
      <c r="K147" s="578"/>
      <c r="L147" s="580"/>
      <c r="M147" s="579"/>
      <c r="N147" s="578"/>
      <c r="O147" s="578"/>
      <c r="P147" s="634"/>
      <c r="Q147" s="634"/>
      <c r="R147" s="634"/>
      <c r="S147" s="581"/>
      <c r="T147" s="635"/>
      <c r="U147" s="636"/>
      <c r="V147" s="581"/>
      <c r="W147" s="637"/>
      <c r="X147" s="637"/>
      <c r="Y147" s="581"/>
      <c r="Z147" s="581"/>
      <c r="AA147" s="585"/>
      <c r="AB147" s="586"/>
      <c r="AC147" s="577"/>
      <c r="AD147" s="577"/>
      <c r="AE147" s="572"/>
      <c r="AF147" s="635"/>
      <c r="AG147" s="637"/>
      <c r="AH147" s="637"/>
      <c r="AI147" s="587"/>
      <c r="AJ147" s="636"/>
      <c r="AK147" s="587"/>
      <c r="AL147" s="589"/>
      <c r="AM147" s="638"/>
      <c r="AN147" s="639"/>
      <c r="AO147" s="639"/>
      <c r="AP147" s="640"/>
      <c r="AQ147" s="640"/>
      <c r="AR147" s="641"/>
      <c r="AS147" s="642"/>
      <c r="AT147" s="643"/>
      <c r="AU147" s="640"/>
      <c r="AV147" s="644"/>
      <c r="AW147" s="645"/>
      <c r="AX147" s="638"/>
      <c r="AY147" s="639"/>
      <c r="AZ147" s="639"/>
      <c r="BA147" s="646"/>
    </row>
    <row r="148" ht="15.75" customHeight="1">
      <c r="A148" s="424"/>
      <c r="B148" s="572"/>
      <c r="C148" s="629"/>
      <c r="D148" s="630"/>
      <c r="E148" s="617"/>
      <c r="F148" s="575"/>
      <c r="G148" s="575"/>
      <c r="H148" s="631"/>
      <c r="I148" s="632"/>
      <c r="J148" s="647"/>
      <c r="K148" s="578"/>
      <c r="L148" s="580"/>
      <c r="M148" s="579"/>
      <c r="N148" s="578"/>
      <c r="O148" s="578"/>
      <c r="P148" s="634"/>
      <c r="Q148" s="634"/>
      <c r="R148" s="634"/>
      <c r="S148" s="581"/>
      <c r="T148" s="635"/>
      <c r="U148" s="636"/>
      <c r="V148" s="581"/>
      <c r="W148" s="637"/>
      <c r="X148" s="637"/>
      <c r="Y148" s="581"/>
      <c r="Z148" s="581"/>
      <c r="AA148" s="585"/>
      <c r="AB148" s="586"/>
      <c r="AC148" s="577"/>
      <c r="AD148" s="577"/>
      <c r="AE148" s="572"/>
      <c r="AF148" s="635"/>
      <c r="AG148" s="637"/>
      <c r="AH148" s="637"/>
      <c r="AI148" s="587"/>
      <c r="AJ148" s="636"/>
      <c r="AK148" s="587"/>
      <c r="AL148" s="589"/>
      <c r="AM148" s="638"/>
      <c r="AN148" s="639"/>
      <c r="AO148" s="639"/>
      <c r="AP148" s="640"/>
      <c r="AQ148" s="640"/>
      <c r="AR148" s="641"/>
      <c r="AS148" s="642"/>
      <c r="AT148" s="643"/>
      <c r="AU148" s="640"/>
      <c r="AV148" s="644"/>
      <c r="AW148" s="645"/>
      <c r="AX148" s="638"/>
      <c r="AY148" s="639"/>
      <c r="AZ148" s="639"/>
      <c r="BA148" s="646"/>
    </row>
    <row r="149" ht="15.75" customHeight="1">
      <c r="A149" s="424"/>
      <c r="B149" s="572"/>
      <c r="C149" s="629"/>
      <c r="D149" s="630"/>
      <c r="E149" s="617"/>
      <c r="F149" s="575"/>
      <c r="G149" s="575"/>
      <c r="H149" s="631"/>
      <c r="I149" s="632"/>
      <c r="J149" s="647"/>
      <c r="K149" s="578"/>
      <c r="L149" s="580"/>
      <c r="M149" s="579"/>
      <c r="N149" s="578"/>
      <c r="O149" s="578"/>
      <c r="P149" s="634"/>
      <c r="Q149" s="634"/>
      <c r="R149" s="634"/>
      <c r="S149" s="581"/>
      <c r="T149" s="635"/>
      <c r="U149" s="636"/>
      <c r="V149" s="581"/>
      <c r="W149" s="637"/>
      <c r="X149" s="637"/>
      <c r="Y149" s="581"/>
      <c r="Z149" s="581"/>
      <c r="AA149" s="585"/>
      <c r="AB149" s="586"/>
      <c r="AC149" s="577"/>
      <c r="AD149" s="577"/>
      <c r="AE149" s="572"/>
      <c r="AF149" s="635"/>
      <c r="AG149" s="637"/>
      <c r="AH149" s="637"/>
      <c r="AI149" s="587"/>
      <c r="AJ149" s="636"/>
      <c r="AK149" s="587"/>
      <c r="AL149" s="589"/>
      <c r="AM149" s="638"/>
      <c r="AN149" s="639"/>
      <c r="AO149" s="639"/>
      <c r="AP149" s="640"/>
      <c r="AQ149" s="640"/>
      <c r="AR149" s="641"/>
      <c r="AS149" s="642"/>
      <c r="AT149" s="643"/>
      <c r="AU149" s="640"/>
      <c r="AV149" s="644"/>
      <c r="AW149" s="645"/>
      <c r="AX149" s="638"/>
      <c r="AY149" s="639"/>
      <c r="AZ149" s="639"/>
      <c r="BA149" s="646"/>
    </row>
    <row r="150" ht="15.75" customHeight="1">
      <c r="A150" s="424"/>
      <c r="B150" s="572"/>
      <c r="C150" s="629"/>
      <c r="D150" s="630"/>
      <c r="E150" s="617"/>
      <c r="F150" s="575"/>
      <c r="G150" s="575"/>
      <c r="H150" s="631"/>
      <c r="I150" s="632"/>
      <c r="J150" s="647"/>
      <c r="K150" s="578"/>
      <c r="L150" s="580"/>
      <c r="M150" s="579"/>
      <c r="N150" s="578"/>
      <c r="O150" s="578"/>
      <c r="P150" s="634"/>
      <c r="Q150" s="634"/>
      <c r="R150" s="634"/>
      <c r="S150" s="581"/>
      <c r="T150" s="635"/>
      <c r="U150" s="636"/>
      <c r="V150" s="581"/>
      <c r="W150" s="637"/>
      <c r="X150" s="637"/>
      <c r="Y150" s="581"/>
      <c r="Z150" s="581"/>
      <c r="AA150" s="585"/>
      <c r="AB150" s="586"/>
      <c r="AC150" s="577"/>
      <c r="AD150" s="577"/>
      <c r="AE150" s="572"/>
      <c r="AF150" s="635"/>
      <c r="AG150" s="637"/>
      <c r="AH150" s="637"/>
      <c r="AI150" s="587"/>
      <c r="AJ150" s="636"/>
      <c r="AK150" s="587"/>
      <c r="AL150" s="589"/>
      <c r="AM150" s="638"/>
      <c r="AN150" s="639"/>
      <c r="AO150" s="639"/>
      <c r="AP150" s="640"/>
      <c r="AQ150" s="640"/>
      <c r="AR150" s="641"/>
      <c r="AS150" s="642"/>
      <c r="AT150" s="643"/>
      <c r="AU150" s="640"/>
      <c r="AV150" s="644"/>
      <c r="AW150" s="645"/>
      <c r="AX150" s="638"/>
      <c r="AY150" s="639"/>
      <c r="AZ150" s="639"/>
      <c r="BA150" s="646"/>
    </row>
    <row r="151" ht="15.75" customHeight="1">
      <c r="A151" s="424"/>
      <c r="B151" s="572"/>
      <c r="C151" s="629"/>
      <c r="D151" s="630"/>
      <c r="E151" s="617"/>
      <c r="F151" s="575"/>
      <c r="G151" s="575"/>
      <c r="H151" s="631"/>
      <c r="I151" s="632"/>
      <c r="J151" s="647"/>
      <c r="K151" s="578"/>
      <c r="L151" s="580"/>
      <c r="M151" s="579"/>
      <c r="N151" s="578"/>
      <c r="O151" s="578"/>
      <c r="P151" s="634"/>
      <c r="Q151" s="634"/>
      <c r="R151" s="634"/>
      <c r="S151" s="581"/>
      <c r="T151" s="635"/>
      <c r="U151" s="636"/>
      <c r="V151" s="581"/>
      <c r="W151" s="637"/>
      <c r="X151" s="637"/>
      <c r="Y151" s="581"/>
      <c r="Z151" s="581"/>
      <c r="AA151" s="585"/>
      <c r="AB151" s="586"/>
      <c r="AC151" s="577"/>
      <c r="AD151" s="577"/>
      <c r="AE151" s="572"/>
      <c r="AF151" s="635"/>
      <c r="AG151" s="637"/>
      <c r="AH151" s="637"/>
      <c r="AI151" s="587"/>
      <c r="AJ151" s="636"/>
      <c r="AK151" s="587"/>
      <c r="AL151" s="589"/>
      <c r="AM151" s="638"/>
      <c r="AN151" s="639"/>
      <c r="AO151" s="639"/>
      <c r="AP151" s="640"/>
      <c r="AQ151" s="640"/>
      <c r="AR151" s="641"/>
      <c r="AS151" s="642"/>
      <c r="AT151" s="643"/>
      <c r="AU151" s="640"/>
      <c r="AV151" s="644"/>
      <c r="AW151" s="645"/>
      <c r="AX151" s="638"/>
      <c r="AY151" s="639"/>
      <c r="AZ151" s="639"/>
      <c r="BA151" s="646"/>
    </row>
    <row r="152" ht="15.75" customHeight="1">
      <c r="A152" s="424"/>
      <c r="B152" s="572"/>
      <c r="C152" s="629"/>
      <c r="D152" s="630"/>
      <c r="E152" s="617"/>
      <c r="F152" s="575"/>
      <c r="G152" s="575"/>
      <c r="H152" s="631"/>
      <c r="I152" s="632"/>
      <c r="J152" s="647"/>
      <c r="K152" s="578"/>
      <c r="L152" s="580"/>
      <c r="M152" s="579"/>
      <c r="N152" s="578"/>
      <c r="O152" s="578"/>
      <c r="P152" s="634"/>
      <c r="Q152" s="634"/>
      <c r="R152" s="634"/>
      <c r="S152" s="581"/>
      <c r="T152" s="635"/>
      <c r="U152" s="636"/>
      <c r="V152" s="581"/>
      <c r="W152" s="637"/>
      <c r="X152" s="637"/>
      <c r="Y152" s="581"/>
      <c r="Z152" s="581"/>
      <c r="AA152" s="585"/>
      <c r="AB152" s="586"/>
      <c r="AC152" s="577"/>
      <c r="AD152" s="577"/>
      <c r="AE152" s="572"/>
      <c r="AF152" s="635"/>
      <c r="AG152" s="637"/>
      <c r="AH152" s="637"/>
      <c r="AI152" s="587"/>
      <c r="AJ152" s="636"/>
      <c r="AK152" s="587"/>
      <c r="AL152" s="589"/>
      <c r="AM152" s="638"/>
      <c r="AN152" s="639"/>
      <c r="AO152" s="639"/>
      <c r="AP152" s="640"/>
      <c r="AQ152" s="640"/>
      <c r="AR152" s="641"/>
      <c r="AS152" s="642"/>
      <c r="AT152" s="643"/>
      <c r="AU152" s="640"/>
      <c r="AV152" s="644"/>
      <c r="AW152" s="645"/>
      <c r="AX152" s="638"/>
      <c r="AY152" s="639"/>
      <c r="AZ152" s="639"/>
      <c r="BA152" s="646"/>
    </row>
    <row r="153" ht="15.75" customHeight="1">
      <c r="A153" s="424"/>
      <c r="B153" s="572"/>
      <c r="C153" s="629"/>
      <c r="D153" s="630"/>
      <c r="E153" s="617"/>
      <c r="F153" s="575"/>
      <c r="G153" s="575"/>
      <c r="H153" s="631"/>
      <c r="I153" s="632"/>
      <c r="J153" s="647"/>
      <c r="K153" s="578"/>
      <c r="L153" s="580"/>
      <c r="M153" s="579"/>
      <c r="N153" s="578"/>
      <c r="O153" s="578"/>
      <c r="P153" s="634"/>
      <c r="Q153" s="634"/>
      <c r="R153" s="634"/>
      <c r="S153" s="581"/>
      <c r="T153" s="635"/>
      <c r="U153" s="636"/>
      <c r="V153" s="581"/>
      <c r="W153" s="637"/>
      <c r="X153" s="637"/>
      <c r="Y153" s="581"/>
      <c r="Z153" s="581"/>
      <c r="AA153" s="585"/>
      <c r="AB153" s="586"/>
      <c r="AC153" s="577"/>
      <c r="AD153" s="577"/>
      <c r="AE153" s="572"/>
      <c r="AF153" s="635"/>
      <c r="AG153" s="637"/>
      <c r="AH153" s="637"/>
      <c r="AI153" s="587"/>
      <c r="AJ153" s="636"/>
      <c r="AK153" s="587"/>
      <c r="AL153" s="589"/>
      <c r="AM153" s="638"/>
      <c r="AN153" s="639"/>
      <c r="AO153" s="639"/>
      <c r="AP153" s="640"/>
      <c r="AQ153" s="640"/>
      <c r="AR153" s="641"/>
      <c r="AS153" s="642"/>
      <c r="AT153" s="643"/>
      <c r="AU153" s="640"/>
      <c r="AV153" s="644"/>
      <c r="AW153" s="645"/>
      <c r="AX153" s="638"/>
      <c r="AY153" s="639"/>
      <c r="AZ153" s="639"/>
      <c r="BA153" s="646"/>
    </row>
    <row r="154" ht="15.75" customHeight="1">
      <c r="A154" s="424"/>
      <c r="B154" s="572"/>
      <c r="C154" s="629"/>
      <c r="D154" s="630"/>
      <c r="E154" s="617"/>
      <c r="F154" s="575"/>
      <c r="G154" s="575"/>
      <c r="H154" s="631"/>
      <c r="I154" s="632"/>
      <c r="J154" s="647"/>
      <c r="K154" s="578"/>
      <c r="L154" s="580"/>
      <c r="M154" s="579"/>
      <c r="N154" s="578"/>
      <c r="O154" s="578"/>
      <c r="P154" s="634"/>
      <c r="Q154" s="634"/>
      <c r="R154" s="634"/>
      <c r="S154" s="581"/>
      <c r="T154" s="635"/>
      <c r="U154" s="636"/>
      <c r="V154" s="581"/>
      <c r="W154" s="637"/>
      <c r="X154" s="637"/>
      <c r="Y154" s="581"/>
      <c r="Z154" s="581"/>
      <c r="AA154" s="585"/>
      <c r="AB154" s="586"/>
      <c r="AC154" s="577"/>
      <c r="AD154" s="577"/>
      <c r="AE154" s="572"/>
      <c r="AF154" s="635"/>
      <c r="AG154" s="637"/>
      <c r="AH154" s="637"/>
      <c r="AI154" s="587"/>
      <c r="AJ154" s="636"/>
      <c r="AK154" s="587"/>
      <c r="AL154" s="589"/>
      <c r="AM154" s="638"/>
      <c r="AN154" s="639"/>
      <c r="AO154" s="639"/>
      <c r="AP154" s="640"/>
      <c r="AQ154" s="640"/>
      <c r="AR154" s="641"/>
      <c r="AS154" s="642"/>
      <c r="AT154" s="643"/>
      <c r="AU154" s="640"/>
      <c r="AV154" s="644"/>
      <c r="AW154" s="645"/>
      <c r="AX154" s="638"/>
      <c r="AY154" s="639"/>
      <c r="AZ154" s="639"/>
      <c r="BA154" s="646"/>
    </row>
    <row r="155" ht="15.75" customHeight="1">
      <c r="A155" s="424"/>
      <c r="B155" s="572"/>
      <c r="C155" s="629"/>
      <c r="D155" s="630"/>
      <c r="E155" s="617"/>
      <c r="F155" s="575"/>
      <c r="G155" s="575"/>
      <c r="H155" s="631"/>
      <c r="I155" s="632"/>
      <c r="J155" s="647"/>
      <c r="K155" s="578"/>
      <c r="L155" s="580"/>
      <c r="M155" s="579"/>
      <c r="N155" s="578"/>
      <c r="O155" s="578"/>
      <c r="P155" s="634"/>
      <c r="Q155" s="634"/>
      <c r="R155" s="634"/>
      <c r="S155" s="581"/>
      <c r="T155" s="635"/>
      <c r="U155" s="636"/>
      <c r="V155" s="581"/>
      <c r="W155" s="637"/>
      <c r="X155" s="637"/>
      <c r="Y155" s="581"/>
      <c r="Z155" s="581"/>
      <c r="AA155" s="585"/>
      <c r="AB155" s="586"/>
      <c r="AC155" s="577"/>
      <c r="AD155" s="577"/>
      <c r="AE155" s="572"/>
      <c r="AF155" s="635"/>
      <c r="AG155" s="637"/>
      <c r="AH155" s="637"/>
      <c r="AI155" s="587"/>
      <c r="AJ155" s="636"/>
      <c r="AK155" s="587"/>
      <c r="AL155" s="589"/>
      <c r="AM155" s="638"/>
      <c r="AN155" s="639"/>
      <c r="AO155" s="639"/>
      <c r="AP155" s="640"/>
      <c r="AQ155" s="640"/>
      <c r="AR155" s="641"/>
      <c r="AS155" s="642"/>
      <c r="AT155" s="643"/>
      <c r="AU155" s="640"/>
      <c r="AV155" s="644"/>
      <c r="AW155" s="645"/>
      <c r="AX155" s="638"/>
      <c r="AY155" s="639"/>
      <c r="AZ155" s="639"/>
      <c r="BA155" s="646"/>
    </row>
    <row r="156" ht="15.75" customHeight="1">
      <c r="A156" s="424"/>
      <c r="B156" s="572"/>
      <c r="C156" s="629"/>
      <c r="D156" s="630"/>
      <c r="E156" s="617"/>
      <c r="F156" s="575"/>
      <c r="G156" s="575"/>
      <c r="H156" s="631"/>
      <c r="I156" s="632"/>
      <c r="J156" s="647"/>
      <c r="K156" s="578"/>
      <c r="L156" s="580"/>
      <c r="M156" s="579"/>
      <c r="N156" s="578"/>
      <c r="O156" s="578"/>
      <c r="P156" s="634"/>
      <c r="Q156" s="634"/>
      <c r="R156" s="634"/>
      <c r="S156" s="581"/>
      <c r="T156" s="635"/>
      <c r="U156" s="636"/>
      <c r="V156" s="581"/>
      <c r="W156" s="637"/>
      <c r="X156" s="637"/>
      <c r="Y156" s="581"/>
      <c r="Z156" s="581"/>
      <c r="AA156" s="585"/>
      <c r="AB156" s="586"/>
      <c r="AC156" s="577"/>
      <c r="AD156" s="577"/>
      <c r="AE156" s="572"/>
      <c r="AF156" s="635"/>
      <c r="AG156" s="637"/>
      <c r="AH156" s="637"/>
      <c r="AI156" s="587"/>
      <c r="AJ156" s="636"/>
      <c r="AK156" s="587"/>
      <c r="AL156" s="589"/>
      <c r="AM156" s="638"/>
      <c r="AN156" s="639"/>
      <c r="AO156" s="639"/>
      <c r="AP156" s="640"/>
      <c r="AQ156" s="640"/>
      <c r="AR156" s="641"/>
      <c r="AS156" s="642"/>
      <c r="AT156" s="643"/>
      <c r="AU156" s="640"/>
      <c r="AV156" s="644"/>
      <c r="AW156" s="645"/>
      <c r="AX156" s="638"/>
      <c r="AY156" s="639"/>
      <c r="AZ156" s="639"/>
      <c r="BA156" s="646"/>
    </row>
    <row r="157" ht="15.75" customHeight="1">
      <c r="A157" s="424"/>
      <c r="B157" s="572"/>
      <c r="C157" s="629"/>
      <c r="D157" s="630"/>
      <c r="E157" s="617"/>
      <c r="F157" s="575"/>
      <c r="G157" s="575"/>
      <c r="H157" s="631"/>
      <c r="I157" s="632"/>
      <c r="J157" s="647"/>
      <c r="K157" s="578"/>
      <c r="L157" s="580"/>
      <c r="M157" s="579"/>
      <c r="N157" s="578"/>
      <c r="O157" s="578"/>
      <c r="P157" s="634"/>
      <c r="Q157" s="634"/>
      <c r="R157" s="634"/>
      <c r="S157" s="581"/>
      <c r="T157" s="635"/>
      <c r="U157" s="636"/>
      <c r="V157" s="581"/>
      <c r="W157" s="637"/>
      <c r="X157" s="637"/>
      <c r="Y157" s="581"/>
      <c r="Z157" s="581"/>
      <c r="AA157" s="585"/>
      <c r="AB157" s="586"/>
      <c r="AC157" s="577"/>
      <c r="AD157" s="577"/>
      <c r="AE157" s="572"/>
      <c r="AF157" s="635"/>
      <c r="AG157" s="637"/>
      <c r="AH157" s="637"/>
      <c r="AI157" s="587"/>
      <c r="AJ157" s="636"/>
      <c r="AK157" s="587"/>
      <c r="AL157" s="589"/>
      <c r="AM157" s="638"/>
      <c r="AN157" s="639"/>
      <c r="AO157" s="639"/>
      <c r="AP157" s="640"/>
      <c r="AQ157" s="640"/>
      <c r="AR157" s="641"/>
      <c r="AS157" s="642"/>
      <c r="AT157" s="643"/>
      <c r="AU157" s="640"/>
      <c r="AV157" s="644"/>
      <c r="AW157" s="645"/>
      <c r="AX157" s="638"/>
      <c r="AY157" s="639"/>
      <c r="AZ157" s="639"/>
      <c r="BA157" s="646"/>
    </row>
    <row r="158" ht="15.75" customHeight="1">
      <c r="A158" s="424"/>
      <c r="B158" s="572"/>
      <c r="C158" s="629"/>
      <c r="D158" s="630"/>
      <c r="E158" s="617"/>
      <c r="F158" s="575"/>
      <c r="G158" s="575"/>
      <c r="H158" s="631"/>
      <c r="I158" s="632"/>
      <c r="J158" s="647"/>
      <c r="K158" s="578"/>
      <c r="L158" s="580"/>
      <c r="M158" s="579"/>
      <c r="N158" s="578"/>
      <c r="O158" s="578"/>
      <c r="P158" s="634"/>
      <c r="Q158" s="634"/>
      <c r="R158" s="634"/>
      <c r="S158" s="581"/>
      <c r="T158" s="635"/>
      <c r="U158" s="636"/>
      <c r="V158" s="581"/>
      <c r="W158" s="637"/>
      <c r="X158" s="637"/>
      <c r="Y158" s="581"/>
      <c r="Z158" s="581"/>
      <c r="AA158" s="585"/>
      <c r="AB158" s="586"/>
      <c r="AC158" s="577"/>
      <c r="AD158" s="577"/>
      <c r="AE158" s="572"/>
      <c r="AF158" s="635"/>
      <c r="AG158" s="637"/>
      <c r="AH158" s="637"/>
      <c r="AI158" s="587"/>
      <c r="AJ158" s="636"/>
      <c r="AK158" s="587"/>
      <c r="AL158" s="589"/>
      <c r="AM158" s="638"/>
      <c r="AN158" s="639"/>
      <c r="AO158" s="639"/>
      <c r="AP158" s="640"/>
      <c r="AQ158" s="640"/>
      <c r="AR158" s="641"/>
      <c r="AS158" s="642"/>
      <c r="AT158" s="643"/>
      <c r="AU158" s="640"/>
      <c r="AV158" s="644"/>
      <c r="AW158" s="645"/>
      <c r="AX158" s="638"/>
      <c r="AY158" s="639"/>
      <c r="AZ158" s="639"/>
      <c r="BA158" s="646"/>
    </row>
    <row r="159" ht="15.75" customHeight="1">
      <c r="A159" s="424"/>
      <c r="B159" s="572"/>
      <c r="C159" s="629"/>
      <c r="D159" s="630"/>
      <c r="E159" s="617"/>
      <c r="F159" s="575"/>
      <c r="G159" s="575"/>
      <c r="H159" s="631"/>
      <c r="I159" s="632"/>
      <c r="J159" s="647"/>
      <c r="K159" s="578"/>
      <c r="L159" s="580"/>
      <c r="M159" s="579"/>
      <c r="N159" s="578"/>
      <c r="O159" s="578"/>
      <c r="P159" s="634"/>
      <c r="Q159" s="634"/>
      <c r="R159" s="634"/>
      <c r="S159" s="581"/>
      <c r="T159" s="635"/>
      <c r="U159" s="636"/>
      <c r="V159" s="581"/>
      <c r="W159" s="637"/>
      <c r="X159" s="637"/>
      <c r="Y159" s="581"/>
      <c r="Z159" s="581"/>
      <c r="AA159" s="585"/>
      <c r="AB159" s="586"/>
      <c r="AC159" s="577"/>
      <c r="AD159" s="577"/>
      <c r="AE159" s="572"/>
      <c r="AF159" s="635"/>
      <c r="AG159" s="637"/>
      <c r="AH159" s="637"/>
      <c r="AI159" s="587"/>
      <c r="AJ159" s="636"/>
      <c r="AK159" s="587"/>
      <c r="AL159" s="589"/>
      <c r="AM159" s="638"/>
      <c r="AN159" s="639"/>
      <c r="AO159" s="639"/>
      <c r="AP159" s="640"/>
      <c r="AQ159" s="640"/>
      <c r="AR159" s="641"/>
      <c r="AS159" s="642"/>
      <c r="AT159" s="643"/>
      <c r="AU159" s="640"/>
      <c r="AV159" s="644"/>
      <c r="AW159" s="645"/>
      <c r="AX159" s="638"/>
      <c r="AY159" s="639"/>
      <c r="AZ159" s="639"/>
      <c r="BA159" s="646"/>
    </row>
    <row r="160" ht="15.75" customHeight="1">
      <c r="A160" s="424"/>
      <c r="B160" s="572"/>
      <c r="C160" s="629"/>
      <c r="D160" s="630"/>
      <c r="E160" s="617"/>
      <c r="F160" s="575"/>
      <c r="G160" s="575"/>
      <c r="H160" s="631"/>
      <c r="I160" s="632"/>
      <c r="J160" s="647"/>
      <c r="K160" s="578"/>
      <c r="L160" s="580"/>
      <c r="M160" s="579"/>
      <c r="N160" s="578"/>
      <c r="O160" s="578"/>
      <c r="P160" s="634"/>
      <c r="Q160" s="634"/>
      <c r="R160" s="634"/>
      <c r="S160" s="581"/>
      <c r="T160" s="635"/>
      <c r="U160" s="636"/>
      <c r="V160" s="581"/>
      <c r="W160" s="637"/>
      <c r="X160" s="637"/>
      <c r="Y160" s="581"/>
      <c r="Z160" s="581"/>
      <c r="AA160" s="585"/>
      <c r="AB160" s="586"/>
      <c r="AC160" s="577"/>
      <c r="AD160" s="577"/>
      <c r="AE160" s="572"/>
      <c r="AF160" s="635"/>
      <c r="AG160" s="637"/>
      <c r="AH160" s="637"/>
      <c r="AI160" s="587"/>
      <c r="AJ160" s="636"/>
      <c r="AK160" s="587"/>
      <c r="AL160" s="589"/>
      <c r="AM160" s="638"/>
      <c r="AN160" s="639"/>
      <c r="AO160" s="639"/>
      <c r="AP160" s="640"/>
      <c r="AQ160" s="640"/>
      <c r="AR160" s="641"/>
      <c r="AS160" s="642"/>
      <c r="AT160" s="643"/>
      <c r="AU160" s="640"/>
      <c r="AV160" s="644"/>
      <c r="AW160" s="645"/>
      <c r="AX160" s="638"/>
      <c r="AY160" s="639"/>
      <c r="AZ160" s="639"/>
      <c r="BA160" s="646"/>
    </row>
    <row r="161" ht="15.75" customHeight="1">
      <c r="A161" s="424"/>
      <c r="B161" s="572"/>
      <c r="C161" s="629"/>
      <c r="D161" s="630"/>
      <c r="E161" s="617"/>
      <c r="F161" s="575"/>
      <c r="G161" s="575"/>
      <c r="H161" s="631"/>
      <c r="I161" s="632"/>
      <c r="J161" s="647"/>
      <c r="K161" s="578"/>
      <c r="L161" s="580"/>
      <c r="M161" s="579"/>
      <c r="N161" s="578"/>
      <c r="O161" s="578"/>
      <c r="P161" s="634"/>
      <c r="Q161" s="634"/>
      <c r="R161" s="634"/>
      <c r="S161" s="581"/>
      <c r="T161" s="635"/>
      <c r="U161" s="636"/>
      <c r="V161" s="581"/>
      <c r="W161" s="637"/>
      <c r="X161" s="637"/>
      <c r="Y161" s="581"/>
      <c r="Z161" s="581"/>
      <c r="AA161" s="585"/>
      <c r="AB161" s="586"/>
      <c r="AC161" s="577"/>
      <c r="AD161" s="577"/>
      <c r="AE161" s="572"/>
      <c r="AF161" s="635"/>
      <c r="AG161" s="637"/>
      <c r="AH161" s="637"/>
      <c r="AI161" s="587"/>
      <c r="AJ161" s="636"/>
      <c r="AK161" s="587"/>
      <c r="AL161" s="589"/>
      <c r="AM161" s="638"/>
      <c r="AN161" s="639"/>
      <c r="AO161" s="639"/>
      <c r="AP161" s="640"/>
      <c r="AQ161" s="640"/>
      <c r="AR161" s="641"/>
      <c r="AS161" s="642"/>
      <c r="AT161" s="643"/>
      <c r="AU161" s="640"/>
      <c r="AV161" s="644"/>
      <c r="AW161" s="645"/>
      <c r="AX161" s="638"/>
      <c r="AY161" s="639"/>
      <c r="AZ161" s="639"/>
      <c r="BA161" s="646"/>
    </row>
    <row r="162" ht="15.75" customHeight="1">
      <c r="A162" s="424"/>
      <c r="B162" s="572"/>
      <c r="C162" s="629"/>
      <c r="D162" s="630"/>
      <c r="E162" s="617"/>
      <c r="F162" s="575"/>
      <c r="G162" s="575"/>
      <c r="H162" s="631"/>
      <c r="I162" s="632"/>
      <c r="J162" s="647"/>
      <c r="K162" s="578"/>
      <c r="L162" s="580"/>
      <c r="M162" s="579"/>
      <c r="N162" s="578"/>
      <c r="O162" s="578"/>
      <c r="P162" s="634"/>
      <c r="Q162" s="634"/>
      <c r="R162" s="634"/>
      <c r="S162" s="581"/>
      <c r="T162" s="635"/>
      <c r="U162" s="636"/>
      <c r="V162" s="581"/>
      <c r="W162" s="637"/>
      <c r="X162" s="637"/>
      <c r="Y162" s="581"/>
      <c r="Z162" s="581"/>
      <c r="AA162" s="585"/>
      <c r="AB162" s="586"/>
      <c r="AC162" s="577"/>
      <c r="AD162" s="577"/>
      <c r="AE162" s="572"/>
      <c r="AF162" s="635"/>
      <c r="AG162" s="637"/>
      <c r="AH162" s="637"/>
      <c r="AI162" s="587"/>
      <c r="AJ162" s="636"/>
      <c r="AK162" s="587"/>
      <c r="AL162" s="589"/>
      <c r="AM162" s="638"/>
      <c r="AN162" s="639"/>
      <c r="AO162" s="639"/>
      <c r="AP162" s="640"/>
      <c r="AQ162" s="640"/>
      <c r="AR162" s="641"/>
      <c r="AS162" s="642"/>
      <c r="AT162" s="643"/>
      <c r="AU162" s="640"/>
      <c r="AV162" s="644"/>
      <c r="AW162" s="645"/>
      <c r="AX162" s="638"/>
      <c r="AY162" s="639"/>
      <c r="AZ162" s="639"/>
      <c r="BA162" s="646"/>
    </row>
    <row r="163" ht="15.75" customHeight="1">
      <c r="A163" s="424"/>
      <c r="B163" s="572"/>
      <c r="C163" s="629"/>
      <c r="D163" s="630"/>
      <c r="E163" s="617"/>
      <c r="F163" s="575"/>
      <c r="G163" s="575"/>
      <c r="H163" s="631"/>
      <c r="I163" s="632"/>
      <c r="J163" s="647"/>
      <c r="K163" s="578"/>
      <c r="L163" s="580"/>
      <c r="M163" s="579"/>
      <c r="N163" s="578"/>
      <c r="O163" s="578"/>
      <c r="P163" s="634"/>
      <c r="Q163" s="634"/>
      <c r="R163" s="634"/>
      <c r="S163" s="581"/>
      <c r="T163" s="635"/>
      <c r="U163" s="636"/>
      <c r="V163" s="581"/>
      <c r="W163" s="637"/>
      <c r="X163" s="637"/>
      <c r="Y163" s="581"/>
      <c r="Z163" s="581"/>
      <c r="AA163" s="585"/>
      <c r="AB163" s="586"/>
      <c r="AC163" s="577"/>
      <c r="AD163" s="577"/>
      <c r="AE163" s="572"/>
      <c r="AF163" s="635"/>
      <c r="AG163" s="637"/>
      <c r="AH163" s="637"/>
      <c r="AI163" s="587"/>
      <c r="AJ163" s="636"/>
      <c r="AK163" s="587"/>
      <c r="AL163" s="589"/>
      <c r="AM163" s="638"/>
      <c r="AN163" s="639"/>
      <c r="AO163" s="639"/>
      <c r="AP163" s="640"/>
      <c r="AQ163" s="640"/>
      <c r="AR163" s="641"/>
      <c r="AS163" s="642"/>
      <c r="AT163" s="643"/>
      <c r="AU163" s="640"/>
      <c r="AV163" s="644"/>
      <c r="AW163" s="645"/>
      <c r="AX163" s="638"/>
      <c r="AY163" s="639"/>
      <c r="AZ163" s="639"/>
      <c r="BA163" s="646"/>
    </row>
    <row r="164" ht="15.75" customHeight="1">
      <c r="A164" s="424"/>
      <c r="B164" s="572"/>
      <c r="C164" s="629"/>
      <c r="D164" s="630"/>
      <c r="E164" s="617"/>
      <c r="F164" s="575"/>
      <c r="G164" s="575"/>
      <c r="H164" s="631"/>
      <c r="I164" s="632"/>
      <c r="J164" s="647"/>
      <c r="K164" s="578"/>
      <c r="L164" s="580"/>
      <c r="M164" s="579"/>
      <c r="N164" s="578"/>
      <c r="O164" s="578"/>
      <c r="P164" s="634"/>
      <c r="Q164" s="634"/>
      <c r="R164" s="634"/>
      <c r="S164" s="581"/>
      <c r="T164" s="635"/>
      <c r="U164" s="636"/>
      <c r="V164" s="581"/>
      <c r="W164" s="637"/>
      <c r="X164" s="637"/>
      <c r="Y164" s="581"/>
      <c r="Z164" s="581"/>
      <c r="AA164" s="585"/>
      <c r="AB164" s="586"/>
      <c r="AC164" s="577"/>
      <c r="AD164" s="577"/>
      <c r="AE164" s="572"/>
      <c r="AF164" s="635"/>
      <c r="AG164" s="637"/>
      <c r="AH164" s="637"/>
      <c r="AI164" s="587"/>
      <c r="AJ164" s="636"/>
      <c r="AK164" s="587"/>
      <c r="AL164" s="589"/>
      <c r="AM164" s="638"/>
      <c r="AN164" s="639"/>
      <c r="AO164" s="639"/>
      <c r="AP164" s="640"/>
      <c r="AQ164" s="640"/>
      <c r="AR164" s="641"/>
      <c r="AS164" s="642"/>
      <c r="AT164" s="643"/>
      <c r="AU164" s="640"/>
      <c r="AV164" s="644"/>
      <c r="AW164" s="645"/>
      <c r="AX164" s="638"/>
      <c r="AY164" s="639"/>
      <c r="AZ164" s="639"/>
      <c r="BA164" s="646"/>
    </row>
    <row r="165" ht="15.75" customHeight="1">
      <c r="A165" s="424"/>
      <c r="B165" s="572"/>
      <c r="C165" s="629"/>
      <c r="D165" s="630"/>
      <c r="E165" s="617"/>
      <c r="F165" s="575"/>
      <c r="G165" s="575"/>
      <c r="H165" s="631"/>
      <c r="I165" s="632"/>
      <c r="J165" s="647"/>
      <c r="K165" s="578"/>
      <c r="L165" s="580"/>
      <c r="M165" s="579"/>
      <c r="N165" s="578"/>
      <c r="O165" s="578"/>
      <c r="P165" s="634"/>
      <c r="Q165" s="634"/>
      <c r="R165" s="634"/>
      <c r="S165" s="581"/>
      <c r="T165" s="635"/>
      <c r="U165" s="636"/>
      <c r="V165" s="581"/>
      <c r="W165" s="637"/>
      <c r="X165" s="637"/>
      <c r="Y165" s="581"/>
      <c r="Z165" s="581"/>
      <c r="AA165" s="585"/>
      <c r="AB165" s="586"/>
      <c r="AC165" s="577"/>
      <c r="AD165" s="577"/>
      <c r="AE165" s="572"/>
      <c r="AF165" s="635"/>
      <c r="AG165" s="637"/>
      <c r="AH165" s="637"/>
      <c r="AI165" s="587"/>
      <c r="AJ165" s="636"/>
      <c r="AK165" s="587"/>
      <c r="AL165" s="589"/>
      <c r="AM165" s="638"/>
      <c r="AN165" s="639"/>
      <c r="AO165" s="639"/>
      <c r="AP165" s="640"/>
      <c r="AQ165" s="640"/>
      <c r="AR165" s="641"/>
      <c r="AS165" s="642"/>
      <c r="AT165" s="643"/>
      <c r="AU165" s="640"/>
      <c r="AV165" s="644"/>
      <c r="AW165" s="645"/>
      <c r="AX165" s="638"/>
      <c r="AY165" s="639"/>
      <c r="AZ165" s="639"/>
      <c r="BA165" s="646"/>
    </row>
    <row r="166" ht="15.75" customHeight="1">
      <c r="A166" s="424"/>
      <c r="B166" s="572"/>
      <c r="C166" s="629"/>
      <c r="D166" s="630"/>
      <c r="E166" s="617"/>
      <c r="F166" s="575"/>
      <c r="G166" s="575"/>
      <c r="H166" s="631"/>
      <c r="I166" s="632"/>
      <c r="J166" s="647"/>
      <c r="K166" s="578"/>
      <c r="L166" s="580"/>
      <c r="M166" s="579"/>
      <c r="N166" s="578"/>
      <c r="O166" s="578"/>
      <c r="P166" s="634"/>
      <c r="Q166" s="634"/>
      <c r="R166" s="634"/>
      <c r="S166" s="581"/>
      <c r="T166" s="635"/>
      <c r="U166" s="636"/>
      <c r="V166" s="581"/>
      <c r="W166" s="637"/>
      <c r="X166" s="637"/>
      <c r="Y166" s="581"/>
      <c r="Z166" s="581"/>
      <c r="AA166" s="585"/>
      <c r="AB166" s="586"/>
      <c r="AC166" s="577"/>
      <c r="AD166" s="577"/>
      <c r="AE166" s="572"/>
      <c r="AF166" s="635"/>
      <c r="AG166" s="637"/>
      <c r="AH166" s="637"/>
      <c r="AI166" s="587"/>
      <c r="AJ166" s="636"/>
      <c r="AK166" s="587"/>
      <c r="AL166" s="589"/>
      <c r="AM166" s="638"/>
      <c r="AN166" s="639"/>
      <c r="AO166" s="639"/>
      <c r="AP166" s="640"/>
      <c r="AQ166" s="640"/>
      <c r="AR166" s="641"/>
      <c r="AS166" s="642"/>
      <c r="AT166" s="643"/>
      <c r="AU166" s="640"/>
      <c r="AV166" s="644"/>
      <c r="AW166" s="645"/>
      <c r="AX166" s="638"/>
      <c r="AY166" s="639"/>
      <c r="AZ166" s="639"/>
      <c r="BA166" s="646"/>
    </row>
    <row r="167" ht="15.75" customHeight="1">
      <c r="A167" s="424"/>
      <c r="B167" s="572"/>
      <c r="C167" s="629"/>
      <c r="D167" s="630"/>
      <c r="E167" s="617"/>
      <c r="F167" s="575"/>
      <c r="G167" s="575"/>
      <c r="H167" s="631"/>
      <c r="I167" s="632"/>
      <c r="J167" s="647"/>
      <c r="K167" s="578"/>
      <c r="L167" s="580"/>
      <c r="M167" s="579"/>
      <c r="N167" s="578"/>
      <c r="O167" s="578"/>
      <c r="P167" s="634"/>
      <c r="Q167" s="634"/>
      <c r="R167" s="634"/>
      <c r="S167" s="581"/>
      <c r="T167" s="635"/>
      <c r="U167" s="636"/>
      <c r="V167" s="581"/>
      <c r="W167" s="637"/>
      <c r="X167" s="637"/>
      <c r="Y167" s="581"/>
      <c r="Z167" s="581"/>
      <c r="AA167" s="585"/>
      <c r="AB167" s="586"/>
      <c r="AC167" s="577"/>
      <c r="AD167" s="577"/>
      <c r="AE167" s="572"/>
      <c r="AF167" s="635"/>
      <c r="AG167" s="637"/>
      <c r="AH167" s="637"/>
      <c r="AI167" s="587"/>
      <c r="AJ167" s="636"/>
      <c r="AK167" s="587"/>
      <c r="AL167" s="589"/>
      <c r="AM167" s="638"/>
      <c r="AN167" s="639"/>
      <c r="AO167" s="639"/>
      <c r="AP167" s="640"/>
      <c r="AQ167" s="640"/>
      <c r="AR167" s="641"/>
      <c r="AS167" s="642"/>
      <c r="AT167" s="643"/>
      <c r="AU167" s="640"/>
      <c r="AV167" s="644"/>
      <c r="AW167" s="645"/>
      <c r="AX167" s="638"/>
      <c r="AY167" s="639"/>
      <c r="AZ167" s="639"/>
      <c r="BA167" s="646"/>
    </row>
    <row r="168" ht="15.75" customHeight="1">
      <c r="A168" s="424"/>
      <c r="B168" s="572"/>
      <c r="C168" s="629"/>
      <c r="D168" s="630"/>
      <c r="E168" s="617"/>
      <c r="F168" s="575"/>
      <c r="G168" s="575"/>
      <c r="H168" s="631"/>
      <c r="I168" s="632"/>
      <c r="J168" s="647"/>
      <c r="K168" s="578"/>
      <c r="L168" s="580"/>
      <c r="M168" s="579"/>
      <c r="N168" s="578"/>
      <c r="O168" s="578"/>
      <c r="P168" s="634"/>
      <c r="Q168" s="634"/>
      <c r="R168" s="634"/>
      <c r="S168" s="581"/>
      <c r="T168" s="635"/>
      <c r="U168" s="636"/>
      <c r="V168" s="581"/>
      <c r="W168" s="637"/>
      <c r="X168" s="637"/>
      <c r="Y168" s="581"/>
      <c r="Z168" s="581"/>
      <c r="AA168" s="585"/>
      <c r="AB168" s="586"/>
      <c r="AC168" s="577"/>
      <c r="AD168" s="577"/>
      <c r="AE168" s="572"/>
      <c r="AF168" s="635"/>
      <c r="AG168" s="637"/>
      <c r="AH168" s="637"/>
      <c r="AI168" s="587"/>
      <c r="AJ168" s="636"/>
      <c r="AK168" s="587"/>
      <c r="AL168" s="589"/>
      <c r="AM168" s="638"/>
      <c r="AN168" s="639"/>
      <c r="AO168" s="639"/>
      <c r="AP168" s="640"/>
      <c r="AQ168" s="640"/>
      <c r="AR168" s="641"/>
      <c r="AS168" s="642"/>
      <c r="AT168" s="643"/>
      <c r="AU168" s="640"/>
      <c r="AV168" s="644"/>
      <c r="AW168" s="645"/>
      <c r="AX168" s="638"/>
      <c r="AY168" s="639"/>
      <c r="AZ168" s="639"/>
      <c r="BA168" s="646"/>
    </row>
    <row r="169" ht="15.75" customHeight="1">
      <c r="A169" s="424"/>
      <c r="B169" s="572"/>
      <c r="C169" s="629"/>
      <c r="D169" s="630"/>
      <c r="E169" s="617"/>
      <c r="F169" s="575"/>
      <c r="G169" s="575"/>
      <c r="H169" s="631"/>
      <c r="I169" s="632"/>
      <c r="J169" s="647"/>
      <c r="K169" s="578"/>
      <c r="L169" s="580"/>
      <c r="M169" s="579"/>
      <c r="N169" s="578"/>
      <c r="O169" s="578"/>
      <c r="P169" s="634"/>
      <c r="Q169" s="634"/>
      <c r="R169" s="634"/>
      <c r="S169" s="581"/>
      <c r="T169" s="635"/>
      <c r="U169" s="636"/>
      <c r="V169" s="581"/>
      <c r="W169" s="637"/>
      <c r="X169" s="637"/>
      <c r="Y169" s="581"/>
      <c r="Z169" s="581"/>
      <c r="AA169" s="585"/>
      <c r="AB169" s="586"/>
      <c r="AC169" s="577"/>
      <c r="AD169" s="577"/>
      <c r="AE169" s="572"/>
      <c r="AF169" s="635"/>
      <c r="AG169" s="637"/>
      <c r="AH169" s="637"/>
      <c r="AI169" s="587"/>
      <c r="AJ169" s="636"/>
      <c r="AK169" s="587"/>
      <c r="AL169" s="589"/>
      <c r="AM169" s="638"/>
      <c r="AN169" s="639"/>
      <c r="AO169" s="639"/>
      <c r="AP169" s="640"/>
      <c r="AQ169" s="640"/>
      <c r="AR169" s="641"/>
      <c r="AS169" s="642"/>
      <c r="AT169" s="643"/>
      <c r="AU169" s="640"/>
      <c r="AV169" s="644"/>
      <c r="AW169" s="645"/>
      <c r="AX169" s="638"/>
      <c r="AY169" s="639"/>
      <c r="AZ169" s="639"/>
      <c r="BA169" s="646"/>
    </row>
    <row r="170" ht="15.75" customHeight="1">
      <c r="A170" s="424"/>
      <c r="B170" s="572"/>
      <c r="C170" s="629"/>
      <c r="D170" s="630"/>
      <c r="E170" s="617"/>
      <c r="F170" s="575"/>
      <c r="G170" s="575"/>
      <c r="H170" s="631"/>
      <c r="I170" s="632"/>
      <c r="J170" s="647"/>
      <c r="K170" s="578"/>
      <c r="L170" s="580"/>
      <c r="M170" s="579"/>
      <c r="N170" s="578"/>
      <c r="O170" s="578"/>
      <c r="P170" s="634"/>
      <c r="Q170" s="634"/>
      <c r="R170" s="634"/>
      <c r="S170" s="581"/>
      <c r="T170" s="635"/>
      <c r="U170" s="636"/>
      <c r="V170" s="581"/>
      <c r="W170" s="637"/>
      <c r="X170" s="637"/>
      <c r="Y170" s="581"/>
      <c r="Z170" s="581"/>
      <c r="AA170" s="585"/>
      <c r="AB170" s="586"/>
      <c r="AC170" s="577"/>
      <c r="AD170" s="577"/>
      <c r="AE170" s="572"/>
      <c r="AF170" s="635"/>
      <c r="AG170" s="637"/>
      <c r="AH170" s="637"/>
      <c r="AI170" s="587"/>
      <c r="AJ170" s="636"/>
      <c r="AK170" s="587"/>
      <c r="AL170" s="589"/>
      <c r="AM170" s="638"/>
      <c r="AN170" s="639"/>
      <c r="AO170" s="639"/>
      <c r="AP170" s="640"/>
      <c r="AQ170" s="640"/>
      <c r="AR170" s="641"/>
      <c r="AS170" s="642"/>
      <c r="AT170" s="643"/>
      <c r="AU170" s="640"/>
      <c r="AV170" s="644"/>
      <c r="AW170" s="645"/>
      <c r="AX170" s="638"/>
      <c r="AY170" s="639"/>
      <c r="AZ170" s="639"/>
      <c r="BA170" s="646"/>
    </row>
    <row r="171" ht="15.75" customHeight="1">
      <c r="A171" s="424"/>
      <c r="B171" s="572"/>
      <c r="C171" s="629"/>
      <c r="D171" s="630"/>
      <c r="E171" s="617"/>
      <c r="F171" s="575"/>
      <c r="G171" s="575"/>
      <c r="H171" s="631"/>
      <c r="I171" s="632"/>
      <c r="J171" s="647"/>
      <c r="K171" s="578"/>
      <c r="L171" s="580"/>
      <c r="M171" s="579"/>
      <c r="N171" s="578"/>
      <c r="O171" s="578"/>
      <c r="P171" s="634"/>
      <c r="Q171" s="634"/>
      <c r="R171" s="634"/>
      <c r="S171" s="581"/>
      <c r="T171" s="635"/>
      <c r="U171" s="636"/>
      <c r="V171" s="581"/>
      <c r="W171" s="637"/>
      <c r="X171" s="637"/>
      <c r="Y171" s="581"/>
      <c r="Z171" s="581"/>
      <c r="AA171" s="585"/>
      <c r="AB171" s="586"/>
      <c r="AC171" s="577"/>
      <c r="AD171" s="577"/>
      <c r="AE171" s="572"/>
      <c r="AF171" s="635"/>
      <c r="AG171" s="637"/>
      <c r="AH171" s="637"/>
      <c r="AI171" s="587"/>
      <c r="AJ171" s="636"/>
      <c r="AK171" s="587"/>
      <c r="AL171" s="589"/>
      <c r="AM171" s="638"/>
      <c r="AN171" s="639"/>
      <c r="AO171" s="639"/>
      <c r="AP171" s="640"/>
      <c r="AQ171" s="640"/>
      <c r="AR171" s="641"/>
      <c r="AS171" s="642"/>
      <c r="AT171" s="643"/>
      <c r="AU171" s="640"/>
      <c r="AV171" s="644"/>
      <c r="AW171" s="645"/>
      <c r="AX171" s="638"/>
      <c r="AY171" s="639"/>
      <c r="AZ171" s="639"/>
      <c r="BA171" s="646"/>
    </row>
    <row r="172" ht="15.75" customHeight="1">
      <c r="A172" s="424"/>
      <c r="B172" s="572"/>
      <c r="C172" s="629"/>
      <c r="D172" s="630"/>
      <c r="E172" s="617"/>
      <c r="F172" s="575"/>
      <c r="G172" s="575"/>
      <c r="H172" s="631"/>
      <c r="I172" s="632"/>
      <c r="J172" s="647"/>
      <c r="K172" s="578"/>
      <c r="L172" s="580"/>
      <c r="M172" s="579"/>
      <c r="N172" s="578"/>
      <c r="O172" s="578"/>
      <c r="P172" s="634"/>
      <c r="Q172" s="634"/>
      <c r="R172" s="634"/>
      <c r="S172" s="581"/>
      <c r="T172" s="635"/>
      <c r="U172" s="636"/>
      <c r="V172" s="581"/>
      <c r="W172" s="637"/>
      <c r="X172" s="637"/>
      <c r="Y172" s="581"/>
      <c r="Z172" s="581"/>
      <c r="AA172" s="585"/>
      <c r="AB172" s="586"/>
      <c r="AC172" s="577"/>
      <c r="AD172" s="577"/>
      <c r="AE172" s="572"/>
      <c r="AF172" s="635"/>
      <c r="AG172" s="637"/>
      <c r="AH172" s="637"/>
      <c r="AI172" s="587"/>
      <c r="AJ172" s="636"/>
      <c r="AK172" s="587"/>
      <c r="AL172" s="589"/>
      <c r="AM172" s="638"/>
      <c r="AN172" s="639"/>
      <c r="AO172" s="639"/>
      <c r="AP172" s="640"/>
      <c r="AQ172" s="640"/>
      <c r="AR172" s="641"/>
      <c r="AS172" s="642"/>
      <c r="AT172" s="643"/>
      <c r="AU172" s="640"/>
      <c r="AV172" s="644"/>
      <c r="AW172" s="645"/>
      <c r="AX172" s="638"/>
      <c r="AY172" s="639"/>
      <c r="AZ172" s="639"/>
      <c r="BA172" s="646"/>
    </row>
    <row r="173" ht="15.75" customHeight="1">
      <c r="A173" s="424"/>
      <c r="B173" s="572"/>
      <c r="C173" s="629"/>
      <c r="D173" s="630"/>
      <c r="E173" s="617"/>
      <c r="F173" s="575"/>
      <c r="G173" s="575"/>
      <c r="H173" s="631"/>
      <c r="I173" s="632"/>
      <c r="J173" s="647"/>
      <c r="K173" s="578"/>
      <c r="L173" s="580"/>
      <c r="M173" s="579"/>
      <c r="N173" s="578"/>
      <c r="O173" s="578"/>
      <c r="P173" s="634"/>
      <c r="Q173" s="634"/>
      <c r="R173" s="634"/>
      <c r="S173" s="581"/>
      <c r="T173" s="635"/>
      <c r="U173" s="636"/>
      <c r="V173" s="581"/>
      <c r="W173" s="637"/>
      <c r="X173" s="637"/>
      <c r="Y173" s="581"/>
      <c r="Z173" s="581"/>
      <c r="AA173" s="585"/>
      <c r="AB173" s="586"/>
      <c r="AC173" s="577"/>
      <c r="AD173" s="577"/>
      <c r="AE173" s="572"/>
      <c r="AF173" s="635"/>
      <c r="AG173" s="637"/>
      <c r="AH173" s="637"/>
      <c r="AI173" s="587"/>
      <c r="AJ173" s="636"/>
      <c r="AK173" s="587"/>
      <c r="AL173" s="589"/>
      <c r="AM173" s="638"/>
      <c r="AN173" s="639"/>
      <c r="AO173" s="639"/>
      <c r="AP173" s="640"/>
      <c r="AQ173" s="640"/>
      <c r="AR173" s="641"/>
      <c r="AS173" s="642"/>
      <c r="AT173" s="643"/>
      <c r="AU173" s="640"/>
      <c r="AV173" s="644"/>
      <c r="AW173" s="645"/>
      <c r="AX173" s="638"/>
      <c r="AY173" s="639"/>
      <c r="AZ173" s="639"/>
      <c r="BA173" s="646"/>
    </row>
    <row r="174" ht="15.75" customHeight="1">
      <c r="A174" s="424"/>
      <c r="B174" s="572"/>
      <c r="C174" s="629"/>
      <c r="D174" s="630"/>
      <c r="E174" s="617"/>
      <c r="F174" s="575"/>
      <c r="G174" s="575"/>
      <c r="H174" s="631"/>
      <c r="I174" s="632"/>
      <c r="J174" s="647"/>
      <c r="K174" s="578"/>
      <c r="L174" s="580"/>
      <c r="M174" s="579"/>
      <c r="N174" s="578"/>
      <c r="O174" s="578"/>
      <c r="P174" s="634"/>
      <c r="Q174" s="634"/>
      <c r="R174" s="634"/>
      <c r="S174" s="581"/>
      <c r="T174" s="635"/>
      <c r="U174" s="636"/>
      <c r="V174" s="581"/>
      <c r="W174" s="637"/>
      <c r="X174" s="637"/>
      <c r="Y174" s="581"/>
      <c r="Z174" s="581"/>
      <c r="AA174" s="585"/>
      <c r="AB174" s="586"/>
      <c r="AC174" s="577"/>
      <c r="AD174" s="577"/>
      <c r="AE174" s="572"/>
      <c r="AF174" s="635"/>
      <c r="AG174" s="637"/>
      <c r="AH174" s="637"/>
      <c r="AI174" s="587"/>
      <c r="AJ174" s="636"/>
      <c r="AK174" s="587"/>
      <c r="AL174" s="589"/>
      <c r="AM174" s="638"/>
      <c r="AN174" s="639"/>
      <c r="AO174" s="639"/>
      <c r="AP174" s="640"/>
      <c r="AQ174" s="640"/>
      <c r="AR174" s="641"/>
      <c r="AS174" s="642"/>
      <c r="AT174" s="643"/>
      <c r="AU174" s="640"/>
      <c r="AV174" s="644"/>
      <c r="AW174" s="645"/>
      <c r="AX174" s="638"/>
      <c r="AY174" s="639"/>
      <c r="AZ174" s="639"/>
      <c r="BA174" s="646"/>
    </row>
    <row r="175" ht="15.75" customHeight="1">
      <c r="A175" s="424"/>
      <c r="B175" s="572"/>
      <c r="C175" s="629"/>
      <c r="D175" s="630"/>
      <c r="E175" s="617"/>
      <c r="F175" s="575"/>
      <c r="G175" s="575"/>
      <c r="H175" s="631"/>
      <c r="I175" s="632"/>
      <c r="J175" s="647"/>
      <c r="K175" s="578"/>
      <c r="L175" s="580"/>
      <c r="M175" s="579"/>
      <c r="N175" s="578"/>
      <c r="O175" s="578"/>
      <c r="P175" s="634"/>
      <c r="Q175" s="634"/>
      <c r="R175" s="634"/>
      <c r="S175" s="581"/>
      <c r="T175" s="635"/>
      <c r="U175" s="636"/>
      <c r="V175" s="581"/>
      <c r="W175" s="637"/>
      <c r="X175" s="637"/>
      <c r="Y175" s="581"/>
      <c r="Z175" s="581"/>
      <c r="AA175" s="585"/>
      <c r="AB175" s="586"/>
      <c r="AC175" s="577"/>
      <c r="AD175" s="577"/>
      <c r="AE175" s="572"/>
      <c r="AF175" s="635"/>
      <c r="AG175" s="637"/>
      <c r="AH175" s="637"/>
      <c r="AI175" s="587"/>
      <c r="AJ175" s="636"/>
      <c r="AK175" s="587"/>
      <c r="AL175" s="589"/>
      <c r="AM175" s="638"/>
      <c r="AN175" s="639"/>
      <c r="AO175" s="639"/>
      <c r="AP175" s="640"/>
      <c r="AQ175" s="640"/>
      <c r="AR175" s="641"/>
      <c r="AS175" s="642"/>
      <c r="AT175" s="643"/>
      <c r="AU175" s="640"/>
      <c r="AV175" s="644"/>
      <c r="AW175" s="645"/>
      <c r="AX175" s="638"/>
      <c r="AY175" s="639"/>
      <c r="AZ175" s="639"/>
      <c r="BA175" s="646"/>
    </row>
    <row r="176" ht="15.75" customHeight="1">
      <c r="A176" s="424"/>
      <c r="B176" s="572"/>
      <c r="C176" s="629"/>
      <c r="D176" s="630"/>
      <c r="E176" s="617"/>
      <c r="F176" s="575"/>
      <c r="G176" s="575"/>
      <c r="H176" s="631"/>
      <c r="I176" s="632"/>
      <c r="J176" s="647"/>
      <c r="K176" s="578"/>
      <c r="L176" s="580"/>
      <c r="M176" s="579"/>
      <c r="N176" s="578"/>
      <c r="O176" s="578"/>
      <c r="P176" s="634"/>
      <c r="Q176" s="634"/>
      <c r="R176" s="634"/>
      <c r="S176" s="581"/>
      <c r="T176" s="635"/>
      <c r="U176" s="636"/>
      <c r="V176" s="581"/>
      <c r="W176" s="637"/>
      <c r="X176" s="637"/>
      <c r="Y176" s="581"/>
      <c r="Z176" s="581"/>
      <c r="AA176" s="585"/>
      <c r="AB176" s="586"/>
      <c r="AC176" s="577"/>
      <c r="AD176" s="577"/>
      <c r="AE176" s="572"/>
      <c r="AF176" s="635"/>
      <c r="AG176" s="637"/>
      <c r="AH176" s="637"/>
      <c r="AI176" s="587"/>
      <c r="AJ176" s="636"/>
      <c r="AK176" s="587"/>
      <c r="AL176" s="589"/>
      <c r="AM176" s="638"/>
      <c r="AN176" s="639"/>
      <c r="AO176" s="639"/>
      <c r="AP176" s="640"/>
      <c r="AQ176" s="640"/>
      <c r="AR176" s="641"/>
      <c r="AS176" s="642"/>
      <c r="AT176" s="643"/>
      <c r="AU176" s="640"/>
      <c r="AV176" s="644"/>
      <c r="AW176" s="645"/>
      <c r="AX176" s="638"/>
      <c r="AY176" s="639"/>
      <c r="AZ176" s="639"/>
      <c r="BA176" s="646"/>
    </row>
    <row r="177" ht="15.75" customHeight="1">
      <c r="A177" s="424"/>
      <c r="B177" s="572"/>
      <c r="C177" s="629"/>
      <c r="D177" s="630"/>
      <c r="E177" s="617"/>
      <c r="F177" s="575"/>
      <c r="G177" s="575"/>
      <c r="H177" s="631"/>
      <c r="I177" s="632"/>
      <c r="J177" s="647"/>
      <c r="K177" s="578"/>
      <c r="L177" s="580"/>
      <c r="M177" s="579"/>
      <c r="N177" s="578"/>
      <c r="O177" s="578"/>
      <c r="P177" s="634"/>
      <c r="Q177" s="634"/>
      <c r="R177" s="634"/>
      <c r="S177" s="581"/>
      <c r="T177" s="635"/>
      <c r="U177" s="636"/>
      <c r="V177" s="581"/>
      <c r="W177" s="637"/>
      <c r="X177" s="637"/>
      <c r="Y177" s="581"/>
      <c r="Z177" s="581"/>
      <c r="AA177" s="585"/>
      <c r="AB177" s="586"/>
      <c r="AC177" s="577"/>
      <c r="AD177" s="577"/>
      <c r="AE177" s="572"/>
      <c r="AF177" s="635"/>
      <c r="AG177" s="637"/>
      <c r="AH177" s="637"/>
      <c r="AI177" s="587"/>
      <c r="AJ177" s="636"/>
      <c r="AK177" s="587"/>
      <c r="AL177" s="589"/>
      <c r="AM177" s="638"/>
      <c r="AN177" s="639"/>
      <c r="AO177" s="639"/>
      <c r="AP177" s="640"/>
      <c r="AQ177" s="640"/>
      <c r="AR177" s="641"/>
      <c r="AS177" s="642"/>
      <c r="AT177" s="643"/>
      <c r="AU177" s="640"/>
      <c r="AV177" s="644"/>
      <c r="AW177" s="645"/>
      <c r="AX177" s="638"/>
      <c r="AY177" s="639"/>
      <c r="AZ177" s="639"/>
      <c r="BA177" s="646"/>
    </row>
    <row r="178" ht="15.75" customHeight="1">
      <c r="A178" s="424"/>
      <c r="B178" s="572"/>
      <c r="C178" s="629"/>
      <c r="D178" s="630"/>
      <c r="E178" s="617"/>
      <c r="F178" s="575"/>
      <c r="G178" s="575"/>
      <c r="H178" s="631"/>
      <c r="I178" s="632"/>
      <c r="J178" s="647"/>
      <c r="K178" s="578"/>
      <c r="L178" s="580"/>
      <c r="M178" s="579"/>
      <c r="N178" s="578"/>
      <c r="O178" s="578"/>
      <c r="P178" s="634"/>
      <c r="Q178" s="634"/>
      <c r="R178" s="634"/>
      <c r="S178" s="581"/>
      <c r="T178" s="635"/>
      <c r="U178" s="636"/>
      <c r="V178" s="581"/>
      <c r="W178" s="637"/>
      <c r="X178" s="637"/>
      <c r="Y178" s="581"/>
      <c r="Z178" s="581"/>
      <c r="AA178" s="585"/>
      <c r="AB178" s="586"/>
      <c r="AC178" s="577"/>
      <c r="AD178" s="577"/>
      <c r="AE178" s="572"/>
      <c r="AF178" s="635"/>
      <c r="AG178" s="637"/>
      <c r="AH178" s="637"/>
      <c r="AI178" s="587"/>
      <c r="AJ178" s="636"/>
      <c r="AK178" s="587"/>
      <c r="AL178" s="589"/>
      <c r="AM178" s="638"/>
      <c r="AN178" s="639"/>
      <c r="AO178" s="639"/>
      <c r="AP178" s="640"/>
      <c r="AQ178" s="640"/>
      <c r="AR178" s="641"/>
      <c r="AS178" s="642"/>
      <c r="AT178" s="643"/>
      <c r="AU178" s="640"/>
      <c r="AV178" s="644"/>
      <c r="AW178" s="645"/>
      <c r="AX178" s="638"/>
      <c r="AY178" s="639"/>
      <c r="AZ178" s="639"/>
      <c r="BA178" s="646"/>
    </row>
    <row r="179" ht="15.75" customHeight="1">
      <c r="A179" s="424"/>
      <c r="B179" s="572"/>
      <c r="C179" s="629"/>
      <c r="D179" s="630"/>
      <c r="E179" s="617"/>
      <c r="F179" s="575"/>
      <c r="G179" s="575"/>
      <c r="H179" s="631"/>
      <c r="I179" s="632"/>
      <c r="J179" s="647"/>
      <c r="K179" s="578"/>
      <c r="L179" s="580"/>
      <c r="M179" s="579"/>
      <c r="N179" s="578"/>
      <c r="O179" s="578"/>
      <c r="P179" s="634"/>
      <c r="Q179" s="634"/>
      <c r="R179" s="634"/>
      <c r="S179" s="581"/>
      <c r="T179" s="635"/>
      <c r="U179" s="636"/>
      <c r="V179" s="581"/>
      <c r="W179" s="637"/>
      <c r="X179" s="637"/>
      <c r="Y179" s="581"/>
      <c r="Z179" s="581"/>
      <c r="AA179" s="585"/>
      <c r="AB179" s="586"/>
      <c r="AC179" s="577"/>
      <c r="AD179" s="577"/>
      <c r="AE179" s="572"/>
      <c r="AF179" s="635"/>
      <c r="AG179" s="637"/>
      <c r="AH179" s="637"/>
      <c r="AI179" s="587"/>
      <c r="AJ179" s="636"/>
      <c r="AK179" s="587"/>
      <c r="AL179" s="589"/>
      <c r="AM179" s="638"/>
      <c r="AN179" s="639"/>
      <c r="AO179" s="639"/>
      <c r="AP179" s="640"/>
      <c r="AQ179" s="640"/>
      <c r="AR179" s="641"/>
      <c r="AS179" s="642"/>
      <c r="AT179" s="643"/>
      <c r="AU179" s="640"/>
      <c r="AV179" s="644"/>
      <c r="AW179" s="645"/>
      <c r="AX179" s="638"/>
      <c r="AY179" s="639"/>
      <c r="AZ179" s="639"/>
      <c r="BA179" s="646"/>
    </row>
    <row r="180" ht="15.75" customHeight="1">
      <c r="A180" s="424"/>
      <c r="B180" s="572"/>
      <c r="C180" s="629"/>
      <c r="D180" s="630"/>
      <c r="E180" s="617"/>
      <c r="F180" s="575"/>
      <c r="G180" s="575"/>
      <c r="H180" s="631"/>
      <c r="I180" s="632"/>
      <c r="J180" s="647"/>
      <c r="K180" s="578"/>
      <c r="L180" s="580"/>
      <c r="M180" s="579"/>
      <c r="N180" s="578"/>
      <c r="O180" s="578"/>
      <c r="P180" s="634"/>
      <c r="Q180" s="634"/>
      <c r="R180" s="634"/>
      <c r="S180" s="581"/>
      <c r="T180" s="635"/>
      <c r="U180" s="636"/>
      <c r="V180" s="581"/>
      <c r="W180" s="637"/>
      <c r="X180" s="637"/>
      <c r="Y180" s="581"/>
      <c r="Z180" s="581"/>
      <c r="AA180" s="585"/>
      <c r="AB180" s="586"/>
      <c r="AC180" s="577"/>
      <c r="AD180" s="577"/>
      <c r="AE180" s="572"/>
      <c r="AF180" s="635"/>
      <c r="AG180" s="637"/>
      <c r="AH180" s="637"/>
      <c r="AI180" s="587"/>
      <c r="AJ180" s="636"/>
      <c r="AK180" s="587"/>
      <c r="AL180" s="589"/>
      <c r="AM180" s="638"/>
      <c r="AN180" s="639"/>
      <c r="AO180" s="639"/>
      <c r="AP180" s="640"/>
      <c r="AQ180" s="640"/>
      <c r="AR180" s="641"/>
      <c r="AS180" s="642"/>
      <c r="AT180" s="643"/>
      <c r="AU180" s="640"/>
      <c r="AV180" s="644"/>
      <c r="AW180" s="645"/>
      <c r="AX180" s="638"/>
      <c r="AY180" s="639"/>
      <c r="AZ180" s="639"/>
      <c r="BA180" s="646"/>
    </row>
    <row r="181" ht="15.75" customHeight="1">
      <c r="A181" s="424"/>
      <c r="B181" s="572"/>
      <c r="C181" s="629"/>
      <c r="D181" s="630"/>
      <c r="E181" s="617"/>
      <c r="F181" s="575"/>
      <c r="G181" s="575"/>
      <c r="H181" s="631"/>
      <c r="I181" s="632"/>
      <c r="J181" s="647"/>
      <c r="K181" s="578"/>
      <c r="L181" s="580"/>
      <c r="M181" s="579"/>
      <c r="N181" s="578"/>
      <c r="O181" s="578"/>
      <c r="P181" s="634"/>
      <c r="Q181" s="634"/>
      <c r="R181" s="634"/>
      <c r="S181" s="581"/>
      <c r="T181" s="635"/>
      <c r="U181" s="636"/>
      <c r="V181" s="581"/>
      <c r="W181" s="637"/>
      <c r="X181" s="637"/>
      <c r="Y181" s="581"/>
      <c r="Z181" s="581"/>
      <c r="AA181" s="585"/>
      <c r="AB181" s="586"/>
      <c r="AC181" s="577"/>
      <c r="AD181" s="577"/>
      <c r="AE181" s="572"/>
      <c r="AF181" s="635"/>
      <c r="AG181" s="637"/>
      <c r="AH181" s="637"/>
      <c r="AI181" s="587"/>
      <c r="AJ181" s="636"/>
      <c r="AK181" s="587"/>
      <c r="AL181" s="589"/>
      <c r="AM181" s="638"/>
      <c r="AN181" s="639"/>
      <c r="AO181" s="639"/>
      <c r="AP181" s="640"/>
      <c r="AQ181" s="640"/>
      <c r="AR181" s="641"/>
      <c r="AS181" s="642"/>
      <c r="AT181" s="643"/>
      <c r="AU181" s="640"/>
      <c r="AV181" s="644"/>
      <c r="AW181" s="645"/>
      <c r="AX181" s="638"/>
      <c r="AY181" s="639"/>
      <c r="AZ181" s="639"/>
      <c r="BA181" s="646"/>
    </row>
    <row r="182" ht="15.75" customHeight="1">
      <c r="A182" s="424"/>
      <c r="B182" s="572"/>
      <c r="C182" s="629"/>
      <c r="D182" s="630"/>
      <c r="E182" s="617"/>
      <c r="F182" s="575"/>
      <c r="G182" s="575"/>
      <c r="H182" s="631"/>
      <c r="I182" s="632"/>
      <c r="J182" s="647"/>
      <c r="K182" s="578"/>
      <c r="L182" s="580"/>
      <c r="M182" s="579"/>
      <c r="N182" s="578"/>
      <c r="O182" s="578"/>
      <c r="P182" s="634"/>
      <c r="Q182" s="634"/>
      <c r="R182" s="634"/>
      <c r="S182" s="581"/>
      <c r="T182" s="635"/>
      <c r="U182" s="636"/>
      <c r="V182" s="581"/>
      <c r="W182" s="637"/>
      <c r="X182" s="637"/>
      <c r="Y182" s="581"/>
      <c r="Z182" s="581"/>
      <c r="AA182" s="585"/>
      <c r="AB182" s="586"/>
      <c r="AC182" s="577"/>
      <c r="AD182" s="577"/>
      <c r="AE182" s="572"/>
      <c r="AF182" s="635"/>
      <c r="AG182" s="637"/>
      <c r="AH182" s="637"/>
      <c r="AI182" s="587"/>
      <c r="AJ182" s="636"/>
      <c r="AK182" s="587"/>
      <c r="AL182" s="589"/>
      <c r="AM182" s="638"/>
      <c r="AN182" s="639"/>
      <c r="AO182" s="639"/>
      <c r="AP182" s="640"/>
      <c r="AQ182" s="640"/>
      <c r="AR182" s="641"/>
      <c r="AS182" s="642"/>
      <c r="AT182" s="643"/>
      <c r="AU182" s="640"/>
      <c r="AV182" s="644"/>
      <c r="AW182" s="645"/>
      <c r="AX182" s="638"/>
      <c r="AY182" s="639"/>
      <c r="AZ182" s="639"/>
      <c r="BA182" s="646"/>
    </row>
    <row r="183" ht="15.75" customHeight="1">
      <c r="A183" s="424"/>
      <c r="B183" s="572"/>
      <c r="C183" s="629"/>
      <c r="D183" s="630"/>
      <c r="E183" s="617"/>
      <c r="F183" s="575"/>
      <c r="G183" s="575"/>
      <c r="H183" s="631"/>
      <c r="I183" s="632"/>
      <c r="J183" s="647"/>
      <c r="K183" s="578"/>
      <c r="L183" s="580"/>
      <c r="M183" s="579"/>
      <c r="N183" s="578"/>
      <c r="O183" s="578"/>
      <c r="P183" s="634"/>
      <c r="Q183" s="634"/>
      <c r="R183" s="634"/>
      <c r="S183" s="581"/>
      <c r="T183" s="635"/>
      <c r="U183" s="636"/>
      <c r="V183" s="581"/>
      <c r="W183" s="637"/>
      <c r="X183" s="637"/>
      <c r="Y183" s="581"/>
      <c r="Z183" s="581"/>
      <c r="AA183" s="585"/>
      <c r="AB183" s="586"/>
      <c r="AC183" s="577"/>
      <c r="AD183" s="577"/>
      <c r="AE183" s="572"/>
      <c r="AF183" s="635"/>
      <c r="AG183" s="637"/>
      <c r="AH183" s="637"/>
      <c r="AI183" s="587"/>
      <c r="AJ183" s="636"/>
      <c r="AK183" s="587"/>
      <c r="AL183" s="589"/>
      <c r="AM183" s="638"/>
      <c r="AN183" s="639"/>
      <c r="AO183" s="639"/>
      <c r="AP183" s="640"/>
      <c r="AQ183" s="640"/>
      <c r="AR183" s="641"/>
      <c r="AS183" s="642"/>
      <c r="AT183" s="643"/>
      <c r="AU183" s="640"/>
      <c r="AV183" s="644"/>
      <c r="AW183" s="645"/>
      <c r="AX183" s="638"/>
      <c r="AY183" s="639"/>
      <c r="AZ183" s="639"/>
      <c r="BA183" s="646"/>
    </row>
    <row r="184" ht="15.75" customHeight="1">
      <c r="A184" s="424"/>
      <c r="B184" s="572"/>
      <c r="C184" s="629"/>
      <c r="D184" s="630"/>
      <c r="E184" s="617"/>
      <c r="F184" s="575"/>
      <c r="G184" s="575"/>
      <c r="H184" s="631"/>
      <c r="I184" s="632"/>
      <c r="J184" s="647"/>
      <c r="K184" s="578"/>
      <c r="L184" s="580"/>
      <c r="M184" s="579"/>
      <c r="N184" s="578"/>
      <c r="O184" s="578"/>
      <c r="P184" s="634"/>
      <c r="Q184" s="634"/>
      <c r="R184" s="634"/>
      <c r="S184" s="581"/>
      <c r="T184" s="635"/>
      <c r="U184" s="636"/>
      <c r="V184" s="581"/>
      <c r="W184" s="637"/>
      <c r="X184" s="637"/>
      <c r="Y184" s="581"/>
      <c r="Z184" s="581"/>
      <c r="AA184" s="585"/>
      <c r="AB184" s="586"/>
      <c r="AC184" s="577"/>
      <c r="AD184" s="577"/>
      <c r="AE184" s="572"/>
      <c r="AF184" s="635"/>
      <c r="AG184" s="637"/>
      <c r="AH184" s="637"/>
      <c r="AI184" s="587"/>
      <c r="AJ184" s="636"/>
      <c r="AK184" s="587"/>
      <c r="AL184" s="589"/>
      <c r="AM184" s="638"/>
      <c r="AN184" s="639"/>
      <c r="AO184" s="639"/>
      <c r="AP184" s="640"/>
      <c r="AQ184" s="640"/>
      <c r="AR184" s="641"/>
      <c r="AS184" s="642"/>
      <c r="AT184" s="643"/>
      <c r="AU184" s="640"/>
      <c r="AV184" s="644"/>
      <c r="AW184" s="645"/>
      <c r="AX184" s="638"/>
      <c r="AY184" s="639"/>
      <c r="AZ184" s="639"/>
      <c r="BA184" s="646"/>
    </row>
    <row r="185" ht="15.75" customHeight="1">
      <c r="A185" s="424"/>
      <c r="B185" s="572"/>
      <c r="C185" s="629"/>
      <c r="D185" s="630"/>
      <c r="E185" s="617"/>
      <c r="F185" s="575"/>
      <c r="G185" s="575"/>
      <c r="H185" s="631"/>
      <c r="I185" s="632"/>
      <c r="J185" s="647"/>
      <c r="K185" s="578"/>
      <c r="L185" s="580"/>
      <c r="M185" s="579"/>
      <c r="N185" s="578"/>
      <c r="O185" s="578"/>
      <c r="P185" s="634"/>
      <c r="Q185" s="634"/>
      <c r="R185" s="634"/>
      <c r="S185" s="581"/>
      <c r="T185" s="635"/>
      <c r="U185" s="636"/>
      <c r="V185" s="581"/>
      <c r="W185" s="637"/>
      <c r="X185" s="637"/>
      <c r="Y185" s="581"/>
      <c r="Z185" s="581"/>
      <c r="AA185" s="585"/>
      <c r="AB185" s="586"/>
      <c r="AC185" s="577"/>
      <c r="AD185" s="577"/>
      <c r="AE185" s="572"/>
      <c r="AF185" s="635"/>
      <c r="AG185" s="637"/>
      <c r="AH185" s="637"/>
      <c r="AI185" s="587"/>
      <c r="AJ185" s="636"/>
      <c r="AK185" s="587"/>
      <c r="AL185" s="589"/>
      <c r="AM185" s="638"/>
      <c r="AN185" s="639"/>
      <c r="AO185" s="639"/>
      <c r="AP185" s="640"/>
      <c r="AQ185" s="640"/>
      <c r="AR185" s="641"/>
      <c r="AS185" s="642"/>
      <c r="AT185" s="643"/>
      <c r="AU185" s="640"/>
      <c r="AV185" s="644"/>
      <c r="AW185" s="645"/>
      <c r="AX185" s="638"/>
      <c r="AY185" s="639"/>
      <c r="AZ185" s="639"/>
      <c r="BA185" s="646"/>
    </row>
    <row r="186" ht="15.75" customHeight="1">
      <c r="A186" s="424"/>
      <c r="B186" s="572"/>
      <c r="C186" s="629"/>
      <c r="D186" s="630"/>
      <c r="E186" s="617"/>
      <c r="F186" s="575"/>
      <c r="G186" s="575"/>
      <c r="H186" s="631"/>
      <c r="I186" s="632"/>
      <c r="J186" s="647"/>
      <c r="K186" s="578"/>
      <c r="L186" s="580"/>
      <c r="M186" s="579"/>
      <c r="N186" s="578"/>
      <c r="O186" s="578"/>
      <c r="P186" s="634"/>
      <c r="Q186" s="634"/>
      <c r="R186" s="634"/>
      <c r="S186" s="581"/>
      <c r="T186" s="635"/>
      <c r="U186" s="636"/>
      <c r="V186" s="581"/>
      <c r="W186" s="637"/>
      <c r="X186" s="637"/>
      <c r="Y186" s="581"/>
      <c r="Z186" s="581"/>
      <c r="AA186" s="585"/>
      <c r="AB186" s="586"/>
      <c r="AC186" s="577"/>
      <c r="AD186" s="577"/>
      <c r="AE186" s="572"/>
      <c r="AF186" s="635"/>
      <c r="AG186" s="637"/>
      <c r="AH186" s="637"/>
      <c r="AI186" s="587"/>
      <c r="AJ186" s="636"/>
      <c r="AK186" s="587"/>
      <c r="AL186" s="589"/>
      <c r="AM186" s="638"/>
      <c r="AN186" s="639"/>
      <c r="AO186" s="639"/>
      <c r="AP186" s="640"/>
      <c r="AQ186" s="640"/>
      <c r="AR186" s="641"/>
      <c r="AS186" s="642"/>
      <c r="AT186" s="643"/>
      <c r="AU186" s="640"/>
      <c r="AV186" s="644"/>
      <c r="AW186" s="645"/>
      <c r="AX186" s="638"/>
      <c r="AY186" s="639"/>
      <c r="AZ186" s="639"/>
      <c r="BA186" s="646"/>
    </row>
    <row r="187" ht="15.75" customHeight="1">
      <c r="A187" s="424"/>
      <c r="B187" s="572"/>
      <c r="C187" s="629"/>
      <c r="D187" s="630"/>
      <c r="E187" s="617"/>
      <c r="F187" s="575"/>
      <c r="G187" s="575"/>
      <c r="H187" s="631"/>
      <c r="I187" s="632"/>
      <c r="J187" s="647"/>
      <c r="K187" s="578"/>
      <c r="L187" s="580"/>
      <c r="M187" s="579"/>
      <c r="N187" s="578"/>
      <c r="O187" s="578"/>
      <c r="P187" s="634"/>
      <c r="Q187" s="634"/>
      <c r="R187" s="634"/>
      <c r="S187" s="581"/>
      <c r="T187" s="635"/>
      <c r="U187" s="636"/>
      <c r="V187" s="581"/>
      <c r="W187" s="637"/>
      <c r="X187" s="637"/>
      <c r="Y187" s="581"/>
      <c r="Z187" s="581"/>
      <c r="AA187" s="585"/>
      <c r="AB187" s="586"/>
      <c r="AC187" s="577"/>
      <c r="AD187" s="577"/>
      <c r="AE187" s="572"/>
      <c r="AF187" s="635"/>
      <c r="AG187" s="637"/>
      <c r="AH187" s="637"/>
      <c r="AI187" s="587"/>
      <c r="AJ187" s="636"/>
      <c r="AK187" s="587"/>
      <c r="AL187" s="589"/>
      <c r="AM187" s="638"/>
      <c r="AN187" s="639"/>
      <c r="AO187" s="639"/>
      <c r="AP187" s="640"/>
      <c r="AQ187" s="640"/>
      <c r="AR187" s="641"/>
      <c r="AS187" s="642"/>
      <c r="AT187" s="643"/>
      <c r="AU187" s="640"/>
      <c r="AV187" s="644"/>
      <c r="AW187" s="645"/>
      <c r="AX187" s="638"/>
      <c r="AY187" s="639"/>
      <c r="AZ187" s="639"/>
      <c r="BA187" s="646"/>
    </row>
    <row r="188" ht="15.75" customHeight="1">
      <c r="A188" s="424"/>
      <c r="B188" s="572"/>
      <c r="C188" s="629"/>
      <c r="D188" s="630"/>
      <c r="E188" s="617"/>
      <c r="F188" s="575"/>
      <c r="G188" s="575"/>
      <c r="H188" s="631"/>
      <c r="I188" s="632"/>
      <c r="J188" s="647"/>
      <c r="K188" s="578"/>
      <c r="L188" s="580"/>
      <c r="M188" s="579"/>
      <c r="N188" s="578"/>
      <c r="O188" s="578"/>
      <c r="P188" s="634"/>
      <c r="Q188" s="634"/>
      <c r="R188" s="634"/>
      <c r="S188" s="581"/>
      <c r="T188" s="635"/>
      <c r="U188" s="636"/>
      <c r="V188" s="581"/>
      <c r="W188" s="637"/>
      <c r="X188" s="637"/>
      <c r="Y188" s="581"/>
      <c r="Z188" s="581"/>
      <c r="AA188" s="585"/>
      <c r="AB188" s="586"/>
      <c r="AC188" s="577"/>
      <c r="AD188" s="577"/>
      <c r="AE188" s="572"/>
      <c r="AF188" s="635"/>
      <c r="AG188" s="637"/>
      <c r="AH188" s="637"/>
      <c r="AI188" s="587"/>
      <c r="AJ188" s="636"/>
      <c r="AK188" s="587"/>
      <c r="AL188" s="589"/>
      <c r="AM188" s="638"/>
      <c r="AN188" s="639"/>
      <c r="AO188" s="639"/>
      <c r="AP188" s="640"/>
      <c r="AQ188" s="640"/>
      <c r="AR188" s="641"/>
      <c r="AS188" s="642"/>
      <c r="AT188" s="643"/>
      <c r="AU188" s="640"/>
      <c r="AV188" s="644"/>
      <c r="AW188" s="645"/>
      <c r="AX188" s="638"/>
      <c r="AY188" s="639"/>
      <c r="AZ188" s="639"/>
      <c r="BA188" s="646"/>
    </row>
    <row r="189" ht="15.75" customHeight="1">
      <c r="A189" s="424"/>
      <c r="B189" s="572"/>
      <c r="C189" s="629"/>
      <c r="D189" s="630"/>
      <c r="E189" s="617"/>
      <c r="F189" s="575"/>
      <c r="G189" s="575"/>
      <c r="H189" s="631"/>
      <c r="I189" s="632"/>
      <c r="J189" s="647"/>
      <c r="K189" s="578"/>
      <c r="L189" s="580"/>
      <c r="M189" s="579"/>
      <c r="N189" s="578"/>
      <c r="O189" s="578"/>
      <c r="P189" s="634"/>
      <c r="Q189" s="634"/>
      <c r="R189" s="634"/>
      <c r="S189" s="581"/>
      <c r="T189" s="635"/>
      <c r="U189" s="636"/>
      <c r="V189" s="581"/>
      <c r="W189" s="637"/>
      <c r="X189" s="637"/>
      <c r="Y189" s="581"/>
      <c r="Z189" s="581"/>
      <c r="AA189" s="585"/>
      <c r="AB189" s="586"/>
      <c r="AC189" s="577"/>
      <c r="AD189" s="577"/>
      <c r="AE189" s="572"/>
      <c r="AF189" s="635"/>
      <c r="AG189" s="637"/>
      <c r="AH189" s="637"/>
      <c r="AI189" s="587"/>
      <c r="AJ189" s="636"/>
      <c r="AK189" s="587"/>
      <c r="AL189" s="589"/>
      <c r="AM189" s="638"/>
      <c r="AN189" s="639"/>
      <c r="AO189" s="639"/>
      <c r="AP189" s="640"/>
      <c r="AQ189" s="640"/>
      <c r="AR189" s="641"/>
      <c r="AS189" s="642"/>
      <c r="AT189" s="643"/>
      <c r="AU189" s="640"/>
      <c r="AV189" s="644"/>
      <c r="AW189" s="645"/>
      <c r="AX189" s="638"/>
      <c r="AY189" s="639"/>
      <c r="AZ189" s="639"/>
      <c r="BA189" s="646"/>
    </row>
    <row r="190" ht="15.75" customHeight="1">
      <c r="A190" s="424"/>
      <c r="B190" s="572"/>
      <c r="C190" s="629"/>
      <c r="D190" s="630"/>
      <c r="E190" s="617"/>
      <c r="F190" s="575"/>
      <c r="G190" s="575"/>
      <c r="H190" s="631"/>
      <c r="I190" s="632"/>
      <c r="J190" s="647"/>
      <c r="K190" s="578"/>
      <c r="L190" s="580"/>
      <c r="M190" s="579"/>
      <c r="N190" s="578"/>
      <c r="O190" s="578"/>
      <c r="P190" s="634"/>
      <c r="Q190" s="634"/>
      <c r="R190" s="634"/>
      <c r="S190" s="581"/>
      <c r="T190" s="635"/>
      <c r="U190" s="636"/>
      <c r="V190" s="581"/>
      <c r="W190" s="637"/>
      <c r="X190" s="637"/>
      <c r="Y190" s="581"/>
      <c r="Z190" s="581"/>
      <c r="AA190" s="585"/>
      <c r="AB190" s="586"/>
      <c r="AC190" s="577"/>
      <c r="AD190" s="577"/>
      <c r="AE190" s="572"/>
      <c r="AF190" s="635"/>
      <c r="AG190" s="637"/>
      <c r="AH190" s="637"/>
      <c r="AI190" s="587"/>
      <c r="AJ190" s="636"/>
      <c r="AK190" s="587"/>
      <c r="AL190" s="589"/>
      <c r="AM190" s="638"/>
      <c r="AN190" s="639"/>
      <c r="AO190" s="639"/>
      <c r="AP190" s="640"/>
      <c r="AQ190" s="640"/>
      <c r="AR190" s="641"/>
      <c r="AS190" s="642"/>
      <c r="AT190" s="643"/>
      <c r="AU190" s="640"/>
      <c r="AV190" s="644"/>
      <c r="AW190" s="645"/>
      <c r="AX190" s="638"/>
      <c r="AY190" s="639"/>
      <c r="AZ190" s="639"/>
      <c r="BA190" s="646"/>
    </row>
    <row r="191" ht="15.75" customHeight="1">
      <c r="A191" s="424"/>
      <c r="B191" s="572"/>
      <c r="C191" s="629"/>
      <c r="D191" s="630"/>
      <c r="E191" s="617"/>
      <c r="F191" s="575"/>
      <c r="G191" s="575"/>
      <c r="H191" s="631"/>
      <c r="I191" s="632"/>
      <c r="J191" s="647"/>
      <c r="K191" s="578"/>
      <c r="L191" s="580"/>
      <c r="M191" s="579"/>
      <c r="N191" s="578"/>
      <c r="O191" s="578"/>
      <c r="P191" s="634"/>
      <c r="Q191" s="634"/>
      <c r="R191" s="634"/>
      <c r="S191" s="581"/>
      <c r="T191" s="635"/>
      <c r="U191" s="636"/>
      <c r="V191" s="581"/>
      <c r="W191" s="637"/>
      <c r="X191" s="637"/>
      <c r="Y191" s="581"/>
      <c r="Z191" s="581"/>
      <c r="AA191" s="585"/>
      <c r="AB191" s="586"/>
      <c r="AC191" s="577"/>
      <c r="AD191" s="577"/>
      <c r="AE191" s="572"/>
      <c r="AF191" s="635"/>
      <c r="AG191" s="637"/>
      <c r="AH191" s="637"/>
      <c r="AI191" s="587"/>
      <c r="AJ191" s="636"/>
      <c r="AK191" s="587"/>
      <c r="AL191" s="589"/>
      <c r="AM191" s="638"/>
      <c r="AN191" s="639"/>
      <c r="AO191" s="639"/>
      <c r="AP191" s="640"/>
      <c r="AQ191" s="640"/>
      <c r="AR191" s="641"/>
      <c r="AS191" s="642"/>
      <c r="AT191" s="643"/>
      <c r="AU191" s="640"/>
      <c r="AV191" s="644"/>
      <c r="AW191" s="645"/>
      <c r="AX191" s="638"/>
      <c r="AY191" s="639"/>
      <c r="AZ191" s="639"/>
      <c r="BA191" s="646"/>
    </row>
    <row r="192" ht="15.75" customHeight="1">
      <c r="A192" s="424"/>
      <c r="B192" s="572"/>
      <c r="C192" s="629"/>
      <c r="D192" s="630"/>
      <c r="E192" s="617"/>
      <c r="F192" s="575"/>
      <c r="G192" s="575"/>
      <c r="H192" s="631"/>
      <c r="I192" s="632"/>
      <c r="J192" s="647"/>
      <c r="K192" s="578"/>
      <c r="L192" s="580"/>
      <c r="M192" s="579"/>
      <c r="N192" s="578"/>
      <c r="O192" s="578"/>
      <c r="P192" s="634"/>
      <c r="Q192" s="634"/>
      <c r="R192" s="634"/>
      <c r="S192" s="581"/>
      <c r="T192" s="635"/>
      <c r="U192" s="636"/>
      <c r="V192" s="581"/>
      <c r="W192" s="637"/>
      <c r="X192" s="637"/>
      <c r="Y192" s="581"/>
      <c r="Z192" s="581"/>
      <c r="AA192" s="585"/>
      <c r="AB192" s="586"/>
      <c r="AC192" s="577"/>
      <c r="AD192" s="577"/>
      <c r="AE192" s="572"/>
      <c r="AF192" s="635"/>
      <c r="AG192" s="637"/>
      <c r="AH192" s="637"/>
      <c r="AI192" s="587"/>
      <c r="AJ192" s="636"/>
      <c r="AK192" s="587"/>
      <c r="AL192" s="589"/>
      <c r="AM192" s="638"/>
      <c r="AN192" s="639"/>
      <c r="AO192" s="639"/>
      <c r="AP192" s="640"/>
      <c r="AQ192" s="640"/>
      <c r="AR192" s="641"/>
      <c r="AS192" s="642"/>
      <c r="AT192" s="643"/>
      <c r="AU192" s="640"/>
      <c r="AV192" s="644"/>
      <c r="AW192" s="645"/>
      <c r="AX192" s="638"/>
      <c r="AY192" s="639"/>
      <c r="AZ192" s="639"/>
      <c r="BA192" s="646"/>
    </row>
    <row r="193" ht="15.75" customHeight="1">
      <c r="A193" s="424"/>
      <c r="B193" s="572"/>
      <c r="C193" s="629"/>
      <c r="D193" s="630"/>
      <c r="E193" s="617"/>
      <c r="F193" s="575"/>
      <c r="G193" s="575"/>
      <c r="H193" s="631"/>
      <c r="I193" s="632"/>
      <c r="J193" s="647"/>
      <c r="K193" s="578"/>
      <c r="L193" s="580"/>
      <c r="M193" s="579"/>
      <c r="N193" s="578"/>
      <c r="O193" s="578"/>
      <c r="P193" s="634"/>
      <c r="Q193" s="634"/>
      <c r="R193" s="634"/>
      <c r="S193" s="581"/>
      <c r="T193" s="635"/>
      <c r="U193" s="636"/>
      <c r="V193" s="581"/>
      <c r="W193" s="637"/>
      <c r="X193" s="637"/>
      <c r="Y193" s="581"/>
      <c r="Z193" s="581"/>
      <c r="AA193" s="585"/>
      <c r="AB193" s="586"/>
      <c r="AC193" s="577"/>
      <c r="AD193" s="577"/>
      <c r="AE193" s="572"/>
      <c r="AF193" s="635"/>
      <c r="AG193" s="637"/>
      <c r="AH193" s="637"/>
      <c r="AI193" s="587"/>
      <c r="AJ193" s="636"/>
      <c r="AK193" s="587"/>
      <c r="AL193" s="589"/>
      <c r="AM193" s="638"/>
      <c r="AN193" s="639"/>
      <c r="AO193" s="639"/>
      <c r="AP193" s="640"/>
      <c r="AQ193" s="640"/>
      <c r="AR193" s="641"/>
      <c r="AS193" s="642"/>
      <c r="AT193" s="643"/>
      <c r="AU193" s="640"/>
      <c r="AV193" s="644"/>
      <c r="AW193" s="645"/>
      <c r="AX193" s="638"/>
      <c r="AY193" s="639"/>
      <c r="AZ193" s="639"/>
      <c r="BA193" s="646"/>
    </row>
    <row r="194" ht="15.75" customHeight="1">
      <c r="A194" s="424"/>
      <c r="B194" s="572"/>
      <c r="C194" s="629"/>
      <c r="D194" s="630"/>
      <c r="E194" s="617"/>
      <c r="F194" s="575"/>
      <c r="G194" s="575"/>
      <c r="H194" s="631"/>
      <c r="I194" s="632"/>
      <c r="J194" s="647"/>
      <c r="K194" s="578"/>
      <c r="L194" s="580"/>
      <c r="M194" s="579"/>
      <c r="N194" s="578"/>
      <c r="O194" s="578"/>
      <c r="P194" s="634"/>
      <c r="Q194" s="634"/>
      <c r="R194" s="634"/>
      <c r="S194" s="581"/>
      <c r="T194" s="635"/>
      <c r="U194" s="636"/>
      <c r="V194" s="581"/>
      <c r="W194" s="637"/>
      <c r="X194" s="637"/>
      <c r="Y194" s="581"/>
      <c r="Z194" s="581"/>
      <c r="AA194" s="585"/>
      <c r="AB194" s="586"/>
      <c r="AC194" s="577"/>
      <c r="AD194" s="577"/>
      <c r="AE194" s="572"/>
      <c r="AF194" s="635"/>
      <c r="AG194" s="637"/>
      <c r="AH194" s="637"/>
      <c r="AI194" s="587"/>
      <c r="AJ194" s="636"/>
      <c r="AK194" s="587"/>
      <c r="AL194" s="589"/>
      <c r="AM194" s="638"/>
      <c r="AN194" s="639"/>
      <c r="AO194" s="639"/>
      <c r="AP194" s="640"/>
      <c r="AQ194" s="640"/>
      <c r="AR194" s="641"/>
      <c r="AS194" s="642"/>
      <c r="AT194" s="643"/>
      <c r="AU194" s="640"/>
      <c r="AV194" s="644"/>
      <c r="AW194" s="645"/>
      <c r="AX194" s="638"/>
      <c r="AY194" s="639"/>
      <c r="AZ194" s="639"/>
      <c r="BA194" s="646"/>
    </row>
    <row r="195" ht="15.75" customHeight="1">
      <c r="A195" s="424"/>
      <c r="B195" s="572"/>
      <c r="C195" s="629"/>
      <c r="D195" s="630"/>
      <c r="E195" s="617"/>
      <c r="F195" s="575"/>
      <c r="G195" s="575"/>
      <c r="H195" s="631"/>
      <c r="I195" s="632"/>
      <c r="J195" s="647"/>
      <c r="K195" s="578"/>
      <c r="L195" s="580"/>
      <c r="M195" s="579"/>
      <c r="N195" s="578"/>
      <c r="O195" s="578"/>
      <c r="P195" s="634"/>
      <c r="Q195" s="634"/>
      <c r="R195" s="634"/>
      <c r="S195" s="581"/>
      <c r="T195" s="635"/>
      <c r="U195" s="636"/>
      <c r="V195" s="581"/>
      <c r="W195" s="637"/>
      <c r="X195" s="637"/>
      <c r="Y195" s="581"/>
      <c r="Z195" s="581"/>
      <c r="AA195" s="585"/>
      <c r="AB195" s="586"/>
      <c r="AC195" s="577"/>
      <c r="AD195" s="577"/>
      <c r="AE195" s="572"/>
      <c r="AF195" s="635"/>
      <c r="AG195" s="637"/>
      <c r="AH195" s="637"/>
      <c r="AI195" s="587"/>
      <c r="AJ195" s="636"/>
      <c r="AK195" s="587"/>
      <c r="AL195" s="589"/>
      <c r="AM195" s="638"/>
      <c r="AN195" s="639"/>
      <c r="AO195" s="639"/>
      <c r="AP195" s="640"/>
      <c r="AQ195" s="640"/>
      <c r="AR195" s="641"/>
      <c r="AS195" s="642"/>
      <c r="AT195" s="643"/>
      <c r="AU195" s="640"/>
      <c r="AV195" s="644"/>
      <c r="AW195" s="645"/>
      <c r="AX195" s="638"/>
      <c r="AY195" s="639"/>
      <c r="AZ195" s="639"/>
      <c r="BA195" s="646"/>
    </row>
    <row r="196" ht="15.75" customHeight="1">
      <c r="A196" s="424"/>
      <c r="B196" s="572"/>
      <c r="C196" s="629"/>
      <c r="D196" s="630"/>
      <c r="E196" s="617"/>
      <c r="F196" s="575"/>
      <c r="G196" s="575"/>
      <c r="H196" s="631"/>
      <c r="I196" s="632"/>
      <c r="J196" s="647"/>
      <c r="K196" s="578"/>
      <c r="L196" s="580"/>
      <c r="M196" s="579"/>
      <c r="N196" s="578"/>
      <c r="O196" s="578"/>
      <c r="P196" s="634"/>
      <c r="Q196" s="634"/>
      <c r="R196" s="634"/>
      <c r="S196" s="581"/>
      <c r="T196" s="635"/>
      <c r="U196" s="636"/>
      <c r="V196" s="581"/>
      <c r="W196" s="637"/>
      <c r="X196" s="637"/>
      <c r="Y196" s="581"/>
      <c r="Z196" s="581"/>
      <c r="AA196" s="585"/>
      <c r="AB196" s="586"/>
      <c r="AC196" s="577"/>
      <c r="AD196" s="577"/>
      <c r="AE196" s="572"/>
      <c r="AF196" s="635"/>
      <c r="AG196" s="637"/>
      <c r="AH196" s="637"/>
      <c r="AI196" s="587"/>
      <c r="AJ196" s="636"/>
      <c r="AK196" s="587"/>
      <c r="AL196" s="589"/>
      <c r="AM196" s="638"/>
      <c r="AN196" s="639"/>
      <c r="AO196" s="639"/>
      <c r="AP196" s="640"/>
      <c r="AQ196" s="640"/>
      <c r="AR196" s="641"/>
      <c r="AS196" s="642"/>
      <c r="AT196" s="643"/>
      <c r="AU196" s="640"/>
      <c r="AV196" s="644"/>
      <c r="AW196" s="645"/>
      <c r="AX196" s="638"/>
      <c r="AY196" s="639"/>
      <c r="AZ196" s="639"/>
      <c r="BA196" s="646"/>
    </row>
    <row r="197" ht="15.75" customHeight="1">
      <c r="A197" s="424"/>
      <c r="B197" s="572"/>
      <c r="C197" s="629"/>
      <c r="D197" s="630"/>
      <c r="E197" s="617"/>
      <c r="F197" s="575"/>
      <c r="G197" s="575"/>
      <c r="H197" s="631"/>
      <c r="I197" s="632"/>
      <c r="J197" s="647"/>
      <c r="K197" s="578"/>
      <c r="L197" s="580"/>
      <c r="M197" s="579"/>
      <c r="N197" s="578"/>
      <c r="O197" s="578"/>
      <c r="P197" s="634"/>
      <c r="Q197" s="634"/>
      <c r="R197" s="634"/>
      <c r="S197" s="581"/>
      <c r="T197" s="635"/>
      <c r="U197" s="636"/>
      <c r="V197" s="581"/>
      <c r="W197" s="637"/>
      <c r="X197" s="637"/>
      <c r="Y197" s="581"/>
      <c r="Z197" s="581"/>
      <c r="AA197" s="585"/>
      <c r="AB197" s="586"/>
      <c r="AC197" s="577"/>
      <c r="AD197" s="577"/>
      <c r="AE197" s="572"/>
      <c r="AF197" s="635"/>
      <c r="AG197" s="637"/>
      <c r="AH197" s="637"/>
      <c r="AI197" s="587"/>
      <c r="AJ197" s="636"/>
      <c r="AK197" s="587"/>
      <c r="AL197" s="589"/>
      <c r="AM197" s="638"/>
      <c r="AN197" s="639"/>
      <c r="AO197" s="639"/>
      <c r="AP197" s="640"/>
      <c r="AQ197" s="640"/>
      <c r="AR197" s="641"/>
      <c r="AS197" s="642"/>
      <c r="AT197" s="643"/>
      <c r="AU197" s="640"/>
      <c r="AV197" s="644"/>
      <c r="AW197" s="645"/>
      <c r="AX197" s="638"/>
      <c r="AY197" s="639"/>
      <c r="AZ197" s="639"/>
      <c r="BA197" s="646"/>
    </row>
    <row r="198" ht="15.75" customHeight="1">
      <c r="A198" s="424"/>
      <c r="B198" s="572"/>
      <c r="C198" s="629"/>
      <c r="D198" s="630"/>
      <c r="E198" s="617"/>
      <c r="F198" s="575"/>
      <c r="G198" s="575"/>
      <c r="H198" s="631"/>
      <c r="I198" s="632"/>
      <c r="J198" s="647"/>
      <c r="K198" s="578"/>
      <c r="L198" s="580"/>
      <c r="M198" s="579"/>
      <c r="N198" s="578"/>
      <c r="O198" s="578"/>
      <c r="P198" s="634"/>
      <c r="Q198" s="634"/>
      <c r="R198" s="634"/>
      <c r="S198" s="581"/>
      <c r="T198" s="635"/>
      <c r="U198" s="636"/>
      <c r="V198" s="581"/>
      <c r="W198" s="637"/>
      <c r="X198" s="637"/>
      <c r="Y198" s="581"/>
      <c r="Z198" s="581"/>
      <c r="AA198" s="585"/>
      <c r="AB198" s="586"/>
      <c r="AC198" s="577"/>
      <c r="AD198" s="577"/>
      <c r="AE198" s="572"/>
      <c r="AF198" s="635"/>
      <c r="AG198" s="637"/>
      <c r="AH198" s="637"/>
      <c r="AI198" s="587"/>
      <c r="AJ198" s="636"/>
      <c r="AK198" s="587"/>
      <c r="AL198" s="589"/>
      <c r="AM198" s="638"/>
      <c r="AN198" s="639"/>
      <c r="AO198" s="639"/>
      <c r="AP198" s="640"/>
      <c r="AQ198" s="640"/>
      <c r="AR198" s="641"/>
      <c r="AS198" s="642"/>
      <c r="AT198" s="643"/>
      <c r="AU198" s="640"/>
      <c r="AV198" s="644"/>
      <c r="AW198" s="645"/>
      <c r="AX198" s="638"/>
      <c r="AY198" s="639"/>
      <c r="AZ198" s="639"/>
      <c r="BA198" s="646"/>
    </row>
    <row r="199" ht="15.75" customHeight="1">
      <c r="A199" s="424"/>
      <c r="B199" s="572"/>
      <c r="C199" s="629"/>
      <c r="D199" s="630"/>
      <c r="E199" s="617"/>
      <c r="F199" s="575"/>
      <c r="G199" s="575"/>
      <c r="H199" s="631"/>
      <c r="I199" s="632"/>
      <c r="J199" s="647"/>
      <c r="K199" s="578"/>
      <c r="L199" s="580"/>
      <c r="M199" s="579"/>
      <c r="N199" s="578"/>
      <c r="O199" s="578"/>
      <c r="P199" s="634"/>
      <c r="Q199" s="634"/>
      <c r="R199" s="634"/>
      <c r="S199" s="581"/>
      <c r="T199" s="635"/>
      <c r="U199" s="636"/>
      <c r="V199" s="581"/>
      <c r="W199" s="637"/>
      <c r="X199" s="637"/>
      <c r="Y199" s="581"/>
      <c r="Z199" s="581"/>
      <c r="AA199" s="585"/>
      <c r="AB199" s="586"/>
      <c r="AC199" s="577"/>
      <c r="AD199" s="577"/>
      <c r="AE199" s="572"/>
      <c r="AF199" s="635"/>
      <c r="AG199" s="637"/>
      <c r="AH199" s="637"/>
      <c r="AI199" s="587"/>
      <c r="AJ199" s="636"/>
      <c r="AK199" s="587"/>
      <c r="AL199" s="589"/>
      <c r="AM199" s="638"/>
      <c r="AN199" s="639"/>
      <c r="AO199" s="639"/>
      <c r="AP199" s="640"/>
      <c r="AQ199" s="640"/>
      <c r="AR199" s="641"/>
      <c r="AS199" s="642"/>
      <c r="AT199" s="643"/>
      <c r="AU199" s="640"/>
      <c r="AV199" s="644"/>
      <c r="AW199" s="645"/>
      <c r="AX199" s="638"/>
      <c r="AY199" s="639"/>
      <c r="AZ199" s="639"/>
      <c r="BA199" s="646"/>
    </row>
    <row r="200" ht="15.75" customHeight="1">
      <c r="A200" s="424"/>
      <c r="B200" s="572"/>
      <c r="C200" s="629"/>
      <c r="D200" s="630"/>
      <c r="E200" s="617"/>
      <c r="F200" s="575"/>
      <c r="G200" s="575"/>
      <c r="H200" s="631"/>
      <c r="I200" s="632"/>
      <c r="J200" s="647"/>
      <c r="K200" s="578"/>
      <c r="L200" s="580"/>
      <c r="M200" s="579"/>
      <c r="N200" s="578"/>
      <c r="O200" s="578"/>
      <c r="P200" s="634"/>
      <c r="Q200" s="634"/>
      <c r="R200" s="634"/>
      <c r="S200" s="581"/>
      <c r="T200" s="635"/>
      <c r="U200" s="636"/>
      <c r="V200" s="581"/>
      <c r="W200" s="637"/>
      <c r="X200" s="637"/>
      <c r="Y200" s="581"/>
      <c r="Z200" s="581"/>
      <c r="AA200" s="585"/>
      <c r="AB200" s="586"/>
      <c r="AC200" s="577"/>
      <c r="AD200" s="577"/>
      <c r="AE200" s="572"/>
      <c r="AF200" s="635"/>
      <c r="AG200" s="637"/>
      <c r="AH200" s="637"/>
      <c r="AI200" s="587"/>
      <c r="AJ200" s="636"/>
      <c r="AK200" s="587"/>
      <c r="AL200" s="589"/>
      <c r="AM200" s="638"/>
      <c r="AN200" s="639"/>
      <c r="AO200" s="639"/>
      <c r="AP200" s="640"/>
      <c r="AQ200" s="640"/>
      <c r="AR200" s="641"/>
      <c r="AS200" s="642"/>
      <c r="AT200" s="643"/>
      <c r="AU200" s="640"/>
      <c r="AV200" s="644"/>
      <c r="AW200" s="645"/>
      <c r="AX200" s="638"/>
      <c r="AY200" s="639"/>
      <c r="AZ200" s="639"/>
      <c r="BA200" s="646"/>
    </row>
    <row r="201" ht="15.75" customHeight="1">
      <c r="A201" s="424"/>
      <c r="B201" s="572"/>
      <c r="C201" s="629"/>
      <c r="D201" s="630"/>
      <c r="E201" s="617"/>
      <c r="F201" s="575"/>
      <c r="G201" s="575"/>
      <c r="H201" s="631"/>
      <c r="I201" s="632"/>
      <c r="J201" s="647"/>
      <c r="K201" s="578"/>
      <c r="L201" s="580"/>
      <c r="M201" s="579"/>
      <c r="N201" s="578"/>
      <c r="O201" s="578"/>
      <c r="P201" s="634"/>
      <c r="Q201" s="634"/>
      <c r="R201" s="634"/>
      <c r="S201" s="581"/>
      <c r="T201" s="635"/>
      <c r="U201" s="636"/>
      <c r="V201" s="581"/>
      <c r="W201" s="637"/>
      <c r="X201" s="637"/>
      <c r="Y201" s="581"/>
      <c r="Z201" s="581"/>
      <c r="AA201" s="585"/>
      <c r="AB201" s="586"/>
      <c r="AC201" s="577"/>
      <c r="AD201" s="577"/>
      <c r="AE201" s="572"/>
      <c r="AF201" s="635"/>
      <c r="AG201" s="637"/>
      <c r="AH201" s="637"/>
      <c r="AI201" s="587"/>
      <c r="AJ201" s="636"/>
      <c r="AK201" s="587"/>
      <c r="AL201" s="589"/>
      <c r="AM201" s="638"/>
      <c r="AN201" s="639"/>
      <c r="AO201" s="639"/>
      <c r="AP201" s="640"/>
      <c r="AQ201" s="640"/>
      <c r="AR201" s="641"/>
      <c r="AS201" s="642"/>
      <c r="AT201" s="643"/>
      <c r="AU201" s="640"/>
      <c r="AV201" s="644"/>
      <c r="AW201" s="645"/>
      <c r="AX201" s="638"/>
      <c r="AY201" s="639"/>
      <c r="AZ201" s="639"/>
      <c r="BA201" s="646"/>
    </row>
    <row r="202" ht="15.75" customHeight="1">
      <c r="A202" s="424"/>
      <c r="B202" s="572"/>
      <c r="C202" s="629"/>
      <c r="D202" s="630"/>
      <c r="E202" s="617"/>
      <c r="F202" s="575"/>
      <c r="G202" s="575"/>
      <c r="H202" s="631"/>
      <c r="I202" s="632"/>
      <c r="J202" s="647"/>
      <c r="K202" s="578"/>
      <c r="L202" s="580"/>
      <c r="M202" s="579"/>
      <c r="N202" s="578"/>
      <c r="O202" s="578"/>
      <c r="P202" s="634"/>
      <c r="Q202" s="634"/>
      <c r="R202" s="634"/>
      <c r="S202" s="581"/>
      <c r="T202" s="635"/>
      <c r="U202" s="636"/>
      <c r="V202" s="581"/>
      <c r="W202" s="637"/>
      <c r="X202" s="637"/>
      <c r="Y202" s="581"/>
      <c r="Z202" s="581"/>
      <c r="AA202" s="585"/>
      <c r="AB202" s="586"/>
      <c r="AC202" s="577"/>
      <c r="AD202" s="577"/>
      <c r="AE202" s="572"/>
      <c r="AF202" s="635"/>
      <c r="AG202" s="637"/>
      <c r="AH202" s="637"/>
      <c r="AI202" s="587"/>
      <c r="AJ202" s="636"/>
      <c r="AK202" s="587"/>
      <c r="AL202" s="589"/>
      <c r="AM202" s="638"/>
      <c r="AN202" s="639"/>
      <c r="AO202" s="639"/>
      <c r="AP202" s="640"/>
      <c r="AQ202" s="640"/>
      <c r="AR202" s="641"/>
      <c r="AS202" s="642"/>
      <c r="AT202" s="643"/>
      <c r="AU202" s="640"/>
      <c r="AV202" s="644"/>
      <c r="AW202" s="645"/>
      <c r="AX202" s="638"/>
      <c r="AY202" s="639"/>
      <c r="AZ202" s="639"/>
      <c r="BA202" s="646"/>
    </row>
    <row r="203" ht="15.75" customHeight="1">
      <c r="A203" s="424"/>
      <c r="B203" s="572"/>
      <c r="C203" s="629"/>
      <c r="D203" s="630"/>
      <c r="E203" s="617"/>
      <c r="F203" s="575"/>
      <c r="G203" s="575"/>
      <c r="H203" s="631"/>
      <c r="I203" s="632"/>
      <c r="J203" s="647"/>
      <c r="K203" s="578"/>
      <c r="L203" s="580"/>
      <c r="M203" s="579"/>
      <c r="N203" s="578"/>
      <c r="O203" s="578"/>
      <c r="P203" s="634"/>
      <c r="Q203" s="634"/>
      <c r="R203" s="634"/>
      <c r="S203" s="581"/>
      <c r="T203" s="635"/>
      <c r="U203" s="636"/>
      <c r="V203" s="581"/>
      <c r="W203" s="637"/>
      <c r="X203" s="637"/>
      <c r="Y203" s="581"/>
      <c r="Z203" s="581"/>
      <c r="AA203" s="585"/>
      <c r="AB203" s="586"/>
      <c r="AC203" s="577"/>
      <c r="AD203" s="577"/>
      <c r="AE203" s="572"/>
      <c r="AF203" s="635"/>
      <c r="AG203" s="637"/>
      <c r="AH203" s="637"/>
      <c r="AI203" s="587"/>
      <c r="AJ203" s="636"/>
      <c r="AK203" s="587"/>
      <c r="AL203" s="589"/>
      <c r="AM203" s="638"/>
      <c r="AN203" s="639"/>
      <c r="AO203" s="639"/>
      <c r="AP203" s="640"/>
      <c r="AQ203" s="640"/>
      <c r="AR203" s="641"/>
      <c r="AS203" s="642"/>
      <c r="AT203" s="643"/>
      <c r="AU203" s="640"/>
      <c r="AV203" s="644"/>
      <c r="AW203" s="645"/>
      <c r="AX203" s="638"/>
      <c r="AY203" s="639"/>
      <c r="AZ203" s="639"/>
      <c r="BA203" s="646"/>
    </row>
    <row r="204" ht="15.75" customHeight="1">
      <c r="A204" s="424"/>
      <c r="B204" s="572"/>
      <c r="C204" s="629"/>
      <c r="D204" s="630"/>
      <c r="E204" s="617"/>
      <c r="F204" s="575"/>
      <c r="G204" s="575"/>
      <c r="H204" s="631"/>
      <c r="I204" s="632"/>
      <c r="J204" s="647"/>
      <c r="K204" s="578"/>
      <c r="L204" s="580"/>
      <c r="M204" s="579"/>
      <c r="N204" s="578"/>
      <c r="O204" s="578"/>
      <c r="P204" s="634"/>
      <c r="Q204" s="634"/>
      <c r="R204" s="634"/>
      <c r="S204" s="581"/>
      <c r="T204" s="635"/>
      <c r="U204" s="636"/>
      <c r="V204" s="581"/>
      <c r="W204" s="637"/>
      <c r="X204" s="637"/>
      <c r="Y204" s="581"/>
      <c r="Z204" s="581"/>
      <c r="AA204" s="585"/>
      <c r="AB204" s="586"/>
      <c r="AC204" s="577"/>
      <c r="AD204" s="577"/>
      <c r="AE204" s="572"/>
      <c r="AF204" s="635"/>
      <c r="AG204" s="637"/>
      <c r="AH204" s="637"/>
      <c r="AI204" s="587"/>
      <c r="AJ204" s="636"/>
      <c r="AK204" s="587"/>
      <c r="AL204" s="589"/>
      <c r="AM204" s="638"/>
      <c r="AN204" s="639"/>
      <c r="AO204" s="639"/>
      <c r="AP204" s="640"/>
      <c r="AQ204" s="640"/>
      <c r="AR204" s="641"/>
      <c r="AS204" s="642"/>
      <c r="AT204" s="643"/>
      <c r="AU204" s="640"/>
      <c r="AV204" s="644"/>
      <c r="AW204" s="645"/>
      <c r="AX204" s="638"/>
      <c r="AY204" s="639"/>
      <c r="AZ204" s="639"/>
      <c r="BA204" s="646"/>
    </row>
    <row r="205" ht="15.75" customHeight="1">
      <c r="A205" s="424"/>
      <c r="B205" s="572"/>
      <c r="C205" s="629"/>
      <c r="D205" s="630"/>
      <c r="E205" s="617"/>
      <c r="F205" s="575"/>
      <c r="G205" s="575"/>
      <c r="H205" s="631"/>
      <c r="I205" s="632"/>
      <c r="J205" s="647"/>
      <c r="K205" s="578"/>
      <c r="L205" s="580"/>
      <c r="M205" s="579"/>
      <c r="N205" s="578"/>
      <c r="O205" s="578"/>
      <c r="P205" s="634"/>
      <c r="Q205" s="634"/>
      <c r="R205" s="634"/>
      <c r="S205" s="581"/>
      <c r="T205" s="635"/>
      <c r="U205" s="636"/>
      <c r="V205" s="581"/>
      <c r="W205" s="637"/>
      <c r="X205" s="637"/>
      <c r="Y205" s="581"/>
      <c r="Z205" s="581"/>
      <c r="AA205" s="585"/>
      <c r="AB205" s="586"/>
      <c r="AC205" s="577"/>
      <c r="AD205" s="577"/>
      <c r="AE205" s="572"/>
      <c r="AF205" s="635"/>
      <c r="AG205" s="637"/>
      <c r="AH205" s="637"/>
      <c r="AI205" s="587"/>
      <c r="AJ205" s="636"/>
      <c r="AK205" s="587"/>
      <c r="AL205" s="589"/>
      <c r="AM205" s="638"/>
      <c r="AN205" s="639"/>
      <c r="AO205" s="639"/>
      <c r="AP205" s="640"/>
      <c r="AQ205" s="640"/>
      <c r="AR205" s="641"/>
      <c r="AS205" s="642"/>
      <c r="AT205" s="643"/>
      <c r="AU205" s="640"/>
      <c r="AV205" s="644"/>
      <c r="AW205" s="645"/>
      <c r="AX205" s="638"/>
      <c r="AY205" s="639"/>
      <c r="AZ205" s="639"/>
      <c r="BA205" s="646"/>
    </row>
    <row r="206" ht="15.75" customHeight="1">
      <c r="A206" s="424"/>
      <c r="B206" s="572"/>
      <c r="C206" s="629"/>
      <c r="D206" s="630"/>
      <c r="E206" s="617"/>
      <c r="F206" s="575"/>
      <c r="G206" s="575"/>
      <c r="H206" s="631"/>
      <c r="I206" s="632"/>
      <c r="J206" s="647"/>
      <c r="K206" s="578"/>
      <c r="L206" s="580"/>
      <c r="M206" s="579"/>
      <c r="N206" s="578"/>
      <c r="O206" s="578"/>
      <c r="P206" s="634"/>
      <c r="Q206" s="634"/>
      <c r="R206" s="634"/>
      <c r="S206" s="581"/>
      <c r="T206" s="635"/>
      <c r="U206" s="636"/>
      <c r="V206" s="581"/>
      <c r="W206" s="637"/>
      <c r="X206" s="637"/>
      <c r="Y206" s="581"/>
      <c r="Z206" s="581"/>
      <c r="AA206" s="585"/>
      <c r="AB206" s="586"/>
      <c r="AC206" s="577"/>
      <c r="AD206" s="577"/>
      <c r="AE206" s="572"/>
      <c r="AF206" s="635"/>
      <c r="AG206" s="637"/>
      <c r="AH206" s="637"/>
      <c r="AI206" s="587"/>
      <c r="AJ206" s="636"/>
      <c r="AK206" s="587"/>
      <c r="AL206" s="589"/>
      <c r="AM206" s="638"/>
      <c r="AN206" s="639"/>
      <c r="AO206" s="639"/>
      <c r="AP206" s="640"/>
      <c r="AQ206" s="640"/>
      <c r="AR206" s="641"/>
      <c r="AS206" s="642"/>
      <c r="AT206" s="643"/>
      <c r="AU206" s="640"/>
      <c r="AV206" s="644"/>
      <c r="AW206" s="645"/>
      <c r="AX206" s="638"/>
      <c r="AY206" s="639"/>
      <c r="AZ206" s="639"/>
      <c r="BA206" s="646"/>
    </row>
    <row r="207" ht="15.75" customHeight="1">
      <c r="A207" s="424"/>
      <c r="B207" s="572"/>
      <c r="C207" s="629"/>
      <c r="D207" s="630"/>
      <c r="E207" s="617"/>
      <c r="F207" s="575"/>
      <c r="G207" s="575"/>
      <c r="H207" s="631"/>
      <c r="I207" s="632"/>
      <c r="J207" s="647"/>
      <c r="K207" s="578"/>
      <c r="L207" s="580"/>
      <c r="M207" s="579"/>
      <c r="N207" s="578"/>
      <c r="O207" s="578"/>
      <c r="P207" s="634"/>
      <c r="Q207" s="634"/>
      <c r="R207" s="634"/>
      <c r="S207" s="581"/>
      <c r="T207" s="635"/>
      <c r="U207" s="636"/>
      <c r="V207" s="581"/>
      <c r="W207" s="637"/>
      <c r="X207" s="637"/>
      <c r="Y207" s="581"/>
      <c r="Z207" s="581"/>
      <c r="AA207" s="585"/>
      <c r="AB207" s="586"/>
      <c r="AC207" s="577"/>
      <c r="AD207" s="577"/>
      <c r="AE207" s="572"/>
      <c r="AF207" s="635"/>
      <c r="AG207" s="637"/>
      <c r="AH207" s="637"/>
      <c r="AI207" s="587"/>
      <c r="AJ207" s="636"/>
      <c r="AK207" s="587"/>
      <c r="AL207" s="589"/>
      <c r="AM207" s="638"/>
      <c r="AN207" s="639"/>
      <c r="AO207" s="639"/>
      <c r="AP207" s="640"/>
      <c r="AQ207" s="640"/>
      <c r="AR207" s="641"/>
      <c r="AS207" s="642"/>
      <c r="AT207" s="643"/>
      <c r="AU207" s="640"/>
      <c r="AV207" s="644"/>
      <c r="AW207" s="645"/>
      <c r="AX207" s="638"/>
      <c r="AY207" s="639"/>
      <c r="AZ207" s="639"/>
      <c r="BA207" s="646"/>
    </row>
    <row r="208" ht="15.75" customHeight="1">
      <c r="A208" s="424"/>
      <c r="B208" s="572"/>
      <c r="C208" s="629"/>
      <c r="D208" s="630"/>
      <c r="E208" s="617"/>
      <c r="F208" s="575"/>
      <c r="G208" s="575"/>
      <c r="H208" s="631"/>
      <c r="I208" s="632"/>
      <c r="J208" s="647"/>
      <c r="K208" s="578"/>
      <c r="L208" s="580"/>
      <c r="M208" s="579"/>
      <c r="N208" s="578"/>
      <c r="O208" s="578"/>
      <c r="P208" s="634"/>
      <c r="Q208" s="634"/>
      <c r="R208" s="634"/>
      <c r="S208" s="581"/>
      <c r="T208" s="635"/>
      <c r="U208" s="636"/>
      <c r="V208" s="581"/>
      <c r="W208" s="637"/>
      <c r="X208" s="637"/>
      <c r="Y208" s="581"/>
      <c r="Z208" s="581"/>
      <c r="AA208" s="585"/>
      <c r="AB208" s="586"/>
      <c r="AC208" s="577"/>
      <c r="AD208" s="577"/>
      <c r="AE208" s="572"/>
      <c r="AF208" s="635"/>
      <c r="AG208" s="637"/>
      <c r="AH208" s="637"/>
      <c r="AI208" s="587"/>
      <c r="AJ208" s="636"/>
      <c r="AK208" s="587"/>
      <c r="AL208" s="589"/>
      <c r="AM208" s="638"/>
      <c r="AN208" s="639"/>
      <c r="AO208" s="639"/>
      <c r="AP208" s="640"/>
      <c r="AQ208" s="640"/>
      <c r="AR208" s="641"/>
      <c r="AS208" s="642"/>
      <c r="AT208" s="643"/>
      <c r="AU208" s="640"/>
      <c r="AV208" s="644"/>
      <c r="AW208" s="645"/>
      <c r="AX208" s="638"/>
      <c r="AY208" s="639"/>
      <c r="AZ208" s="639"/>
      <c r="BA208" s="646"/>
    </row>
    <row r="209" ht="15.75" customHeight="1">
      <c r="A209" s="424"/>
      <c r="B209" s="572"/>
      <c r="C209" s="629"/>
      <c r="D209" s="630"/>
      <c r="E209" s="617"/>
      <c r="F209" s="575"/>
      <c r="G209" s="575"/>
      <c r="H209" s="631"/>
      <c r="I209" s="632"/>
      <c r="J209" s="647"/>
      <c r="K209" s="578"/>
      <c r="L209" s="580"/>
      <c r="M209" s="579"/>
      <c r="N209" s="578"/>
      <c r="O209" s="578"/>
      <c r="P209" s="634"/>
      <c r="Q209" s="634"/>
      <c r="R209" s="634"/>
      <c r="S209" s="581"/>
      <c r="T209" s="635"/>
      <c r="U209" s="636"/>
      <c r="V209" s="581"/>
      <c r="W209" s="637"/>
      <c r="X209" s="637"/>
      <c r="Y209" s="581"/>
      <c r="Z209" s="581"/>
      <c r="AA209" s="585"/>
      <c r="AB209" s="586"/>
      <c r="AC209" s="577"/>
      <c r="AD209" s="577"/>
      <c r="AE209" s="572"/>
      <c r="AF209" s="635"/>
      <c r="AG209" s="637"/>
      <c r="AH209" s="637"/>
      <c r="AI209" s="587"/>
      <c r="AJ209" s="636"/>
      <c r="AK209" s="587"/>
      <c r="AL209" s="589"/>
      <c r="AM209" s="638"/>
      <c r="AN209" s="639"/>
      <c r="AO209" s="639"/>
      <c r="AP209" s="640"/>
      <c r="AQ209" s="640"/>
      <c r="AR209" s="641"/>
      <c r="AS209" s="642"/>
      <c r="AT209" s="643"/>
      <c r="AU209" s="640"/>
      <c r="AV209" s="644"/>
      <c r="AW209" s="645"/>
      <c r="AX209" s="638"/>
      <c r="AY209" s="639"/>
      <c r="AZ209" s="639"/>
      <c r="BA209" s="646"/>
    </row>
    <row r="210" ht="15.75" customHeight="1">
      <c r="A210" s="424"/>
      <c r="B210" s="572"/>
      <c r="C210" s="629"/>
      <c r="D210" s="630"/>
      <c r="E210" s="617"/>
      <c r="F210" s="575"/>
      <c r="G210" s="575"/>
      <c r="H210" s="631"/>
      <c r="I210" s="632"/>
      <c r="J210" s="647"/>
      <c r="K210" s="578"/>
      <c r="L210" s="580"/>
      <c r="M210" s="579"/>
      <c r="N210" s="578"/>
      <c r="O210" s="578"/>
      <c r="P210" s="634"/>
      <c r="Q210" s="634"/>
      <c r="R210" s="634"/>
      <c r="S210" s="581"/>
      <c r="T210" s="635"/>
      <c r="U210" s="636"/>
      <c r="V210" s="581"/>
      <c r="W210" s="637"/>
      <c r="X210" s="637"/>
      <c r="Y210" s="581"/>
      <c r="Z210" s="581"/>
      <c r="AA210" s="585"/>
      <c r="AB210" s="586"/>
      <c r="AC210" s="577"/>
      <c r="AD210" s="577"/>
      <c r="AE210" s="572"/>
      <c r="AF210" s="635"/>
      <c r="AG210" s="637"/>
      <c r="AH210" s="637"/>
      <c r="AI210" s="587"/>
      <c r="AJ210" s="636"/>
      <c r="AK210" s="587"/>
      <c r="AL210" s="589"/>
      <c r="AM210" s="638"/>
      <c r="AN210" s="639"/>
      <c r="AO210" s="639"/>
      <c r="AP210" s="640"/>
      <c r="AQ210" s="640"/>
      <c r="AR210" s="641"/>
      <c r="AS210" s="642"/>
      <c r="AT210" s="643"/>
      <c r="AU210" s="640"/>
      <c r="AV210" s="644"/>
      <c r="AW210" s="645"/>
      <c r="AX210" s="638"/>
      <c r="AY210" s="639"/>
      <c r="AZ210" s="639"/>
      <c r="BA210" s="646"/>
    </row>
    <row r="211" ht="15.75" customHeight="1">
      <c r="A211" s="424"/>
      <c r="B211" s="572"/>
      <c r="C211" s="629"/>
      <c r="D211" s="630"/>
      <c r="E211" s="617"/>
      <c r="F211" s="575"/>
      <c r="G211" s="575"/>
      <c r="H211" s="631"/>
      <c r="I211" s="632"/>
      <c r="J211" s="647"/>
      <c r="K211" s="578"/>
      <c r="L211" s="580"/>
      <c r="M211" s="579"/>
      <c r="N211" s="578"/>
      <c r="O211" s="578"/>
      <c r="P211" s="634"/>
      <c r="Q211" s="634"/>
      <c r="R211" s="634"/>
      <c r="S211" s="581"/>
      <c r="T211" s="635"/>
      <c r="U211" s="636"/>
      <c r="V211" s="581"/>
      <c r="W211" s="637"/>
      <c r="X211" s="637"/>
      <c r="Y211" s="581"/>
      <c r="Z211" s="581"/>
      <c r="AA211" s="585"/>
      <c r="AB211" s="586"/>
      <c r="AC211" s="577"/>
      <c r="AD211" s="577"/>
      <c r="AE211" s="572"/>
      <c r="AF211" s="635"/>
      <c r="AG211" s="637"/>
      <c r="AH211" s="637"/>
      <c r="AI211" s="587"/>
      <c r="AJ211" s="636"/>
      <c r="AK211" s="587"/>
      <c r="AL211" s="589"/>
      <c r="AM211" s="638"/>
      <c r="AN211" s="639"/>
      <c r="AO211" s="639"/>
      <c r="AP211" s="640"/>
      <c r="AQ211" s="640"/>
      <c r="AR211" s="641"/>
      <c r="AS211" s="642"/>
      <c r="AT211" s="643"/>
      <c r="AU211" s="640"/>
      <c r="AV211" s="644"/>
      <c r="AW211" s="645"/>
      <c r="AX211" s="638"/>
      <c r="AY211" s="639"/>
      <c r="AZ211" s="639"/>
      <c r="BA211" s="646"/>
    </row>
    <row r="212" ht="15.75" customHeight="1">
      <c r="A212" s="424"/>
      <c r="B212" s="572"/>
      <c r="C212" s="629"/>
      <c r="D212" s="630"/>
      <c r="E212" s="617"/>
      <c r="F212" s="575"/>
      <c r="G212" s="575"/>
      <c r="H212" s="631"/>
      <c r="I212" s="632"/>
      <c r="J212" s="647"/>
      <c r="K212" s="578"/>
      <c r="L212" s="580"/>
      <c r="M212" s="579"/>
      <c r="N212" s="578"/>
      <c r="O212" s="578"/>
      <c r="P212" s="634"/>
      <c r="Q212" s="634"/>
      <c r="R212" s="634"/>
      <c r="S212" s="581"/>
      <c r="T212" s="635"/>
      <c r="U212" s="636"/>
      <c r="V212" s="581"/>
      <c r="W212" s="637"/>
      <c r="X212" s="637"/>
      <c r="Y212" s="581"/>
      <c r="Z212" s="581"/>
      <c r="AA212" s="585"/>
      <c r="AB212" s="586"/>
      <c r="AC212" s="577"/>
      <c r="AD212" s="577"/>
      <c r="AE212" s="572"/>
      <c r="AF212" s="635"/>
      <c r="AG212" s="637"/>
      <c r="AH212" s="637"/>
      <c r="AI212" s="587"/>
      <c r="AJ212" s="636"/>
      <c r="AK212" s="587"/>
      <c r="AL212" s="589"/>
      <c r="AM212" s="638"/>
      <c r="AN212" s="639"/>
      <c r="AO212" s="639"/>
      <c r="AP212" s="640"/>
      <c r="AQ212" s="640"/>
      <c r="AR212" s="641"/>
      <c r="AS212" s="642"/>
      <c r="AT212" s="643"/>
      <c r="AU212" s="640"/>
      <c r="AV212" s="644"/>
      <c r="AW212" s="645"/>
      <c r="AX212" s="638"/>
      <c r="AY212" s="639"/>
      <c r="AZ212" s="639"/>
      <c r="BA212" s="646"/>
    </row>
    <row r="213" ht="15.75" customHeight="1">
      <c r="A213" s="424"/>
      <c r="B213" s="572"/>
      <c r="C213" s="629"/>
      <c r="D213" s="630"/>
      <c r="E213" s="617"/>
      <c r="F213" s="575"/>
      <c r="G213" s="575"/>
      <c r="H213" s="631"/>
      <c r="I213" s="632"/>
      <c r="J213" s="647"/>
      <c r="K213" s="578"/>
      <c r="L213" s="580"/>
      <c r="M213" s="579"/>
      <c r="N213" s="578"/>
      <c r="O213" s="578"/>
      <c r="P213" s="634"/>
      <c r="Q213" s="634"/>
      <c r="R213" s="634"/>
      <c r="S213" s="581"/>
      <c r="T213" s="635"/>
      <c r="U213" s="636"/>
      <c r="V213" s="581"/>
      <c r="W213" s="637"/>
      <c r="X213" s="637"/>
      <c r="Y213" s="581"/>
      <c r="Z213" s="581"/>
      <c r="AA213" s="585"/>
      <c r="AB213" s="586"/>
      <c r="AC213" s="577"/>
      <c r="AD213" s="577"/>
      <c r="AE213" s="572"/>
      <c r="AF213" s="635"/>
      <c r="AG213" s="637"/>
      <c r="AH213" s="637"/>
      <c r="AI213" s="587"/>
      <c r="AJ213" s="636"/>
      <c r="AK213" s="587"/>
      <c r="AL213" s="589"/>
      <c r="AM213" s="638"/>
      <c r="AN213" s="639"/>
      <c r="AO213" s="639"/>
      <c r="AP213" s="640"/>
      <c r="AQ213" s="640"/>
      <c r="AR213" s="641"/>
      <c r="AS213" s="642"/>
      <c r="AT213" s="643"/>
      <c r="AU213" s="640"/>
      <c r="AV213" s="644"/>
      <c r="AW213" s="645"/>
      <c r="AX213" s="638"/>
      <c r="AY213" s="639"/>
      <c r="AZ213" s="639"/>
      <c r="BA213" s="646"/>
    </row>
    <row r="214" ht="15.75" customHeight="1">
      <c r="A214" s="424"/>
      <c r="B214" s="572"/>
      <c r="C214" s="629"/>
      <c r="D214" s="630"/>
      <c r="E214" s="617"/>
      <c r="F214" s="575"/>
      <c r="G214" s="575"/>
      <c r="H214" s="631"/>
      <c r="I214" s="632"/>
      <c r="J214" s="647"/>
      <c r="K214" s="578"/>
      <c r="L214" s="580"/>
      <c r="M214" s="579"/>
      <c r="N214" s="578"/>
      <c r="O214" s="578"/>
      <c r="P214" s="634"/>
      <c r="Q214" s="634"/>
      <c r="R214" s="634"/>
      <c r="S214" s="581"/>
      <c r="T214" s="635"/>
      <c r="U214" s="636"/>
      <c r="V214" s="581"/>
      <c r="W214" s="637"/>
      <c r="X214" s="637"/>
      <c r="Y214" s="581"/>
      <c r="Z214" s="581"/>
      <c r="AA214" s="585"/>
      <c r="AB214" s="586"/>
      <c r="AC214" s="577"/>
      <c r="AD214" s="577"/>
      <c r="AE214" s="572"/>
      <c r="AF214" s="635"/>
      <c r="AG214" s="637"/>
      <c r="AH214" s="637"/>
      <c r="AI214" s="587"/>
      <c r="AJ214" s="636"/>
      <c r="AK214" s="587"/>
      <c r="AL214" s="589"/>
      <c r="AM214" s="638"/>
      <c r="AN214" s="639"/>
      <c r="AO214" s="639"/>
      <c r="AP214" s="640"/>
      <c r="AQ214" s="640"/>
      <c r="AR214" s="641"/>
      <c r="AS214" s="642"/>
      <c r="AT214" s="643"/>
      <c r="AU214" s="640"/>
      <c r="AV214" s="644"/>
      <c r="AW214" s="645"/>
      <c r="AX214" s="638"/>
      <c r="AY214" s="639"/>
      <c r="AZ214" s="639"/>
      <c r="BA214" s="646"/>
    </row>
    <row r="215" ht="15.75" customHeight="1">
      <c r="A215" s="424"/>
      <c r="B215" s="572"/>
      <c r="C215" s="629"/>
      <c r="D215" s="630"/>
      <c r="E215" s="617"/>
      <c r="F215" s="575"/>
      <c r="G215" s="575"/>
      <c r="H215" s="631"/>
      <c r="I215" s="632"/>
      <c r="J215" s="647"/>
      <c r="K215" s="578"/>
      <c r="L215" s="580"/>
      <c r="M215" s="579"/>
      <c r="N215" s="578"/>
      <c r="O215" s="578"/>
      <c r="P215" s="634"/>
      <c r="Q215" s="634"/>
      <c r="R215" s="634"/>
      <c r="S215" s="581"/>
      <c r="T215" s="635"/>
      <c r="U215" s="636"/>
      <c r="V215" s="581"/>
      <c r="W215" s="637"/>
      <c r="X215" s="637"/>
      <c r="Y215" s="581"/>
      <c r="Z215" s="581"/>
      <c r="AA215" s="585"/>
      <c r="AB215" s="586"/>
      <c r="AC215" s="577"/>
      <c r="AD215" s="577"/>
      <c r="AE215" s="572"/>
      <c r="AF215" s="635"/>
      <c r="AG215" s="637"/>
      <c r="AH215" s="637"/>
      <c r="AI215" s="587"/>
      <c r="AJ215" s="636"/>
      <c r="AK215" s="587"/>
      <c r="AL215" s="589"/>
      <c r="AM215" s="638"/>
      <c r="AN215" s="639"/>
      <c r="AO215" s="639"/>
      <c r="AP215" s="640"/>
      <c r="AQ215" s="640"/>
      <c r="AR215" s="641"/>
      <c r="AS215" s="642"/>
      <c r="AT215" s="643"/>
      <c r="AU215" s="640"/>
      <c r="AV215" s="644"/>
      <c r="AW215" s="645"/>
      <c r="AX215" s="638"/>
      <c r="AY215" s="639"/>
      <c r="AZ215" s="639"/>
      <c r="BA215" s="646"/>
    </row>
    <row r="216" ht="15.75" customHeight="1">
      <c r="A216" s="424"/>
      <c r="B216" s="572"/>
      <c r="C216" s="629"/>
      <c r="D216" s="630"/>
      <c r="E216" s="617"/>
      <c r="F216" s="575"/>
      <c r="G216" s="575"/>
      <c r="H216" s="631"/>
      <c r="I216" s="632"/>
      <c r="J216" s="647"/>
      <c r="K216" s="578"/>
      <c r="L216" s="580"/>
      <c r="M216" s="579"/>
      <c r="N216" s="578"/>
      <c r="O216" s="578"/>
      <c r="P216" s="634"/>
      <c r="Q216" s="634"/>
      <c r="R216" s="634"/>
      <c r="S216" s="581"/>
      <c r="T216" s="635"/>
      <c r="U216" s="636"/>
      <c r="V216" s="581"/>
      <c r="W216" s="637"/>
      <c r="X216" s="637"/>
      <c r="Y216" s="581"/>
      <c r="Z216" s="581"/>
      <c r="AA216" s="585"/>
      <c r="AB216" s="586"/>
      <c r="AC216" s="577"/>
      <c r="AD216" s="577"/>
      <c r="AE216" s="572"/>
      <c r="AF216" s="635"/>
      <c r="AG216" s="637"/>
      <c r="AH216" s="637"/>
      <c r="AI216" s="587"/>
      <c r="AJ216" s="636"/>
      <c r="AK216" s="587"/>
      <c r="AL216" s="589"/>
      <c r="AM216" s="638"/>
      <c r="AN216" s="639"/>
      <c r="AO216" s="639"/>
      <c r="AP216" s="640"/>
      <c r="AQ216" s="640"/>
      <c r="AR216" s="641"/>
      <c r="AS216" s="642"/>
      <c r="AT216" s="643"/>
      <c r="AU216" s="640"/>
      <c r="AV216" s="644"/>
      <c r="AW216" s="645"/>
      <c r="AX216" s="638"/>
      <c r="AY216" s="639"/>
      <c r="AZ216" s="639"/>
      <c r="BA216" s="646"/>
    </row>
    <row r="217" ht="15.75" customHeight="1">
      <c r="A217" s="424"/>
      <c r="B217" s="572"/>
      <c r="C217" s="629"/>
      <c r="D217" s="630"/>
      <c r="E217" s="617"/>
      <c r="F217" s="575"/>
      <c r="G217" s="575"/>
      <c r="H217" s="631"/>
      <c r="I217" s="632"/>
      <c r="J217" s="647"/>
      <c r="K217" s="578"/>
      <c r="L217" s="580"/>
      <c r="M217" s="579"/>
      <c r="N217" s="578"/>
      <c r="O217" s="578"/>
      <c r="P217" s="634"/>
      <c r="Q217" s="634"/>
      <c r="R217" s="634"/>
      <c r="S217" s="581"/>
      <c r="T217" s="635"/>
      <c r="U217" s="636"/>
      <c r="V217" s="581"/>
      <c r="W217" s="637"/>
      <c r="X217" s="637"/>
      <c r="Y217" s="581"/>
      <c r="Z217" s="581"/>
      <c r="AA217" s="585"/>
      <c r="AB217" s="586"/>
      <c r="AC217" s="577"/>
      <c r="AD217" s="577"/>
      <c r="AE217" s="572"/>
      <c r="AF217" s="635"/>
      <c r="AG217" s="637"/>
      <c r="AH217" s="637"/>
      <c r="AI217" s="587"/>
      <c r="AJ217" s="636"/>
      <c r="AK217" s="587"/>
      <c r="AL217" s="589"/>
      <c r="AM217" s="638"/>
      <c r="AN217" s="639"/>
      <c r="AO217" s="639"/>
      <c r="AP217" s="640"/>
      <c r="AQ217" s="640"/>
      <c r="AR217" s="641"/>
      <c r="AS217" s="642"/>
      <c r="AT217" s="643"/>
      <c r="AU217" s="640"/>
      <c r="AV217" s="644"/>
      <c r="AW217" s="645"/>
      <c r="AX217" s="638"/>
      <c r="AY217" s="639"/>
      <c r="AZ217" s="639"/>
      <c r="BA217" s="646"/>
    </row>
    <row r="218" ht="15.75" customHeight="1">
      <c r="A218" s="424"/>
      <c r="B218" s="572"/>
      <c r="C218" s="629"/>
      <c r="D218" s="630"/>
      <c r="E218" s="617"/>
      <c r="F218" s="575"/>
      <c r="G218" s="575"/>
      <c r="H218" s="631"/>
      <c r="I218" s="632"/>
      <c r="J218" s="647"/>
      <c r="K218" s="578"/>
      <c r="L218" s="580"/>
      <c r="M218" s="579"/>
      <c r="N218" s="578"/>
      <c r="O218" s="578"/>
      <c r="P218" s="634"/>
      <c r="Q218" s="634"/>
      <c r="R218" s="634"/>
      <c r="S218" s="581"/>
      <c r="T218" s="635"/>
      <c r="U218" s="636"/>
      <c r="V218" s="581"/>
      <c r="W218" s="637"/>
      <c r="X218" s="637"/>
      <c r="Y218" s="581"/>
      <c r="Z218" s="581"/>
      <c r="AA218" s="585"/>
      <c r="AB218" s="586"/>
      <c r="AC218" s="577"/>
      <c r="AD218" s="577"/>
      <c r="AE218" s="572"/>
      <c r="AF218" s="635"/>
      <c r="AG218" s="637"/>
      <c r="AH218" s="637"/>
      <c r="AI218" s="587"/>
      <c r="AJ218" s="636"/>
      <c r="AK218" s="587"/>
      <c r="AL218" s="589"/>
      <c r="AM218" s="638"/>
      <c r="AN218" s="639"/>
      <c r="AO218" s="639"/>
      <c r="AP218" s="640"/>
      <c r="AQ218" s="640"/>
      <c r="AR218" s="641"/>
      <c r="AS218" s="642"/>
      <c r="AT218" s="643"/>
      <c r="AU218" s="640"/>
      <c r="AV218" s="644"/>
      <c r="AW218" s="645"/>
      <c r="AX218" s="638"/>
      <c r="AY218" s="639"/>
      <c r="AZ218" s="639"/>
      <c r="BA218" s="646"/>
    </row>
    <row r="219" ht="15.75" customHeight="1">
      <c r="A219" s="424"/>
      <c r="B219" s="572"/>
      <c r="C219" s="629"/>
      <c r="D219" s="630"/>
      <c r="E219" s="617"/>
      <c r="F219" s="575"/>
      <c r="G219" s="575"/>
      <c r="H219" s="631"/>
      <c r="I219" s="632"/>
      <c r="J219" s="647"/>
      <c r="K219" s="578"/>
      <c r="L219" s="580"/>
      <c r="M219" s="579"/>
      <c r="N219" s="578"/>
      <c r="O219" s="578"/>
      <c r="P219" s="634"/>
      <c r="Q219" s="634"/>
      <c r="R219" s="634"/>
      <c r="S219" s="581"/>
      <c r="T219" s="635"/>
      <c r="U219" s="636"/>
      <c r="V219" s="581"/>
      <c r="W219" s="637"/>
      <c r="X219" s="637"/>
      <c r="Y219" s="581"/>
      <c r="Z219" s="581"/>
      <c r="AA219" s="585"/>
      <c r="AB219" s="586"/>
      <c r="AC219" s="577"/>
      <c r="AD219" s="577"/>
      <c r="AE219" s="572"/>
      <c r="AF219" s="635"/>
      <c r="AG219" s="637"/>
      <c r="AH219" s="637"/>
      <c r="AI219" s="587"/>
      <c r="AJ219" s="636"/>
      <c r="AK219" s="587"/>
      <c r="AL219" s="589"/>
      <c r="AM219" s="638"/>
      <c r="AN219" s="639"/>
      <c r="AO219" s="639"/>
      <c r="AP219" s="640"/>
      <c r="AQ219" s="640"/>
      <c r="AR219" s="641"/>
      <c r="AS219" s="642"/>
      <c r="AT219" s="643"/>
      <c r="AU219" s="640"/>
      <c r="AV219" s="644"/>
      <c r="AW219" s="645"/>
      <c r="AX219" s="638"/>
      <c r="AY219" s="639"/>
      <c r="AZ219" s="639"/>
      <c r="BA219" s="646"/>
    </row>
    <row r="220" ht="15.75" customHeight="1">
      <c r="A220" s="424"/>
      <c r="B220" s="572"/>
      <c r="C220" s="629"/>
      <c r="D220" s="630"/>
      <c r="E220" s="617"/>
      <c r="F220" s="575"/>
      <c r="G220" s="575"/>
      <c r="H220" s="631"/>
      <c r="I220" s="632"/>
      <c r="J220" s="647"/>
      <c r="K220" s="578"/>
      <c r="L220" s="580"/>
      <c r="M220" s="579"/>
      <c r="N220" s="578"/>
      <c r="O220" s="578"/>
      <c r="P220" s="634"/>
      <c r="Q220" s="634"/>
      <c r="R220" s="634"/>
      <c r="S220" s="581"/>
      <c r="T220" s="635"/>
      <c r="U220" s="636"/>
      <c r="V220" s="581"/>
      <c r="W220" s="637"/>
      <c r="X220" s="637"/>
      <c r="Y220" s="581"/>
      <c r="Z220" s="581"/>
      <c r="AA220" s="585"/>
      <c r="AB220" s="586"/>
      <c r="AC220" s="577"/>
      <c r="AD220" s="577"/>
      <c r="AE220" s="572"/>
      <c r="AF220" s="635"/>
      <c r="AG220" s="637"/>
      <c r="AH220" s="637"/>
      <c r="AI220" s="587"/>
      <c r="AJ220" s="636"/>
      <c r="AK220" s="587"/>
      <c r="AL220" s="589"/>
      <c r="AM220" s="638"/>
      <c r="AN220" s="639"/>
      <c r="AO220" s="639"/>
      <c r="AP220" s="640"/>
      <c r="AQ220" s="640"/>
      <c r="AR220" s="641"/>
      <c r="AS220" s="642"/>
      <c r="AT220" s="643"/>
      <c r="AU220" s="640"/>
      <c r="AV220" s="644"/>
      <c r="AW220" s="645"/>
      <c r="AX220" s="638"/>
      <c r="AY220" s="639"/>
      <c r="AZ220" s="639"/>
      <c r="BA220" s="646"/>
    </row>
    <row r="221" ht="15.75" customHeight="1">
      <c r="A221" s="424"/>
      <c r="B221" s="572"/>
      <c r="C221" s="629"/>
      <c r="D221" s="630"/>
      <c r="E221" s="617"/>
      <c r="F221" s="575"/>
      <c r="G221" s="575"/>
      <c r="H221" s="631"/>
      <c r="I221" s="632"/>
      <c r="J221" s="647"/>
      <c r="K221" s="578"/>
      <c r="L221" s="580"/>
      <c r="M221" s="579"/>
      <c r="N221" s="578"/>
      <c r="O221" s="578"/>
      <c r="P221" s="634"/>
      <c r="Q221" s="634"/>
      <c r="R221" s="634"/>
      <c r="S221" s="581"/>
      <c r="T221" s="635"/>
      <c r="U221" s="636"/>
      <c r="V221" s="581"/>
      <c r="W221" s="637"/>
      <c r="X221" s="637"/>
      <c r="Y221" s="581"/>
      <c r="Z221" s="581"/>
      <c r="AA221" s="585"/>
      <c r="AB221" s="586"/>
      <c r="AC221" s="577"/>
      <c r="AD221" s="577"/>
      <c r="AE221" s="572"/>
      <c r="AF221" s="635"/>
      <c r="AG221" s="637"/>
      <c r="AH221" s="637"/>
      <c r="AI221" s="587"/>
      <c r="AJ221" s="636"/>
      <c r="AK221" s="587"/>
      <c r="AL221" s="589"/>
      <c r="AM221" s="638"/>
      <c r="AN221" s="639"/>
      <c r="AO221" s="639"/>
      <c r="AP221" s="640"/>
      <c r="AQ221" s="640"/>
      <c r="AR221" s="641"/>
      <c r="AS221" s="642"/>
      <c r="AT221" s="643"/>
      <c r="AU221" s="640"/>
      <c r="AV221" s="644"/>
      <c r="AW221" s="645"/>
      <c r="AX221" s="638"/>
      <c r="AY221" s="639"/>
      <c r="AZ221" s="639"/>
      <c r="BA221" s="646"/>
    </row>
    <row r="222" ht="15.75" customHeight="1">
      <c r="A222" s="424"/>
      <c r="B222" s="572"/>
      <c r="C222" s="629"/>
      <c r="D222" s="630"/>
      <c r="E222" s="617"/>
      <c r="F222" s="575"/>
      <c r="G222" s="575"/>
      <c r="H222" s="631"/>
      <c r="I222" s="632"/>
      <c r="J222" s="647"/>
      <c r="K222" s="578"/>
      <c r="L222" s="580"/>
      <c r="M222" s="579"/>
      <c r="N222" s="578"/>
      <c r="O222" s="578"/>
      <c r="P222" s="634"/>
      <c r="Q222" s="634"/>
      <c r="R222" s="634"/>
      <c r="S222" s="581"/>
      <c r="T222" s="635"/>
      <c r="U222" s="636"/>
      <c r="V222" s="581"/>
      <c r="W222" s="637"/>
      <c r="X222" s="637"/>
      <c r="Y222" s="581"/>
      <c r="Z222" s="581"/>
      <c r="AA222" s="585"/>
      <c r="AB222" s="586"/>
      <c r="AC222" s="577"/>
      <c r="AD222" s="577"/>
      <c r="AE222" s="572"/>
      <c r="AF222" s="635"/>
      <c r="AG222" s="637"/>
      <c r="AH222" s="637"/>
      <c r="AI222" s="587"/>
      <c r="AJ222" s="636"/>
      <c r="AK222" s="587"/>
      <c r="AL222" s="589"/>
      <c r="AM222" s="638"/>
      <c r="AN222" s="639"/>
      <c r="AO222" s="639"/>
      <c r="AP222" s="640"/>
      <c r="AQ222" s="640"/>
      <c r="AR222" s="641"/>
      <c r="AS222" s="642"/>
      <c r="AT222" s="643"/>
      <c r="AU222" s="640"/>
      <c r="AV222" s="644"/>
      <c r="AW222" s="645"/>
      <c r="AX222" s="638"/>
      <c r="AY222" s="639"/>
      <c r="AZ222" s="639"/>
      <c r="BA222" s="646"/>
    </row>
    <row r="223" ht="15.75" customHeight="1">
      <c r="A223" s="424"/>
      <c r="B223" s="572"/>
      <c r="C223" s="629"/>
      <c r="D223" s="630"/>
      <c r="E223" s="617"/>
      <c r="F223" s="575"/>
      <c r="G223" s="575"/>
      <c r="H223" s="631"/>
      <c r="I223" s="632"/>
      <c r="J223" s="647"/>
      <c r="K223" s="578"/>
      <c r="L223" s="580"/>
      <c r="M223" s="579"/>
      <c r="N223" s="578"/>
      <c r="O223" s="578"/>
      <c r="P223" s="634"/>
      <c r="Q223" s="634"/>
      <c r="R223" s="634"/>
      <c r="S223" s="581"/>
      <c r="T223" s="635"/>
      <c r="U223" s="636"/>
      <c r="V223" s="581"/>
      <c r="W223" s="637"/>
      <c r="X223" s="637"/>
      <c r="Y223" s="581"/>
      <c r="Z223" s="581"/>
      <c r="AA223" s="585"/>
      <c r="AB223" s="586"/>
      <c r="AC223" s="577"/>
      <c r="AD223" s="577"/>
      <c r="AE223" s="572"/>
      <c r="AF223" s="635"/>
      <c r="AG223" s="637"/>
      <c r="AH223" s="637"/>
      <c r="AI223" s="587"/>
      <c r="AJ223" s="636"/>
      <c r="AK223" s="587"/>
      <c r="AL223" s="589"/>
      <c r="AM223" s="638"/>
      <c r="AN223" s="639"/>
      <c r="AO223" s="639"/>
      <c r="AP223" s="640"/>
      <c r="AQ223" s="640"/>
      <c r="AR223" s="641"/>
      <c r="AS223" s="642"/>
      <c r="AT223" s="643"/>
      <c r="AU223" s="640"/>
      <c r="AV223" s="644"/>
      <c r="AW223" s="645"/>
      <c r="AX223" s="638"/>
      <c r="AY223" s="639"/>
      <c r="AZ223" s="639"/>
      <c r="BA223" s="646"/>
    </row>
    <row r="224" ht="15.75" customHeight="1">
      <c r="A224" s="424"/>
      <c r="B224" s="572"/>
      <c r="C224" s="629"/>
      <c r="D224" s="630"/>
      <c r="E224" s="617"/>
      <c r="F224" s="575"/>
      <c r="G224" s="575"/>
      <c r="H224" s="631"/>
      <c r="I224" s="632"/>
      <c r="J224" s="647"/>
      <c r="K224" s="578"/>
      <c r="L224" s="580"/>
      <c r="M224" s="579"/>
      <c r="N224" s="578"/>
      <c r="O224" s="578"/>
      <c r="P224" s="634"/>
      <c r="Q224" s="634"/>
      <c r="R224" s="634"/>
      <c r="S224" s="581"/>
      <c r="T224" s="635"/>
      <c r="U224" s="636"/>
      <c r="V224" s="581"/>
      <c r="W224" s="637"/>
      <c r="X224" s="637"/>
      <c r="Y224" s="581"/>
      <c r="Z224" s="581"/>
      <c r="AA224" s="585"/>
      <c r="AB224" s="586"/>
      <c r="AC224" s="577"/>
      <c r="AD224" s="577"/>
      <c r="AE224" s="572"/>
      <c r="AF224" s="635"/>
      <c r="AG224" s="637"/>
      <c r="AH224" s="637"/>
      <c r="AI224" s="587"/>
      <c r="AJ224" s="636"/>
      <c r="AK224" s="587"/>
      <c r="AL224" s="589"/>
      <c r="AM224" s="638"/>
      <c r="AN224" s="639"/>
      <c r="AO224" s="639"/>
      <c r="AP224" s="640"/>
      <c r="AQ224" s="640"/>
      <c r="AR224" s="641"/>
      <c r="AS224" s="642"/>
      <c r="AT224" s="643"/>
      <c r="AU224" s="640"/>
      <c r="AV224" s="644"/>
      <c r="AW224" s="645"/>
      <c r="AX224" s="638"/>
      <c r="AY224" s="639"/>
      <c r="AZ224" s="639"/>
      <c r="BA224" s="646"/>
    </row>
    <row r="225" ht="15.75" customHeight="1">
      <c r="A225" s="424"/>
      <c r="B225" s="572"/>
      <c r="C225" s="629"/>
      <c r="D225" s="630"/>
      <c r="E225" s="617"/>
      <c r="F225" s="575"/>
      <c r="G225" s="575"/>
      <c r="H225" s="631"/>
      <c r="I225" s="632"/>
      <c r="J225" s="647"/>
      <c r="K225" s="578"/>
      <c r="L225" s="580"/>
      <c r="M225" s="579"/>
      <c r="N225" s="578"/>
      <c r="O225" s="578"/>
      <c r="P225" s="634"/>
      <c r="Q225" s="634"/>
      <c r="R225" s="634"/>
      <c r="S225" s="581"/>
      <c r="T225" s="635"/>
      <c r="U225" s="636"/>
      <c r="V225" s="581"/>
      <c r="W225" s="637"/>
      <c r="X225" s="637"/>
      <c r="Y225" s="581"/>
      <c r="Z225" s="581"/>
      <c r="AA225" s="585"/>
      <c r="AB225" s="586"/>
      <c r="AC225" s="577"/>
      <c r="AD225" s="577"/>
      <c r="AE225" s="572"/>
      <c r="AF225" s="635"/>
      <c r="AG225" s="637"/>
      <c r="AH225" s="637"/>
      <c r="AI225" s="587"/>
      <c r="AJ225" s="636"/>
      <c r="AK225" s="587"/>
      <c r="AL225" s="589"/>
      <c r="AM225" s="638"/>
      <c r="AN225" s="639"/>
      <c r="AO225" s="639"/>
      <c r="AP225" s="640"/>
      <c r="AQ225" s="640"/>
      <c r="AR225" s="641"/>
      <c r="AS225" s="642"/>
      <c r="AT225" s="643"/>
      <c r="AU225" s="640"/>
      <c r="AV225" s="644"/>
      <c r="AW225" s="645"/>
      <c r="AX225" s="638"/>
      <c r="AY225" s="639"/>
      <c r="AZ225" s="639"/>
      <c r="BA225" s="646"/>
    </row>
    <row r="226" ht="15.75" customHeight="1">
      <c r="A226" s="424"/>
      <c r="B226" s="572"/>
      <c r="C226" s="629"/>
      <c r="D226" s="630"/>
      <c r="E226" s="617"/>
      <c r="F226" s="575"/>
      <c r="G226" s="575"/>
      <c r="H226" s="631"/>
      <c r="I226" s="632"/>
      <c r="J226" s="647"/>
      <c r="K226" s="578"/>
      <c r="L226" s="580"/>
      <c r="M226" s="579"/>
      <c r="N226" s="578"/>
      <c r="O226" s="578"/>
      <c r="P226" s="634"/>
      <c r="Q226" s="634"/>
      <c r="R226" s="634"/>
      <c r="S226" s="581"/>
      <c r="T226" s="635"/>
      <c r="U226" s="636"/>
      <c r="V226" s="581"/>
      <c r="W226" s="637"/>
      <c r="X226" s="637"/>
      <c r="Y226" s="581"/>
      <c r="Z226" s="581"/>
      <c r="AA226" s="585"/>
      <c r="AB226" s="586"/>
      <c r="AC226" s="577"/>
      <c r="AD226" s="577"/>
      <c r="AE226" s="572"/>
      <c r="AF226" s="635"/>
      <c r="AG226" s="637"/>
      <c r="AH226" s="637"/>
      <c r="AI226" s="587"/>
      <c r="AJ226" s="636"/>
      <c r="AK226" s="587"/>
      <c r="AL226" s="589"/>
      <c r="AM226" s="638"/>
      <c r="AN226" s="639"/>
      <c r="AO226" s="639"/>
      <c r="AP226" s="640"/>
      <c r="AQ226" s="640"/>
      <c r="AR226" s="641"/>
      <c r="AS226" s="642"/>
      <c r="AT226" s="643"/>
      <c r="AU226" s="640"/>
      <c r="AV226" s="644"/>
      <c r="AW226" s="645"/>
      <c r="AX226" s="638"/>
      <c r="AY226" s="639"/>
      <c r="AZ226" s="639"/>
      <c r="BA226" s="646"/>
    </row>
    <row r="227" ht="15.75" customHeight="1">
      <c r="A227" s="424"/>
      <c r="B227" s="572"/>
      <c r="C227" s="629"/>
      <c r="D227" s="630"/>
      <c r="E227" s="617"/>
      <c r="F227" s="575"/>
      <c r="G227" s="575"/>
      <c r="H227" s="631"/>
      <c r="I227" s="632"/>
      <c r="J227" s="647"/>
      <c r="K227" s="578"/>
      <c r="L227" s="580"/>
      <c r="M227" s="579"/>
      <c r="N227" s="578"/>
      <c r="O227" s="578"/>
      <c r="P227" s="634"/>
      <c r="Q227" s="634"/>
      <c r="R227" s="634"/>
      <c r="S227" s="581"/>
      <c r="T227" s="635"/>
      <c r="U227" s="636"/>
      <c r="V227" s="581"/>
      <c r="W227" s="637"/>
      <c r="X227" s="637"/>
      <c r="Y227" s="581"/>
      <c r="Z227" s="581"/>
      <c r="AA227" s="585"/>
      <c r="AB227" s="586"/>
      <c r="AC227" s="577"/>
      <c r="AD227" s="577"/>
      <c r="AE227" s="572"/>
      <c r="AF227" s="635"/>
      <c r="AG227" s="637"/>
      <c r="AH227" s="637"/>
      <c r="AI227" s="587"/>
      <c r="AJ227" s="636"/>
      <c r="AK227" s="587"/>
      <c r="AL227" s="589"/>
      <c r="AM227" s="638"/>
      <c r="AN227" s="639"/>
      <c r="AO227" s="639"/>
      <c r="AP227" s="640"/>
      <c r="AQ227" s="640"/>
      <c r="AR227" s="641"/>
      <c r="AS227" s="642"/>
      <c r="AT227" s="643"/>
      <c r="AU227" s="640"/>
      <c r="AV227" s="644"/>
      <c r="AW227" s="645"/>
      <c r="AX227" s="638"/>
      <c r="AY227" s="639"/>
      <c r="AZ227" s="639"/>
      <c r="BA227" s="646"/>
    </row>
    <row r="228" ht="15.75" customHeight="1">
      <c r="A228" s="424"/>
      <c r="B228" s="572"/>
      <c r="C228" s="629"/>
      <c r="D228" s="630"/>
      <c r="E228" s="617"/>
      <c r="F228" s="575"/>
      <c r="G228" s="575"/>
      <c r="H228" s="631"/>
      <c r="I228" s="632"/>
      <c r="J228" s="647"/>
      <c r="K228" s="578"/>
      <c r="L228" s="580"/>
      <c r="M228" s="579"/>
      <c r="N228" s="578"/>
      <c r="O228" s="578"/>
      <c r="P228" s="634"/>
      <c r="Q228" s="634"/>
      <c r="R228" s="634"/>
      <c r="S228" s="581"/>
      <c r="T228" s="635"/>
      <c r="U228" s="636"/>
      <c r="V228" s="581"/>
      <c r="W228" s="637"/>
      <c r="X228" s="637"/>
      <c r="Y228" s="581"/>
      <c r="Z228" s="581"/>
      <c r="AA228" s="585"/>
      <c r="AB228" s="586"/>
      <c r="AC228" s="577"/>
      <c r="AD228" s="577"/>
      <c r="AE228" s="572"/>
      <c r="AF228" s="635"/>
      <c r="AG228" s="637"/>
      <c r="AH228" s="637"/>
      <c r="AI228" s="587"/>
      <c r="AJ228" s="636"/>
      <c r="AK228" s="587"/>
      <c r="AL228" s="589"/>
      <c r="AM228" s="638"/>
      <c r="AN228" s="639"/>
      <c r="AO228" s="639"/>
      <c r="AP228" s="640"/>
      <c r="AQ228" s="640"/>
      <c r="AR228" s="641"/>
      <c r="AS228" s="642"/>
      <c r="AT228" s="643"/>
      <c r="AU228" s="640"/>
      <c r="AV228" s="644"/>
      <c r="AW228" s="645"/>
      <c r="AX228" s="638"/>
      <c r="AY228" s="639"/>
      <c r="AZ228" s="639"/>
      <c r="BA228" s="646"/>
    </row>
    <row r="229" ht="15.75" customHeight="1">
      <c r="A229" s="424"/>
      <c r="B229" s="572"/>
      <c r="C229" s="629"/>
      <c r="D229" s="630"/>
      <c r="E229" s="617"/>
      <c r="F229" s="575"/>
      <c r="G229" s="575"/>
      <c r="H229" s="631"/>
      <c r="I229" s="632"/>
      <c r="J229" s="647"/>
      <c r="K229" s="578"/>
      <c r="L229" s="580"/>
      <c r="M229" s="579"/>
      <c r="N229" s="578"/>
      <c r="O229" s="578"/>
      <c r="P229" s="634"/>
      <c r="Q229" s="634"/>
      <c r="R229" s="634"/>
      <c r="S229" s="581"/>
      <c r="T229" s="635"/>
      <c r="U229" s="636"/>
      <c r="V229" s="581"/>
      <c r="W229" s="637"/>
      <c r="X229" s="637"/>
      <c r="Y229" s="581"/>
      <c r="Z229" s="581"/>
      <c r="AA229" s="585"/>
      <c r="AB229" s="586"/>
      <c r="AC229" s="577"/>
      <c r="AD229" s="577"/>
      <c r="AE229" s="572"/>
      <c r="AF229" s="635"/>
      <c r="AG229" s="637"/>
      <c r="AH229" s="637"/>
      <c r="AI229" s="587"/>
      <c r="AJ229" s="636"/>
      <c r="AK229" s="587"/>
      <c r="AL229" s="589"/>
      <c r="AM229" s="638"/>
      <c r="AN229" s="639"/>
      <c r="AO229" s="639"/>
      <c r="AP229" s="640"/>
      <c r="AQ229" s="640"/>
      <c r="AR229" s="641"/>
      <c r="AS229" s="642"/>
      <c r="AT229" s="643"/>
      <c r="AU229" s="640"/>
      <c r="AV229" s="644"/>
      <c r="AW229" s="645"/>
      <c r="AX229" s="638"/>
      <c r="AY229" s="639"/>
      <c r="AZ229" s="639"/>
      <c r="BA229" s="646"/>
    </row>
    <row r="230" ht="15.75" customHeight="1">
      <c r="A230" s="424"/>
      <c r="B230" s="572"/>
      <c r="C230" s="629"/>
      <c r="D230" s="630"/>
      <c r="E230" s="617"/>
      <c r="F230" s="575"/>
      <c r="G230" s="575"/>
      <c r="H230" s="631"/>
      <c r="I230" s="632"/>
      <c r="J230" s="647"/>
      <c r="K230" s="578"/>
      <c r="L230" s="580"/>
      <c r="M230" s="579"/>
      <c r="N230" s="578"/>
      <c r="O230" s="578"/>
      <c r="P230" s="634"/>
      <c r="Q230" s="634"/>
      <c r="R230" s="634"/>
      <c r="S230" s="581"/>
      <c r="T230" s="635"/>
      <c r="U230" s="636"/>
      <c r="V230" s="581"/>
      <c r="W230" s="637"/>
      <c r="X230" s="637"/>
      <c r="Y230" s="581"/>
      <c r="Z230" s="581"/>
      <c r="AA230" s="585"/>
      <c r="AB230" s="586"/>
      <c r="AC230" s="577"/>
      <c r="AD230" s="577"/>
      <c r="AE230" s="572"/>
      <c r="AF230" s="635"/>
      <c r="AG230" s="637"/>
      <c r="AH230" s="637"/>
      <c r="AI230" s="587"/>
      <c r="AJ230" s="636"/>
      <c r="AK230" s="587"/>
      <c r="AL230" s="589"/>
      <c r="AM230" s="638"/>
      <c r="AN230" s="639"/>
      <c r="AO230" s="639"/>
      <c r="AP230" s="640"/>
      <c r="AQ230" s="640"/>
      <c r="AR230" s="641"/>
      <c r="AS230" s="642"/>
      <c r="AT230" s="643"/>
      <c r="AU230" s="640"/>
      <c r="AV230" s="644"/>
      <c r="AW230" s="645"/>
      <c r="AX230" s="638"/>
      <c r="AY230" s="639"/>
      <c r="AZ230" s="639"/>
      <c r="BA230" s="646"/>
    </row>
    <row r="231" ht="15.75" customHeight="1">
      <c r="A231" s="424"/>
      <c r="B231" s="572"/>
      <c r="C231" s="629"/>
      <c r="D231" s="630"/>
      <c r="E231" s="617"/>
      <c r="F231" s="575"/>
      <c r="G231" s="575"/>
      <c r="H231" s="631"/>
      <c r="I231" s="632"/>
      <c r="J231" s="647"/>
      <c r="K231" s="578"/>
      <c r="L231" s="580"/>
      <c r="M231" s="579"/>
      <c r="N231" s="578"/>
      <c r="O231" s="578"/>
      <c r="P231" s="634"/>
      <c r="Q231" s="634"/>
      <c r="R231" s="634"/>
      <c r="S231" s="581"/>
      <c r="T231" s="635"/>
      <c r="U231" s="636"/>
      <c r="V231" s="581"/>
      <c r="W231" s="637"/>
      <c r="X231" s="637"/>
      <c r="Y231" s="581"/>
      <c r="Z231" s="581"/>
      <c r="AA231" s="585"/>
      <c r="AB231" s="586"/>
      <c r="AC231" s="577"/>
      <c r="AD231" s="577"/>
      <c r="AE231" s="572"/>
      <c r="AF231" s="635"/>
      <c r="AG231" s="637"/>
      <c r="AH231" s="637"/>
      <c r="AI231" s="587"/>
      <c r="AJ231" s="636"/>
      <c r="AK231" s="587"/>
      <c r="AL231" s="589"/>
      <c r="AM231" s="638"/>
      <c r="AN231" s="639"/>
      <c r="AO231" s="639"/>
      <c r="AP231" s="640"/>
      <c r="AQ231" s="640"/>
      <c r="AR231" s="641"/>
      <c r="AS231" s="642"/>
      <c r="AT231" s="643"/>
      <c r="AU231" s="640"/>
      <c r="AV231" s="644"/>
      <c r="AW231" s="645"/>
      <c r="AX231" s="638"/>
      <c r="AY231" s="639"/>
      <c r="AZ231" s="639"/>
      <c r="BA231" s="646"/>
    </row>
    <row r="232" ht="15.75" customHeight="1">
      <c r="A232" s="424"/>
      <c r="B232" s="572"/>
      <c r="C232" s="629"/>
      <c r="D232" s="630"/>
      <c r="E232" s="617"/>
      <c r="F232" s="575"/>
      <c r="G232" s="575"/>
      <c r="H232" s="631"/>
      <c r="I232" s="632"/>
      <c r="J232" s="647"/>
      <c r="K232" s="578"/>
      <c r="L232" s="580"/>
      <c r="M232" s="579"/>
      <c r="N232" s="578"/>
      <c r="O232" s="578"/>
      <c r="P232" s="634"/>
      <c r="Q232" s="634"/>
      <c r="R232" s="634"/>
      <c r="S232" s="581"/>
      <c r="T232" s="635"/>
      <c r="U232" s="636"/>
      <c r="V232" s="581"/>
      <c r="W232" s="637"/>
      <c r="X232" s="637"/>
      <c r="Y232" s="581"/>
      <c r="Z232" s="581"/>
      <c r="AA232" s="585"/>
      <c r="AB232" s="586"/>
      <c r="AC232" s="577"/>
      <c r="AD232" s="577"/>
      <c r="AE232" s="572"/>
      <c r="AF232" s="635"/>
      <c r="AG232" s="637"/>
      <c r="AH232" s="637"/>
      <c r="AI232" s="587"/>
      <c r="AJ232" s="636"/>
      <c r="AK232" s="587"/>
      <c r="AL232" s="589"/>
      <c r="AM232" s="638"/>
      <c r="AN232" s="639"/>
      <c r="AO232" s="639"/>
      <c r="AP232" s="640"/>
      <c r="AQ232" s="640"/>
      <c r="AR232" s="641"/>
      <c r="AS232" s="642"/>
      <c r="AT232" s="643"/>
      <c r="AU232" s="640"/>
      <c r="AV232" s="644"/>
      <c r="AW232" s="645"/>
      <c r="AX232" s="638"/>
      <c r="AY232" s="639"/>
      <c r="AZ232" s="639"/>
      <c r="BA232" s="646"/>
    </row>
    <row r="233" ht="15.75" customHeight="1">
      <c r="A233" s="424"/>
      <c r="B233" s="572"/>
      <c r="C233" s="629"/>
      <c r="D233" s="630"/>
      <c r="E233" s="617"/>
      <c r="F233" s="575"/>
      <c r="G233" s="575"/>
      <c r="H233" s="631"/>
      <c r="I233" s="632"/>
      <c r="J233" s="647"/>
      <c r="K233" s="578"/>
      <c r="L233" s="580"/>
      <c r="M233" s="579"/>
      <c r="N233" s="578"/>
      <c r="O233" s="578"/>
      <c r="P233" s="634"/>
      <c r="Q233" s="634"/>
      <c r="R233" s="634"/>
      <c r="S233" s="581"/>
      <c r="T233" s="635"/>
      <c r="U233" s="636"/>
      <c r="V233" s="581"/>
      <c r="W233" s="637"/>
      <c r="X233" s="637"/>
      <c r="Y233" s="581"/>
      <c r="Z233" s="581"/>
      <c r="AA233" s="585"/>
      <c r="AB233" s="586"/>
      <c r="AC233" s="577"/>
      <c r="AD233" s="577"/>
      <c r="AE233" s="572"/>
      <c r="AF233" s="635"/>
      <c r="AG233" s="637"/>
      <c r="AH233" s="637"/>
      <c r="AI233" s="587"/>
      <c r="AJ233" s="636"/>
      <c r="AK233" s="587"/>
      <c r="AL233" s="589"/>
      <c r="AM233" s="638"/>
      <c r="AN233" s="639"/>
      <c r="AO233" s="639"/>
      <c r="AP233" s="640"/>
      <c r="AQ233" s="640"/>
      <c r="AR233" s="641"/>
      <c r="AS233" s="642"/>
      <c r="AT233" s="643"/>
      <c r="AU233" s="640"/>
      <c r="AV233" s="644"/>
      <c r="AW233" s="645"/>
      <c r="AX233" s="638"/>
      <c r="AY233" s="639"/>
      <c r="AZ233" s="639"/>
      <c r="BA233" s="646"/>
    </row>
    <row r="234" ht="15.75" customHeight="1">
      <c r="A234" s="424"/>
      <c r="B234" s="572"/>
      <c r="C234" s="629"/>
      <c r="D234" s="630"/>
      <c r="E234" s="617"/>
      <c r="F234" s="575"/>
      <c r="G234" s="575"/>
      <c r="H234" s="631"/>
      <c r="I234" s="632"/>
      <c r="J234" s="647"/>
      <c r="K234" s="578"/>
      <c r="L234" s="580"/>
      <c r="M234" s="579"/>
      <c r="N234" s="578"/>
      <c r="O234" s="578"/>
      <c r="P234" s="634"/>
      <c r="Q234" s="634"/>
      <c r="R234" s="634"/>
      <c r="S234" s="581"/>
      <c r="T234" s="635"/>
      <c r="U234" s="636"/>
      <c r="V234" s="581"/>
      <c r="W234" s="637"/>
      <c r="X234" s="637"/>
      <c r="Y234" s="581"/>
      <c r="Z234" s="581"/>
      <c r="AA234" s="585"/>
      <c r="AB234" s="586"/>
      <c r="AC234" s="577"/>
      <c r="AD234" s="577"/>
      <c r="AE234" s="572"/>
      <c r="AF234" s="635"/>
      <c r="AG234" s="637"/>
      <c r="AH234" s="637"/>
      <c r="AI234" s="587"/>
      <c r="AJ234" s="636"/>
      <c r="AK234" s="587"/>
      <c r="AL234" s="589"/>
      <c r="AM234" s="638"/>
      <c r="AN234" s="639"/>
      <c r="AO234" s="639"/>
      <c r="AP234" s="640"/>
      <c r="AQ234" s="640"/>
      <c r="AR234" s="641"/>
      <c r="AS234" s="642"/>
      <c r="AT234" s="643"/>
      <c r="AU234" s="640"/>
      <c r="AV234" s="644"/>
      <c r="AW234" s="645"/>
      <c r="AX234" s="638"/>
      <c r="AY234" s="639"/>
      <c r="AZ234" s="639"/>
      <c r="BA234" s="646"/>
    </row>
    <row r="235" ht="15.75" customHeight="1">
      <c r="A235" s="424"/>
      <c r="B235" s="572"/>
      <c r="C235" s="629"/>
      <c r="D235" s="630"/>
      <c r="E235" s="617"/>
      <c r="F235" s="575"/>
      <c r="G235" s="575"/>
      <c r="H235" s="631"/>
      <c r="I235" s="632"/>
      <c r="J235" s="647"/>
      <c r="K235" s="578"/>
      <c r="L235" s="580"/>
      <c r="M235" s="579"/>
      <c r="N235" s="578"/>
      <c r="O235" s="578"/>
      <c r="P235" s="634"/>
      <c r="Q235" s="634"/>
      <c r="R235" s="634"/>
      <c r="S235" s="581"/>
      <c r="T235" s="635"/>
      <c r="U235" s="636"/>
      <c r="V235" s="581"/>
      <c r="W235" s="637"/>
      <c r="X235" s="637"/>
      <c r="Y235" s="581"/>
      <c r="Z235" s="581"/>
      <c r="AA235" s="585"/>
      <c r="AB235" s="586"/>
      <c r="AC235" s="577"/>
      <c r="AD235" s="577"/>
      <c r="AE235" s="572"/>
      <c r="AF235" s="635"/>
      <c r="AG235" s="637"/>
      <c r="AH235" s="637"/>
      <c r="AI235" s="587"/>
      <c r="AJ235" s="636"/>
      <c r="AK235" s="587"/>
      <c r="AL235" s="589"/>
      <c r="AM235" s="638"/>
      <c r="AN235" s="639"/>
      <c r="AO235" s="639"/>
      <c r="AP235" s="640"/>
      <c r="AQ235" s="640"/>
      <c r="AR235" s="641"/>
      <c r="AS235" s="642"/>
      <c r="AT235" s="643"/>
      <c r="AU235" s="640"/>
      <c r="AV235" s="644"/>
      <c r="AW235" s="645"/>
      <c r="AX235" s="638"/>
      <c r="AY235" s="639"/>
      <c r="AZ235" s="639"/>
      <c r="BA235" s="646"/>
    </row>
    <row r="236" ht="15.75" customHeight="1">
      <c r="A236" s="424"/>
      <c r="B236" s="572"/>
      <c r="C236" s="629"/>
      <c r="D236" s="630"/>
      <c r="E236" s="617"/>
      <c r="F236" s="575"/>
      <c r="G236" s="575"/>
      <c r="H236" s="631"/>
      <c r="I236" s="632"/>
      <c r="J236" s="647"/>
      <c r="K236" s="578"/>
      <c r="L236" s="580"/>
      <c r="M236" s="579"/>
      <c r="N236" s="578"/>
      <c r="O236" s="578"/>
      <c r="P236" s="634"/>
      <c r="Q236" s="634"/>
      <c r="R236" s="634"/>
      <c r="S236" s="581"/>
      <c r="T236" s="635"/>
      <c r="U236" s="636"/>
      <c r="V236" s="581"/>
      <c r="W236" s="637"/>
      <c r="X236" s="637"/>
      <c r="Y236" s="581"/>
      <c r="Z236" s="581"/>
      <c r="AA236" s="585"/>
      <c r="AB236" s="586"/>
      <c r="AC236" s="577"/>
      <c r="AD236" s="577"/>
      <c r="AE236" s="572"/>
      <c r="AF236" s="635"/>
      <c r="AG236" s="637"/>
      <c r="AH236" s="637"/>
      <c r="AI236" s="587"/>
      <c r="AJ236" s="636"/>
      <c r="AK236" s="587"/>
      <c r="AL236" s="589"/>
      <c r="AM236" s="638"/>
      <c r="AN236" s="639"/>
      <c r="AO236" s="639"/>
      <c r="AP236" s="640"/>
      <c r="AQ236" s="640"/>
      <c r="AR236" s="641"/>
      <c r="AS236" s="642"/>
      <c r="AT236" s="643"/>
      <c r="AU236" s="640"/>
      <c r="AV236" s="644"/>
      <c r="AW236" s="645"/>
      <c r="AX236" s="638"/>
      <c r="AY236" s="639"/>
      <c r="AZ236" s="639"/>
      <c r="BA236" s="646"/>
    </row>
    <row r="237" ht="15.75" customHeight="1">
      <c r="A237" s="424"/>
      <c r="B237" s="572"/>
      <c r="C237" s="629"/>
      <c r="D237" s="630"/>
      <c r="E237" s="617"/>
      <c r="F237" s="575"/>
      <c r="G237" s="575"/>
      <c r="H237" s="631"/>
      <c r="I237" s="632"/>
      <c r="J237" s="647"/>
      <c r="K237" s="578"/>
      <c r="L237" s="580"/>
      <c r="M237" s="579"/>
      <c r="N237" s="578"/>
      <c r="O237" s="578"/>
      <c r="P237" s="634"/>
      <c r="Q237" s="634"/>
      <c r="R237" s="634"/>
      <c r="S237" s="581"/>
      <c r="T237" s="635"/>
      <c r="U237" s="636"/>
      <c r="V237" s="581"/>
      <c r="W237" s="637"/>
      <c r="X237" s="637"/>
      <c r="Y237" s="581"/>
      <c r="Z237" s="581"/>
      <c r="AA237" s="585"/>
      <c r="AB237" s="586"/>
      <c r="AC237" s="577"/>
      <c r="AD237" s="577"/>
      <c r="AE237" s="572"/>
      <c r="AF237" s="635"/>
      <c r="AG237" s="637"/>
      <c r="AH237" s="637"/>
      <c r="AI237" s="587"/>
      <c r="AJ237" s="636"/>
      <c r="AK237" s="587"/>
      <c r="AL237" s="589"/>
      <c r="AM237" s="638"/>
      <c r="AN237" s="639"/>
      <c r="AO237" s="639"/>
      <c r="AP237" s="640"/>
      <c r="AQ237" s="640"/>
      <c r="AR237" s="641"/>
      <c r="AS237" s="642"/>
      <c r="AT237" s="643"/>
      <c r="AU237" s="640"/>
      <c r="AV237" s="644"/>
      <c r="AW237" s="645"/>
      <c r="AX237" s="638"/>
      <c r="AY237" s="639"/>
      <c r="AZ237" s="639"/>
      <c r="BA237" s="646"/>
    </row>
    <row r="238" ht="15.75" customHeight="1">
      <c r="A238" s="424"/>
      <c r="B238" s="572"/>
      <c r="C238" s="629"/>
      <c r="D238" s="630"/>
      <c r="E238" s="617"/>
      <c r="F238" s="575"/>
      <c r="G238" s="575"/>
      <c r="H238" s="631"/>
      <c r="I238" s="632"/>
      <c r="J238" s="647"/>
      <c r="K238" s="578"/>
      <c r="L238" s="580"/>
      <c r="M238" s="579"/>
      <c r="N238" s="578"/>
      <c r="O238" s="578"/>
      <c r="P238" s="634"/>
      <c r="Q238" s="634"/>
      <c r="R238" s="634"/>
      <c r="S238" s="581"/>
      <c r="T238" s="635"/>
      <c r="U238" s="636"/>
      <c r="V238" s="581"/>
      <c r="W238" s="637"/>
      <c r="X238" s="637"/>
      <c r="Y238" s="581"/>
      <c r="Z238" s="581"/>
      <c r="AA238" s="585"/>
      <c r="AB238" s="586"/>
      <c r="AC238" s="577"/>
      <c r="AD238" s="577"/>
      <c r="AE238" s="572"/>
      <c r="AF238" s="635"/>
      <c r="AG238" s="637"/>
      <c r="AH238" s="637"/>
      <c r="AI238" s="587"/>
      <c r="AJ238" s="636"/>
      <c r="AK238" s="587"/>
      <c r="AL238" s="589"/>
      <c r="AM238" s="638"/>
      <c r="AN238" s="639"/>
      <c r="AO238" s="639"/>
      <c r="AP238" s="640"/>
      <c r="AQ238" s="640"/>
      <c r="AR238" s="641"/>
      <c r="AS238" s="642"/>
      <c r="AT238" s="643"/>
      <c r="AU238" s="640"/>
      <c r="AV238" s="644"/>
      <c r="AW238" s="645"/>
      <c r="AX238" s="638"/>
      <c r="AY238" s="639"/>
      <c r="AZ238" s="639"/>
      <c r="BA238" s="646"/>
    </row>
    <row r="239" ht="15.75" customHeight="1">
      <c r="A239" s="424"/>
      <c r="B239" s="572"/>
      <c r="C239" s="629"/>
      <c r="D239" s="630"/>
      <c r="E239" s="617"/>
      <c r="F239" s="575"/>
      <c r="G239" s="575"/>
      <c r="H239" s="631"/>
      <c r="I239" s="632"/>
      <c r="J239" s="647"/>
      <c r="K239" s="578"/>
      <c r="L239" s="580"/>
      <c r="M239" s="579"/>
      <c r="N239" s="578"/>
      <c r="O239" s="578"/>
      <c r="P239" s="634"/>
      <c r="Q239" s="634"/>
      <c r="R239" s="634"/>
      <c r="S239" s="581"/>
      <c r="T239" s="635"/>
      <c r="U239" s="636"/>
      <c r="V239" s="581"/>
      <c r="W239" s="637"/>
      <c r="X239" s="637"/>
      <c r="Y239" s="581"/>
      <c r="Z239" s="581"/>
      <c r="AA239" s="585"/>
      <c r="AB239" s="586"/>
      <c r="AC239" s="577"/>
      <c r="AD239" s="577"/>
      <c r="AE239" s="572"/>
      <c r="AF239" s="635"/>
      <c r="AG239" s="637"/>
      <c r="AH239" s="637"/>
      <c r="AI239" s="587"/>
      <c r="AJ239" s="636"/>
      <c r="AK239" s="587"/>
      <c r="AL239" s="589"/>
      <c r="AM239" s="638"/>
      <c r="AN239" s="639"/>
      <c r="AO239" s="639"/>
      <c r="AP239" s="640"/>
      <c r="AQ239" s="640"/>
      <c r="AR239" s="641"/>
      <c r="AS239" s="642"/>
      <c r="AT239" s="643"/>
      <c r="AU239" s="640"/>
      <c r="AV239" s="644"/>
      <c r="AW239" s="645"/>
      <c r="AX239" s="638"/>
      <c r="AY239" s="639"/>
      <c r="AZ239" s="639"/>
      <c r="BA239" s="646"/>
    </row>
    <row r="240" ht="15.75" customHeight="1">
      <c r="A240" s="424"/>
      <c r="B240" s="572"/>
      <c r="C240" s="629"/>
      <c r="D240" s="630"/>
      <c r="E240" s="617"/>
      <c r="F240" s="575"/>
      <c r="G240" s="575"/>
      <c r="H240" s="631"/>
      <c r="I240" s="632"/>
      <c r="J240" s="647"/>
      <c r="K240" s="578"/>
      <c r="L240" s="580"/>
      <c r="M240" s="579"/>
      <c r="N240" s="578"/>
      <c r="O240" s="578"/>
      <c r="P240" s="634"/>
      <c r="Q240" s="634"/>
      <c r="R240" s="634"/>
      <c r="S240" s="581"/>
      <c r="T240" s="635"/>
      <c r="U240" s="636"/>
      <c r="V240" s="581"/>
      <c r="W240" s="637"/>
      <c r="X240" s="637"/>
      <c r="Y240" s="581"/>
      <c r="Z240" s="581"/>
      <c r="AA240" s="585"/>
      <c r="AB240" s="586"/>
      <c r="AC240" s="577"/>
      <c r="AD240" s="577"/>
      <c r="AE240" s="572"/>
      <c r="AF240" s="635"/>
      <c r="AG240" s="637"/>
      <c r="AH240" s="637"/>
      <c r="AI240" s="587"/>
      <c r="AJ240" s="636"/>
      <c r="AK240" s="587"/>
      <c r="AL240" s="589"/>
      <c r="AM240" s="638"/>
      <c r="AN240" s="639"/>
      <c r="AO240" s="639"/>
      <c r="AP240" s="640"/>
      <c r="AQ240" s="640"/>
      <c r="AR240" s="641"/>
      <c r="AS240" s="642"/>
      <c r="AT240" s="643"/>
      <c r="AU240" s="640"/>
      <c r="AV240" s="644"/>
      <c r="AW240" s="645"/>
      <c r="AX240" s="638"/>
      <c r="AY240" s="639"/>
      <c r="AZ240" s="639"/>
      <c r="BA240" s="646"/>
    </row>
    <row r="241" ht="15.75" customHeight="1">
      <c r="A241" s="424"/>
      <c r="B241" s="572"/>
      <c r="C241" s="629"/>
      <c r="D241" s="630"/>
      <c r="E241" s="617"/>
      <c r="F241" s="575"/>
      <c r="G241" s="575"/>
      <c r="H241" s="631"/>
      <c r="I241" s="632"/>
      <c r="J241" s="647"/>
      <c r="K241" s="578"/>
      <c r="L241" s="580"/>
      <c r="M241" s="579"/>
      <c r="N241" s="578"/>
      <c r="O241" s="578"/>
      <c r="P241" s="634"/>
      <c r="Q241" s="634"/>
      <c r="R241" s="634"/>
      <c r="S241" s="581"/>
      <c r="T241" s="635"/>
      <c r="U241" s="636"/>
      <c r="V241" s="581"/>
      <c r="W241" s="637"/>
      <c r="X241" s="637"/>
      <c r="Y241" s="581"/>
      <c r="Z241" s="581"/>
      <c r="AA241" s="585"/>
      <c r="AB241" s="586"/>
      <c r="AC241" s="577"/>
      <c r="AD241" s="577"/>
      <c r="AE241" s="572"/>
      <c r="AF241" s="635"/>
      <c r="AG241" s="637"/>
      <c r="AH241" s="637"/>
      <c r="AI241" s="587"/>
      <c r="AJ241" s="636"/>
      <c r="AK241" s="587"/>
      <c r="AL241" s="589"/>
      <c r="AM241" s="638"/>
      <c r="AN241" s="639"/>
      <c r="AO241" s="639"/>
      <c r="AP241" s="640"/>
      <c r="AQ241" s="640"/>
      <c r="AR241" s="641"/>
      <c r="AS241" s="642"/>
      <c r="AT241" s="643"/>
      <c r="AU241" s="640"/>
      <c r="AV241" s="644"/>
      <c r="AW241" s="645"/>
      <c r="AX241" s="638"/>
      <c r="AY241" s="639"/>
      <c r="AZ241" s="639"/>
      <c r="BA241" s="646"/>
    </row>
    <row r="242" ht="15.75" customHeight="1">
      <c r="A242" s="424"/>
      <c r="B242" s="572"/>
      <c r="C242" s="629"/>
      <c r="D242" s="630"/>
      <c r="E242" s="617"/>
      <c r="F242" s="575"/>
      <c r="G242" s="575"/>
      <c r="H242" s="631"/>
      <c r="I242" s="632"/>
      <c r="J242" s="647"/>
      <c r="K242" s="578"/>
      <c r="L242" s="580"/>
      <c r="M242" s="579"/>
      <c r="N242" s="578"/>
      <c r="O242" s="578"/>
      <c r="P242" s="634"/>
      <c r="Q242" s="634"/>
      <c r="R242" s="634"/>
      <c r="S242" s="581"/>
      <c r="T242" s="635"/>
      <c r="U242" s="636"/>
      <c r="V242" s="581"/>
      <c r="W242" s="637"/>
      <c r="X242" s="637"/>
      <c r="Y242" s="581"/>
      <c r="Z242" s="581"/>
      <c r="AA242" s="585"/>
      <c r="AB242" s="586"/>
      <c r="AC242" s="577"/>
      <c r="AD242" s="577"/>
      <c r="AE242" s="572"/>
      <c r="AF242" s="635"/>
      <c r="AG242" s="637"/>
      <c r="AH242" s="637"/>
      <c r="AI242" s="587"/>
      <c r="AJ242" s="636"/>
      <c r="AK242" s="587"/>
      <c r="AL242" s="589"/>
      <c r="AM242" s="638"/>
      <c r="AN242" s="639"/>
      <c r="AO242" s="639"/>
      <c r="AP242" s="640"/>
      <c r="AQ242" s="640"/>
      <c r="AR242" s="641"/>
      <c r="AS242" s="642"/>
      <c r="AT242" s="643"/>
      <c r="AU242" s="640"/>
      <c r="AV242" s="644"/>
      <c r="AW242" s="645"/>
      <c r="AX242" s="638"/>
      <c r="AY242" s="639"/>
      <c r="AZ242" s="639"/>
      <c r="BA242" s="646"/>
    </row>
    <row r="243" ht="15.75" customHeight="1">
      <c r="A243" s="424"/>
      <c r="B243" s="572"/>
      <c r="C243" s="629"/>
      <c r="D243" s="630"/>
      <c r="E243" s="617"/>
      <c r="F243" s="575"/>
      <c r="G243" s="575"/>
      <c r="H243" s="631"/>
      <c r="I243" s="632"/>
      <c r="J243" s="647"/>
      <c r="K243" s="578"/>
      <c r="L243" s="580"/>
      <c r="M243" s="579"/>
      <c r="N243" s="578"/>
      <c r="O243" s="578"/>
      <c r="P243" s="634"/>
      <c r="Q243" s="634"/>
      <c r="R243" s="634"/>
      <c r="S243" s="581"/>
      <c r="T243" s="635"/>
      <c r="U243" s="636"/>
      <c r="V243" s="581"/>
      <c r="W243" s="637"/>
      <c r="X243" s="637"/>
      <c r="Y243" s="581"/>
      <c r="Z243" s="581"/>
      <c r="AA243" s="585"/>
      <c r="AB243" s="586"/>
      <c r="AC243" s="577"/>
      <c r="AD243" s="577"/>
      <c r="AE243" s="572"/>
      <c r="AF243" s="635"/>
      <c r="AG243" s="637"/>
      <c r="AH243" s="637"/>
      <c r="AI243" s="587"/>
      <c r="AJ243" s="636"/>
      <c r="AK243" s="587"/>
      <c r="AL243" s="589"/>
      <c r="AM243" s="638"/>
      <c r="AN243" s="639"/>
      <c r="AO243" s="639"/>
      <c r="AP243" s="640"/>
      <c r="AQ243" s="640"/>
      <c r="AR243" s="641"/>
      <c r="AS243" s="642"/>
      <c r="AT243" s="643"/>
      <c r="AU243" s="640"/>
      <c r="AV243" s="644"/>
      <c r="AW243" s="645"/>
      <c r="AX243" s="638"/>
      <c r="AY243" s="639"/>
      <c r="AZ243" s="639"/>
      <c r="BA243" s="646"/>
    </row>
    <row r="244" ht="15.75" customHeight="1">
      <c r="A244" s="424"/>
      <c r="B244" s="572"/>
      <c r="C244" s="629"/>
      <c r="D244" s="630"/>
      <c r="E244" s="617"/>
      <c r="F244" s="575"/>
      <c r="G244" s="575"/>
      <c r="H244" s="631"/>
      <c r="I244" s="632"/>
      <c r="J244" s="647"/>
      <c r="K244" s="578"/>
      <c r="L244" s="580"/>
      <c r="M244" s="579"/>
      <c r="N244" s="578"/>
      <c r="O244" s="578"/>
      <c r="P244" s="634"/>
      <c r="Q244" s="634"/>
      <c r="R244" s="634"/>
      <c r="S244" s="581"/>
      <c r="T244" s="635"/>
      <c r="U244" s="636"/>
      <c r="V244" s="581"/>
      <c r="W244" s="637"/>
      <c r="X244" s="637"/>
      <c r="Y244" s="581"/>
      <c r="Z244" s="581"/>
      <c r="AA244" s="585"/>
      <c r="AB244" s="586"/>
      <c r="AC244" s="577"/>
      <c r="AD244" s="577"/>
      <c r="AE244" s="572"/>
      <c r="AF244" s="635"/>
      <c r="AG244" s="637"/>
      <c r="AH244" s="637"/>
      <c r="AI244" s="587"/>
      <c r="AJ244" s="636"/>
      <c r="AK244" s="587"/>
      <c r="AL244" s="589"/>
      <c r="AM244" s="638"/>
      <c r="AN244" s="639"/>
      <c r="AO244" s="639"/>
      <c r="AP244" s="640"/>
      <c r="AQ244" s="640"/>
      <c r="AR244" s="641"/>
      <c r="AS244" s="642"/>
      <c r="AT244" s="643"/>
      <c r="AU244" s="640"/>
      <c r="AV244" s="644"/>
      <c r="AW244" s="645"/>
      <c r="AX244" s="638"/>
      <c r="AY244" s="639"/>
      <c r="AZ244" s="639"/>
      <c r="BA244" s="646"/>
    </row>
    <row r="245" ht="15.75" customHeight="1">
      <c r="A245" s="424"/>
      <c r="B245" s="572"/>
      <c r="C245" s="629"/>
      <c r="D245" s="630"/>
      <c r="E245" s="617"/>
      <c r="F245" s="575"/>
      <c r="G245" s="575"/>
      <c r="H245" s="631"/>
      <c r="I245" s="632"/>
      <c r="J245" s="647"/>
      <c r="K245" s="578"/>
      <c r="L245" s="580"/>
      <c r="M245" s="579"/>
      <c r="N245" s="578"/>
      <c r="O245" s="578"/>
      <c r="P245" s="634"/>
      <c r="Q245" s="634"/>
      <c r="R245" s="634"/>
      <c r="S245" s="581"/>
      <c r="T245" s="635"/>
      <c r="U245" s="636"/>
      <c r="V245" s="581"/>
      <c r="W245" s="637"/>
      <c r="X245" s="637"/>
      <c r="Y245" s="581"/>
      <c r="Z245" s="581"/>
      <c r="AA245" s="585"/>
      <c r="AB245" s="586"/>
      <c r="AC245" s="577"/>
      <c r="AD245" s="577"/>
      <c r="AE245" s="572"/>
      <c r="AF245" s="635"/>
      <c r="AG245" s="637"/>
      <c r="AH245" s="637"/>
      <c r="AI245" s="587"/>
      <c r="AJ245" s="636"/>
      <c r="AK245" s="587"/>
      <c r="AL245" s="589"/>
      <c r="AM245" s="638"/>
      <c r="AN245" s="639"/>
      <c r="AO245" s="639"/>
      <c r="AP245" s="640"/>
      <c r="AQ245" s="640"/>
      <c r="AR245" s="641"/>
      <c r="AS245" s="642"/>
      <c r="AT245" s="643"/>
      <c r="AU245" s="640"/>
      <c r="AV245" s="644"/>
      <c r="AW245" s="645"/>
      <c r="AX245" s="638"/>
      <c r="AY245" s="639"/>
      <c r="AZ245" s="639"/>
      <c r="BA245" s="646"/>
    </row>
    <row r="246" ht="15.75" customHeight="1">
      <c r="A246" s="424"/>
      <c r="B246" s="572"/>
      <c r="C246" s="629"/>
      <c r="D246" s="630"/>
      <c r="E246" s="617"/>
      <c r="F246" s="575"/>
      <c r="G246" s="575"/>
      <c r="H246" s="631"/>
      <c r="I246" s="632"/>
      <c r="J246" s="647"/>
      <c r="K246" s="578"/>
      <c r="L246" s="580"/>
      <c r="M246" s="579"/>
      <c r="N246" s="578"/>
      <c r="O246" s="578"/>
      <c r="P246" s="634"/>
      <c r="Q246" s="634"/>
      <c r="R246" s="634"/>
      <c r="S246" s="581"/>
      <c r="T246" s="635"/>
      <c r="U246" s="636"/>
      <c r="V246" s="581"/>
      <c r="W246" s="637"/>
      <c r="X246" s="637"/>
      <c r="Y246" s="581"/>
      <c r="Z246" s="581"/>
      <c r="AA246" s="585"/>
      <c r="AB246" s="586"/>
      <c r="AC246" s="577"/>
      <c r="AD246" s="577"/>
      <c r="AE246" s="572"/>
      <c r="AF246" s="635"/>
      <c r="AG246" s="637"/>
      <c r="AH246" s="637"/>
      <c r="AI246" s="587"/>
      <c r="AJ246" s="636"/>
      <c r="AK246" s="587"/>
      <c r="AL246" s="589"/>
      <c r="AM246" s="638"/>
      <c r="AN246" s="639"/>
      <c r="AO246" s="639"/>
      <c r="AP246" s="640"/>
      <c r="AQ246" s="640"/>
      <c r="AR246" s="641"/>
      <c r="AS246" s="642"/>
      <c r="AT246" s="643"/>
      <c r="AU246" s="640"/>
      <c r="AV246" s="644"/>
      <c r="AW246" s="645"/>
      <c r="AX246" s="638"/>
      <c r="AY246" s="639"/>
      <c r="AZ246" s="639"/>
      <c r="BA246" s="646"/>
    </row>
    <row r="247" ht="15.75" customHeight="1">
      <c r="A247" s="424"/>
      <c r="B247" s="572"/>
      <c r="C247" s="629"/>
      <c r="D247" s="630"/>
      <c r="E247" s="617"/>
      <c r="F247" s="575"/>
      <c r="G247" s="575"/>
      <c r="H247" s="631"/>
      <c r="I247" s="632"/>
      <c r="J247" s="647"/>
      <c r="K247" s="578"/>
      <c r="L247" s="580"/>
      <c r="M247" s="579"/>
      <c r="N247" s="578"/>
      <c r="O247" s="578"/>
      <c r="P247" s="634"/>
      <c r="Q247" s="634"/>
      <c r="R247" s="634"/>
      <c r="S247" s="581"/>
      <c r="T247" s="635"/>
      <c r="U247" s="636"/>
      <c r="V247" s="581"/>
      <c r="W247" s="637"/>
      <c r="X247" s="637"/>
      <c r="Y247" s="581"/>
      <c r="Z247" s="581"/>
      <c r="AA247" s="585"/>
      <c r="AB247" s="586"/>
      <c r="AC247" s="577"/>
      <c r="AD247" s="577"/>
      <c r="AE247" s="572"/>
      <c r="AF247" s="635"/>
      <c r="AG247" s="637"/>
      <c r="AH247" s="637"/>
      <c r="AI247" s="587"/>
      <c r="AJ247" s="636"/>
      <c r="AK247" s="587"/>
      <c r="AL247" s="589"/>
      <c r="AM247" s="638"/>
      <c r="AN247" s="639"/>
      <c r="AO247" s="639"/>
      <c r="AP247" s="640"/>
      <c r="AQ247" s="640"/>
      <c r="AR247" s="641"/>
      <c r="AS247" s="642"/>
      <c r="AT247" s="643"/>
      <c r="AU247" s="640"/>
      <c r="AV247" s="644"/>
      <c r="AW247" s="645"/>
      <c r="AX247" s="638"/>
      <c r="AY247" s="639"/>
      <c r="AZ247" s="639"/>
      <c r="BA247" s="646"/>
    </row>
    <row r="248" ht="15.75" customHeight="1">
      <c r="A248" s="424"/>
      <c r="B248" s="572"/>
      <c r="C248" s="629"/>
      <c r="D248" s="630"/>
      <c r="E248" s="617"/>
      <c r="F248" s="575"/>
      <c r="G248" s="575"/>
      <c r="H248" s="631"/>
      <c r="I248" s="632"/>
      <c r="J248" s="647"/>
      <c r="K248" s="578"/>
      <c r="L248" s="580"/>
      <c r="M248" s="579"/>
      <c r="N248" s="578"/>
      <c r="O248" s="578"/>
      <c r="P248" s="634"/>
      <c r="Q248" s="634"/>
      <c r="R248" s="634"/>
      <c r="S248" s="581"/>
      <c r="T248" s="635"/>
      <c r="U248" s="636"/>
      <c r="V248" s="581"/>
      <c r="W248" s="637"/>
      <c r="X248" s="637"/>
      <c r="Y248" s="581"/>
      <c r="Z248" s="581"/>
      <c r="AA248" s="585"/>
      <c r="AB248" s="586"/>
      <c r="AC248" s="577"/>
      <c r="AD248" s="577"/>
      <c r="AE248" s="572"/>
      <c r="AF248" s="635"/>
      <c r="AG248" s="637"/>
      <c r="AH248" s="637"/>
      <c r="AI248" s="587"/>
      <c r="AJ248" s="636"/>
      <c r="AK248" s="587"/>
      <c r="AL248" s="589"/>
      <c r="AM248" s="638"/>
      <c r="AN248" s="639"/>
      <c r="AO248" s="639"/>
      <c r="AP248" s="640"/>
      <c r="AQ248" s="640"/>
      <c r="AR248" s="641"/>
      <c r="AS248" s="642"/>
      <c r="AT248" s="643"/>
      <c r="AU248" s="640"/>
      <c r="AV248" s="644"/>
      <c r="AW248" s="645"/>
      <c r="AX248" s="638"/>
      <c r="AY248" s="639"/>
      <c r="AZ248" s="639"/>
      <c r="BA248" s="646"/>
    </row>
    <row r="249" ht="15.75" customHeight="1">
      <c r="A249" s="424"/>
      <c r="B249" s="572"/>
      <c r="C249" s="629"/>
      <c r="D249" s="630"/>
      <c r="E249" s="617"/>
      <c r="F249" s="575"/>
      <c r="G249" s="575"/>
      <c r="H249" s="631"/>
      <c r="I249" s="632"/>
      <c r="J249" s="647"/>
      <c r="K249" s="578"/>
      <c r="L249" s="580"/>
      <c r="M249" s="579"/>
      <c r="N249" s="578"/>
      <c r="O249" s="578"/>
      <c r="P249" s="634"/>
      <c r="Q249" s="634"/>
      <c r="R249" s="634"/>
      <c r="S249" s="581"/>
      <c r="T249" s="635"/>
      <c r="U249" s="636"/>
      <c r="V249" s="581"/>
      <c r="W249" s="637"/>
      <c r="X249" s="637"/>
      <c r="Y249" s="581"/>
      <c r="Z249" s="581"/>
      <c r="AA249" s="585"/>
      <c r="AB249" s="586"/>
      <c r="AC249" s="577"/>
      <c r="AD249" s="577"/>
      <c r="AE249" s="572"/>
      <c r="AF249" s="635"/>
      <c r="AG249" s="637"/>
      <c r="AH249" s="637"/>
      <c r="AI249" s="587"/>
      <c r="AJ249" s="636"/>
      <c r="AK249" s="587"/>
      <c r="AL249" s="589"/>
      <c r="AM249" s="638"/>
      <c r="AN249" s="639"/>
      <c r="AO249" s="639"/>
      <c r="AP249" s="640"/>
      <c r="AQ249" s="640"/>
      <c r="AR249" s="641"/>
      <c r="AS249" s="642"/>
      <c r="AT249" s="643"/>
      <c r="AU249" s="640"/>
      <c r="AV249" s="644"/>
      <c r="AW249" s="645"/>
      <c r="AX249" s="638"/>
      <c r="AY249" s="639"/>
      <c r="AZ249" s="639"/>
      <c r="BA249" s="646"/>
    </row>
    <row r="250" ht="15.75" customHeight="1">
      <c r="A250" s="424"/>
      <c r="B250" s="572"/>
      <c r="C250" s="629"/>
      <c r="D250" s="630"/>
      <c r="E250" s="617"/>
      <c r="F250" s="575"/>
      <c r="G250" s="575"/>
      <c r="H250" s="631"/>
      <c r="I250" s="632"/>
      <c r="J250" s="647"/>
      <c r="K250" s="578"/>
      <c r="L250" s="580"/>
      <c r="M250" s="579"/>
      <c r="N250" s="578"/>
      <c r="O250" s="578"/>
      <c r="P250" s="634"/>
      <c r="Q250" s="634"/>
      <c r="R250" s="634"/>
      <c r="S250" s="581"/>
      <c r="T250" s="635"/>
      <c r="U250" s="636"/>
      <c r="V250" s="581"/>
      <c r="W250" s="637"/>
      <c r="X250" s="637"/>
      <c r="Y250" s="581"/>
      <c r="Z250" s="581"/>
      <c r="AA250" s="585"/>
      <c r="AB250" s="586"/>
      <c r="AC250" s="577"/>
      <c r="AD250" s="577"/>
      <c r="AE250" s="572"/>
      <c r="AF250" s="635"/>
      <c r="AG250" s="637"/>
      <c r="AH250" s="637"/>
      <c r="AI250" s="587"/>
      <c r="AJ250" s="636"/>
      <c r="AK250" s="587"/>
      <c r="AL250" s="589"/>
      <c r="AM250" s="638"/>
      <c r="AN250" s="639"/>
      <c r="AO250" s="639"/>
      <c r="AP250" s="640"/>
      <c r="AQ250" s="640"/>
      <c r="AR250" s="641"/>
      <c r="AS250" s="642"/>
      <c r="AT250" s="643"/>
      <c r="AU250" s="640"/>
      <c r="AV250" s="644"/>
      <c r="AW250" s="645"/>
      <c r="AX250" s="638"/>
      <c r="AY250" s="639"/>
      <c r="AZ250" s="639"/>
      <c r="BA250" s="646"/>
    </row>
    <row r="251" ht="15.75" customHeight="1">
      <c r="A251" s="424"/>
      <c r="B251" s="572"/>
      <c r="C251" s="629"/>
      <c r="D251" s="630"/>
      <c r="E251" s="617"/>
      <c r="F251" s="575"/>
      <c r="G251" s="575"/>
      <c r="H251" s="631"/>
      <c r="I251" s="632"/>
      <c r="J251" s="647"/>
      <c r="K251" s="578"/>
      <c r="L251" s="580"/>
      <c r="M251" s="579"/>
      <c r="N251" s="578"/>
      <c r="O251" s="578"/>
      <c r="P251" s="634"/>
      <c r="Q251" s="634"/>
      <c r="R251" s="634"/>
      <c r="S251" s="581"/>
      <c r="T251" s="635"/>
      <c r="U251" s="636"/>
      <c r="V251" s="581"/>
      <c r="W251" s="637"/>
      <c r="X251" s="637"/>
      <c r="Y251" s="581"/>
      <c r="Z251" s="581"/>
      <c r="AA251" s="585"/>
      <c r="AB251" s="586"/>
      <c r="AC251" s="577"/>
      <c r="AD251" s="577"/>
      <c r="AE251" s="572"/>
      <c r="AF251" s="635"/>
      <c r="AG251" s="637"/>
      <c r="AH251" s="637"/>
      <c r="AI251" s="587"/>
      <c r="AJ251" s="636"/>
      <c r="AK251" s="587"/>
      <c r="AL251" s="589"/>
      <c r="AM251" s="638"/>
      <c r="AN251" s="639"/>
      <c r="AO251" s="639"/>
      <c r="AP251" s="640"/>
      <c r="AQ251" s="640"/>
      <c r="AR251" s="641"/>
      <c r="AS251" s="642"/>
      <c r="AT251" s="643"/>
      <c r="AU251" s="640"/>
      <c r="AV251" s="644"/>
      <c r="AW251" s="645"/>
      <c r="AX251" s="638"/>
      <c r="AY251" s="639"/>
      <c r="AZ251" s="639"/>
      <c r="BA251" s="646"/>
    </row>
    <row r="252" ht="15.75" customHeight="1">
      <c r="A252" s="424"/>
      <c r="B252" s="572"/>
      <c r="C252" s="629"/>
      <c r="D252" s="630"/>
      <c r="E252" s="617"/>
      <c r="F252" s="575"/>
      <c r="G252" s="575"/>
      <c r="H252" s="631"/>
      <c r="I252" s="632"/>
      <c r="J252" s="647"/>
      <c r="K252" s="578"/>
      <c r="L252" s="580"/>
      <c r="M252" s="579"/>
      <c r="N252" s="578"/>
      <c r="O252" s="578"/>
      <c r="P252" s="634"/>
      <c r="Q252" s="634"/>
      <c r="R252" s="634"/>
      <c r="S252" s="581"/>
      <c r="T252" s="635"/>
      <c r="U252" s="636"/>
      <c r="V252" s="581"/>
      <c r="W252" s="637"/>
      <c r="X252" s="637"/>
      <c r="Y252" s="581"/>
      <c r="Z252" s="581"/>
      <c r="AA252" s="585"/>
      <c r="AB252" s="586"/>
      <c r="AC252" s="577"/>
      <c r="AD252" s="577"/>
      <c r="AE252" s="572"/>
      <c r="AF252" s="635"/>
      <c r="AG252" s="637"/>
      <c r="AH252" s="637"/>
      <c r="AI252" s="587"/>
      <c r="AJ252" s="636"/>
      <c r="AK252" s="587"/>
      <c r="AL252" s="589"/>
      <c r="AM252" s="638"/>
      <c r="AN252" s="639"/>
      <c r="AO252" s="639"/>
      <c r="AP252" s="640"/>
      <c r="AQ252" s="640"/>
      <c r="AR252" s="641"/>
      <c r="AS252" s="642"/>
      <c r="AT252" s="643"/>
      <c r="AU252" s="640"/>
      <c r="AV252" s="644"/>
      <c r="AW252" s="645"/>
      <c r="AX252" s="638"/>
      <c r="AY252" s="639"/>
      <c r="AZ252" s="639"/>
      <c r="BA252" s="646"/>
    </row>
    <row r="253" ht="15.75" customHeight="1">
      <c r="A253" s="424"/>
      <c r="B253" s="572"/>
      <c r="C253" s="629"/>
      <c r="D253" s="630"/>
      <c r="E253" s="617"/>
      <c r="F253" s="575"/>
      <c r="G253" s="575"/>
      <c r="H253" s="631"/>
      <c r="I253" s="632"/>
      <c r="J253" s="647"/>
      <c r="K253" s="578"/>
      <c r="L253" s="580"/>
      <c r="M253" s="579"/>
      <c r="N253" s="578"/>
      <c r="O253" s="578"/>
      <c r="P253" s="634"/>
      <c r="Q253" s="634"/>
      <c r="R253" s="634"/>
      <c r="S253" s="581"/>
      <c r="T253" s="635"/>
      <c r="U253" s="636"/>
      <c r="V253" s="581"/>
      <c r="W253" s="637"/>
      <c r="X253" s="637"/>
      <c r="Y253" s="581"/>
      <c r="Z253" s="581"/>
      <c r="AA253" s="585"/>
      <c r="AB253" s="586"/>
      <c r="AC253" s="577"/>
      <c r="AD253" s="577"/>
      <c r="AE253" s="572"/>
      <c r="AF253" s="635"/>
      <c r="AG253" s="637"/>
      <c r="AH253" s="637"/>
      <c r="AI253" s="587"/>
      <c r="AJ253" s="636"/>
      <c r="AK253" s="587"/>
      <c r="AL253" s="589"/>
      <c r="AM253" s="638"/>
      <c r="AN253" s="639"/>
      <c r="AO253" s="639"/>
      <c r="AP253" s="640"/>
      <c r="AQ253" s="640"/>
      <c r="AR253" s="641"/>
      <c r="AS253" s="642"/>
      <c r="AT253" s="643"/>
      <c r="AU253" s="640"/>
      <c r="AV253" s="644"/>
      <c r="AW253" s="645"/>
      <c r="AX253" s="638"/>
      <c r="AY253" s="639"/>
      <c r="AZ253" s="639"/>
      <c r="BA253" s="646"/>
    </row>
    <row r="254" ht="15.75" customHeight="1">
      <c r="A254" s="424"/>
      <c r="B254" s="572"/>
      <c r="C254" s="629"/>
      <c r="D254" s="630"/>
      <c r="E254" s="617"/>
      <c r="F254" s="575"/>
      <c r="G254" s="575"/>
      <c r="H254" s="631"/>
      <c r="I254" s="632"/>
      <c r="J254" s="647"/>
      <c r="K254" s="578"/>
      <c r="L254" s="580"/>
      <c r="M254" s="579"/>
      <c r="N254" s="578"/>
      <c r="O254" s="578"/>
      <c r="P254" s="634"/>
      <c r="Q254" s="634"/>
      <c r="R254" s="634"/>
      <c r="S254" s="581"/>
      <c r="T254" s="635"/>
      <c r="U254" s="636"/>
      <c r="V254" s="581"/>
      <c r="W254" s="637"/>
      <c r="X254" s="637"/>
      <c r="Y254" s="581"/>
      <c r="Z254" s="581"/>
      <c r="AA254" s="585"/>
      <c r="AB254" s="586"/>
      <c r="AC254" s="577"/>
      <c r="AD254" s="577"/>
      <c r="AE254" s="572"/>
      <c r="AF254" s="635"/>
      <c r="AG254" s="637"/>
      <c r="AH254" s="637"/>
      <c r="AI254" s="587"/>
      <c r="AJ254" s="636"/>
      <c r="AK254" s="587"/>
      <c r="AL254" s="589"/>
      <c r="AM254" s="638"/>
      <c r="AN254" s="639"/>
      <c r="AO254" s="639"/>
      <c r="AP254" s="640"/>
      <c r="AQ254" s="640"/>
      <c r="AR254" s="641"/>
      <c r="AS254" s="642"/>
      <c r="AT254" s="643"/>
      <c r="AU254" s="640"/>
      <c r="AV254" s="644"/>
      <c r="AW254" s="645"/>
      <c r="AX254" s="638"/>
      <c r="AY254" s="639"/>
      <c r="AZ254" s="639"/>
      <c r="BA254" s="646"/>
    </row>
    <row r="255" ht="15.75" customHeight="1">
      <c r="A255" s="424"/>
      <c r="B255" s="572"/>
      <c r="C255" s="629"/>
      <c r="D255" s="630"/>
      <c r="E255" s="617"/>
      <c r="F255" s="575"/>
      <c r="G255" s="575"/>
      <c r="H255" s="631"/>
      <c r="I255" s="632"/>
      <c r="J255" s="647"/>
      <c r="K255" s="578"/>
      <c r="L255" s="580"/>
      <c r="M255" s="579"/>
      <c r="N255" s="578"/>
      <c r="O255" s="578"/>
      <c r="P255" s="634"/>
      <c r="Q255" s="634"/>
      <c r="R255" s="634"/>
      <c r="S255" s="581"/>
      <c r="T255" s="635"/>
      <c r="U255" s="636"/>
      <c r="V255" s="581"/>
      <c r="W255" s="637"/>
      <c r="X255" s="637"/>
      <c r="Y255" s="581"/>
      <c r="Z255" s="581"/>
      <c r="AA255" s="585"/>
      <c r="AB255" s="586"/>
      <c r="AC255" s="577"/>
      <c r="AD255" s="577"/>
      <c r="AE255" s="572"/>
      <c r="AF255" s="635"/>
      <c r="AG255" s="637"/>
      <c r="AH255" s="637"/>
      <c r="AI255" s="587"/>
      <c r="AJ255" s="636"/>
      <c r="AK255" s="587"/>
      <c r="AL255" s="589"/>
      <c r="AM255" s="638"/>
      <c r="AN255" s="639"/>
      <c r="AO255" s="639"/>
      <c r="AP255" s="640"/>
      <c r="AQ255" s="640"/>
      <c r="AR255" s="641"/>
      <c r="AS255" s="642"/>
      <c r="AT255" s="643"/>
      <c r="AU255" s="640"/>
      <c r="AV255" s="644"/>
      <c r="AW255" s="645"/>
      <c r="AX255" s="638"/>
      <c r="AY255" s="639"/>
      <c r="AZ255" s="639"/>
      <c r="BA255" s="646"/>
    </row>
    <row r="256" ht="15.75" customHeight="1">
      <c r="A256" s="424"/>
      <c r="B256" s="572"/>
      <c r="C256" s="629"/>
      <c r="D256" s="630"/>
      <c r="E256" s="617"/>
      <c r="F256" s="575"/>
      <c r="G256" s="575"/>
      <c r="H256" s="631"/>
      <c r="I256" s="632"/>
      <c r="J256" s="647"/>
      <c r="K256" s="578"/>
      <c r="L256" s="580"/>
      <c r="M256" s="579"/>
      <c r="N256" s="578"/>
      <c r="O256" s="578"/>
      <c r="P256" s="634"/>
      <c r="Q256" s="634"/>
      <c r="R256" s="634"/>
      <c r="S256" s="581"/>
      <c r="T256" s="635"/>
      <c r="U256" s="636"/>
      <c r="V256" s="581"/>
      <c r="W256" s="637"/>
      <c r="X256" s="637"/>
      <c r="Y256" s="581"/>
      <c r="Z256" s="581"/>
      <c r="AA256" s="585"/>
      <c r="AB256" s="586"/>
      <c r="AC256" s="577"/>
      <c r="AD256" s="577"/>
      <c r="AE256" s="572"/>
      <c r="AF256" s="635"/>
      <c r="AG256" s="637"/>
      <c r="AH256" s="637"/>
      <c r="AI256" s="587"/>
      <c r="AJ256" s="636"/>
      <c r="AK256" s="587"/>
      <c r="AL256" s="589"/>
      <c r="AM256" s="638"/>
      <c r="AN256" s="639"/>
      <c r="AO256" s="639"/>
      <c r="AP256" s="640"/>
      <c r="AQ256" s="640"/>
      <c r="AR256" s="641"/>
      <c r="AS256" s="642"/>
      <c r="AT256" s="643"/>
      <c r="AU256" s="640"/>
      <c r="AV256" s="644"/>
      <c r="AW256" s="645"/>
      <c r="AX256" s="638"/>
      <c r="AY256" s="639"/>
      <c r="AZ256" s="639"/>
      <c r="BA256" s="646"/>
    </row>
    <row r="257" ht="15.75" customHeight="1">
      <c r="A257" s="424"/>
      <c r="B257" s="572"/>
      <c r="C257" s="629"/>
      <c r="D257" s="630"/>
      <c r="E257" s="617"/>
      <c r="F257" s="575"/>
      <c r="G257" s="575"/>
      <c r="H257" s="631"/>
      <c r="I257" s="632"/>
      <c r="J257" s="647"/>
      <c r="K257" s="578"/>
      <c r="L257" s="580"/>
      <c r="M257" s="579"/>
      <c r="N257" s="578"/>
      <c r="O257" s="578"/>
      <c r="P257" s="634"/>
      <c r="Q257" s="634"/>
      <c r="R257" s="634"/>
      <c r="S257" s="581"/>
      <c r="T257" s="635"/>
      <c r="U257" s="636"/>
      <c r="V257" s="581"/>
      <c r="W257" s="637"/>
      <c r="X257" s="637"/>
      <c r="Y257" s="581"/>
      <c r="Z257" s="581"/>
      <c r="AA257" s="585"/>
      <c r="AB257" s="586"/>
      <c r="AC257" s="577"/>
      <c r="AD257" s="577"/>
      <c r="AE257" s="572"/>
      <c r="AF257" s="635"/>
      <c r="AG257" s="637"/>
      <c r="AH257" s="637"/>
      <c r="AI257" s="587"/>
      <c r="AJ257" s="636"/>
      <c r="AK257" s="587"/>
      <c r="AL257" s="589"/>
      <c r="AM257" s="638"/>
      <c r="AN257" s="639"/>
      <c r="AO257" s="639"/>
      <c r="AP257" s="640"/>
      <c r="AQ257" s="640"/>
      <c r="AR257" s="641"/>
      <c r="AS257" s="642"/>
      <c r="AT257" s="643"/>
      <c r="AU257" s="640"/>
      <c r="AV257" s="644"/>
      <c r="AW257" s="645"/>
      <c r="AX257" s="638"/>
      <c r="AY257" s="639"/>
      <c r="AZ257" s="639"/>
      <c r="BA257" s="646"/>
    </row>
    <row r="258" ht="15.75" customHeight="1">
      <c r="A258" s="424"/>
      <c r="B258" s="572"/>
      <c r="C258" s="629"/>
      <c r="D258" s="630"/>
      <c r="E258" s="617"/>
      <c r="F258" s="575"/>
      <c r="G258" s="575"/>
      <c r="H258" s="631"/>
      <c r="I258" s="632"/>
      <c r="J258" s="647"/>
      <c r="K258" s="578"/>
      <c r="L258" s="580"/>
      <c r="M258" s="579"/>
      <c r="N258" s="578"/>
      <c r="O258" s="578"/>
      <c r="P258" s="634"/>
      <c r="Q258" s="634"/>
      <c r="R258" s="634"/>
      <c r="S258" s="581"/>
      <c r="T258" s="635"/>
      <c r="U258" s="636"/>
      <c r="V258" s="581"/>
      <c r="W258" s="637"/>
      <c r="X258" s="637"/>
      <c r="Y258" s="581"/>
      <c r="Z258" s="581"/>
      <c r="AA258" s="585"/>
      <c r="AB258" s="586"/>
      <c r="AC258" s="577"/>
      <c r="AD258" s="577"/>
      <c r="AE258" s="572"/>
      <c r="AF258" s="635"/>
      <c r="AG258" s="637"/>
      <c r="AH258" s="637"/>
      <c r="AI258" s="587"/>
      <c r="AJ258" s="636"/>
      <c r="AK258" s="587"/>
      <c r="AL258" s="589"/>
      <c r="AM258" s="638"/>
      <c r="AN258" s="639"/>
      <c r="AO258" s="639"/>
      <c r="AP258" s="640"/>
      <c r="AQ258" s="640"/>
      <c r="AR258" s="641"/>
      <c r="AS258" s="642"/>
      <c r="AT258" s="643"/>
      <c r="AU258" s="640"/>
      <c r="AV258" s="644"/>
      <c r="AW258" s="645"/>
      <c r="AX258" s="638"/>
      <c r="AY258" s="639"/>
      <c r="AZ258" s="639"/>
      <c r="BA258" s="646"/>
    </row>
    <row r="259" ht="15.75" customHeight="1">
      <c r="A259" s="424"/>
      <c r="B259" s="572"/>
      <c r="C259" s="629"/>
      <c r="D259" s="630"/>
      <c r="E259" s="617"/>
      <c r="F259" s="575"/>
      <c r="G259" s="575"/>
      <c r="H259" s="631"/>
      <c r="I259" s="632"/>
      <c r="J259" s="647"/>
      <c r="K259" s="578"/>
      <c r="L259" s="580"/>
      <c r="M259" s="579"/>
      <c r="N259" s="578"/>
      <c r="O259" s="578"/>
      <c r="P259" s="634"/>
      <c r="Q259" s="634"/>
      <c r="R259" s="634"/>
      <c r="S259" s="581"/>
      <c r="T259" s="635"/>
      <c r="U259" s="636"/>
      <c r="V259" s="581"/>
      <c r="W259" s="637"/>
      <c r="X259" s="637"/>
      <c r="Y259" s="581"/>
      <c r="Z259" s="581"/>
      <c r="AA259" s="585"/>
      <c r="AB259" s="586"/>
      <c r="AC259" s="577"/>
      <c r="AD259" s="577"/>
      <c r="AE259" s="572"/>
      <c r="AF259" s="635"/>
      <c r="AG259" s="637"/>
      <c r="AH259" s="637"/>
      <c r="AI259" s="587"/>
      <c r="AJ259" s="636"/>
      <c r="AK259" s="587"/>
      <c r="AL259" s="589"/>
      <c r="AM259" s="638"/>
      <c r="AN259" s="639"/>
      <c r="AO259" s="639"/>
      <c r="AP259" s="640"/>
      <c r="AQ259" s="640"/>
      <c r="AR259" s="641"/>
      <c r="AS259" s="642"/>
      <c r="AT259" s="643"/>
      <c r="AU259" s="640"/>
      <c r="AV259" s="644"/>
      <c r="AW259" s="645"/>
      <c r="AX259" s="638"/>
      <c r="AY259" s="639"/>
      <c r="AZ259" s="639"/>
      <c r="BA259" s="646"/>
    </row>
    <row r="260" ht="15.75" customHeight="1">
      <c r="A260" s="424"/>
      <c r="B260" s="572"/>
      <c r="C260" s="629"/>
      <c r="D260" s="630"/>
      <c r="E260" s="617"/>
      <c r="F260" s="575"/>
      <c r="G260" s="575"/>
      <c r="H260" s="631"/>
      <c r="I260" s="632"/>
      <c r="J260" s="647"/>
      <c r="K260" s="578"/>
      <c r="L260" s="580"/>
      <c r="M260" s="579"/>
      <c r="N260" s="578"/>
      <c r="O260" s="578"/>
      <c r="P260" s="634"/>
      <c r="Q260" s="634"/>
      <c r="R260" s="634"/>
      <c r="S260" s="581"/>
      <c r="T260" s="635"/>
      <c r="U260" s="636"/>
      <c r="V260" s="581"/>
      <c r="W260" s="637"/>
      <c r="X260" s="637"/>
      <c r="Y260" s="581"/>
      <c r="Z260" s="581"/>
      <c r="AA260" s="585"/>
      <c r="AB260" s="586"/>
      <c r="AC260" s="577"/>
      <c r="AD260" s="577"/>
      <c r="AE260" s="572"/>
      <c r="AF260" s="635"/>
      <c r="AG260" s="637"/>
      <c r="AH260" s="637"/>
      <c r="AI260" s="587"/>
      <c r="AJ260" s="636"/>
      <c r="AK260" s="587"/>
      <c r="AL260" s="589"/>
      <c r="AM260" s="638"/>
      <c r="AN260" s="639"/>
      <c r="AO260" s="639"/>
      <c r="AP260" s="640"/>
      <c r="AQ260" s="640"/>
      <c r="AR260" s="641"/>
      <c r="AS260" s="642"/>
      <c r="AT260" s="643"/>
      <c r="AU260" s="640"/>
      <c r="AV260" s="644"/>
      <c r="AW260" s="645"/>
      <c r="AX260" s="638"/>
      <c r="AY260" s="639"/>
      <c r="AZ260" s="639"/>
      <c r="BA260" s="646"/>
    </row>
    <row r="261" ht="15.75" customHeight="1">
      <c r="A261" s="424"/>
      <c r="B261" s="572"/>
      <c r="C261" s="629"/>
      <c r="D261" s="630"/>
      <c r="E261" s="617"/>
      <c r="F261" s="575"/>
      <c r="G261" s="575"/>
      <c r="H261" s="631"/>
      <c r="I261" s="632"/>
      <c r="J261" s="647"/>
      <c r="K261" s="578"/>
      <c r="L261" s="580"/>
      <c r="M261" s="579"/>
      <c r="N261" s="578"/>
      <c r="O261" s="578"/>
      <c r="P261" s="634"/>
      <c r="Q261" s="634"/>
      <c r="R261" s="634"/>
      <c r="S261" s="581"/>
      <c r="T261" s="635"/>
      <c r="U261" s="636"/>
      <c r="V261" s="581"/>
      <c r="W261" s="637"/>
      <c r="X261" s="637"/>
      <c r="Y261" s="581"/>
      <c r="Z261" s="581"/>
      <c r="AA261" s="585"/>
      <c r="AB261" s="586"/>
      <c r="AC261" s="577"/>
      <c r="AD261" s="577"/>
      <c r="AE261" s="572"/>
      <c r="AF261" s="635"/>
      <c r="AG261" s="637"/>
      <c r="AH261" s="637"/>
      <c r="AI261" s="587"/>
      <c r="AJ261" s="636"/>
      <c r="AK261" s="587"/>
      <c r="AL261" s="589"/>
      <c r="AM261" s="638"/>
      <c r="AN261" s="639"/>
      <c r="AO261" s="639"/>
      <c r="AP261" s="640"/>
      <c r="AQ261" s="640"/>
      <c r="AR261" s="641"/>
      <c r="AS261" s="642"/>
      <c r="AT261" s="643"/>
      <c r="AU261" s="640"/>
      <c r="AV261" s="644"/>
      <c r="AW261" s="645"/>
      <c r="AX261" s="638"/>
      <c r="AY261" s="639"/>
      <c r="AZ261" s="639"/>
      <c r="BA261" s="646"/>
    </row>
    <row r="262" ht="15.75" customHeight="1">
      <c r="A262" s="424"/>
      <c r="B262" s="572"/>
      <c r="C262" s="629"/>
      <c r="D262" s="630"/>
      <c r="E262" s="704"/>
      <c r="F262" s="575"/>
      <c r="G262" s="575"/>
      <c r="H262" s="631"/>
      <c r="I262" s="632"/>
      <c r="J262" s="647"/>
      <c r="K262" s="578"/>
      <c r="L262" s="580"/>
      <c r="M262" s="579"/>
      <c r="N262" s="578"/>
      <c r="O262" s="578"/>
      <c r="P262" s="634"/>
      <c r="Q262" s="634"/>
      <c r="R262" s="634"/>
      <c r="S262" s="581"/>
      <c r="T262" s="635"/>
      <c r="U262" s="636"/>
      <c r="V262" s="581"/>
      <c r="W262" s="637"/>
      <c r="X262" s="637"/>
      <c r="Y262" s="581"/>
      <c r="Z262" s="581"/>
      <c r="AA262" s="585"/>
      <c r="AB262" s="586"/>
      <c r="AC262" s="577"/>
      <c r="AD262" s="577"/>
      <c r="AE262" s="572"/>
      <c r="AF262" s="635"/>
      <c r="AG262" s="637"/>
      <c r="AH262" s="637"/>
      <c r="AI262" s="587"/>
      <c r="AJ262" s="636"/>
      <c r="AK262" s="587"/>
      <c r="AL262" s="589"/>
      <c r="AM262" s="638"/>
      <c r="AN262" s="639"/>
      <c r="AO262" s="639"/>
      <c r="AP262" s="640"/>
      <c r="AQ262" s="640"/>
      <c r="AR262" s="641"/>
      <c r="AS262" s="642"/>
      <c r="AT262" s="643"/>
      <c r="AU262" s="640"/>
      <c r="AV262" s="644"/>
      <c r="AW262" s="645"/>
      <c r="AX262" s="638"/>
      <c r="AY262" s="639"/>
      <c r="AZ262" s="639"/>
      <c r="BA262" s="646"/>
    </row>
    <row r="263" ht="15.75" customHeight="1">
      <c r="A263" s="424"/>
      <c r="B263" s="572"/>
      <c r="C263" s="629"/>
      <c r="D263" s="630"/>
      <c r="E263" s="704"/>
      <c r="F263" s="575"/>
      <c r="G263" s="575"/>
      <c r="H263" s="631"/>
      <c r="I263" s="632"/>
      <c r="J263" s="647"/>
      <c r="K263" s="578"/>
      <c r="L263" s="580"/>
      <c r="M263" s="579"/>
      <c r="N263" s="578"/>
      <c r="O263" s="578"/>
      <c r="P263" s="634"/>
      <c r="Q263" s="634"/>
      <c r="R263" s="634"/>
      <c r="S263" s="581"/>
      <c r="T263" s="635"/>
      <c r="U263" s="636"/>
      <c r="V263" s="581"/>
      <c r="W263" s="637"/>
      <c r="X263" s="637"/>
      <c r="Y263" s="581"/>
      <c r="Z263" s="581"/>
      <c r="AA263" s="585"/>
      <c r="AB263" s="586"/>
      <c r="AC263" s="577"/>
      <c r="AD263" s="577"/>
      <c r="AE263" s="572"/>
      <c r="AF263" s="635"/>
      <c r="AG263" s="637"/>
      <c r="AH263" s="637"/>
      <c r="AI263" s="587"/>
      <c r="AJ263" s="636"/>
      <c r="AK263" s="587"/>
      <c r="AL263" s="589"/>
      <c r="AM263" s="638"/>
      <c r="AN263" s="639"/>
      <c r="AO263" s="639"/>
      <c r="AP263" s="640"/>
      <c r="AQ263" s="640"/>
      <c r="AR263" s="641"/>
      <c r="AS263" s="642"/>
      <c r="AT263" s="643"/>
      <c r="AU263" s="640"/>
      <c r="AV263" s="644"/>
      <c r="AW263" s="645"/>
      <c r="AX263" s="638"/>
      <c r="AY263" s="639"/>
      <c r="AZ263" s="639"/>
      <c r="BA263" s="646"/>
    </row>
    <row r="264" ht="15.75" customHeight="1">
      <c r="A264" s="424"/>
      <c r="B264" s="572"/>
      <c r="C264" s="629"/>
      <c r="D264" s="630"/>
      <c r="E264" s="704"/>
      <c r="F264" s="575"/>
      <c r="G264" s="575"/>
      <c r="H264" s="631"/>
      <c r="I264" s="632"/>
      <c r="J264" s="647"/>
      <c r="K264" s="578"/>
      <c r="L264" s="580"/>
      <c r="M264" s="579"/>
      <c r="N264" s="578"/>
      <c r="O264" s="578"/>
      <c r="P264" s="634"/>
      <c r="Q264" s="634"/>
      <c r="R264" s="634"/>
      <c r="S264" s="581"/>
      <c r="T264" s="635"/>
      <c r="U264" s="636"/>
      <c r="V264" s="581"/>
      <c r="W264" s="637"/>
      <c r="X264" s="637"/>
      <c r="Y264" s="581"/>
      <c r="Z264" s="581"/>
      <c r="AA264" s="585"/>
      <c r="AB264" s="586"/>
      <c r="AC264" s="577"/>
      <c r="AD264" s="577"/>
      <c r="AE264" s="572"/>
      <c r="AF264" s="635"/>
      <c r="AG264" s="637"/>
      <c r="AH264" s="637"/>
      <c r="AI264" s="587"/>
      <c r="AJ264" s="636"/>
      <c r="AK264" s="587"/>
      <c r="AL264" s="589"/>
      <c r="AM264" s="638"/>
      <c r="AN264" s="639"/>
      <c r="AO264" s="639"/>
      <c r="AP264" s="640"/>
      <c r="AQ264" s="640"/>
      <c r="AR264" s="641"/>
      <c r="AS264" s="642"/>
      <c r="AT264" s="643"/>
      <c r="AU264" s="640"/>
      <c r="AV264" s="644"/>
      <c r="AW264" s="645"/>
      <c r="AX264" s="638"/>
      <c r="AY264" s="639"/>
      <c r="AZ264" s="639"/>
      <c r="BA264" s="646"/>
    </row>
    <row r="265" ht="15.75" customHeight="1">
      <c r="A265" s="424"/>
      <c r="B265" s="572"/>
      <c r="C265" s="629"/>
      <c r="D265" s="630"/>
      <c r="E265" s="704"/>
      <c r="F265" s="575"/>
      <c r="G265" s="575"/>
      <c r="H265" s="631"/>
      <c r="I265" s="632"/>
      <c r="J265" s="647"/>
      <c r="K265" s="578"/>
      <c r="L265" s="580"/>
      <c r="M265" s="579"/>
      <c r="N265" s="578"/>
      <c r="O265" s="578"/>
      <c r="P265" s="634"/>
      <c r="Q265" s="634"/>
      <c r="R265" s="634"/>
      <c r="S265" s="581"/>
      <c r="T265" s="635"/>
      <c r="U265" s="636"/>
      <c r="V265" s="581"/>
      <c r="W265" s="637"/>
      <c r="X265" s="637"/>
      <c r="Y265" s="581"/>
      <c r="Z265" s="581"/>
      <c r="AA265" s="585"/>
      <c r="AB265" s="586"/>
      <c r="AC265" s="577"/>
      <c r="AD265" s="577"/>
      <c r="AE265" s="572"/>
      <c r="AF265" s="635"/>
      <c r="AG265" s="637"/>
      <c r="AH265" s="637"/>
      <c r="AI265" s="587"/>
      <c r="AJ265" s="636"/>
      <c r="AK265" s="587"/>
      <c r="AL265" s="589"/>
      <c r="AM265" s="638"/>
      <c r="AN265" s="639"/>
      <c r="AO265" s="639"/>
      <c r="AP265" s="640"/>
      <c r="AQ265" s="640"/>
      <c r="AR265" s="641"/>
      <c r="AS265" s="642"/>
      <c r="AT265" s="643"/>
      <c r="AU265" s="640"/>
      <c r="AV265" s="644"/>
      <c r="AW265" s="645"/>
      <c r="AX265" s="638"/>
      <c r="AY265" s="639"/>
      <c r="AZ265" s="639"/>
      <c r="BA265" s="646"/>
    </row>
    <row r="266" ht="15.75" customHeight="1">
      <c r="A266" s="424"/>
      <c r="B266" s="572"/>
      <c r="C266" s="629"/>
      <c r="D266" s="630"/>
      <c r="E266" s="704"/>
      <c r="F266" s="575"/>
      <c r="G266" s="575"/>
      <c r="H266" s="631"/>
      <c r="I266" s="632"/>
      <c r="J266" s="647"/>
      <c r="K266" s="578"/>
      <c r="L266" s="580"/>
      <c r="M266" s="579"/>
      <c r="N266" s="578"/>
      <c r="O266" s="578"/>
      <c r="P266" s="634"/>
      <c r="Q266" s="634"/>
      <c r="R266" s="634"/>
      <c r="S266" s="581"/>
      <c r="T266" s="635"/>
      <c r="U266" s="636"/>
      <c r="V266" s="581"/>
      <c r="W266" s="637"/>
      <c r="X266" s="637"/>
      <c r="Y266" s="581"/>
      <c r="Z266" s="581"/>
      <c r="AA266" s="585"/>
      <c r="AB266" s="586"/>
      <c r="AC266" s="577"/>
      <c r="AD266" s="577"/>
      <c r="AE266" s="572"/>
      <c r="AF266" s="635"/>
      <c r="AG266" s="637"/>
      <c r="AH266" s="637"/>
      <c r="AI266" s="587"/>
      <c r="AJ266" s="636"/>
      <c r="AK266" s="587"/>
      <c r="AL266" s="589"/>
      <c r="AM266" s="638"/>
      <c r="AN266" s="639"/>
      <c r="AO266" s="639"/>
      <c r="AP266" s="640"/>
      <c r="AQ266" s="640"/>
      <c r="AR266" s="641"/>
      <c r="AS266" s="642"/>
      <c r="AT266" s="643"/>
      <c r="AU266" s="640"/>
      <c r="AV266" s="644"/>
      <c r="AW266" s="645"/>
      <c r="AX266" s="638"/>
      <c r="AY266" s="639"/>
      <c r="AZ266" s="639"/>
      <c r="BA266" s="646"/>
    </row>
    <row r="267" ht="15.75" customHeight="1">
      <c r="A267" s="424"/>
      <c r="B267" s="572"/>
      <c r="C267" s="629"/>
      <c r="D267" s="630"/>
      <c r="E267" s="704"/>
      <c r="F267" s="575"/>
      <c r="G267" s="575"/>
      <c r="H267" s="631"/>
      <c r="I267" s="632"/>
      <c r="J267" s="647"/>
      <c r="K267" s="578"/>
      <c r="L267" s="580"/>
      <c r="M267" s="579"/>
      <c r="N267" s="578"/>
      <c r="O267" s="578"/>
      <c r="P267" s="634"/>
      <c r="Q267" s="634"/>
      <c r="R267" s="634"/>
      <c r="S267" s="581"/>
      <c r="T267" s="635"/>
      <c r="U267" s="636"/>
      <c r="V267" s="581"/>
      <c r="W267" s="637"/>
      <c r="X267" s="637"/>
      <c r="Y267" s="581"/>
      <c r="Z267" s="581"/>
      <c r="AA267" s="585"/>
      <c r="AB267" s="586"/>
      <c r="AC267" s="577"/>
      <c r="AD267" s="577"/>
      <c r="AE267" s="572"/>
      <c r="AF267" s="635"/>
      <c r="AG267" s="637"/>
      <c r="AH267" s="637"/>
      <c r="AI267" s="587"/>
      <c r="AJ267" s="636"/>
      <c r="AK267" s="587"/>
      <c r="AL267" s="589"/>
      <c r="AM267" s="638"/>
      <c r="AN267" s="639"/>
      <c r="AO267" s="639"/>
      <c r="AP267" s="640"/>
      <c r="AQ267" s="640"/>
      <c r="AR267" s="641"/>
      <c r="AS267" s="642"/>
      <c r="AT267" s="643"/>
      <c r="AU267" s="640"/>
      <c r="AV267" s="644"/>
      <c r="AW267" s="645"/>
      <c r="AX267" s="638"/>
      <c r="AY267" s="639"/>
      <c r="AZ267" s="639"/>
      <c r="BA267" s="646"/>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3">
    <mergeCell ref="K12:O12"/>
    <mergeCell ref="P12:AH12"/>
    <mergeCell ref="AJ12:AL12"/>
  </mergeCells>
  <conditionalFormatting sqref="A14:D267 S14:U267 AF14:AF267 AJ14:AJ267">
    <cfRule type="expression" dxfId="9" priority="1" stopIfTrue="1">
      <formula>$AF14="P1"</formula>
    </cfRule>
  </conditionalFormatting>
  <conditionalFormatting sqref="A14:D267 S14:U267 AF14:AF267 AJ14:AJ267">
    <cfRule type="expression" dxfId="10" priority="2" stopIfTrue="1">
      <formula>$AF14="P2"</formula>
    </cfRule>
  </conditionalFormatting>
  <conditionalFormatting sqref="A14:D267 S14:U267 AF14:AF267 AJ14:AJ267">
    <cfRule type="expression" dxfId="11" priority="3" stopIfTrue="1">
      <formula>$AF14="P3"</formula>
    </cfRule>
  </conditionalFormatting>
  <conditionalFormatting sqref="A14:D267 S14:U267 AF14:AF267 AJ14:AJ267">
    <cfRule type="expression" dxfId="12" priority="4" stopIfTrue="1">
      <formula>$AF14="P4"</formula>
    </cfRule>
  </conditionalFormatting>
  <conditionalFormatting sqref="A14:B267 D14:D267 S14:S267 U14:U267 AI14:AJ267">
    <cfRule type="expression" dxfId="26" priority="5" stopIfTrue="1">
      <formula>#REF!="P1"</formula>
    </cfRule>
  </conditionalFormatting>
  <conditionalFormatting sqref="A14:B267 D14:D267 S14:S267 U14:U267 AI14:AJ267">
    <cfRule type="expression" dxfId="27" priority="6" stopIfTrue="1">
      <formula>#REF!="P2"</formula>
    </cfRule>
  </conditionalFormatting>
  <conditionalFormatting sqref="A14:B267 D14:D267 S14:S267 U14:U267 AI14:AJ267">
    <cfRule type="expression" dxfId="28" priority="7" stopIfTrue="1">
      <formula>#REF!="P3"</formula>
    </cfRule>
  </conditionalFormatting>
  <conditionalFormatting sqref="A14:B267 D14:D267 S14:S267 U14:U267 AI14:AJ267">
    <cfRule type="expression" dxfId="29" priority="8" stopIfTrue="1">
      <formula>#REF!="P4"</formula>
    </cfRule>
  </conditionalFormatting>
  <conditionalFormatting sqref="C14:C267 T14:T267 AF14:AF267">
    <cfRule type="cellIs" dxfId="9" priority="9" stopIfTrue="1" operator="equal">
      <formula>"P1"</formula>
    </cfRule>
  </conditionalFormatting>
  <conditionalFormatting sqref="C14:C267 T14:T267 AF14:AF267">
    <cfRule type="cellIs" dxfId="13" priority="10" stopIfTrue="1" operator="equal">
      <formula>"P2"</formula>
    </cfRule>
  </conditionalFormatting>
  <conditionalFormatting sqref="C14:C267 T14:T267 AF14:AF267">
    <cfRule type="cellIs" dxfId="14" priority="11" stopIfTrue="1" operator="equal">
      <formula>"P3"</formula>
    </cfRule>
  </conditionalFormatting>
  <conditionalFormatting sqref="C14:C267 T14:T267 AF14:AF267">
    <cfRule type="cellIs" dxfId="15" priority="12" stopIfTrue="1" operator="equal">
      <formula>"P4"</formula>
    </cfRule>
  </conditionalFormatting>
  <conditionalFormatting sqref="M14:M267">
    <cfRule type="containsText" dxfId="18" priority="13" stopIfTrue="1" operator="containsText" text="Công việc khác">
      <formula>NOT(ISERROR(SEARCH(("Công việc khác"),(M14))))</formula>
    </cfRule>
  </conditionalFormatting>
  <conditionalFormatting sqref="C14:C267 F14:G267 T14:T267 W14:X267 AC14:AH267 AS14:AS267">
    <cfRule type="expression" dxfId="20" priority="14" stopIfTrue="1">
      <formula>ISNUMBER(SEARCH("Vượt khung",$AL14))</formula>
    </cfRule>
  </conditionalFormatting>
  <conditionalFormatting sqref="C14:C267 G14:G267 T14:T267 X14:X267 AE14:AG267">
    <cfRule type="containsText" dxfId="17" priority="15" stopIfTrue="1" operator="containsText" text="Hoàn thành">
      <formula>NOT(ISERROR(SEARCH(("Hoàn thành"),(C14))))</formula>
    </cfRule>
  </conditionalFormatting>
  <conditionalFormatting sqref="C14:C267 G14:G267 T14:T267 X14:X267 AE14:AG267">
    <cfRule type="containsText" dxfId="19" priority="16" stopIfTrue="1" operator="containsText" text="Tạm dừng">
      <formula>NOT(ISERROR(SEARCH(("Tạm dừng"),(C14))))</formula>
    </cfRule>
  </conditionalFormatting>
  <conditionalFormatting sqref="AI14:AI267 AK14:AK267">
    <cfRule type="cellIs" dxfId="20" priority="17" stopIfTrue="1" operator="lessThan">
      <formula>0</formula>
    </cfRule>
  </conditionalFormatting>
  <conditionalFormatting sqref="AI14:AI267 AK14:AK267">
    <cfRule type="cellIs" dxfId="21" priority="18" stopIfTrue="1" operator="between">
      <formula>0</formula>
      <formula>3</formula>
    </cfRule>
  </conditionalFormatting>
  <dataValidations>
    <dataValidation type="date" allowBlank="1" showDropDown="1" sqref="AS16 D14:H267 U14:AA267 AG14:AH267">
      <formula1>DATE(2026,1,1)</formula1>
      <formula2>DATE(2030,12,31)</formula2>
    </dataValidation>
    <dataValidation type="decimal" allowBlank="1" sqref="AB14:AB267 AL14:AL267">
      <formula1>0.0</formula1>
      <formula2>10000.0</formula2>
    </dataValidation>
    <dataValidation type="list" allowBlank="1" showInputMessage="1" prompt="Có thể chọn nhiều đơn vị; ngăn cách bằng dấu chấm phẩy." sqref="AD14:AD267">
      <formula1>'Danh mục chọn'!$F$2:$F$500</formula1>
    </dataValidation>
    <dataValidation type="list" allowBlank="1" showInputMessage="1" showErrorMessage="1" prompt="Chọn người hoặc nhóm thực hiện." sqref="AC14:AC267">
      <formula1>'Danh mục chọn'!$P$2:$P$500</formula1>
    </dataValidation>
    <dataValidation type="list" allowBlank="1" showInputMessage="1" showErrorMessage="1" prompt="Chọn loại lịch." sqref="AP14:AP267">
      <formula1>'Danh mục chọn'!$K$2:$K$100</formula1>
    </dataValidation>
    <dataValidation type="list" allowBlank="1" showInputMessage="1" showErrorMessage="1" prompt="Chọn P1, P2, P3 hoặc P4." sqref="C14:C267 T14:T267 AF14:AF267">
      <formula1>'Danh mục chọn'!$E$2:$E$100</formula1>
    </dataValidation>
    <dataValidation type="list" allowBlank="1" showInputMessage="1" showErrorMessage="1" prompt="Chọn chu kỳ nếu là công việc định kỳ." sqref="AQ14:AQ267">
      <formula1>'Danh mục chọn'!$L$2:$L$100</formula1>
    </dataValidation>
    <dataValidation type="list" allowBlank="1" sqref="J14:J267">
      <formula1>#REF!</formula1>
    </dataValidation>
    <dataValidation type="list" allowBlank="1" showInputMessage="1" showErrorMessage="1" prompt="Chọn trạng thái công việc." sqref="AE14:AE267">
      <formula1>'Danh mục chọn'!$D$2:$D$100</formula1>
    </dataValidation>
    <dataValidation type="list" allowBlank="1" showInputMessage="1" showErrorMessage="1" prompt="Chọn phân bổ theo Ngày hoặc Tuần." sqref="AV14:AV267">
      <formula1>'Danh mục chọn'!$N$2:$N$100</formula1>
    </dataValidation>
  </dataValidations>
  <printOptions/>
  <pageMargins bottom="0.75" footer="0.0" header="0.0" left="0.7" right="0.7" top="0.75"/>
  <pageSetup paperSize="9" orientation="portrait"/>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outlinePr summaryBelow="0" summaryRight="0"/>
  </sheetPr>
  <sheetViews>
    <sheetView showGridLines="0" workbookViewId="0"/>
  </sheetViews>
  <sheetFormatPr customHeight="1" defaultColWidth="12.63" defaultRowHeight="15.0"/>
  <cols>
    <col customWidth="1" min="1" max="1" width="5.75"/>
    <col customWidth="1" min="2" max="3" width="12.63"/>
    <col customWidth="1" min="4" max="4" width="40.13"/>
    <col customWidth="1" min="5" max="5" width="13.0"/>
    <col customWidth="1" min="6" max="6" width="6.38"/>
    <col customWidth="1" min="7" max="7" width="12.63"/>
    <col customWidth="1" min="8" max="8" width="14.63"/>
    <col customWidth="1" min="9" max="9" width="12.38"/>
    <col customWidth="1" min="10" max="10" width="13.75"/>
    <col hidden="1" min="13" max="27" width="12.63"/>
  </cols>
  <sheetData>
    <row r="1" ht="15.75" customHeight="1">
      <c r="A1" s="655" t="s">
        <v>627</v>
      </c>
    </row>
    <row r="2" ht="15.75" customHeight="1">
      <c r="A2" s="656" t="s">
        <v>628</v>
      </c>
    </row>
    <row r="3" ht="15.75" customHeight="1"/>
    <row r="4" ht="15.75" customHeight="1">
      <c r="A4" s="657" t="s">
        <v>629</v>
      </c>
      <c r="B4" s="658" t="s">
        <v>630</v>
      </c>
    </row>
    <row r="5" ht="15.75" customHeight="1">
      <c r="A5" s="659" t="s">
        <v>631</v>
      </c>
    </row>
    <row r="6" ht="15.75" customHeight="1"/>
    <row r="7" ht="15.75" customHeight="1">
      <c r="A7" s="660" t="s">
        <v>165</v>
      </c>
      <c r="B7" s="661" t="s">
        <v>164</v>
      </c>
      <c r="C7" s="661" t="s">
        <v>166</v>
      </c>
      <c r="D7" s="661" t="s">
        <v>632</v>
      </c>
      <c r="E7" s="661" t="s">
        <v>173</v>
      </c>
      <c r="F7" s="661" t="s">
        <v>84</v>
      </c>
      <c r="G7" s="661" t="s">
        <v>604</v>
      </c>
      <c r="H7" s="661" t="s">
        <v>633</v>
      </c>
      <c r="I7" s="661" t="s">
        <v>634</v>
      </c>
      <c r="J7" s="662" t="s">
        <v>53</v>
      </c>
    </row>
    <row r="8" ht="15.75" customHeight="1">
      <c r="A8" s="663">
        <f>IFERROR(__xludf.DUMMYFUNCTION("IF($B$4="""",""Nhập mã hoặc từ khóa tại ô B4"",IFERROR(SORT(FILTER($M$8:$V$684,$AA$8:$AA$684=1),1,1),""Không tìm thấy dữ liệu phù hợp""))"),3.0)</f>
        <v>3</v>
      </c>
      <c r="B8" s="389" t="str">
        <f>IFERROR(__xludf.DUMMYFUNCTION("""COMPUTED_VALUE"""),"HHL3CT03")</f>
        <v>HHL3CT03</v>
      </c>
      <c r="C8" s="389" t="str">
        <f>IFERROR(__xludf.DUMMYFUNCTION("""COMPUTED_VALUE"""),"")</f>
        <v/>
      </c>
      <c r="D8" s="389" t="str">
        <f>IFERROR(__xludf.DUMMYFUNCTION("""COMPUTED_VALUE"""),"◆ KHKD 2027&amp; HT lập KH theo tham số KD (bán tự động)")</f>
        <v>◆ KHKD 2027&amp; HT lập KH theo tham số KD (bán tự động)</v>
      </c>
      <c r="E8" s="389" t="str">
        <f>IFERROR(__xludf.DUMMYFUNCTION("""COMPUTED_VALUE"""),"Đang thực hiện")</f>
        <v>Đang thực hiện</v>
      </c>
      <c r="F8" s="664">
        <f>IFERROR(__xludf.DUMMYFUNCTION("""COMPUTED_VALUE"""),0.0)</f>
        <v>0</v>
      </c>
      <c r="G8" s="389" t="str">
        <f>IFERROR(__xludf.DUMMYFUNCTION("""COMPUTED_VALUE"""),"Em Đại")</f>
        <v>Em Đại</v>
      </c>
      <c r="H8" s="389" t="str">
        <f>IFERROR(__xludf.DUMMYFUNCTION("""COMPUTED_VALUE"""),"Dữ liệu điều hành")</f>
        <v>Dữ liệu điều hành</v>
      </c>
      <c r="I8" s="665">
        <f>IFERROR(__xludf.DUMMYFUNCTION("""COMPUTED_VALUE"""),46337.0)</f>
        <v>46337</v>
      </c>
      <c r="J8" s="389" t="str">
        <f>IFERROR(__xludf.DUMMYFUNCTION("""COMPUTED_VALUE"""),"🟣 P1 trọng yếu")</f>
        <v>🟣 P1 trọng yếu</v>
      </c>
      <c r="M8" s="389">
        <f>IF('Bản đồ công việc'!X24="","",'Bản đồ công việc'!W24)</f>
        <v>3</v>
      </c>
      <c r="N8" s="67" t="str">
        <f>IF('Bản đồ công việc'!X24="","",'Bản đồ công việc'!X24)</f>
        <v>HHL3CT01</v>
      </c>
      <c r="O8" s="389" t="str">
        <f>IF('Bản đồ công việc'!X24="","",'Bản đồ công việc'!Y24)</f>
        <v/>
      </c>
      <c r="P8" s="389" t="str">
        <f>IF('Bản đồ công việc'!X24="","",'Bản đồ công việc'!V24)</f>
        <v>◆ Xây dựng bộ chiến lược công ty tầm nhìn 2030</v>
      </c>
      <c r="Q8" s="67" t="str">
        <f>IF('Bản đồ công việc'!X24="","",'Bản đồ công việc'!AC24)</f>
        <v>Đã lên lịch</v>
      </c>
      <c r="R8" s="398" t="str">
        <f>IF('Bản đồ công việc'!X24="","",'Bản đồ công việc'!AD24)</f>
        <v/>
      </c>
      <c r="S8" s="67" t="str">
        <f>IF('Bản đồ công việc'!X24="","",'Bản đồ công việc'!Z24)</f>
        <v>GĐ BOC</v>
      </c>
      <c r="T8" s="67" t="str">
        <f>IF('Bản đồ công việc'!X24="","",'Bản đồ công việc'!AA24)</f>
        <v>Công ty</v>
      </c>
      <c r="U8" s="358">
        <f>IF('Bản đồ công việc'!X24="","",'Bản đồ công việc'!AE24)</f>
        <v>46420</v>
      </c>
      <c r="V8" s="389" t="str">
        <f>IF('Bản đồ công việc'!X24="","",'Bản đồ công việc'!AI24)</f>
        <v>🟣 P1 trọng yếu</v>
      </c>
      <c r="W8" s="389">
        <f t="shared" ref="W8:W684" si="2">IF(OR($B$4="",N8=""),0,--ISNUMBER(SEARCH(LOWER(TRIM($B$4)),LOWER(N8&amp;" "&amp;P8))))</f>
        <v>0</v>
      </c>
      <c r="X8" s="389" t="str">
        <f t="shared" ref="X8:X684" si="3">O8</f>
        <v/>
      </c>
      <c r="Y8" s="389" t="str">
        <f t="shared" ref="Y8:Z8" si="1">IFERROR(INDEX($O$8:$O$684,MATCH(X8,$N$8:$N$684,0)),"")</f>
        <v/>
      </c>
      <c r="Z8" s="389" t="str">
        <f t="shared" si="1"/>
        <v/>
      </c>
      <c r="AA8" s="389">
        <f t="shared" ref="AA8:AA684" si="5">IF(N8="",0,--OR(W8=1,SUMIF($N$8:$N$684,X8,$W$8:$W$684)&gt;0,SUMIF($N$8:$N$684,Y8,$W$8:$W$684)&gt;0,SUMIF($N$8:$N$684,Z8,$W$8:$W$684)&gt;0,SUMIFS($W$8:$W$684,$X$8:$X$684,N8)&gt;0,SUMIFS($W$8:$W$684,$Y$8:$Y$684,N8)&gt;0,SUMIFS($W$8:$W$684,$Z$8:$Z$684,N8)&gt;0))</f>
        <v>0</v>
      </c>
    </row>
    <row r="9" ht="15.75" customHeight="1">
      <c r="A9" s="389">
        <f>IFERROR(__xludf.DUMMYFUNCTION("""COMPUTED_VALUE"""),4.0)</f>
        <v>4</v>
      </c>
      <c r="B9" s="389" t="str">
        <f>IFERROR(__xludf.DUMMYFUNCTION("""COMPUTED_VALUE"""),"HHL4DL01")</f>
        <v>HHL4DL01</v>
      </c>
      <c r="C9" s="389" t="str">
        <f>IFERROR(__xludf.DUMMYFUNCTION("""COMPUTED_VALUE"""),"HHL3CT03")</f>
        <v>HHL3CT03</v>
      </c>
      <c r="D9" s="389" t="str">
        <f>IFERROR(__xludf.DUMMYFUNCTION("""COMPUTED_VALUE"""),"   ├─ Xác nhận công thức &amp; tạo HT tham số cho KH GT")</f>
        <v>   ├─ Xác nhận công thức &amp; tạo HT tham số cho KH GT</v>
      </c>
      <c r="E9" s="389" t="str">
        <f>IFERROR(__xludf.DUMMYFUNCTION("""COMPUTED_VALUE"""),"Chưa bắt đầu")</f>
        <v>Chưa bắt đầu</v>
      </c>
      <c r="F9" s="664">
        <f>IFERROR(__xludf.DUMMYFUNCTION("""COMPUTED_VALUE"""),0.0)</f>
        <v>0</v>
      </c>
      <c r="G9" s="389" t="str">
        <f>IFERROR(__xludf.DUMMYFUNCTION("""COMPUTED_VALUE"""),"Em Đại")</f>
        <v>Em Đại</v>
      </c>
      <c r="H9" s="389" t="str">
        <f>IFERROR(__xludf.DUMMYFUNCTION("""COMPUTED_VALUE"""),"Dữ liệu điều hành")</f>
        <v>Dữ liệu điều hành</v>
      </c>
      <c r="I9" s="665">
        <f>IFERROR(__xludf.DUMMYFUNCTION("""COMPUTED_VALUE"""),46305.0)</f>
        <v>46305</v>
      </c>
      <c r="J9" s="389" t="str">
        <f>IFERROR(__xludf.DUMMYFUNCTION("""COMPUTED_VALUE"""),"🟣 P1 trọng yếu")</f>
        <v>🟣 P1 trọng yếu</v>
      </c>
      <c r="M9" s="389">
        <f>IF('Bản đồ công việc'!X25="","",'Bản đồ công việc'!W25)</f>
        <v>3</v>
      </c>
      <c r="N9" s="67" t="str">
        <f>IF('Bản đồ công việc'!X25="","",'Bản đồ công việc'!X25)</f>
        <v>HHL3CT02</v>
      </c>
      <c r="O9" s="389" t="str">
        <f>IF('Bản đồ công việc'!X25="","",'Bản đồ công việc'!Y25)</f>
        <v/>
      </c>
      <c r="P9" s="389" t="str">
        <f>IF('Bản đồ công việc'!X25="","",'Bản đồ công việc'!V25)</f>
        <v>◆ Xây dựng bộ VHDN</v>
      </c>
      <c r="Q9" s="67" t="str">
        <f>IF('Bản đồ công việc'!X25="","",'Bản đồ công việc'!AC25)</f>
        <v>Đã lên lịch</v>
      </c>
      <c r="R9" s="398" t="str">
        <f>IF('Bản đồ công việc'!X25="","",'Bản đồ công việc'!AD25)</f>
        <v/>
      </c>
      <c r="S9" s="67" t="str">
        <f>IF('Bản đồ công việc'!X25="","",'Bản đồ công việc'!Z25)</f>
        <v>GĐ BOC</v>
      </c>
      <c r="T9" s="67" t="str">
        <f>IF('Bản đồ công việc'!X25="","",'Bản đồ công việc'!AA25)</f>
        <v>Công ty</v>
      </c>
      <c r="U9" s="358">
        <f>IF('Bản đồ công việc'!X25="","",'Bản đồ công việc'!AE25)</f>
        <v>46420</v>
      </c>
      <c r="V9" s="389" t="str">
        <f>IF('Bản đồ công việc'!X25="","",'Bản đồ công việc'!AI25)</f>
        <v>🟢 Theo kế hoạch</v>
      </c>
      <c r="W9" s="389">
        <f t="shared" si="2"/>
        <v>0</v>
      </c>
      <c r="X9" s="389" t="str">
        <f t="shared" si="3"/>
        <v/>
      </c>
      <c r="Y9" s="389" t="str">
        <f t="shared" ref="Y9:Z9" si="4">IFERROR(INDEX($O$8:$O$684,MATCH(X9,$N$8:$N$684,0)),"")</f>
        <v/>
      </c>
      <c r="Z9" s="389" t="str">
        <f t="shared" si="4"/>
        <v/>
      </c>
      <c r="AA9" s="389">
        <f t="shared" si="5"/>
        <v>0</v>
      </c>
    </row>
    <row r="10" ht="15.75" customHeight="1">
      <c r="A10" s="389">
        <f>IFERROR(__xludf.DUMMYFUNCTION("""COMPUTED_VALUE"""),4.0)</f>
        <v>4</v>
      </c>
      <c r="B10" s="389" t="str">
        <f>IFERROR(__xludf.DUMMYFUNCTION("""COMPUTED_VALUE"""),"HHL4DL02")</f>
        <v>HHL4DL02</v>
      </c>
      <c r="C10" s="389" t="str">
        <f>IFERROR(__xludf.DUMMYFUNCTION("""COMPUTED_VALUE"""),"HHL3CT03")</f>
        <v>HHL3CT03</v>
      </c>
      <c r="D10" s="389" t="str">
        <f>IFERROR(__xludf.DUMMYFUNCTION("""COMPUTED_VALUE"""),"   ├─ Xây dựng công thức &amp; tạo HT tham số cho KH MT")</f>
        <v>   ├─ Xây dựng công thức &amp; tạo HT tham số cho KH MT</v>
      </c>
      <c r="E10" s="389" t="str">
        <f>IFERROR(__xludf.DUMMYFUNCTION("""COMPUTED_VALUE"""),"Chưa bắt đầu")</f>
        <v>Chưa bắt đầu</v>
      </c>
      <c r="F10" s="664">
        <f>IFERROR(__xludf.DUMMYFUNCTION("""COMPUTED_VALUE"""),0.0)</f>
        <v>0</v>
      </c>
      <c r="G10" s="389" t="str">
        <f>IFERROR(__xludf.DUMMYFUNCTION("""COMPUTED_VALUE"""),"Em Đại")</f>
        <v>Em Đại</v>
      </c>
      <c r="H10" s="389" t="str">
        <f>IFERROR(__xludf.DUMMYFUNCTION("""COMPUTED_VALUE"""),"Dữ liệu điều hành")</f>
        <v>Dữ liệu điều hành</v>
      </c>
      <c r="I10" s="665">
        <f>IFERROR(__xludf.DUMMYFUNCTION("""COMPUTED_VALUE"""),46310.0)</f>
        <v>46310</v>
      </c>
      <c r="J10" s="389" t="str">
        <f>IFERROR(__xludf.DUMMYFUNCTION("""COMPUTED_VALUE"""),"🟣 P1 trọng yếu")</f>
        <v>🟣 P1 trọng yếu</v>
      </c>
      <c r="M10" s="389">
        <f>IF('Bản đồ công việc'!X26="","",'Bản đồ công việc'!W26)</f>
        <v>3</v>
      </c>
      <c r="N10" s="67" t="str">
        <f>IF('Bản đồ công việc'!X26="","",'Bản đồ công việc'!X26)</f>
        <v>HHL3CT03</v>
      </c>
      <c r="O10" s="389" t="str">
        <f>IF('Bản đồ công việc'!X26="","",'Bản đồ công việc'!Y26)</f>
        <v/>
      </c>
      <c r="P10" s="389" t="str">
        <f>IF('Bản đồ công việc'!X26="","",'Bản đồ công việc'!V26)</f>
        <v>◆ KHKD 2027&amp; HT lập KH theo tham số KD (bán tự động)</v>
      </c>
      <c r="Q10" s="67" t="str">
        <f>IF('Bản đồ công việc'!X26="","",'Bản đồ công việc'!AC26)</f>
        <v>Đang thực hiện</v>
      </c>
      <c r="R10" s="398">
        <f>IF('Bản đồ công việc'!X26="","",'Bản đồ công việc'!AD26)</f>
        <v>0</v>
      </c>
      <c r="S10" s="67" t="str">
        <f>IF('Bản đồ công việc'!X26="","",'Bản đồ công việc'!Z26)</f>
        <v>Em Đại</v>
      </c>
      <c r="T10" s="67" t="str">
        <f>IF('Bản đồ công việc'!X26="","",'Bản đồ công việc'!AA26)</f>
        <v>Dữ liệu điều hành</v>
      </c>
      <c r="U10" s="358">
        <f>IF('Bản đồ công việc'!X26="","",'Bản đồ công việc'!AE26)</f>
        <v>46337</v>
      </c>
      <c r="V10" s="389" t="str">
        <f>IF('Bản đồ công việc'!X26="","",'Bản đồ công việc'!AI26)</f>
        <v>🟣 P1 trọng yếu</v>
      </c>
      <c r="W10" s="389">
        <f t="shared" si="2"/>
        <v>0</v>
      </c>
      <c r="X10" s="389" t="str">
        <f t="shared" si="3"/>
        <v/>
      </c>
      <c r="Y10" s="389" t="str">
        <f t="shared" ref="Y10:Z10" si="6">IFERROR(INDEX($O$8:$O$684,MATCH(X10,$N$8:$N$684,0)),"")</f>
        <v/>
      </c>
      <c r="Z10" s="389" t="str">
        <f t="shared" si="6"/>
        <v/>
      </c>
      <c r="AA10" s="389">
        <f t="shared" si="5"/>
        <v>1</v>
      </c>
    </row>
    <row r="11" ht="15.75" customHeight="1">
      <c r="A11" s="389">
        <f>IFERROR(__xludf.DUMMYFUNCTION("""COMPUTED_VALUE"""),4.0)</f>
        <v>4</v>
      </c>
      <c r="B11" s="389" t="str">
        <f>IFERROR(__xludf.DUMMYFUNCTION("""COMPUTED_VALUE"""),"HHL4DL03")</f>
        <v>HHL4DL03</v>
      </c>
      <c r="C11" s="389" t="str">
        <f>IFERROR(__xludf.DUMMYFUNCTION("""COMPUTED_VALUE"""),"HHL3CT03")</f>
        <v>HHL3CT03</v>
      </c>
      <c r="D11" s="389" t="str">
        <f>IFERROR(__xludf.DUMMYFUNCTION("""COMPUTED_VALUE"""),"   ├─ Xây dựng công thức &amp; tạo HT tham số cho KH B2B")</f>
        <v>   ├─ Xây dựng công thức &amp; tạo HT tham số cho KH B2B</v>
      </c>
      <c r="E11" s="389" t="str">
        <f>IFERROR(__xludf.DUMMYFUNCTION("""COMPUTED_VALUE"""),"Chưa bắt đầu")</f>
        <v>Chưa bắt đầu</v>
      </c>
      <c r="F11" s="664">
        <f>IFERROR(__xludf.DUMMYFUNCTION("""COMPUTED_VALUE"""),0.0)</f>
        <v>0</v>
      </c>
      <c r="G11" s="389" t="str">
        <f>IFERROR(__xludf.DUMMYFUNCTION("""COMPUTED_VALUE"""),"Em Đại")</f>
        <v>Em Đại</v>
      </c>
      <c r="H11" s="389" t="str">
        <f>IFERROR(__xludf.DUMMYFUNCTION("""COMPUTED_VALUE"""),"Dữ liệu điều hành")</f>
        <v>Dữ liệu điều hành</v>
      </c>
      <c r="I11" s="665">
        <f>IFERROR(__xludf.DUMMYFUNCTION("""COMPUTED_VALUE"""),46320.0)</f>
        <v>46320</v>
      </c>
      <c r="J11" s="389" t="str">
        <f>IFERROR(__xludf.DUMMYFUNCTION("""COMPUTED_VALUE"""),"🟣 P1 trọng yếu")</f>
        <v>🟣 P1 trọng yếu</v>
      </c>
      <c r="M11" s="389">
        <f>IF('Bản đồ công việc'!X27="","",'Bản đồ công việc'!W27)</f>
        <v>3</v>
      </c>
      <c r="N11" s="67" t="str">
        <f>IF('Bản đồ công việc'!X27="","",'Bản đồ công việc'!X27)</f>
        <v>HHL3RD01</v>
      </c>
      <c r="O11" s="389" t="str">
        <f>IF('Bản đồ công việc'!X27="","",'Bản đồ công việc'!Y27)</f>
        <v/>
      </c>
      <c r="P11" s="389" t="str">
        <f>IF('Bản đồ công việc'!X27="","",'Bản đồ công việc'!V27)</f>
        <v>◆ KH sản phẩm 2027-2030</v>
      </c>
      <c r="Q11" s="67" t="str">
        <f>IF('Bản đồ công việc'!X27="","",'Bản đồ công việc'!AC27)</f>
        <v>Đang thực hiện</v>
      </c>
      <c r="R11" s="398">
        <f>IF('Bản đồ công việc'!X27="","",'Bản đồ công việc'!AD27)</f>
        <v>0</v>
      </c>
      <c r="S11" s="67" t="str">
        <f>IF('Bản đồ công việc'!X27="","",'Bản đồ công việc'!Z27)</f>
        <v>Ms Trang</v>
      </c>
      <c r="T11" s="67" t="str">
        <f>IF('Bản đồ công việc'!X27="","",'Bản đồ công việc'!AA27)</f>
        <v>R&amp;D</v>
      </c>
      <c r="U11" s="358">
        <f>IF('Bản đồ công việc'!X27="","",'Bản đồ công việc'!AE27)</f>
        <v>46305</v>
      </c>
      <c r="V11" s="389" t="str">
        <f>IF('Bản đồ công việc'!X27="","",'Bản đồ công việc'!AI27)</f>
        <v>🟣 P1 trọng yếu</v>
      </c>
      <c r="W11" s="389">
        <f t="shared" si="2"/>
        <v>0</v>
      </c>
      <c r="X11" s="389" t="str">
        <f t="shared" si="3"/>
        <v/>
      </c>
      <c r="Y11" s="389" t="str">
        <f t="shared" ref="Y11:Z11" si="7">IFERROR(INDEX($O$8:$O$684,MATCH(X11,$N$8:$N$684,0)),"")</f>
        <v/>
      </c>
      <c r="Z11" s="389" t="str">
        <f t="shared" si="7"/>
        <v/>
      </c>
      <c r="AA11" s="389">
        <f t="shared" si="5"/>
        <v>0</v>
      </c>
    </row>
    <row r="12" ht="15.75" customHeight="1">
      <c r="A12" s="389">
        <f>IFERROR(__xludf.DUMMYFUNCTION("""COMPUTED_VALUE"""),4.0)</f>
        <v>4</v>
      </c>
      <c r="B12" s="389" t="str">
        <f>IFERROR(__xludf.DUMMYFUNCTION("""COMPUTED_VALUE"""),"HHL4DL04")</f>
        <v>HHL4DL04</v>
      </c>
      <c r="C12" s="389" t="str">
        <f>IFERROR(__xludf.DUMMYFUNCTION("""COMPUTED_VALUE"""),"HHL3CT03")</f>
        <v>HHL3CT03</v>
      </c>
      <c r="D12" s="389" t="str">
        <f>IFERROR(__xludf.DUMMYFUNCTION("""COMPUTED_VALUE"""),"   ├─ Xây dựng công thức &amp; tạo HT tham số cho KH Online")</f>
        <v>   ├─ Xây dựng công thức &amp; tạo HT tham số cho KH Online</v>
      </c>
      <c r="E12" s="389" t="str">
        <f>IFERROR(__xludf.DUMMYFUNCTION("""COMPUTED_VALUE"""),"Chưa bắt đầu")</f>
        <v>Chưa bắt đầu</v>
      </c>
      <c r="F12" s="664">
        <f>IFERROR(__xludf.DUMMYFUNCTION("""COMPUTED_VALUE"""),0.0)</f>
        <v>0</v>
      </c>
      <c r="G12" s="389" t="str">
        <f>IFERROR(__xludf.DUMMYFUNCTION("""COMPUTED_VALUE"""),"Em Đại")</f>
        <v>Em Đại</v>
      </c>
      <c r="H12" s="389" t="str">
        <f>IFERROR(__xludf.DUMMYFUNCTION("""COMPUTED_VALUE"""),"Dữ liệu điều hành")</f>
        <v>Dữ liệu điều hành</v>
      </c>
      <c r="I12" s="665">
        <f>IFERROR(__xludf.DUMMYFUNCTION("""COMPUTED_VALUE"""),46320.0)</f>
        <v>46320</v>
      </c>
      <c r="J12" s="389" t="str">
        <f>IFERROR(__xludf.DUMMYFUNCTION("""COMPUTED_VALUE"""),"🟣 P1 trọng yếu")</f>
        <v>🟣 P1 trọng yếu</v>
      </c>
      <c r="M12" s="389">
        <f>IF('Bản đồ công việc'!X28="","",'Bản đồ công việc'!W28)</f>
        <v>3</v>
      </c>
      <c r="N12" s="67" t="str">
        <f>IF('Bản đồ công việc'!X28="","",'Bản đồ công việc'!X28)</f>
        <v>HHL3RD02</v>
      </c>
      <c r="O12" s="389" t="str">
        <f>IF('Bản đồ công việc'!X28="","",'Bản đồ công việc'!Y28)</f>
        <v/>
      </c>
      <c r="P12" s="389" t="str">
        <f>IF('Bản đồ công việc'!X28="","",'Bản đồ công việc'!V28)</f>
        <v>◆ Danh mục SP OEM đề xuất</v>
      </c>
      <c r="Q12" s="67" t="str">
        <f>IF('Bản đồ công việc'!X28="","",'Bản đồ công việc'!AC28)</f>
        <v>Đang thực hiện</v>
      </c>
      <c r="R12" s="398">
        <f>IF('Bản đồ công việc'!X28="","",'Bản đồ công việc'!AD28)</f>
        <v>0</v>
      </c>
      <c r="S12" s="67" t="str">
        <f>IF('Bản đồ công việc'!X28="","",'Bản đồ công việc'!Z28)</f>
        <v>Ms Trang</v>
      </c>
      <c r="T12" s="67" t="str">
        <f>IF('Bản đồ công việc'!X28="","",'Bản đồ công việc'!AA28)</f>
        <v>R&amp;D</v>
      </c>
      <c r="U12" s="358">
        <f>IF('Bản đồ công việc'!X28="","",'Bản đồ công việc'!AE28)</f>
        <v>46274</v>
      </c>
      <c r="V12" s="389" t="str">
        <f>IF('Bản đồ công việc'!X28="","",'Bản đồ công việc'!AI28)</f>
        <v>🟢 Theo kế hoạch</v>
      </c>
      <c r="W12" s="389">
        <f t="shared" si="2"/>
        <v>0</v>
      </c>
      <c r="X12" s="389" t="str">
        <f t="shared" si="3"/>
        <v/>
      </c>
      <c r="Y12" s="389" t="str">
        <f t="shared" ref="Y12:Z12" si="8">IFERROR(INDEX($O$8:$O$684,MATCH(X12,$N$8:$N$684,0)),"")</f>
        <v/>
      </c>
      <c r="Z12" s="389" t="str">
        <f t="shared" si="8"/>
        <v/>
      </c>
      <c r="AA12" s="389">
        <f t="shared" si="5"/>
        <v>0</v>
      </c>
    </row>
    <row r="13" ht="15.75" customHeight="1">
      <c r="A13" s="389">
        <f>IFERROR(__xludf.DUMMYFUNCTION("""COMPUTED_VALUE"""),4.0)</f>
        <v>4</v>
      </c>
      <c r="B13" s="389" t="str">
        <f>IFERROR(__xludf.DUMMYFUNCTION("""COMPUTED_VALUE"""),"HHL4DL05")</f>
        <v>HHL4DL05</v>
      </c>
      <c r="C13" s="389" t="str">
        <f>IFERROR(__xludf.DUMMYFUNCTION("""COMPUTED_VALUE"""),"HHL3CT03")</f>
        <v>HHL3CT03</v>
      </c>
      <c r="D13" s="389" t="str">
        <f>IFERROR(__xludf.DUMMYFUNCTION("""COMPUTED_VALUE"""),"   ├─ Xây dựng công thức &amp; tạo HT tham số cho KH XK")</f>
        <v>   ├─ Xây dựng công thức &amp; tạo HT tham số cho KH XK</v>
      </c>
      <c r="E13" s="389" t="str">
        <f>IFERROR(__xludf.DUMMYFUNCTION("""COMPUTED_VALUE"""),"Chưa bắt đầu")</f>
        <v>Chưa bắt đầu</v>
      </c>
      <c r="F13" s="664">
        <f>IFERROR(__xludf.DUMMYFUNCTION("""COMPUTED_VALUE"""),0.0)</f>
        <v>0</v>
      </c>
      <c r="G13" s="389" t="str">
        <f>IFERROR(__xludf.DUMMYFUNCTION("""COMPUTED_VALUE"""),"Em Đại")</f>
        <v>Em Đại</v>
      </c>
      <c r="H13" s="389" t="str">
        <f>IFERROR(__xludf.DUMMYFUNCTION("""COMPUTED_VALUE"""),"Dữ liệu điều hành")</f>
        <v>Dữ liệu điều hành</v>
      </c>
      <c r="I13" s="665">
        <f>IFERROR(__xludf.DUMMYFUNCTION("""COMPUTED_VALUE"""),46320.0)</f>
        <v>46320</v>
      </c>
      <c r="J13" s="389" t="str">
        <f>IFERROR(__xludf.DUMMYFUNCTION("""COMPUTED_VALUE"""),"🟣 P1 trọng yếu")</f>
        <v>🟣 P1 trọng yếu</v>
      </c>
      <c r="M13" s="389" t="str">
        <f>IF('Bản đồ công việc'!X29="","",'Bản đồ công việc'!W29)</f>
        <v>#REF!</v>
      </c>
      <c r="N13" s="389" t="str">
        <f>IF('Bản đồ công việc'!X29="","",'Bản đồ công việc'!X29)</f>
        <v>#REF!</v>
      </c>
      <c r="O13" s="389" t="str">
        <f>IF('Bản đồ công việc'!X29="","",'Bản đồ công việc'!Y29)</f>
        <v>#REF!</v>
      </c>
      <c r="P13" s="389" t="str">
        <f>IF('Bản đồ công việc'!X29="","",'Bản đồ công việc'!V29)</f>
        <v>#REF!</v>
      </c>
      <c r="Q13" s="389" t="str">
        <f>IF('Bản đồ công việc'!X29="","",'Bản đồ công việc'!AC29)</f>
        <v>#REF!</v>
      </c>
      <c r="R13" s="389" t="str">
        <f>IF('Bản đồ công việc'!X29="","",'Bản đồ công việc'!AD29)</f>
        <v>#REF!</v>
      </c>
      <c r="S13" s="389" t="str">
        <f>IF('Bản đồ công việc'!X29="","",'Bản đồ công việc'!Z29)</f>
        <v>#REF!</v>
      </c>
      <c r="T13" s="389" t="str">
        <f>IF('Bản đồ công việc'!X29="","",'Bản đồ công việc'!AA29)</f>
        <v>#REF!</v>
      </c>
      <c r="U13" s="389" t="str">
        <f>IF('Bản đồ công việc'!X29="","",'Bản đồ công việc'!AE29)</f>
        <v>#REF!</v>
      </c>
      <c r="V13" s="389" t="str">
        <f>IF('Bản đồ công việc'!X29="","",'Bản đồ công việc'!AI29)</f>
        <v>#REF!</v>
      </c>
      <c r="W13" s="389" t="str">
        <f t="shared" si="2"/>
        <v>#REF!</v>
      </c>
      <c r="X13" s="389" t="str">
        <f t="shared" si="3"/>
        <v>#REF!</v>
      </c>
      <c r="Y13" s="389" t="str">
        <f t="shared" ref="Y13:Z13" si="9">IFERROR(INDEX($O$8:$O$684,MATCH(X13,$N$8:$N$684,0)),"")</f>
        <v/>
      </c>
      <c r="Z13" s="389" t="str">
        <f t="shared" si="9"/>
        <v/>
      </c>
      <c r="AA13" s="389" t="str">
        <f t="shared" si="5"/>
        <v>#REF!</v>
      </c>
    </row>
    <row r="14" ht="15.75" customHeight="1">
      <c r="A14" s="389">
        <f>IFERROR(__xludf.DUMMYFUNCTION("""COMPUTED_VALUE"""),4.0)</f>
        <v>4</v>
      </c>
      <c r="B14" s="389" t="str">
        <f>IFERROR(__xludf.DUMMYFUNCTION("""COMPUTED_VALUE"""),"HHL4DL06")</f>
        <v>HHL4DL06</v>
      </c>
      <c r="C14" s="389" t="str">
        <f>IFERROR(__xludf.DUMMYFUNCTION("""COMPUTED_VALUE"""),"HHL3CT03")</f>
        <v>HHL3CT03</v>
      </c>
      <c r="D14" s="389" t="str">
        <f>IFERROR(__xludf.DUMMYFUNCTION("""COMPUTED_VALUE"""),"   ├─ Xây dựng công thức &amp; tạo HT tham số cho KH Showroom")</f>
        <v>   ├─ Xây dựng công thức &amp; tạo HT tham số cho KH Showroom</v>
      </c>
      <c r="E14" s="389" t="str">
        <f>IFERROR(__xludf.DUMMYFUNCTION("""COMPUTED_VALUE"""),"Chưa bắt đầu")</f>
        <v>Chưa bắt đầu</v>
      </c>
      <c r="F14" s="664">
        <f>IFERROR(__xludf.DUMMYFUNCTION("""COMPUTED_VALUE"""),0.0)</f>
        <v>0</v>
      </c>
      <c r="G14" s="389" t="str">
        <f>IFERROR(__xludf.DUMMYFUNCTION("""COMPUTED_VALUE"""),"Em Đại")</f>
        <v>Em Đại</v>
      </c>
      <c r="H14" s="389" t="str">
        <f>IFERROR(__xludf.DUMMYFUNCTION("""COMPUTED_VALUE"""),"Dữ liệu điều hành")</f>
        <v>Dữ liệu điều hành</v>
      </c>
      <c r="I14" s="665">
        <f>IFERROR(__xludf.DUMMYFUNCTION("""COMPUTED_VALUE"""),46320.0)</f>
        <v>46320</v>
      </c>
      <c r="J14" s="389" t="str">
        <f>IFERROR(__xludf.DUMMYFUNCTION("""COMPUTED_VALUE"""),"🟣 P1 trọng yếu")</f>
        <v>🟣 P1 trọng yếu</v>
      </c>
      <c r="M14" s="389">
        <f>IF('Bản đồ công việc'!X30="","",'Bản đồ công việc'!W30)</f>
        <v>3</v>
      </c>
      <c r="N14" s="67" t="str">
        <f>IF('Bản đồ công việc'!X30="","",'Bản đồ công việc'!X30)</f>
        <v>HHL3RD04</v>
      </c>
      <c r="O14" s="389" t="str">
        <f>IF('Bản đồ công việc'!X30="","",'Bản đồ công việc'!Y30)</f>
        <v/>
      </c>
      <c r="P14" s="389" t="str">
        <f>IF('Bản đồ công việc'!X30="","",'Bản đồ công việc'!V30)</f>
        <v>◆ Xây dựng master file &amp; xác định điểm A</v>
      </c>
      <c r="Q14" s="67" t="str">
        <f>IF('Bản đồ công việc'!X30="","",'Bản đồ công việc'!AC30)</f>
        <v>Đang thực hiện</v>
      </c>
      <c r="R14" s="398">
        <f>IF('Bản đồ công việc'!X30="","",'Bản đồ công việc'!AD30)</f>
        <v>0</v>
      </c>
      <c r="S14" s="67" t="str">
        <f>IF('Bản đồ công việc'!X30="","",'Bản đồ công việc'!Z30)</f>
        <v>Ms Trang</v>
      </c>
      <c r="T14" s="67" t="str">
        <f>IF('Bản đồ công việc'!X30="","",'Bản đồ công việc'!AA30)</f>
        <v>R&amp;D</v>
      </c>
      <c r="U14" s="358">
        <f>IF('Bản đồ công việc'!X30="","",'Bản đồ công việc'!AE30)</f>
        <v>46368</v>
      </c>
      <c r="V14" s="389" t="str">
        <f>IF('Bản đồ công việc'!X30="","",'Bản đồ công việc'!AI30)</f>
        <v>🟢 Theo kế hoạch</v>
      </c>
      <c r="W14" s="389">
        <f t="shared" si="2"/>
        <v>0</v>
      </c>
      <c r="X14" s="389" t="str">
        <f t="shared" si="3"/>
        <v/>
      </c>
      <c r="Y14" s="389" t="str">
        <f t="shared" ref="Y14:Z14" si="10">IFERROR(INDEX($O$8:$O$684,MATCH(X14,$N$8:$N$684,0)),"")</f>
        <v/>
      </c>
      <c r="Z14" s="389" t="str">
        <f t="shared" si="10"/>
        <v/>
      </c>
      <c r="AA14" s="389">
        <f t="shared" si="5"/>
        <v>0</v>
      </c>
    </row>
    <row r="15" ht="15.75" customHeight="1">
      <c r="A15" s="389">
        <f>IFERROR(__xludf.DUMMYFUNCTION("""COMPUTED_VALUE"""),4.0)</f>
        <v>4</v>
      </c>
      <c r="B15" s="389" t="str">
        <f>IFERROR(__xludf.DUMMYFUNCTION("""COMPUTED_VALUE"""),"HHL4DL01")</f>
        <v>HHL4DL01</v>
      </c>
      <c r="C15" s="389" t="str">
        <f>IFERROR(__xludf.DUMMYFUNCTION("""COMPUTED_VALUE"""),"HHL3CT03")</f>
        <v>HHL3CT03</v>
      </c>
      <c r="D15" s="389" t="str">
        <f>IFERROR(__xludf.DUMMYFUNCTION("""COMPUTED_VALUE"""),"   ├─ Xác nhận công thức &amp; tạo HT tham số cho KH GT")</f>
        <v>   ├─ Xác nhận công thức &amp; tạo HT tham số cho KH GT</v>
      </c>
      <c r="E15" s="389" t="str">
        <f>IFERROR(__xludf.DUMMYFUNCTION("""COMPUTED_VALUE"""),"Chưa bắt đầu")</f>
        <v>Chưa bắt đầu</v>
      </c>
      <c r="F15" s="664">
        <f>IFERROR(__xludf.DUMMYFUNCTION("""COMPUTED_VALUE"""),0.0)</f>
        <v>0</v>
      </c>
      <c r="G15" s="389" t="str">
        <f>IFERROR(__xludf.DUMMYFUNCTION("""COMPUTED_VALUE"""),"Em Đại")</f>
        <v>Em Đại</v>
      </c>
      <c r="H15" s="389" t="str">
        <f>IFERROR(__xludf.DUMMYFUNCTION("""COMPUTED_VALUE"""),"Dữ liệu điều hành")</f>
        <v>Dữ liệu điều hành</v>
      </c>
      <c r="I15" s="665">
        <f>IFERROR(__xludf.DUMMYFUNCTION("""COMPUTED_VALUE"""),46305.0)</f>
        <v>46305</v>
      </c>
      <c r="J15" s="389" t="str">
        <f>IFERROR(__xludf.DUMMYFUNCTION("""COMPUTED_VALUE"""),"🟣 P1 trọng yếu")</f>
        <v>🟣 P1 trọng yếu</v>
      </c>
      <c r="M15" s="389">
        <f>IF('Bản đồ công việc'!X31="","",'Bản đồ công việc'!W31)</f>
        <v>3</v>
      </c>
      <c r="N15" s="67" t="str">
        <f>IF('Bản đồ công việc'!X31="","",'Bản đồ công việc'!X31)</f>
        <v>HHL3RD05</v>
      </c>
      <c r="O15" s="389" t="str">
        <f>IF('Bản đồ công việc'!X31="","",'Bản đồ công việc'!Y31)</f>
        <v/>
      </c>
      <c r="P15" s="389" t="str">
        <f>IF('Bản đồ công việc'!X31="","",'Bản đồ công việc'!V31)</f>
        <v>◆ Sự vụ quan trọng phát sinh (Vùng xám)</v>
      </c>
      <c r="Q15" s="67" t="str">
        <f>IF('Bản đồ công việc'!X31="","",'Bản đồ công việc'!AC31)</f>
        <v>Đang thực hiện</v>
      </c>
      <c r="R15" s="398">
        <f>IF('Bản đồ công việc'!X31="","",'Bản đồ công việc'!AD31)</f>
        <v>0</v>
      </c>
      <c r="S15" s="67" t="str">
        <f>IF('Bản đồ công việc'!X31="","",'Bản đồ công việc'!Z31)</f>
        <v>Ms Trang</v>
      </c>
      <c r="T15" s="67" t="str">
        <f>IF('Bản đồ công việc'!X31="","",'Bản đồ công việc'!AA31)</f>
        <v>R&amp;D</v>
      </c>
      <c r="U15" s="358">
        <f>IF('Bản đồ công việc'!X31="","",'Bản đồ công việc'!AE31)</f>
        <v>46387</v>
      </c>
      <c r="V15" s="389" t="str">
        <f>IF('Bản đồ công việc'!X31="","",'Bản đồ công việc'!AI31)</f>
        <v>🟣 P1 trọng yếu</v>
      </c>
      <c r="W15" s="389">
        <f t="shared" si="2"/>
        <v>0</v>
      </c>
      <c r="X15" s="389" t="str">
        <f t="shared" si="3"/>
        <v/>
      </c>
      <c r="Y15" s="389" t="str">
        <f t="shared" ref="Y15:Z15" si="11">IFERROR(INDEX($O$8:$O$684,MATCH(X15,$N$8:$N$684,0)),"")</f>
        <v/>
      </c>
      <c r="Z15" s="389" t="str">
        <f t="shared" si="11"/>
        <v/>
      </c>
      <c r="AA15" s="389">
        <f t="shared" si="5"/>
        <v>0</v>
      </c>
    </row>
    <row r="16" ht="15.75" customHeight="1">
      <c r="A16" s="389">
        <f>IFERROR(__xludf.DUMMYFUNCTION("""COMPUTED_VALUE"""),4.0)</f>
        <v>4</v>
      </c>
      <c r="B16" s="389" t="str">
        <f>IFERROR(__xludf.DUMMYFUNCTION("""COMPUTED_VALUE"""),"HHL4DL02")</f>
        <v>HHL4DL02</v>
      </c>
      <c r="C16" s="389" t="str">
        <f>IFERROR(__xludf.DUMMYFUNCTION("""COMPUTED_VALUE"""),"HHL3CT03")</f>
        <v>HHL3CT03</v>
      </c>
      <c r="D16" s="389" t="str">
        <f>IFERROR(__xludf.DUMMYFUNCTION("""COMPUTED_VALUE"""),"   ├─ Xây dựng công thức &amp; tạo HT tham số cho KH MT")</f>
        <v>   ├─ Xây dựng công thức &amp; tạo HT tham số cho KH MT</v>
      </c>
      <c r="E16" s="389" t="str">
        <f>IFERROR(__xludf.DUMMYFUNCTION("""COMPUTED_VALUE"""),"Chưa bắt đầu")</f>
        <v>Chưa bắt đầu</v>
      </c>
      <c r="F16" s="664">
        <f>IFERROR(__xludf.DUMMYFUNCTION("""COMPUTED_VALUE"""),0.0)</f>
        <v>0</v>
      </c>
      <c r="G16" s="389" t="str">
        <f>IFERROR(__xludf.DUMMYFUNCTION("""COMPUTED_VALUE"""),"Em Đại")</f>
        <v>Em Đại</v>
      </c>
      <c r="H16" s="389" t="str">
        <f>IFERROR(__xludf.DUMMYFUNCTION("""COMPUTED_VALUE"""),"Dữ liệu điều hành")</f>
        <v>Dữ liệu điều hành</v>
      </c>
      <c r="I16" s="665">
        <f>IFERROR(__xludf.DUMMYFUNCTION("""COMPUTED_VALUE"""),46310.0)</f>
        <v>46310</v>
      </c>
      <c r="J16" s="389" t="str">
        <f>IFERROR(__xludf.DUMMYFUNCTION("""COMPUTED_VALUE"""),"🟣 P1 trọng yếu")</f>
        <v>🟣 P1 trọng yếu</v>
      </c>
      <c r="M16" s="389">
        <f>IF('Bản đồ công việc'!X32="","",'Bản đồ công việc'!W32)</f>
        <v>3</v>
      </c>
      <c r="N16" s="67" t="str">
        <f>IF('Bản đồ công việc'!X32="","",'Bản đồ công việc'!X32)</f>
        <v>HHL3RD06</v>
      </c>
      <c r="O16" s="389" t="str">
        <f>IF('Bản đồ công việc'!X32="","",'Bản đồ công việc'!Y32)</f>
        <v/>
      </c>
      <c r="P16" s="389" t="str">
        <f>IF('Bản đồ công việc'!X32="","",'Bản đồ công việc'!V32)</f>
        <v>◆ XD quy chế đào tạo &amp; Chiến lược đào tạo SP</v>
      </c>
      <c r="Q16" s="67" t="str">
        <f>IF('Bản đồ công việc'!X32="","",'Bản đồ công việc'!AC32)</f>
        <v>Đang thực hiện</v>
      </c>
      <c r="R16" s="398">
        <f>IF('Bản đồ công việc'!X32="","",'Bản đồ công việc'!AD32)</f>
        <v>0</v>
      </c>
      <c r="S16" s="67" t="str">
        <f>IF('Bản đồ công việc'!X32="","",'Bản đồ công việc'!Z32)</f>
        <v>Ms Trang</v>
      </c>
      <c r="T16" s="67" t="str">
        <f>IF('Bản đồ công việc'!X32="","",'Bản đồ công việc'!AA32)</f>
        <v>R&amp;D</v>
      </c>
      <c r="U16" s="358">
        <f>IF('Bản đồ công việc'!X32="","",'Bản đồ công việc'!AE32)</f>
        <v>46449</v>
      </c>
      <c r="V16" s="389" t="str">
        <f>IF('Bản đồ công việc'!X32="","",'Bản đồ công việc'!AI32)</f>
        <v>🟢 Theo kế hoạch</v>
      </c>
      <c r="W16" s="389">
        <f t="shared" si="2"/>
        <v>0</v>
      </c>
      <c r="X16" s="389" t="str">
        <f t="shared" si="3"/>
        <v/>
      </c>
      <c r="Y16" s="389" t="str">
        <f t="shared" ref="Y16:Z16" si="12">IFERROR(INDEX($O$8:$O$684,MATCH(X16,$N$8:$N$684,0)),"")</f>
        <v/>
      </c>
      <c r="Z16" s="389" t="str">
        <f t="shared" si="12"/>
        <v/>
      </c>
      <c r="AA16" s="389">
        <f t="shared" si="5"/>
        <v>0</v>
      </c>
    </row>
    <row r="17" ht="15.75" customHeight="1">
      <c r="A17" s="389">
        <f>IFERROR(__xludf.DUMMYFUNCTION("""COMPUTED_VALUE"""),4.0)</f>
        <v>4</v>
      </c>
      <c r="B17" s="389" t="str">
        <f>IFERROR(__xludf.DUMMYFUNCTION("""COMPUTED_VALUE"""),"HHL4DL03")</f>
        <v>HHL4DL03</v>
      </c>
      <c r="C17" s="389" t="str">
        <f>IFERROR(__xludf.DUMMYFUNCTION("""COMPUTED_VALUE"""),"HHL3CT03")</f>
        <v>HHL3CT03</v>
      </c>
      <c r="D17" s="389" t="str">
        <f>IFERROR(__xludf.DUMMYFUNCTION("""COMPUTED_VALUE"""),"   ├─ Xây dựng công thức &amp; tạo HT tham số cho KH B2B")</f>
        <v>   ├─ Xây dựng công thức &amp; tạo HT tham số cho KH B2B</v>
      </c>
      <c r="E17" s="389" t="str">
        <f>IFERROR(__xludf.DUMMYFUNCTION("""COMPUTED_VALUE"""),"Chưa bắt đầu")</f>
        <v>Chưa bắt đầu</v>
      </c>
      <c r="F17" s="664">
        <f>IFERROR(__xludf.DUMMYFUNCTION("""COMPUTED_VALUE"""),0.0)</f>
        <v>0</v>
      </c>
      <c r="G17" s="389" t="str">
        <f>IFERROR(__xludf.DUMMYFUNCTION("""COMPUTED_VALUE"""),"Em Đại")</f>
        <v>Em Đại</v>
      </c>
      <c r="H17" s="389" t="str">
        <f>IFERROR(__xludf.DUMMYFUNCTION("""COMPUTED_VALUE"""),"Dữ liệu điều hành")</f>
        <v>Dữ liệu điều hành</v>
      </c>
      <c r="I17" s="665">
        <f>IFERROR(__xludf.DUMMYFUNCTION("""COMPUTED_VALUE"""),46320.0)</f>
        <v>46320</v>
      </c>
      <c r="J17" s="389" t="str">
        <f>IFERROR(__xludf.DUMMYFUNCTION("""COMPUTED_VALUE"""),"🟣 P1 trọng yếu")</f>
        <v>🟣 P1 trọng yếu</v>
      </c>
      <c r="M17" s="389">
        <f>IF('Bản đồ công việc'!X33="","",'Bản đồ công việc'!W33)</f>
        <v>3</v>
      </c>
      <c r="N17" s="67" t="str">
        <f>IF('Bản đồ công việc'!X33="","",'Bản đồ công việc'!X33)</f>
        <v>HHL3RD07</v>
      </c>
      <c r="O17" s="389" t="str">
        <f>IF('Bản đồ công việc'!X33="","",'Bản đồ công việc'!Y33)</f>
        <v/>
      </c>
      <c r="P17" s="389" t="str">
        <f>IF('Bản đồ công việc'!X33="","",'Bản đồ công việc'!V33)</f>
        <v>◆ XD cấu trúc, khoảng trống NL và kiện toàn bộ máy NS R&amp;D</v>
      </c>
      <c r="Q17" s="67" t="str">
        <f>IF('Bản đồ công việc'!X33="","",'Bản đồ công việc'!AC33)</f>
        <v>Đang thực hiện</v>
      </c>
      <c r="R17" s="398">
        <f>IF('Bản đồ công việc'!X33="","",'Bản đồ công việc'!AD33)</f>
        <v>0</v>
      </c>
      <c r="S17" s="67" t="str">
        <f>IF('Bản đồ công việc'!X33="","",'Bản đồ công việc'!Z33)</f>
        <v>Ms Trang</v>
      </c>
      <c r="T17" s="67" t="str">
        <f>IF('Bản đồ công việc'!X33="","",'Bản đồ công việc'!AA33)</f>
        <v>R&amp;D</v>
      </c>
      <c r="U17" s="358">
        <f>IF('Bản đồ công việc'!X33="","",'Bản đồ công việc'!AE33)</f>
        <v>46449</v>
      </c>
      <c r="V17" s="389" t="str">
        <f>IF('Bản đồ công việc'!X33="","",'Bản đồ công việc'!AI33)</f>
        <v>🟢 Theo kế hoạch</v>
      </c>
      <c r="W17" s="389">
        <f t="shared" si="2"/>
        <v>0</v>
      </c>
      <c r="X17" s="389" t="str">
        <f t="shared" si="3"/>
        <v/>
      </c>
      <c r="Y17" s="389" t="str">
        <f t="shared" ref="Y17:Z17" si="13">IFERROR(INDEX($O$8:$O$684,MATCH(X17,$N$8:$N$684,0)),"")</f>
        <v/>
      </c>
      <c r="Z17" s="389" t="str">
        <f t="shared" si="13"/>
        <v/>
      </c>
      <c r="AA17" s="389">
        <f t="shared" si="5"/>
        <v>0</v>
      </c>
    </row>
    <row r="18" ht="15.75" customHeight="1">
      <c r="A18" s="389">
        <f>IFERROR(__xludf.DUMMYFUNCTION("""COMPUTED_VALUE"""),4.0)</f>
        <v>4</v>
      </c>
      <c r="B18" s="389" t="str">
        <f>IFERROR(__xludf.DUMMYFUNCTION("""COMPUTED_VALUE"""),"HHL4DL04")</f>
        <v>HHL4DL04</v>
      </c>
      <c r="C18" s="389" t="str">
        <f>IFERROR(__xludf.DUMMYFUNCTION("""COMPUTED_VALUE"""),"HHL3CT03")</f>
        <v>HHL3CT03</v>
      </c>
      <c r="D18" s="389" t="str">
        <f>IFERROR(__xludf.DUMMYFUNCTION("""COMPUTED_VALUE"""),"   ├─ Xây dựng công thức &amp; tạo HT tham số cho KH Online")</f>
        <v>   ├─ Xây dựng công thức &amp; tạo HT tham số cho KH Online</v>
      </c>
      <c r="E18" s="389" t="str">
        <f>IFERROR(__xludf.DUMMYFUNCTION("""COMPUTED_VALUE"""),"Chưa bắt đầu")</f>
        <v>Chưa bắt đầu</v>
      </c>
      <c r="F18" s="664">
        <f>IFERROR(__xludf.DUMMYFUNCTION("""COMPUTED_VALUE"""),0.0)</f>
        <v>0</v>
      </c>
      <c r="G18" s="389" t="str">
        <f>IFERROR(__xludf.DUMMYFUNCTION("""COMPUTED_VALUE"""),"Em Đại")</f>
        <v>Em Đại</v>
      </c>
      <c r="H18" s="389" t="str">
        <f>IFERROR(__xludf.DUMMYFUNCTION("""COMPUTED_VALUE"""),"Dữ liệu điều hành")</f>
        <v>Dữ liệu điều hành</v>
      </c>
      <c r="I18" s="665">
        <f>IFERROR(__xludf.DUMMYFUNCTION("""COMPUTED_VALUE"""),46320.0)</f>
        <v>46320</v>
      </c>
      <c r="J18" s="389" t="str">
        <f>IFERROR(__xludf.DUMMYFUNCTION("""COMPUTED_VALUE"""),"🟣 P1 trọng yếu")</f>
        <v>🟣 P1 trọng yếu</v>
      </c>
      <c r="M18" s="389">
        <f>IF('Bản đồ công việc'!X34="","",'Bản đồ công việc'!W34)</f>
        <v>3</v>
      </c>
      <c r="N18" s="67" t="str">
        <f>IF('Bản đồ công việc'!X34="","",'Bản đồ công việc'!X34)</f>
        <v>HHL3RD08</v>
      </c>
      <c r="O18" s="389" t="str">
        <f>IF('Bản đồ công việc'!X34="","",'Bản đồ công việc'!Y34)</f>
        <v/>
      </c>
      <c r="P18" s="389" t="str">
        <f>IF('Bản đồ công việc'!X34="","",'Bản đồ công việc'!V34)</f>
        <v>◆ Hoạt động nghiên cứu cơ bản &amp; CĐS ngành VPP</v>
      </c>
      <c r="Q18" s="67" t="str">
        <f>IF('Bản đồ công việc'!X34="","",'Bản đồ công việc'!AC34)</f>
        <v>Đang thực hiện</v>
      </c>
      <c r="R18" s="398">
        <f>IF('Bản đồ công việc'!X34="","",'Bản đồ công việc'!AD34)</f>
        <v>0</v>
      </c>
      <c r="S18" s="67" t="str">
        <f>IF('Bản đồ công việc'!X34="","",'Bản đồ công việc'!Z34)</f>
        <v>Ms Trang</v>
      </c>
      <c r="T18" s="67" t="str">
        <f>IF('Bản đồ công việc'!X34="","",'Bản đồ công việc'!AA34)</f>
        <v>R&amp;D</v>
      </c>
      <c r="U18" s="358">
        <f>IF('Bản đồ công việc'!X34="","",'Bản đồ công việc'!AE34)</f>
        <v>46387</v>
      </c>
      <c r="V18" s="389" t="str">
        <f>IF('Bản đồ công việc'!X34="","",'Bản đồ công việc'!AI34)</f>
        <v>🟢 Theo kế hoạch</v>
      </c>
      <c r="W18" s="389">
        <f t="shared" si="2"/>
        <v>0</v>
      </c>
      <c r="X18" s="389" t="str">
        <f t="shared" si="3"/>
        <v/>
      </c>
      <c r="Y18" s="389" t="str">
        <f t="shared" ref="Y18:Z18" si="14">IFERROR(INDEX($O$8:$O$684,MATCH(X18,$N$8:$N$684,0)),"")</f>
        <v/>
      </c>
      <c r="Z18" s="389" t="str">
        <f t="shared" si="14"/>
        <v/>
      </c>
      <c r="AA18" s="389">
        <f t="shared" si="5"/>
        <v>0</v>
      </c>
    </row>
    <row r="19" ht="15.75" customHeight="1">
      <c r="A19" s="389">
        <f>IFERROR(__xludf.DUMMYFUNCTION("""COMPUTED_VALUE"""),4.0)</f>
        <v>4</v>
      </c>
      <c r="B19" s="389" t="str">
        <f>IFERROR(__xludf.DUMMYFUNCTION("""COMPUTED_VALUE"""),"HHL4DL05")</f>
        <v>HHL4DL05</v>
      </c>
      <c r="C19" s="389" t="str">
        <f>IFERROR(__xludf.DUMMYFUNCTION("""COMPUTED_VALUE"""),"HHL3CT03")</f>
        <v>HHL3CT03</v>
      </c>
      <c r="D19" s="389" t="str">
        <f>IFERROR(__xludf.DUMMYFUNCTION("""COMPUTED_VALUE"""),"   ├─ Xây dựng công thức &amp; tạo HT tham số cho KH XK")</f>
        <v>   ├─ Xây dựng công thức &amp; tạo HT tham số cho KH XK</v>
      </c>
      <c r="E19" s="389" t="str">
        <f>IFERROR(__xludf.DUMMYFUNCTION("""COMPUTED_VALUE"""),"Chưa bắt đầu")</f>
        <v>Chưa bắt đầu</v>
      </c>
      <c r="F19" s="664">
        <f>IFERROR(__xludf.DUMMYFUNCTION("""COMPUTED_VALUE"""),0.0)</f>
        <v>0</v>
      </c>
      <c r="G19" s="389" t="str">
        <f>IFERROR(__xludf.DUMMYFUNCTION("""COMPUTED_VALUE"""),"Em Đại")</f>
        <v>Em Đại</v>
      </c>
      <c r="H19" s="389" t="str">
        <f>IFERROR(__xludf.DUMMYFUNCTION("""COMPUTED_VALUE"""),"Dữ liệu điều hành")</f>
        <v>Dữ liệu điều hành</v>
      </c>
      <c r="I19" s="665">
        <f>IFERROR(__xludf.DUMMYFUNCTION("""COMPUTED_VALUE"""),46320.0)</f>
        <v>46320</v>
      </c>
      <c r="J19" s="389" t="str">
        <f>IFERROR(__xludf.DUMMYFUNCTION("""COMPUTED_VALUE"""),"🟣 P1 trọng yếu")</f>
        <v>🟣 P1 trọng yếu</v>
      </c>
      <c r="M19" s="389">
        <f>IF('Bản đồ công việc'!X35="","",'Bản đồ công việc'!W35)</f>
        <v>3</v>
      </c>
      <c r="N19" s="67" t="str">
        <f>IF('Bản đồ công việc'!X35="","",'Bản đồ công việc'!X35)</f>
        <v>HHL3RD09</v>
      </c>
      <c r="O19" s="389" t="str">
        <f>IF('Bản đồ công việc'!X35="","",'Bản đồ công việc'!Y35)</f>
        <v/>
      </c>
      <c r="P19" s="389" t="str">
        <f>IF('Bản đồ công việc'!X35="","",'Bản đồ công việc'!V35)</f>
        <v>◆ XD phương án Market Research &amp; Cơ chế thu thập thông tin TT</v>
      </c>
      <c r="Q19" s="67" t="str">
        <f>IF('Bản đồ công việc'!X35="","",'Bản đồ công việc'!AC35)</f>
        <v>Đang thực hiện</v>
      </c>
      <c r="R19" s="398">
        <f>IF('Bản đồ công việc'!X35="","",'Bản đồ công việc'!AD35)</f>
        <v>0</v>
      </c>
      <c r="S19" s="67" t="str">
        <f>IF('Bản đồ công việc'!X35="","",'Bản đồ công việc'!Z35)</f>
        <v>Ms Trang</v>
      </c>
      <c r="T19" s="67" t="str">
        <f>IF('Bản đồ công việc'!X35="","",'Bản đồ công việc'!AA35)</f>
        <v>R&amp;D</v>
      </c>
      <c r="U19" s="358">
        <f>IF('Bản đồ công việc'!X35="","",'Bản đồ công việc'!AE35)</f>
        <v>46280</v>
      </c>
      <c r="V19" s="389" t="str">
        <f>IF('Bản đồ công việc'!X35="","",'Bản đồ công việc'!AI35)</f>
        <v>🟢 Theo kế hoạch</v>
      </c>
      <c r="W19" s="389">
        <f t="shared" si="2"/>
        <v>0</v>
      </c>
      <c r="X19" s="389" t="str">
        <f t="shared" si="3"/>
        <v/>
      </c>
      <c r="Y19" s="389" t="str">
        <f t="shared" ref="Y19:Z19" si="15">IFERROR(INDEX($O$8:$O$684,MATCH(X19,$N$8:$N$684,0)),"")</f>
        <v/>
      </c>
      <c r="Z19" s="389" t="str">
        <f t="shared" si="15"/>
        <v/>
      </c>
      <c r="AA19" s="389">
        <f t="shared" si="5"/>
        <v>0</v>
      </c>
    </row>
    <row r="20" ht="15.75" customHeight="1">
      <c r="A20" s="389">
        <f>IFERROR(__xludf.DUMMYFUNCTION("""COMPUTED_VALUE"""),4.0)</f>
        <v>4</v>
      </c>
      <c r="B20" s="389" t="str">
        <f>IFERROR(__xludf.DUMMYFUNCTION("""COMPUTED_VALUE"""),"HHL4DL06")</f>
        <v>HHL4DL06</v>
      </c>
      <c r="C20" s="389" t="str">
        <f>IFERROR(__xludf.DUMMYFUNCTION("""COMPUTED_VALUE"""),"HHL3CT03")</f>
        <v>HHL3CT03</v>
      </c>
      <c r="D20" s="389" t="str">
        <f>IFERROR(__xludf.DUMMYFUNCTION("""COMPUTED_VALUE"""),"   ├─ Xây dựng công thức &amp; tạo HT tham số cho KH Showroom")</f>
        <v>   ├─ Xây dựng công thức &amp; tạo HT tham số cho KH Showroom</v>
      </c>
      <c r="E20" s="389" t="str">
        <f>IFERROR(__xludf.DUMMYFUNCTION("""COMPUTED_VALUE"""),"Chưa bắt đầu")</f>
        <v>Chưa bắt đầu</v>
      </c>
      <c r="F20" s="664">
        <f>IFERROR(__xludf.DUMMYFUNCTION("""COMPUTED_VALUE"""),0.0)</f>
        <v>0</v>
      </c>
      <c r="G20" s="389" t="str">
        <f>IFERROR(__xludf.DUMMYFUNCTION("""COMPUTED_VALUE"""),"Em Đại")</f>
        <v>Em Đại</v>
      </c>
      <c r="H20" s="389" t="str">
        <f>IFERROR(__xludf.DUMMYFUNCTION("""COMPUTED_VALUE"""),"Dữ liệu điều hành")</f>
        <v>Dữ liệu điều hành</v>
      </c>
      <c r="I20" s="665">
        <f>IFERROR(__xludf.DUMMYFUNCTION("""COMPUTED_VALUE"""),46320.0)</f>
        <v>46320</v>
      </c>
      <c r="J20" s="389" t="str">
        <f>IFERROR(__xludf.DUMMYFUNCTION("""COMPUTED_VALUE"""),"🟣 P1 trọng yếu")</f>
        <v>🟣 P1 trọng yếu</v>
      </c>
      <c r="M20" s="389">
        <f>IF('Bản đồ công việc'!X36="","",'Bản đồ công việc'!W36)</f>
        <v>3</v>
      </c>
      <c r="N20" s="67" t="str">
        <f>IF('Bản đồ công việc'!X36="","",'Bản đồ công việc'!X36)</f>
        <v>HHL3RD10</v>
      </c>
      <c r="O20" s="389" t="str">
        <f>IF('Bản đồ công việc'!X36="","",'Bản đồ công việc'!Y36)</f>
        <v/>
      </c>
      <c r="P20" s="389" t="str">
        <f>IF('Bản đồ công việc'!X36="","",'Bản đồ công việc'!V36)</f>
        <v>◆ Việc phát sinh khác chưa có phân loại</v>
      </c>
      <c r="Q20" s="67" t="str">
        <f>IF('Bản đồ công việc'!X36="","",'Bản đồ công việc'!AC36)</f>
        <v>Đang thực hiện</v>
      </c>
      <c r="R20" s="398" t="str">
        <f>IF('Bản đồ công việc'!X36="","",'Bản đồ công việc'!AD36)</f>
        <v/>
      </c>
      <c r="S20" s="67" t="str">
        <f>IF('Bản đồ công việc'!X36="","",'Bản đồ công việc'!Z36)</f>
        <v>Ms Trang</v>
      </c>
      <c r="T20" s="67" t="str">
        <f>IF('Bản đồ công việc'!X36="","",'Bản đồ công việc'!AA36)</f>
        <v>R&amp;D</v>
      </c>
      <c r="U20" s="358">
        <f>IF('Bản đồ công việc'!X36="","",'Bản đồ công việc'!AE36)</f>
        <v>46387</v>
      </c>
      <c r="V20" s="389" t="str">
        <f>IF('Bản đồ công việc'!X36="","",'Bản đồ công việc'!AI36)</f>
        <v>🟢 Theo kế hoạch</v>
      </c>
      <c r="W20" s="389">
        <f t="shared" si="2"/>
        <v>0</v>
      </c>
      <c r="X20" s="389" t="str">
        <f t="shared" si="3"/>
        <v/>
      </c>
      <c r="Y20" s="389" t="str">
        <f t="shared" ref="Y20:Z20" si="16">IFERROR(INDEX($O$8:$O$684,MATCH(X20,$N$8:$N$684,0)),"")</f>
        <v/>
      </c>
      <c r="Z20" s="389" t="str">
        <f t="shared" si="16"/>
        <v/>
      </c>
      <c r="AA20" s="389">
        <f t="shared" si="5"/>
        <v>0</v>
      </c>
    </row>
    <row r="21" ht="15.75" customHeight="1">
      <c r="A21" s="389">
        <f>IFERROR(__xludf.DUMMYFUNCTION("""COMPUTED_VALUE"""),5.0)</f>
        <v>5</v>
      </c>
      <c r="B21" s="389" t="str">
        <f>IFERROR(__xludf.DUMMYFUNCTION("""COMPUTED_VALUE"""),"HHL5DL01-01")</f>
        <v>HHL5DL01-01</v>
      </c>
      <c r="C21" s="389" t="str">
        <f>IFERROR(__xludf.DUMMYFUNCTION("""COMPUTED_VALUE"""),"HHL4DL01")</f>
        <v>HHL4DL01</v>
      </c>
      <c r="D21" s="389" t="str">
        <f>IFERROR(__xludf.DUMMYFUNCTION("""COMPUTED_VALUE"""),"       ├─ Liệt kê &amp; giải quyết vấn đề còn tồn tại công thức 2025 (CK/TK/phân biệt NPP) GT")</f>
        <v>       ├─ Liệt kê &amp; giải quyết vấn đề còn tồn tại công thức 2025 (CK/TK/phân biệt NPP) GT</v>
      </c>
      <c r="E21" s="389" t="str">
        <f>IFERROR(__xludf.DUMMYFUNCTION("""COMPUTED_VALUE"""),"Chưa bắt đầu")</f>
        <v>Chưa bắt đầu</v>
      </c>
      <c r="F21" s="664">
        <f>IFERROR(__xludf.DUMMYFUNCTION("""COMPUTED_VALUE"""),0.0)</f>
        <v>0</v>
      </c>
      <c r="G21" s="389" t="str">
        <f>IFERROR(__xludf.DUMMYFUNCTION("""COMPUTED_VALUE"""),"GĐ BOC")</f>
        <v>GĐ BOC</v>
      </c>
      <c r="H21" s="389" t="str">
        <f>IFERROR(__xludf.DUMMYFUNCTION("""COMPUTED_VALUE"""),"Dữ liệu điều hành")</f>
        <v>Dữ liệu điều hành</v>
      </c>
      <c r="I21" s="665">
        <f>IFERROR(__xludf.DUMMYFUNCTION("""COMPUTED_VALUE"""),46249.0)</f>
        <v>46249</v>
      </c>
      <c r="J21" s="389" t="str">
        <f>IFERROR(__xludf.DUMMYFUNCTION("""COMPUTED_VALUE"""),"🟠 Hạn ≤7 ngày")</f>
        <v>🟠 Hạn ≤7 ngày</v>
      </c>
      <c r="M21" s="389">
        <f>IF('Bản đồ công việc'!X37="","",'Bản đồ công việc'!W37)</f>
        <v>3</v>
      </c>
      <c r="N21" s="67" t="str">
        <f>IF('Bản đồ công việc'!X37="","",'Bản đồ công việc'!X37)</f>
        <v>HHL3RD11</v>
      </c>
      <c r="O21" s="389" t="str">
        <f>IF('Bản đồ công việc'!X37="","",'Bản đồ công việc'!Y37)</f>
        <v/>
      </c>
      <c r="P21" s="389" t="str">
        <f>IF('Bản đồ công việc'!X37="","",'Bản đồ công việc'!V37)</f>
        <v>◆ Xác định &amp; thông qua Xu hướng TK mới 2027</v>
      </c>
      <c r="Q21" s="67" t="str">
        <f>IF('Bản đồ công việc'!X37="","",'Bản đồ công việc'!AC37)</f>
        <v>Đang thực hiện</v>
      </c>
      <c r="R21" s="398">
        <f>IF('Bản đồ công việc'!X37="","",'Bản đồ công việc'!AD37)</f>
        <v>0</v>
      </c>
      <c r="S21" s="67" t="str">
        <f>IF('Bản đồ công việc'!X37="","",'Bản đồ công việc'!Z37)</f>
        <v>Ms Trang</v>
      </c>
      <c r="T21" s="67" t="str">
        <f>IF('Bản đồ công việc'!X37="","",'Bản đồ công việc'!AA37)</f>
        <v>R&amp;D</v>
      </c>
      <c r="U21" s="358">
        <f>IF('Bản đồ công việc'!X37="","",'Bản đồ công việc'!AE37)</f>
        <v>46252</v>
      </c>
      <c r="V21" s="389" t="str">
        <f>IF('Bản đồ công việc'!X37="","",'Bản đồ công việc'!AI37)</f>
        <v>🟠 Hạn ≤7 ngày</v>
      </c>
      <c r="W21" s="389">
        <f t="shared" si="2"/>
        <v>0</v>
      </c>
      <c r="X21" s="389" t="str">
        <f t="shared" si="3"/>
        <v/>
      </c>
      <c r="Y21" s="389" t="str">
        <f t="shared" ref="Y21:Z21" si="17">IFERROR(INDEX($O$8:$O$684,MATCH(X21,$N$8:$N$684,0)),"")</f>
        <v/>
      </c>
      <c r="Z21" s="389" t="str">
        <f t="shared" si="17"/>
        <v/>
      </c>
      <c r="AA21" s="389">
        <f t="shared" si="5"/>
        <v>0</v>
      </c>
    </row>
    <row r="22" ht="15.75" customHeight="1">
      <c r="A22" s="389">
        <f>IFERROR(__xludf.DUMMYFUNCTION("""COMPUTED_VALUE"""),5.0)</f>
        <v>5</v>
      </c>
      <c r="B22" s="389" t="str">
        <f>IFERROR(__xludf.DUMMYFUNCTION("""COMPUTED_VALUE"""),"HHL5DL01-02")</f>
        <v>HHL5DL01-02</v>
      </c>
      <c r="C22" s="389" t="str">
        <f>IFERROR(__xludf.DUMMYFUNCTION("""COMPUTED_VALUE"""),"HHL4DL01")</f>
        <v>HHL4DL01</v>
      </c>
      <c r="D22" s="389" t="str">
        <f>IFERROR(__xludf.DUMMYFUNCTION("""COMPUTED_VALUE"""),"       ├─ Chốt lại đề bài với GĐ BOC &amp; GT")</f>
        <v>       ├─ Chốt lại đề bài với GĐ BOC &amp; GT</v>
      </c>
      <c r="E22" s="389" t="str">
        <f>IFERROR(__xludf.DUMMYFUNCTION("""COMPUTED_VALUE"""),"Chưa bắt đầu")</f>
        <v>Chưa bắt đầu</v>
      </c>
      <c r="F22" s="664">
        <f>IFERROR(__xludf.DUMMYFUNCTION("""COMPUTED_VALUE"""),0.0)</f>
        <v>0</v>
      </c>
      <c r="G22" s="389" t="str">
        <f>IFERROR(__xludf.DUMMYFUNCTION("""COMPUTED_VALUE"""),"GĐ BOC")</f>
        <v>GĐ BOC</v>
      </c>
      <c r="H22" s="389" t="str">
        <f>IFERROR(__xludf.DUMMYFUNCTION("""COMPUTED_VALUE"""),"Dữ liệu điều hành")</f>
        <v>Dữ liệu điều hành</v>
      </c>
      <c r="I22" s="665">
        <f>IFERROR(__xludf.DUMMYFUNCTION("""COMPUTED_VALUE"""),46254.0)</f>
        <v>46254</v>
      </c>
      <c r="J22" s="389" t="str">
        <f>IFERROR(__xludf.DUMMYFUNCTION("""COMPUTED_VALUE"""),"🟣 P1 trọng yếu")</f>
        <v>🟣 P1 trọng yếu</v>
      </c>
      <c r="M22" s="389">
        <f>IF('Bản đồ công việc'!X38="","",'Bản đồ công việc'!W38)</f>
        <v>3</v>
      </c>
      <c r="N22" s="67" t="str">
        <f>IF('Bản đồ công việc'!X38="","",'Bản đồ công việc'!X38)</f>
        <v>HHL3RD12</v>
      </c>
      <c r="O22" s="389" t="str">
        <f>IF('Bản đồ công việc'!X38="","",'Bản đồ công việc'!Y38)</f>
        <v/>
      </c>
      <c r="P22" s="389" t="str">
        <f>IF('Bản đồ công việc'!X38="","",'Bản đồ công việc'!V38)</f>
        <v>◆ Xây dựng quy trình và hệ thống quản trị sản phẩm theo phân loại</v>
      </c>
      <c r="Q22" s="67" t="str">
        <f>IF('Bản đồ công việc'!X38="","",'Bản đồ công việc'!AC38)</f>
        <v>Đang thực hiện</v>
      </c>
      <c r="R22" s="398">
        <f>IF('Bản đồ công việc'!X38="","",'Bản đồ công việc'!AD38)</f>
        <v>0</v>
      </c>
      <c r="S22" s="67" t="str">
        <f>IF('Bản đồ công việc'!X38="","",'Bản đồ công việc'!Z38)</f>
        <v>Ms Trang</v>
      </c>
      <c r="T22" s="67" t="str">
        <f>IF('Bản đồ công việc'!X38="","",'Bản đồ công việc'!AA38)</f>
        <v>R&amp;D</v>
      </c>
      <c r="U22" s="358">
        <f>IF('Bản đồ công việc'!X38="","",'Bản đồ công việc'!AE38)</f>
        <v>46387</v>
      </c>
      <c r="V22" s="389" t="str">
        <f>IF('Bản đồ công việc'!X38="","",'Bản đồ công việc'!AI38)</f>
        <v>🟢 Theo kế hoạch</v>
      </c>
      <c r="W22" s="389">
        <f t="shared" si="2"/>
        <v>0</v>
      </c>
      <c r="X22" s="389" t="str">
        <f t="shared" si="3"/>
        <v/>
      </c>
      <c r="Y22" s="389" t="str">
        <f t="shared" ref="Y22:Z22" si="18">IFERROR(INDEX($O$8:$O$684,MATCH(X22,$N$8:$N$684,0)),"")</f>
        <v/>
      </c>
      <c r="Z22" s="389" t="str">
        <f t="shared" si="18"/>
        <v/>
      </c>
      <c r="AA22" s="389">
        <f t="shared" si="5"/>
        <v>0</v>
      </c>
    </row>
    <row r="23" ht="15.75" customHeight="1">
      <c r="A23" s="389">
        <f>IFERROR(__xludf.DUMMYFUNCTION("""COMPUTED_VALUE"""),5.0)</f>
        <v>5</v>
      </c>
      <c r="B23" s="389" t="str">
        <f>IFERROR(__xludf.DUMMYFUNCTION("""COMPUTED_VALUE"""),"HHL5DL01-03")</f>
        <v>HHL5DL01-03</v>
      </c>
      <c r="C23" s="389" t="str">
        <f>IFERROR(__xludf.DUMMYFUNCTION("""COMPUTED_VALUE"""),"HHL4DL01")</f>
        <v>HHL4DL01</v>
      </c>
      <c r="D23" s="389" t="str">
        <f>IFERROR(__xludf.DUMMYFUNCTION("""COMPUTED_VALUE"""),"       ├─ XD bảng Excel &amp; HT phần mềm (chạy demo) &amp;GT")</f>
        <v>       ├─ XD bảng Excel &amp; HT phần mềm (chạy demo) &amp;GT</v>
      </c>
      <c r="E23" s="389" t="str">
        <f>IFERROR(__xludf.DUMMYFUNCTION("""COMPUTED_VALUE"""),"Chưa bắt đầu")</f>
        <v>Chưa bắt đầu</v>
      </c>
      <c r="F23" s="664">
        <f>IFERROR(__xludf.DUMMYFUNCTION("""COMPUTED_VALUE"""),0.0)</f>
        <v>0</v>
      </c>
      <c r="G23" s="389" t="str">
        <f>IFERROR(__xludf.DUMMYFUNCTION("""COMPUTED_VALUE"""),"Em Đại")</f>
        <v>Em Đại</v>
      </c>
      <c r="H23" s="389" t="str">
        <f>IFERROR(__xludf.DUMMYFUNCTION("""COMPUTED_VALUE"""),"Dữ liệu điều hành")</f>
        <v>Dữ liệu điều hành</v>
      </c>
      <c r="I23" s="665">
        <f>IFERROR(__xludf.DUMMYFUNCTION("""COMPUTED_VALUE"""),46264.0)</f>
        <v>46264</v>
      </c>
      <c r="J23" s="389" t="str">
        <f>IFERROR(__xludf.DUMMYFUNCTION("""COMPUTED_VALUE"""),"🟣 P1 trọng yếu")</f>
        <v>🟣 P1 trọng yếu</v>
      </c>
      <c r="M23" s="389" t="str">
        <f>IF('Bản đồ công việc'!X39="","",'Bản đồ công việc'!W39)</f>
        <v>#REF!</v>
      </c>
      <c r="N23" s="389" t="str">
        <f>IF('Bản đồ công việc'!X39="","",'Bản đồ công việc'!X39)</f>
        <v>#REF!</v>
      </c>
      <c r="O23" s="389" t="str">
        <f>IF('Bản đồ công việc'!X39="","",'Bản đồ công việc'!Y39)</f>
        <v>#REF!</v>
      </c>
      <c r="P23" s="389" t="str">
        <f>IF('Bản đồ công việc'!X39="","",'Bản đồ công việc'!V39)</f>
        <v>#REF!</v>
      </c>
      <c r="Q23" s="389" t="str">
        <f>IF('Bản đồ công việc'!X39="","",'Bản đồ công việc'!AC39)</f>
        <v>#REF!</v>
      </c>
      <c r="R23" s="389" t="str">
        <f>IF('Bản đồ công việc'!X39="","",'Bản đồ công việc'!AD39)</f>
        <v>#REF!</v>
      </c>
      <c r="S23" s="389" t="str">
        <f>IF('Bản đồ công việc'!X39="","",'Bản đồ công việc'!Z39)</f>
        <v>#REF!</v>
      </c>
      <c r="T23" s="389" t="str">
        <f>IF('Bản đồ công việc'!X39="","",'Bản đồ công việc'!AA39)</f>
        <v>#REF!</v>
      </c>
      <c r="U23" s="389" t="str">
        <f>IF('Bản đồ công việc'!X39="","",'Bản đồ công việc'!AE39)</f>
        <v>#REF!</v>
      </c>
      <c r="V23" s="389" t="str">
        <f>IF('Bản đồ công việc'!X39="","",'Bản đồ công việc'!AI39)</f>
        <v>#REF!</v>
      </c>
      <c r="W23" s="389" t="str">
        <f t="shared" si="2"/>
        <v>#REF!</v>
      </c>
      <c r="X23" s="389" t="str">
        <f t="shared" si="3"/>
        <v>#REF!</v>
      </c>
      <c r="Y23" s="389" t="str">
        <f t="shared" ref="Y23:Z23" si="19">IFERROR(INDEX($O$8:$O$684,MATCH(X23,$N$8:$N$684,0)),"")</f>
        <v/>
      </c>
      <c r="Z23" s="389" t="str">
        <f t="shared" si="19"/>
        <v/>
      </c>
      <c r="AA23" s="389" t="str">
        <f t="shared" si="5"/>
        <v>#REF!</v>
      </c>
    </row>
    <row r="24" ht="15.75" customHeight="1">
      <c r="A24" s="389">
        <f>IFERROR(__xludf.DUMMYFUNCTION("""COMPUTED_VALUE"""),5.0)</f>
        <v>5</v>
      </c>
      <c r="B24" s="389" t="str">
        <f>IFERROR(__xludf.DUMMYFUNCTION("""COMPUTED_VALUE"""),"HHL5DL01-04")</f>
        <v>HHL5DL01-04</v>
      </c>
      <c r="C24" s="389" t="str">
        <f>IFERROR(__xludf.DUMMYFUNCTION("""COMPUTED_VALUE"""),"HHL4DL01")</f>
        <v>HHL4DL01</v>
      </c>
      <c r="D24" s="389" t="str">
        <f>IFERROR(__xludf.DUMMYFUNCTION("""COMPUTED_VALUE"""),"       ├─ Chạy tham số Topdown GT")</f>
        <v>       ├─ Chạy tham số Topdown GT</v>
      </c>
      <c r="E24" s="389" t="str">
        <f>IFERROR(__xludf.DUMMYFUNCTION("""COMPUTED_VALUE"""),"Chưa bắt đầu")</f>
        <v>Chưa bắt đầu</v>
      </c>
      <c r="F24" s="664">
        <f>IFERROR(__xludf.DUMMYFUNCTION("""COMPUTED_VALUE"""),0.0)</f>
        <v>0</v>
      </c>
      <c r="G24" s="389" t="str">
        <f>IFERROR(__xludf.DUMMYFUNCTION("""COMPUTED_VALUE"""),"Em Đại")</f>
        <v>Em Đại</v>
      </c>
      <c r="H24" s="389" t="str">
        <f>IFERROR(__xludf.DUMMYFUNCTION("""COMPUTED_VALUE"""),"Dữ liệu điều hành")</f>
        <v>Dữ liệu điều hành</v>
      </c>
      <c r="I24" s="665">
        <f>IFERROR(__xludf.DUMMYFUNCTION("""COMPUTED_VALUE"""),46270.0)</f>
        <v>46270</v>
      </c>
      <c r="J24" s="389" t="str">
        <f>IFERROR(__xludf.DUMMYFUNCTION("""COMPUTED_VALUE"""),"🟣 P1 trọng yếu")</f>
        <v>🟣 P1 trọng yếu</v>
      </c>
      <c r="M24" s="389">
        <f>IF('Bản đồ công việc'!X40="","",'Bản đồ công việc'!W40)</f>
        <v>3</v>
      </c>
      <c r="N24" s="67" t="str">
        <f>IF('Bản đồ công việc'!X40="","",'Bản đồ công việc'!X40)</f>
        <v>HHL3DL02</v>
      </c>
      <c r="O24" s="389" t="str">
        <f>IF('Bản đồ công việc'!X40="","",'Bản đồ công việc'!Y40)</f>
        <v/>
      </c>
      <c r="P24" s="389" t="str">
        <f>IF('Bản đồ công việc'!X40="","",'Bản đồ công việc'!V40)</f>
        <v>◆ Số hoá DL quản trị all BOC &amp; all PB</v>
      </c>
      <c r="Q24" s="67" t="str">
        <f>IF('Bản đồ công việc'!X40="","",'Bản đồ công việc'!AC40)</f>
        <v>Chưa bắt đầu</v>
      </c>
      <c r="R24" s="398">
        <f>IF('Bản đồ công việc'!X40="","",'Bản đồ công việc'!AD40)</f>
        <v>0</v>
      </c>
      <c r="S24" s="67" t="str">
        <f>IF('Bản đồ công việc'!X40="","",'Bản đồ công việc'!Z40)</f>
        <v>Ms Trang</v>
      </c>
      <c r="T24" s="67" t="str">
        <f>IF('Bản đồ công việc'!X40="","",'Bản đồ công việc'!AA40)</f>
        <v>Dữ liệu điều hành</v>
      </c>
      <c r="U24" s="358" t="str">
        <f>IF('Bản đồ công việc'!X40="","",'Bản đồ công việc'!AE40)</f>
        <v/>
      </c>
      <c r="V24" s="389" t="str">
        <f>IF('Bản đồ công việc'!X40="","",'Bản đồ công việc'!AI40)</f>
        <v>🔵 Chưa có hạn</v>
      </c>
      <c r="W24" s="389">
        <f t="shared" si="2"/>
        <v>0</v>
      </c>
      <c r="X24" s="389" t="str">
        <f t="shared" si="3"/>
        <v/>
      </c>
      <c r="Y24" s="389" t="str">
        <f t="shared" ref="Y24:Z24" si="20">IFERROR(INDEX($O$8:$O$684,MATCH(X24,$N$8:$N$684,0)),"")</f>
        <v/>
      </c>
      <c r="Z24" s="389" t="str">
        <f t="shared" si="20"/>
        <v/>
      </c>
      <c r="AA24" s="389">
        <f t="shared" si="5"/>
        <v>0</v>
      </c>
    </row>
    <row r="25" ht="15.75" customHeight="1">
      <c r="A25" s="389">
        <f>IFERROR(__xludf.DUMMYFUNCTION("""COMPUTED_VALUE"""),5.0)</f>
        <v>5</v>
      </c>
      <c r="B25" s="389" t="str">
        <f>IFERROR(__xludf.DUMMYFUNCTION("""COMPUTED_VALUE"""),"HHL5DL01-05")</f>
        <v>HHL5DL01-05</v>
      </c>
      <c r="C25" s="389" t="str">
        <f>IFERROR(__xludf.DUMMYFUNCTION("""COMPUTED_VALUE"""),"HHL4DL01")</f>
        <v>HHL4DL01</v>
      </c>
      <c r="D25" s="389" t="str">
        <f>IFERROR(__xludf.DUMMYFUNCTION("""COMPUTED_VALUE"""),"       ├─ Chạy tham số Bottom-up theo khu vực vùng miền GT")</f>
        <v>       ├─ Chạy tham số Bottom-up theo khu vực vùng miền GT</v>
      </c>
      <c r="E25" s="389" t="str">
        <f>IFERROR(__xludf.DUMMYFUNCTION("""COMPUTED_VALUE"""),"Đã lên lịch")</f>
        <v>Đã lên lịch</v>
      </c>
      <c r="F25" s="664" t="str">
        <f>IFERROR(__xludf.DUMMYFUNCTION("""COMPUTED_VALUE"""),"")</f>
        <v/>
      </c>
      <c r="G25" s="389" t="str">
        <f>IFERROR(__xludf.DUMMYFUNCTION("""COMPUTED_VALUE"""),"Em Đại")</f>
        <v>Em Đại</v>
      </c>
      <c r="H25" s="389" t="str">
        <f>IFERROR(__xludf.DUMMYFUNCTION("""COMPUTED_VALUE"""),"Dữ liệu điều hành")</f>
        <v>Dữ liệu điều hành</v>
      </c>
      <c r="I25" s="665">
        <f>IFERROR(__xludf.DUMMYFUNCTION("""COMPUTED_VALUE"""),46305.0)</f>
        <v>46305</v>
      </c>
      <c r="J25" s="389" t="str">
        <f>IFERROR(__xludf.DUMMYFUNCTION("""COMPUTED_VALUE"""),"🟣 P1 trọng yếu")</f>
        <v>🟣 P1 trọng yếu</v>
      </c>
      <c r="M25" s="389">
        <f>IF('Bản đồ công việc'!X41="","",'Bản đồ công việc'!W41)</f>
        <v>3</v>
      </c>
      <c r="N25" s="67" t="str">
        <f>IF('Bản đồ công việc'!X41="","",'Bản đồ công việc'!X41)</f>
        <v>HHL3DL03</v>
      </c>
      <c r="O25" s="389" t="str">
        <f>IF('Bản đồ công việc'!X41="","",'Bản đồ công việc'!Y41)</f>
        <v/>
      </c>
      <c r="P25" s="389" t="str">
        <f>IF('Bản đồ công việc'!X41="","",'Bản đồ công việc'!V41)</f>
        <v>◆ XDHT ngưỡng điều tiết &amp; cung ứng hàng hoá </v>
      </c>
      <c r="Q25" s="67" t="str">
        <f>IF('Bản đồ công việc'!X41="","",'Bản đồ công việc'!AC41)</f>
        <v>Chưa bắt đầu</v>
      </c>
      <c r="R25" s="398">
        <f>IF('Bản đồ công việc'!X41="","",'Bản đồ công việc'!AD41)</f>
        <v>0</v>
      </c>
      <c r="S25" s="67" t="str">
        <f>IF('Bản đồ công việc'!X41="","",'Bản đồ công việc'!Z41)</f>
        <v>Ms Trang</v>
      </c>
      <c r="T25" s="67" t="str">
        <f>IF('Bản đồ công việc'!X41="","",'Bản đồ công việc'!AA41)</f>
        <v>Dữ liệu điều hành</v>
      </c>
      <c r="U25" s="358">
        <f>IF('Bản đồ công việc'!X41="","",'Bản đồ công việc'!AE41)</f>
        <v>46310</v>
      </c>
      <c r="V25" s="389" t="str">
        <f>IF('Bản đồ công việc'!X41="","",'Bản đồ công việc'!AI41)</f>
        <v>🟢 Theo kế hoạch</v>
      </c>
      <c r="W25" s="389">
        <f t="shared" si="2"/>
        <v>0</v>
      </c>
      <c r="X25" s="389" t="str">
        <f t="shared" si="3"/>
        <v/>
      </c>
      <c r="Y25" s="389" t="str">
        <f t="shared" ref="Y25:Z25" si="21">IFERROR(INDEX($O$8:$O$684,MATCH(X25,$N$8:$N$684,0)),"")</f>
        <v/>
      </c>
      <c r="Z25" s="389" t="str">
        <f t="shared" si="21"/>
        <v/>
      </c>
      <c r="AA25" s="389">
        <f t="shared" si="5"/>
        <v>0</v>
      </c>
    </row>
    <row r="26" ht="15.75" customHeight="1">
      <c r="A26" s="389">
        <f>IFERROR(__xludf.DUMMYFUNCTION("""COMPUTED_VALUE"""),5.0)</f>
        <v>5</v>
      </c>
      <c r="B26" s="389" t="str">
        <f>IFERROR(__xludf.DUMMYFUNCTION("""COMPUTED_VALUE"""),"HHL5DL02-01")</f>
        <v>HHL5DL02-01</v>
      </c>
      <c r="C26" s="389" t="str">
        <f>IFERROR(__xludf.DUMMYFUNCTION("""COMPUTED_VALUE"""),"HHL4DL02")</f>
        <v>HHL4DL02</v>
      </c>
      <c r="D26" s="389" t="str">
        <f>IFERROR(__xludf.DUMMYFUNCTION("""COMPUTED_VALUE"""),"       ├─ XD &amp; phản biện công thức (nội bộ) MT")</f>
        <v>       ├─ XD &amp; phản biện công thức (nội bộ) MT</v>
      </c>
      <c r="E26" s="389" t="str">
        <f>IFERROR(__xludf.DUMMYFUNCTION("""COMPUTED_VALUE"""),"Chưa bắt đầu")</f>
        <v>Chưa bắt đầu</v>
      </c>
      <c r="F26" s="664">
        <f>IFERROR(__xludf.DUMMYFUNCTION("""COMPUTED_VALUE"""),0.0)</f>
        <v>0</v>
      </c>
      <c r="G26" s="389" t="str">
        <f>IFERROR(__xludf.DUMMYFUNCTION("""COMPUTED_VALUE"""),"Em Đại")</f>
        <v>Em Đại</v>
      </c>
      <c r="H26" s="389" t="str">
        <f>IFERROR(__xludf.DUMMYFUNCTION("""COMPUTED_VALUE"""),"Dữ liệu điều hành")</f>
        <v>Dữ liệu điều hành</v>
      </c>
      <c r="I26" s="665">
        <f>IFERROR(__xludf.DUMMYFUNCTION("""COMPUTED_VALUE"""),46290.0)</f>
        <v>46290</v>
      </c>
      <c r="J26" s="389" t="str">
        <f>IFERROR(__xludf.DUMMYFUNCTION("""COMPUTED_VALUE"""),"🟣 P1 trọng yếu")</f>
        <v>🟣 P1 trọng yếu</v>
      </c>
      <c r="M26" s="389" t="str">
        <f>IF('Bản đồ công việc'!X42="","",'Bản đồ công việc'!W42)</f>
        <v>#REF!</v>
      </c>
      <c r="N26" s="389" t="str">
        <f>IF('Bản đồ công việc'!X42="","",'Bản đồ công việc'!X42)</f>
        <v>#REF!</v>
      </c>
      <c r="O26" s="389" t="str">
        <f>IF('Bản đồ công việc'!X42="","",'Bản đồ công việc'!Y42)</f>
        <v>#REF!</v>
      </c>
      <c r="P26" s="389" t="str">
        <f>IF('Bản đồ công việc'!X42="","",'Bản đồ công việc'!V42)</f>
        <v>#REF!</v>
      </c>
      <c r="Q26" s="389" t="str">
        <f>IF('Bản đồ công việc'!X42="","",'Bản đồ công việc'!AC42)</f>
        <v>#REF!</v>
      </c>
      <c r="R26" s="389" t="str">
        <f>IF('Bản đồ công việc'!X42="","",'Bản đồ công việc'!AD42)</f>
        <v>#REF!</v>
      </c>
      <c r="S26" s="389" t="str">
        <f>IF('Bản đồ công việc'!X42="","",'Bản đồ công việc'!Z42)</f>
        <v>#REF!</v>
      </c>
      <c r="T26" s="389" t="str">
        <f>IF('Bản đồ công việc'!X42="","",'Bản đồ công việc'!AA42)</f>
        <v>#REF!</v>
      </c>
      <c r="U26" s="389" t="str">
        <f>IF('Bản đồ công việc'!X42="","",'Bản đồ công việc'!AE42)</f>
        <v>#REF!</v>
      </c>
      <c r="V26" s="389" t="str">
        <f>IF('Bản đồ công việc'!X42="","",'Bản đồ công việc'!AI42)</f>
        <v>#REF!</v>
      </c>
      <c r="W26" s="389" t="str">
        <f t="shared" si="2"/>
        <v>#REF!</v>
      </c>
      <c r="X26" s="389" t="str">
        <f t="shared" si="3"/>
        <v>#REF!</v>
      </c>
      <c r="Y26" s="389" t="str">
        <f t="shared" ref="Y26:Z26" si="22">IFERROR(INDEX($O$8:$O$684,MATCH(X26,$N$8:$N$684,0)),"")</f>
        <v/>
      </c>
      <c r="Z26" s="389" t="str">
        <f t="shared" si="22"/>
        <v/>
      </c>
      <c r="AA26" s="389" t="str">
        <f t="shared" si="5"/>
        <v>#REF!</v>
      </c>
    </row>
    <row r="27" ht="15.75" customHeight="1">
      <c r="A27" s="389">
        <f>IFERROR(__xludf.DUMMYFUNCTION("""COMPUTED_VALUE"""),5.0)</f>
        <v>5</v>
      </c>
      <c r="B27" s="389" t="str">
        <f>IFERROR(__xludf.DUMMYFUNCTION("""COMPUTED_VALUE"""),"HHL5DL02-02")</f>
        <v>HHL5DL02-02</v>
      </c>
      <c r="C27" s="389" t="str">
        <f>IFERROR(__xludf.DUMMYFUNCTION("""COMPUTED_VALUE"""),"HHL4DL02")</f>
        <v>HHL4DL02</v>
      </c>
      <c r="D27" s="389" t="str">
        <f>IFERROR(__xludf.DUMMYFUNCTION("""COMPUTED_VALUE"""),"       ├─ Phản biện với TGĐ &amp; liên PB MT")</f>
        <v>       ├─ Phản biện với TGĐ &amp; liên PB MT</v>
      </c>
      <c r="E27" s="389" t="str">
        <f>IFERROR(__xludf.DUMMYFUNCTION("""COMPUTED_VALUE"""),"Chưa bắt đầu")</f>
        <v>Chưa bắt đầu</v>
      </c>
      <c r="F27" s="664">
        <f>IFERROR(__xludf.DUMMYFUNCTION("""COMPUTED_VALUE"""),0.0)</f>
        <v>0</v>
      </c>
      <c r="G27" s="389" t="str">
        <f>IFERROR(__xludf.DUMMYFUNCTION("""COMPUTED_VALUE"""),"Em Đại")</f>
        <v>Em Đại</v>
      </c>
      <c r="H27" s="389" t="str">
        <f>IFERROR(__xludf.DUMMYFUNCTION("""COMPUTED_VALUE"""),"Dữ liệu điều hành")</f>
        <v>Dữ liệu điều hành</v>
      </c>
      <c r="I27" s="665">
        <f>IFERROR(__xludf.DUMMYFUNCTION("""COMPUTED_VALUE"""),46300.0)</f>
        <v>46300</v>
      </c>
      <c r="J27" s="389" t="str">
        <f>IFERROR(__xludf.DUMMYFUNCTION("""COMPUTED_VALUE"""),"🟣 P1 trọng yếu")</f>
        <v>🟣 P1 trọng yếu</v>
      </c>
      <c r="M27" s="389">
        <f>IF('Bản đồ công việc'!X43="","",'Bản đồ công việc'!W43)</f>
        <v>3</v>
      </c>
      <c r="N27" s="67" t="str">
        <f>IF('Bản đồ công việc'!X43="","",'Bản đồ công việc'!X43)</f>
        <v>HHL3DL05</v>
      </c>
      <c r="O27" s="389" t="str">
        <f>IF('Bản đồ công việc'!X43="","",'Bản đồ công việc'!Y43)</f>
        <v/>
      </c>
      <c r="P27" s="389" t="str">
        <f>IF('Bản đồ công việc'!X43="","",'Bản đồ công việc'!V43)</f>
        <v>◆ Phát triển HT BC tự động định kỳ</v>
      </c>
      <c r="Q27" s="67" t="str">
        <f>IF('Bản đồ công việc'!X43="","",'Bản đồ công việc'!AC43)</f>
        <v>Chưa bắt đầu</v>
      </c>
      <c r="R27" s="398">
        <f>IF('Bản đồ công việc'!X43="","",'Bản đồ công việc'!AD43)</f>
        <v>0</v>
      </c>
      <c r="S27" s="67" t="str">
        <f>IF('Bản đồ công việc'!X43="","",'Bản đồ công việc'!Z43)</f>
        <v>Ms Trang</v>
      </c>
      <c r="T27" s="67" t="str">
        <f>IF('Bản đồ công việc'!X43="","",'Bản đồ công việc'!AA43)</f>
        <v>Dữ liệu điều hành</v>
      </c>
      <c r="U27" s="358">
        <f>IF('Bản đồ công việc'!X43="","",'Bản đồ công việc'!AE43)</f>
        <v>46265</v>
      </c>
      <c r="V27" s="389" t="str">
        <f>IF('Bản đồ công việc'!X43="","",'Bản đồ công việc'!AI43)</f>
        <v>🟣 P1 trọng yếu</v>
      </c>
      <c r="W27" s="389">
        <f t="shared" si="2"/>
        <v>0</v>
      </c>
      <c r="X27" s="389" t="str">
        <f t="shared" si="3"/>
        <v/>
      </c>
      <c r="Y27" s="389" t="str">
        <f t="shared" ref="Y27:Z27" si="23">IFERROR(INDEX($O$8:$O$684,MATCH(X27,$N$8:$N$684,0)),"")</f>
        <v/>
      </c>
      <c r="Z27" s="389" t="str">
        <f t="shared" si="23"/>
        <v/>
      </c>
      <c r="AA27" s="389">
        <f t="shared" si="5"/>
        <v>0</v>
      </c>
    </row>
    <row r="28" ht="15.75" customHeight="1">
      <c r="A28" s="389">
        <f>IFERROR(__xludf.DUMMYFUNCTION("""COMPUTED_VALUE"""),5.0)</f>
        <v>5</v>
      </c>
      <c r="B28" s="389" t="str">
        <f>IFERROR(__xludf.DUMMYFUNCTION("""COMPUTED_VALUE"""),"HHL5DL02-03")</f>
        <v>HHL5DL02-03</v>
      </c>
      <c r="C28" s="389" t="str">
        <f>IFERROR(__xludf.DUMMYFUNCTION("""COMPUTED_VALUE"""),"HHL4DL02")</f>
        <v>HHL4DL02</v>
      </c>
      <c r="D28" s="389" t="str">
        <f>IFERROR(__xludf.DUMMYFUNCTION("""COMPUTED_VALUE"""),"       ├─ XD bảng Excel &amp; HT phần mềm (chạy demo) MT")</f>
        <v>       ├─ XD bảng Excel &amp; HT phần mềm (chạy demo) MT</v>
      </c>
      <c r="E28" s="389" t="str">
        <f>IFERROR(__xludf.DUMMYFUNCTION("""COMPUTED_VALUE"""),"Chưa bắt đầu")</f>
        <v>Chưa bắt đầu</v>
      </c>
      <c r="F28" s="664">
        <f>IFERROR(__xludf.DUMMYFUNCTION("""COMPUTED_VALUE"""),0.0)</f>
        <v>0</v>
      </c>
      <c r="G28" s="389" t="str">
        <f>IFERROR(__xludf.DUMMYFUNCTION("""COMPUTED_VALUE"""),"Em Đại")</f>
        <v>Em Đại</v>
      </c>
      <c r="H28" s="389" t="str">
        <f>IFERROR(__xludf.DUMMYFUNCTION("""COMPUTED_VALUE"""),"Dữ liệu điều hành")</f>
        <v>Dữ liệu điều hành</v>
      </c>
      <c r="I28" s="665">
        <f>IFERROR(__xludf.DUMMYFUNCTION("""COMPUTED_VALUE"""),46295.0)</f>
        <v>46295</v>
      </c>
      <c r="J28" s="389" t="str">
        <f>IFERROR(__xludf.DUMMYFUNCTION("""COMPUTED_VALUE"""),"🟣 P1 trọng yếu")</f>
        <v>🟣 P1 trọng yếu</v>
      </c>
      <c r="M28" s="389">
        <f>IF('Bản đồ công việc'!X44="","",'Bản đồ công việc'!W44)</f>
        <v>3</v>
      </c>
      <c r="N28" s="67" t="str">
        <f>IF('Bản đồ công việc'!X44="","",'Bản đồ công việc'!X44)</f>
        <v>HHL3DL06</v>
      </c>
      <c r="O28" s="389" t="str">
        <f>IF('Bản đồ công việc'!X44="","",'Bản đồ công việc'!Y44)</f>
        <v/>
      </c>
      <c r="P28" s="389" t="str">
        <f>IF('Bản đồ công việc'!X44="","",'Bản đồ công việc'!V44)</f>
        <v>◆ XDHT quản lý NCC</v>
      </c>
      <c r="Q28" s="67" t="str">
        <f>IF('Bản đồ công việc'!X44="","",'Bản đồ công việc'!AC44)</f>
        <v>Chưa bắt đầu</v>
      </c>
      <c r="R28" s="398">
        <f>IF('Bản đồ công việc'!X44="","",'Bản đồ công việc'!AD44)</f>
        <v>0</v>
      </c>
      <c r="S28" s="67" t="str">
        <f>IF('Bản đồ công việc'!X44="","",'Bản đồ công việc'!Z44)</f>
        <v>Ms Trang</v>
      </c>
      <c r="T28" s="67" t="str">
        <f>IF('Bản đồ công việc'!X44="","",'Bản đồ công việc'!AA44)</f>
        <v>Dữ liệu điều hành</v>
      </c>
      <c r="U28" s="358">
        <f>IF('Bản đồ công việc'!X44="","",'Bản đồ công việc'!AE44)</f>
        <v>46265</v>
      </c>
      <c r="V28" s="389" t="str">
        <f>IF('Bản đồ công việc'!X44="","",'Bản đồ công việc'!AI44)</f>
        <v>🟢 Theo kế hoạch</v>
      </c>
      <c r="W28" s="389">
        <f t="shared" si="2"/>
        <v>0</v>
      </c>
      <c r="X28" s="389" t="str">
        <f t="shared" si="3"/>
        <v/>
      </c>
      <c r="Y28" s="389" t="str">
        <f t="shared" ref="Y28:Z28" si="24">IFERROR(INDEX($O$8:$O$684,MATCH(X28,$N$8:$N$684,0)),"")</f>
        <v/>
      </c>
      <c r="Z28" s="389" t="str">
        <f t="shared" si="24"/>
        <v/>
      </c>
      <c r="AA28" s="389">
        <f t="shared" si="5"/>
        <v>0</v>
      </c>
    </row>
    <row r="29" ht="15.75" customHeight="1">
      <c r="A29" s="389">
        <f>IFERROR(__xludf.DUMMYFUNCTION("""COMPUTED_VALUE"""),5.0)</f>
        <v>5</v>
      </c>
      <c r="B29" s="389" t="str">
        <f>IFERROR(__xludf.DUMMYFUNCTION("""COMPUTED_VALUE"""),"HHL5DL02-04")</f>
        <v>HHL5DL02-04</v>
      </c>
      <c r="C29" s="389" t="str">
        <f>IFERROR(__xludf.DUMMYFUNCTION("""COMPUTED_VALUE"""),"HHL4DL02")</f>
        <v>HHL4DL02</v>
      </c>
      <c r="D29" s="389" t="str">
        <f>IFERROR(__xludf.DUMMYFUNCTION("""COMPUTED_VALUE"""),"       ├─ Chạy tham số Topdown MT")</f>
        <v>       ├─ Chạy tham số Topdown MT</v>
      </c>
      <c r="E29" s="389" t="str">
        <f>IFERROR(__xludf.DUMMYFUNCTION("""COMPUTED_VALUE"""),"Đã lên lịch")</f>
        <v>Đã lên lịch</v>
      </c>
      <c r="F29" s="664" t="str">
        <f>IFERROR(__xludf.DUMMYFUNCTION("""COMPUTED_VALUE"""),"")</f>
        <v/>
      </c>
      <c r="G29" s="389" t="str">
        <f>IFERROR(__xludf.DUMMYFUNCTION("""COMPUTED_VALUE"""),"Em Đại")</f>
        <v>Em Đại</v>
      </c>
      <c r="H29" s="389" t="str">
        <f>IFERROR(__xludf.DUMMYFUNCTION("""COMPUTED_VALUE"""),"Dữ liệu điều hành")</f>
        <v>Dữ liệu điều hành</v>
      </c>
      <c r="I29" s="665">
        <f>IFERROR(__xludf.DUMMYFUNCTION("""COMPUTED_VALUE"""),46297.0)</f>
        <v>46297</v>
      </c>
      <c r="J29" s="389" t="str">
        <f>IFERROR(__xludf.DUMMYFUNCTION("""COMPUTED_VALUE"""),"🟣 P1 trọng yếu")</f>
        <v>🟣 P1 trọng yếu</v>
      </c>
      <c r="M29" s="389">
        <f>IF('Bản đồ công việc'!X45="","",'Bản đồ công việc'!W45)</f>
        <v>3</v>
      </c>
      <c r="N29" s="67" t="str">
        <f>IF('Bản đồ công việc'!X45="","",'Bản đồ công việc'!X45)</f>
        <v>HHL3DL07</v>
      </c>
      <c r="O29" s="389" t="str">
        <f>IF('Bản đồ công việc'!X45="","",'Bản đồ công việc'!Y45)</f>
        <v/>
      </c>
      <c r="P29" s="389" t="str">
        <f>IF('Bản đồ công việc'!X45="","",'Bản đồ công việc'!V45)</f>
        <v>◆ Truy xuất &amp; xử lý DL phát sinh theo yêu cầu </v>
      </c>
      <c r="Q29" s="67" t="str">
        <f>IF('Bản đồ công việc'!X45="","",'Bản đồ công việc'!AC45)</f>
        <v>Chưa bắt đầu</v>
      </c>
      <c r="R29" s="398">
        <f>IF('Bản đồ công việc'!X45="","",'Bản đồ công việc'!AD45)</f>
        <v>0</v>
      </c>
      <c r="S29" s="67" t="str">
        <f>IF('Bản đồ công việc'!X45="","",'Bản đồ công việc'!Z45)</f>
        <v>Em Đại</v>
      </c>
      <c r="T29" s="67" t="str">
        <f>IF('Bản đồ công việc'!X45="","",'Bản đồ công việc'!AA45)</f>
        <v>Dữ liệu điều hành</v>
      </c>
      <c r="U29" s="358" t="str">
        <f>IF('Bản đồ công việc'!X45="","",'Bản đồ công việc'!AE45)</f>
        <v/>
      </c>
      <c r="V29" s="389" t="str">
        <f>IF('Bản đồ công việc'!X45="","",'Bản đồ công việc'!AI45)</f>
        <v>🔵 Chưa có hạn</v>
      </c>
      <c r="W29" s="389">
        <f t="shared" si="2"/>
        <v>0</v>
      </c>
      <c r="X29" s="389" t="str">
        <f t="shared" si="3"/>
        <v/>
      </c>
      <c r="Y29" s="389" t="str">
        <f t="shared" ref="Y29:Z29" si="25">IFERROR(INDEX($O$8:$O$684,MATCH(X29,$N$8:$N$684,0)),"")</f>
        <v/>
      </c>
      <c r="Z29" s="389" t="str">
        <f t="shared" si="25"/>
        <v/>
      </c>
      <c r="AA29" s="389">
        <f t="shared" si="5"/>
        <v>0</v>
      </c>
    </row>
    <row r="30" ht="15.75" customHeight="1">
      <c r="A30" s="389">
        <f>IFERROR(__xludf.DUMMYFUNCTION("""COMPUTED_VALUE"""),5.0)</f>
        <v>5</v>
      </c>
      <c r="B30" s="389" t="str">
        <f>IFERROR(__xludf.DUMMYFUNCTION("""COMPUTED_VALUE"""),"HHL5DL02-05")</f>
        <v>HHL5DL02-05</v>
      </c>
      <c r="C30" s="389" t="str">
        <f>IFERROR(__xludf.DUMMYFUNCTION("""COMPUTED_VALUE"""),"HHL4DL02")</f>
        <v>HHL4DL02</v>
      </c>
      <c r="D30" s="389" t="str">
        <f>IFERROR(__xludf.DUMMYFUNCTION("""COMPUTED_VALUE"""),"       ├─ Chạy tham số Bottom-up MT")</f>
        <v>       ├─ Chạy tham số Bottom-up MT</v>
      </c>
      <c r="E30" s="389" t="str">
        <f>IFERROR(__xludf.DUMMYFUNCTION("""COMPUTED_VALUE"""),"Đã lên lịch")</f>
        <v>Đã lên lịch</v>
      </c>
      <c r="F30" s="664" t="str">
        <f>IFERROR(__xludf.DUMMYFUNCTION("""COMPUTED_VALUE"""),"")</f>
        <v/>
      </c>
      <c r="G30" s="389" t="str">
        <f>IFERROR(__xludf.DUMMYFUNCTION("""COMPUTED_VALUE"""),"Em Đại")</f>
        <v>Em Đại</v>
      </c>
      <c r="H30" s="389" t="str">
        <f>IFERROR(__xludf.DUMMYFUNCTION("""COMPUTED_VALUE"""),"Dữ liệu điều hành")</f>
        <v>Dữ liệu điều hành</v>
      </c>
      <c r="I30" s="665">
        <f>IFERROR(__xludf.DUMMYFUNCTION("""COMPUTED_VALUE"""),46310.0)</f>
        <v>46310</v>
      </c>
      <c r="J30" s="389" t="str">
        <f>IFERROR(__xludf.DUMMYFUNCTION("""COMPUTED_VALUE"""),"🟣 P1 trọng yếu")</f>
        <v>🟣 P1 trọng yếu</v>
      </c>
      <c r="M30" s="389">
        <f>IF('Bản đồ công việc'!X46="","",'Bản đồ công việc'!W46)</f>
        <v>3</v>
      </c>
      <c r="N30" s="67" t="str">
        <f>IF('Bản đồ công việc'!X46="","",'Bản đồ công việc'!X46)</f>
        <v>HHL3DL08</v>
      </c>
      <c r="O30" s="389" t="str">
        <f>IF('Bản đồ công việc'!X46="","",'Bản đồ công việc'!Y46)</f>
        <v/>
      </c>
      <c r="P30" s="389" t="str">
        <f>IF('Bản đồ công việc'!X46="","",'Bản đồ công việc'!V46)</f>
        <v>◆ XDHT xếp hàng lên container phục vụ XK</v>
      </c>
      <c r="Q30" s="67" t="str">
        <f>IF('Bản đồ công việc'!X46="","",'Bản đồ công việc'!AC46)</f>
        <v>Chưa bắt đầu</v>
      </c>
      <c r="R30" s="398">
        <f>IF('Bản đồ công việc'!X46="","",'Bản đồ công việc'!AD46)</f>
        <v>0</v>
      </c>
      <c r="S30" s="67" t="str">
        <f>IF('Bản đồ công việc'!X46="","",'Bản đồ công việc'!Z46)</f>
        <v>Em Đại</v>
      </c>
      <c r="T30" s="67" t="str">
        <f>IF('Bản đồ công việc'!X46="","",'Bản đồ công việc'!AA46)</f>
        <v>Dữ liệu điều hành</v>
      </c>
      <c r="U30" s="358">
        <f>IF('Bản đồ công việc'!X46="","",'Bản đồ công việc'!AE46)</f>
        <v>46264</v>
      </c>
      <c r="V30" s="389" t="str">
        <f>IF('Bản đồ công việc'!X46="","",'Bản đồ công việc'!AI46)</f>
        <v>🟢 Theo kế hoạch</v>
      </c>
      <c r="W30" s="389">
        <f t="shared" si="2"/>
        <v>0</v>
      </c>
      <c r="X30" s="389" t="str">
        <f t="shared" si="3"/>
        <v/>
      </c>
      <c r="Y30" s="389" t="str">
        <f t="shared" ref="Y30:Z30" si="26">IFERROR(INDEX($O$8:$O$684,MATCH(X30,$N$8:$N$684,0)),"")</f>
        <v/>
      </c>
      <c r="Z30" s="389" t="str">
        <f t="shared" si="26"/>
        <v/>
      </c>
      <c r="AA30" s="389">
        <f t="shared" si="5"/>
        <v>0</v>
      </c>
    </row>
    <row r="31" ht="15.75" customHeight="1">
      <c r="A31" s="389">
        <f>IFERROR(__xludf.DUMMYFUNCTION("""COMPUTED_VALUE"""),5.0)</f>
        <v>5</v>
      </c>
      <c r="B31" s="389" t="str">
        <f>IFERROR(__xludf.DUMMYFUNCTION("""COMPUTED_VALUE"""),"HHL5DL03-01")</f>
        <v>HHL5DL03-01</v>
      </c>
      <c r="C31" s="389" t="str">
        <f>IFERROR(__xludf.DUMMYFUNCTION("""COMPUTED_VALUE"""),"HHL4DL03")</f>
        <v>HHL4DL03</v>
      </c>
      <c r="D31" s="389" t="str">
        <f>IFERROR(__xludf.DUMMYFUNCTION("""COMPUTED_VALUE"""),"       ├─ XD &amp; phản biện công thức (nội bộ) B2B")</f>
        <v>       ├─ XD &amp; phản biện công thức (nội bộ) B2B</v>
      </c>
      <c r="E31" s="389" t="str">
        <f>IFERROR(__xludf.DUMMYFUNCTION("""COMPUTED_VALUE"""),"Chưa bắt đầu")</f>
        <v>Chưa bắt đầu</v>
      </c>
      <c r="F31" s="664">
        <f>IFERROR(__xludf.DUMMYFUNCTION("""COMPUTED_VALUE"""),0.0)</f>
        <v>0</v>
      </c>
      <c r="G31" s="389" t="str">
        <f>IFERROR(__xludf.DUMMYFUNCTION("""COMPUTED_VALUE"""),"Em Đại")</f>
        <v>Em Đại</v>
      </c>
      <c r="H31" s="389" t="str">
        <f>IFERROR(__xludf.DUMMYFUNCTION("""COMPUTED_VALUE"""),"Dữ liệu điều hành")</f>
        <v>Dữ liệu điều hành</v>
      </c>
      <c r="I31" s="665">
        <f>IFERROR(__xludf.DUMMYFUNCTION("""COMPUTED_VALUE"""),46300.0)</f>
        <v>46300</v>
      </c>
      <c r="J31" s="389" t="str">
        <f>IFERROR(__xludf.DUMMYFUNCTION("""COMPUTED_VALUE"""),"🟢 Theo kế hoạch")</f>
        <v>🟢 Theo kế hoạch</v>
      </c>
      <c r="M31" s="389">
        <f>IF('Bản đồ công việc'!X47="","",'Bản đồ công việc'!W47)</f>
        <v>3</v>
      </c>
      <c r="N31" s="67" t="str">
        <f>IF('Bản đồ công việc'!X47="","",'Bản đồ công việc'!X47)</f>
        <v>HHL3DL09</v>
      </c>
      <c r="O31" s="389" t="str">
        <f>IF('Bản đồ công việc'!X47="","",'Bản đồ công việc'!Y47)</f>
        <v/>
      </c>
      <c r="P31" s="389" t="str">
        <f>IF('Bản đồ công việc'!X47="","",'Bản đồ công việc'!V47)</f>
        <v>◆ Các CV hỗ trợ khác (cho LĐ &amp; PB khác)</v>
      </c>
      <c r="Q31" s="67" t="str">
        <f>IF('Bản đồ công việc'!X47="","",'Bản đồ công việc'!AC47)</f>
        <v>Chưa bắt đầu</v>
      </c>
      <c r="R31" s="398">
        <f>IF('Bản đồ công việc'!X47="","",'Bản đồ công việc'!AD47)</f>
        <v>0</v>
      </c>
      <c r="S31" s="67" t="str">
        <f>IF('Bản đồ công việc'!X47="","",'Bản đồ công việc'!Z47)</f>
        <v>Em Đại</v>
      </c>
      <c r="T31" s="67" t="str">
        <f>IF('Bản đồ công việc'!X47="","",'Bản đồ công việc'!AA47)</f>
        <v>Dữ liệu điều hành</v>
      </c>
      <c r="U31" s="358">
        <f>IF('Bản đồ công việc'!X47="","",'Bản đồ công việc'!AE47)</f>
        <v>46280</v>
      </c>
      <c r="V31" s="389" t="str">
        <f>IF('Bản đồ công việc'!X47="","",'Bản đồ công việc'!AI47)</f>
        <v>🟣 P1 trọng yếu</v>
      </c>
      <c r="W31" s="389">
        <f t="shared" si="2"/>
        <v>0</v>
      </c>
      <c r="X31" s="389" t="str">
        <f t="shared" si="3"/>
        <v/>
      </c>
      <c r="Y31" s="389" t="str">
        <f t="shared" ref="Y31:Z31" si="27">IFERROR(INDEX($O$8:$O$684,MATCH(X31,$N$8:$N$684,0)),"")</f>
        <v/>
      </c>
      <c r="Z31" s="389" t="str">
        <f t="shared" si="27"/>
        <v/>
      </c>
      <c r="AA31" s="389">
        <f t="shared" si="5"/>
        <v>0</v>
      </c>
    </row>
    <row r="32" ht="15.75" customHeight="1">
      <c r="A32" s="389">
        <f>IFERROR(__xludf.DUMMYFUNCTION("""COMPUTED_VALUE"""),5.0)</f>
        <v>5</v>
      </c>
      <c r="B32" s="389" t="str">
        <f>IFERROR(__xludf.DUMMYFUNCTION("""COMPUTED_VALUE"""),"HHL5DL03-02")</f>
        <v>HHL5DL03-02</v>
      </c>
      <c r="C32" s="389" t="str">
        <f>IFERROR(__xludf.DUMMYFUNCTION("""COMPUTED_VALUE"""),"HHL4DL03")</f>
        <v>HHL4DL03</v>
      </c>
      <c r="D32" s="389" t="str">
        <f>IFERROR(__xludf.DUMMYFUNCTION("""COMPUTED_VALUE"""),"       ├─ Phản biện với TGĐ &amp; liên PB B2B")</f>
        <v>       ├─ Phản biện với TGĐ &amp; liên PB B2B</v>
      </c>
      <c r="E32" s="389" t="str">
        <f>IFERROR(__xludf.DUMMYFUNCTION("""COMPUTED_VALUE"""),"Chưa bắt đầu")</f>
        <v>Chưa bắt đầu</v>
      </c>
      <c r="F32" s="664">
        <f>IFERROR(__xludf.DUMMYFUNCTION("""COMPUTED_VALUE"""),0.0)</f>
        <v>0</v>
      </c>
      <c r="G32" s="389" t="str">
        <f>IFERROR(__xludf.DUMMYFUNCTION("""COMPUTED_VALUE"""),"Em Đại")</f>
        <v>Em Đại</v>
      </c>
      <c r="H32" s="389" t="str">
        <f>IFERROR(__xludf.DUMMYFUNCTION("""COMPUTED_VALUE"""),"Dữ liệu điều hành")</f>
        <v>Dữ liệu điều hành</v>
      </c>
      <c r="I32" s="665">
        <f>IFERROR(__xludf.DUMMYFUNCTION("""COMPUTED_VALUE"""),46310.0)</f>
        <v>46310</v>
      </c>
      <c r="J32" s="389" t="str">
        <f>IFERROR(__xludf.DUMMYFUNCTION("""COMPUTED_VALUE"""),"🟢 Theo kế hoạch")</f>
        <v>🟢 Theo kế hoạch</v>
      </c>
      <c r="M32" s="389">
        <f>IF('Bản đồ công việc'!X48="","",'Bản đồ công việc'!W48)</f>
        <v>3</v>
      </c>
      <c r="N32" s="67" t="str">
        <f>IF('Bản đồ công việc'!X48="","",'Bản đồ công việc'!X48)</f>
        <v>HHL3DL10</v>
      </c>
      <c r="O32" s="389" t="str">
        <f>IF('Bản đồ công việc'!X48="","",'Bản đồ công việc'!Y48)</f>
        <v/>
      </c>
      <c r="P32" s="389" t="str">
        <f>IF('Bản đồ công việc'!X48="","",'Bản đồ công việc'!V48)</f>
        <v>◆ Xây dựng hệ thống kiểm soát chiết khấu</v>
      </c>
      <c r="Q32" s="67" t="str">
        <f>IF('Bản đồ công việc'!X48="","",'Bản đồ công việc'!AC48)</f>
        <v>Đã lên lịch</v>
      </c>
      <c r="R32" s="398" t="str">
        <f>IF('Bản đồ công việc'!X48="","",'Bản đồ công việc'!AD48)</f>
        <v/>
      </c>
      <c r="S32" s="67" t="str">
        <f>IF('Bản đồ công việc'!X48="","",'Bản đồ công việc'!Z48)</f>
        <v>Em Đại</v>
      </c>
      <c r="T32" s="67" t="str">
        <f>IF('Bản đồ công việc'!X48="","",'Bản đồ công việc'!AA48)</f>
        <v>Dữ liệu điều hành</v>
      </c>
      <c r="U32" s="358">
        <f>IF('Bản đồ công việc'!X48="","",'Bản đồ công việc'!AE48)</f>
        <v>46420</v>
      </c>
      <c r="V32" s="389" t="str">
        <f>IF('Bản đồ công việc'!X48="","",'Bản đồ công việc'!AI48)</f>
        <v>🟢 Theo kế hoạch</v>
      </c>
      <c r="W32" s="389">
        <f t="shared" si="2"/>
        <v>0</v>
      </c>
      <c r="X32" s="389" t="str">
        <f t="shared" si="3"/>
        <v/>
      </c>
      <c r="Y32" s="389" t="str">
        <f t="shared" ref="Y32:Z32" si="28">IFERROR(INDEX($O$8:$O$684,MATCH(X32,$N$8:$N$684,0)),"")</f>
        <v/>
      </c>
      <c r="Z32" s="389" t="str">
        <f t="shared" si="28"/>
        <v/>
      </c>
      <c r="AA32" s="389">
        <f t="shared" si="5"/>
        <v>0</v>
      </c>
    </row>
    <row r="33" ht="15.75" customHeight="1">
      <c r="A33" s="389">
        <f>IFERROR(__xludf.DUMMYFUNCTION("""COMPUTED_VALUE"""),5.0)</f>
        <v>5</v>
      </c>
      <c r="B33" s="389" t="str">
        <f>IFERROR(__xludf.DUMMYFUNCTION("""COMPUTED_VALUE"""),"HHL5DL03-03")</f>
        <v>HHL5DL03-03</v>
      </c>
      <c r="C33" s="389" t="str">
        <f>IFERROR(__xludf.DUMMYFUNCTION("""COMPUTED_VALUE"""),"HHL4DL03")</f>
        <v>HHL4DL03</v>
      </c>
      <c r="D33" s="389" t="str">
        <f>IFERROR(__xludf.DUMMYFUNCTION("""COMPUTED_VALUE"""),"       ├─ XD bảng Excel &amp; HT phần mềm (chạy demo) B2B")</f>
        <v>       ├─ XD bảng Excel &amp; HT phần mềm (chạy demo) B2B</v>
      </c>
      <c r="E33" s="389" t="str">
        <f>IFERROR(__xludf.DUMMYFUNCTION("""COMPUTED_VALUE"""),"Chưa bắt đầu")</f>
        <v>Chưa bắt đầu</v>
      </c>
      <c r="F33" s="664">
        <f>IFERROR(__xludf.DUMMYFUNCTION("""COMPUTED_VALUE"""),0.0)</f>
        <v>0</v>
      </c>
      <c r="G33" s="389" t="str">
        <f>IFERROR(__xludf.DUMMYFUNCTION("""COMPUTED_VALUE"""),"Em Đại")</f>
        <v>Em Đại</v>
      </c>
      <c r="H33" s="389" t="str">
        <f>IFERROR(__xludf.DUMMYFUNCTION("""COMPUTED_VALUE"""),"Dữ liệu điều hành")</f>
        <v>Dữ liệu điều hành</v>
      </c>
      <c r="I33" s="665">
        <f>IFERROR(__xludf.DUMMYFUNCTION("""COMPUTED_VALUE"""),46305.0)</f>
        <v>46305</v>
      </c>
      <c r="J33" s="389" t="str">
        <f>IFERROR(__xludf.DUMMYFUNCTION("""COMPUTED_VALUE"""),"🟢 Theo kế hoạch")</f>
        <v>🟢 Theo kế hoạch</v>
      </c>
      <c r="M33" s="389">
        <f>IF('Bản đồ công việc'!X49="","",'Bản đồ công việc'!W49)</f>
        <v>3</v>
      </c>
      <c r="N33" s="67" t="str">
        <f>IF('Bản đồ công việc'!X49="","",'Bản đồ công việc'!X49)</f>
        <v>HHL3DL11</v>
      </c>
      <c r="O33" s="389" t="str">
        <f>IF('Bản đồ công việc'!X49="","",'Bản đồ công việc'!Y49)</f>
        <v/>
      </c>
      <c r="P33" s="389" t="str">
        <f>IF('Bản đồ công việc'!X49="","",'Bản đồ công việc'!V49)</f>
        <v>◆ Xây dựng hệ thống tính giá &amp; Báo giá xuất khẩu</v>
      </c>
      <c r="Q33" s="67" t="str">
        <f>IF('Bản đồ công việc'!X49="","",'Bản đồ công việc'!AC49)</f>
        <v>Đã lên lịch</v>
      </c>
      <c r="R33" s="398" t="str">
        <f>IF('Bản đồ công việc'!X49="","",'Bản đồ công việc'!AD49)</f>
        <v/>
      </c>
      <c r="S33" s="67" t="str">
        <f>IF('Bản đồ công việc'!X49="","",'Bản đồ công việc'!Z49)</f>
        <v>Em Đại</v>
      </c>
      <c r="T33" s="67" t="str">
        <f>IF('Bản đồ công việc'!X49="","",'Bản đồ công việc'!AA49)</f>
        <v>Dữ liệu điều hành</v>
      </c>
      <c r="U33" s="358">
        <f>IF('Bản đồ công việc'!X49="","",'Bản đồ công việc'!AE49)</f>
        <v>46388</v>
      </c>
      <c r="V33" s="389" t="str">
        <f>IF('Bản đồ công việc'!X49="","",'Bản đồ công việc'!AI49)</f>
        <v>🟢 Theo kế hoạch</v>
      </c>
      <c r="W33" s="389">
        <f t="shared" si="2"/>
        <v>0</v>
      </c>
      <c r="X33" s="389" t="str">
        <f t="shared" si="3"/>
        <v/>
      </c>
      <c r="Y33" s="389" t="str">
        <f t="shared" ref="Y33:Z33" si="29">IFERROR(INDEX($O$8:$O$684,MATCH(X33,$N$8:$N$684,0)),"")</f>
        <v/>
      </c>
      <c r="Z33" s="389" t="str">
        <f t="shared" si="29"/>
        <v/>
      </c>
      <c r="AA33" s="389">
        <f t="shared" si="5"/>
        <v>0</v>
      </c>
    </row>
    <row r="34" ht="15.75" customHeight="1">
      <c r="A34" s="389">
        <f>IFERROR(__xludf.DUMMYFUNCTION("""COMPUTED_VALUE"""),5.0)</f>
        <v>5</v>
      </c>
      <c r="B34" s="389" t="str">
        <f>IFERROR(__xludf.DUMMYFUNCTION("""COMPUTED_VALUE"""),"HHL5DL03-04")</f>
        <v>HHL5DL03-04</v>
      </c>
      <c r="C34" s="389" t="str">
        <f>IFERROR(__xludf.DUMMYFUNCTION("""COMPUTED_VALUE"""),"HHL4DL03")</f>
        <v>HHL4DL03</v>
      </c>
      <c r="D34" s="389" t="str">
        <f>IFERROR(__xludf.DUMMYFUNCTION("""COMPUTED_VALUE"""),"       ├─ Chạy tham số Topdown B2B")</f>
        <v>       ├─ Chạy tham số Topdown B2B</v>
      </c>
      <c r="E34" s="389" t="str">
        <f>IFERROR(__xludf.DUMMYFUNCTION("""COMPUTED_VALUE"""),"Đã lên lịch")</f>
        <v>Đã lên lịch</v>
      </c>
      <c r="F34" s="664" t="str">
        <f>IFERROR(__xludf.DUMMYFUNCTION("""COMPUTED_VALUE"""),"")</f>
        <v/>
      </c>
      <c r="G34" s="389" t="str">
        <f>IFERROR(__xludf.DUMMYFUNCTION("""COMPUTED_VALUE"""),"Em Đại")</f>
        <v>Em Đại</v>
      </c>
      <c r="H34" s="389" t="str">
        <f>IFERROR(__xludf.DUMMYFUNCTION("""COMPUTED_VALUE"""),"Dữ liệu điều hành")</f>
        <v>Dữ liệu điều hành</v>
      </c>
      <c r="I34" s="665">
        <f>IFERROR(__xludf.DUMMYFUNCTION("""COMPUTED_VALUE"""),46307.0)</f>
        <v>46307</v>
      </c>
      <c r="J34" s="389" t="str">
        <f>IFERROR(__xludf.DUMMYFUNCTION("""COMPUTED_VALUE"""),"🟢 Theo kế hoạch")</f>
        <v>🟢 Theo kế hoạch</v>
      </c>
      <c r="M34" s="389">
        <f>IF('Bản đồ công việc'!X50="","",'Bản đồ công việc'!W50)</f>
        <v>3</v>
      </c>
      <c r="N34" s="67" t="str">
        <f>IF('Bản đồ công việc'!X50="","",'Bản đồ công việc'!X50)</f>
        <v>HHL3DL12</v>
      </c>
      <c r="O34" s="389" t="str">
        <f>IF('Bản đồ công việc'!X50="","",'Bản đồ công việc'!Y50)</f>
        <v/>
      </c>
      <c r="P34" s="389" t="str">
        <f>IF('Bản đồ công việc'!X50="","",'Bản đồ công việc'!V50)</f>
        <v>◆ CĐS &amp; AI các hoạt động của BOC</v>
      </c>
      <c r="Q34" s="67" t="str">
        <f>IF('Bản đồ công việc'!X50="","",'Bản đồ công việc'!AC50)</f>
        <v>Chưa lên lịch</v>
      </c>
      <c r="R34" s="398" t="str">
        <f>IF('Bản đồ công việc'!X50="","",'Bản đồ công việc'!AD50)</f>
        <v/>
      </c>
      <c r="S34" s="67" t="str">
        <f>IF('Bản đồ công việc'!X50="","",'Bản đồ công việc'!Z50)</f>
        <v>Em Đại</v>
      </c>
      <c r="T34" s="67" t="str">
        <f>IF('Bản đồ công việc'!X50="","",'Bản đồ công việc'!AA50)</f>
        <v>Dữ liệu điều hành</v>
      </c>
      <c r="U34" s="358" t="str">
        <f>IF('Bản đồ công việc'!X50="","",'Bản đồ công việc'!AE50)</f>
        <v/>
      </c>
      <c r="V34" s="389" t="str">
        <f>IF('Bản đồ công việc'!X50="","",'Bản đồ công việc'!AI50)</f>
        <v>🔵 Chưa có hạn</v>
      </c>
      <c r="W34" s="389">
        <f t="shared" si="2"/>
        <v>0</v>
      </c>
      <c r="X34" s="389" t="str">
        <f t="shared" si="3"/>
        <v/>
      </c>
      <c r="Y34" s="389" t="str">
        <f t="shared" ref="Y34:Z34" si="30">IFERROR(INDEX($O$8:$O$684,MATCH(X34,$N$8:$N$684,0)),"")</f>
        <v/>
      </c>
      <c r="Z34" s="389" t="str">
        <f t="shared" si="30"/>
        <v/>
      </c>
      <c r="AA34" s="389">
        <f t="shared" si="5"/>
        <v>0</v>
      </c>
    </row>
    <row r="35" ht="15.75" customHeight="1">
      <c r="A35" s="389">
        <f>IFERROR(__xludf.DUMMYFUNCTION("""COMPUTED_VALUE"""),5.0)</f>
        <v>5</v>
      </c>
      <c r="B35" s="389" t="str">
        <f>IFERROR(__xludf.DUMMYFUNCTION("""COMPUTED_VALUE"""),"HHL5DL03-05")</f>
        <v>HHL5DL03-05</v>
      </c>
      <c r="C35" s="389" t="str">
        <f>IFERROR(__xludf.DUMMYFUNCTION("""COMPUTED_VALUE"""),"HHL4DL03")</f>
        <v>HHL4DL03</v>
      </c>
      <c r="D35" s="389" t="str">
        <f>IFERROR(__xludf.DUMMYFUNCTION("""COMPUTED_VALUE"""),"       ├─ Chạy tham số Bottom-up theo khu vực vùng miền B2B")</f>
        <v>       ├─ Chạy tham số Bottom-up theo khu vực vùng miền B2B</v>
      </c>
      <c r="E35" s="389" t="str">
        <f>IFERROR(__xludf.DUMMYFUNCTION("""COMPUTED_VALUE"""),"Đã lên lịch")</f>
        <v>Đã lên lịch</v>
      </c>
      <c r="F35" s="664" t="str">
        <f>IFERROR(__xludf.DUMMYFUNCTION("""COMPUTED_VALUE"""),"")</f>
        <v/>
      </c>
      <c r="G35" s="389" t="str">
        <f>IFERROR(__xludf.DUMMYFUNCTION("""COMPUTED_VALUE"""),"Em Đại")</f>
        <v>Em Đại</v>
      </c>
      <c r="H35" s="389" t="str">
        <f>IFERROR(__xludf.DUMMYFUNCTION("""COMPUTED_VALUE"""),"Dữ liệu điều hành")</f>
        <v>Dữ liệu điều hành</v>
      </c>
      <c r="I35" s="665">
        <f>IFERROR(__xludf.DUMMYFUNCTION("""COMPUTED_VALUE"""),46320.0)</f>
        <v>46320</v>
      </c>
      <c r="J35" s="389" t="str">
        <f>IFERROR(__xludf.DUMMYFUNCTION("""COMPUTED_VALUE"""),"🟢 Theo kế hoạch")</f>
        <v>🟢 Theo kế hoạch</v>
      </c>
      <c r="M35" s="389">
        <f>IF('Bản đồ công việc'!X51="","",'Bản đồ công việc'!W51)</f>
        <v>3</v>
      </c>
      <c r="N35" s="67" t="str">
        <f>IF('Bản đồ công việc'!X51="","",'Bản đồ công việc'!X51)</f>
        <v>HHL3XK01</v>
      </c>
      <c r="O35" s="389" t="str">
        <f>IF('Bản đồ công việc'!X51="","",'Bản đồ công việc'!Y51)</f>
        <v/>
      </c>
      <c r="P35" s="389" t="str">
        <f>IF('Bản đồ công việc'!X51="","",'Bản đồ công việc'!V51)</f>
        <v>◆ XD &amp; vận hành HT CRM XK </v>
      </c>
      <c r="Q35" s="67" t="str">
        <f>IF('Bản đồ công việc'!X51="","",'Bản đồ công việc'!AC51)</f>
        <v/>
      </c>
      <c r="R35" s="398">
        <f>IF('Bản đồ công việc'!X51="","",'Bản đồ công việc'!AD51)</f>
        <v>0</v>
      </c>
      <c r="S35" s="67" t="str">
        <f>IF('Bản đồ công việc'!X51="","",'Bản đồ công việc'!Z51)</f>
        <v/>
      </c>
      <c r="T35" s="67" t="str">
        <f>IF('Bản đồ công việc'!X51="","",'Bản đồ công việc'!AA51)</f>
        <v>Dữ liệu điều hành</v>
      </c>
      <c r="U35" s="358">
        <f>IF('Bản đồ công việc'!X51="","",'Bản đồ công việc'!AE51)</f>
        <v>46231</v>
      </c>
      <c r="V35" s="389" t="str">
        <f>IF('Bản đồ công việc'!X51="","",'Bản đồ công việc'!AI51)</f>
        <v>🔴 Quá hạn</v>
      </c>
      <c r="W35" s="389">
        <f t="shared" si="2"/>
        <v>0</v>
      </c>
      <c r="X35" s="389" t="str">
        <f t="shared" si="3"/>
        <v/>
      </c>
      <c r="Y35" s="389" t="str">
        <f t="shared" ref="Y35:Z35" si="31">IFERROR(INDEX($O$8:$O$684,MATCH(X35,$N$8:$N$684,0)),"")</f>
        <v/>
      </c>
      <c r="Z35" s="389" t="str">
        <f t="shared" si="31"/>
        <v/>
      </c>
      <c r="AA35" s="389">
        <f t="shared" si="5"/>
        <v>0</v>
      </c>
    </row>
    <row r="36" ht="15.75" customHeight="1">
      <c r="A36" s="389">
        <f>IFERROR(__xludf.DUMMYFUNCTION("""COMPUTED_VALUE"""),5.0)</f>
        <v>5</v>
      </c>
      <c r="B36" s="389" t="str">
        <f>IFERROR(__xludf.DUMMYFUNCTION("""COMPUTED_VALUE"""),"HHL5DL04-01")</f>
        <v>HHL5DL04-01</v>
      </c>
      <c r="C36" s="389" t="str">
        <f>IFERROR(__xludf.DUMMYFUNCTION("""COMPUTED_VALUE"""),"HHL4DL04")</f>
        <v>HHL4DL04</v>
      </c>
      <c r="D36" s="389" t="str">
        <f>IFERROR(__xludf.DUMMYFUNCTION("""COMPUTED_VALUE"""),"       ├─ XD &amp; phản biện công thức (nội bộ) Online")</f>
        <v>       ├─ XD &amp; phản biện công thức (nội bộ) Online</v>
      </c>
      <c r="E36" s="389" t="str">
        <f>IFERROR(__xludf.DUMMYFUNCTION("""COMPUTED_VALUE"""),"Chưa bắt đầu")</f>
        <v>Chưa bắt đầu</v>
      </c>
      <c r="F36" s="664">
        <f>IFERROR(__xludf.DUMMYFUNCTION("""COMPUTED_VALUE"""),0.0)</f>
        <v>0</v>
      </c>
      <c r="G36" s="389" t="str">
        <f>IFERROR(__xludf.DUMMYFUNCTION("""COMPUTED_VALUE"""),"Em Đại")</f>
        <v>Em Đại</v>
      </c>
      <c r="H36" s="389" t="str">
        <f>IFERROR(__xludf.DUMMYFUNCTION("""COMPUTED_VALUE"""),"Dữ liệu điều hành")</f>
        <v>Dữ liệu điều hành</v>
      </c>
      <c r="I36" s="665">
        <f>IFERROR(__xludf.DUMMYFUNCTION("""COMPUTED_VALUE"""),46300.0)</f>
        <v>46300</v>
      </c>
      <c r="J36" s="389" t="str">
        <f>IFERROR(__xludf.DUMMYFUNCTION("""COMPUTED_VALUE"""),"🟢 Theo kế hoạch")</f>
        <v>🟢 Theo kế hoạch</v>
      </c>
      <c r="M36" s="389" t="str">
        <f>IF('Bản đồ công việc'!X52="","",'Bản đồ công việc'!W52)</f>
        <v/>
      </c>
      <c r="N36" s="389" t="str">
        <f>IF('Bản đồ công việc'!X52="","",'Bản đồ công việc'!X52)</f>
        <v/>
      </c>
      <c r="O36" s="389" t="str">
        <f>IF('Bản đồ công việc'!X52="","",'Bản đồ công việc'!Y52)</f>
        <v/>
      </c>
      <c r="P36" s="389" t="str">
        <f>IF('Bản đồ công việc'!X52="","",'Bản đồ công việc'!V52)</f>
        <v/>
      </c>
      <c r="Q36" s="389" t="str">
        <f>IF('Bản đồ công việc'!X52="","",'Bản đồ công việc'!AC52)</f>
        <v/>
      </c>
      <c r="R36" s="389" t="str">
        <f>IF('Bản đồ công việc'!X52="","",'Bản đồ công việc'!AD52)</f>
        <v/>
      </c>
      <c r="S36" s="389" t="str">
        <f>IF('Bản đồ công việc'!X52="","",'Bản đồ công việc'!Z52)</f>
        <v/>
      </c>
      <c r="T36" s="389" t="str">
        <f>IF('Bản đồ công việc'!X52="","",'Bản đồ công việc'!AA52)</f>
        <v/>
      </c>
      <c r="U36" s="389" t="str">
        <f>IF('Bản đồ công việc'!X52="","",'Bản đồ công việc'!AE52)</f>
        <v/>
      </c>
      <c r="V36" s="389" t="str">
        <f>IF('Bản đồ công việc'!X52="","",'Bản đồ công việc'!AI52)</f>
        <v/>
      </c>
      <c r="W36" s="389">
        <f t="shared" si="2"/>
        <v>0</v>
      </c>
      <c r="X36" s="389" t="str">
        <f t="shared" si="3"/>
        <v/>
      </c>
      <c r="Y36" s="389" t="str">
        <f t="shared" ref="Y36:Z36" si="32">IFERROR(INDEX($O$8:$O$684,MATCH(X36,$N$8:$N$684,0)),"")</f>
        <v/>
      </c>
      <c r="Z36" s="389" t="str">
        <f t="shared" si="32"/>
        <v/>
      </c>
      <c r="AA36" s="389">
        <f t="shared" si="5"/>
        <v>0</v>
      </c>
    </row>
    <row r="37" ht="15.75" customHeight="1">
      <c r="A37" s="389">
        <f>IFERROR(__xludf.DUMMYFUNCTION("""COMPUTED_VALUE"""),5.0)</f>
        <v>5</v>
      </c>
      <c r="B37" s="389" t="str">
        <f>IFERROR(__xludf.DUMMYFUNCTION("""COMPUTED_VALUE"""),"HHL5DL04-02")</f>
        <v>HHL5DL04-02</v>
      </c>
      <c r="C37" s="389" t="str">
        <f>IFERROR(__xludf.DUMMYFUNCTION("""COMPUTED_VALUE"""),"HHL4DL04")</f>
        <v>HHL4DL04</v>
      </c>
      <c r="D37" s="389" t="str">
        <f>IFERROR(__xludf.DUMMYFUNCTION("""COMPUTED_VALUE"""),"       ├─ Phản biện với TGĐ &amp; liên PB Online")</f>
        <v>       ├─ Phản biện với TGĐ &amp; liên PB Online</v>
      </c>
      <c r="E37" s="389" t="str">
        <f>IFERROR(__xludf.DUMMYFUNCTION("""COMPUTED_VALUE"""),"Chưa bắt đầu")</f>
        <v>Chưa bắt đầu</v>
      </c>
      <c r="F37" s="664">
        <f>IFERROR(__xludf.DUMMYFUNCTION("""COMPUTED_VALUE"""),0.0)</f>
        <v>0</v>
      </c>
      <c r="G37" s="389" t="str">
        <f>IFERROR(__xludf.DUMMYFUNCTION("""COMPUTED_VALUE"""),"Em Đại")</f>
        <v>Em Đại</v>
      </c>
      <c r="H37" s="389" t="str">
        <f>IFERROR(__xludf.DUMMYFUNCTION("""COMPUTED_VALUE"""),"Dữ liệu điều hành")</f>
        <v>Dữ liệu điều hành</v>
      </c>
      <c r="I37" s="665">
        <f>IFERROR(__xludf.DUMMYFUNCTION("""COMPUTED_VALUE"""),46310.0)</f>
        <v>46310</v>
      </c>
      <c r="J37" s="389" t="str">
        <f>IFERROR(__xludf.DUMMYFUNCTION("""COMPUTED_VALUE"""),"🟢 Theo kế hoạch")</f>
        <v>🟢 Theo kế hoạch</v>
      </c>
      <c r="M37" s="389" t="str">
        <f>IF('Bản đồ công việc'!X53="","",'Bản đồ công việc'!W53)</f>
        <v/>
      </c>
      <c r="N37" s="389" t="str">
        <f>IF('Bản đồ công việc'!X53="","",'Bản đồ công việc'!X53)</f>
        <v/>
      </c>
      <c r="O37" s="389" t="str">
        <f>IF('Bản đồ công việc'!X53="","",'Bản đồ công việc'!Y53)</f>
        <v/>
      </c>
      <c r="P37" s="389" t="str">
        <f>IF('Bản đồ công việc'!X53="","",'Bản đồ công việc'!V53)</f>
        <v/>
      </c>
      <c r="Q37" s="389" t="str">
        <f>IF('Bản đồ công việc'!X53="","",'Bản đồ công việc'!AC53)</f>
        <v/>
      </c>
      <c r="R37" s="389" t="str">
        <f>IF('Bản đồ công việc'!X53="","",'Bản đồ công việc'!AD53)</f>
        <v/>
      </c>
      <c r="S37" s="389" t="str">
        <f>IF('Bản đồ công việc'!X53="","",'Bản đồ công việc'!Z53)</f>
        <v/>
      </c>
      <c r="T37" s="389" t="str">
        <f>IF('Bản đồ công việc'!X53="","",'Bản đồ công việc'!AA53)</f>
        <v/>
      </c>
      <c r="U37" s="389" t="str">
        <f>IF('Bản đồ công việc'!X53="","",'Bản đồ công việc'!AE53)</f>
        <v/>
      </c>
      <c r="V37" s="389" t="str">
        <f>IF('Bản đồ công việc'!X53="","",'Bản đồ công việc'!AI53)</f>
        <v/>
      </c>
      <c r="W37" s="389">
        <f t="shared" si="2"/>
        <v>0</v>
      </c>
      <c r="X37" s="389" t="str">
        <f t="shared" si="3"/>
        <v/>
      </c>
      <c r="Y37" s="389" t="str">
        <f t="shared" ref="Y37:Z37" si="33">IFERROR(INDEX($O$8:$O$684,MATCH(X37,$N$8:$N$684,0)),"")</f>
        <v/>
      </c>
      <c r="Z37" s="389" t="str">
        <f t="shared" si="33"/>
        <v/>
      </c>
      <c r="AA37" s="389">
        <f t="shared" si="5"/>
        <v>0</v>
      </c>
    </row>
    <row r="38" ht="15.75" customHeight="1">
      <c r="A38" s="389">
        <f>IFERROR(__xludf.DUMMYFUNCTION("""COMPUTED_VALUE"""),5.0)</f>
        <v>5</v>
      </c>
      <c r="B38" s="389" t="str">
        <f>IFERROR(__xludf.DUMMYFUNCTION("""COMPUTED_VALUE"""),"HHL5DL04-03")</f>
        <v>HHL5DL04-03</v>
      </c>
      <c r="C38" s="389" t="str">
        <f>IFERROR(__xludf.DUMMYFUNCTION("""COMPUTED_VALUE"""),"HHL4DL04")</f>
        <v>HHL4DL04</v>
      </c>
      <c r="D38" s="389" t="str">
        <f>IFERROR(__xludf.DUMMYFUNCTION("""COMPUTED_VALUE"""),"       ├─ XD bảng Excel &amp; HT phần mềm (chạy demo) Online")</f>
        <v>       ├─ XD bảng Excel &amp; HT phần mềm (chạy demo) Online</v>
      </c>
      <c r="E38" s="389" t="str">
        <f>IFERROR(__xludf.DUMMYFUNCTION("""COMPUTED_VALUE"""),"Chưa bắt đầu")</f>
        <v>Chưa bắt đầu</v>
      </c>
      <c r="F38" s="664">
        <f>IFERROR(__xludf.DUMMYFUNCTION("""COMPUTED_VALUE"""),0.0)</f>
        <v>0</v>
      </c>
      <c r="G38" s="389" t="str">
        <f>IFERROR(__xludf.DUMMYFUNCTION("""COMPUTED_VALUE"""),"Em Đại")</f>
        <v>Em Đại</v>
      </c>
      <c r="H38" s="389" t="str">
        <f>IFERROR(__xludf.DUMMYFUNCTION("""COMPUTED_VALUE"""),"Dữ liệu điều hành")</f>
        <v>Dữ liệu điều hành</v>
      </c>
      <c r="I38" s="665">
        <f>IFERROR(__xludf.DUMMYFUNCTION("""COMPUTED_VALUE"""),46275.0)</f>
        <v>46275</v>
      </c>
      <c r="J38" s="389" t="str">
        <f>IFERROR(__xludf.DUMMYFUNCTION("""COMPUTED_VALUE"""),"🟢 Theo kế hoạch")</f>
        <v>🟢 Theo kế hoạch</v>
      </c>
      <c r="M38" s="389" t="str">
        <f>IF('Bản đồ công việc'!X54="","",'Bản đồ công việc'!W54)</f>
        <v/>
      </c>
      <c r="N38" s="389" t="str">
        <f>IF('Bản đồ công việc'!X54="","",'Bản đồ công việc'!X54)</f>
        <v/>
      </c>
      <c r="O38" s="389" t="str">
        <f>IF('Bản đồ công việc'!X54="","",'Bản đồ công việc'!Y54)</f>
        <v/>
      </c>
      <c r="P38" s="389" t="str">
        <f>IF('Bản đồ công việc'!X54="","",'Bản đồ công việc'!V54)</f>
        <v/>
      </c>
      <c r="Q38" s="389" t="str">
        <f>IF('Bản đồ công việc'!X54="","",'Bản đồ công việc'!AC54)</f>
        <v/>
      </c>
      <c r="R38" s="389" t="str">
        <f>IF('Bản đồ công việc'!X54="","",'Bản đồ công việc'!AD54)</f>
        <v/>
      </c>
      <c r="S38" s="389" t="str">
        <f>IF('Bản đồ công việc'!X54="","",'Bản đồ công việc'!Z54)</f>
        <v/>
      </c>
      <c r="T38" s="389" t="str">
        <f>IF('Bản đồ công việc'!X54="","",'Bản đồ công việc'!AA54)</f>
        <v/>
      </c>
      <c r="U38" s="389" t="str">
        <f>IF('Bản đồ công việc'!X54="","",'Bản đồ công việc'!AE54)</f>
        <v/>
      </c>
      <c r="V38" s="389" t="str">
        <f>IF('Bản đồ công việc'!X54="","",'Bản đồ công việc'!AI54)</f>
        <v/>
      </c>
      <c r="W38" s="389">
        <f t="shared" si="2"/>
        <v>0</v>
      </c>
      <c r="X38" s="389" t="str">
        <f t="shared" si="3"/>
        <v/>
      </c>
      <c r="Y38" s="389" t="str">
        <f t="shared" ref="Y38:Z38" si="34">IFERROR(INDEX($O$8:$O$684,MATCH(X38,$N$8:$N$684,0)),"")</f>
        <v/>
      </c>
      <c r="Z38" s="389" t="str">
        <f t="shared" si="34"/>
        <v/>
      </c>
      <c r="AA38" s="389">
        <f t="shared" si="5"/>
        <v>0</v>
      </c>
    </row>
    <row r="39" ht="15.75" customHeight="1">
      <c r="A39" s="389">
        <f>IFERROR(__xludf.DUMMYFUNCTION("""COMPUTED_VALUE"""),5.0)</f>
        <v>5</v>
      </c>
      <c r="B39" s="389" t="str">
        <f>IFERROR(__xludf.DUMMYFUNCTION("""COMPUTED_VALUE"""),"HHL5DL04-04")</f>
        <v>HHL5DL04-04</v>
      </c>
      <c r="C39" s="389" t="str">
        <f>IFERROR(__xludf.DUMMYFUNCTION("""COMPUTED_VALUE"""),"HHL4DL04")</f>
        <v>HHL4DL04</v>
      </c>
      <c r="D39" s="389" t="str">
        <f>IFERROR(__xludf.DUMMYFUNCTION("""COMPUTED_VALUE"""),"       ├─ Chạy tham số Topdown Online")</f>
        <v>       ├─ Chạy tham số Topdown Online</v>
      </c>
      <c r="E39" s="389" t="str">
        <f>IFERROR(__xludf.DUMMYFUNCTION("""COMPUTED_VALUE"""),"Đã lên lịch")</f>
        <v>Đã lên lịch</v>
      </c>
      <c r="F39" s="664" t="str">
        <f>IFERROR(__xludf.DUMMYFUNCTION("""COMPUTED_VALUE"""),"")</f>
        <v/>
      </c>
      <c r="G39" s="389" t="str">
        <f>IFERROR(__xludf.DUMMYFUNCTION("""COMPUTED_VALUE"""),"Em Đại")</f>
        <v>Em Đại</v>
      </c>
      <c r="H39" s="389" t="str">
        <f>IFERROR(__xludf.DUMMYFUNCTION("""COMPUTED_VALUE"""),"Dữ liệu điều hành")</f>
        <v>Dữ liệu điều hành</v>
      </c>
      <c r="I39" s="665">
        <f>IFERROR(__xludf.DUMMYFUNCTION("""COMPUTED_VALUE"""),46307.0)</f>
        <v>46307</v>
      </c>
      <c r="J39" s="389" t="str">
        <f>IFERROR(__xludf.DUMMYFUNCTION("""COMPUTED_VALUE"""),"🟢 Theo kế hoạch")</f>
        <v>🟢 Theo kế hoạch</v>
      </c>
      <c r="M39" s="389" t="str">
        <f>IF('Bản đồ công việc'!X55="","",'Bản đồ công việc'!W55)</f>
        <v/>
      </c>
      <c r="N39" s="389" t="str">
        <f>IF('Bản đồ công việc'!X55="","",'Bản đồ công việc'!X55)</f>
        <v/>
      </c>
      <c r="O39" s="389" t="str">
        <f>IF('Bản đồ công việc'!X55="","",'Bản đồ công việc'!Y55)</f>
        <v/>
      </c>
      <c r="P39" s="389" t="str">
        <f>IF('Bản đồ công việc'!X55="","",'Bản đồ công việc'!V55)</f>
        <v/>
      </c>
      <c r="Q39" s="389" t="str">
        <f>IF('Bản đồ công việc'!X55="","",'Bản đồ công việc'!AC55)</f>
        <v/>
      </c>
      <c r="R39" s="389" t="str">
        <f>IF('Bản đồ công việc'!X55="","",'Bản đồ công việc'!AD55)</f>
        <v/>
      </c>
      <c r="S39" s="389" t="str">
        <f>IF('Bản đồ công việc'!X55="","",'Bản đồ công việc'!Z55)</f>
        <v/>
      </c>
      <c r="T39" s="389" t="str">
        <f>IF('Bản đồ công việc'!X55="","",'Bản đồ công việc'!AA55)</f>
        <v/>
      </c>
      <c r="U39" s="389" t="str">
        <f>IF('Bản đồ công việc'!X55="","",'Bản đồ công việc'!AE55)</f>
        <v/>
      </c>
      <c r="V39" s="389" t="str">
        <f>IF('Bản đồ công việc'!X55="","",'Bản đồ công việc'!AI55)</f>
        <v/>
      </c>
      <c r="W39" s="389">
        <f t="shared" si="2"/>
        <v>0</v>
      </c>
      <c r="X39" s="389" t="str">
        <f t="shared" si="3"/>
        <v/>
      </c>
      <c r="Y39" s="389" t="str">
        <f t="shared" ref="Y39:Z39" si="35">IFERROR(INDEX($O$8:$O$684,MATCH(X39,$N$8:$N$684,0)),"")</f>
        <v/>
      </c>
      <c r="Z39" s="389" t="str">
        <f t="shared" si="35"/>
        <v/>
      </c>
      <c r="AA39" s="389">
        <f t="shared" si="5"/>
        <v>0</v>
      </c>
    </row>
    <row r="40" ht="15.75" customHeight="1">
      <c r="A40" s="389">
        <f>IFERROR(__xludf.DUMMYFUNCTION("""COMPUTED_VALUE"""),5.0)</f>
        <v>5</v>
      </c>
      <c r="B40" s="389" t="str">
        <f>IFERROR(__xludf.DUMMYFUNCTION("""COMPUTED_VALUE"""),"HHL5DL04-05")</f>
        <v>HHL5DL04-05</v>
      </c>
      <c r="C40" s="389" t="str">
        <f>IFERROR(__xludf.DUMMYFUNCTION("""COMPUTED_VALUE"""),"HHL4DL04")</f>
        <v>HHL4DL04</v>
      </c>
      <c r="D40" s="389" t="str">
        <f>IFERROR(__xludf.DUMMYFUNCTION("""COMPUTED_VALUE"""),"       ├─ Chạy tham số Bottom-up theo khu vực vùng miền  Online")</f>
        <v>       ├─ Chạy tham số Bottom-up theo khu vực vùng miền  Online</v>
      </c>
      <c r="E40" s="389" t="str">
        <f>IFERROR(__xludf.DUMMYFUNCTION("""COMPUTED_VALUE"""),"Đã lên lịch")</f>
        <v>Đã lên lịch</v>
      </c>
      <c r="F40" s="664" t="str">
        <f>IFERROR(__xludf.DUMMYFUNCTION("""COMPUTED_VALUE"""),"")</f>
        <v/>
      </c>
      <c r="G40" s="389" t="str">
        <f>IFERROR(__xludf.DUMMYFUNCTION("""COMPUTED_VALUE"""),"Em Đại")</f>
        <v>Em Đại</v>
      </c>
      <c r="H40" s="389" t="str">
        <f>IFERROR(__xludf.DUMMYFUNCTION("""COMPUTED_VALUE"""),"Dữ liệu điều hành")</f>
        <v>Dữ liệu điều hành</v>
      </c>
      <c r="I40" s="665">
        <f>IFERROR(__xludf.DUMMYFUNCTION("""COMPUTED_VALUE"""),46320.0)</f>
        <v>46320</v>
      </c>
      <c r="J40" s="389" t="str">
        <f>IFERROR(__xludf.DUMMYFUNCTION("""COMPUTED_VALUE"""),"🟢 Theo kế hoạch")</f>
        <v>🟢 Theo kế hoạch</v>
      </c>
      <c r="M40" s="389" t="str">
        <f>IF('Bản đồ công việc'!X56="","",'Bản đồ công việc'!W56)</f>
        <v/>
      </c>
      <c r="N40" s="389" t="str">
        <f>IF('Bản đồ công việc'!X56="","",'Bản đồ công việc'!X56)</f>
        <v/>
      </c>
      <c r="O40" s="389" t="str">
        <f>IF('Bản đồ công việc'!X56="","",'Bản đồ công việc'!Y56)</f>
        <v/>
      </c>
      <c r="P40" s="389" t="str">
        <f>IF('Bản đồ công việc'!X56="","",'Bản đồ công việc'!V56)</f>
        <v/>
      </c>
      <c r="Q40" s="389" t="str">
        <f>IF('Bản đồ công việc'!X56="","",'Bản đồ công việc'!AC56)</f>
        <v/>
      </c>
      <c r="R40" s="389" t="str">
        <f>IF('Bản đồ công việc'!X56="","",'Bản đồ công việc'!AD56)</f>
        <v/>
      </c>
      <c r="S40" s="389" t="str">
        <f>IF('Bản đồ công việc'!X56="","",'Bản đồ công việc'!Z56)</f>
        <v/>
      </c>
      <c r="T40" s="389" t="str">
        <f>IF('Bản đồ công việc'!X56="","",'Bản đồ công việc'!AA56)</f>
        <v/>
      </c>
      <c r="U40" s="389" t="str">
        <f>IF('Bản đồ công việc'!X56="","",'Bản đồ công việc'!AE56)</f>
        <v/>
      </c>
      <c r="V40" s="389" t="str">
        <f>IF('Bản đồ công việc'!X56="","",'Bản đồ công việc'!AI56)</f>
        <v/>
      </c>
      <c r="W40" s="389">
        <f t="shared" si="2"/>
        <v>0</v>
      </c>
      <c r="X40" s="389" t="str">
        <f t="shared" si="3"/>
        <v/>
      </c>
      <c r="Y40" s="389" t="str">
        <f t="shared" ref="Y40:Z40" si="36">IFERROR(INDEX($O$8:$O$684,MATCH(X40,$N$8:$N$684,0)),"")</f>
        <v/>
      </c>
      <c r="Z40" s="389" t="str">
        <f t="shared" si="36"/>
        <v/>
      </c>
      <c r="AA40" s="389">
        <f t="shared" si="5"/>
        <v>0</v>
      </c>
    </row>
    <row r="41" ht="15.75" customHeight="1">
      <c r="A41" s="389">
        <f>IFERROR(__xludf.DUMMYFUNCTION("""COMPUTED_VALUE"""),5.0)</f>
        <v>5</v>
      </c>
      <c r="B41" s="389" t="str">
        <f>IFERROR(__xludf.DUMMYFUNCTION("""COMPUTED_VALUE"""),"HHL5DL05-01")</f>
        <v>HHL5DL05-01</v>
      </c>
      <c r="C41" s="389" t="str">
        <f>IFERROR(__xludf.DUMMYFUNCTION("""COMPUTED_VALUE"""),"HHL4DL05")</f>
        <v>HHL4DL05</v>
      </c>
      <c r="D41" s="389" t="str">
        <f>IFERROR(__xludf.DUMMYFUNCTION("""COMPUTED_VALUE"""),"       ├─ XD &amp; phản biện công thức (nội bộ) XK")</f>
        <v>       ├─ XD &amp; phản biện công thức (nội bộ) XK</v>
      </c>
      <c r="E41" s="389" t="str">
        <f>IFERROR(__xludf.DUMMYFUNCTION("""COMPUTED_VALUE"""),"Chưa bắt đầu")</f>
        <v>Chưa bắt đầu</v>
      </c>
      <c r="F41" s="664">
        <f>IFERROR(__xludf.DUMMYFUNCTION("""COMPUTED_VALUE"""),0.0)</f>
        <v>0</v>
      </c>
      <c r="G41" s="389" t="str">
        <f>IFERROR(__xludf.DUMMYFUNCTION("""COMPUTED_VALUE"""),"Em Đại")</f>
        <v>Em Đại</v>
      </c>
      <c r="H41" s="389" t="str">
        <f>IFERROR(__xludf.DUMMYFUNCTION("""COMPUTED_VALUE"""),"Dữ liệu điều hành")</f>
        <v>Dữ liệu điều hành</v>
      </c>
      <c r="I41" s="665">
        <f>IFERROR(__xludf.DUMMYFUNCTION("""COMPUTED_VALUE"""),46300.0)</f>
        <v>46300</v>
      </c>
      <c r="J41" s="389" t="str">
        <f>IFERROR(__xludf.DUMMYFUNCTION("""COMPUTED_VALUE"""),"🟢 Theo kế hoạch")</f>
        <v>🟢 Theo kế hoạch</v>
      </c>
      <c r="M41" s="389" t="str">
        <f>IF('Bản đồ công việc'!X57="","",'Bản đồ công việc'!W57)</f>
        <v/>
      </c>
      <c r="N41" s="389" t="str">
        <f>IF('Bản đồ công việc'!X57="","",'Bản đồ công việc'!X57)</f>
        <v/>
      </c>
      <c r="O41" s="389" t="str">
        <f>IF('Bản đồ công việc'!X57="","",'Bản đồ công việc'!Y57)</f>
        <v/>
      </c>
      <c r="P41" s="389" t="str">
        <f>IF('Bản đồ công việc'!X57="","",'Bản đồ công việc'!V57)</f>
        <v/>
      </c>
      <c r="Q41" s="389" t="str">
        <f>IF('Bản đồ công việc'!X57="","",'Bản đồ công việc'!AC57)</f>
        <v/>
      </c>
      <c r="R41" s="389" t="str">
        <f>IF('Bản đồ công việc'!X57="","",'Bản đồ công việc'!AD57)</f>
        <v/>
      </c>
      <c r="S41" s="389" t="str">
        <f>IF('Bản đồ công việc'!X57="","",'Bản đồ công việc'!Z57)</f>
        <v/>
      </c>
      <c r="T41" s="389" t="str">
        <f>IF('Bản đồ công việc'!X57="","",'Bản đồ công việc'!AA57)</f>
        <v/>
      </c>
      <c r="U41" s="389" t="str">
        <f>IF('Bản đồ công việc'!X57="","",'Bản đồ công việc'!AE57)</f>
        <v/>
      </c>
      <c r="V41" s="389" t="str">
        <f>IF('Bản đồ công việc'!X57="","",'Bản đồ công việc'!AI57)</f>
        <v/>
      </c>
      <c r="W41" s="389">
        <f t="shared" si="2"/>
        <v>0</v>
      </c>
      <c r="X41" s="389" t="str">
        <f t="shared" si="3"/>
        <v/>
      </c>
      <c r="Y41" s="389" t="str">
        <f t="shared" ref="Y41:Z41" si="37">IFERROR(INDEX($O$8:$O$684,MATCH(X41,$N$8:$N$684,0)),"")</f>
        <v/>
      </c>
      <c r="Z41" s="389" t="str">
        <f t="shared" si="37"/>
        <v/>
      </c>
      <c r="AA41" s="389">
        <f t="shared" si="5"/>
        <v>0</v>
      </c>
    </row>
    <row r="42" ht="15.75" customHeight="1">
      <c r="A42" s="389">
        <f>IFERROR(__xludf.DUMMYFUNCTION("""COMPUTED_VALUE"""),5.0)</f>
        <v>5</v>
      </c>
      <c r="B42" s="389" t="str">
        <f>IFERROR(__xludf.DUMMYFUNCTION("""COMPUTED_VALUE"""),"HHL5DL05-02")</f>
        <v>HHL5DL05-02</v>
      </c>
      <c r="C42" s="389" t="str">
        <f>IFERROR(__xludf.DUMMYFUNCTION("""COMPUTED_VALUE"""),"HHL4DL05")</f>
        <v>HHL4DL05</v>
      </c>
      <c r="D42" s="389" t="str">
        <f>IFERROR(__xludf.DUMMYFUNCTION("""COMPUTED_VALUE"""),"       ├─ Phản biện với TGĐ &amp; liên PB XK")</f>
        <v>       ├─ Phản biện với TGĐ &amp; liên PB XK</v>
      </c>
      <c r="E42" s="389" t="str">
        <f>IFERROR(__xludf.DUMMYFUNCTION("""COMPUTED_VALUE"""),"Chưa bắt đầu")</f>
        <v>Chưa bắt đầu</v>
      </c>
      <c r="F42" s="664">
        <f>IFERROR(__xludf.DUMMYFUNCTION("""COMPUTED_VALUE"""),0.0)</f>
        <v>0</v>
      </c>
      <c r="G42" s="389" t="str">
        <f>IFERROR(__xludf.DUMMYFUNCTION("""COMPUTED_VALUE"""),"Em Đại")</f>
        <v>Em Đại</v>
      </c>
      <c r="H42" s="389" t="str">
        <f>IFERROR(__xludf.DUMMYFUNCTION("""COMPUTED_VALUE"""),"Dữ liệu điều hành")</f>
        <v>Dữ liệu điều hành</v>
      </c>
      <c r="I42" s="665">
        <f>IFERROR(__xludf.DUMMYFUNCTION("""COMPUTED_VALUE"""),46310.0)</f>
        <v>46310</v>
      </c>
      <c r="J42" s="389" t="str">
        <f>IFERROR(__xludf.DUMMYFUNCTION("""COMPUTED_VALUE"""),"🟢 Theo kế hoạch")</f>
        <v>🟢 Theo kế hoạch</v>
      </c>
      <c r="M42" s="389" t="str">
        <f>IF('Bản đồ công việc'!X58="","",'Bản đồ công việc'!W58)</f>
        <v/>
      </c>
      <c r="N42" s="389" t="str">
        <f>IF('Bản đồ công việc'!X58="","",'Bản đồ công việc'!X58)</f>
        <v/>
      </c>
      <c r="O42" s="389" t="str">
        <f>IF('Bản đồ công việc'!X58="","",'Bản đồ công việc'!Y58)</f>
        <v/>
      </c>
      <c r="P42" s="389" t="str">
        <f>IF('Bản đồ công việc'!X58="","",'Bản đồ công việc'!V58)</f>
        <v/>
      </c>
      <c r="Q42" s="389" t="str">
        <f>IF('Bản đồ công việc'!X58="","",'Bản đồ công việc'!AC58)</f>
        <v/>
      </c>
      <c r="R42" s="389" t="str">
        <f>IF('Bản đồ công việc'!X58="","",'Bản đồ công việc'!AD58)</f>
        <v/>
      </c>
      <c r="S42" s="389" t="str">
        <f>IF('Bản đồ công việc'!X58="","",'Bản đồ công việc'!Z58)</f>
        <v/>
      </c>
      <c r="T42" s="389" t="str">
        <f>IF('Bản đồ công việc'!X58="","",'Bản đồ công việc'!AA58)</f>
        <v/>
      </c>
      <c r="U42" s="389" t="str">
        <f>IF('Bản đồ công việc'!X58="","",'Bản đồ công việc'!AE58)</f>
        <v/>
      </c>
      <c r="V42" s="389" t="str">
        <f>IF('Bản đồ công việc'!X58="","",'Bản đồ công việc'!AI58)</f>
        <v/>
      </c>
      <c r="W42" s="389">
        <f t="shared" si="2"/>
        <v>0</v>
      </c>
      <c r="X42" s="389" t="str">
        <f t="shared" si="3"/>
        <v/>
      </c>
      <c r="Y42" s="389" t="str">
        <f t="shared" ref="Y42:Z42" si="38">IFERROR(INDEX($O$8:$O$684,MATCH(X42,$N$8:$N$684,0)),"")</f>
        <v/>
      </c>
      <c r="Z42" s="389" t="str">
        <f t="shared" si="38"/>
        <v/>
      </c>
      <c r="AA42" s="389">
        <f t="shared" si="5"/>
        <v>0</v>
      </c>
    </row>
    <row r="43" ht="15.75" customHeight="1">
      <c r="A43" s="389">
        <f>IFERROR(__xludf.DUMMYFUNCTION("""COMPUTED_VALUE"""),5.0)</f>
        <v>5</v>
      </c>
      <c r="B43" s="389" t="str">
        <f>IFERROR(__xludf.DUMMYFUNCTION("""COMPUTED_VALUE"""),"HHL5DL05-03")</f>
        <v>HHL5DL05-03</v>
      </c>
      <c r="C43" s="389" t="str">
        <f>IFERROR(__xludf.DUMMYFUNCTION("""COMPUTED_VALUE"""),"HHL4DL05")</f>
        <v>HHL4DL05</v>
      </c>
      <c r="D43" s="389" t="str">
        <f>IFERROR(__xludf.DUMMYFUNCTION("""COMPUTED_VALUE"""),"       ├─ XD bảng Excel &amp; HT phần mềm (chạy demo) XK")</f>
        <v>       ├─ XD bảng Excel &amp; HT phần mềm (chạy demo) XK</v>
      </c>
      <c r="E43" s="389" t="str">
        <f>IFERROR(__xludf.DUMMYFUNCTION("""COMPUTED_VALUE"""),"Chưa bắt đầu")</f>
        <v>Chưa bắt đầu</v>
      </c>
      <c r="F43" s="664">
        <f>IFERROR(__xludf.DUMMYFUNCTION("""COMPUTED_VALUE"""),0.0)</f>
        <v>0</v>
      </c>
      <c r="G43" s="389" t="str">
        <f>IFERROR(__xludf.DUMMYFUNCTION("""COMPUTED_VALUE"""),"Em Đại")</f>
        <v>Em Đại</v>
      </c>
      <c r="H43" s="389" t="str">
        <f>IFERROR(__xludf.DUMMYFUNCTION("""COMPUTED_VALUE"""),"Dữ liệu điều hành")</f>
        <v>Dữ liệu điều hành</v>
      </c>
      <c r="I43" s="665">
        <f>IFERROR(__xludf.DUMMYFUNCTION("""COMPUTED_VALUE"""),46305.0)</f>
        <v>46305</v>
      </c>
      <c r="J43" s="389" t="str">
        <f>IFERROR(__xludf.DUMMYFUNCTION("""COMPUTED_VALUE"""),"🟢 Theo kế hoạch")</f>
        <v>🟢 Theo kế hoạch</v>
      </c>
      <c r="M43" s="389" t="str">
        <f>IF('Bản đồ công việc'!X59="","",'Bản đồ công việc'!W59)</f>
        <v/>
      </c>
      <c r="N43" s="389" t="str">
        <f>IF('Bản đồ công việc'!X59="","",'Bản đồ công việc'!X59)</f>
        <v/>
      </c>
      <c r="O43" s="389" t="str">
        <f>IF('Bản đồ công việc'!X59="","",'Bản đồ công việc'!Y59)</f>
        <v/>
      </c>
      <c r="P43" s="389" t="str">
        <f>IF('Bản đồ công việc'!X59="","",'Bản đồ công việc'!V59)</f>
        <v/>
      </c>
      <c r="Q43" s="389" t="str">
        <f>IF('Bản đồ công việc'!X59="","",'Bản đồ công việc'!AC59)</f>
        <v/>
      </c>
      <c r="R43" s="389" t="str">
        <f>IF('Bản đồ công việc'!X59="","",'Bản đồ công việc'!AD59)</f>
        <v/>
      </c>
      <c r="S43" s="389" t="str">
        <f>IF('Bản đồ công việc'!X59="","",'Bản đồ công việc'!Z59)</f>
        <v/>
      </c>
      <c r="T43" s="389" t="str">
        <f>IF('Bản đồ công việc'!X59="","",'Bản đồ công việc'!AA59)</f>
        <v/>
      </c>
      <c r="U43" s="389" t="str">
        <f>IF('Bản đồ công việc'!X59="","",'Bản đồ công việc'!AE59)</f>
        <v/>
      </c>
      <c r="V43" s="389" t="str">
        <f>IF('Bản đồ công việc'!X59="","",'Bản đồ công việc'!AI59)</f>
        <v/>
      </c>
      <c r="W43" s="389">
        <f t="shared" si="2"/>
        <v>0</v>
      </c>
      <c r="X43" s="389" t="str">
        <f t="shared" si="3"/>
        <v/>
      </c>
      <c r="Y43" s="389" t="str">
        <f t="shared" ref="Y43:Z43" si="39">IFERROR(INDEX($O$8:$O$684,MATCH(X43,$N$8:$N$684,0)),"")</f>
        <v/>
      </c>
      <c r="Z43" s="389" t="str">
        <f t="shared" si="39"/>
        <v/>
      </c>
      <c r="AA43" s="389">
        <f t="shared" si="5"/>
        <v>0</v>
      </c>
    </row>
    <row r="44" ht="15.75" customHeight="1">
      <c r="A44" s="389">
        <f>IFERROR(__xludf.DUMMYFUNCTION("""COMPUTED_VALUE"""),5.0)</f>
        <v>5</v>
      </c>
      <c r="B44" s="389" t="str">
        <f>IFERROR(__xludf.DUMMYFUNCTION("""COMPUTED_VALUE"""),"HHL5DL05-04")</f>
        <v>HHL5DL05-04</v>
      </c>
      <c r="C44" s="389" t="str">
        <f>IFERROR(__xludf.DUMMYFUNCTION("""COMPUTED_VALUE"""),"HHL4DL05")</f>
        <v>HHL4DL05</v>
      </c>
      <c r="D44" s="389" t="str">
        <f>IFERROR(__xludf.DUMMYFUNCTION("""COMPUTED_VALUE"""),"       ├─ Chạy tham số Topdown XK")</f>
        <v>       ├─ Chạy tham số Topdown XK</v>
      </c>
      <c r="E44" s="389" t="str">
        <f>IFERROR(__xludf.DUMMYFUNCTION("""COMPUTED_VALUE"""),"Đã lên lịch")</f>
        <v>Đã lên lịch</v>
      </c>
      <c r="F44" s="664" t="str">
        <f>IFERROR(__xludf.DUMMYFUNCTION("""COMPUTED_VALUE"""),"")</f>
        <v/>
      </c>
      <c r="G44" s="389" t="str">
        <f>IFERROR(__xludf.DUMMYFUNCTION("""COMPUTED_VALUE"""),"Em Đại")</f>
        <v>Em Đại</v>
      </c>
      <c r="H44" s="389" t="str">
        <f>IFERROR(__xludf.DUMMYFUNCTION("""COMPUTED_VALUE"""),"Dữ liệu điều hành")</f>
        <v>Dữ liệu điều hành</v>
      </c>
      <c r="I44" s="665">
        <f>IFERROR(__xludf.DUMMYFUNCTION("""COMPUTED_VALUE"""),46307.0)</f>
        <v>46307</v>
      </c>
      <c r="J44" s="389" t="str">
        <f>IFERROR(__xludf.DUMMYFUNCTION("""COMPUTED_VALUE"""),"🟢 Theo kế hoạch")</f>
        <v>🟢 Theo kế hoạch</v>
      </c>
      <c r="M44" s="389" t="str">
        <f>IF('Bản đồ công việc'!X60="","",'Bản đồ công việc'!W60)</f>
        <v/>
      </c>
      <c r="N44" s="389" t="str">
        <f>IF('Bản đồ công việc'!X60="","",'Bản đồ công việc'!X60)</f>
        <v/>
      </c>
      <c r="O44" s="389" t="str">
        <f>IF('Bản đồ công việc'!X60="","",'Bản đồ công việc'!Y60)</f>
        <v/>
      </c>
      <c r="P44" s="389" t="str">
        <f>IF('Bản đồ công việc'!X60="","",'Bản đồ công việc'!V60)</f>
        <v/>
      </c>
      <c r="Q44" s="389" t="str">
        <f>IF('Bản đồ công việc'!X60="","",'Bản đồ công việc'!AC60)</f>
        <v/>
      </c>
      <c r="R44" s="389" t="str">
        <f>IF('Bản đồ công việc'!X60="","",'Bản đồ công việc'!AD60)</f>
        <v/>
      </c>
      <c r="S44" s="389" t="str">
        <f>IF('Bản đồ công việc'!X60="","",'Bản đồ công việc'!Z60)</f>
        <v/>
      </c>
      <c r="T44" s="389" t="str">
        <f>IF('Bản đồ công việc'!X60="","",'Bản đồ công việc'!AA60)</f>
        <v/>
      </c>
      <c r="U44" s="389" t="str">
        <f>IF('Bản đồ công việc'!X60="","",'Bản đồ công việc'!AE60)</f>
        <v/>
      </c>
      <c r="V44" s="389" t="str">
        <f>IF('Bản đồ công việc'!X60="","",'Bản đồ công việc'!AI60)</f>
        <v/>
      </c>
      <c r="W44" s="389">
        <f t="shared" si="2"/>
        <v>0</v>
      </c>
      <c r="X44" s="389" t="str">
        <f t="shared" si="3"/>
        <v/>
      </c>
      <c r="Y44" s="389" t="str">
        <f t="shared" ref="Y44:Z44" si="40">IFERROR(INDEX($O$8:$O$684,MATCH(X44,$N$8:$N$684,0)),"")</f>
        <v/>
      </c>
      <c r="Z44" s="389" t="str">
        <f t="shared" si="40"/>
        <v/>
      </c>
      <c r="AA44" s="389">
        <f t="shared" si="5"/>
        <v>0</v>
      </c>
    </row>
    <row r="45" ht="15.75" customHeight="1">
      <c r="A45" s="389">
        <f>IFERROR(__xludf.DUMMYFUNCTION("""COMPUTED_VALUE"""),5.0)</f>
        <v>5</v>
      </c>
      <c r="B45" s="389" t="str">
        <f>IFERROR(__xludf.DUMMYFUNCTION("""COMPUTED_VALUE"""),"HHL5DL05-05")</f>
        <v>HHL5DL05-05</v>
      </c>
      <c r="C45" s="389" t="str">
        <f>IFERROR(__xludf.DUMMYFUNCTION("""COMPUTED_VALUE"""),"HHL4DL05")</f>
        <v>HHL4DL05</v>
      </c>
      <c r="D45" s="389" t="str">
        <f>IFERROR(__xludf.DUMMYFUNCTION("""COMPUTED_VALUE"""),"       ├─ Chạy tham số Bottom-up theo khu vực vùng miền XK")</f>
        <v>       ├─ Chạy tham số Bottom-up theo khu vực vùng miền XK</v>
      </c>
      <c r="E45" s="389" t="str">
        <f>IFERROR(__xludf.DUMMYFUNCTION("""COMPUTED_VALUE"""),"Đã lên lịch")</f>
        <v>Đã lên lịch</v>
      </c>
      <c r="F45" s="664" t="str">
        <f>IFERROR(__xludf.DUMMYFUNCTION("""COMPUTED_VALUE"""),"")</f>
        <v/>
      </c>
      <c r="G45" s="389" t="str">
        <f>IFERROR(__xludf.DUMMYFUNCTION("""COMPUTED_VALUE"""),"Em Đại")</f>
        <v>Em Đại</v>
      </c>
      <c r="H45" s="389" t="str">
        <f>IFERROR(__xludf.DUMMYFUNCTION("""COMPUTED_VALUE"""),"Dữ liệu điều hành")</f>
        <v>Dữ liệu điều hành</v>
      </c>
      <c r="I45" s="665">
        <f>IFERROR(__xludf.DUMMYFUNCTION("""COMPUTED_VALUE"""),46320.0)</f>
        <v>46320</v>
      </c>
      <c r="J45" s="389" t="str">
        <f>IFERROR(__xludf.DUMMYFUNCTION("""COMPUTED_VALUE"""),"🟢 Theo kế hoạch")</f>
        <v>🟢 Theo kế hoạch</v>
      </c>
      <c r="M45" s="389" t="str">
        <f>IF('Bản đồ công việc'!X61="","",'Bản đồ công việc'!W61)</f>
        <v/>
      </c>
      <c r="N45" s="389" t="str">
        <f>IF('Bản đồ công việc'!X61="","",'Bản đồ công việc'!X61)</f>
        <v/>
      </c>
      <c r="O45" s="389" t="str">
        <f>IF('Bản đồ công việc'!X61="","",'Bản đồ công việc'!Y61)</f>
        <v/>
      </c>
      <c r="P45" s="389" t="str">
        <f>IF('Bản đồ công việc'!X61="","",'Bản đồ công việc'!V61)</f>
        <v/>
      </c>
      <c r="Q45" s="389" t="str">
        <f>IF('Bản đồ công việc'!X61="","",'Bản đồ công việc'!AC61)</f>
        <v/>
      </c>
      <c r="R45" s="389" t="str">
        <f>IF('Bản đồ công việc'!X61="","",'Bản đồ công việc'!AD61)</f>
        <v/>
      </c>
      <c r="S45" s="389" t="str">
        <f>IF('Bản đồ công việc'!X61="","",'Bản đồ công việc'!Z61)</f>
        <v/>
      </c>
      <c r="T45" s="389" t="str">
        <f>IF('Bản đồ công việc'!X61="","",'Bản đồ công việc'!AA61)</f>
        <v/>
      </c>
      <c r="U45" s="389" t="str">
        <f>IF('Bản đồ công việc'!X61="","",'Bản đồ công việc'!AE61)</f>
        <v/>
      </c>
      <c r="V45" s="389" t="str">
        <f>IF('Bản đồ công việc'!X61="","",'Bản đồ công việc'!AI61)</f>
        <v/>
      </c>
      <c r="W45" s="389">
        <f t="shared" si="2"/>
        <v>0</v>
      </c>
      <c r="X45" s="389" t="str">
        <f t="shared" si="3"/>
        <v/>
      </c>
      <c r="Y45" s="389" t="str">
        <f t="shared" ref="Y45:Z45" si="41">IFERROR(INDEX($O$8:$O$684,MATCH(X45,$N$8:$N$684,0)),"")</f>
        <v/>
      </c>
      <c r="Z45" s="389" t="str">
        <f t="shared" si="41"/>
        <v/>
      </c>
      <c r="AA45" s="389">
        <f t="shared" si="5"/>
        <v>0</v>
      </c>
    </row>
    <row r="46" ht="15.75" customHeight="1">
      <c r="A46" s="389">
        <f>IFERROR(__xludf.DUMMYFUNCTION("""COMPUTED_VALUE"""),5.0)</f>
        <v>5</v>
      </c>
      <c r="B46" s="389" t="str">
        <f>IFERROR(__xludf.DUMMYFUNCTION("""COMPUTED_VALUE"""),"HHL5DL06-01")</f>
        <v>HHL5DL06-01</v>
      </c>
      <c r="C46" s="389" t="str">
        <f>IFERROR(__xludf.DUMMYFUNCTION("""COMPUTED_VALUE"""),"HHL4DL06")</f>
        <v>HHL4DL06</v>
      </c>
      <c r="D46" s="389" t="str">
        <f>IFERROR(__xludf.DUMMYFUNCTION("""COMPUTED_VALUE"""),"       ├─ XD &amp; phản biện công thức (nội bộ) Showroom")</f>
        <v>       ├─ XD &amp; phản biện công thức (nội bộ) Showroom</v>
      </c>
      <c r="E46" s="389" t="str">
        <f>IFERROR(__xludf.DUMMYFUNCTION("""COMPUTED_VALUE"""),"Chưa bắt đầu")</f>
        <v>Chưa bắt đầu</v>
      </c>
      <c r="F46" s="664">
        <f>IFERROR(__xludf.DUMMYFUNCTION("""COMPUTED_VALUE"""),0.0)</f>
        <v>0</v>
      </c>
      <c r="G46" s="389" t="str">
        <f>IFERROR(__xludf.DUMMYFUNCTION("""COMPUTED_VALUE"""),"Em Đại")</f>
        <v>Em Đại</v>
      </c>
      <c r="H46" s="389" t="str">
        <f>IFERROR(__xludf.DUMMYFUNCTION("""COMPUTED_VALUE"""),"Dữ liệu điều hành")</f>
        <v>Dữ liệu điều hành</v>
      </c>
      <c r="I46" s="665">
        <f>IFERROR(__xludf.DUMMYFUNCTION("""COMPUTED_VALUE"""),46300.0)</f>
        <v>46300</v>
      </c>
      <c r="J46" s="389" t="str">
        <f>IFERROR(__xludf.DUMMYFUNCTION("""COMPUTED_VALUE"""),"🟢 Theo kế hoạch")</f>
        <v>🟢 Theo kế hoạch</v>
      </c>
      <c r="M46" s="389" t="str">
        <f>IF('Bản đồ công việc'!X62="","",'Bản đồ công việc'!W62)</f>
        <v/>
      </c>
      <c r="N46" s="389" t="str">
        <f>IF('Bản đồ công việc'!X62="","",'Bản đồ công việc'!X62)</f>
        <v/>
      </c>
      <c r="O46" s="389" t="str">
        <f>IF('Bản đồ công việc'!X62="","",'Bản đồ công việc'!Y62)</f>
        <v/>
      </c>
      <c r="P46" s="389" t="str">
        <f>IF('Bản đồ công việc'!X62="","",'Bản đồ công việc'!V62)</f>
        <v/>
      </c>
      <c r="Q46" s="389" t="str">
        <f>IF('Bản đồ công việc'!X62="","",'Bản đồ công việc'!AC62)</f>
        <v/>
      </c>
      <c r="R46" s="389" t="str">
        <f>IF('Bản đồ công việc'!X62="","",'Bản đồ công việc'!AD62)</f>
        <v/>
      </c>
      <c r="S46" s="389" t="str">
        <f>IF('Bản đồ công việc'!X62="","",'Bản đồ công việc'!Z62)</f>
        <v/>
      </c>
      <c r="T46" s="389" t="str">
        <f>IF('Bản đồ công việc'!X62="","",'Bản đồ công việc'!AA62)</f>
        <v/>
      </c>
      <c r="U46" s="389" t="str">
        <f>IF('Bản đồ công việc'!X62="","",'Bản đồ công việc'!AE62)</f>
        <v/>
      </c>
      <c r="V46" s="389" t="str">
        <f>IF('Bản đồ công việc'!X62="","",'Bản đồ công việc'!AI62)</f>
        <v/>
      </c>
      <c r="W46" s="389">
        <f t="shared" si="2"/>
        <v>0</v>
      </c>
      <c r="X46" s="389" t="str">
        <f t="shared" si="3"/>
        <v/>
      </c>
      <c r="Y46" s="389" t="str">
        <f t="shared" ref="Y46:Z46" si="42">IFERROR(INDEX($O$8:$O$684,MATCH(X46,$N$8:$N$684,0)),"")</f>
        <v/>
      </c>
      <c r="Z46" s="389" t="str">
        <f t="shared" si="42"/>
        <v/>
      </c>
      <c r="AA46" s="389">
        <f t="shared" si="5"/>
        <v>0</v>
      </c>
    </row>
    <row r="47" ht="15.75" customHeight="1">
      <c r="A47" s="389">
        <f>IFERROR(__xludf.DUMMYFUNCTION("""COMPUTED_VALUE"""),5.0)</f>
        <v>5</v>
      </c>
      <c r="B47" s="389" t="str">
        <f>IFERROR(__xludf.DUMMYFUNCTION("""COMPUTED_VALUE"""),"HHL5DL06-02")</f>
        <v>HHL5DL06-02</v>
      </c>
      <c r="C47" s="389" t="str">
        <f>IFERROR(__xludf.DUMMYFUNCTION("""COMPUTED_VALUE"""),"HHL4DL06")</f>
        <v>HHL4DL06</v>
      </c>
      <c r="D47" s="389" t="str">
        <f>IFERROR(__xludf.DUMMYFUNCTION("""COMPUTED_VALUE"""),"       ├─ Phản biện với TGĐ &amp; liên PB Showroom")</f>
        <v>       ├─ Phản biện với TGĐ &amp; liên PB Showroom</v>
      </c>
      <c r="E47" s="389" t="str">
        <f>IFERROR(__xludf.DUMMYFUNCTION("""COMPUTED_VALUE"""),"Chưa bắt đầu")</f>
        <v>Chưa bắt đầu</v>
      </c>
      <c r="F47" s="664">
        <f>IFERROR(__xludf.DUMMYFUNCTION("""COMPUTED_VALUE"""),0.0)</f>
        <v>0</v>
      </c>
      <c r="G47" s="389" t="str">
        <f>IFERROR(__xludf.DUMMYFUNCTION("""COMPUTED_VALUE"""),"Em Đại")</f>
        <v>Em Đại</v>
      </c>
      <c r="H47" s="389" t="str">
        <f>IFERROR(__xludf.DUMMYFUNCTION("""COMPUTED_VALUE"""),"Dữ liệu điều hành")</f>
        <v>Dữ liệu điều hành</v>
      </c>
      <c r="I47" s="665">
        <f>IFERROR(__xludf.DUMMYFUNCTION("""COMPUTED_VALUE"""),46310.0)</f>
        <v>46310</v>
      </c>
      <c r="J47" s="389" t="str">
        <f>IFERROR(__xludf.DUMMYFUNCTION("""COMPUTED_VALUE"""),"🟢 Theo kế hoạch")</f>
        <v>🟢 Theo kế hoạch</v>
      </c>
      <c r="M47" s="389" t="str">
        <f>IF('Bản đồ công việc'!X63="","",'Bản đồ công việc'!W63)</f>
        <v/>
      </c>
      <c r="N47" s="389" t="str">
        <f>IF('Bản đồ công việc'!X63="","",'Bản đồ công việc'!X63)</f>
        <v/>
      </c>
      <c r="O47" s="389" t="str">
        <f>IF('Bản đồ công việc'!X63="","",'Bản đồ công việc'!Y63)</f>
        <v/>
      </c>
      <c r="P47" s="389" t="str">
        <f>IF('Bản đồ công việc'!X63="","",'Bản đồ công việc'!V63)</f>
        <v/>
      </c>
      <c r="Q47" s="389" t="str">
        <f>IF('Bản đồ công việc'!X63="","",'Bản đồ công việc'!AC63)</f>
        <v/>
      </c>
      <c r="R47" s="389" t="str">
        <f>IF('Bản đồ công việc'!X63="","",'Bản đồ công việc'!AD63)</f>
        <v/>
      </c>
      <c r="S47" s="389" t="str">
        <f>IF('Bản đồ công việc'!X63="","",'Bản đồ công việc'!Z63)</f>
        <v/>
      </c>
      <c r="T47" s="389" t="str">
        <f>IF('Bản đồ công việc'!X63="","",'Bản đồ công việc'!AA63)</f>
        <v/>
      </c>
      <c r="U47" s="389" t="str">
        <f>IF('Bản đồ công việc'!X63="","",'Bản đồ công việc'!AE63)</f>
        <v/>
      </c>
      <c r="V47" s="389" t="str">
        <f>IF('Bản đồ công việc'!X63="","",'Bản đồ công việc'!AI63)</f>
        <v/>
      </c>
      <c r="W47" s="389">
        <f t="shared" si="2"/>
        <v>0</v>
      </c>
      <c r="X47" s="389" t="str">
        <f t="shared" si="3"/>
        <v/>
      </c>
      <c r="Y47" s="389" t="str">
        <f t="shared" ref="Y47:Z47" si="43">IFERROR(INDEX($O$8:$O$684,MATCH(X47,$N$8:$N$684,0)),"")</f>
        <v/>
      </c>
      <c r="Z47" s="389" t="str">
        <f t="shared" si="43"/>
        <v/>
      </c>
      <c r="AA47" s="389">
        <f t="shared" si="5"/>
        <v>0</v>
      </c>
    </row>
    <row r="48" ht="15.75" customHeight="1">
      <c r="A48" s="389">
        <f>IFERROR(__xludf.DUMMYFUNCTION("""COMPUTED_VALUE"""),5.0)</f>
        <v>5</v>
      </c>
      <c r="B48" s="389" t="str">
        <f>IFERROR(__xludf.DUMMYFUNCTION("""COMPUTED_VALUE"""),"HHL5DL06-03")</f>
        <v>HHL5DL06-03</v>
      </c>
      <c r="C48" s="389" t="str">
        <f>IFERROR(__xludf.DUMMYFUNCTION("""COMPUTED_VALUE"""),"HHL4DL06")</f>
        <v>HHL4DL06</v>
      </c>
      <c r="D48" s="389" t="str">
        <f>IFERROR(__xludf.DUMMYFUNCTION("""COMPUTED_VALUE"""),"       ├─ XD bảng Excel &amp; HT phần mềm (chạy demo) Showroom")</f>
        <v>       ├─ XD bảng Excel &amp; HT phần mềm (chạy demo) Showroom</v>
      </c>
      <c r="E48" s="389" t="str">
        <f>IFERROR(__xludf.DUMMYFUNCTION("""COMPUTED_VALUE"""),"Chưa bắt đầu")</f>
        <v>Chưa bắt đầu</v>
      </c>
      <c r="F48" s="664">
        <f>IFERROR(__xludf.DUMMYFUNCTION("""COMPUTED_VALUE"""),0.0)</f>
        <v>0</v>
      </c>
      <c r="G48" s="389" t="str">
        <f>IFERROR(__xludf.DUMMYFUNCTION("""COMPUTED_VALUE"""),"Em Đại")</f>
        <v>Em Đại</v>
      </c>
      <c r="H48" s="389" t="str">
        <f>IFERROR(__xludf.DUMMYFUNCTION("""COMPUTED_VALUE"""),"Dữ liệu điều hành")</f>
        <v>Dữ liệu điều hành</v>
      </c>
      <c r="I48" s="665">
        <f>IFERROR(__xludf.DUMMYFUNCTION("""COMPUTED_VALUE"""),46305.0)</f>
        <v>46305</v>
      </c>
      <c r="J48" s="389" t="str">
        <f>IFERROR(__xludf.DUMMYFUNCTION("""COMPUTED_VALUE"""),"🟢 Theo kế hoạch")</f>
        <v>🟢 Theo kế hoạch</v>
      </c>
      <c r="M48" s="389" t="str">
        <f>IF('Bản đồ công việc'!X64="","",'Bản đồ công việc'!W64)</f>
        <v/>
      </c>
      <c r="N48" s="389" t="str">
        <f>IF('Bản đồ công việc'!X64="","",'Bản đồ công việc'!X64)</f>
        <v/>
      </c>
      <c r="O48" s="389" t="str">
        <f>IF('Bản đồ công việc'!X64="","",'Bản đồ công việc'!Y64)</f>
        <v/>
      </c>
      <c r="P48" s="389" t="str">
        <f>IF('Bản đồ công việc'!X64="","",'Bản đồ công việc'!V64)</f>
        <v/>
      </c>
      <c r="Q48" s="389" t="str">
        <f>IF('Bản đồ công việc'!X64="","",'Bản đồ công việc'!AC64)</f>
        <v/>
      </c>
      <c r="R48" s="389" t="str">
        <f>IF('Bản đồ công việc'!X64="","",'Bản đồ công việc'!AD64)</f>
        <v/>
      </c>
      <c r="S48" s="389" t="str">
        <f>IF('Bản đồ công việc'!X64="","",'Bản đồ công việc'!Z64)</f>
        <v/>
      </c>
      <c r="T48" s="389" t="str">
        <f>IF('Bản đồ công việc'!X64="","",'Bản đồ công việc'!AA64)</f>
        <v/>
      </c>
      <c r="U48" s="389" t="str">
        <f>IF('Bản đồ công việc'!X64="","",'Bản đồ công việc'!AE64)</f>
        <v/>
      </c>
      <c r="V48" s="389" t="str">
        <f>IF('Bản đồ công việc'!X64="","",'Bản đồ công việc'!AI64)</f>
        <v/>
      </c>
      <c r="W48" s="389">
        <f t="shared" si="2"/>
        <v>0</v>
      </c>
      <c r="X48" s="389" t="str">
        <f t="shared" si="3"/>
        <v/>
      </c>
      <c r="Y48" s="389" t="str">
        <f t="shared" ref="Y48:Z48" si="44">IFERROR(INDEX($O$8:$O$684,MATCH(X48,$N$8:$N$684,0)),"")</f>
        <v/>
      </c>
      <c r="Z48" s="389" t="str">
        <f t="shared" si="44"/>
        <v/>
      </c>
      <c r="AA48" s="389">
        <f t="shared" si="5"/>
        <v>0</v>
      </c>
    </row>
    <row r="49" ht="15.75" customHeight="1">
      <c r="A49" s="389">
        <f>IFERROR(__xludf.DUMMYFUNCTION("""COMPUTED_VALUE"""),5.0)</f>
        <v>5</v>
      </c>
      <c r="B49" s="389" t="str">
        <f>IFERROR(__xludf.DUMMYFUNCTION("""COMPUTED_VALUE"""),"HHL5DL06-04")</f>
        <v>HHL5DL06-04</v>
      </c>
      <c r="C49" s="389" t="str">
        <f>IFERROR(__xludf.DUMMYFUNCTION("""COMPUTED_VALUE"""),"HHL4DL06")</f>
        <v>HHL4DL06</v>
      </c>
      <c r="D49" s="389" t="str">
        <f>IFERROR(__xludf.DUMMYFUNCTION("""COMPUTED_VALUE"""),"       ├─ Chạy tham số. Topdown Showroom")</f>
        <v>       ├─ Chạy tham số. Topdown Showroom</v>
      </c>
      <c r="E49" s="389" t="str">
        <f>IFERROR(__xludf.DUMMYFUNCTION("""COMPUTED_VALUE"""),"Đã lên lịch")</f>
        <v>Đã lên lịch</v>
      </c>
      <c r="F49" s="664" t="str">
        <f>IFERROR(__xludf.DUMMYFUNCTION("""COMPUTED_VALUE"""),"")</f>
        <v/>
      </c>
      <c r="G49" s="389" t="str">
        <f>IFERROR(__xludf.DUMMYFUNCTION("""COMPUTED_VALUE"""),"Em Đại")</f>
        <v>Em Đại</v>
      </c>
      <c r="H49" s="389" t="str">
        <f>IFERROR(__xludf.DUMMYFUNCTION("""COMPUTED_VALUE"""),"Dữ liệu điều hành")</f>
        <v>Dữ liệu điều hành</v>
      </c>
      <c r="I49" s="665">
        <f>IFERROR(__xludf.DUMMYFUNCTION("""COMPUTED_VALUE"""),46307.0)</f>
        <v>46307</v>
      </c>
      <c r="J49" s="389" t="str">
        <f>IFERROR(__xludf.DUMMYFUNCTION("""COMPUTED_VALUE"""),"🟢 Theo kế hoạch")</f>
        <v>🟢 Theo kế hoạch</v>
      </c>
      <c r="M49" s="389" t="str">
        <f>IF('Bản đồ công việc'!X65="","",'Bản đồ công việc'!W65)</f>
        <v/>
      </c>
      <c r="N49" s="389" t="str">
        <f>IF('Bản đồ công việc'!X65="","",'Bản đồ công việc'!X65)</f>
        <v/>
      </c>
      <c r="O49" s="389" t="str">
        <f>IF('Bản đồ công việc'!X65="","",'Bản đồ công việc'!Y65)</f>
        <v/>
      </c>
      <c r="P49" s="389" t="str">
        <f>IF('Bản đồ công việc'!X65="","",'Bản đồ công việc'!V65)</f>
        <v/>
      </c>
      <c r="Q49" s="389" t="str">
        <f>IF('Bản đồ công việc'!X65="","",'Bản đồ công việc'!AC65)</f>
        <v/>
      </c>
      <c r="R49" s="389" t="str">
        <f>IF('Bản đồ công việc'!X65="","",'Bản đồ công việc'!AD65)</f>
        <v/>
      </c>
      <c r="S49" s="389" t="str">
        <f>IF('Bản đồ công việc'!X65="","",'Bản đồ công việc'!Z65)</f>
        <v/>
      </c>
      <c r="T49" s="389" t="str">
        <f>IF('Bản đồ công việc'!X65="","",'Bản đồ công việc'!AA65)</f>
        <v/>
      </c>
      <c r="U49" s="389" t="str">
        <f>IF('Bản đồ công việc'!X65="","",'Bản đồ công việc'!AE65)</f>
        <v/>
      </c>
      <c r="V49" s="389" t="str">
        <f>IF('Bản đồ công việc'!X65="","",'Bản đồ công việc'!AI65)</f>
        <v/>
      </c>
      <c r="W49" s="389">
        <f t="shared" si="2"/>
        <v>0</v>
      </c>
      <c r="X49" s="389" t="str">
        <f t="shared" si="3"/>
        <v/>
      </c>
      <c r="Y49" s="389" t="str">
        <f t="shared" ref="Y49:Z49" si="45">IFERROR(INDEX($O$8:$O$684,MATCH(X49,$N$8:$N$684,0)),"")</f>
        <v/>
      </c>
      <c r="Z49" s="389" t="str">
        <f t="shared" si="45"/>
        <v/>
      </c>
      <c r="AA49" s="389">
        <f t="shared" si="5"/>
        <v>0</v>
      </c>
    </row>
    <row r="50" ht="15.75" customHeight="1">
      <c r="A50" s="389">
        <f>IFERROR(__xludf.DUMMYFUNCTION("""COMPUTED_VALUE"""),5.0)</f>
        <v>5</v>
      </c>
      <c r="B50" s="389" t="str">
        <f>IFERROR(__xludf.DUMMYFUNCTION("""COMPUTED_VALUE"""),"HHL5DL06-05")</f>
        <v>HHL5DL06-05</v>
      </c>
      <c r="C50" s="389" t="str">
        <f>IFERROR(__xludf.DUMMYFUNCTION("""COMPUTED_VALUE"""),"HHL4DL06")</f>
        <v>HHL4DL06</v>
      </c>
      <c r="D50" s="389" t="str">
        <f>IFERROR(__xludf.DUMMYFUNCTION("""COMPUTED_VALUE"""),"       ├─ Chạy tham số Bottom-up theo khu vực vùng miền Showroom")</f>
        <v>       ├─ Chạy tham số Bottom-up theo khu vực vùng miền Showroom</v>
      </c>
      <c r="E50" s="389" t="str">
        <f>IFERROR(__xludf.DUMMYFUNCTION("""COMPUTED_VALUE"""),"Đã lên lịch")</f>
        <v>Đã lên lịch</v>
      </c>
      <c r="F50" s="664" t="str">
        <f>IFERROR(__xludf.DUMMYFUNCTION("""COMPUTED_VALUE"""),"")</f>
        <v/>
      </c>
      <c r="G50" s="389" t="str">
        <f>IFERROR(__xludf.DUMMYFUNCTION("""COMPUTED_VALUE"""),"Em Đại")</f>
        <v>Em Đại</v>
      </c>
      <c r="H50" s="389" t="str">
        <f>IFERROR(__xludf.DUMMYFUNCTION("""COMPUTED_VALUE"""),"Dữ liệu điều hành")</f>
        <v>Dữ liệu điều hành</v>
      </c>
      <c r="I50" s="665">
        <f>IFERROR(__xludf.DUMMYFUNCTION("""COMPUTED_VALUE"""),46320.0)</f>
        <v>46320</v>
      </c>
      <c r="J50" s="389" t="str">
        <f>IFERROR(__xludf.DUMMYFUNCTION("""COMPUTED_VALUE"""),"🟢 Theo kế hoạch")</f>
        <v>🟢 Theo kế hoạch</v>
      </c>
      <c r="M50" s="389" t="str">
        <f>IF('Bản đồ công việc'!X66="","",'Bản đồ công việc'!W66)</f>
        <v/>
      </c>
      <c r="N50" s="389" t="str">
        <f>IF('Bản đồ công việc'!X66="","",'Bản đồ công việc'!X66)</f>
        <v/>
      </c>
      <c r="O50" s="389" t="str">
        <f>IF('Bản đồ công việc'!X66="","",'Bản đồ công việc'!Y66)</f>
        <v/>
      </c>
      <c r="P50" s="389" t="str">
        <f>IF('Bản đồ công việc'!X66="","",'Bản đồ công việc'!V66)</f>
        <v/>
      </c>
      <c r="Q50" s="389" t="str">
        <f>IF('Bản đồ công việc'!X66="","",'Bản đồ công việc'!AC66)</f>
        <v/>
      </c>
      <c r="R50" s="389" t="str">
        <f>IF('Bản đồ công việc'!X66="","",'Bản đồ công việc'!AD66)</f>
        <v/>
      </c>
      <c r="S50" s="389" t="str">
        <f>IF('Bản đồ công việc'!X66="","",'Bản đồ công việc'!Z66)</f>
        <v/>
      </c>
      <c r="T50" s="389" t="str">
        <f>IF('Bản đồ công việc'!X66="","",'Bản đồ công việc'!AA66)</f>
        <v/>
      </c>
      <c r="U50" s="389" t="str">
        <f>IF('Bản đồ công việc'!X66="","",'Bản đồ công việc'!AE66)</f>
        <v/>
      </c>
      <c r="V50" s="389" t="str">
        <f>IF('Bản đồ công việc'!X66="","",'Bản đồ công việc'!AI66)</f>
        <v/>
      </c>
      <c r="W50" s="389">
        <f t="shared" si="2"/>
        <v>0</v>
      </c>
      <c r="X50" s="389" t="str">
        <f t="shared" si="3"/>
        <v/>
      </c>
      <c r="Y50" s="389" t="str">
        <f t="shared" ref="Y50:Z50" si="46">IFERROR(INDEX($O$8:$O$684,MATCH(X50,$N$8:$N$684,0)),"")</f>
        <v/>
      </c>
      <c r="Z50" s="389" t="str">
        <f t="shared" si="46"/>
        <v/>
      </c>
      <c r="AA50" s="389">
        <f t="shared" si="5"/>
        <v>0</v>
      </c>
    </row>
    <row r="51" ht="15.75" customHeight="1">
      <c r="F51" s="664"/>
      <c r="I51" s="665"/>
      <c r="M51" s="389" t="str">
        <f>IF('Bản đồ công việc'!X67="","",'Bản đồ công việc'!W67)</f>
        <v/>
      </c>
      <c r="N51" s="389" t="str">
        <f>IF('Bản đồ công việc'!X67="","",'Bản đồ công việc'!X67)</f>
        <v/>
      </c>
      <c r="O51" s="389" t="str">
        <f>IF('Bản đồ công việc'!X67="","",'Bản đồ công việc'!Y67)</f>
        <v/>
      </c>
      <c r="P51" s="389" t="str">
        <f>IF('Bản đồ công việc'!X67="","",'Bản đồ công việc'!V67)</f>
        <v/>
      </c>
      <c r="Q51" s="389" t="str">
        <f>IF('Bản đồ công việc'!X67="","",'Bản đồ công việc'!AC67)</f>
        <v/>
      </c>
      <c r="R51" s="389" t="str">
        <f>IF('Bản đồ công việc'!X67="","",'Bản đồ công việc'!AD67)</f>
        <v/>
      </c>
      <c r="S51" s="389" t="str">
        <f>IF('Bản đồ công việc'!X67="","",'Bản đồ công việc'!Z67)</f>
        <v/>
      </c>
      <c r="T51" s="389" t="str">
        <f>IF('Bản đồ công việc'!X67="","",'Bản đồ công việc'!AA67)</f>
        <v/>
      </c>
      <c r="U51" s="389" t="str">
        <f>IF('Bản đồ công việc'!X67="","",'Bản đồ công việc'!AE67)</f>
        <v/>
      </c>
      <c r="V51" s="389" t="str">
        <f>IF('Bản đồ công việc'!X67="","",'Bản đồ công việc'!AI67)</f>
        <v/>
      </c>
      <c r="W51" s="389">
        <f t="shared" si="2"/>
        <v>0</v>
      </c>
      <c r="X51" s="389" t="str">
        <f t="shared" si="3"/>
        <v/>
      </c>
      <c r="Y51" s="389" t="str">
        <f t="shared" ref="Y51:Z51" si="47">IFERROR(INDEX($O$8:$O$684,MATCH(X51,$N$8:$N$684,0)),"")</f>
        <v/>
      </c>
      <c r="Z51" s="389" t="str">
        <f t="shared" si="47"/>
        <v/>
      </c>
      <c r="AA51" s="389">
        <f t="shared" si="5"/>
        <v>0</v>
      </c>
    </row>
    <row r="52" ht="15.75" customHeight="1">
      <c r="F52" s="664"/>
      <c r="I52" s="665"/>
      <c r="M52" s="389" t="str">
        <f>IF('Bản đồ công việc'!X68="","",'Bản đồ công việc'!W68)</f>
        <v/>
      </c>
      <c r="N52" s="389" t="str">
        <f>IF('Bản đồ công việc'!X68="","",'Bản đồ công việc'!X68)</f>
        <v/>
      </c>
      <c r="O52" s="389" t="str">
        <f>IF('Bản đồ công việc'!X68="","",'Bản đồ công việc'!Y68)</f>
        <v/>
      </c>
      <c r="P52" s="389" t="str">
        <f>IF('Bản đồ công việc'!X68="","",'Bản đồ công việc'!V68)</f>
        <v/>
      </c>
      <c r="Q52" s="389" t="str">
        <f>IF('Bản đồ công việc'!X68="","",'Bản đồ công việc'!AC68)</f>
        <v/>
      </c>
      <c r="R52" s="389" t="str">
        <f>IF('Bản đồ công việc'!X68="","",'Bản đồ công việc'!AD68)</f>
        <v/>
      </c>
      <c r="S52" s="389" t="str">
        <f>IF('Bản đồ công việc'!X68="","",'Bản đồ công việc'!Z68)</f>
        <v/>
      </c>
      <c r="T52" s="389" t="str">
        <f>IF('Bản đồ công việc'!X68="","",'Bản đồ công việc'!AA68)</f>
        <v/>
      </c>
      <c r="U52" s="389" t="str">
        <f>IF('Bản đồ công việc'!X68="","",'Bản đồ công việc'!AE68)</f>
        <v/>
      </c>
      <c r="V52" s="389" t="str">
        <f>IF('Bản đồ công việc'!X68="","",'Bản đồ công việc'!AI68)</f>
        <v/>
      </c>
      <c r="W52" s="389">
        <f t="shared" si="2"/>
        <v>0</v>
      </c>
      <c r="X52" s="389" t="str">
        <f t="shared" si="3"/>
        <v/>
      </c>
      <c r="Y52" s="389" t="str">
        <f t="shared" ref="Y52:Z52" si="48">IFERROR(INDEX($O$8:$O$684,MATCH(X52,$N$8:$N$684,0)),"")</f>
        <v/>
      </c>
      <c r="Z52" s="389" t="str">
        <f t="shared" si="48"/>
        <v/>
      </c>
      <c r="AA52" s="389">
        <f t="shared" si="5"/>
        <v>0</v>
      </c>
    </row>
    <row r="53" ht="15.75" customHeight="1">
      <c r="F53" s="664"/>
      <c r="I53" s="665"/>
      <c r="M53" s="389" t="str">
        <f>IF('Bản đồ công việc'!X69="","",'Bản đồ công việc'!W69)</f>
        <v/>
      </c>
      <c r="N53" s="389" t="str">
        <f>IF('Bản đồ công việc'!X69="","",'Bản đồ công việc'!X69)</f>
        <v/>
      </c>
      <c r="O53" s="389" t="str">
        <f>IF('Bản đồ công việc'!X69="","",'Bản đồ công việc'!Y69)</f>
        <v/>
      </c>
      <c r="P53" s="389" t="str">
        <f>IF('Bản đồ công việc'!X69="","",'Bản đồ công việc'!V69)</f>
        <v/>
      </c>
      <c r="Q53" s="389" t="str">
        <f>IF('Bản đồ công việc'!X69="","",'Bản đồ công việc'!AC69)</f>
        <v/>
      </c>
      <c r="R53" s="389" t="str">
        <f>IF('Bản đồ công việc'!X69="","",'Bản đồ công việc'!AD69)</f>
        <v/>
      </c>
      <c r="S53" s="389" t="str">
        <f>IF('Bản đồ công việc'!X69="","",'Bản đồ công việc'!Z69)</f>
        <v/>
      </c>
      <c r="T53" s="389" t="str">
        <f>IF('Bản đồ công việc'!X69="","",'Bản đồ công việc'!AA69)</f>
        <v/>
      </c>
      <c r="U53" s="389" t="str">
        <f>IF('Bản đồ công việc'!X69="","",'Bản đồ công việc'!AE69)</f>
        <v/>
      </c>
      <c r="V53" s="389" t="str">
        <f>IF('Bản đồ công việc'!X69="","",'Bản đồ công việc'!AI69)</f>
        <v/>
      </c>
      <c r="W53" s="389">
        <f t="shared" si="2"/>
        <v>0</v>
      </c>
      <c r="X53" s="389" t="str">
        <f t="shared" si="3"/>
        <v/>
      </c>
      <c r="Y53" s="389" t="str">
        <f t="shared" ref="Y53:Z53" si="49">IFERROR(INDEX($O$8:$O$684,MATCH(X53,$N$8:$N$684,0)),"")</f>
        <v/>
      </c>
      <c r="Z53" s="389" t="str">
        <f t="shared" si="49"/>
        <v/>
      </c>
      <c r="AA53" s="389">
        <f t="shared" si="5"/>
        <v>0</v>
      </c>
    </row>
    <row r="54" ht="15.75" customHeight="1">
      <c r="F54" s="664"/>
      <c r="I54" s="665"/>
      <c r="M54" s="389" t="str">
        <f>IF('Bản đồ công việc'!X70="","",'Bản đồ công việc'!W70)</f>
        <v/>
      </c>
      <c r="N54" s="389" t="str">
        <f>IF('Bản đồ công việc'!X70="","",'Bản đồ công việc'!X70)</f>
        <v/>
      </c>
      <c r="O54" s="389" t="str">
        <f>IF('Bản đồ công việc'!X70="","",'Bản đồ công việc'!Y70)</f>
        <v/>
      </c>
      <c r="P54" s="389" t="str">
        <f>IF('Bản đồ công việc'!X70="","",'Bản đồ công việc'!V70)</f>
        <v/>
      </c>
      <c r="Q54" s="389" t="str">
        <f>IF('Bản đồ công việc'!X70="","",'Bản đồ công việc'!AC70)</f>
        <v/>
      </c>
      <c r="R54" s="389" t="str">
        <f>IF('Bản đồ công việc'!X70="","",'Bản đồ công việc'!AD70)</f>
        <v/>
      </c>
      <c r="S54" s="389" t="str">
        <f>IF('Bản đồ công việc'!X70="","",'Bản đồ công việc'!Z70)</f>
        <v/>
      </c>
      <c r="T54" s="389" t="str">
        <f>IF('Bản đồ công việc'!X70="","",'Bản đồ công việc'!AA70)</f>
        <v/>
      </c>
      <c r="U54" s="389" t="str">
        <f>IF('Bản đồ công việc'!X70="","",'Bản đồ công việc'!AE70)</f>
        <v/>
      </c>
      <c r="V54" s="389" t="str">
        <f>IF('Bản đồ công việc'!X70="","",'Bản đồ công việc'!AI70)</f>
        <v/>
      </c>
      <c r="W54" s="389">
        <f t="shared" si="2"/>
        <v>0</v>
      </c>
      <c r="X54" s="389" t="str">
        <f t="shared" si="3"/>
        <v/>
      </c>
      <c r="Y54" s="389" t="str">
        <f t="shared" ref="Y54:Z54" si="50">IFERROR(INDEX($O$8:$O$684,MATCH(X54,$N$8:$N$684,0)),"")</f>
        <v/>
      </c>
      <c r="Z54" s="389" t="str">
        <f t="shared" si="50"/>
        <v/>
      </c>
      <c r="AA54" s="389">
        <f t="shared" si="5"/>
        <v>0</v>
      </c>
    </row>
    <row r="55" ht="15.75" customHeight="1">
      <c r="F55" s="664"/>
      <c r="I55" s="665"/>
      <c r="M55" s="389" t="str">
        <f>IF('Bản đồ công việc'!X71="","",'Bản đồ công việc'!W71)</f>
        <v/>
      </c>
      <c r="N55" s="389" t="str">
        <f>IF('Bản đồ công việc'!X71="","",'Bản đồ công việc'!X71)</f>
        <v/>
      </c>
      <c r="O55" s="389" t="str">
        <f>IF('Bản đồ công việc'!X71="","",'Bản đồ công việc'!Y71)</f>
        <v/>
      </c>
      <c r="P55" s="389" t="str">
        <f>IF('Bản đồ công việc'!X71="","",'Bản đồ công việc'!V71)</f>
        <v/>
      </c>
      <c r="Q55" s="389" t="str">
        <f>IF('Bản đồ công việc'!X71="","",'Bản đồ công việc'!AC71)</f>
        <v/>
      </c>
      <c r="R55" s="389" t="str">
        <f>IF('Bản đồ công việc'!X71="","",'Bản đồ công việc'!AD71)</f>
        <v/>
      </c>
      <c r="S55" s="389" t="str">
        <f>IF('Bản đồ công việc'!X71="","",'Bản đồ công việc'!Z71)</f>
        <v/>
      </c>
      <c r="T55" s="389" t="str">
        <f>IF('Bản đồ công việc'!X71="","",'Bản đồ công việc'!AA71)</f>
        <v/>
      </c>
      <c r="U55" s="389" t="str">
        <f>IF('Bản đồ công việc'!X71="","",'Bản đồ công việc'!AE71)</f>
        <v/>
      </c>
      <c r="V55" s="389" t="str">
        <f>IF('Bản đồ công việc'!X71="","",'Bản đồ công việc'!AI71)</f>
        <v/>
      </c>
      <c r="W55" s="389">
        <f t="shared" si="2"/>
        <v>0</v>
      </c>
      <c r="X55" s="389" t="str">
        <f t="shared" si="3"/>
        <v/>
      </c>
      <c r="Y55" s="389" t="str">
        <f t="shared" ref="Y55:Z55" si="51">IFERROR(INDEX($O$8:$O$684,MATCH(X55,$N$8:$N$684,0)),"")</f>
        <v/>
      </c>
      <c r="Z55" s="389" t="str">
        <f t="shared" si="51"/>
        <v/>
      </c>
      <c r="AA55" s="389">
        <f t="shared" si="5"/>
        <v>0</v>
      </c>
    </row>
    <row r="56" ht="15.75" customHeight="1">
      <c r="F56" s="664"/>
      <c r="I56" s="665"/>
      <c r="M56" s="389" t="str">
        <f>IF('Bản đồ công việc'!X72="","",'Bản đồ công việc'!W72)</f>
        <v/>
      </c>
      <c r="N56" s="389" t="str">
        <f>IF('Bản đồ công việc'!X72="","",'Bản đồ công việc'!X72)</f>
        <v/>
      </c>
      <c r="O56" s="389" t="str">
        <f>IF('Bản đồ công việc'!X72="","",'Bản đồ công việc'!Y72)</f>
        <v/>
      </c>
      <c r="P56" s="389" t="str">
        <f>IF('Bản đồ công việc'!X72="","",'Bản đồ công việc'!V72)</f>
        <v/>
      </c>
      <c r="Q56" s="389" t="str">
        <f>IF('Bản đồ công việc'!X72="","",'Bản đồ công việc'!AC72)</f>
        <v/>
      </c>
      <c r="R56" s="389" t="str">
        <f>IF('Bản đồ công việc'!X72="","",'Bản đồ công việc'!AD72)</f>
        <v/>
      </c>
      <c r="S56" s="389" t="str">
        <f>IF('Bản đồ công việc'!X72="","",'Bản đồ công việc'!Z72)</f>
        <v/>
      </c>
      <c r="T56" s="389" t="str">
        <f>IF('Bản đồ công việc'!X72="","",'Bản đồ công việc'!AA72)</f>
        <v/>
      </c>
      <c r="U56" s="389" t="str">
        <f>IF('Bản đồ công việc'!X72="","",'Bản đồ công việc'!AE72)</f>
        <v/>
      </c>
      <c r="V56" s="389" t="str">
        <f>IF('Bản đồ công việc'!X72="","",'Bản đồ công việc'!AI72)</f>
        <v/>
      </c>
      <c r="W56" s="389">
        <f t="shared" si="2"/>
        <v>0</v>
      </c>
      <c r="X56" s="389" t="str">
        <f t="shared" si="3"/>
        <v/>
      </c>
      <c r="Y56" s="389" t="str">
        <f t="shared" ref="Y56:Z56" si="52">IFERROR(INDEX($O$8:$O$684,MATCH(X56,$N$8:$N$684,0)),"")</f>
        <v/>
      </c>
      <c r="Z56" s="389" t="str">
        <f t="shared" si="52"/>
        <v/>
      </c>
      <c r="AA56" s="389">
        <f t="shared" si="5"/>
        <v>0</v>
      </c>
    </row>
    <row r="57" ht="15.75" customHeight="1">
      <c r="F57" s="664"/>
      <c r="I57" s="665"/>
      <c r="M57" s="389" t="str">
        <f>IF('Bản đồ công việc'!X73="","",'Bản đồ công việc'!W73)</f>
        <v/>
      </c>
      <c r="N57" s="389" t="str">
        <f>IF('Bản đồ công việc'!X73="","",'Bản đồ công việc'!X73)</f>
        <v/>
      </c>
      <c r="O57" s="389" t="str">
        <f>IF('Bản đồ công việc'!X73="","",'Bản đồ công việc'!Y73)</f>
        <v/>
      </c>
      <c r="P57" s="389" t="str">
        <f>IF('Bản đồ công việc'!X73="","",'Bản đồ công việc'!V73)</f>
        <v/>
      </c>
      <c r="Q57" s="389" t="str">
        <f>IF('Bản đồ công việc'!X73="","",'Bản đồ công việc'!AC73)</f>
        <v/>
      </c>
      <c r="R57" s="389" t="str">
        <f>IF('Bản đồ công việc'!X73="","",'Bản đồ công việc'!AD73)</f>
        <v/>
      </c>
      <c r="S57" s="389" t="str">
        <f>IF('Bản đồ công việc'!X73="","",'Bản đồ công việc'!Z73)</f>
        <v/>
      </c>
      <c r="T57" s="389" t="str">
        <f>IF('Bản đồ công việc'!X73="","",'Bản đồ công việc'!AA73)</f>
        <v/>
      </c>
      <c r="U57" s="389" t="str">
        <f>IF('Bản đồ công việc'!X73="","",'Bản đồ công việc'!AE73)</f>
        <v/>
      </c>
      <c r="V57" s="389" t="str">
        <f>IF('Bản đồ công việc'!X73="","",'Bản đồ công việc'!AI73)</f>
        <v/>
      </c>
      <c r="W57" s="389">
        <f t="shared" si="2"/>
        <v>0</v>
      </c>
      <c r="X57" s="389" t="str">
        <f t="shared" si="3"/>
        <v/>
      </c>
      <c r="Y57" s="389" t="str">
        <f t="shared" ref="Y57:Z57" si="53">IFERROR(INDEX($O$8:$O$684,MATCH(X57,$N$8:$N$684,0)),"")</f>
        <v/>
      </c>
      <c r="Z57" s="389" t="str">
        <f t="shared" si="53"/>
        <v/>
      </c>
      <c r="AA57" s="389">
        <f t="shared" si="5"/>
        <v>0</v>
      </c>
    </row>
    <row r="58" ht="15.75" customHeight="1">
      <c r="F58" s="664"/>
      <c r="I58" s="665"/>
      <c r="M58" s="389" t="str">
        <f>IF('Bản đồ công việc'!X74="","",'Bản đồ công việc'!W74)</f>
        <v/>
      </c>
      <c r="N58" s="389" t="str">
        <f>IF('Bản đồ công việc'!X74="","",'Bản đồ công việc'!X74)</f>
        <v/>
      </c>
      <c r="O58" s="389" t="str">
        <f>IF('Bản đồ công việc'!X74="","",'Bản đồ công việc'!Y74)</f>
        <v/>
      </c>
      <c r="P58" s="389" t="str">
        <f>IF('Bản đồ công việc'!X74="","",'Bản đồ công việc'!V74)</f>
        <v/>
      </c>
      <c r="Q58" s="389" t="str">
        <f>IF('Bản đồ công việc'!X74="","",'Bản đồ công việc'!AC74)</f>
        <v/>
      </c>
      <c r="R58" s="389" t="str">
        <f>IF('Bản đồ công việc'!X74="","",'Bản đồ công việc'!AD74)</f>
        <v/>
      </c>
      <c r="S58" s="389" t="str">
        <f>IF('Bản đồ công việc'!X74="","",'Bản đồ công việc'!Z74)</f>
        <v/>
      </c>
      <c r="T58" s="389" t="str">
        <f>IF('Bản đồ công việc'!X74="","",'Bản đồ công việc'!AA74)</f>
        <v/>
      </c>
      <c r="U58" s="389" t="str">
        <f>IF('Bản đồ công việc'!X74="","",'Bản đồ công việc'!AE74)</f>
        <v/>
      </c>
      <c r="V58" s="389" t="str">
        <f>IF('Bản đồ công việc'!X74="","",'Bản đồ công việc'!AI74)</f>
        <v/>
      </c>
      <c r="W58" s="389">
        <f t="shared" si="2"/>
        <v>0</v>
      </c>
      <c r="X58" s="389" t="str">
        <f t="shared" si="3"/>
        <v/>
      </c>
      <c r="Y58" s="389" t="str">
        <f t="shared" ref="Y58:Z58" si="54">IFERROR(INDEX($O$8:$O$684,MATCH(X58,$N$8:$N$684,0)),"")</f>
        <v/>
      </c>
      <c r="Z58" s="389" t="str">
        <f t="shared" si="54"/>
        <v/>
      </c>
      <c r="AA58" s="389">
        <f t="shared" si="5"/>
        <v>0</v>
      </c>
    </row>
    <row r="59" ht="15.75" customHeight="1">
      <c r="F59" s="664"/>
      <c r="I59" s="665"/>
      <c r="M59" s="389" t="str">
        <f>IF('Bản đồ công việc'!X75="","",'Bản đồ công việc'!W75)</f>
        <v/>
      </c>
      <c r="N59" s="389" t="str">
        <f>IF('Bản đồ công việc'!X75="","",'Bản đồ công việc'!X75)</f>
        <v/>
      </c>
      <c r="O59" s="389" t="str">
        <f>IF('Bản đồ công việc'!X75="","",'Bản đồ công việc'!Y75)</f>
        <v/>
      </c>
      <c r="P59" s="389" t="str">
        <f>IF('Bản đồ công việc'!X75="","",'Bản đồ công việc'!V75)</f>
        <v/>
      </c>
      <c r="Q59" s="389" t="str">
        <f>IF('Bản đồ công việc'!X75="","",'Bản đồ công việc'!AC75)</f>
        <v/>
      </c>
      <c r="R59" s="389" t="str">
        <f>IF('Bản đồ công việc'!X75="","",'Bản đồ công việc'!AD75)</f>
        <v/>
      </c>
      <c r="S59" s="389" t="str">
        <f>IF('Bản đồ công việc'!X75="","",'Bản đồ công việc'!Z75)</f>
        <v/>
      </c>
      <c r="T59" s="389" t="str">
        <f>IF('Bản đồ công việc'!X75="","",'Bản đồ công việc'!AA75)</f>
        <v/>
      </c>
      <c r="U59" s="389" t="str">
        <f>IF('Bản đồ công việc'!X75="","",'Bản đồ công việc'!AE75)</f>
        <v/>
      </c>
      <c r="V59" s="389" t="str">
        <f>IF('Bản đồ công việc'!X75="","",'Bản đồ công việc'!AI75)</f>
        <v/>
      </c>
      <c r="W59" s="389">
        <f t="shared" si="2"/>
        <v>0</v>
      </c>
      <c r="X59" s="389" t="str">
        <f t="shared" si="3"/>
        <v/>
      </c>
      <c r="Y59" s="389" t="str">
        <f t="shared" ref="Y59:Z59" si="55">IFERROR(INDEX($O$8:$O$684,MATCH(X59,$N$8:$N$684,0)),"")</f>
        <v/>
      </c>
      <c r="Z59" s="389" t="str">
        <f t="shared" si="55"/>
        <v/>
      </c>
      <c r="AA59" s="389">
        <f t="shared" si="5"/>
        <v>0</v>
      </c>
    </row>
    <row r="60" ht="15.75" customHeight="1">
      <c r="F60" s="664"/>
      <c r="I60" s="665"/>
      <c r="M60" s="389" t="str">
        <f>IF('Bản đồ công việc'!X76="","",'Bản đồ công việc'!W76)</f>
        <v/>
      </c>
      <c r="N60" s="389" t="str">
        <f>IF('Bản đồ công việc'!X76="","",'Bản đồ công việc'!X76)</f>
        <v/>
      </c>
      <c r="O60" s="389" t="str">
        <f>IF('Bản đồ công việc'!X76="","",'Bản đồ công việc'!Y76)</f>
        <v/>
      </c>
      <c r="P60" s="389" t="str">
        <f>IF('Bản đồ công việc'!X76="","",'Bản đồ công việc'!V76)</f>
        <v/>
      </c>
      <c r="Q60" s="389" t="str">
        <f>IF('Bản đồ công việc'!X76="","",'Bản đồ công việc'!AC76)</f>
        <v/>
      </c>
      <c r="R60" s="389" t="str">
        <f>IF('Bản đồ công việc'!X76="","",'Bản đồ công việc'!AD76)</f>
        <v/>
      </c>
      <c r="S60" s="389" t="str">
        <f>IF('Bản đồ công việc'!X76="","",'Bản đồ công việc'!Z76)</f>
        <v/>
      </c>
      <c r="T60" s="389" t="str">
        <f>IF('Bản đồ công việc'!X76="","",'Bản đồ công việc'!AA76)</f>
        <v/>
      </c>
      <c r="U60" s="389" t="str">
        <f>IF('Bản đồ công việc'!X76="","",'Bản đồ công việc'!AE76)</f>
        <v/>
      </c>
      <c r="V60" s="389" t="str">
        <f>IF('Bản đồ công việc'!X76="","",'Bản đồ công việc'!AI76)</f>
        <v/>
      </c>
      <c r="W60" s="389">
        <f t="shared" si="2"/>
        <v>0</v>
      </c>
      <c r="X60" s="389" t="str">
        <f t="shared" si="3"/>
        <v/>
      </c>
      <c r="Y60" s="389" t="str">
        <f t="shared" ref="Y60:Z60" si="56">IFERROR(INDEX($O$8:$O$684,MATCH(X60,$N$8:$N$684,0)),"")</f>
        <v/>
      </c>
      <c r="Z60" s="389" t="str">
        <f t="shared" si="56"/>
        <v/>
      </c>
      <c r="AA60" s="389">
        <f t="shared" si="5"/>
        <v>0</v>
      </c>
    </row>
    <row r="61" ht="15.75" customHeight="1">
      <c r="F61" s="664"/>
      <c r="I61" s="665"/>
      <c r="M61" s="389" t="str">
        <f>IF('Bản đồ công việc'!X77="","",'Bản đồ công việc'!W77)</f>
        <v/>
      </c>
      <c r="N61" s="389" t="str">
        <f>IF('Bản đồ công việc'!X77="","",'Bản đồ công việc'!X77)</f>
        <v/>
      </c>
      <c r="O61" s="389" t="str">
        <f>IF('Bản đồ công việc'!X77="","",'Bản đồ công việc'!Y77)</f>
        <v/>
      </c>
      <c r="P61" s="389" t="str">
        <f>IF('Bản đồ công việc'!X77="","",'Bản đồ công việc'!V77)</f>
        <v/>
      </c>
      <c r="Q61" s="389" t="str">
        <f>IF('Bản đồ công việc'!X77="","",'Bản đồ công việc'!AC77)</f>
        <v/>
      </c>
      <c r="R61" s="389" t="str">
        <f>IF('Bản đồ công việc'!X77="","",'Bản đồ công việc'!AD77)</f>
        <v/>
      </c>
      <c r="S61" s="389" t="str">
        <f>IF('Bản đồ công việc'!X77="","",'Bản đồ công việc'!Z77)</f>
        <v/>
      </c>
      <c r="T61" s="389" t="str">
        <f>IF('Bản đồ công việc'!X77="","",'Bản đồ công việc'!AA77)</f>
        <v/>
      </c>
      <c r="U61" s="389" t="str">
        <f>IF('Bản đồ công việc'!X77="","",'Bản đồ công việc'!AE77)</f>
        <v/>
      </c>
      <c r="V61" s="389" t="str">
        <f>IF('Bản đồ công việc'!X77="","",'Bản đồ công việc'!AI77)</f>
        <v/>
      </c>
      <c r="W61" s="389">
        <f t="shared" si="2"/>
        <v>0</v>
      </c>
      <c r="X61" s="389" t="str">
        <f t="shared" si="3"/>
        <v/>
      </c>
      <c r="Y61" s="389" t="str">
        <f t="shared" ref="Y61:Z61" si="57">IFERROR(INDEX($O$8:$O$684,MATCH(X61,$N$8:$N$684,0)),"")</f>
        <v/>
      </c>
      <c r="Z61" s="389" t="str">
        <f t="shared" si="57"/>
        <v/>
      </c>
      <c r="AA61" s="389">
        <f t="shared" si="5"/>
        <v>0</v>
      </c>
    </row>
    <row r="62" ht="15.75" customHeight="1">
      <c r="F62" s="664"/>
      <c r="I62" s="665"/>
      <c r="M62" s="389" t="str">
        <f>IF('Bản đồ công việc'!X78="","",'Bản đồ công việc'!W78)</f>
        <v/>
      </c>
      <c r="N62" s="389" t="str">
        <f>IF('Bản đồ công việc'!X78="","",'Bản đồ công việc'!X78)</f>
        <v/>
      </c>
      <c r="O62" s="389" t="str">
        <f>IF('Bản đồ công việc'!X78="","",'Bản đồ công việc'!Y78)</f>
        <v/>
      </c>
      <c r="P62" s="389" t="str">
        <f>IF('Bản đồ công việc'!X78="","",'Bản đồ công việc'!V78)</f>
        <v/>
      </c>
      <c r="Q62" s="389" t="str">
        <f>IF('Bản đồ công việc'!X78="","",'Bản đồ công việc'!AC78)</f>
        <v/>
      </c>
      <c r="R62" s="389" t="str">
        <f>IF('Bản đồ công việc'!X78="","",'Bản đồ công việc'!AD78)</f>
        <v/>
      </c>
      <c r="S62" s="389" t="str">
        <f>IF('Bản đồ công việc'!X78="","",'Bản đồ công việc'!Z78)</f>
        <v/>
      </c>
      <c r="T62" s="389" t="str">
        <f>IF('Bản đồ công việc'!X78="","",'Bản đồ công việc'!AA78)</f>
        <v/>
      </c>
      <c r="U62" s="389" t="str">
        <f>IF('Bản đồ công việc'!X78="","",'Bản đồ công việc'!AE78)</f>
        <v/>
      </c>
      <c r="V62" s="389" t="str">
        <f>IF('Bản đồ công việc'!X78="","",'Bản đồ công việc'!AI78)</f>
        <v/>
      </c>
      <c r="W62" s="389">
        <f t="shared" si="2"/>
        <v>0</v>
      </c>
      <c r="X62" s="389" t="str">
        <f t="shared" si="3"/>
        <v/>
      </c>
      <c r="Y62" s="389" t="str">
        <f t="shared" ref="Y62:Z62" si="58">IFERROR(INDEX($O$8:$O$684,MATCH(X62,$N$8:$N$684,0)),"")</f>
        <v/>
      </c>
      <c r="Z62" s="389" t="str">
        <f t="shared" si="58"/>
        <v/>
      </c>
      <c r="AA62" s="389">
        <f t="shared" si="5"/>
        <v>0</v>
      </c>
    </row>
    <row r="63" ht="15.75" customHeight="1">
      <c r="F63" s="664"/>
      <c r="I63" s="665"/>
      <c r="M63" s="389" t="str">
        <f>IF('Bản đồ công việc'!X79="","",'Bản đồ công việc'!W79)</f>
        <v/>
      </c>
      <c r="N63" s="389" t="str">
        <f>IF('Bản đồ công việc'!X79="","",'Bản đồ công việc'!X79)</f>
        <v/>
      </c>
      <c r="O63" s="389" t="str">
        <f>IF('Bản đồ công việc'!X79="","",'Bản đồ công việc'!Y79)</f>
        <v/>
      </c>
      <c r="P63" s="389" t="str">
        <f>IF('Bản đồ công việc'!X79="","",'Bản đồ công việc'!V79)</f>
        <v/>
      </c>
      <c r="Q63" s="389" t="str">
        <f>IF('Bản đồ công việc'!X79="","",'Bản đồ công việc'!AC79)</f>
        <v/>
      </c>
      <c r="R63" s="389" t="str">
        <f>IF('Bản đồ công việc'!X79="","",'Bản đồ công việc'!AD79)</f>
        <v/>
      </c>
      <c r="S63" s="389" t="str">
        <f>IF('Bản đồ công việc'!X79="","",'Bản đồ công việc'!Z79)</f>
        <v/>
      </c>
      <c r="T63" s="389" t="str">
        <f>IF('Bản đồ công việc'!X79="","",'Bản đồ công việc'!AA79)</f>
        <v/>
      </c>
      <c r="U63" s="389" t="str">
        <f>IF('Bản đồ công việc'!X79="","",'Bản đồ công việc'!AE79)</f>
        <v/>
      </c>
      <c r="V63" s="389" t="str">
        <f>IF('Bản đồ công việc'!X79="","",'Bản đồ công việc'!AI79)</f>
        <v/>
      </c>
      <c r="W63" s="389">
        <f t="shared" si="2"/>
        <v>0</v>
      </c>
      <c r="X63" s="389" t="str">
        <f t="shared" si="3"/>
        <v/>
      </c>
      <c r="Y63" s="389" t="str">
        <f t="shared" ref="Y63:Z63" si="59">IFERROR(INDEX($O$8:$O$684,MATCH(X63,$N$8:$N$684,0)),"")</f>
        <v/>
      </c>
      <c r="Z63" s="389" t="str">
        <f t="shared" si="59"/>
        <v/>
      </c>
      <c r="AA63" s="389">
        <f t="shared" si="5"/>
        <v>0</v>
      </c>
    </row>
    <row r="64" ht="15.75" customHeight="1">
      <c r="F64" s="664"/>
      <c r="I64" s="665"/>
      <c r="M64" s="389" t="str">
        <f>IF('Bản đồ công việc'!X80="","",'Bản đồ công việc'!W80)</f>
        <v/>
      </c>
      <c r="N64" s="389" t="str">
        <f>IF('Bản đồ công việc'!X80="","",'Bản đồ công việc'!X80)</f>
        <v/>
      </c>
      <c r="O64" s="389" t="str">
        <f>IF('Bản đồ công việc'!X80="","",'Bản đồ công việc'!Y80)</f>
        <v/>
      </c>
      <c r="P64" s="389" t="str">
        <f>IF('Bản đồ công việc'!X80="","",'Bản đồ công việc'!V80)</f>
        <v/>
      </c>
      <c r="Q64" s="389" t="str">
        <f>IF('Bản đồ công việc'!X80="","",'Bản đồ công việc'!AC80)</f>
        <v/>
      </c>
      <c r="R64" s="389" t="str">
        <f>IF('Bản đồ công việc'!X80="","",'Bản đồ công việc'!AD80)</f>
        <v/>
      </c>
      <c r="S64" s="389" t="str">
        <f>IF('Bản đồ công việc'!X80="","",'Bản đồ công việc'!Z80)</f>
        <v/>
      </c>
      <c r="T64" s="389" t="str">
        <f>IF('Bản đồ công việc'!X80="","",'Bản đồ công việc'!AA80)</f>
        <v/>
      </c>
      <c r="U64" s="389" t="str">
        <f>IF('Bản đồ công việc'!X80="","",'Bản đồ công việc'!AE80)</f>
        <v/>
      </c>
      <c r="V64" s="389" t="str">
        <f>IF('Bản đồ công việc'!X80="","",'Bản đồ công việc'!AI80)</f>
        <v/>
      </c>
      <c r="W64" s="389">
        <f t="shared" si="2"/>
        <v>0</v>
      </c>
      <c r="X64" s="389" t="str">
        <f t="shared" si="3"/>
        <v/>
      </c>
      <c r="Y64" s="389" t="str">
        <f t="shared" ref="Y64:Z64" si="60">IFERROR(INDEX($O$8:$O$684,MATCH(X64,$N$8:$N$684,0)),"")</f>
        <v/>
      </c>
      <c r="Z64" s="389" t="str">
        <f t="shared" si="60"/>
        <v/>
      </c>
      <c r="AA64" s="389">
        <f t="shared" si="5"/>
        <v>0</v>
      </c>
    </row>
    <row r="65" ht="15.75" customHeight="1">
      <c r="F65" s="664"/>
      <c r="I65" s="665"/>
      <c r="M65" s="389" t="str">
        <f>IF('Bản đồ công việc'!X81="","",'Bản đồ công việc'!W81)</f>
        <v/>
      </c>
      <c r="N65" s="389" t="str">
        <f>IF('Bản đồ công việc'!X81="","",'Bản đồ công việc'!X81)</f>
        <v/>
      </c>
      <c r="O65" s="389" t="str">
        <f>IF('Bản đồ công việc'!X81="","",'Bản đồ công việc'!Y81)</f>
        <v/>
      </c>
      <c r="P65" s="389" t="str">
        <f>IF('Bản đồ công việc'!X81="","",'Bản đồ công việc'!V81)</f>
        <v/>
      </c>
      <c r="Q65" s="389" t="str">
        <f>IF('Bản đồ công việc'!X81="","",'Bản đồ công việc'!AC81)</f>
        <v/>
      </c>
      <c r="R65" s="389" t="str">
        <f>IF('Bản đồ công việc'!X81="","",'Bản đồ công việc'!AD81)</f>
        <v/>
      </c>
      <c r="S65" s="389" t="str">
        <f>IF('Bản đồ công việc'!X81="","",'Bản đồ công việc'!Z81)</f>
        <v/>
      </c>
      <c r="T65" s="389" t="str">
        <f>IF('Bản đồ công việc'!X81="","",'Bản đồ công việc'!AA81)</f>
        <v/>
      </c>
      <c r="U65" s="389" t="str">
        <f>IF('Bản đồ công việc'!X81="","",'Bản đồ công việc'!AE81)</f>
        <v/>
      </c>
      <c r="V65" s="389" t="str">
        <f>IF('Bản đồ công việc'!X81="","",'Bản đồ công việc'!AI81)</f>
        <v/>
      </c>
      <c r="W65" s="389">
        <f t="shared" si="2"/>
        <v>0</v>
      </c>
      <c r="X65" s="389" t="str">
        <f t="shared" si="3"/>
        <v/>
      </c>
      <c r="Y65" s="389" t="str">
        <f t="shared" ref="Y65:Z65" si="61">IFERROR(INDEX($O$8:$O$684,MATCH(X65,$N$8:$N$684,0)),"")</f>
        <v/>
      </c>
      <c r="Z65" s="389" t="str">
        <f t="shared" si="61"/>
        <v/>
      </c>
      <c r="AA65" s="389">
        <f t="shared" si="5"/>
        <v>0</v>
      </c>
    </row>
    <row r="66" ht="15.75" customHeight="1">
      <c r="F66" s="664"/>
      <c r="I66" s="665"/>
      <c r="M66" s="389" t="str">
        <f>IF('Bản đồ công việc'!X82="","",'Bản đồ công việc'!W82)</f>
        <v/>
      </c>
      <c r="N66" s="389" t="str">
        <f>IF('Bản đồ công việc'!X82="","",'Bản đồ công việc'!X82)</f>
        <v/>
      </c>
      <c r="O66" s="389" t="str">
        <f>IF('Bản đồ công việc'!X82="","",'Bản đồ công việc'!Y82)</f>
        <v/>
      </c>
      <c r="P66" s="389" t="str">
        <f>IF('Bản đồ công việc'!X82="","",'Bản đồ công việc'!V82)</f>
        <v/>
      </c>
      <c r="Q66" s="389" t="str">
        <f>IF('Bản đồ công việc'!X82="","",'Bản đồ công việc'!AC82)</f>
        <v/>
      </c>
      <c r="R66" s="389" t="str">
        <f>IF('Bản đồ công việc'!X82="","",'Bản đồ công việc'!AD82)</f>
        <v/>
      </c>
      <c r="S66" s="389" t="str">
        <f>IF('Bản đồ công việc'!X82="","",'Bản đồ công việc'!Z82)</f>
        <v/>
      </c>
      <c r="T66" s="389" t="str">
        <f>IF('Bản đồ công việc'!X82="","",'Bản đồ công việc'!AA82)</f>
        <v/>
      </c>
      <c r="U66" s="389" t="str">
        <f>IF('Bản đồ công việc'!X82="","",'Bản đồ công việc'!AE82)</f>
        <v/>
      </c>
      <c r="V66" s="389" t="str">
        <f>IF('Bản đồ công việc'!X82="","",'Bản đồ công việc'!AI82)</f>
        <v/>
      </c>
      <c r="W66" s="389">
        <f t="shared" si="2"/>
        <v>0</v>
      </c>
      <c r="X66" s="389" t="str">
        <f t="shared" si="3"/>
        <v/>
      </c>
      <c r="Y66" s="389" t="str">
        <f t="shared" ref="Y66:Z66" si="62">IFERROR(INDEX($O$8:$O$684,MATCH(X66,$N$8:$N$684,0)),"")</f>
        <v/>
      </c>
      <c r="Z66" s="389" t="str">
        <f t="shared" si="62"/>
        <v/>
      </c>
      <c r="AA66" s="389">
        <f t="shared" si="5"/>
        <v>0</v>
      </c>
    </row>
    <row r="67" ht="15.75" customHeight="1">
      <c r="F67" s="664"/>
      <c r="I67" s="665"/>
      <c r="M67" s="389" t="str">
        <f>IF('Bản đồ công việc'!X83="","",'Bản đồ công việc'!W83)</f>
        <v/>
      </c>
      <c r="N67" s="389" t="str">
        <f>IF('Bản đồ công việc'!X83="","",'Bản đồ công việc'!X83)</f>
        <v/>
      </c>
      <c r="O67" s="389" t="str">
        <f>IF('Bản đồ công việc'!X83="","",'Bản đồ công việc'!Y83)</f>
        <v/>
      </c>
      <c r="P67" s="389" t="str">
        <f>IF('Bản đồ công việc'!X83="","",'Bản đồ công việc'!V83)</f>
        <v/>
      </c>
      <c r="Q67" s="389" t="str">
        <f>IF('Bản đồ công việc'!X83="","",'Bản đồ công việc'!AC83)</f>
        <v/>
      </c>
      <c r="R67" s="389" t="str">
        <f>IF('Bản đồ công việc'!X83="","",'Bản đồ công việc'!AD83)</f>
        <v/>
      </c>
      <c r="S67" s="389" t="str">
        <f>IF('Bản đồ công việc'!X83="","",'Bản đồ công việc'!Z83)</f>
        <v/>
      </c>
      <c r="T67" s="389" t="str">
        <f>IF('Bản đồ công việc'!X83="","",'Bản đồ công việc'!AA83)</f>
        <v/>
      </c>
      <c r="U67" s="389" t="str">
        <f>IF('Bản đồ công việc'!X83="","",'Bản đồ công việc'!AE83)</f>
        <v/>
      </c>
      <c r="V67" s="389" t="str">
        <f>IF('Bản đồ công việc'!X83="","",'Bản đồ công việc'!AI83)</f>
        <v/>
      </c>
      <c r="W67" s="389">
        <f t="shared" si="2"/>
        <v>0</v>
      </c>
      <c r="X67" s="389" t="str">
        <f t="shared" si="3"/>
        <v/>
      </c>
      <c r="Y67" s="389" t="str">
        <f t="shared" ref="Y67:Z67" si="63">IFERROR(INDEX($O$8:$O$684,MATCH(X67,$N$8:$N$684,0)),"")</f>
        <v/>
      </c>
      <c r="Z67" s="389" t="str">
        <f t="shared" si="63"/>
        <v/>
      </c>
      <c r="AA67" s="389">
        <f t="shared" si="5"/>
        <v>0</v>
      </c>
    </row>
    <row r="68" ht="15.75" customHeight="1">
      <c r="F68" s="664"/>
      <c r="I68" s="665"/>
      <c r="M68" s="389">
        <f>IF('Bản đồ công việc'!X84="","",'Bản đồ công việc'!W84)</f>
        <v>4</v>
      </c>
      <c r="N68" s="67" t="str">
        <f>IF('Bản đồ công việc'!X84="","",'Bản đồ công việc'!X84)</f>
        <v>HHL4DL01</v>
      </c>
      <c r="O68" s="67" t="str">
        <f>IF('Bản đồ công việc'!X84="","",'Bản đồ công việc'!Y84)</f>
        <v>HHL3CT03</v>
      </c>
      <c r="P68" s="389" t="str">
        <f>IF('Bản đồ công việc'!X84="","",'Bản đồ công việc'!V84)</f>
        <v>   ├─ Xác nhận công thức &amp; tạo HT tham số cho KH GT</v>
      </c>
      <c r="Q68" s="67" t="str">
        <f>IF('Bản đồ công việc'!X84="","",'Bản đồ công việc'!AC84)</f>
        <v>Chưa bắt đầu</v>
      </c>
      <c r="R68" s="398">
        <f>IF('Bản đồ công việc'!X84="","",'Bản đồ công việc'!AD84)</f>
        <v>0</v>
      </c>
      <c r="S68" s="67" t="str">
        <f>IF('Bản đồ công việc'!X84="","",'Bản đồ công việc'!Z84)</f>
        <v>Em Đại</v>
      </c>
      <c r="T68" s="67" t="str">
        <f>IF('Bản đồ công việc'!X84="","",'Bản đồ công việc'!AA84)</f>
        <v>Dữ liệu điều hành</v>
      </c>
      <c r="U68" s="358">
        <f>IF('Bản đồ công việc'!X84="","",'Bản đồ công việc'!AE84)</f>
        <v>46305</v>
      </c>
      <c r="V68" s="389" t="str">
        <f>IF('Bản đồ công việc'!X84="","",'Bản đồ công việc'!AI84)</f>
        <v>🟣 P1 trọng yếu</v>
      </c>
      <c r="W68" s="389">
        <f t="shared" si="2"/>
        <v>1</v>
      </c>
      <c r="X68" s="67" t="str">
        <f t="shared" si="3"/>
        <v>HHL3CT03</v>
      </c>
      <c r="Y68" s="389" t="str">
        <f t="shared" ref="Y68:Z68" si="64">IFERROR(INDEX($O$8:$O$684,MATCH(X68,$N$8:$N$684,0)),"")</f>
        <v/>
      </c>
      <c r="Z68" s="389" t="str">
        <f t="shared" si="64"/>
        <v/>
      </c>
      <c r="AA68" s="389">
        <f t="shared" si="5"/>
        <v>1</v>
      </c>
    </row>
    <row r="69" ht="15.75" customHeight="1">
      <c r="F69" s="664"/>
      <c r="I69" s="665"/>
      <c r="M69" s="389">
        <f>IF('Bản đồ công việc'!X85="","",'Bản đồ công việc'!W85)</f>
        <v>4</v>
      </c>
      <c r="N69" s="67" t="str">
        <f>IF('Bản đồ công việc'!X85="","",'Bản đồ công việc'!X85)</f>
        <v>HHL4DL02</v>
      </c>
      <c r="O69" s="67" t="str">
        <f>IF('Bản đồ công việc'!X85="","",'Bản đồ công việc'!Y85)</f>
        <v>HHL3CT03</v>
      </c>
      <c r="P69" s="389" t="str">
        <f>IF('Bản đồ công việc'!X85="","",'Bản đồ công việc'!V85)</f>
        <v>   ├─ Xây dựng công thức &amp; tạo HT tham số cho KH MT</v>
      </c>
      <c r="Q69" s="67" t="str">
        <f>IF('Bản đồ công việc'!X85="","",'Bản đồ công việc'!AC85)</f>
        <v>Chưa bắt đầu</v>
      </c>
      <c r="R69" s="398">
        <f>IF('Bản đồ công việc'!X85="","",'Bản đồ công việc'!AD85)</f>
        <v>0</v>
      </c>
      <c r="S69" s="67" t="str">
        <f>IF('Bản đồ công việc'!X85="","",'Bản đồ công việc'!Z85)</f>
        <v>Em Đại</v>
      </c>
      <c r="T69" s="67" t="str">
        <f>IF('Bản đồ công việc'!X85="","",'Bản đồ công việc'!AA85)</f>
        <v>Dữ liệu điều hành</v>
      </c>
      <c r="U69" s="358">
        <f>IF('Bản đồ công việc'!X85="","",'Bản đồ công việc'!AE85)</f>
        <v>46310</v>
      </c>
      <c r="V69" s="389" t="str">
        <f>IF('Bản đồ công việc'!X85="","",'Bản đồ công việc'!AI85)</f>
        <v>🟣 P1 trọng yếu</v>
      </c>
      <c r="W69" s="389">
        <f t="shared" si="2"/>
        <v>1</v>
      </c>
      <c r="X69" s="67" t="str">
        <f t="shared" si="3"/>
        <v>HHL3CT03</v>
      </c>
      <c r="Y69" s="389" t="str">
        <f t="shared" ref="Y69:Z69" si="65">IFERROR(INDEX($O$8:$O$684,MATCH(X69,$N$8:$N$684,0)),"")</f>
        <v/>
      </c>
      <c r="Z69" s="389" t="str">
        <f t="shared" si="65"/>
        <v/>
      </c>
      <c r="AA69" s="389">
        <f t="shared" si="5"/>
        <v>1</v>
      </c>
    </row>
    <row r="70" ht="15.75" customHeight="1">
      <c r="F70" s="664"/>
      <c r="I70" s="665"/>
      <c r="M70" s="389">
        <f>IF('Bản đồ công việc'!X86="","",'Bản đồ công việc'!W86)</f>
        <v>4</v>
      </c>
      <c r="N70" s="67" t="str">
        <f>IF('Bản đồ công việc'!X86="","",'Bản đồ công việc'!X86)</f>
        <v>HHL4DL03</v>
      </c>
      <c r="O70" s="67" t="str">
        <f>IF('Bản đồ công việc'!X86="","",'Bản đồ công việc'!Y86)</f>
        <v>HHL3CT03</v>
      </c>
      <c r="P70" s="389" t="str">
        <f>IF('Bản đồ công việc'!X86="","",'Bản đồ công việc'!V86)</f>
        <v>   ├─ Xây dựng công thức &amp; tạo HT tham số cho KH B2B</v>
      </c>
      <c r="Q70" s="67" t="str">
        <f>IF('Bản đồ công việc'!X86="","",'Bản đồ công việc'!AC86)</f>
        <v>Chưa bắt đầu</v>
      </c>
      <c r="R70" s="398">
        <f>IF('Bản đồ công việc'!X86="","",'Bản đồ công việc'!AD86)</f>
        <v>0</v>
      </c>
      <c r="S70" s="67" t="str">
        <f>IF('Bản đồ công việc'!X86="","",'Bản đồ công việc'!Z86)</f>
        <v>Em Đại</v>
      </c>
      <c r="T70" s="67" t="str">
        <f>IF('Bản đồ công việc'!X86="","",'Bản đồ công việc'!AA86)</f>
        <v>Dữ liệu điều hành</v>
      </c>
      <c r="U70" s="358">
        <f>IF('Bản đồ công việc'!X86="","",'Bản đồ công việc'!AE86)</f>
        <v>46320</v>
      </c>
      <c r="V70" s="389" t="str">
        <f>IF('Bản đồ công việc'!X86="","",'Bản đồ công việc'!AI86)</f>
        <v>🟣 P1 trọng yếu</v>
      </c>
      <c r="W70" s="389">
        <f t="shared" si="2"/>
        <v>1</v>
      </c>
      <c r="X70" s="67" t="str">
        <f t="shared" si="3"/>
        <v>HHL3CT03</v>
      </c>
      <c r="Y70" s="389" t="str">
        <f t="shared" ref="Y70:Z70" si="66">IFERROR(INDEX($O$8:$O$684,MATCH(X70,$N$8:$N$684,0)),"")</f>
        <v/>
      </c>
      <c r="Z70" s="389" t="str">
        <f t="shared" si="66"/>
        <v/>
      </c>
      <c r="AA70" s="389">
        <f t="shared" si="5"/>
        <v>1</v>
      </c>
    </row>
    <row r="71" ht="15.75" customHeight="1">
      <c r="F71" s="664"/>
      <c r="I71" s="665"/>
      <c r="M71" s="389">
        <f>IF('Bản đồ công việc'!X87="","",'Bản đồ công việc'!W87)</f>
        <v>4</v>
      </c>
      <c r="N71" s="67" t="str">
        <f>IF('Bản đồ công việc'!X87="","",'Bản đồ công việc'!X87)</f>
        <v>HHL4DL04</v>
      </c>
      <c r="O71" s="67" t="str">
        <f>IF('Bản đồ công việc'!X87="","",'Bản đồ công việc'!Y87)</f>
        <v>HHL3CT03</v>
      </c>
      <c r="P71" s="389" t="str">
        <f>IF('Bản đồ công việc'!X87="","",'Bản đồ công việc'!V87)</f>
        <v>   ├─ Xây dựng công thức &amp; tạo HT tham số cho KH Online</v>
      </c>
      <c r="Q71" s="67" t="str">
        <f>IF('Bản đồ công việc'!X87="","",'Bản đồ công việc'!AC87)</f>
        <v>Chưa bắt đầu</v>
      </c>
      <c r="R71" s="398">
        <f>IF('Bản đồ công việc'!X87="","",'Bản đồ công việc'!AD87)</f>
        <v>0</v>
      </c>
      <c r="S71" s="67" t="str">
        <f>IF('Bản đồ công việc'!X87="","",'Bản đồ công việc'!Z87)</f>
        <v>Em Đại</v>
      </c>
      <c r="T71" s="67" t="str">
        <f>IF('Bản đồ công việc'!X87="","",'Bản đồ công việc'!AA87)</f>
        <v>Dữ liệu điều hành</v>
      </c>
      <c r="U71" s="358">
        <f>IF('Bản đồ công việc'!X87="","",'Bản đồ công việc'!AE87)</f>
        <v>46320</v>
      </c>
      <c r="V71" s="389" t="str">
        <f>IF('Bản đồ công việc'!X87="","",'Bản đồ công việc'!AI87)</f>
        <v>🟣 P1 trọng yếu</v>
      </c>
      <c r="W71" s="389">
        <f t="shared" si="2"/>
        <v>1</v>
      </c>
      <c r="X71" s="67" t="str">
        <f t="shared" si="3"/>
        <v>HHL3CT03</v>
      </c>
      <c r="Y71" s="389" t="str">
        <f t="shared" ref="Y71:Z71" si="67">IFERROR(INDEX($O$8:$O$684,MATCH(X71,$N$8:$N$684,0)),"")</f>
        <v/>
      </c>
      <c r="Z71" s="389" t="str">
        <f t="shared" si="67"/>
        <v/>
      </c>
      <c r="AA71" s="389">
        <f t="shared" si="5"/>
        <v>1</v>
      </c>
    </row>
    <row r="72" ht="15.75" customHeight="1">
      <c r="F72" s="664"/>
      <c r="I72" s="665"/>
      <c r="M72" s="389">
        <f>IF('Bản đồ công việc'!X88="","",'Bản đồ công việc'!W88)</f>
        <v>4</v>
      </c>
      <c r="N72" s="67" t="str">
        <f>IF('Bản đồ công việc'!X88="","",'Bản đồ công việc'!X88)</f>
        <v>HHL4DL05</v>
      </c>
      <c r="O72" s="67" t="str">
        <f>IF('Bản đồ công việc'!X88="","",'Bản đồ công việc'!Y88)</f>
        <v>HHL3CT03</v>
      </c>
      <c r="P72" s="389" t="str">
        <f>IF('Bản đồ công việc'!X88="","",'Bản đồ công việc'!V88)</f>
        <v>   ├─ Xây dựng công thức &amp; tạo HT tham số cho KH XK</v>
      </c>
      <c r="Q72" s="67" t="str">
        <f>IF('Bản đồ công việc'!X88="","",'Bản đồ công việc'!AC88)</f>
        <v>Chưa bắt đầu</v>
      </c>
      <c r="R72" s="398">
        <f>IF('Bản đồ công việc'!X88="","",'Bản đồ công việc'!AD88)</f>
        <v>0</v>
      </c>
      <c r="S72" s="67" t="str">
        <f>IF('Bản đồ công việc'!X88="","",'Bản đồ công việc'!Z88)</f>
        <v>Em Đại</v>
      </c>
      <c r="T72" s="67" t="str">
        <f>IF('Bản đồ công việc'!X88="","",'Bản đồ công việc'!AA88)</f>
        <v>Dữ liệu điều hành</v>
      </c>
      <c r="U72" s="358">
        <f>IF('Bản đồ công việc'!X88="","",'Bản đồ công việc'!AE88)</f>
        <v>46320</v>
      </c>
      <c r="V72" s="389" t="str">
        <f>IF('Bản đồ công việc'!X88="","",'Bản đồ công việc'!AI88)</f>
        <v>🟣 P1 trọng yếu</v>
      </c>
      <c r="W72" s="389">
        <f t="shared" si="2"/>
        <v>1</v>
      </c>
      <c r="X72" s="67" t="str">
        <f t="shared" si="3"/>
        <v>HHL3CT03</v>
      </c>
      <c r="Y72" s="389" t="str">
        <f t="shared" ref="Y72:Z72" si="68">IFERROR(INDEX($O$8:$O$684,MATCH(X72,$N$8:$N$684,0)),"")</f>
        <v/>
      </c>
      <c r="Z72" s="389" t="str">
        <f t="shared" si="68"/>
        <v/>
      </c>
      <c r="AA72" s="389">
        <f t="shared" si="5"/>
        <v>1</v>
      </c>
    </row>
    <row r="73" ht="15.75" customHeight="1">
      <c r="F73" s="664"/>
      <c r="I73" s="665"/>
      <c r="M73" s="389">
        <f>IF('Bản đồ công việc'!X89="","",'Bản đồ công việc'!W89)</f>
        <v>4</v>
      </c>
      <c r="N73" s="67" t="str">
        <f>IF('Bản đồ công việc'!X89="","",'Bản đồ công việc'!X89)</f>
        <v>HHL4DL06</v>
      </c>
      <c r="O73" s="67" t="str">
        <f>IF('Bản đồ công việc'!X89="","",'Bản đồ công việc'!Y89)</f>
        <v>HHL3CT03</v>
      </c>
      <c r="P73" s="389" t="str">
        <f>IF('Bản đồ công việc'!X89="","",'Bản đồ công việc'!V89)</f>
        <v>   ├─ Xây dựng công thức &amp; tạo HT tham số cho KH Showroom</v>
      </c>
      <c r="Q73" s="67" t="str">
        <f>IF('Bản đồ công việc'!X89="","",'Bản đồ công việc'!AC89)</f>
        <v>Chưa bắt đầu</v>
      </c>
      <c r="R73" s="398">
        <f>IF('Bản đồ công việc'!X89="","",'Bản đồ công việc'!AD89)</f>
        <v>0</v>
      </c>
      <c r="S73" s="67" t="str">
        <f>IF('Bản đồ công việc'!X89="","",'Bản đồ công việc'!Z89)</f>
        <v>Em Đại</v>
      </c>
      <c r="T73" s="67" t="str">
        <f>IF('Bản đồ công việc'!X89="","",'Bản đồ công việc'!AA89)</f>
        <v>Dữ liệu điều hành</v>
      </c>
      <c r="U73" s="358">
        <f>IF('Bản đồ công việc'!X89="","",'Bản đồ công việc'!AE89)</f>
        <v>46320</v>
      </c>
      <c r="V73" s="389" t="str">
        <f>IF('Bản đồ công việc'!X89="","",'Bản đồ công việc'!AI89)</f>
        <v>🟣 P1 trọng yếu</v>
      </c>
      <c r="W73" s="389">
        <f t="shared" si="2"/>
        <v>1</v>
      </c>
      <c r="X73" s="67" t="str">
        <f t="shared" si="3"/>
        <v>HHL3CT03</v>
      </c>
      <c r="Y73" s="389" t="str">
        <f t="shared" ref="Y73:Z73" si="69">IFERROR(INDEX($O$8:$O$684,MATCH(X73,$N$8:$N$684,0)),"")</f>
        <v/>
      </c>
      <c r="Z73" s="389" t="str">
        <f t="shared" si="69"/>
        <v/>
      </c>
      <c r="AA73" s="389">
        <f t="shared" si="5"/>
        <v>1</v>
      </c>
    </row>
    <row r="74" ht="15.75" customHeight="1">
      <c r="F74" s="664"/>
      <c r="I74" s="665"/>
      <c r="M74" s="389">
        <f>IF('Bản đồ công việc'!X90="","",'Bản đồ công việc'!W90)</f>
        <v>4</v>
      </c>
      <c r="N74" s="67" t="str">
        <f>IF('Bản đồ công việc'!X90="","",'Bản đồ công việc'!X90)</f>
        <v>HHL4DL07</v>
      </c>
      <c r="O74" s="67" t="str">
        <f>IF('Bản đồ công việc'!X90="","",'Bản đồ công việc'!Y90)</f>
        <v>HHL3CT03</v>
      </c>
      <c r="P74" s="389" t="str">
        <f>IF('Bản đồ công việc'!X90="","",'Bản đồ công việc'!V90)</f>
        <v>   ├─ Xây dựng phần mềm &amp; Chạy Topdown thử nghiệm</v>
      </c>
      <c r="Q74" s="67" t="str">
        <f>IF('Bản đồ công việc'!X90="","",'Bản đồ công việc'!AC90)</f>
        <v>Chưa bắt đầu</v>
      </c>
      <c r="R74" s="398">
        <f>IF('Bản đồ công việc'!X90="","",'Bản đồ công việc'!AD90)</f>
        <v>0</v>
      </c>
      <c r="S74" s="67" t="str">
        <f>IF('Bản đồ công việc'!X90="","",'Bản đồ công việc'!Z90)</f>
        <v>Em Đại</v>
      </c>
      <c r="T74" s="67" t="str">
        <f>IF('Bản đồ công việc'!X90="","",'Bản đồ công việc'!AA90)</f>
        <v>Dữ liệu điều hành</v>
      </c>
      <c r="U74" s="358">
        <f>IF('Bản đồ công việc'!X90="","",'Bản đồ công việc'!AE90)</f>
        <v>46331</v>
      </c>
      <c r="V74" s="389" t="str">
        <f>IF('Bản đồ công việc'!X90="","",'Bản đồ công việc'!AI90)</f>
        <v>🟣 P1 trọng yếu</v>
      </c>
      <c r="W74" s="389">
        <f t="shared" si="2"/>
        <v>0</v>
      </c>
      <c r="X74" s="67" t="str">
        <f t="shared" si="3"/>
        <v>HHL3CT03</v>
      </c>
      <c r="Y74" s="389" t="str">
        <f t="shared" ref="Y74:Z74" si="70">IFERROR(INDEX($O$8:$O$684,MATCH(X74,$N$8:$N$684,0)),"")</f>
        <v/>
      </c>
      <c r="Z74" s="389" t="str">
        <f t="shared" si="70"/>
        <v/>
      </c>
      <c r="AA74" s="389">
        <f t="shared" si="5"/>
        <v>0</v>
      </c>
    </row>
    <row r="75" ht="15.75" customHeight="1">
      <c r="F75" s="664"/>
      <c r="I75" s="665"/>
      <c r="M75" s="389">
        <f>IF('Bản đồ công việc'!X91="","",'Bản đồ công việc'!W91)</f>
        <v>4</v>
      </c>
      <c r="N75" s="67" t="str">
        <f>IF('Bản đồ công việc'!X91="","",'Bản đồ công việc'!X91)</f>
        <v>HHL4RD08</v>
      </c>
      <c r="O75" s="67" t="str">
        <f>IF('Bản đồ công việc'!X91="","",'Bản đồ công việc'!Y91)</f>
        <v>HHL3RD12</v>
      </c>
      <c r="P75" s="389" t="str">
        <f>IF('Bản đồ công việc'!X91="","",'Bản đồ công việc'!V91)</f>
        <v>   ├─ Chuẩn hóa Guideline thiết kế SP &amp; bao bì</v>
      </c>
      <c r="Q75" s="67" t="str">
        <f>IF('Bản đồ công việc'!X91="","",'Bản đồ công việc'!AC91)</f>
        <v>Đang thực hiện</v>
      </c>
      <c r="R75" s="398">
        <f>IF('Bản đồ công việc'!X91="","",'Bản đồ công việc'!AD91)</f>
        <v>0</v>
      </c>
      <c r="S75" s="67" t="str">
        <f>IF('Bản đồ công việc'!X91="","",'Bản đồ công việc'!Z91)</f>
        <v>Ms Trang</v>
      </c>
      <c r="T75" s="67" t="str">
        <f>IF('Bản đồ công việc'!X91="","",'Bản đồ công việc'!AA91)</f>
        <v>R&amp;D</v>
      </c>
      <c r="U75" s="358">
        <f>IF('Bản đồ công việc'!X91="","",'Bản đồ công việc'!AE91)</f>
        <v>46252</v>
      </c>
      <c r="V75" s="389" t="str">
        <f>IF('Bản đồ công việc'!X91="","",'Bản đồ công việc'!AI91)</f>
        <v>🟠 Hạn ≤7 ngày</v>
      </c>
      <c r="W75" s="389">
        <f t="shared" si="2"/>
        <v>0</v>
      </c>
      <c r="X75" s="67" t="str">
        <f t="shared" si="3"/>
        <v>HHL3RD12</v>
      </c>
      <c r="Y75" s="389" t="str">
        <f t="shared" ref="Y75:Z75" si="71">IFERROR(INDEX($O$8:$O$684,MATCH(X75,$N$8:$N$684,0)),"")</f>
        <v/>
      </c>
      <c r="Z75" s="389" t="str">
        <f t="shared" si="71"/>
        <v/>
      </c>
      <c r="AA75" s="389">
        <f t="shared" si="5"/>
        <v>0</v>
      </c>
    </row>
    <row r="76" ht="15.75" customHeight="1">
      <c r="F76" s="664"/>
      <c r="I76" s="665"/>
      <c r="M76" s="389">
        <f>IF('Bản đồ công việc'!X92="","",'Bản đồ công việc'!W92)</f>
        <v>4</v>
      </c>
      <c r="N76" s="67" t="str">
        <f>IF('Bản đồ công việc'!X92="","",'Bản đồ công việc'!X92)</f>
        <v>HHL4RD09</v>
      </c>
      <c r="O76" s="67" t="str">
        <f>IF('Bản đồ công việc'!X92="","",'Bản đồ công việc'!Y92)</f>
        <v>HHL3RD12</v>
      </c>
      <c r="P76" s="389" t="str">
        <f>IF('Bản đồ công việc'!X92="","",'Bản đồ công việc'!V92)</f>
        <v>   ├─ XD phương án Quản trị đặt hàng OEM</v>
      </c>
      <c r="Q76" s="67" t="str">
        <f>IF('Bản đồ công việc'!X92="","",'Bản đồ công việc'!AC92)</f>
        <v>Đang thực hiện</v>
      </c>
      <c r="R76" s="398">
        <f>IF('Bản đồ công việc'!X92="","",'Bản đồ công việc'!AD92)</f>
        <v>0</v>
      </c>
      <c r="S76" s="67" t="str">
        <f>IF('Bản đồ công việc'!X92="","",'Bản đồ công việc'!Z92)</f>
        <v>Ms Trang</v>
      </c>
      <c r="T76" s="67" t="str">
        <f>IF('Bản đồ công việc'!X92="","",'Bản đồ công việc'!AA92)</f>
        <v>R&amp;D</v>
      </c>
      <c r="U76" s="358">
        <f>IF('Bản đồ công việc'!X92="","",'Bản đồ công việc'!AE92)</f>
        <v>46326</v>
      </c>
      <c r="V76" s="389" t="str">
        <f>IF('Bản đồ công việc'!X92="","",'Bản đồ công việc'!AI92)</f>
        <v>🟢 Theo kế hoạch</v>
      </c>
      <c r="W76" s="389">
        <f t="shared" si="2"/>
        <v>0</v>
      </c>
      <c r="X76" s="67" t="str">
        <f t="shared" si="3"/>
        <v>HHL3RD12</v>
      </c>
      <c r="Y76" s="389" t="str">
        <f t="shared" ref="Y76:Z76" si="72">IFERROR(INDEX($O$8:$O$684,MATCH(X76,$N$8:$N$684,0)),"")</f>
        <v/>
      </c>
      <c r="Z76" s="389" t="str">
        <f t="shared" si="72"/>
        <v/>
      </c>
      <c r="AA76" s="389">
        <f t="shared" si="5"/>
        <v>0</v>
      </c>
    </row>
    <row r="77" ht="15.75" customHeight="1">
      <c r="F77" s="664"/>
      <c r="I77" s="665"/>
      <c r="M77" s="389">
        <f>IF('Bản đồ công việc'!X93="","",'Bản đồ công việc'!W93)</f>
        <v>4</v>
      </c>
      <c r="N77" s="67" t="str">
        <f>IF('Bản đồ công việc'!X93="","",'Bản đồ công việc'!X93)</f>
        <v>HHL4RD10</v>
      </c>
      <c r="O77" s="67" t="str">
        <f>IF('Bản đồ công việc'!X93="","",'Bản đồ công việc'!Y93)</f>
        <v>HHL3RD12</v>
      </c>
      <c r="P77" s="389" t="str">
        <f>IF('Bản đồ công việc'!X93="","",'Bản đồ công việc'!V93)</f>
        <v>   ├─ Phương án quản trị chất lược sản phẩm</v>
      </c>
      <c r="Q77" s="67" t="str">
        <f>IF('Bản đồ công việc'!X93="","",'Bản đồ công việc'!AC93)</f>
        <v>Đang thực hiện</v>
      </c>
      <c r="R77" s="398">
        <f>IF('Bản đồ công việc'!X93="","",'Bản đồ công việc'!AD93)</f>
        <v>0</v>
      </c>
      <c r="S77" s="67" t="str">
        <f>IF('Bản đồ công việc'!X93="","",'Bản đồ công việc'!Z93)</f>
        <v>Ms Trang</v>
      </c>
      <c r="T77" s="67" t="str">
        <f>IF('Bản đồ công việc'!X93="","",'Bản đồ công việc'!AA93)</f>
        <v>R&amp;D</v>
      </c>
      <c r="U77" s="358">
        <f>IF('Bản đồ công việc'!X93="","",'Bản đồ công việc'!AE93)</f>
        <v>46341</v>
      </c>
      <c r="V77" s="389" t="str">
        <f>IF('Bản đồ công việc'!X93="","",'Bản đồ công việc'!AI93)</f>
        <v>🟢 Theo kế hoạch</v>
      </c>
      <c r="W77" s="389">
        <f t="shared" si="2"/>
        <v>0</v>
      </c>
      <c r="X77" s="67" t="str">
        <f t="shared" si="3"/>
        <v>HHL3RD12</v>
      </c>
      <c r="Y77" s="389" t="str">
        <f t="shared" ref="Y77:Z77" si="73">IFERROR(INDEX($O$8:$O$684,MATCH(X77,$N$8:$N$684,0)),"")</f>
        <v/>
      </c>
      <c r="Z77" s="389" t="str">
        <f t="shared" si="73"/>
        <v/>
      </c>
      <c r="AA77" s="389">
        <f t="shared" si="5"/>
        <v>0</v>
      </c>
    </row>
    <row r="78" ht="15.75" customHeight="1">
      <c r="F78" s="664"/>
      <c r="I78" s="665"/>
      <c r="M78" s="389">
        <f>IF('Bản đồ công việc'!X94="","",'Bản đồ công việc'!W94)</f>
        <v>4</v>
      </c>
      <c r="N78" s="67" t="str">
        <f>IF('Bản đồ công việc'!X94="","",'Bản đồ công việc'!X94)</f>
        <v>HHL4RD11</v>
      </c>
      <c r="O78" s="67" t="str">
        <f>IF('Bản đồ công việc'!X94="","",'Bản đồ công việc'!Y94)</f>
        <v>HHL3RD12</v>
      </c>
      <c r="P78" s="389" t="str">
        <f>IF('Bản đồ công việc'!X94="","",'Bản đồ công việc'!V94)</f>
        <v>   ├─ Thành lập ban CLSP &amp; cơ chế vận hành</v>
      </c>
      <c r="Q78" s="67" t="str">
        <f>IF('Bản đồ công việc'!X94="","",'Bản đồ công việc'!AC94)</f>
        <v>Đang thực hiện</v>
      </c>
      <c r="R78" s="398">
        <f>IF('Bản đồ công việc'!X94="","",'Bản đồ công việc'!AD94)</f>
        <v>0</v>
      </c>
      <c r="S78" s="67" t="str">
        <f>IF('Bản đồ công việc'!X94="","",'Bản đồ công việc'!Z94)</f>
        <v>Ms Trang</v>
      </c>
      <c r="T78" s="67" t="str">
        <f>IF('Bản đồ công việc'!X94="","",'Bản đồ công việc'!AA94)</f>
        <v>R&amp;D</v>
      </c>
      <c r="U78" s="358">
        <f>IF('Bản đồ công việc'!X94="","",'Bản đồ công việc'!AE94)</f>
        <v>46295</v>
      </c>
      <c r="V78" s="389" t="str">
        <f>IF('Bản đồ công việc'!X94="","",'Bản đồ công việc'!AI94)</f>
        <v>🟢 Theo kế hoạch</v>
      </c>
      <c r="W78" s="389">
        <f t="shared" si="2"/>
        <v>0</v>
      </c>
      <c r="X78" s="67" t="str">
        <f t="shared" si="3"/>
        <v>HHL3RD12</v>
      </c>
      <c r="Y78" s="389" t="str">
        <f t="shared" ref="Y78:Z78" si="74">IFERROR(INDEX($O$8:$O$684,MATCH(X78,$N$8:$N$684,0)),"")</f>
        <v/>
      </c>
      <c r="Z78" s="389" t="str">
        <f t="shared" si="74"/>
        <v/>
      </c>
      <c r="AA78" s="389">
        <f t="shared" si="5"/>
        <v>0</v>
      </c>
    </row>
    <row r="79" ht="15.75" customHeight="1">
      <c r="F79" s="664"/>
      <c r="I79" s="665"/>
      <c r="M79" s="389">
        <f>IF('Bản đồ công việc'!X95="","",'Bản đồ công việc'!W95)</f>
        <v>4</v>
      </c>
      <c r="N79" s="67" t="str">
        <f>IF('Bản đồ công việc'!X95="","",'Bản đồ công việc'!X95)</f>
        <v>HHL4RD12</v>
      </c>
      <c r="O79" s="67" t="str">
        <f>IF('Bản đồ công việc'!X95="","",'Bản đồ công việc'!Y95)</f>
        <v>HHL3RD12</v>
      </c>
      <c r="P79" s="389" t="str">
        <f>IF('Bản đồ công việc'!X95="","",'Bản đồ công việc'!V95)</f>
        <v>   ├─ Quy hoạch thông tin SP &amp; truy xuất thông tin</v>
      </c>
      <c r="Q79" s="67" t="str">
        <f>IF('Bản đồ công việc'!X95="","",'Bản đồ công việc'!AC95)</f>
        <v>Đang thực hiện</v>
      </c>
      <c r="R79" s="398">
        <f>IF('Bản đồ công việc'!X95="","",'Bản đồ công việc'!AD95)</f>
        <v>0</v>
      </c>
      <c r="S79" s="67" t="str">
        <f>IF('Bản đồ công việc'!X95="","",'Bản đồ công việc'!Z95)</f>
        <v>Ms Trang</v>
      </c>
      <c r="T79" s="67" t="str">
        <f>IF('Bản đồ công việc'!X95="","",'Bản đồ công việc'!AA95)</f>
        <v>R&amp;D</v>
      </c>
      <c r="U79" s="358">
        <f>IF('Bản đồ công việc'!X95="","",'Bản đồ công việc'!AE95)</f>
        <v>46326</v>
      </c>
      <c r="V79" s="389" t="str">
        <f>IF('Bản đồ công việc'!X95="","",'Bản đồ công việc'!AI95)</f>
        <v>🟢 Theo kế hoạch</v>
      </c>
      <c r="W79" s="389">
        <f t="shared" si="2"/>
        <v>0</v>
      </c>
      <c r="X79" s="67" t="str">
        <f t="shared" si="3"/>
        <v>HHL3RD12</v>
      </c>
      <c r="Y79" s="389" t="str">
        <f t="shared" ref="Y79:Z79" si="75">IFERROR(INDEX($O$8:$O$684,MATCH(X79,$N$8:$N$684,0)),"")</f>
        <v/>
      </c>
      <c r="Z79" s="389" t="str">
        <f t="shared" si="75"/>
        <v/>
      </c>
      <c r="AA79" s="389">
        <f t="shared" si="5"/>
        <v>0</v>
      </c>
    </row>
    <row r="80" ht="15.75" customHeight="1">
      <c r="F80" s="664"/>
      <c r="I80" s="665"/>
      <c r="M80" s="389">
        <f>IF('Bản đồ công việc'!X96="","",'Bản đồ công việc'!W96)</f>
        <v>4</v>
      </c>
      <c r="N80" s="67" t="str">
        <f>IF('Bản đồ công việc'!X96="","",'Bản đồ công việc'!X96)</f>
        <v>HHL4RD13</v>
      </c>
      <c r="O80" s="67" t="str">
        <f>IF('Bản đồ công việc'!X96="","",'Bản đồ công việc'!Y96)</f>
        <v>HHL3RD09</v>
      </c>
      <c r="P80" s="389" t="str">
        <f>IF('Bản đồ công việc'!X96="","",'Bản đồ công việc'!V96)</f>
        <v>   ├─ XD Tool quét xu hướng &amp; thị trường</v>
      </c>
      <c r="Q80" s="67" t="str">
        <f>IF('Bản đồ công việc'!X96="","",'Bản đồ công việc'!AC96)</f>
        <v>Đang thực hiện</v>
      </c>
      <c r="R80" s="398">
        <f>IF('Bản đồ công việc'!X96="","",'Bản đồ công việc'!AD96)</f>
        <v>0</v>
      </c>
      <c r="S80" s="67" t="str">
        <f>IF('Bản đồ công việc'!X96="","",'Bản đồ công việc'!Z96)</f>
        <v>Ms Trang</v>
      </c>
      <c r="T80" s="67" t="str">
        <f>IF('Bản đồ công việc'!X96="","",'Bản đồ công việc'!AA96)</f>
        <v>R&amp;D</v>
      </c>
      <c r="U80" s="358">
        <f>IF('Bản đồ công việc'!X96="","",'Bản đồ công việc'!AE96)</f>
        <v>46280</v>
      </c>
      <c r="V80" s="389" t="str">
        <f>IF('Bản đồ công việc'!X96="","",'Bản đồ công việc'!AI96)</f>
        <v>🟢 Theo kế hoạch</v>
      </c>
      <c r="W80" s="389">
        <f t="shared" si="2"/>
        <v>0</v>
      </c>
      <c r="X80" s="67" t="str">
        <f t="shared" si="3"/>
        <v>HHL3RD09</v>
      </c>
      <c r="Y80" s="389" t="str">
        <f t="shared" ref="Y80:Z80" si="76">IFERROR(INDEX($O$8:$O$684,MATCH(X80,$N$8:$N$684,0)),"")</f>
        <v/>
      </c>
      <c r="Z80" s="389" t="str">
        <f t="shared" si="76"/>
        <v/>
      </c>
      <c r="AA80" s="389">
        <f t="shared" si="5"/>
        <v>0</v>
      </c>
    </row>
    <row r="81" ht="15.75" customHeight="1">
      <c r="F81" s="664"/>
      <c r="I81" s="665"/>
      <c r="M81" s="389">
        <f>IF('Bản đồ công việc'!X97="","",'Bản đồ công việc'!W97)</f>
        <v>4</v>
      </c>
      <c r="N81" s="67" t="str">
        <f>IF('Bản đồ công việc'!X97="","",'Bản đồ công việc'!X97)</f>
        <v>HHL4RD14</v>
      </c>
      <c r="O81" s="67" t="str">
        <f>IF('Bản đồ công việc'!X97="","",'Bản đồ công việc'!Y97)</f>
        <v>HHL3RD01</v>
      </c>
      <c r="P81" s="389" t="str">
        <f>IF('Bản đồ công việc'!X97="","",'Bản đồ công việc'!V97)</f>
        <v>   ├─ XĐ căn cứ &amp; QH nhân quả giữa NC với QT&amp;PTSP hàng năm</v>
      </c>
      <c r="Q81" s="67" t="str">
        <f>IF('Bản đồ công việc'!X97="","",'Bản đồ công việc'!AC97)</f>
        <v>Đang thực hiện</v>
      </c>
      <c r="R81" s="398">
        <f>IF('Bản đồ công việc'!X97="","",'Bản đồ công việc'!AD97)</f>
        <v>0</v>
      </c>
      <c r="S81" s="67" t="str">
        <f>IF('Bản đồ công việc'!X97="","",'Bản đồ công việc'!Z97)</f>
        <v>Ms Trang</v>
      </c>
      <c r="T81" s="67" t="str">
        <f>IF('Bản đồ công việc'!X97="","",'Bản đồ công việc'!AA97)</f>
        <v>R&amp;D</v>
      </c>
      <c r="U81" s="358">
        <f>IF('Bản đồ công việc'!X97="","",'Bản đồ công việc'!AE97)</f>
        <v>46285</v>
      </c>
      <c r="V81" s="389" t="str">
        <f>IF('Bản đồ công việc'!X97="","",'Bản đồ công việc'!AI97)</f>
        <v>🟢 Theo kế hoạch</v>
      </c>
      <c r="W81" s="389">
        <f t="shared" si="2"/>
        <v>0</v>
      </c>
      <c r="X81" s="67" t="str">
        <f t="shared" si="3"/>
        <v>HHL3RD01</v>
      </c>
      <c r="Y81" s="389" t="str">
        <f t="shared" ref="Y81:Z81" si="77">IFERROR(INDEX($O$8:$O$684,MATCH(X81,$N$8:$N$684,0)),"")</f>
        <v/>
      </c>
      <c r="Z81" s="389" t="str">
        <f t="shared" si="77"/>
        <v/>
      </c>
      <c r="AA81" s="389">
        <f t="shared" si="5"/>
        <v>0</v>
      </c>
    </row>
    <row r="82" ht="15.75" customHeight="1">
      <c r="F82" s="664"/>
      <c r="I82" s="665"/>
      <c r="M82" s="389">
        <f>IF('Bản đồ công việc'!X98="","",'Bản đồ công việc'!W98)</f>
        <v>4</v>
      </c>
      <c r="N82" s="67" t="str">
        <f>IF('Bản đồ công việc'!X98="","",'Bản đồ công việc'!X98)</f>
        <v>HHL4RD15</v>
      </c>
      <c r="O82" s="67" t="str">
        <f>IF('Bản đồ công việc'!X98="","",'Bản đồ công việc'!Y98)</f>
        <v>HHL3RD01</v>
      </c>
      <c r="P82" s="389" t="str">
        <f>IF('Bản đồ công việc'!X98="","",'Bản đồ công việc'!V98)</f>
        <v>   ├─ Phân tích bộ câu hỏi KS Insight 2024, 2025</v>
      </c>
      <c r="Q82" s="67" t="str">
        <f>IF('Bản đồ công việc'!X98="","",'Bản đồ công việc'!AC98)</f>
        <v>Đang thực hiện</v>
      </c>
      <c r="R82" s="398">
        <f>IF('Bản đồ công việc'!X98="","",'Bản đồ công việc'!AD98)</f>
        <v>0</v>
      </c>
      <c r="S82" s="67" t="str">
        <f>IF('Bản đồ công việc'!X98="","",'Bản đồ công việc'!Z98)</f>
        <v>Ms Trang</v>
      </c>
      <c r="T82" s="67" t="str">
        <f>IF('Bản đồ công việc'!X98="","",'Bản đồ công việc'!AA98)</f>
        <v>R&amp;D</v>
      </c>
      <c r="U82" s="358">
        <f>IF('Bản đồ công việc'!X98="","",'Bản đồ công việc'!AE98)</f>
        <v>46244</v>
      </c>
      <c r="V82" s="389" t="str">
        <f>IF('Bản đồ công việc'!X98="","",'Bản đồ công việc'!AI98)</f>
        <v>🔴 Quá hạn</v>
      </c>
      <c r="W82" s="389">
        <f t="shared" si="2"/>
        <v>0</v>
      </c>
      <c r="X82" s="67" t="str">
        <f t="shared" si="3"/>
        <v>HHL3RD01</v>
      </c>
      <c r="Y82" s="389" t="str">
        <f t="shared" ref="Y82:Z82" si="78">IFERROR(INDEX($O$8:$O$684,MATCH(X82,$N$8:$N$684,0)),"")</f>
        <v/>
      </c>
      <c r="Z82" s="389" t="str">
        <f t="shared" si="78"/>
        <v/>
      </c>
      <c r="AA82" s="389">
        <f t="shared" si="5"/>
        <v>0</v>
      </c>
    </row>
    <row r="83" ht="15.75" customHeight="1">
      <c r="F83" s="664"/>
      <c r="I83" s="665"/>
      <c r="M83" s="389">
        <f>IF('Bản đồ công việc'!X99="","",'Bản đồ công việc'!W99)</f>
        <v>4</v>
      </c>
      <c r="N83" s="67" t="str">
        <f>IF('Bản đồ công việc'!X99="","",'Bản đồ công việc'!X99)</f>
        <v>HHL4RD16</v>
      </c>
      <c r="O83" s="67" t="str">
        <f>IF('Bản đồ công việc'!X99="","",'Bản đồ công việc'!Y99)</f>
        <v>HHL3RD01</v>
      </c>
      <c r="P83" s="389" t="str">
        <f>IF('Bản đồ công việc'!X99="","",'Bản đồ công việc'!V99)</f>
        <v>   ├─ Final BCCL xét từ hai yếu tố bên trong &amp; bên ngoài</v>
      </c>
      <c r="Q83" s="67" t="str">
        <f>IF('Bản đồ công việc'!X99="","",'Bản đồ công việc'!AC99)</f>
        <v>Đang thực hiện</v>
      </c>
      <c r="R83" s="398">
        <f>IF('Bản đồ công việc'!X99="","",'Bản đồ công việc'!AD99)</f>
        <v>0</v>
      </c>
      <c r="S83" s="67" t="str">
        <f>IF('Bản đồ công việc'!X99="","",'Bản đồ công việc'!Z99)</f>
        <v>Ms Trang</v>
      </c>
      <c r="T83" s="67" t="str">
        <f>IF('Bản đồ công việc'!X99="","",'Bản đồ công việc'!AA99)</f>
        <v>R&amp;D</v>
      </c>
      <c r="U83" s="358">
        <f>IF('Bản đồ công việc'!X99="","",'Bản đồ công việc'!AE99)</f>
        <v>46305</v>
      </c>
      <c r="V83" s="389" t="str">
        <f>IF('Bản đồ công việc'!X99="","",'Bản đồ công việc'!AI99)</f>
        <v>🟢 Theo kế hoạch</v>
      </c>
      <c r="W83" s="389">
        <f t="shared" si="2"/>
        <v>0</v>
      </c>
      <c r="X83" s="67" t="str">
        <f t="shared" si="3"/>
        <v>HHL3RD01</v>
      </c>
      <c r="Y83" s="389" t="str">
        <f t="shared" ref="Y83:Z83" si="79">IFERROR(INDEX($O$8:$O$684,MATCH(X83,$N$8:$N$684,0)),"")</f>
        <v/>
      </c>
      <c r="Z83" s="389" t="str">
        <f t="shared" si="79"/>
        <v/>
      </c>
      <c r="AA83" s="389">
        <f t="shared" si="5"/>
        <v>0</v>
      </c>
    </row>
    <row r="84" ht="15.75" customHeight="1">
      <c r="F84" s="664"/>
      <c r="I84" s="665"/>
      <c r="M84" s="389">
        <f>IF('Bản đồ công việc'!X100="","",'Bản đồ công việc'!W100)</f>
        <v>4</v>
      </c>
      <c r="N84" s="67" t="str">
        <f>IF('Bản đồ công việc'!X100="","",'Bản đồ công việc'!X100)</f>
        <v>HHL4RD17</v>
      </c>
      <c r="O84" s="67" t="str">
        <f>IF('Bản đồ công việc'!X100="","",'Bản đồ công việc'!Y100)</f>
        <v>HHL3RD02</v>
      </c>
      <c r="P84" s="389" t="str">
        <f>IF('Bản đồ công việc'!X100="","",'Bản đồ công việc'!V100)</f>
        <v>   ├─ Tổng hợp TT SP OEM theo NCC (đầy đủ trường dữ liệu)</v>
      </c>
      <c r="Q84" s="67" t="str">
        <f>IF('Bản đồ công việc'!X100="","",'Bản đồ công việc'!AC100)</f>
        <v>Đang thực hiện</v>
      </c>
      <c r="R84" s="398">
        <f>IF('Bản đồ công việc'!X100="","",'Bản đồ công việc'!AD100)</f>
        <v>0</v>
      </c>
      <c r="S84" s="67" t="str">
        <f>IF('Bản đồ công việc'!X100="","",'Bản đồ công việc'!Z100)</f>
        <v>Ms Trang</v>
      </c>
      <c r="T84" s="67" t="str">
        <f>IF('Bản đồ công việc'!X100="","",'Bản đồ công việc'!AA100)</f>
        <v>R&amp;D</v>
      </c>
      <c r="U84" s="358">
        <f>IF('Bản đồ công việc'!X100="","",'Bản đồ công việc'!AE100)</f>
        <v>46254</v>
      </c>
      <c r="V84" s="389" t="str">
        <f>IF('Bản đồ công việc'!X100="","",'Bản đồ công việc'!AI100)</f>
        <v>🟢 Theo kế hoạch</v>
      </c>
      <c r="W84" s="389">
        <f t="shared" si="2"/>
        <v>0</v>
      </c>
      <c r="X84" s="67" t="str">
        <f t="shared" si="3"/>
        <v>HHL3RD02</v>
      </c>
      <c r="Y84" s="389" t="str">
        <f t="shared" ref="Y84:Z84" si="80">IFERROR(INDEX($O$8:$O$684,MATCH(X84,$N$8:$N$684,0)),"")</f>
        <v/>
      </c>
      <c r="Z84" s="389" t="str">
        <f t="shared" si="80"/>
        <v/>
      </c>
      <c r="AA84" s="389">
        <f t="shared" si="5"/>
        <v>0</v>
      </c>
    </row>
    <row r="85" ht="15.75" customHeight="1">
      <c r="F85" s="664"/>
      <c r="I85" s="665"/>
      <c r="M85" s="389">
        <f>IF('Bản đồ công việc'!X101="","",'Bản đồ công việc'!W101)</f>
        <v>4</v>
      </c>
      <c r="N85" s="67" t="str">
        <f>IF('Bản đồ công việc'!X101="","",'Bản đồ công việc'!X101)</f>
        <v>HHL4RD18</v>
      </c>
      <c r="O85" s="67" t="str">
        <f>IF('Bản đồ công việc'!X101="","",'Bản đồ công việc'!Y101)</f>
        <v>HHL3RD01</v>
      </c>
      <c r="P85" s="389" t="str">
        <f>IF('Bản đồ công việc'!X101="","",'Bản đồ công việc'!V101)</f>
        <v>   ├─ Chốt kế hoạch KSTT &amp; KH</v>
      </c>
      <c r="Q85" s="67" t="str">
        <f>IF('Bản đồ công việc'!X101="","",'Bản đồ công việc'!AC101)</f>
        <v>Đang thực hiện</v>
      </c>
      <c r="R85" s="398">
        <f>IF('Bản đồ công việc'!X101="","",'Bản đồ công việc'!AD101)</f>
        <v>0</v>
      </c>
      <c r="S85" s="67" t="str">
        <f>IF('Bản đồ công việc'!X101="","",'Bản đồ công việc'!Z101)</f>
        <v>Ms Trang</v>
      </c>
      <c r="T85" s="67" t="str">
        <f>IF('Bản đồ công việc'!X101="","",'Bản đồ công việc'!AA101)</f>
        <v>R&amp;D</v>
      </c>
      <c r="U85" s="358">
        <f>IF('Bản đồ công việc'!X101="","",'Bản đồ công việc'!AE101)</f>
        <v>46295</v>
      </c>
      <c r="V85" s="389" t="str">
        <f>IF('Bản đồ công việc'!X101="","",'Bản đồ công việc'!AI101)</f>
        <v>🟢 Theo kế hoạch</v>
      </c>
      <c r="W85" s="389">
        <f t="shared" si="2"/>
        <v>0</v>
      </c>
      <c r="X85" s="67" t="str">
        <f t="shared" si="3"/>
        <v>HHL3RD01</v>
      </c>
      <c r="Y85" s="389" t="str">
        <f t="shared" ref="Y85:Z85" si="81">IFERROR(INDEX($O$8:$O$684,MATCH(X85,$N$8:$N$684,0)),"")</f>
        <v/>
      </c>
      <c r="Z85" s="389" t="str">
        <f t="shared" si="81"/>
        <v/>
      </c>
      <c r="AA85" s="389">
        <f t="shared" si="5"/>
        <v>0</v>
      </c>
    </row>
    <row r="86" ht="15.75" customHeight="1">
      <c r="F86" s="664"/>
      <c r="I86" s="665"/>
      <c r="M86" s="389">
        <f>IF('Bản đồ công việc'!X102="","",'Bản đồ công việc'!W102)</f>
        <v>4</v>
      </c>
      <c r="N86" s="67" t="str">
        <f>IF('Bản đồ công việc'!X102="","",'Bản đồ công việc'!X102)</f>
        <v>HHL4RD19</v>
      </c>
      <c r="O86" s="67" t="str">
        <f>IF('Bản đồ công việc'!X102="","",'Bản đồ công việc'!Y102)</f>
        <v>HHL3RD02</v>
      </c>
      <c r="P86" s="389" t="str">
        <f>IF('Bản đồ công việc'!X102="","",'Bản đồ công việc'!V102)</f>
        <v>   ├─ TH &amp; BC đánh giá hiệu quả của SP OEM từ 2022 đến nay</v>
      </c>
      <c r="Q86" s="67" t="str">
        <f>IF('Bản đồ công việc'!X102="","",'Bản đồ công việc'!AC102)</f>
        <v>Đang thực hiện</v>
      </c>
      <c r="R86" s="398">
        <f>IF('Bản đồ công việc'!X102="","",'Bản đồ công việc'!AD102)</f>
        <v>0</v>
      </c>
      <c r="S86" s="67" t="str">
        <f>IF('Bản đồ công việc'!X102="","",'Bản đồ công việc'!Z102)</f>
        <v>Ms Trang</v>
      </c>
      <c r="T86" s="67" t="str">
        <f>IF('Bản đồ công việc'!X102="","",'Bản đồ công việc'!AA102)</f>
        <v>R&amp;D</v>
      </c>
      <c r="U86" s="358">
        <f>IF('Bản đồ công việc'!X102="","",'Bản đồ công việc'!AE102)</f>
        <v>46244</v>
      </c>
      <c r="V86" s="389" t="str">
        <f>IF('Bản đồ công việc'!X102="","",'Bản đồ công việc'!AI102)</f>
        <v>🔴 Quá hạn</v>
      </c>
      <c r="W86" s="389">
        <f t="shared" si="2"/>
        <v>0</v>
      </c>
      <c r="X86" s="67" t="str">
        <f t="shared" si="3"/>
        <v>HHL3RD02</v>
      </c>
      <c r="Y86" s="389" t="str">
        <f t="shared" ref="Y86:Z86" si="82">IFERROR(INDEX($O$8:$O$684,MATCH(X86,$N$8:$N$684,0)),"")</f>
        <v/>
      </c>
      <c r="Z86" s="389" t="str">
        <f t="shared" si="82"/>
        <v/>
      </c>
      <c r="AA86" s="389">
        <f t="shared" si="5"/>
        <v>0</v>
      </c>
    </row>
    <row r="87" ht="15.75" customHeight="1">
      <c r="F87" s="664"/>
      <c r="I87" s="665"/>
      <c r="M87" s="389">
        <f>IF('Bản đồ công việc'!X103="","",'Bản đồ công việc'!W103)</f>
        <v>4</v>
      </c>
      <c r="N87" s="67" t="str">
        <f>IF('Bản đồ công việc'!X103="","",'Bản đồ công việc'!X103)</f>
        <v>HHL4RD20</v>
      </c>
      <c r="O87" s="67" t="str">
        <f>IF('Bản đồ công việc'!X103="","",'Bản đồ công việc'!Y103)</f>
        <v>HHL3RD01</v>
      </c>
      <c r="P87" s="389" t="str">
        <f>IF('Bản đồ công việc'!X103="","",'Bản đồ công việc'!V103)</f>
        <v>   ├─ Đánh giá QHSP 2026, các vđ cần khắc phục</v>
      </c>
      <c r="Q87" s="67" t="str">
        <f>IF('Bản đồ công việc'!X103="","",'Bản đồ công việc'!AC103)</f>
        <v>Đang thực hiện</v>
      </c>
      <c r="R87" s="398">
        <f>IF('Bản đồ công việc'!X103="","",'Bản đồ công việc'!AD103)</f>
        <v>0</v>
      </c>
      <c r="S87" s="67" t="str">
        <f>IF('Bản đồ công việc'!X103="","",'Bản đồ công việc'!Z103)</f>
        <v>Ms Trang</v>
      </c>
      <c r="T87" s="67" t="str">
        <f>IF('Bản đồ công việc'!X103="","",'Bản đồ công việc'!AA103)</f>
        <v>R&amp;D</v>
      </c>
      <c r="U87" s="358">
        <f>IF('Bản đồ công việc'!X103="","",'Bản đồ công việc'!AE103)</f>
        <v>46295</v>
      </c>
      <c r="V87" s="389" t="str">
        <f>IF('Bản đồ công việc'!X103="","",'Bản đồ công việc'!AI103)</f>
        <v>🟢 Theo kế hoạch</v>
      </c>
      <c r="W87" s="389">
        <f t="shared" si="2"/>
        <v>0</v>
      </c>
      <c r="X87" s="67" t="str">
        <f t="shared" si="3"/>
        <v>HHL3RD01</v>
      </c>
      <c r="Y87" s="389" t="str">
        <f t="shared" ref="Y87:Z87" si="83">IFERROR(INDEX($O$8:$O$684,MATCH(X87,$N$8:$N$684,0)),"")</f>
        <v/>
      </c>
      <c r="Z87" s="389" t="str">
        <f t="shared" si="83"/>
        <v/>
      </c>
      <c r="AA87" s="389">
        <f t="shared" si="5"/>
        <v>0</v>
      </c>
    </row>
    <row r="88" ht="15.75" customHeight="1">
      <c r="F88" s="664"/>
      <c r="I88" s="665"/>
      <c r="M88" s="389">
        <f>IF('Bản đồ công việc'!X104="","",'Bản đồ công việc'!W104)</f>
        <v>4</v>
      </c>
      <c r="N88" s="67" t="str">
        <f>IF('Bản đồ công việc'!X104="","",'Bản đồ công việc'!X104)</f>
        <v>HHL4RD21</v>
      </c>
      <c r="O88" s="67" t="str">
        <f>IF('Bản đồ công việc'!X104="","",'Bản đồ công việc'!Y104)</f>
        <v>HHL3RD01</v>
      </c>
      <c r="P88" s="389" t="str">
        <f>IF('Bản đồ công việc'!X104="","",'Bản đồ công việc'!V104)</f>
        <v>   ├─ Đào tạo nội bộ cútomer Insight phục vụ NC &amp; PTSP</v>
      </c>
      <c r="Q88" s="67" t="str">
        <f>IF('Bản đồ công việc'!X104="","",'Bản đồ công việc'!AC104)</f>
        <v>Đang thực hiện</v>
      </c>
      <c r="R88" s="398">
        <f>IF('Bản đồ công việc'!X104="","",'Bản đồ công việc'!AD104)</f>
        <v>0</v>
      </c>
      <c r="S88" s="67" t="str">
        <f>IF('Bản đồ công việc'!X104="","",'Bản đồ công việc'!Z104)</f>
        <v>Ms Trang</v>
      </c>
      <c r="T88" s="67" t="str">
        <f>IF('Bản đồ công việc'!X104="","",'Bản đồ công việc'!AA104)</f>
        <v>R&amp;D</v>
      </c>
      <c r="U88" s="358">
        <f>IF('Bản đồ công việc'!X104="","",'Bản đồ công việc'!AE104)</f>
        <v>46305</v>
      </c>
      <c r="V88" s="389" t="str">
        <f>IF('Bản đồ công việc'!X104="","",'Bản đồ công việc'!AI104)</f>
        <v>🟢 Theo kế hoạch</v>
      </c>
      <c r="W88" s="389">
        <f t="shared" si="2"/>
        <v>0</v>
      </c>
      <c r="X88" s="67" t="str">
        <f t="shared" si="3"/>
        <v>HHL3RD01</v>
      </c>
      <c r="Y88" s="389" t="str">
        <f t="shared" ref="Y88:Z88" si="84">IFERROR(INDEX($O$8:$O$684,MATCH(X88,$N$8:$N$684,0)),"")</f>
        <v/>
      </c>
      <c r="Z88" s="389" t="str">
        <f t="shared" si="84"/>
        <v/>
      </c>
      <c r="AA88" s="389">
        <f t="shared" si="5"/>
        <v>0</v>
      </c>
    </row>
    <row r="89" ht="15.75" customHeight="1">
      <c r="F89" s="664"/>
      <c r="I89" s="665"/>
      <c r="M89" s="389">
        <f>IF('Bản đồ công việc'!X105="","",'Bản đồ công việc'!W105)</f>
        <v>4</v>
      </c>
      <c r="N89" s="67" t="str">
        <f>IF('Bản đồ công việc'!X105="","",'Bản đồ công việc'!X105)</f>
        <v>HHL4RD22</v>
      </c>
      <c r="O89" s="67" t="str">
        <f>IF('Bản đồ công việc'!X105="","",'Bản đồ công việc'!Y105)</f>
        <v>HHL3RD12</v>
      </c>
      <c r="P89" s="389" t="str">
        <f>IF('Bản đồ công việc'!X105="","",'Bản đồ công việc'!V105)</f>
        <v>   ├─ Xây dựng Bộ quy tắc &amp; ngưỡng điều tiết cung ứng hàng hóa</v>
      </c>
      <c r="Q89" s="67" t="str">
        <f>IF('Bản đồ công việc'!X105="","",'Bản đồ công việc'!AC105)</f>
        <v>Đang thực hiện</v>
      </c>
      <c r="R89" s="398">
        <f>IF('Bản đồ công việc'!X105="","",'Bản đồ công việc'!AD105)</f>
        <v>0</v>
      </c>
      <c r="S89" s="67" t="str">
        <f>IF('Bản đồ công việc'!X105="","",'Bản đồ công việc'!Z105)</f>
        <v>Ms Trang</v>
      </c>
      <c r="T89" s="67" t="str">
        <f>IF('Bản đồ công việc'!X105="","",'Bản đồ công việc'!AA105)</f>
        <v>R&amp;D</v>
      </c>
      <c r="U89" s="358">
        <f>IF('Bản đồ công việc'!X105="","",'Bản đồ công việc'!AE105)</f>
        <v>46356</v>
      </c>
      <c r="V89" s="389" t="str">
        <f>IF('Bản đồ công việc'!X105="","",'Bản đồ công việc'!AI105)</f>
        <v>🟢 Theo kế hoạch</v>
      </c>
      <c r="W89" s="389">
        <f t="shared" si="2"/>
        <v>0</v>
      </c>
      <c r="X89" s="67" t="str">
        <f t="shared" si="3"/>
        <v>HHL3RD12</v>
      </c>
      <c r="Y89" s="389" t="str">
        <f t="shared" ref="Y89:Z89" si="85">IFERROR(INDEX($O$8:$O$684,MATCH(X89,$N$8:$N$684,0)),"")</f>
        <v/>
      </c>
      <c r="Z89" s="389" t="str">
        <f t="shared" si="85"/>
        <v/>
      </c>
      <c r="AA89" s="389">
        <f t="shared" si="5"/>
        <v>0</v>
      </c>
    </row>
    <row r="90" ht="15.75" customHeight="1">
      <c r="F90" s="664"/>
      <c r="I90" s="665"/>
      <c r="M90" s="389">
        <f>IF('Bản đồ công việc'!X106="","",'Bản đồ công việc'!W106)</f>
        <v>4</v>
      </c>
      <c r="N90" s="67" t="str">
        <f>IF('Bản đồ công việc'!X106="","",'Bản đồ công việc'!X106)</f>
        <v>HHL4RD23</v>
      </c>
      <c r="O90" s="67" t="str">
        <f>IF('Bản đồ công việc'!X106="","",'Bản đồ công việc'!Y106)</f>
        <v>HHL3RD12</v>
      </c>
      <c r="P90" s="389" t="str">
        <f>IF('Bản đồ công việc'!X106="","",'Bản đồ công việc'!V106)</f>
        <v>   ├─ Số hoá BC theo dõi SP hàng bán theo kênh</v>
      </c>
      <c r="Q90" s="67" t="str">
        <f>IF('Bản đồ công việc'!X106="","",'Bản đồ công việc'!AC106)</f>
        <v>Đang thực hiện</v>
      </c>
      <c r="R90" s="398">
        <f>IF('Bản đồ công việc'!X106="","",'Bản đồ công việc'!AD106)</f>
        <v>0</v>
      </c>
      <c r="S90" s="67" t="str">
        <f>IF('Bản đồ công việc'!X106="","",'Bản đồ công việc'!Z106)</f>
        <v>Ms Trang</v>
      </c>
      <c r="T90" s="67" t="str">
        <f>IF('Bản đồ công việc'!X106="","",'Bản đồ công việc'!AA106)</f>
        <v>R&amp;D</v>
      </c>
      <c r="U90" s="358">
        <f>IF('Bản đồ công việc'!X106="","",'Bản đồ công việc'!AE106)</f>
        <v>46371</v>
      </c>
      <c r="V90" s="389" t="str">
        <f>IF('Bản đồ công việc'!X106="","",'Bản đồ công việc'!AI106)</f>
        <v>🟢 Theo kế hoạch</v>
      </c>
      <c r="W90" s="389">
        <f t="shared" si="2"/>
        <v>0</v>
      </c>
      <c r="X90" s="67" t="str">
        <f t="shared" si="3"/>
        <v>HHL3RD12</v>
      </c>
      <c r="Y90" s="389" t="str">
        <f t="shared" ref="Y90:Z90" si="86">IFERROR(INDEX($O$8:$O$684,MATCH(X90,$N$8:$N$684,0)),"")</f>
        <v/>
      </c>
      <c r="Z90" s="389" t="str">
        <f t="shared" si="86"/>
        <v/>
      </c>
      <c r="AA90" s="389">
        <f t="shared" si="5"/>
        <v>0</v>
      </c>
    </row>
    <row r="91" ht="15.75" customHeight="1">
      <c r="F91" s="664"/>
      <c r="I91" s="665"/>
      <c r="M91" s="389">
        <f>IF('Bản đồ công việc'!X107="","",'Bản đồ công việc'!W107)</f>
        <v>4</v>
      </c>
      <c r="N91" s="67" t="str">
        <f>IF('Bản đồ công việc'!X107="","",'Bản đồ công việc'!X107)</f>
        <v>HHL4RD24</v>
      </c>
      <c r="O91" s="67" t="str">
        <f>IF('Bản đồ công việc'!X107="","",'Bản đồ công việc'!Y107)</f>
        <v>HHL3RD02</v>
      </c>
      <c r="P91" s="389" t="str">
        <f>IF('Bản đồ công việc'!X107="","",'Bản đồ công việc'!V107)</f>
        <v>   ├─ Tổ chức hệ thống Soursing hàng OEM có CO trong nước</v>
      </c>
      <c r="Q91" s="67" t="str">
        <f>IF('Bản đồ công việc'!X107="","",'Bản đồ công việc'!AC107)</f>
        <v>Đang thực hiện</v>
      </c>
      <c r="R91" s="398">
        <f>IF('Bản đồ công việc'!X107="","",'Bản đồ công việc'!AD107)</f>
        <v>0</v>
      </c>
      <c r="S91" s="67" t="str">
        <f>IF('Bản đồ công việc'!X107="","",'Bản đồ công việc'!Z107)</f>
        <v>Ms Trang</v>
      </c>
      <c r="T91" s="67" t="str">
        <f>IF('Bản đồ công việc'!X107="","",'Bản đồ công việc'!AA107)</f>
        <v>R&amp;D</v>
      </c>
      <c r="U91" s="358">
        <f>IF('Bản đồ công việc'!X107="","",'Bản đồ công việc'!AE107)</f>
        <v>46274</v>
      </c>
      <c r="V91" s="389" t="str">
        <f>IF('Bản đồ công việc'!X107="","",'Bản đồ công việc'!AI107)</f>
        <v>🟢 Theo kế hoạch</v>
      </c>
      <c r="W91" s="389">
        <f t="shared" si="2"/>
        <v>0</v>
      </c>
      <c r="X91" s="67" t="str">
        <f t="shared" si="3"/>
        <v>HHL3RD02</v>
      </c>
      <c r="Y91" s="389" t="str">
        <f t="shared" ref="Y91:Z91" si="87">IFERROR(INDEX($O$8:$O$684,MATCH(X91,$N$8:$N$684,0)),"")</f>
        <v/>
      </c>
      <c r="Z91" s="389" t="str">
        <f t="shared" si="87"/>
        <v/>
      </c>
      <c r="AA91" s="389">
        <f t="shared" si="5"/>
        <v>0</v>
      </c>
    </row>
    <row r="92" ht="15.75" customHeight="1">
      <c r="F92" s="664"/>
      <c r="I92" s="665"/>
      <c r="M92" s="389">
        <f>IF('Bản đồ công việc'!X108="","",'Bản đồ công việc'!W108)</f>
        <v>4</v>
      </c>
      <c r="N92" s="67" t="str">
        <f>IF('Bản đồ công việc'!X108="","",'Bản đồ công việc'!X108)</f>
        <v>HHL4DL08</v>
      </c>
      <c r="O92" s="67" t="str">
        <f>IF('Bản đồ công việc'!X108="","",'Bản đồ công việc'!Y108)</f>
        <v>HHL3DL08</v>
      </c>
      <c r="P92" s="389" t="str">
        <f>IF('Bản đồ công việc'!X108="","",'Bản đồ công việc'!V108)</f>
        <v>   ├─ XD phần mềm tính contenr hàng hoá xuất khẩu </v>
      </c>
      <c r="Q92" s="67" t="str">
        <f>IF('Bản đồ công việc'!X108="","",'Bản đồ công việc'!AC108)</f>
        <v>Chưa bắt đầu</v>
      </c>
      <c r="R92" s="398">
        <f>IF('Bản đồ công việc'!X108="","",'Bản đồ công việc'!AD108)</f>
        <v>0</v>
      </c>
      <c r="S92" s="67" t="str">
        <f>IF('Bản đồ công việc'!X108="","",'Bản đồ công việc'!Z108)</f>
        <v>Em Đại</v>
      </c>
      <c r="T92" s="67" t="str">
        <f>IF('Bản đồ công việc'!X108="","",'Bản đồ công việc'!AA108)</f>
        <v>Dữ liệu điều hành</v>
      </c>
      <c r="U92" s="358">
        <f>IF('Bản đồ công việc'!X108="","",'Bản đồ công việc'!AE108)</f>
        <v>46236</v>
      </c>
      <c r="V92" s="389" t="str">
        <f>IF('Bản đồ công việc'!X108="","",'Bản đồ công việc'!AI108)</f>
        <v>🔴 Quá hạn</v>
      </c>
      <c r="W92" s="389">
        <f t="shared" si="2"/>
        <v>0</v>
      </c>
      <c r="X92" s="67" t="str">
        <f t="shared" si="3"/>
        <v>HHL3DL08</v>
      </c>
      <c r="Y92" s="389" t="str">
        <f t="shared" ref="Y92:Z92" si="88">IFERROR(INDEX($O$8:$O$684,MATCH(X92,$N$8:$N$684,0)),"")</f>
        <v/>
      </c>
      <c r="Z92" s="389" t="str">
        <f t="shared" si="88"/>
        <v/>
      </c>
      <c r="AA92" s="389">
        <f t="shared" si="5"/>
        <v>0</v>
      </c>
    </row>
    <row r="93" ht="15.75" customHeight="1">
      <c r="F93" s="664"/>
      <c r="I93" s="665"/>
      <c r="M93" s="389">
        <f>IF('Bản đồ công việc'!X109="","",'Bản đồ công việc'!W109)</f>
        <v>4</v>
      </c>
      <c r="N93" s="67" t="str">
        <f>IF('Bản đồ công việc'!X109="","",'Bản đồ công việc'!X109)</f>
        <v>HHL4DL09</v>
      </c>
      <c r="O93" s="67" t="str">
        <f>IF('Bản đồ công việc'!X109="","",'Bản đồ công việc'!Y109)</f>
        <v>HHL3DL09</v>
      </c>
      <c r="P93" s="389" t="str">
        <f>IF('Bản đồ công việc'!X109="","",'Bản đồ công việc'!V109)</f>
        <v>   ├─ Hỗ trợ phòng KT  ( ct, tính lương, ....) </v>
      </c>
      <c r="Q93" s="67" t="str">
        <f>IF('Bản đồ công việc'!X109="","",'Bản đồ công việc'!AC109)</f>
        <v>Chưa bắt đầu</v>
      </c>
      <c r="R93" s="398">
        <f>IF('Bản đồ công việc'!X109="","",'Bản đồ công việc'!AD109)</f>
        <v>0</v>
      </c>
      <c r="S93" s="67" t="str">
        <f>IF('Bản đồ công việc'!X109="","",'Bản đồ công việc'!Z109)</f>
        <v>Em Đại</v>
      </c>
      <c r="T93" s="67" t="str">
        <f>IF('Bản đồ công việc'!X109="","",'Bản đồ công việc'!AA109)</f>
        <v>Dữ liệu điều hành</v>
      </c>
      <c r="U93" s="358" t="str">
        <f>IF('Bản đồ công việc'!X109="","",'Bản đồ công việc'!AE109)</f>
        <v/>
      </c>
      <c r="V93" s="389" t="str">
        <f>IF('Bản đồ công việc'!X109="","",'Bản đồ công việc'!AI109)</f>
        <v>🔵 Chưa có hạn</v>
      </c>
      <c r="W93" s="389">
        <f t="shared" si="2"/>
        <v>0</v>
      </c>
      <c r="X93" s="67" t="str">
        <f t="shared" si="3"/>
        <v>HHL3DL09</v>
      </c>
      <c r="Y93" s="389" t="str">
        <f t="shared" ref="Y93:Z93" si="89">IFERROR(INDEX($O$8:$O$684,MATCH(X93,$N$8:$N$684,0)),"")</f>
        <v/>
      </c>
      <c r="Z93" s="389" t="str">
        <f t="shared" si="89"/>
        <v/>
      </c>
      <c r="AA93" s="389">
        <f t="shared" si="5"/>
        <v>0</v>
      </c>
    </row>
    <row r="94" ht="15.75" customHeight="1">
      <c r="F94" s="664"/>
      <c r="I94" s="665"/>
      <c r="M94" s="389">
        <f>IF('Bản đồ công việc'!X110="","",'Bản đồ công việc'!W110)</f>
        <v>4</v>
      </c>
      <c r="N94" s="67" t="str">
        <f>IF('Bản đồ công việc'!X110="","",'Bản đồ công việc'!X110)</f>
        <v>HHL4DL10</v>
      </c>
      <c r="O94" s="67" t="str">
        <f>IF('Bản đồ công việc'!X110="","",'Bản đồ công việc'!Y110)</f>
        <v>HHL3DL09</v>
      </c>
      <c r="P94" s="389" t="str">
        <f>IF('Bản đồ công việc'!X110="","",'Bản đồ công việc'!V110)</f>
        <v>   ├─ Đối chiếu truy xuất DL DMS với anh Mạnh </v>
      </c>
      <c r="Q94" s="67" t="str">
        <f>IF('Bản đồ công việc'!X110="","",'Bản đồ công việc'!AC110)</f>
        <v>Chưa bắt đầu</v>
      </c>
      <c r="R94" s="398">
        <f>IF('Bản đồ công việc'!X110="","",'Bản đồ công việc'!AD110)</f>
        <v>0</v>
      </c>
      <c r="S94" s="67" t="str">
        <f>IF('Bản đồ công việc'!X110="","",'Bản đồ công việc'!Z110)</f>
        <v>Em Đại</v>
      </c>
      <c r="T94" s="67" t="str">
        <f>IF('Bản đồ công việc'!X110="","",'Bản đồ công việc'!AA110)</f>
        <v>Dữ liệu điều hành</v>
      </c>
      <c r="U94" s="358">
        <f>IF('Bản đồ công việc'!X110="","",'Bản đồ công việc'!AE110)</f>
        <v>46280</v>
      </c>
      <c r="V94" s="389" t="str">
        <f>IF('Bản đồ công việc'!X110="","",'Bản đồ công việc'!AI110)</f>
        <v>🟢 Theo kế hoạch</v>
      </c>
      <c r="W94" s="389">
        <f t="shared" si="2"/>
        <v>0</v>
      </c>
      <c r="X94" s="67" t="str">
        <f t="shared" si="3"/>
        <v>HHL3DL09</v>
      </c>
      <c r="Y94" s="389" t="str">
        <f t="shared" ref="Y94:Z94" si="90">IFERROR(INDEX($O$8:$O$684,MATCH(X94,$N$8:$N$684,0)),"")</f>
        <v/>
      </c>
      <c r="Z94" s="389" t="str">
        <f t="shared" si="90"/>
        <v/>
      </c>
      <c r="AA94" s="389">
        <f t="shared" si="5"/>
        <v>0</v>
      </c>
    </row>
    <row r="95" ht="15.75" customHeight="1">
      <c r="F95" s="664"/>
      <c r="I95" s="665"/>
      <c r="M95" s="389">
        <f>IF('Bản đồ công việc'!X111="","",'Bản đồ công việc'!W111)</f>
        <v>4</v>
      </c>
      <c r="N95" s="67" t="str">
        <f>IF('Bản đồ công việc'!X111="","",'Bản đồ công việc'!X111)</f>
        <v>HHL4DL11</v>
      </c>
      <c r="O95" s="67" t="str">
        <f>IF('Bản đồ công việc'!X111="","",'Bản đồ công việc'!Y111)</f>
        <v>HHL3DL09</v>
      </c>
      <c r="P95" s="389" t="str">
        <f>IF('Bản đồ công việc'!X111="","",'Bản đồ công việc'!V111)</f>
        <v>   ├─ XDHT cảnh báo </v>
      </c>
      <c r="Q95" s="67" t="str">
        <f>IF('Bản đồ công việc'!X111="","",'Bản đồ công việc'!AC111)</f>
        <v>Chưa bắt đầu</v>
      </c>
      <c r="R95" s="398">
        <f>IF('Bản đồ công việc'!X111="","",'Bản đồ công việc'!AD111)</f>
        <v>0</v>
      </c>
      <c r="S95" s="67" t="str">
        <f>IF('Bản đồ công việc'!X111="","",'Bản đồ công việc'!Z111)</f>
        <v>Em Đại</v>
      </c>
      <c r="T95" s="67" t="str">
        <f>IF('Bản đồ công việc'!X111="","",'Bản đồ công việc'!AA111)</f>
        <v>Dữ liệu điều hành</v>
      </c>
      <c r="U95" s="358">
        <f>IF('Bản đồ công việc'!X111="","",'Bản đồ công việc'!AE111)</f>
        <v>46237</v>
      </c>
      <c r="V95" s="389" t="str">
        <f>IF('Bản đồ công việc'!X111="","",'Bản đồ công việc'!AI111)</f>
        <v>🔴 Quá hạn</v>
      </c>
      <c r="W95" s="389">
        <f t="shared" si="2"/>
        <v>0</v>
      </c>
      <c r="X95" s="67" t="str">
        <f t="shared" si="3"/>
        <v>HHL3DL09</v>
      </c>
      <c r="Y95" s="389" t="str">
        <f t="shared" ref="Y95:Z95" si="91">IFERROR(INDEX($O$8:$O$684,MATCH(X95,$N$8:$N$684,0)),"")</f>
        <v/>
      </c>
      <c r="Z95" s="389" t="str">
        <f t="shared" si="91"/>
        <v/>
      </c>
      <c r="AA95" s="389">
        <f t="shared" si="5"/>
        <v>0</v>
      </c>
    </row>
    <row r="96" ht="15.75" customHeight="1">
      <c r="F96" s="664"/>
      <c r="I96" s="665"/>
      <c r="M96" s="389">
        <f>IF('Bản đồ công việc'!X112="","",'Bản đồ công việc'!W112)</f>
        <v>4</v>
      </c>
      <c r="N96" s="67" t="str">
        <f>IF('Bản đồ công việc'!X112="","",'Bản đồ công việc'!X112)</f>
        <v>HHL4DL14</v>
      </c>
      <c r="O96" s="67" t="str">
        <f>IF('Bản đồ công việc'!X112="","",'Bản đồ công việc'!Y112)</f>
        <v>HHL3DL06</v>
      </c>
      <c r="P96" s="389" t="str">
        <f>IF('Bản đồ công việc'!X112="","",'Bản đồ công việc'!V112)</f>
        <v>   ├─ Xây dựng hệ thống quản lý nhà cung cấp</v>
      </c>
      <c r="Q96" s="67" t="str">
        <f>IF('Bản đồ công việc'!X112="","",'Bản đồ công việc'!AC112)</f>
        <v>Chưa bắt đầu</v>
      </c>
      <c r="R96" s="398">
        <f>IF('Bản đồ công việc'!X112="","",'Bản đồ công việc'!AD112)</f>
        <v>0</v>
      </c>
      <c r="S96" s="67" t="str">
        <f>IF('Bản đồ công việc'!X112="","",'Bản đồ công việc'!Z112)</f>
        <v>Em Đại</v>
      </c>
      <c r="T96" s="67" t="str">
        <f>IF('Bản đồ công việc'!X112="","",'Bản đồ công việc'!AA112)</f>
        <v>Dữ liệu điều hành</v>
      </c>
      <c r="U96" s="358">
        <f>IF('Bản đồ công việc'!X112="","",'Bản đồ công việc'!AE112)</f>
        <v>46264</v>
      </c>
      <c r="V96" s="389" t="str">
        <f>IF('Bản đồ công việc'!X112="","",'Bản đồ công việc'!AI112)</f>
        <v>🟢 Theo kế hoạch</v>
      </c>
      <c r="W96" s="389">
        <f t="shared" si="2"/>
        <v>0</v>
      </c>
      <c r="X96" s="67" t="str">
        <f t="shared" si="3"/>
        <v>HHL3DL06</v>
      </c>
      <c r="Y96" s="389" t="str">
        <f t="shared" ref="Y96:Z96" si="92">IFERROR(INDEX($O$8:$O$684,MATCH(X96,$N$8:$N$684,0)),"")</f>
        <v/>
      </c>
      <c r="Z96" s="389" t="str">
        <f t="shared" si="92"/>
        <v/>
      </c>
      <c r="AA96" s="389">
        <f t="shared" si="5"/>
        <v>0</v>
      </c>
    </row>
    <row r="97" ht="15.75" customHeight="1">
      <c r="F97" s="664"/>
      <c r="I97" s="665"/>
      <c r="M97" s="389" t="str">
        <f>IF('Bản đồ công việc'!X113="","",'Bản đồ công việc'!W113)</f>
        <v>#REF!</v>
      </c>
      <c r="N97" s="389" t="str">
        <f>IF('Bản đồ công việc'!X113="","",'Bản đồ công việc'!X113)</f>
        <v>#REF!</v>
      </c>
      <c r="O97" s="389" t="str">
        <f>IF('Bản đồ công việc'!X113="","",'Bản đồ công việc'!Y113)</f>
        <v>#REF!</v>
      </c>
      <c r="P97" s="389" t="str">
        <f>IF('Bản đồ công việc'!X113="","",'Bản đồ công việc'!V113)</f>
        <v>#REF!</v>
      </c>
      <c r="Q97" s="389" t="str">
        <f>IF('Bản đồ công việc'!X113="","",'Bản đồ công việc'!AC113)</f>
        <v>#REF!</v>
      </c>
      <c r="R97" s="389" t="str">
        <f>IF('Bản đồ công việc'!X113="","",'Bản đồ công việc'!AD113)</f>
        <v>#REF!</v>
      </c>
      <c r="S97" s="389" t="str">
        <f>IF('Bản đồ công việc'!X113="","",'Bản đồ công việc'!Z113)</f>
        <v>#REF!</v>
      </c>
      <c r="T97" s="389" t="str">
        <f>IF('Bản đồ công việc'!X113="","",'Bản đồ công việc'!AA113)</f>
        <v>#REF!</v>
      </c>
      <c r="U97" s="389" t="str">
        <f>IF('Bản đồ công việc'!X113="","",'Bản đồ công việc'!AE113)</f>
        <v>#REF!</v>
      </c>
      <c r="V97" s="389" t="str">
        <f>IF('Bản đồ công việc'!X113="","",'Bản đồ công việc'!AI113)</f>
        <v>#REF!</v>
      </c>
      <c r="W97" s="389" t="str">
        <f t="shared" si="2"/>
        <v>#REF!</v>
      </c>
      <c r="X97" s="389" t="str">
        <f t="shared" si="3"/>
        <v>#REF!</v>
      </c>
      <c r="Y97" s="389" t="str">
        <f t="shared" ref="Y97:Z97" si="93">IFERROR(INDEX($O$8:$O$684,MATCH(X97,$N$8:$N$684,0)),"")</f>
        <v/>
      </c>
      <c r="Z97" s="389" t="str">
        <f t="shared" si="93"/>
        <v/>
      </c>
      <c r="AA97" s="389" t="str">
        <f t="shared" si="5"/>
        <v>#REF!</v>
      </c>
    </row>
    <row r="98" ht="15.75" customHeight="1">
      <c r="F98" s="664"/>
      <c r="I98" s="665"/>
      <c r="M98" s="389" t="str">
        <f>IF('Bản đồ công việc'!X114="","",'Bản đồ công việc'!W114)</f>
        <v>#REF!</v>
      </c>
      <c r="N98" s="389" t="str">
        <f>IF('Bản đồ công việc'!X114="","",'Bản đồ công việc'!X114)</f>
        <v>#REF!</v>
      </c>
      <c r="O98" s="389" t="str">
        <f>IF('Bản đồ công việc'!X114="","",'Bản đồ công việc'!Y114)</f>
        <v>#REF!</v>
      </c>
      <c r="P98" s="389" t="str">
        <f>IF('Bản đồ công việc'!X114="","",'Bản đồ công việc'!V114)</f>
        <v>#REF!</v>
      </c>
      <c r="Q98" s="389" t="str">
        <f>IF('Bản đồ công việc'!X114="","",'Bản đồ công việc'!AC114)</f>
        <v>#REF!</v>
      </c>
      <c r="R98" s="389" t="str">
        <f>IF('Bản đồ công việc'!X114="","",'Bản đồ công việc'!AD114)</f>
        <v>#REF!</v>
      </c>
      <c r="S98" s="389" t="str">
        <f>IF('Bản đồ công việc'!X114="","",'Bản đồ công việc'!Z114)</f>
        <v>#REF!</v>
      </c>
      <c r="T98" s="389" t="str">
        <f>IF('Bản đồ công việc'!X114="","",'Bản đồ công việc'!AA114)</f>
        <v>#REF!</v>
      </c>
      <c r="U98" s="389" t="str">
        <f>IF('Bản đồ công việc'!X114="","",'Bản đồ công việc'!AE114)</f>
        <v>#REF!</v>
      </c>
      <c r="V98" s="389" t="str">
        <f>IF('Bản đồ công việc'!X114="","",'Bản đồ công việc'!AI114)</f>
        <v>#REF!</v>
      </c>
      <c r="W98" s="389" t="str">
        <f t="shared" si="2"/>
        <v>#REF!</v>
      </c>
      <c r="X98" s="389" t="str">
        <f t="shared" si="3"/>
        <v>#REF!</v>
      </c>
      <c r="Y98" s="389" t="str">
        <f t="shared" ref="Y98:Z98" si="94">IFERROR(INDEX($O$8:$O$684,MATCH(X98,$N$8:$N$684,0)),"")</f>
        <v/>
      </c>
      <c r="Z98" s="389" t="str">
        <f t="shared" si="94"/>
        <v/>
      </c>
      <c r="AA98" s="389" t="str">
        <f t="shared" si="5"/>
        <v>#REF!</v>
      </c>
    </row>
    <row r="99" ht="15.75" customHeight="1">
      <c r="F99" s="664"/>
      <c r="I99" s="665"/>
      <c r="M99" s="389" t="str">
        <f>IF('Bản đồ công việc'!X115="","",'Bản đồ công việc'!W115)</f>
        <v>#REF!</v>
      </c>
      <c r="N99" s="389" t="str">
        <f>IF('Bản đồ công việc'!X115="","",'Bản đồ công việc'!X115)</f>
        <v>#REF!</v>
      </c>
      <c r="O99" s="389" t="str">
        <f>IF('Bản đồ công việc'!X115="","",'Bản đồ công việc'!Y115)</f>
        <v>#REF!</v>
      </c>
      <c r="P99" s="389" t="str">
        <f>IF('Bản đồ công việc'!X115="","",'Bản đồ công việc'!V115)</f>
        <v>#REF!</v>
      </c>
      <c r="Q99" s="389" t="str">
        <f>IF('Bản đồ công việc'!X115="","",'Bản đồ công việc'!AC115)</f>
        <v>#REF!</v>
      </c>
      <c r="R99" s="389" t="str">
        <f>IF('Bản đồ công việc'!X115="","",'Bản đồ công việc'!AD115)</f>
        <v>#REF!</v>
      </c>
      <c r="S99" s="389" t="str">
        <f>IF('Bản đồ công việc'!X115="","",'Bản đồ công việc'!Z115)</f>
        <v>#REF!</v>
      </c>
      <c r="T99" s="389" t="str">
        <f>IF('Bản đồ công việc'!X115="","",'Bản đồ công việc'!AA115)</f>
        <v>#REF!</v>
      </c>
      <c r="U99" s="389" t="str">
        <f>IF('Bản đồ công việc'!X115="","",'Bản đồ công việc'!AE115)</f>
        <v>#REF!</v>
      </c>
      <c r="V99" s="389" t="str">
        <f>IF('Bản đồ công việc'!X115="","",'Bản đồ công việc'!AI115)</f>
        <v>#REF!</v>
      </c>
      <c r="W99" s="389" t="str">
        <f t="shared" si="2"/>
        <v>#REF!</v>
      </c>
      <c r="X99" s="389" t="str">
        <f t="shared" si="3"/>
        <v>#REF!</v>
      </c>
      <c r="Y99" s="389" t="str">
        <f t="shared" ref="Y99:Z99" si="95">IFERROR(INDEX($O$8:$O$684,MATCH(X99,$N$8:$N$684,0)),"")</f>
        <v/>
      </c>
      <c r="Z99" s="389" t="str">
        <f t="shared" si="95"/>
        <v/>
      </c>
      <c r="AA99" s="389" t="str">
        <f t="shared" si="5"/>
        <v>#REF!</v>
      </c>
    </row>
    <row r="100" ht="15.75" customHeight="1">
      <c r="F100" s="664"/>
      <c r="I100" s="665"/>
      <c r="M100" s="389">
        <f>IF('Bản đồ công việc'!X116="","",'Bản đồ công việc'!W116)</f>
        <v>4</v>
      </c>
      <c r="N100" s="67" t="str">
        <f>IF('Bản đồ công việc'!X116="","",'Bản đồ công việc'!X116)</f>
        <v>HHL4DL15</v>
      </c>
      <c r="O100" s="67" t="str">
        <f>IF('Bản đồ công việc'!X116="","",'Bản đồ công việc'!Y116)</f>
        <v>HHL3DL03</v>
      </c>
      <c r="P100" s="389" t="str">
        <f>IF('Bản đồ công việc'!X116="","",'Bản đồ công việc'!V116)</f>
        <v>   ├─ BC về NLSX &amp; cung ứng hàng hoá </v>
      </c>
      <c r="Q100" s="67" t="str">
        <f>IF('Bản đồ công việc'!X116="","",'Bản đồ công việc'!AC116)</f>
        <v>Chưa bắt đầu</v>
      </c>
      <c r="R100" s="398">
        <f>IF('Bản đồ công việc'!X116="","",'Bản đồ công việc'!AD116)</f>
        <v>0</v>
      </c>
      <c r="S100" s="67" t="str">
        <f>IF('Bản đồ công việc'!X116="","",'Bản đồ công việc'!Z116)</f>
        <v>Em Đại</v>
      </c>
      <c r="T100" s="67" t="str">
        <f>IF('Bản đồ công việc'!X116="","",'Bản đồ công việc'!AA116)</f>
        <v>Dữ liệu điều hành</v>
      </c>
      <c r="U100" s="358">
        <f>IF('Bản đồ công việc'!X116="","",'Bản đồ công việc'!AE116)</f>
        <v>46310</v>
      </c>
      <c r="V100" s="389" t="str">
        <f>IF('Bản đồ công việc'!X116="","",'Bản đồ công việc'!AI116)</f>
        <v>🟢 Theo kế hoạch</v>
      </c>
      <c r="W100" s="389">
        <f t="shared" si="2"/>
        <v>0</v>
      </c>
      <c r="X100" s="67" t="str">
        <f t="shared" si="3"/>
        <v>HHL3DL03</v>
      </c>
      <c r="Y100" s="389" t="str">
        <f t="shared" ref="Y100:Z100" si="96">IFERROR(INDEX($O$8:$O$684,MATCH(X100,$N$8:$N$684,0)),"")</f>
        <v/>
      </c>
      <c r="Z100" s="389" t="str">
        <f t="shared" si="96"/>
        <v/>
      </c>
      <c r="AA100" s="389">
        <f t="shared" si="5"/>
        <v>0</v>
      </c>
    </row>
    <row r="101" ht="15.75" customHeight="1">
      <c r="F101" s="664"/>
      <c r="I101" s="665"/>
      <c r="M101" s="389">
        <f>IF('Bản đồ công việc'!X117="","",'Bản đồ công việc'!W117)</f>
        <v>4</v>
      </c>
      <c r="N101" s="67" t="str">
        <f>IF('Bản đồ công việc'!X117="","",'Bản đồ công việc'!X117)</f>
        <v>HHL4DL01</v>
      </c>
      <c r="O101" s="67" t="str">
        <f>IF('Bản đồ công việc'!X117="","",'Bản đồ công việc'!Y117)</f>
        <v>HHL3CT03</v>
      </c>
      <c r="P101" s="389" t="str">
        <f>IF('Bản đồ công việc'!X117="","",'Bản đồ công việc'!V117)</f>
        <v>   ├─ Xác nhận công thức &amp; tạo HT tham số cho KH GT</v>
      </c>
      <c r="Q101" s="67" t="str">
        <f>IF('Bản đồ công việc'!X117="","",'Bản đồ công việc'!AC117)</f>
        <v>Chưa bắt đầu</v>
      </c>
      <c r="R101" s="398">
        <f>IF('Bản đồ công việc'!X117="","",'Bản đồ công việc'!AD117)</f>
        <v>0</v>
      </c>
      <c r="S101" s="67" t="str">
        <f>IF('Bản đồ công việc'!X117="","",'Bản đồ công việc'!Z117)</f>
        <v>Em Đại</v>
      </c>
      <c r="T101" s="67" t="str">
        <f>IF('Bản đồ công việc'!X117="","",'Bản đồ công việc'!AA117)</f>
        <v>Dữ liệu điều hành</v>
      </c>
      <c r="U101" s="358">
        <f>IF('Bản đồ công việc'!X117="","",'Bản đồ công việc'!AE117)</f>
        <v>46305</v>
      </c>
      <c r="V101" s="389" t="str">
        <f>IF('Bản đồ công việc'!X117="","",'Bản đồ công việc'!AI117)</f>
        <v>🟣 P1 trọng yếu</v>
      </c>
      <c r="W101" s="389">
        <f t="shared" si="2"/>
        <v>1</v>
      </c>
      <c r="X101" s="67" t="str">
        <f t="shared" si="3"/>
        <v>HHL3CT03</v>
      </c>
      <c r="Y101" s="389" t="str">
        <f t="shared" ref="Y101:Z101" si="97">IFERROR(INDEX($O$8:$O$684,MATCH(X101,$N$8:$N$684,0)),"")</f>
        <v/>
      </c>
      <c r="Z101" s="389" t="str">
        <f t="shared" si="97"/>
        <v/>
      </c>
      <c r="AA101" s="389">
        <f t="shared" si="5"/>
        <v>1</v>
      </c>
    </row>
    <row r="102" ht="15.75" customHeight="1">
      <c r="F102" s="664"/>
      <c r="I102" s="665"/>
      <c r="M102" s="389">
        <f>IF('Bản đồ công việc'!X118="","",'Bản đồ công việc'!W118)</f>
        <v>4</v>
      </c>
      <c r="N102" s="67" t="str">
        <f>IF('Bản đồ công việc'!X118="","",'Bản đồ công việc'!X118)</f>
        <v>HHL4DL02</v>
      </c>
      <c r="O102" s="67" t="str">
        <f>IF('Bản đồ công việc'!X118="","",'Bản đồ công việc'!Y118)</f>
        <v>HHL3CT03</v>
      </c>
      <c r="P102" s="389" t="str">
        <f>IF('Bản đồ công việc'!X118="","",'Bản đồ công việc'!V118)</f>
        <v>   ├─ Xây dựng công thức &amp; tạo HT tham số cho KH MT</v>
      </c>
      <c r="Q102" s="67" t="str">
        <f>IF('Bản đồ công việc'!X118="","",'Bản đồ công việc'!AC118)</f>
        <v>Chưa bắt đầu</v>
      </c>
      <c r="R102" s="398">
        <f>IF('Bản đồ công việc'!X118="","",'Bản đồ công việc'!AD118)</f>
        <v>0</v>
      </c>
      <c r="S102" s="67" t="str">
        <f>IF('Bản đồ công việc'!X118="","",'Bản đồ công việc'!Z118)</f>
        <v>Em Đại</v>
      </c>
      <c r="T102" s="67" t="str">
        <f>IF('Bản đồ công việc'!X118="","",'Bản đồ công việc'!AA118)</f>
        <v>Dữ liệu điều hành</v>
      </c>
      <c r="U102" s="358">
        <f>IF('Bản đồ công việc'!X118="","",'Bản đồ công việc'!AE118)</f>
        <v>46310</v>
      </c>
      <c r="V102" s="389" t="str">
        <f>IF('Bản đồ công việc'!X118="","",'Bản đồ công việc'!AI118)</f>
        <v>🟣 P1 trọng yếu</v>
      </c>
      <c r="W102" s="389">
        <f t="shared" si="2"/>
        <v>1</v>
      </c>
      <c r="X102" s="67" t="str">
        <f t="shared" si="3"/>
        <v>HHL3CT03</v>
      </c>
      <c r="Y102" s="389" t="str">
        <f t="shared" ref="Y102:Z102" si="98">IFERROR(INDEX($O$8:$O$684,MATCH(X102,$N$8:$N$684,0)),"")</f>
        <v/>
      </c>
      <c r="Z102" s="389" t="str">
        <f t="shared" si="98"/>
        <v/>
      </c>
      <c r="AA102" s="389">
        <f t="shared" si="5"/>
        <v>1</v>
      </c>
    </row>
    <row r="103" ht="15.75" customHeight="1">
      <c r="F103" s="664"/>
      <c r="I103" s="665"/>
      <c r="M103" s="389">
        <f>IF('Bản đồ công việc'!X119="","",'Bản đồ công việc'!W119)</f>
        <v>4</v>
      </c>
      <c r="N103" s="67" t="str">
        <f>IF('Bản đồ công việc'!X119="","",'Bản đồ công việc'!X119)</f>
        <v>HHL4DL03</v>
      </c>
      <c r="O103" s="67" t="str">
        <f>IF('Bản đồ công việc'!X119="","",'Bản đồ công việc'!Y119)</f>
        <v>HHL3CT03</v>
      </c>
      <c r="P103" s="389" t="str">
        <f>IF('Bản đồ công việc'!X119="","",'Bản đồ công việc'!V119)</f>
        <v>   ├─ Xây dựng công thức &amp; tạo HT tham số cho KH B2B</v>
      </c>
      <c r="Q103" s="67" t="str">
        <f>IF('Bản đồ công việc'!X119="","",'Bản đồ công việc'!AC119)</f>
        <v>Chưa bắt đầu</v>
      </c>
      <c r="R103" s="398">
        <f>IF('Bản đồ công việc'!X119="","",'Bản đồ công việc'!AD119)</f>
        <v>0</v>
      </c>
      <c r="S103" s="67" t="str">
        <f>IF('Bản đồ công việc'!X119="","",'Bản đồ công việc'!Z119)</f>
        <v>Em Đại</v>
      </c>
      <c r="T103" s="67" t="str">
        <f>IF('Bản đồ công việc'!X119="","",'Bản đồ công việc'!AA119)</f>
        <v>Dữ liệu điều hành</v>
      </c>
      <c r="U103" s="358">
        <f>IF('Bản đồ công việc'!X119="","",'Bản đồ công việc'!AE119)</f>
        <v>46320</v>
      </c>
      <c r="V103" s="389" t="str">
        <f>IF('Bản đồ công việc'!X119="","",'Bản đồ công việc'!AI119)</f>
        <v>🟣 P1 trọng yếu</v>
      </c>
      <c r="W103" s="389">
        <f t="shared" si="2"/>
        <v>1</v>
      </c>
      <c r="X103" s="67" t="str">
        <f t="shared" si="3"/>
        <v>HHL3CT03</v>
      </c>
      <c r="Y103" s="389" t="str">
        <f t="shared" ref="Y103:Z103" si="99">IFERROR(INDEX($O$8:$O$684,MATCH(X103,$N$8:$N$684,0)),"")</f>
        <v/>
      </c>
      <c r="Z103" s="389" t="str">
        <f t="shared" si="99"/>
        <v/>
      </c>
      <c r="AA103" s="389">
        <f t="shared" si="5"/>
        <v>1</v>
      </c>
    </row>
    <row r="104" ht="15.75" customHeight="1">
      <c r="F104" s="664"/>
      <c r="I104" s="665"/>
      <c r="M104" s="389">
        <f>IF('Bản đồ công việc'!X120="","",'Bản đồ công việc'!W120)</f>
        <v>4</v>
      </c>
      <c r="N104" s="67" t="str">
        <f>IF('Bản đồ công việc'!X120="","",'Bản đồ công việc'!X120)</f>
        <v>HHL4DL04</v>
      </c>
      <c r="O104" s="67" t="str">
        <f>IF('Bản đồ công việc'!X120="","",'Bản đồ công việc'!Y120)</f>
        <v>HHL3CT03</v>
      </c>
      <c r="P104" s="389" t="str">
        <f>IF('Bản đồ công việc'!X120="","",'Bản đồ công việc'!V120)</f>
        <v>   ├─ Xây dựng công thức &amp; tạo HT tham số cho KH Online</v>
      </c>
      <c r="Q104" s="67" t="str">
        <f>IF('Bản đồ công việc'!X120="","",'Bản đồ công việc'!AC120)</f>
        <v>Chưa bắt đầu</v>
      </c>
      <c r="R104" s="398">
        <f>IF('Bản đồ công việc'!X120="","",'Bản đồ công việc'!AD120)</f>
        <v>0</v>
      </c>
      <c r="S104" s="67" t="str">
        <f>IF('Bản đồ công việc'!X120="","",'Bản đồ công việc'!Z120)</f>
        <v>Em Đại</v>
      </c>
      <c r="T104" s="67" t="str">
        <f>IF('Bản đồ công việc'!X120="","",'Bản đồ công việc'!AA120)</f>
        <v>Dữ liệu điều hành</v>
      </c>
      <c r="U104" s="358">
        <f>IF('Bản đồ công việc'!X120="","",'Bản đồ công việc'!AE120)</f>
        <v>46320</v>
      </c>
      <c r="V104" s="389" t="str">
        <f>IF('Bản đồ công việc'!X120="","",'Bản đồ công việc'!AI120)</f>
        <v>🟣 P1 trọng yếu</v>
      </c>
      <c r="W104" s="389">
        <f t="shared" si="2"/>
        <v>1</v>
      </c>
      <c r="X104" s="67" t="str">
        <f t="shared" si="3"/>
        <v>HHL3CT03</v>
      </c>
      <c r="Y104" s="389" t="str">
        <f t="shared" ref="Y104:Z104" si="100">IFERROR(INDEX($O$8:$O$684,MATCH(X104,$N$8:$N$684,0)),"")</f>
        <v/>
      </c>
      <c r="Z104" s="389" t="str">
        <f t="shared" si="100"/>
        <v/>
      </c>
      <c r="AA104" s="389">
        <f t="shared" si="5"/>
        <v>1</v>
      </c>
    </row>
    <row r="105" ht="15.75" customHeight="1">
      <c r="F105" s="664"/>
      <c r="I105" s="665"/>
      <c r="M105" s="389">
        <f>IF('Bản đồ công việc'!X121="","",'Bản đồ công việc'!W121)</f>
        <v>4</v>
      </c>
      <c r="N105" s="67" t="str">
        <f>IF('Bản đồ công việc'!X121="","",'Bản đồ công việc'!X121)</f>
        <v>HHL4DL05</v>
      </c>
      <c r="O105" s="67" t="str">
        <f>IF('Bản đồ công việc'!X121="","",'Bản đồ công việc'!Y121)</f>
        <v>HHL3CT03</v>
      </c>
      <c r="P105" s="389" t="str">
        <f>IF('Bản đồ công việc'!X121="","",'Bản đồ công việc'!V121)</f>
        <v>   ├─ Xây dựng công thức &amp; tạo HT tham số cho KH XK</v>
      </c>
      <c r="Q105" s="67" t="str">
        <f>IF('Bản đồ công việc'!X121="","",'Bản đồ công việc'!AC121)</f>
        <v>Chưa bắt đầu</v>
      </c>
      <c r="R105" s="398">
        <f>IF('Bản đồ công việc'!X121="","",'Bản đồ công việc'!AD121)</f>
        <v>0</v>
      </c>
      <c r="S105" s="67" t="str">
        <f>IF('Bản đồ công việc'!X121="","",'Bản đồ công việc'!Z121)</f>
        <v>Em Đại</v>
      </c>
      <c r="T105" s="67" t="str">
        <f>IF('Bản đồ công việc'!X121="","",'Bản đồ công việc'!AA121)</f>
        <v>Dữ liệu điều hành</v>
      </c>
      <c r="U105" s="358">
        <f>IF('Bản đồ công việc'!X121="","",'Bản đồ công việc'!AE121)</f>
        <v>46320</v>
      </c>
      <c r="V105" s="389" t="str">
        <f>IF('Bản đồ công việc'!X121="","",'Bản đồ công việc'!AI121)</f>
        <v>🟣 P1 trọng yếu</v>
      </c>
      <c r="W105" s="389">
        <f t="shared" si="2"/>
        <v>1</v>
      </c>
      <c r="X105" s="67" t="str">
        <f t="shared" si="3"/>
        <v>HHL3CT03</v>
      </c>
      <c r="Y105" s="389" t="str">
        <f t="shared" ref="Y105:Z105" si="101">IFERROR(INDEX($O$8:$O$684,MATCH(X105,$N$8:$N$684,0)),"")</f>
        <v/>
      </c>
      <c r="Z105" s="389" t="str">
        <f t="shared" si="101"/>
        <v/>
      </c>
      <c r="AA105" s="389">
        <f t="shared" si="5"/>
        <v>1</v>
      </c>
    </row>
    <row r="106" ht="15.75" customHeight="1">
      <c r="F106" s="664"/>
      <c r="I106" s="665"/>
      <c r="M106" s="389">
        <f>IF('Bản đồ công việc'!X122="","",'Bản đồ công việc'!W122)</f>
        <v>4</v>
      </c>
      <c r="N106" s="67" t="str">
        <f>IF('Bản đồ công việc'!X122="","",'Bản đồ công việc'!X122)</f>
        <v>HHL4DL06</v>
      </c>
      <c r="O106" s="67" t="str">
        <f>IF('Bản đồ công việc'!X122="","",'Bản đồ công việc'!Y122)</f>
        <v>HHL3CT03</v>
      </c>
      <c r="P106" s="389" t="str">
        <f>IF('Bản đồ công việc'!X122="","",'Bản đồ công việc'!V122)</f>
        <v>   ├─ Xây dựng công thức &amp; tạo HT tham số cho KH Showroom</v>
      </c>
      <c r="Q106" s="67" t="str">
        <f>IF('Bản đồ công việc'!X122="","",'Bản đồ công việc'!AC122)</f>
        <v>Chưa bắt đầu</v>
      </c>
      <c r="R106" s="398">
        <f>IF('Bản đồ công việc'!X122="","",'Bản đồ công việc'!AD122)</f>
        <v>0</v>
      </c>
      <c r="S106" s="67" t="str">
        <f>IF('Bản đồ công việc'!X122="","",'Bản đồ công việc'!Z122)</f>
        <v>Em Đại</v>
      </c>
      <c r="T106" s="67" t="str">
        <f>IF('Bản đồ công việc'!X122="","",'Bản đồ công việc'!AA122)</f>
        <v>Dữ liệu điều hành</v>
      </c>
      <c r="U106" s="358">
        <f>IF('Bản đồ công việc'!X122="","",'Bản đồ công việc'!AE122)</f>
        <v>46320</v>
      </c>
      <c r="V106" s="389" t="str">
        <f>IF('Bản đồ công việc'!X122="","",'Bản đồ công việc'!AI122)</f>
        <v>🟣 P1 trọng yếu</v>
      </c>
      <c r="W106" s="389">
        <f t="shared" si="2"/>
        <v>1</v>
      </c>
      <c r="X106" s="67" t="str">
        <f t="shared" si="3"/>
        <v>HHL3CT03</v>
      </c>
      <c r="Y106" s="389" t="str">
        <f t="shared" ref="Y106:Z106" si="102">IFERROR(INDEX($O$8:$O$684,MATCH(X106,$N$8:$N$684,0)),"")</f>
        <v/>
      </c>
      <c r="Z106" s="389" t="str">
        <f t="shared" si="102"/>
        <v/>
      </c>
      <c r="AA106" s="389">
        <f t="shared" si="5"/>
        <v>1</v>
      </c>
    </row>
    <row r="107" ht="15.75" customHeight="1">
      <c r="F107" s="664"/>
      <c r="I107" s="665"/>
      <c r="M107" s="389">
        <f>IF('Bản đồ công việc'!X123="","",'Bản đồ công việc'!W123)</f>
        <v>4</v>
      </c>
      <c r="N107" s="67" t="str">
        <f>IF('Bản đồ công việc'!X123="","",'Bản đồ công việc'!X123)</f>
        <v>HHL4DL07</v>
      </c>
      <c r="O107" s="67" t="str">
        <f>IF('Bản đồ công việc'!X123="","",'Bản đồ công việc'!Y123)</f>
        <v>HHL3CT03</v>
      </c>
      <c r="P107" s="389" t="str">
        <f>IF('Bản đồ công việc'!X123="","",'Bản đồ công việc'!V123)</f>
        <v>   ├─ Xây dựng phần mềm &amp; Chạy Topdown thử nghiệm</v>
      </c>
      <c r="Q107" s="67" t="str">
        <f>IF('Bản đồ công việc'!X123="","",'Bản đồ công việc'!AC123)</f>
        <v>Chưa bắt đầu</v>
      </c>
      <c r="R107" s="398">
        <f>IF('Bản đồ công việc'!X123="","",'Bản đồ công việc'!AD123)</f>
        <v>0</v>
      </c>
      <c r="S107" s="67" t="str">
        <f>IF('Bản đồ công việc'!X123="","",'Bản đồ công việc'!Z123)</f>
        <v>Em Đại</v>
      </c>
      <c r="T107" s="67" t="str">
        <f>IF('Bản đồ công việc'!X123="","",'Bản đồ công việc'!AA123)</f>
        <v>Dữ liệu điều hành</v>
      </c>
      <c r="U107" s="358">
        <f>IF('Bản đồ công việc'!X123="","",'Bản đồ công việc'!AE123)</f>
        <v>46331</v>
      </c>
      <c r="V107" s="389" t="str">
        <f>IF('Bản đồ công việc'!X123="","",'Bản đồ công việc'!AI123)</f>
        <v>🟣 P1 trọng yếu</v>
      </c>
      <c r="W107" s="389">
        <f t="shared" si="2"/>
        <v>0</v>
      </c>
      <c r="X107" s="67" t="str">
        <f t="shared" si="3"/>
        <v>HHL3CT03</v>
      </c>
      <c r="Y107" s="389" t="str">
        <f t="shared" ref="Y107:Z107" si="103">IFERROR(INDEX($O$8:$O$684,MATCH(X107,$N$8:$N$684,0)),"")</f>
        <v/>
      </c>
      <c r="Z107" s="389" t="str">
        <f t="shared" si="103"/>
        <v/>
      </c>
      <c r="AA107" s="389">
        <f t="shared" si="5"/>
        <v>0</v>
      </c>
    </row>
    <row r="108" ht="15.75" customHeight="1">
      <c r="F108" s="664"/>
      <c r="I108" s="665"/>
      <c r="M108" s="389" t="str">
        <f>IF('Bản đồ công việc'!X124="","",'Bản đồ công việc'!W124)</f>
        <v/>
      </c>
      <c r="N108" s="389" t="str">
        <f>IF('Bản đồ công việc'!X124="","",'Bản đồ công việc'!X124)</f>
        <v/>
      </c>
      <c r="O108" s="389" t="str">
        <f>IF('Bản đồ công việc'!X124="","",'Bản đồ công việc'!Y124)</f>
        <v/>
      </c>
      <c r="P108" s="389" t="str">
        <f>IF('Bản đồ công việc'!X124="","",'Bản đồ công việc'!V124)</f>
        <v/>
      </c>
      <c r="Q108" s="389" t="str">
        <f>IF('Bản đồ công việc'!X124="","",'Bản đồ công việc'!AC124)</f>
        <v/>
      </c>
      <c r="R108" s="389" t="str">
        <f>IF('Bản đồ công việc'!X124="","",'Bản đồ công việc'!AD124)</f>
        <v/>
      </c>
      <c r="S108" s="389" t="str">
        <f>IF('Bản đồ công việc'!X124="","",'Bản đồ công việc'!Z124)</f>
        <v/>
      </c>
      <c r="T108" s="389" t="str">
        <f>IF('Bản đồ công việc'!X124="","",'Bản đồ công việc'!AA124)</f>
        <v/>
      </c>
      <c r="U108" s="389" t="str">
        <f>IF('Bản đồ công việc'!X124="","",'Bản đồ công việc'!AE124)</f>
        <v/>
      </c>
      <c r="V108" s="389" t="str">
        <f>IF('Bản đồ công việc'!X124="","",'Bản đồ công việc'!AI124)</f>
        <v/>
      </c>
      <c r="W108" s="389">
        <f t="shared" si="2"/>
        <v>0</v>
      </c>
      <c r="X108" s="389" t="str">
        <f t="shared" si="3"/>
        <v/>
      </c>
      <c r="Y108" s="389" t="str">
        <f t="shared" ref="Y108:Z108" si="104">IFERROR(INDEX($O$8:$O$684,MATCH(X108,$N$8:$N$684,0)),"")</f>
        <v/>
      </c>
      <c r="Z108" s="389" t="str">
        <f t="shared" si="104"/>
        <v/>
      </c>
      <c r="AA108" s="389">
        <f t="shared" si="5"/>
        <v>0</v>
      </c>
    </row>
    <row r="109" ht="15.75" customHeight="1">
      <c r="F109" s="664"/>
      <c r="I109" s="665"/>
      <c r="M109" s="389" t="str">
        <f>IF('Bản đồ công việc'!X125="","",'Bản đồ công việc'!W125)</f>
        <v/>
      </c>
      <c r="N109" s="389" t="str">
        <f>IF('Bản đồ công việc'!X125="","",'Bản đồ công việc'!X125)</f>
        <v/>
      </c>
      <c r="O109" s="389" t="str">
        <f>IF('Bản đồ công việc'!X125="","",'Bản đồ công việc'!Y125)</f>
        <v/>
      </c>
      <c r="P109" s="389" t="str">
        <f>IF('Bản đồ công việc'!X125="","",'Bản đồ công việc'!V125)</f>
        <v/>
      </c>
      <c r="Q109" s="389" t="str">
        <f>IF('Bản đồ công việc'!X125="","",'Bản đồ công việc'!AC125)</f>
        <v/>
      </c>
      <c r="R109" s="389" t="str">
        <f>IF('Bản đồ công việc'!X125="","",'Bản đồ công việc'!AD125)</f>
        <v/>
      </c>
      <c r="S109" s="389" t="str">
        <f>IF('Bản đồ công việc'!X125="","",'Bản đồ công việc'!Z125)</f>
        <v/>
      </c>
      <c r="T109" s="389" t="str">
        <f>IF('Bản đồ công việc'!X125="","",'Bản đồ công việc'!AA125)</f>
        <v/>
      </c>
      <c r="U109" s="389" t="str">
        <f>IF('Bản đồ công việc'!X125="","",'Bản đồ công việc'!AE125)</f>
        <v/>
      </c>
      <c r="V109" s="389" t="str">
        <f>IF('Bản đồ công việc'!X125="","",'Bản đồ công việc'!AI125)</f>
        <v/>
      </c>
      <c r="W109" s="389">
        <f t="shared" si="2"/>
        <v>0</v>
      </c>
      <c r="X109" s="389" t="str">
        <f t="shared" si="3"/>
        <v/>
      </c>
      <c r="Y109" s="389" t="str">
        <f t="shared" ref="Y109:Z109" si="105">IFERROR(INDEX($O$8:$O$684,MATCH(X109,$N$8:$N$684,0)),"")</f>
        <v/>
      </c>
      <c r="Z109" s="389" t="str">
        <f t="shared" si="105"/>
        <v/>
      </c>
      <c r="AA109" s="389">
        <f t="shared" si="5"/>
        <v>0</v>
      </c>
    </row>
    <row r="110" ht="15.75" customHeight="1">
      <c r="F110" s="664"/>
      <c r="I110" s="665"/>
      <c r="M110" s="389" t="str">
        <f>IF('Bản đồ công việc'!X126="","",'Bản đồ công việc'!W126)</f>
        <v/>
      </c>
      <c r="N110" s="389" t="str">
        <f>IF('Bản đồ công việc'!X126="","",'Bản đồ công việc'!X126)</f>
        <v/>
      </c>
      <c r="O110" s="389" t="str">
        <f>IF('Bản đồ công việc'!X126="","",'Bản đồ công việc'!Y126)</f>
        <v/>
      </c>
      <c r="P110" s="389" t="str">
        <f>IF('Bản đồ công việc'!X126="","",'Bản đồ công việc'!V126)</f>
        <v/>
      </c>
      <c r="Q110" s="389" t="str">
        <f>IF('Bản đồ công việc'!X126="","",'Bản đồ công việc'!AC126)</f>
        <v/>
      </c>
      <c r="R110" s="389" t="str">
        <f>IF('Bản đồ công việc'!X126="","",'Bản đồ công việc'!AD126)</f>
        <v/>
      </c>
      <c r="S110" s="389" t="str">
        <f>IF('Bản đồ công việc'!X126="","",'Bản đồ công việc'!Z126)</f>
        <v/>
      </c>
      <c r="T110" s="389" t="str">
        <f>IF('Bản đồ công việc'!X126="","",'Bản đồ công việc'!AA126)</f>
        <v/>
      </c>
      <c r="U110" s="389" t="str">
        <f>IF('Bản đồ công việc'!X126="","",'Bản đồ công việc'!AE126)</f>
        <v/>
      </c>
      <c r="V110" s="389" t="str">
        <f>IF('Bản đồ công việc'!X126="","",'Bản đồ công việc'!AI126)</f>
        <v/>
      </c>
      <c r="W110" s="389">
        <f t="shared" si="2"/>
        <v>0</v>
      </c>
      <c r="X110" s="389" t="str">
        <f t="shared" si="3"/>
        <v/>
      </c>
      <c r="Y110" s="389" t="str">
        <f t="shared" ref="Y110:Z110" si="106">IFERROR(INDEX($O$8:$O$684,MATCH(X110,$N$8:$N$684,0)),"")</f>
        <v/>
      </c>
      <c r="Z110" s="389" t="str">
        <f t="shared" si="106"/>
        <v/>
      </c>
      <c r="AA110" s="389">
        <f t="shared" si="5"/>
        <v>0</v>
      </c>
    </row>
    <row r="111" ht="15.75" customHeight="1">
      <c r="F111" s="664"/>
      <c r="I111" s="665"/>
      <c r="M111" s="389" t="str">
        <f>IF('Bản đồ công việc'!X127="","",'Bản đồ công việc'!W127)</f>
        <v/>
      </c>
      <c r="N111" s="389" t="str">
        <f>IF('Bản đồ công việc'!X127="","",'Bản đồ công việc'!X127)</f>
        <v/>
      </c>
      <c r="O111" s="389" t="str">
        <f>IF('Bản đồ công việc'!X127="","",'Bản đồ công việc'!Y127)</f>
        <v/>
      </c>
      <c r="P111" s="389" t="str">
        <f>IF('Bản đồ công việc'!X127="","",'Bản đồ công việc'!V127)</f>
        <v/>
      </c>
      <c r="Q111" s="389" t="str">
        <f>IF('Bản đồ công việc'!X127="","",'Bản đồ công việc'!AC127)</f>
        <v/>
      </c>
      <c r="R111" s="389" t="str">
        <f>IF('Bản đồ công việc'!X127="","",'Bản đồ công việc'!AD127)</f>
        <v/>
      </c>
      <c r="S111" s="389" t="str">
        <f>IF('Bản đồ công việc'!X127="","",'Bản đồ công việc'!Z127)</f>
        <v/>
      </c>
      <c r="T111" s="389" t="str">
        <f>IF('Bản đồ công việc'!X127="","",'Bản đồ công việc'!AA127)</f>
        <v/>
      </c>
      <c r="U111" s="389" t="str">
        <f>IF('Bản đồ công việc'!X127="","",'Bản đồ công việc'!AE127)</f>
        <v/>
      </c>
      <c r="V111" s="389" t="str">
        <f>IF('Bản đồ công việc'!X127="","",'Bản đồ công việc'!AI127)</f>
        <v/>
      </c>
      <c r="W111" s="389">
        <f t="shared" si="2"/>
        <v>0</v>
      </c>
      <c r="X111" s="389" t="str">
        <f t="shared" si="3"/>
        <v/>
      </c>
      <c r="Y111" s="389" t="str">
        <f t="shared" ref="Y111:Z111" si="107">IFERROR(INDEX($O$8:$O$684,MATCH(X111,$N$8:$N$684,0)),"")</f>
        <v/>
      </c>
      <c r="Z111" s="389" t="str">
        <f t="shared" si="107"/>
        <v/>
      </c>
      <c r="AA111" s="389">
        <f t="shared" si="5"/>
        <v>0</v>
      </c>
    </row>
    <row r="112" ht="15.75" customHeight="1">
      <c r="F112" s="664"/>
      <c r="I112" s="665"/>
      <c r="M112" s="389" t="str">
        <f>IF('Bản đồ công việc'!X128="","",'Bản đồ công việc'!W128)</f>
        <v/>
      </c>
      <c r="N112" s="389" t="str">
        <f>IF('Bản đồ công việc'!X128="","",'Bản đồ công việc'!X128)</f>
        <v/>
      </c>
      <c r="O112" s="389" t="str">
        <f>IF('Bản đồ công việc'!X128="","",'Bản đồ công việc'!Y128)</f>
        <v/>
      </c>
      <c r="P112" s="389" t="str">
        <f>IF('Bản đồ công việc'!X128="","",'Bản đồ công việc'!V128)</f>
        <v/>
      </c>
      <c r="Q112" s="389" t="str">
        <f>IF('Bản đồ công việc'!X128="","",'Bản đồ công việc'!AC128)</f>
        <v/>
      </c>
      <c r="R112" s="389" t="str">
        <f>IF('Bản đồ công việc'!X128="","",'Bản đồ công việc'!AD128)</f>
        <v/>
      </c>
      <c r="S112" s="389" t="str">
        <f>IF('Bản đồ công việc'!X128="","",'Bản đồ công việc'!Z128)</f>
        <v/>
      </c>
      <c r="T112" s="389" t="str">
        <f>IF('Bản đồ công việc'!X128="","",'Bản đồ công việc'!AA128)</f>
        <v/>
      </c>
      <c r="U112" s="389" t="str">
        <f>IF('Bản đồ công việc'!X128="","",'Bản đồ công việc'!AE128)</f>
        <v/>
      </c>
      <c r="V112" s="389" t="str">
        <f>IF('Bản đồ công việc'!X128="","",'Bản đồ công việc'!AI128)</f>
        <v/>
      </c>
      <c r="W112" s="389">
        <f t="shared" si="2"/>
        <v>0</v>
      </c>
      <c r="X112" s="389" t="str">
        <f t="shared" si="3"/>
        <v/>
      </c>
      <c r="Y112" s="389" t="str">
        <f t="shared" ref="Y112:Z112" si="108">IFERROR(INDEX($O$8:$O$684,MATCH(X112,$N$8:$N$684,0)),"")</f>
        <v/>
      </c>
      <c r="Z112" s="389" t="str">
        <f t="shared" si="108"/>
        <v/>
      </c>
      <c r="AA112" s="389">
        <f t="shared" si="5"/>
        <v>0</v>
      </c>
    </row>
    <row r="113" ht="15.75" customHeight="1">
      <c r="F113" s="664"/>
      <c r="I113" s="665"/>
      <c r="M113" s="389" t="str">
        <f>IF('Bản đồ công việc'!X129="","",'Bản đồ công việc'!W129)</f>
        <v/>
      </c>
      <c r="N113" s="389" t="str">
        <f>IF('Bản đồ công việc'!X129="","",'Bản đồ công việc'!X129)</f>
        <v/>
      </c>
      <c r="O113" s="389" t="str">
        <f>IF('Bản đồ công việc'!X129="","",'Bản đồ công việc'!Y129)</f>
        <v/>
      </c>
      <c r="P113" s="389" t="str">
        <f>IF('Bản đồ công việc'!X129="","",'Bản đồ công việc'!V129)</f>
        <v/>
      </c>
      <c r="Q113" s="389" t="str">
        <f>IF('Bản đồ công việc'!X129="","",'Bản đồ công việc'!AC129)</f>
        <v/>
      </c>
      <c r="R113" s="389" t="str">
        <f>IF('Bản đồ công việc'!X129="","",'Bản đồ công việc'!AD129)</f>
        <v/>
      </c>
      <c r="S113" s="389" t="str">
        <f>IF('Bản đồ công việc'!X129="","",'Bản đồ công việc'!Z129)</f>
        <v/>
      </c>
      <c r="T113" s="389" t="str">
        <f>IF('Bản đồ công việc'!X129="","",'Bản đồ công việc'!AA129)</f>
        <v/>
      </c>
      <c r="U113" s="389" t="str">
        <f>IF('Bản đồ công việc'!X129="","",'Bản đồ công việc'!AE129)</f>
        <v/>
      </c>
      <c r="V113" s="389" t="str">
        <f>IF('Bản đồ công việc'!X129="","",'Bản đồ công việc'!AI129)</f>
        <v/>
      </c>
      <c r="W113" s="389">
        <f t="shared" si="2"/>
        <v>0</v>
      </c>
      <c r="X113" s="389" t="str">
        <f t="shared" si="3"/>
        <v/>
      </c>
      <c r="Y113" s="389" t="str">
        <f t="shared" ref="Y113:Z113" si="109">IFERROR(INDEX($O$8:$O$684,MATCH(X113,$N$8:$N$684,0)),"")</f>
        <v/>
      </c>
      <c r="Z113" s="389" t="str">
        <f t="shared" si="109"/>
        <v/>
      </c>
      <c r="AA113" s="389">
        <f t="shared" si="5"/>
        <v>0</v>
      </c>
    </row>
    <row r="114" ht="15.75" customHeight="1">
      <c r="F114" s="664"/>
      <c r="I114" s="665"/>
      <c r="M114" s="389" t="str">
        <f>IF('Bản đồ công việc'!X130="","",'Bản đồ công việc'!W130)</f>
        <v/>
      </c>
      <c r="N114" s="389" t="str">
        <f>IF('Bản đồ công việc'!X130="","",'Bản đồ công việc'!X130)</f>
        <v/>
      </c>
      <c r="O114" s="389" t="str">
        <f>IF('Bản đồ công việc'!X130="","",'Bản đồ công việc'!Y130)</f>
        <v/>
      </c>
      <c r="P114" s="389" t="str">
        <f>IF('Bản đồ công việc'!X130="","",'Bản đồ công việc'!V130)</f>
        <v/>
      </c>
      <c r="Q114" s="389" t="str">
        <f>IF('Bản đồ công việc'!X130="","",'Bản đồ công việc'!AC130)</f>
        <v/>
      </c>
      <c r="R114" s="389" t="str">
        <f>IF('Bản đồ công việc'!X130="","",'Bản đồ công việc'!AD130)</f>
        <v/>
      </c>
      <c r="S114" s="389" t="str">
        <f>IF('Bản đồ công việc'!X130="","",'Bản đồ công việc'!Z130)</f>
        <v/>
      </c>
      <c r="T114" s="389" t="str">
        <f>IF('Bản đồ công việc'!X130="","",'Bản đồ công việc'!AA130)</f>
        <v/>
      </c>
      <c r="U114" s="389" t="str">
        <f>IF('Bản đồ công việc'!X130="","",'Bản đồ công việc'!AE130)</f>
        <v/>
      </c>
      <c r="V114" s="389" t="str">
        <f>IF('Bản đồ công việc'!X130="","",'Bản đồ công việc'!AI130)</f>
        <v/>
      </c>
      <c r="W114" s="389">
        <f t="shared" si="2"/>
        <v>0</v>
      </c>
      <c r="X114" s="389" t="str">
        <f t="shared" si="3"/>
        <v/>
      </c>
      <c r="Y114" s="389" t="str">
        <f t="shared" ref="Y114:Z114" si="110">IFERROR(INDEX($O$8:$O$684,MATCH(X114,$N$8:$N$684,0)),"")</f>
        <v/>
      </c>
      <c r="Z114" s="389" t="str">
        <f t="shared" si="110"/>
        <v/>
      </c>
      <c r="AA114" s="389">
        <f t="shared" si="5"/>
        <v>0</v>
      </c>
    </row>
    <row r="115" ht="15.75" customHeight="1">
      <c r="F115" s="664"/>
      <c r="I115" s="665"/>
      <c r="M115" s="389" t="str">
        <f>IF('Bản đồ công việc'!X131="","",'Bản đồ công việc'!W131)</f>
        <v/>
      </c>
      <c r="N115" s="389" t="str">
        <f>IF('Bản đồ công việc'!X131="","",'Bản đồ công việc'!X131)</f>
        <v/>
      </c>
      <c r="O115" s="389" t="str">
        <f>IF('Bản đồ công việc'!X131="","",'Bản đồ công việc'!Y131)</f>
        <v/>
      </c>
      <c r="P115" s="389" t="str">
        <f>IF('Bản đồ công việc'!X131="","",'Bản đồ công việc'!V131)</f>
        <v/>
      </c>
      <c r="Q115" s="389" t="str">
        <f>IF('Bản đồ công việc'!X131="","",'Bản đồ công việc'!AC131)</f>
        <v/>
      </c>
      <c r="R115" s="389" t="str">
        <f>IF('Bản đồ công việc'!X131="","",'Bản đồ công việc'!AD131)</f>
        <v/>
      </c>
      <c r="S115" s="389" t="str">
        <f>IF('Bản đồ công việc'!X131="","",'Bản đồ công việc'!Z131)</f>
        <v/>
      </c>
      <c r="T115" s="389" t="str">
        <f>IF('Bản đồ công việc'!X131="","",'Bản đồ công việc'!AA131)</f>
        <v/>
      </c>
      <c r="U115" s="389" t="str">
        <f>IF('Bản đồ công việc'!X131="","",'Bản đồ công việc'!AE131)</f>
        <v/>
      </c>
      <c r="V115" s="389" t="str">
        <f>IF('Bản đồ công việc'!X131="","",'Bản đồ công việc'!AI131)</f>
        <v/>
      </c>
      <c r="W115" s="389">
        <f t="shared" si="2"/>
        <v>0</v>
      </c>
      <c r="X115" s="389" t="str">
        <f t="shared" si="3"/>
        <v/>
      </c>
      <c r="Y115" s="389" t="str">
        <f t="shared" ref="Y115:Z115" si="111">IFERROR(INDEX($O$8:$O$684,MATCH(X115,$N$8:$N$684,0)),"")</f>
        <v/>
      </c>
      <c r="Z115" s="389" t="str">
        <f t="shared" si="111"/>
        <v/>
      </c>
      <c r="AA115" s="389">
        <f t="shared" si="5"/>
        <v>0</v>
      </c>
    </row>
    <row r="116" ht="15.75" customHeight="1">
      <c r="F116" s="664"/>
      <c r="I116" s="665"/>
      <c r="M116" s="389" t="str">
        <f>IF('Bản đồ công việc'!X132="","",'Bản đồ công việc'!W132)</f>
        <v/>
      </c>
      <c r="N116" s="389" t="str">
        <f>IF('Bản đồ công việc'!X132="","",'Bản đồ công việc'!X132)</f>
        <v/>
      </c>
      <c r="O116" s="389" t="str">
        <f>IF('Bản đồ công việc'!X132="","",'Bản đồ công việc'!Y132)</f>
        <v/>
      </c>
      <c r="P116" s="389" t="str">
        <f>IF('Bản đồ công việc'!X132="","",'Bản đồ công việc'!V132)</f>
        <v/>
      </c>
      <c r="Q116" s="389" t="str">
        <f>IF('Bản đồ công việc'!X132="","",'Bản đồ công việc'!AC132)</f>
        <v/>
      </c>
      <c r="R116" s="389" t="str">
        <f>IF('Bản đồ công việc'!X132="","",'Bản đồ công việc'!AD132)</f>
        <v/>
      </c>
      <c r="S116" s="389" t="str">
        <f>IF('Bản đồ công việc'!X132="","",'Bản đồ công việc'!Z132)</f>
        <v/>
      </c>
      <c r="T116" s="389" t="str">
        <f>IF('Bản đồ công việc'!X132="","",'Bản đồ công việc'!AA132)</f>
        <v/>
      </c>
      <c r="U116" s="389" t="str">
        <f>IF('Bản đồ công việc'!X132="","",'Bản đồ công việc'!AE132)</f>
        <v/>
      </c>
      <c r="V116" s="389" t="str">
        <f>IF('Bản đồ công việc'!X132="","",'Bản đồ công việc'!AI132)</f>
        <v/>
      </c>
      <c r="W116" s="389">
        <f t="shared" si="2"/>
        <v>0</v>
      </c>
      <c r="X116" s="389" t="str">
        <f t="shared" si="3"/>
        <v/>
      </c>
      <c r="Y116" s="389" t="str">
        <f t="shared" ref="Y116:Z116" si="112">IFERROR(INDEX($O$8:$O$684,MATCH(X116,$N$8:$N$684,0)),"")</f>
        <v/>
      </c>
      <c r="Z116" s="389" t="str">
        <f t="shared" si="112"/>
        <v/>
      </c>
      <c r="AA116" s="389">
        <f t="shared" si="5"/>
        <v>0</v>
      </c>
    </row>
    <row r="117" ht="15.75" customHeight="1">
      <c r="F117" s="664"/>
      <c r="I117" s="665"/>
      <c r="M117" s="389" t="str">
        <f>IF('Bản đồ công việc'!X133="","",'Bản đồ công việc'!W133)</f>
        <v/>
      </c>
      <c r="N117" s="389" t="str">
        <f>IF('Bản đồ công việc'!X133="","",'Bản đồ công việc'!X133)</f>
        <v/>
      </c>
      <c r="O117" s="389" t="str">
        <f>IF('Bản đồ công việc'!X133="","",'Bản đồ công việc'!Y133)</f>
        <v/>
      </c>
      <c r="P117" s="389" t="str">
        <f>IF('Bản đồ công việc'!X133="","",'Bản đồ công việc'!V133)</f>
        <v/>
      </c>
      <c r="Q117" s="389" t="str">
        <f>IF('Bản đồ công việc'!X133="","",'Bản đồ công việc'!AC133)</f>
        <v/>
      </c>
      <c r="R117" s="389" t="str">
        <f>IF('Bản đồ công việc'!X133="","",'Bản đồ công việc'!AD133)</f>
        <v/>
      </c>
      <c r="S117" s="389" t="str">
        <f>IF('Bản đồ công việc'!X133="","",'Bản đồ công việc'!Z133)</f>
        <v/>
      </c>
      <c r="T117" s="389" t="str">
        <f>IF('Bản đồ công việc'!X133="","",'Bản đồ công việc'!AA133)</f>
        <v/>
      </c>
      <c r="U117" s="389" t="str">
        <f>IF('Bản đồ công việc'!X133="","",'Bản đồ công việc'!AE133)</f>
        <v/>
      </c>
      <c r="V117" s="389" t="str">
        <f>IF('Bản đồ công việc'!X133="","",'Bản đồ công việc'!AI133)</f>
        <v/>
      </c>
      <c r="W117" s="389">
        <f t="shared" si="2"/>
        <v>0</v>
      </c>
      <c r="X117" s="389" t="str">
        <f t="shared" si="3"/>
        <v/>
      </c>
      <c r="Y117" s="389" t="str">
        <f t="shared" ref="Y117:Z117" si="113">IFERROR(INDEX($O$8:$O$684,MATCH(X117,$N$8:$N$684,0)),"")</f>
        <v/>
      </c>
      <c r="Z117" s="389" t="str">
        <f t="shared" si="113"/>
        <v/>
      </c>
      <c r="AA117" s="389">
        <f t="shared" si="5"/>
        <v>0</v>
      </c>
    </row>
    <row r="118" ht="15.75" customHeight="1">
      <c r="F118" s="664"/>
      <c r="I118" s="665"/>
      <c r="M118" s="389" t="str">
        <f>IF('Bản đồ công việc'!X134="","",'Bản đồ công việc'!W134)</f>
        <v/>
      </c>
      <c r="N118" s="389" t="str">
        <f>IF('Bản đồ công việc'!X134="","",'Bản đồ công việc'!X134)</f>
        <v/>
      </c>
      <c r="O118" s="389" t="str">
        <f>IF('Bản đồ công việc'!X134="","",'Bản đồ công việc'!Y134)</f>
        <v/>
      </c>
      <c r="P118" s="389" t="str">
        <f>IF('Bản đồ công việc'!X134="","",'Bản đồ công việc'!V134)</f>
        <v/>
      </c>
      <c r="Q118" s="389" t="str">
        <f>IF('Bản đồ công việc'!X134="","",'Bản đồ công việc'!AC134)</f>
        <v/>
      </c>
      <c r="R118" s="389" t="str">
        <f>IF('Bản đồ công việc'!X134="","",'Bản đồ công việc'!AD134)</f>
        <v/>
      </c>
      <c r="S118" s="389" t="str">
        <f>IF('Bản đồ công việc'!X134="","",'Bản đồ công việc'!Z134)</f>
        <v/>
      </c>
      <c r="T118" s="389" t="str">
        <f>IF('Bản đồ công việc'!X134="","",'Bản đồ công việc'!AA134)</f>
        <v/>
      </c>
      <c r="U118" s="389" t="str">
        <f>IF('Bản đồ công việc'!X134="","",'Bản đồ công việc'!AE134)</f>
        <v/>
      </c>
      <c r="V118" s="389" t="str">
        <f>IF('Bản đồ công việc'!X134="","",'Bản đồ công việc'!AI134)</f>
        <v/>
      </c>
      <c r="W118" s="389">
        <f t="shared" si="2"/>
        <v>0</v>
      </c>
      <c r="X118" s="389" t="str">
        <f t="shared" si="3"/>
        <v/>
      </c>
      <c r="Y118" s="389" t="str">
        <f t="shared" ref="Y118:Z118" si="114">IFERROR(INDEX($O$8:$O$684,MATCH(X118,$N$8:$N$684,0)),"")</f>
        <v/>
      </c>
      <c r="Z118" s="389" t="str">
        <f t="shared" si="114"/>
        <v/>
      </c>
      <c r="AA118" s="389">
        <f t="shared" si="5"/>
        <v>0</v>
      </c>
    </row>
    <row r="119" ht="15.75" customHeight="1">
      <c r="F119" s="664"/>
      <c r="I119" s="665"/>
      <c r="M119" s="389" t="str">
        <f>IF('Bản đồ công việc'!X135="","",'Bản đồ công việc'!W135)</f>
        <v/>
      </c>
      <c r="N119" s="389" t="str">
        <f>IF('Bản đồ công việc'!X135="","",'Bản đồ công việc'!X135)</f>
        <v/>
      </c>
      <c r="O119" s="389" t="str">
        <f>IF('Bản đồ công việc'!X135="","",'Bản đồ công việc'!Y135)</f>
        <v/>
      </c>
      <c r="P119" s="389" t="str">
        <f>IF('Bản đồ công việc'!X135="","",'Bản đồ công việc'!V135)</f>
        <v/>
      </c>
      <c r="Q119" s="389" t="str">
        <f>IF('Bản đồ công việc'!X135="","",'Bản đồ công việc'!AC135)</f>
        <v/>
      </c>
      <c r="R119" s="389" t="str">
        <f>IF('Bản đồ công việc'!X135="","",'Bản đồ công việc'!AD135)</f>
        <v/>
      </c>
      <c r="S119" s="389" t="str">
        <f>IF('Bản đồ công việc'!X135="","",'Bản đồ công việc'!Z135)</f>
        <v/>
      </c>
      <c r="T119" s="389" t="str">
        <f>IF('Bản đồ công việc'!X135="","",'Bản đồ công việc'!AA135)</f>
        <v/>
      </c>
      <c r="U119" s="389" t="str">
        <f>IF('Bản đồ công việc'!X135="","",'Bản đồ công việc'!AE135)</f>
        <v/>
      </c>
      <c r="V119" s="389" t="str">
        <f>IF('Bản đồ công việc'!X135="","",'Bản đồ công việc'!AI135)</f>
        <v/>
      </c>
      <c r="W119" s="389">
        <f t="shared" si="2"/>
        <v>0</v>
      </c>
      <c r="X119" s="389" t="str">
        <f t="shared" si="3"/>
        <v/>
      </c>
      <c r="Y119" s="389" t="str">
        <f t="shared" ref="Y119:Z119" si="115">IFERROR(INDEX($O$8:$O$684,MATCH(X119,$N$8:$N$684,0)),"")</f>
        <v/>
      </c>
      <c r="Z119" s="389" t="str">
        <f t="shared" si="115"/>
        <v/>
      </c>
      <c r="AA119" s="389">
        <f t="shared" si="5"/>
        <v>0</v>
      </c>
    </row>
    <row r="120" ht="15.75" customHeight="1">
      <c r="F120" s="664"/>
      <c r="I120" s="665"/>
      <c r="M120" s="389" t="str">
        <f>IF('Bản đồ công việc'!X136="","",'Bản đồ công việc'!W136)</f>
        <v/>
      </c>
      <c r="N120" s="389" t="str">
        <f>IF('Bản đồ công việc'!X136="","",'Bản đồ công việc'!X136)</f>
        <v/>
      </c>
      <c r="O120" s="389" t="str">
        <f>IF('Bản đồ công việc'!X136="","",'Bản đồ công việc'!Y136)</f>
        <v/>
      </c>
      <c r="P120" s="389" t="str">
        <f>IF('Bản đồ công việc'!X136="","",'Bản đồ công việc'!V136)</f>
        <v/>
      </c>
      <c r="Q120" s="389" t="str">
        <f>IF('Bản đồ công việc'!X136="","",'Bản đồ công việc'!AC136)</f>
        <v/>
      </c>
      <c r="R120" s="389" t="str">
        <f>IF('Bản đồ công việc'!X136="","",'Bản đồ công việc'!AD136)</f>
        <v/>
      </c>
      <c r="S120" s="389" t="str">
        <f>IF('Bản đồ công việc'!X136="","",'Bản đồ công việc'!Z136)</f>
        <v/>
      </c>
      <c r="T120" s="389" t="str">
        <f>IF('Bản đồ công việc'!X136="","",'Bản đồ công việc'!AA136)</f>
        <v/>
      </c>
      <c r="U120" s="389" t="str">
        <f>IF('Bản đồ công việc'!X136="","",'Bản đồ công việc'!AE136)</f>
        <v/>
      </c>
      <c r="V120" s="389" t="str">
        <f>IF('Bản đồ công việc'!X136="","",'Bản đồ công việc'!AI136)</f>
        <v/>
      </c>
      <c r="W120" s="389">
        <f t="shared" si="2"/>
        <v>0</v>
      </c>
      <c r="X120" s="389" t="str">
        <f t="shared" si="3"/>
        <v/>
      </c>
      <c r="Y120" s="389" t="str">
        <f t="shared" ref="Y120:Z120" si="116">IFERROR(INDEX($O$8:$O$684,MATCH(X120,$N$8:$N$684,0)),"")</f>
        <v/>
      </c>
      <c r="Z120" s="389" t="str">
        <f t="shared" si="116"/>
        <v/>
      </c>
      <c r="AA120" s="389">
        <f t="shared" si="5"/>
        <v>0</v>
      </c>
    </row>
    <row r="121" ht="15.75" customHeight="1">
      <c r="F121" s="664"/>
      <c r="I121" s="665"/>
      <c r="M121" s="389" t="str">
        <f>IF('Bản đồ công việc'!X137="","",'Bản đồ công việc'!W137)</f>
        <v/>
      </c>
      <c r="N121" s="389" t="str">
        <f>IF('Bản đồ công việc'!X137="","",'Bản đồ công việc'!X137)</f>
        <v/>
      </c>
      <c r="O121" s="389" t="str">
        <f>IF('Bản đồ công việc'!X137="","",'Bản đồ công việc'!Y137)</f>
        <v/>
      </c>
      <c r="P121" s="389" t="str">
        <f>IF('Bản đồ công việc'!X137="","",'Bản đồ công việc'!V137)</f>
        <v/>
      </c>
      <c r="Q121" s="389" t="str">
        <f>IF('Bản đồ công việc'!X137="","",'Bản đồ công việc'!AC137)</f>
        <v/>
      </c>
      <c r="R121" s="389" t="str">
        <f>IF('Bản đồ công việc'!X137="","",'Bản đồ công việc'!AD137)</f>
        <v/>
      </c>
      <c r="S121" s="389" t="str">
        <f>IF('Bản đồ công việc'!X137="","",'Bản đồ công việc'!Z137)</f>
        <v/>
      </c>
      <c r="T121" s="389" t="str">
        <f>IF('Bản đồ công việc'!X137="","",'Bản đồ công việc'!AA137)</f>
        <v/>
      </c>
      <c r="U121" s="389" t="str">
        <f>IF('Bản đồ công việc'!X137="","",'Bản đồ công việc'!AE137)</f>
        <v/>
      </c>
      <c r="V121" s="389" t="str">
        <f>IF('Bản đồ công việc'!X137="","",'Bản đồ công việc'!AI137)</f>
        <v/>
      </c>
      <c r="W121" s="389">
        <f t="shared" si="2"/>
        <v>0</v>
      </c>
      <c r="X121" s="389" t="str">
        <f t="shared" si="3"/>
        <v/>
      </c>
      <c r="Y121" s="389" t="str">
        <f t="shared" ref="Y121:Z121" si="117">IFERROR(INDEX($O$8:$O$684,MATCH(X121,$N$8:$N$684,0)),"")</f>
        <v/>
      </c>
      <c r="Z121" s="389" t="str">
        <f t="shared" si="117"/>
        <v/>
      </c>
      <c r="AA121" s="389">
        <f t="shared" si="5"/>
        <v>0</v>
      </c>
    </row>
    <row r="122" ht="15.75" customHeight="1">
      <c r="F122" s="664"/>
      <c r="I122" s="665"/>
      <c r="M122" s="389" t="str">
        <f>IF('Bản đồ công việc'!X138="","",'Bản đồ công việc'!W138)</f>
        <v/>
      </c>
      <c r="N122" s="389" t="str">
        <f>IF('Bản đồ công việc'!X138="","",'Bản đồ công việc'!X138)</f>
        <v/>
      </c>
      <c r="O122" s="389" t="str">
        <f>IF('Bản đồ công việc'!X138="","",'Bản đồ công việc'!Y138)</f>
        <v/>
      </c>
      <c r="P122" s="389" t="str">
        <f>IF('Bản đồ công việc'!X138="","",'Bản đồ công việc'!V138)</f>
        <v/>
      </c>
      <c r="Q122" s="389" t="str">
        <f>IF('Bản đồ công việc'!X138="","",'Bản đồ công việc'!AC138)</f>
        <v/>
      </c>
      <c r="R122" s="389" t="str">
        <f>IF('Bản đồ công việc'!X138="","",'Bản đồ công việc'!AD138)</f>
        <v/>
      </c>
      <c r="S122" s="389" t="str">
        <f>IF('Bản đồ công việc'!X138="","",'Bản đồ công việc'!Z138)</f>
        <v/>
      </c>
      <c r="T122" s="389" t="str">
        <f>IF('Bản đồ công việc'!X138="","",'Bản đồ công việc'!AA138)</f>
        <v/>
      </c>
      <c r="U122" s="389" t="str">
        <f>IF('Bản đồ công việc'!X138="","",'Bản đồ công việc'!AE138)</f>
        <v/>
      </c>
      <c r="V122" s="389" t="str">
        <f>IF('Bản đồ công việc'!X138="","",'Bản đồ công việc'!AI138)</f>
        <v/>
      </c>
      <c r="W122" s="389">
        <f t="shared" si="2"/>
        <v>0</v>
      </c>
      <c r="X122" s="389" t="str">
        <f t="shared" si="3"/>
        <v/>
      </c>
      <c r="Y122" s="389" t="str">
        <f t="shared" ref="Y122:Z122" si="118">IFERROR(INDEX($O$8:$O$684,MATCH(X122,$N$8:$N$684,0)),"")</f>
        <v/>
      </c>
      <c r="Z122" s="389" t="str">
        <f t="shared" si="118"/>
        <v/>
      </c>
      <c r="AA122" s="389">
        <f t="shared" si="5"/>
        <v>0</v>
      </c>
    </row>
    <row r="123" ht="15.75" customHeight="1">
      <c r="F123" s="664"/>
      <c r="I123" s="665"/>
      <c r="M123" s="389" t="str">
        <f>IF('Bản đồ công việc'!X139="","",'Bản đồ công việc'!W139)</f>
        <v/>
      </c>
      <c r="N123" s="389" t="str">
        <f>IF('Bản đồ công việc'!X139="","",'Bản đồ công việc'!X139)</f>
        <v/>
      </c>
      <c r="O123" s="389" t="str">
        <f>IF('Bản đồ công việc'!X139="","",'Bản đồ công việc'!Y139)</f>
        <v/>
      </c>
      <c r="P123" s="389" t="str">
        <f>IF('Bản đồ công việc'!X139="","",'Bản đồ công việc'!V139)</f>
        <v/>
      </c>
      <c r="Q123" s="389" t="str">
        <f>IF('Bản đồ công việc'!X139="","",'Bản đồ công việc'!AC139)</f>
        <v/>
      </c>
      <c r="R123" s="389" t="str">
        <f>IF('Bản đồ công việc'!X139="","",'Bản đồ công việc'!AD139)</f>
        <v/>
      </c>
      <c r="S123" s="389" t="str">
        <f>IF('Bản đồ công việc'!X139="","",'Bản đồ công việc'!Z139)</f>
        <v/>
      </c>
      <c r="T123" s="389" t="str">
        <f>IF('Bản đồ công việc'!X139="","",'Bản đồ công việc'!AA139)</f>
        <v/>
      </c>
      <c r="U123" s="389" t="str">
        <f>IF('Bản đồ công việc'!X139="","",'Bản đồ công việc'!AE139)</f>
        <v/>
      </c>
      <c r="V123" s="389" t="str">
        <f>IF('Bản đồ công việc'!X139="","",'Bản đồ công việc'!AI139)</f>
        <v/>
      </c>
      <c r="W123" s="389">
        <f t="shared" si="2"/>
        <v>0</v>
      </c>
      <c r="X123" s="389" t="str">
        <f t="shared" si="3"/>
        <v/>
      </c>
      <c r="Y123" s="389" t="str">
        <f t="shared" ref="Y123:Z123" si="119">IFERROR(INDEX($O$8:$O$684,MATCH(X123,$N$8:$N$684,0)),"")</f>
        <v/>
      </c>
      <c r="Z123" s="389" t="str">
        <f t="shared" si="119"/>
        <v/>
      </c>
      <c r="AA123" s="389">
        <f t="shared" si="5"/>
        <v>0</v>
      </c>
    </row>
    <row r="124" ht="15.75" customHeight="1">
      <c r="F124" s="664"/>
      <c r="I124" s="665"/>
      <c r="M124" s="389" t="str">
        <f>IF('Bản đồ công việc'!X140="","",'Bản đồ công việc'!W140)</f>
        <v/>
      </c>
      <c r="N124" s="389" t="str">
        <f>IF('Bản đồ công việc'!X140="","",'Bản đồ công việc'!X140)</f>
        <v/>
      </c>
      <c r="O124" s="389" t="str">
        <f>IF('Bản đồ công việc'!X140="","",'Bản đồ công việc'!Y140)</f>
        <v/>
      </c>
      <c r="P124" s="389" t="str">
        <f>IF('Bản đồ công việc'!X140="","",'Bản đồ công việc'!V140)</f>
        <v/>
      </c>
      <c r="Q124" s="389" t="str">
        <f>IF('Bản đồ công việc'!X140="","",'Bản đồ công việc'!AC140)</f>
        <v/>
      </c>
      <c r="R124" s="389" t="str">
        <f>IF('Bản đồ công việc'!X140="","",'Bản đồ công việc'!AD140)</f>
        <v/>
      </c>
      <c r="S124" s="389" t="str">
        <f>IF('Bản đồ công việc'!X140="","",'Bản đồ công việc'!Z140)</f>
        <v/>
      </c>
      <c r="T124" s="389" t="str">
        <f>IF('Bản đồ công việc'!X140="","",'Bản đồ công việc'!AA140)</f>
        <v/>
      </c>
      <c r="U124" s="389" t="str">
        <f>IF('Bản đồ công việc'!X140="","",'Bản đồ công việc'!AE140)</f>
        <v/>
      </c>
      <c r="V124" s="389" t="str">
        <f>IF('Bản đồ công việc'!X140="","",'Bản đồ công việc'!AI140)</f>
        <v/>
      </c>
      <c r="W124" s="389">
        <f t="shared" si="2"/>
        <v>0</v>
      </c>
      <c r="X124" s="389" t="str">
        <f t="shared" si="3"/>
        <v/>
      </c>
      <c r="Y124" s="389" t="str">
        <f t="shared" ref="Y124:Z124" si="120">IFERROR(INDEX($O$8:$O$684,MATCH(X124,$N$8:$N$684,0)),"")</f>
        <v/>
      </c>
      <c r="Z124" s="389" t="str">
        <f t="shared" si="120"/>
        <v/>
      </c>
      <c r="AA124" s="389">
        <f t="shared" si="5"/>
        <v>0</v>
      </c>
    </row>
    <row r="125" ht="15.75" customHeight="1">
      <c r="F125" s="664"/>
      <c r="I125" s="665"/>
      <c r="M125" s="389" t="str">
        <f>IF('Bản đồ công việc'!X141="","",'Bản đồ công việc'!W141)</f>
        <v/>
      </c>
      <c r="N125" s="389" t="str">
        <f>IF('Bản đồ công việc'!X141="","",'Bản đồ công việc'!X141)</f>
        <v/>
      </c>
      <c r="O125" s="389" t="str">
        <f>IF('Bản đồ công việc'!X141="","",'Bản đồ công việc'!Y141)</f>
        <v/>
      </c>
      <c r="P125" s="389" t="str">
        <f>IF('Bản đồ công việc'!X141="","",'Bản đồ công việc'!V141)</f>
        <v/>
      </c>
      <c r="Q125" s="389" t="str">
        <f>IF('Bản đồ công việc'!X141="","",'Bản đồ công việc'!AC141)</f>
        <v/>
      </c>
      <c r="R125" s="389" t="str">
        <f>IF('Bản đồ công việc'!X141="","",'Bản đồ công việc'!AD141)</f>
        <v/>
      </c>
      <c r="S125" s="389" t="str">
        <f>IF('Bản đồ công việc'!X141="","",'Bản đồ công việc'!Z141)</f>
        <v/>
      </c>
      <c r="T125" s="389" t="str">
        <f>IF('Bản đồ công việc'!X141="","",'Bản đồ công việc'!AA141)</f>
        <v/>
      </c>
      <c r="U125" s="389" t="str">
        <f>IF('Bản đồ công việc'!X141="","",'Bản đồ công việc'!AE141)</f>
        <v/>
      </c>
      <c r="V125" s="389" t="str">
        <f>IF('Bản đồ công việc'!X141="","",'Bản đồ công việc'!AI141)</f>
        <v/>
      </c>
      <c r="W125" s="389">
        <f t="shared" si="2"/>
        <v>0</v>
      </c>
      <c r="X125" s="389" t="str">
        <f t="shared" si="3"/>
        <v/>
      </c>
      <c r="Y125" s="389" t="str">
        <f t="shared" ref="Y125:Z125" si="121">IFERROR(INDEX($O$8:$O$684,MATCH(X125,$N$8:$N$684,0)),"")</f>
        <v/>
      </c>
      <c r="Z125" s="389" t="str">
        <f t="shared" si="121"/>
        <v/>
      </c>
      <c r="AA125" s="389">
        <f t="shared" si="5"/>
        <v>0</v>
      </c>
    </row>
    <row r="126" ht="15.75" customHeight="1">
      <c r="F126" s="664"/>
      <c r="I126" s="665"/>
      <c r="M126" s="389" t="str">
        <f>IF('Bản đồ công việc'!X142="","",'Bản đồ công việc'!W142)</f>
        <v/>
      </c>
      <c r="N126" s="389" t="str">
        <f>IF('Bản đồ công việc'!X142="","",'Bản đồ công việc'!X142)</f>
        <v/>
      </c>
      <c r="O126" s="389" t="str">
        <f>IF('Bản đồ công việc'!X142="","",'Bản đồ công việc'!Y142)</f>
        <v/>
      </c>
      <c r="P126" s="389" t="str">
        <f>IF('Bản đồ công việc'!X142="","",'Bản đồ công việc'!V142)</f>
        <v/>
      </c>
      <c r="Q126" s="389" t="str">
        <f>IF('Bản đồ công việc'!X142="","",'Bản đồ công việc'!AC142)</f>
        <v/>
      </c>
      <c r="R126" s="389" t="str">
        <f>IF('Bản đồ công việc'!X142="","",'Bản đồ công việc'!AD142)</f>
        <v/>
      </c>
      <c r="S126" s="389" t="str">
        <f>IF('Bản đồ công việc'!X142="","",'Bản đồ công việc'!Z142)</f>
        <v/>
      </c>
      <c r="T126" s="389" t="str">
        <f>IF('Bản đồ công việc'!X142="","",'Bản đồ công việc'!AA142)</f>
        <v/>
      </c>
      <c r="U126" s="389" t="str">
        <f>IF('Bản đồ công việc'!X142="","",'Bản đồ công việc'!AE142)</f>
        <v/>
      </c>
      <c r="V126" s="389" t="str">
        <f>IF('Bản đồ công việc'!X142="","",'Bản đồ công việc'!AI142)</f>
        <v/>
      </c>
      <c r="W126" s="389">
        <f t="shared" si="2"/>
        <v>0</v>
      </c>
      <c r="X126" s="389" t="str">
        <f t="shared" si="3"/>
        <v/>
      </c>
      <c r="Y126" s="389" t="str">
        <f t="shared" ref="Y126:Z126" si="122">IFERROR(INDEX($O$8:$O$684,MATCH(X126,$N$8:$N$684,0)),"")</f>
        <v/>
      </c>
      <c r="Z126" s="389" t="str">
        <f t="shared" si="122"/>
        <v/>
      </c>
      <c r="AA126" s="389">
        <f t="shared" si="5"/>
        <v>0</v>
      </c>
    </row>
    <row r="127" ht="15.75" customHeight="1">
      <c r="F127" s="664"/>
      <c r="I127" s="665"/>
      <c r="M127" s="389" t="str">
        <f>IF('Bản đồ công việc'!X143="","",'Bản đồ công việc'!W143)</f>
        <v/>
      </c>
      <c r="N127" s="389" t="str">
        <f>IF('Bản đồ công việc'!X143="","",'Bản đồ công việc'!X143)</f>
        <v/>
      </c>
      <c r="O127" s="389" t="str">
        <f>IF('Bản đồ công việc'!X143="","",'Bản đồ công việc'!Y143)</f>
        <v/>
      </c>
      <c r="P127" s="389" t="str">
        <f>IF('Bản đồ công việc'!X143="","",'Bản đồ công việc'!V143)</f>
        <v/>
      </c>
      <c r="Q127" s="389" t="str">
        <f>IF('Bản đồ công việc'!X143="","",'Bản đồ công việc'!AC143)</f>
        <v/>
      </c>
      <c r="R127" s="389" t="str">
        <f>IF('Bản đồ công việc'!X143="","",'Bản đồ công việc'!AD143)</f>
        <v/>
      </c>
      <c r="S127" s="389" t="str">
        <f>IF('Bản đồ công việc'!X143="","",'Bản đồ công việc'!Z143)</f>
        <v/>
      </c>
      <c r="T127" s="389" t="str">
        <f>IF('Bản đồ công việc'!X143="","",'Bản đồ công việc'!AA143)</f>
        <v/>
      </c>
      <c r="U127" s="389" t="str">
        <f>IF('Bản đồ công việc'!X143="","",'Bản đồ công việc'!AE143)</f>
        <v/>
      </c>
      <c r="V127" s="389" t="str">
        <f>IF('Bản đồ công việc'!X143="","",'Bản đồ công việc'!AI143)</f>
        <v/>
      </c>
      <c r="W127" s="389">
        <f t="shared" si="2"/>
        <v>0</v>
      </c>
      <c r="X127" s="389" t="str">
        <f t="shared" si="3"/>
        <v/>
      </c>
      <c r="Y127" s="389" t="str">
        <f t="shared" ref="Y127:Z127" si="123">IFERROR(INDEX($O$8:$O$684,MATCH(X127,$N$8:$N$684,0)),"")</f>
        <v/>
      </c>
      <c r="Z127" s="389" t="str">
        <f t="shared" si="123"/>
        <v/>
      </c>
      <c r="AA127" s="389">
        <f t="shared" si="5"/>
        <v>0</v>
      </c>
    </row>
    <row r="128" ht="15.75" customHeight="1">
      <c r="F128" s="664"/>
      <c r="I128" s="665"/>
      <c r="M128" s="389" t="str">
        <f>IF('Bản đồ công việc'!X144="","",'Bản đồ công việc'!W144)</f>
        <v/>
      </c>
      <c r="N128" s="389" t="str">
        <f>IF('Bản đồ công việc'!X144="","",'Bản đồ công việc'!X144)</f>
        <v/>
      </c>
      <c r="O128" s="389" t="str">
        <f>IF('Bản đồ công việc'!X144="","",'Bản đồ công việc'!Y144)</f>
        <v/>
      </c>
      <c r="P128" s="389" t="str">
        <f>IF('Bản đồ công việc'!X144="","",'Bản đồ công việc'!V144)</f>
        <v/>
      </c>
      <c r="Q128" s="389" t="str">
        <f>IF('Bản đồ công việc'!X144="","",'Bản đồ công việc'!AC144)</f>
        <v/>
      </c>
      <c r="R128" s="389" t="str">
        <f>IF('Bản đồ công việc'!X144="","",'Bản đồ công việc'!AD144)</f>
        <v/>
      </c>
      <c r="S128" s="389" t="str">
        <f>IF('Bản đồ công việc'!X144="","",'Bản đồ công việc'!Z144)</f>
        <v/>
      </c>
      <c r="T128" s="389" t="str">
        <f>IF('Bản đồ công việc'!X144="","",'Bản đồ công việc'!AA144)</f>
        <v/>
      </c>
      <c r="U128" s="389" t="str">
        <f>IF('Bản đồ công việc'!X144="","",'Bản đồ công việc'!AE144)</f>
        <v/>
      </c>
      <c r="V128" s="389" t="str">
        <f>IF('Bản đồ công việc'!X144="","",'Bản đồ công việc'!AI144)</f>
        <v/>
      </c>
      <c r="W128" s="389">
        <f t="shared" si="2"/>
        <v>0</v>
      </c>
      <c r="X128" s="389" t="str">
        <f t="shared" si="3"/>
        <v/>
      </c>
      <c r="Y128" s="389" t="str">
        <f t="shared" ref="Y128:Z128" si="124">IFERROR(INDEX($O$8:$O$684,MATCH(X128,$N$8:$N$684,0)),"")</f>
        <v/>
      </c>
      <c r="Z128" s="389" t="str">
        <f t="shared" si="124"/>
        <v/>
      </c>
      <c r="AA128" s="389">
        <f t="shared" si="5"/>
        <v>0</v>
      </c>
    </row>
    <row r="129" ht="15.75" customHeight="1">
      <c r="F129" s="664"/>
      <c r="I129" s="665"/>
      <c r="M129" s="389" t="str">
        <f>IF('Bản đồ công việc'!X145="","",'Bản đồ công việc'!W145)</f>
        <v/>
      </c>
      <c r="N129" s="389" t="str">
        <f>IF('Bản đồ công việc'!X145="","",'Bản đồ công việc'!X145)</f>
        <v/>
      </c>
      <c r="O129" s="389" t="str">
        <f>IF('Bản đồ công việc'!X145="","",'Bản đồ công việc'!Y145)</f>
        <v/>
      </c>
      <c r="P129" s="389" t="str">
        <f>IF('Bản đồ công việc'!X145="","",'Bản đồ công việc'!V145)</f>
        <v/>
      </c>
      <c r="Q129" s="389" t="str">
        <f>IF('Bản đồ công việc'!X145="","",'Bản đồ công việc'!AC145)</f>
        <v/>
      </c>
      <c r="R129" s="389" t="str">
        <f>IF('Bản đồ công việc'!X145="","",'Bản đồ công việc'!AD145)</f>
        <v/>
      </c>
      <c r="S129" s="389" t="str">
        <f>IF('Bản đồ công việc'!X145="","",'Bản đồ công việc'!Z145)</f>
        <v/>
      </c>
      <c r="T129" s="389" t="str">
        <f>IF('Bản đồ công việc'!X145="","",'Bản đồ công việc'!AA145)</f>
        <v/>
      </c>
      <c r="U129" s="389" t="str">
        <f>IF('Bản đồ công việc'!X145="","",'Bản đồ công việc'!AE145)</f>
        <v/>
      </c>
      <c r="V129" s="389" t="str">
        <f>IF('Bản đồ công việc'!X145="","",'Bản đồ công việc'!AI145)</f>
        <v/>
      </c>
      <c r="W129" s="389">
        <f t="shared" si="2"/>
        <v>0</v>
      </c>
      <c r="X129" s="389" t="str">
        <f t="shared" si="3"/>
        <v/>
      </c>
      <c r="Y129" s="389" t="str">
        <f t="shared" ref="Y129:Z129" si="125">IFERROR(INDEX($O$8:$O$684,MATCH(X129,$N$8:$N$684,0)),"")</f>
        <v/>
      </c>
      <c r="Z129" s="389" t="str">
        <f t="shared" si="125"/>
        <v/>
      </c>
      <c r="AA129" s="389">
        <f t="shared" si="5"/>
        <v>0</v>
      </c>
    </row>
    <row r="130" ht="15.75" customHeight="1">
      <c r="F130" s="664"/>
      <c r="I130" s="665"/>
      <c r="M130" s="389" t="str">
        <f>IF('Bản đồ công việc'!X146="","",'Bản đồ công việc'!W146)</f>
        <v/>
      </c>
      <c r="N130" s="389" t="str">
        <f>IF('Bản đồ công việc'!X146="","",'Bản đồ công việc'!X146)</f>
        <v/>
      </c>
      <c r="O130" s="389" t="str">
        <f>IF('Bản đồ công việc'!X146="","",'Bản đồ công việc'!Y146)</f>
        <v/>
      </c>
      <c r="P130" s="389" t="str">
        <f>IF('Bản đồ công việc'!X146="","",'Bản đồ công việc'!V146)</f>
        <v/>
      </c>
      <c r="Q130" s="389" t="str">
        <f>IF('Bản đồ công việc'!X146="","",'Bản đồ công việc'!AC146)</f>
        <v/>
      </c>
      <c r="R130" s="389" t="str">
        <f>IF('Bản đồ công việc'!X146="","",'Bản đồ công việc'!AD146)</f>
        <v/>
      </c>
      <c r="S130" s="389" t="str">
        <f>IF('Bản đồ công việc'!X146="","",'Bản đồ công việc'!Z146)</f>
        <v/>
      </c>
      <c r="T130" s="389" t="str">
        <f>IF('Bản đồ công việc'!X146="","",'Bản đồ công việc'!AA146)</f>
        <v/>
      </c>
      <c r="U130" s="389" t="str">
        <f>IF('Bản đồ công việc'!X146="","",'Bản đồ công việc'!AE146)</f>
        <v/>
      </c>
      <c r="V130" s="389" t="str">
        <f>IF('Bản đồ công việc'!X146="","",'Bản đồ công việc'!AI146)</f>
        <v/>
      </c>
      <c r="W130" s="389">
        <f t="shared" si="2"/>
        <v>0</v>
      </c>
      <c r="X130" s="389" t="str">
        <f t="shared" si="3"/>
        <v/>
      </c>
      <c r="Y130" s="389" t="str">
        <f t="shared" ref="Y130:Z130" si="126">IFERROR(INDEX($O$8:$O$684,MATCH(X130,$N$8:$N$684,0)),"")</f>
        <v/>
      </c>
      <c r="Z130" s="389" t="str">
        <f t="shared" si="126"/>
        <v/>
      </c>
      <c r="AA130" s="389">
        <f t="shared" si="5"/>
        <v>0</v>
      </c>
    </row>
    <row r="131" ht="15.75" customHeight="1">
      <c r="F131" s="664"/>
      <c r="I131" s="665"/>
      <c r="M131" s="389" t="str">
        <f>IF('Bản đồ công việc'!X147="","",'Bản đồ công việc'!W147)</f>
        <v/>
      </c>
      <c r="N131" s="389" t="str">
        <f>IF('Bản đồ công việc'!X147="","",'Bản đồ công việc'!X147)</f>
        <v/>
      </c>
      <c r="O131" s="389" t="str">
        <f>IF('Bản đồ công việc'!X147="","",'Bản đồ công việc'!Y147)</f>
        <v/>
      </c>
      <c r="P131" s="389" t="str">
        <f>IF('Bản đồ công việc'!X147="","",'Bản đồ công việc'!V147)</f>
        <v/>
      </c>
      <c r="Q131" s="389" t="str">
        <f>IF('Bản đồ công việc'!X147="","",'Bản đồ công việc'!AC147)</f>
        <v/>
      </c>
      <c r="R131" s="389" t="str">
        <f>IF('Bản đồ công việc'!X147="","",'Bản đồ công việc'!AD147)</f>
        <v/>
      </c>
      <c r="S131" s="389" t="str">
        <f>IF('Bản đồ công việc'!X147="","",'Bản đồ công việc'!Z147)</f>
        <v/>
      </c>
      <c r="T131" s="389" t="str">
        <f>IF('Bản đồ công việc'!X147="","",'Bản đồ công việc'!AA147)</f>
        <v/>
      </c>
      <c r="U131" s="389" t="str">
        <f>IF('Bản đồ công việc'!X147="","",'Bản đồ công việc'!AE147)</f>
        <v/>
      </c>
      <c r="V131" s="389" t="str">
        <f>IF('Bản đồ công việc'!X147="","",'Bản đồ công việc'!AI147)</f>
        <v/>
      </c>
      <c r="W131" s="389">
        <f t="shared" si="2"/>
        <v>0</v>
      </c>
      <c r="X131" s="389" t="str">
        <f t="shared" si="3"/>
        <v/>
      </c>
      <c r="Y131" s="389" t="str">
        <f t="shared" ref="Y131:Z131" si="127">IFERROR(INDEX($O$8:$O$684,MATCH(X131,$N$8:$N$684,0)),"")</f>
        <v/>
      </c>
      <c r="Z131" s="389" t="str">
        <f t="shared" si="127"/>
        <v/>
      </c>
      <c r="AA131" s="389">
        <f t="shared" si="5"/>
        <v>0</v>
      </c>
    </row>
    <row r="132" ht="15.75" customHeight="1">
      <c r="F132" s="664"/>
      <c r="I132" s="665"/>
      <c r="M132" s="389" t="str">
        <f>IF('Bản đồ công việc'!X148="","",'Bản đồ công việc'!W148)</f>
        <v/>
      </c>
      <c r="N132" s="389" t="str">
        <f>IF('Bản đồ công việc'!X148="","",'Bản đồ công việc'!X148)</f>
        <v/>
      </c>
      <c r="O132" s="389" t="str">
        <f>IF('Bản đồ công việc'!X148="","",'Bản đồ công việc'!Y148)</f>
        <v/>
      </c>
      <c r="P132" s="389" t="str">
        <f>IF('Bản đồ công việc'!X148="","",'Bản đồ công việc'!V148)</f>
        <v/>
      </c>
      <c r="Q132" s="389" t="str">
        <f>IF('Bản đồ công việc'!X148="","",'Bản đồ công việc'!AC148)</f>
        <v/>
      </c>
      <c r="R132" s="389" t="str">
        <f>IF('Bản đồ công việc'!X148="","",'Bản đồ công việc'!AD148)</f>
        <v/>
      </c>
      <c r="S132" s="389" t="str">
        <f>IF('Bản đồ công việc'!X148="","",'Bản đồ công việc'!Z148)</f>
        <v/>
      </c>
      <c r="T132" s="389" t="str">
        <f>IF('Bản đồ công việc'!X148="","",'Bản đồ công việc'!AA148)</f>
        <v/>
      </c>
      <c r="U132" s="389" t="str">
        <f>IF('Bản đồ công việc'!X148="","",'Bản đồ công việc'!AE148)</f>
        <v/>
      </c>
      <c r="V132" s="389" t="str">
        <f>IF('Bản đồ công việc'!X148="","",'Bản đồ công việc'!AI148)</f>
        <v/>
      </c>
      <c r="W132" s="389">
        <f t="shared" si="2"/>
        <v>0</v>
      </c>
      <c r="X132" s="389" t="str">
        <f t="shared" si="3"/>
        <v/>
      </c>
      <c r="Y132" s="389" t="str">
        <f t="shared" ref="Y132:Z132" si="128">IFERROR(INDEX($O$8:$O$684,MATCH(X132,$N$8:$N$684,0)),"")</f>
        <v/>
      </c>
      <c r="Z132" s="389" t="str">
        <f t="shared" si="128"/>
        <v/>
      </c>
      <c r="AA132" s="389">
        <f t="shared" si="5"/>
        <v>0</v>
      </c>
    </row>
    <row r="133" ht="15.75" customHeight="1">
      <c r="F133" s="664"/>
      <c r="I133" s="665"/>
      <c r="M133" s="389" t="str">
        <f>IF('Bản đồ công việc'!X149="","",'Bản đồ công việc'!W149)</f>
        <v/>
      </c>
      <c r="N133" s="389" t="str">
        <f>IF('Bản đồ công việc'!X149="","",'Bản đồ công việc'!X149)</f>
        <v/>
      </c>
      <c r="O133" s="389" t="str">
        <f>IF('Bản đồ công việc'!X149="","",'Bản đồ công việc'!Y149)</f>
        <v/>
      </c>
      <c r="P133" s="389" t="str">
        <f>IF('Bản đồ công việc'!X149="","",'Bản đồ công việc'!V149)</f>
        <v/>
      </c>
      <c r="Q133" s="389" t="str">
        <f>IF('Bản đồ công việc'!X149="","",'Bản đồ công việc'!AC149)</f>
        <v/>
      </c>
      <c r="R133" s="389" t="str">
        <f>IF('Bản đồ công việc'!X149="","",'Bản đồ công việc'!AD149)</f>
        <v/>
      </c>
      <c r="S133" s="389" t="str">
        <f>IF('Bản đồ công việc'!X149="","",'Bản đồ công việc'!Z149)</f>
        <v/>
      </c>
      <c r="T133" s="389" t="str">
        <f>IF('Bản đồ công việc'!X149="","",'Bản đồ công việc'!AA149)</f>
        <v/>
      </c>
      <c r="U133" s="389" t="str">
        <f>IF('Bản đồ công việc'!X149="","",'Bản đồ công việc'!AE149)</f>
        <v/>
      </c>
      <c r="V133" s="389" t="str">
        <f>IF('Bản đồ công việc'!X149="","",'Bản đồ công việc'!AI149)</f>
        <v/>
      </c>
      <c r="W133" s="389">
        <f t="shared" si="2"/>
        <v>0</v>
      </c>
      <c r="X133" s="389" t="str">
        <f t="shared" si="3"/>
        <v/>
      </c>
      <c r="Y133" s="389" t="str">
        <f t="shared" ref="Y133:Z133" si="129">IFERROR(INDEX($O$8:$O$684,MATCH(X133,$N$8:$N$684,0)),"")</f>
        <v/>
      </c>
      <c r="Z133" s="389" t="str">
        <f t="shared" si="129"/>
        <v/>
      </c>
      <c r="AA133" s="389">
        <f t="shared" si="5"/>
        <v>0</v>
      </c>
    </row>
    <row r="134" ht="15.75" customHeight="1">
      <c r="F134" s="664"/>
      <c r="I134" s="665"/>
      <c r="M134" s="389" t="str">
        <f>IF('Bản đồ công việc'!X150="","",'Bản đồ công việc'!W150)</f>
        <v/>
      </c>
      <c r="N134" s="389" t="str">
        <f>IF('Bản đồ công việc'!X150="","",'Bản đồ công việc'!X150)</f>
        <v/>
      </c>
      <c r="O134" s="389" t="str">
        <f>IF('Bản đồ công việc'!X150="","",'Bản đồ công việc'!Y150)</f>
        <v/>
      </c>
      <c r="P134" s="389" t="str">
        <f>IF('Bản đồ công việc'!X150="","",'Bản đồ công việc'!V150)</f>
        <v/>
      </c>
      <c r="Q134" s="389" t="str">
        <f>IF('Bản đồ công việc'!X150="","",'Bản đồ công việc'!AC150)</f>
        <v/>
      </c>
      <c r="R134" s="389" t="str">
        <f>IF('Bản đồ công việc'!X150="","",'Bản đồ công việc'!AD150)</f>
        <v/>
      </c>
      <c r="S134" s="389" t="str">
        <f>IF('Bản đồ công việc'!X150="","",'Bản đồ công việc'!Z150)</f>
        <v/>
      </c>
      <c r="T134" s="389" t="str">
        <f>IF('Bản đồ công việc'!X150="","",'Bản đồ công việc'!AA150)</f>
        <v/>
      </c>
      <c r="U134" s="389" t="str">
        <f>IF('Bản đồ công việc'!X150="","",'Bản đồ công việc'!AE150)</f>
        <v/>
      </c>
      <c r="V134" s="389" t="str">
        <f>IF('Bản đồ công việc'!X150="","",'Bản đồ công việc'!AI150)</f>
        <v/>
      </c>
      <c r="W134" s="389">
        <f t="shared" si="2"/>
        <v>0</v>
      </c>
      <c r="X134" s="389" t="str">
        <f t="shared" si="3"/>
        <v/>
      </c>
      <c r="Y134" s="389" t="str">
        <f t="shared" ref="Y134:Z134" si="130">IFERROR(INDEX($O$8:$O$684,MATCH(X134,$N$8:$N$684,0)),"")</f>
        <v/>
      </c>
      <c r="Z134" s="389" t="str">
        <f t="shared" si="130"/>
        <v/>
      </c>
      <c r="AA134" s="389">
        <f t="shared" si="5"/>
        <v>0</v>
      </c>
    </row>
    <row r="135" ht="15.75" customHeight="1">
      <c r="F135" s="664"/>
      <c r="I135" s="665"/>
      <c r="M135" s="389" t="str">
        <f>IF('Bản đồ công việc'!X151="","",'Bản đồ công việc'!W151)</f>
        <v/>
      </c>
      <c r="N135" s="389" t="str">
        <f>IF('Bản đồ công việc'!X151="","",'Bản đồ công việc'!X151)</f>
        <v/>
      </c>
      <c r="O135" s="389" t="str">
        <f>IF('Bản đồ công việc'!X151="","",'Bản đồ công việc'!Y151)</f>
        <v/>
      </c>
      <c r="P135" s="389" t="str">
        <f>IF('Bản đồ công việc'!X151="","",'Bản đồ công việc'!V151)</f>
        <v/>
      </c>
      <c r="Q135" s="389" t="str">
        <f>IF('Bản đồ công việc'!X151="","",'Bản đồ công việc'!AC151)</f>
        <v/>
      </c>
      <c r="R135" s="389" t="str">
        <f>IF('Bản đồ công việc'!X151="","",'Bản đồ công việc'!AD151)</f>
        <v/>
      </c>
      <c r="S135" s="389" t="str">
        <f>IF('Bản đồ công việc'!X151="","",'Bản đồ công việc'!Z151)</f>
        <v/>
      </c>
      <c r="T135" s="389" t="str">
        <f>IF('Bản đồ công việc'!X151="","",'Bản đồ công việc'!AA151)</f>
        <v/>
      </c>
      <c r="U135" s="389" t="str">
        <f>IF('Bản đồ công việc'!X151="","",'Bản đồ công việc'!AE151)</f>
        <v/>
      </c>
      <c r="V135" s="389" t="str">
        <f>IF('Bản đồ công việc'!X151="","",'Bản đồ công việc'!AI151)</f>
        <v/>
      </c>
      <c r="W135" s="389">
        <f t="shared" si="2"/>
        <v>0</v>
      </c>
      <c r="X135" s="389" t="str">
        <f t="shared" si="3"/>
        <v/>
      </c>
      <c r="Y135" s="389" t="str">
        <f t="shared" ref="Y135:Z135" si="131">IFERROR(INDEX($O$8:$O$684,MATCH(X135,$N$8:$N$684,0)),"")</f>
        <v/>
      </c>
      <c r="Z135" s="389" t="str">
        <f t="shared" si="131"/>
        <v/>
      </c>
      <c r="AA135" s="389">
        <f t="shared" si="5"/>
        <v>0</v>
      </c>
    </row>
    <row r="136" ht="15.75" customHeight="1">
      <c r="F136" s="664"/>
      <c r="I136" s="665"/>
      <c r="M136" s="389" t="str">
        <f>IF('Bản đồ công việc'!X152="","",'Bản đồ công việc'!W152)</f>
        <v/>
      </c>
      <c r="N136" s="389" t="str">
        <f>IF('Bản đồ công việc'!X152="","",'Bản đồ công việc'!X152)</f>
        <v/>
      </c>
      <c r="O136" s="389" t="str">
        <f>IF('Bản đồ công việc'!X152="","",'Bản đồ công việc'!Y152)</f>
        <v/>
      </c>
      <c r="P136" s="389" t="str">
        <f>IF('Bản đồ công việc'!X152="","",'Bản đồ công việc'!V152)</f>
        <v/>
      </c>
      <c r="Q136" s="389" t="str">
        <f>IF('Bản đồ công việc'!X152="","",'Bản đồ công việc'!AC152)</f>
        <v/>
      </c>
      <c r="R136" s="389" t="str">
        <f>IF('Bản đồ công việc'!X152="","",'Bản đồ công việc'!AD152)</f>
        <v/>
      </c>
      <c r="S136" s="389" t="str">
        <f>IF('Bản đồ công việc'!X152="","",'Bản đồ công việc'!Z152)</f>
        <v/>
      </c>
      <c r="T136" s="389" t="str">
        <f>IF('Bản đồ công việc'!X152="","",'Bản đồ công việc'!AA152)</f>
        <v/>
      </c>
      <c r="U136" s="389" t="str">
        <f>IF('Bản đồ công việc'!X152="","",'Bản đồ công việc'!AE152)</f>
        <v/>
      </c>
      <c r="V136" s="389" t="str">
        <f>IF('Bản đồ công việc'!X152="","",'Bản đồ công việc'!AI152)</f>
        <v/>
      </c>
      <c r="W136" s="389">
        <f t="shared" si="2"/>
        <v>0</v>
      </c>
      <c r="X136" s="389" t="str">
        <f t="shared" si="3"/>
        <v/>
      </c>
      <c r="Y136" s="389" t="str">
        <f t="shared" ref="Y136:Z136" si="132">IFERROR(INDEX($O$8:$O$684,MATCH(X136,$N$8:$N$684,0)),"")</f>
        <v/>
      </c>
      <c r="Z136" s="389" t="str">
        <f t="shared" si="132"/>
        <v/>
      </c>
      <c r="AA136" s="389">
        <f t="shared" si="5"/>
        <v>0</v>
      </c>
    </row>
    <row r="137" ht="15.75" customHeight="1">
      <c r="F137" s="664"/>
      <c r="I137" s="665"/>
      <c r="M137" s="389" t="str">
        <f>IF('Bản đồ công việc'!X153="","",'Bản đồ công việc'!W153)</f>
        <v/>
      </c>
      <c r="N137" s="389" t="str">
        <f>IF('Bản đồ công việc'!X153="","",'Bản đồ công việc'!X153)</f>
        <v/>
      </c>
      <c r="O137" s="389" t="str">
        <f>IF('Bản đồ công việc'!X153="","",'Bản đồ công việc'!Y153)</f>
        <v/>
      </c>
      <c r="P137" s="389" t="str">
        <f>IF('Bản đồ công việc'!X153="","",'Bản đồ công việc'!V153)</f>
        <v/>
      </c>
      <c r="Q137" s="389" t="str">
        <f>IF('Bản đồ công việc'!X153="","",'Bản đồ công việc'!AC153)</f>
        <v/>
      </c>
      <c r="R137" s="389" t="str">
        <f>IF('Bản đồ công việc'!X153="","",'Bản đồ công việc'!AD153)</f>
        <v/>
      </c>
      <c r="S137" s="389" t="str">
        <f>IF('Bản đồ công việc'!X153="","",'Bản đồ công việc'!Z153)</f>
        <v/>
      </c>
      <c r="T137" s="389" t="str">
        <f>IF('Bản đồ công việc'!X153="","",'Bản đồ công việc'!AA153)</f>
        <v/>
      </c>
      <c r="U137" s="389" t="str">
        <f>IF('Bản đồ công việc'!X153="","",'Bản đồ công việc'!AE153)</f>
        <v/>
      </c>
      <c r="V137" s="389" t="str">
        <f>IF('Bản đồ công việc'!X153="","",'Bản đồ công việc'!AI153)</f>
        <v/>
      </c>
      <c r="W137" s="389">
        <f t="shared" si="2"/>
        <v>0</v>
      </c>
      <c r="X137" s="389" t="str">
        <f t="shared" si="3"/>
        <v/>
      </c>
      <c r="Y137" s="389" t="str">
        <f t="shared" ref="Y137:Z137" si="133">IFERROR(INDEX($O$8:$O$684,MATCH(X137,$N$8:$N$684,0)),"")</f>
        <v/>
      </c>
      <c r="Z137" s="389" t="str">
        <f t="shared" si="133"/>
        <v/>
      </c>
      <c r="AA137" s="389">
        <f t="shared" si="5"/>
        <v>0</v>
      </c>
    </row>
    <row r="138" ht="15.75" customHeight="1">
      <c r="F138" s="664"/>
      <c r="I138" s="665"/>
      <c r="M138" s="389" t="str">
        <f>IF('Bản đồ công việc'!X154="","",'Bản đồ công việc'!W154)</f>
        <v/>
      </c>
      <c r="N138" s="389" t="str">
        <f>IF('Bản đồ công việc'!X154="","",'Bản đồ công việc'!X154)</f>
        <v/>
      </c>
      <c r="O138" s="389" t="str">
        <f>IF('Bản đồ công việc'!X154="","",'Bản đồ công việc'!Y154)</f>
        <v/>
      </c>
      <c r="P138" s="389" t="str">
        <f>IF('Bản đồ công việc'!X154="","",'Bản đồ công việc'!V154)</f>
        <v/>
      </c>
      <c r="Q138" s="389" t="str">
        <f>IF('Bản đồ công việc'!X154="","",'Bản đồ công việc'!AC154)</f>
        <v/>
      </c>
      <c r="R138" s="389" t="str">
        <f>IF('Bản đồ công việc'!X154="","",'Bản đồ công việc'!AD154)</f>
        <v/>
      </c>
      <c r="S138" s="389" t="str">
        <f>IF('Bản đồ công việc'!X154="","",'Bản đồ công việc'!Z154)</f>
        <v/>
      </c>
      <c r="T138" s="389" t="str">
        <f>IF('Bản đồ công việc'!X154="","",'Bản đồ công việc'!AA154)</f>
        <v/>
      </c>
      <c r="U138" s="389" t="str">
        <f>IF('Bản đồ công việc'!X154="","",'Bản đồ công việc'!AE154)</f>
        <v/>
      </c>
      <c r="V138" s="389" t="str">
        <f>IF('Bản đồ công việc'!X154="","",'Bản đồ công việc'!AI154)</f>
        <v/>
      </c>
      <c r="W138" s="389">
        <f t="shared" si="2"/>
        <v>0</v>
      </c>
      <c r="X138" s="389" t="str">
        <f t="shared" si="3"/>
        <v/>
      </c>
      <c r="Y138" s="389" t="str">
        <f t="shared" ref="Y138:Z138" si="134">IFERROR(INDEX($O$8:$O$684,MATCH(X138,$N$8:$N$684,0)),"")</f>
        <v/>
      </c>
      <c r="Z138" s="389" t="str">
        <f t="shared" si="134"/>
        <v/>
      </c>
      <c r="AA138" s="389">
        <f t="shared" si="5"/>
        <v>0</v>
      </c>
    </row>
    <row r="139" ht="15.75" customHeight="1">
      <c r="F139" s="664"/>
      <c r="I139" s="665"/>
      <c r="M139" s="389" t="str">
        <f>IF('Bản đồ công việc'!X155="","",'Bản đồ công việc'!W155)</f>
        <v/>
      </c>
      <c r="N139" s="389" t="str">
        <f>IF('Bản đồ công việc'!X155="","",'Bản đồ công việc'!X155)</f>
        <v/>
      </c>
      <c r="O139" s="389" t="str">
        <f>IF('Bản đồ công việc'!X155="","",'Bản đồ công việc'!Y155)</f>
        <v/>
      </c>
      <c r="P139" s="389" t="str">
        <f>IF('Bản đồ công việc'!X155="","",'Bản đồ công việc'!V155)</f>
        <v/>
      </c>
      <c r="Q139" s="389" t="str">
        <f>IF('Bản đồ công việc'!X155="","",'Bản đồ công việc'!AC155)</f>
        <v/>
      </c>
      <c r="R139" s="389" t="str">
        <f>IF('Bản đồ công việc'!X155="","",'Bản đồ công việc'!AD155)</f>
        <v/>
      </c>
      <c r="S139" s="389" t="str">
        <f>IF('Bản đồ công việc'!X155="","",'Bản đồ công việc'!Z155)</f>
        <v/>
      </c>
      <c r="T139" s="389" t="str">
        <f>IF('Bản đồ công việc'!X155="","",'Bản đồ công việc'!AA155)</f>
        <v/>
      </c>
      <c r="U139" s="389" t="str">
        <f>IF('Bản đồ công việc'!X155="","",'Bản đồ công việc'!AE155)</f>
        <v/>
      </c>
      <c r="V139" s="389" t="str">
        <f>IF('Bản đồ công việc'!X155="","",'Bản đồ công việc'!AI155)</f>
        <v/>
      </c>
      <c r="W139" s="389">
        <f t="shared" si="2"/>
        <v>0</v>
      </c>
      <c r="X139" s="389" t="str">
        <f t="shared" si="3"/>
        <v/>
      </c>
      <c r="Y139" s="389" t="str">
        <f t="shared" ref="Y139:Z139" si="135">IFERROR(INDEX($O$8:$O$684,MATCH(X139,$N$8:$N$684,0)),"")</f>
        <v/>
      </c>
      <c r="Z139" s="389" t="str">
        <f t="shared" si="135"/>
        <v/>
      </c>
      <c r="AA139" s="389">
        <f t="shared" si="5"/>
        <v>0</v>
      </c>
    </row>
    <row r="140" ht="15.75" customHeight="1">
      <c r="F140" s="664"/>
      <c r="I140" s="665"/>
      <c r="M140" s="389" t="str">
        <f>IF('Bản đồ công việc'!X156="","",'Bản đồ công việc'!W156)</f>
        <v/>
      </c>
      <c r="N140" s="389" t="str">
        <f>IF('Bản đồ công việc'!X156="","",'Bản đồ công việc'!X156)</f>
        <v/>
      </c>
      <c r="O140" s="389" t="str">
        <f>IF('Bản đồ công việc'!X156="","",'Bản đồ công việc'!Y156)</f>
        <v/>
      </c>
      <c r="P140" s="389" t="str">
        <f>IF('Bản đồ công việc'!X156="","",'Bản đồ công việc'!V156)</f>
        <v/>
      </c>
      <c r="Q140" s="389" t="str">
        <f>IF('Bản đồ công việc'!X156="","",'Bản đồ công việc'!AC156)</f>
        <v/>
      </c>
      <c r="R140" s="389" t="str">
        <f>IF('Bản đồ công việc'!X156="","",'Bản đồ công việc'!AD156)</f>
        <v/>
      </c>
      <c r="S140" s="389" t="str">
        <f>IF('Bản đồ công việc'!X156="","",'Bản đồ công việc'!Z156)</f>
        <v/>
      </c>
      <c r="T140" s="389" t="str">
        <f>IF('Bản đồ công việc'!X156="","",'Bản đồ công việc'!AA156)</f>
        <v/>
      </c>
      <c r="U140" s="389" t="str">
        <f>IF('Bản đồ công việc'!X156="","",'Bản đồ công việc'!AE156)</f>
        <v/>
      </c>
      <c r="V140" s="389" t="str">
        <f>IF('Bản đồ công việc'!X156="","",'Bản đồ công việc'!AI156)</f>
        <v/>
      </c>
      <c r="W140" s="389">
        <f t="shared" si="2"/>
        <v>0</v>
      </c>
      <c r="X140" s="389" t="str">
        <f t="shared" si="3"/>
        <v/>
      </c>
      <c r="Y140" s="389" t="str">
        <f t="shared" ref="Y140:Z140" si="136">IFERROR(INDEX($O$8:$O$684,MATCH(X140,$N$8:$N$684,0)),"")</f>
        <v/>
      </c>
      <c r="Z140" s="389" t="str">
        <f t="shared" si="136"/>
        <v/>
      </c>
      <c r="AA140" s="389">
        <f t="shared" si="5"/>
        <v>0</v>
      </c>
    </row>
    <row r="141" ht="15.75" customHeight="1">
      <c r="F141" s="664"/>
      <c r="I141" s="665"/>
      <c r="M141" s="389" t="str">
        <f>IF('Bản đồ công việc'!X157="","",'Bản đồ công việc'!W157)</f>
        <v/>
      </c>
      <c r="N141" s="389" t="str">
        <f>IF('Bản đồ công việc'!X157="","",'Bản đồ công việc'!X157)</f>
        <v/>
      </c>
      <c r="O141" s="389" t="str">
        <f>IF('Bản đồ công việc'!X157="","",'Bản đồ công việc'!Y157)</f>
        <v/>
      </c>
      <c r="P141" s="389" t="str">
        <f>IF('Bản đồ công việc'!X157="","",'Bản đồ công việc'!V157)</f>
        <v/>
      </c>
      <c r="Q141" s="389" t="str">
        <f>IF('Bản đồ công việc'!X157="","",'Bản đồ công việc'!AC157)</f>
        <v/>
      </c>
      <c r="R141" s="389" t="str">
        <f>IF('Bản đồ công việc'!X157="","",'Bản đồ công việc'!AD157)</f>
        <v/>
      </c>
      <c r="S141" s="389" t="str">
        <f>IF('Bản đồ công việc'!X157="","",'Bản đồ công việc'!Z157)</f>
        <v/>
      </c>
      <c r="T141" s="389" t="str">
        <f>IF('Bản đồ công việc'!X157="","",'Bản đồ công việc'!AA157)</f>
        <v/>
      </c>
      <c r="U141" s="389" t="str">
        <f>IF('Bản đồ công việc'!X157="","",'Bản đồ công việc'!AE157)</f>
        <v/>
      </c>
      <c r="V141" s="389" t="str">
        <f>IF('Bản đồ công việc'!X157="","",'Bản đồ công việc'!AI157)</f>
        <v/>
      </c>
      <c r="W141" s="389">
        <f t="shared" si="2"/>
        <v>0</v>
      </c>
      <c r="X141" s="389" t="str">
        <f t="shared" si="3"/>
        <v/>
      </c>
      <c r="Y141" s="389" t="str">
        <f t="shared" ref="Y141:Z141" si="137">IFERROR(INDEX($O$8:$O$684,MATCH(X141,$N$8:$N$684,0)),"")</f>
        <v/>
      </c>
      <c r="Z141" s="389" t="str">
        <f t="shared" si="137"/>
        <v/>
      </c>
      <c r="AA141" s="389">
        <f t="shared" si="5"/>
        <v>0</v>
      </c>
    </row>
    <row r="142" ht="15.75" customHeight="1">
      <c r="F142" s="664"/>
      <c r="I142" s="665"/>
      <c r="M142" s="389" t="str">
        <f>IF('Bản đồ công việc'!X158="","",'Bản đồ công việc'!W158)</f>
        <v/>
      </c>
      <c r="N142" s="389" t="str">
        <f>IF('Bản đồ công việc'!X158="","",'Bản đồ công việc'!X158)</f>
        <v/>
      </c>
      <c r="O142" s="389" t="str">
        <f>IF('Bản đồ công việc'!X158="","",'Bản đồ công việc'!Y158)</f>
        <v/>
      </c>
      <c r="P142" s="389" t="str">
        <f>IF('Bản đồ công việc'!X158="","",'Bản đồ công việc'!V158)</f>
        <v/>
      </c>
      <c r="Q142" s="389" t="str">
        <f>IF('Bản đồ công việc'!X158="","",'Bản đồ công việc'!AC158)</f>
        <v/>
      </c>
      <c r="R142" s="389" t="str">
        <f>IF('Bản đồ công việc'!X158="","",'Bản đồ công việc'!AD158)</f>
        <v/>
      </c>
      <c r="S142" s="389" t="str">
        <f>IF('Bản đồ công việc'!X158="","",'Bản đồ công việc'!Z158)</f>
        <v/>
      </c>
      <c r="T142" s="389" t="str">
        <f>IF('Bản đồ công việc'!X158="","",'Bản đồ công việc'!AA158)</f>
        <v/>
      </c>
      <c r="U142" s="389" t="str">
        <f>IF('Bản đồ công việc'!X158="","",'Bản đồ công việc'!AE158)</f>
        <v/>
      </c>
      <c r="V142" s="389" t="str">
        <f>IF('Bản đồ công việc'!X158="","",'Bản đồ công việc'!AI158)</f>
        <v/>
      </c>
      <c r="W142" s="389">
        <f t="shared" si="2"/>
        <v>0</v>
      </c>
      <c r="X142" s="389" t="str">
        <f t="shared" si="3"/>
        <v/>
      </c>
      <c r="Y142" s="389" t="str">
        <f t="shared" ref="Y142:Z142" si="138">IFERROR(INDEX($O$8:$O$684,MATCH(X142,$N$8:$N$684,0)),"")</f>
        <v/>
      </c>
      <c r="Z142" s="389" t="str">
        <f t="shared" si="138"/>
        <v/>
      </c>
      <c r="AA142" s="389">
        <f t="shared" si="5"/>
        <v>0</v>
      </c>
    </row>
    <row r="143" ht="15.75" customHeight="1">
      <c r="F143" s="664"/>
      <c r="I143" s="665"/>
      <c r="M143" s="389" t="str">
        <f>IF('Bản đồ công việc'!X159="","",'Bản đồ công việc'!W159)</f>
        <v/>
      </c>
      <c r="N143" s="389" t="str">
        <f>IF('Bản đồ công việc'!X159="","",'Bản đồ công việc'!X159)</f>
        <v/>
      </c>
      <c r="O143" s="389" t="str">
        <f>IF('Bản đồ công việc'!X159="","",'Bản đồ công việc'!Y159)</f>
        <v/>
      </c>
      <c r="P143" s="389" t="str">
        <f>IF('Bản đồ công việc'!X159="","",'Bản đồ công việc'!V159)</f>
        <v/>
      </c>
      <c r="Q143" s="389" t="str">
        <f>IF('Bản đồ công việc'!X159="","",'Bản đồ công việc'!AC159)</f>
        <v/>
      </c>
      <c r="R143" s="389" t="str">
        <f>IF('Bản đồ công việc'!X159="","",'Bản đồ công việc'!AD159)</f>
        <v/>
      </c>
      <c r="S143" s="389" t="str">
        <f>IF('Bản đồ công việc'!X159="","",'Bản đồ công việc'!Z159)</f>
        <v/>
      </c>
      <c r="T143" s="389" t="str">
        <f>IF('Bản đồ công việc'!X159="","",'Bản đồ công việc'!AA159)</f>
        <v/>
      </c>
      <c r="U143" s="389" t="str">
        <f>IF('Bản đồ công việc'!X159="","",'Bản đồ công việc'!AE159)</f>
        <v/>
      </c>
      <c r="V143" s="389" t="str">
        <f>IF('Bản đồ công việc'!X159="","",'Bản đồ công việc'!AI159)</f>
        <v/>
      </c>
      <c r="W143" s="389">
        <f t="shared" si="2"/>
        <v>0</v>
      </c>
      <c r="X143" s="389" t="str">
        <f t="shared" si="3"/>
        <v/>
      </c>
      <c r="Y143" s="389" t="str">
        <f t="shared" ref="Y143:Z143" si="139">IFERROR(INDEX($O$8:$O$684,MATCH(X143,$N$8:$N$684,0)),"")</f>
        <v/>
      </c>
      <c r="Z143" s="389" t="str">
        <f t="shared" si="139"/>
        <v/>
      </c>
      <c r="AA143" s="389">
        <f t="shared" si="5"/>
        <v>0</v>
      </c>
    </row>
    <row r="144" ht="15.75" customHeight="1">
      <c r="F144" s="664"/>
      <c r="I144" s="665"/>
      <c r="M144" s="389" t="str">
        <f>IF('Bản đồ công việc'!X160="","",'Bản đồ công việc'!W160)</f>
        <v/>
      </c>
      <c r="N144" s="389" t="str">
        <f>IF('Bản đồ công việc'!X160="","",'Bản đồ công việc'!X160)</f>
        <v/>
      </c>
      <c r="O144" s="389" t="str">
        <f>IF('Bản đồ công việc'!X160="","",'Bản đồ công việc'!Y160)</f>
        <v/>
      </c>
      <c r="P144" s="389" t="str">
        <f>IF('Bản đồ công việc'!X160="","",'Bản đồ công việc'!V160)</f>
        <v/>
      </c>
      <c r="Q144" s="389" t="str">
        <f>IF('Bản đồ công việc'!X160="","",'Bản đồ công việc'!AC160)</f>
        <v/>
      </c>
      <c r="R144" s="389" t="str">
        <f>IF('Bản đồ công việc'!X160="","",'Bản đồ công việc'!AD160)</f>
        <v/>
      </c>
      <c r="S144" s="389" t="str">
        <f>IF('Bản đồ công việc'!X160="","",'Bản đồ công việc'!Z160)</f>
        <v/>
      </c>
      <c r="T144" s="389" t="str">
        <f>IF('Bản đồ công việc'!X160="","",'Bản đồ công việc'!AA160)</f>
        <v/>
      </c>
      <c r="U144" s="389" t="str">
        <f>IF('Bản đồ công việc'!X160="","",'Bản đồ công việc'!AE160)</f>
        <v/>
      </c>
      <c r="V144" s="389" t="str">
        <f>IF('Bản đồ công việc'!X160="","",'Bản đồ công việc'!AI160)</f>
        <v/>
      </c>
      <c r="W144" s="389">
        <f t="shared" si="2"/>
        <v>0</v>
      </c>
      <c r="X144" s="389" t="str">
        <f t="shared" si="3"/>
        <v/>
      </c>
      <c r="Y144" s="389" t="str">
        <f t="shared" ref="Y144:Z144" si="140">IFERROR(INDEX($O$8:$O$684,MATCH(X144,$N$8:$N$684,0)),"")</f>
        <v/>
      </c>
      <c r="Z144" s="389" t="str">
        <f t="shared" si="140"/>
        <v/>
      </c>
      <c r="AA144" s="389">
        <f t="shared" si="5"/>
        <v>0</v>
      </c>
    </row>
    <row r="145" ht="15.75" customHeight="1">
      <c r="F145" s="664"/>
      <c r="I145" s="665"/>
      <c r="M145" s="389" t="str">
        <f>IF('Bản đồ công việc'!X161="","",'Bản đồ công việc'!W161)</f>
        <v/>
      </c>
      <c r="N145" s="389" t="str">
        <f>IF('Bản đồ công việc'!X161="","",'Bản đồ công việc'!X161)</f>
        <v/>
      </c>
      <c r="O145" s="389" t="str">
        <f>IF('Bản đồ công việc'!X161="","",'Bản đồ công việc'!Y161)</f>
        <v/>
      </c>
      <c r="P145" s="389" t="str">
        <f>IF('Bản đồ công việc'!X161="","",'Bản đồ công việc'!V161)</f>
        <v/>
      </c>
      <c r="Q145" s="389" t="str">
        <f>IF('Bản đồ công việc'!X161="","",'Bản đồ công việc'!AC161)</f>
        <v/>
      </c>
      <c r="R145" s="389" t="str">
        <f>IF('Bản đồ công việc'!X161="","",'Bản đồ công việc'!AD161)</f>
        <v/>
      </c>
      <c r="S145" s="389" t="str">
        <f>IF('Bản đồ công việc'!X161="","",'Bản đồ công việc'!Z161)</f>
        <v/>
      </c>
      <c r="T145" s="389" t="str">
        <f>IF('Bản đồ công việc'!X161="","",'Bản đồ công việc'!AA161)</f>
        <v/>
      </c>
      <c r="U145" s="389" t="str">
        <f>IF('Bản đồ công việc'!X161="","",'Bản đồ công việc'!AE161)</f>
        <v/>
      </c>
      <c r="V145" s="389" t="str">
        <f>IF('Bản đồ công việc'!X161="","",'Bản đồ công việc'!AI161)</f>
        <v/>
      </c>
      <c r="W145" s="389">
        <f t="shared" si="2"/>
        <v>0</v>
      </c>
      <c r="X145" s="389" t="str">
        <f t="shared" si="3"/>
        <v/>
      </c>
      <c r="Y145" s="389" t="str">
        <f t="shared" ref="Y145:Z145" si="141">IFERROR(INDEX($O$8:$O$684,MATCH(X145,$N$8:$N$684,0)),"")</f>
        <v/>
      </c>
      <c r="Z145" s="389" t="str">
        <f t="shared" si="141"/>
        <v/>
      </c>
      <c r="AA145" s="389">
        <f t="shared" si="5"/>
        <v>0</v>
      </c>
    </row>
    <row r="146" ht="15.75" customHeight="1">
      <c r="F146" s="664"/>
      <c r="I146" s="665"/>
      <c r="M146" s="389" t="str">
        <f>IF('Bản đồ công việc'!X162="","",'Bản đồ công việc'!W162)</f>
        <v/>
      </c>
      <c r="N146" s="389" t="str">
        <f>IF('Bản đồ công việc'!X162="","",'Bản đồ công việc'!X162)</f>
        <v/>
      </c>
      <c r="O146" s="389" t="str">
        <f>IF('Bản đồ công việc'!X162="","",'Bản đồ công việc'!Y162)</f>
        <v/>
      </c>
      <c r="P146" s="389" t="str">
        <f>IF('Bản đồ công việc'!X162="","",'Bản đồ công việc'!V162)</f>
        <v/>
      </c>
      <c r="Q146" s="389" t="str">
        <f>IF('Bản đồ công việc'!X162="","",'Bản đồ công việc'!AC162)</f>
        <v/>
      </c>
      <c r="R146" s="389" t="str">
        <f>IF('Bản đồ công việc'!X162="","",'Bản đồ công việc'!AD162)</f>
        <v/>
      </c>
      <c r="S146" s="389" t="str">
        <f>IF('Bản đồ công việc'!X162="","",'Bản đồ công việc'!Z162)</f>
        <v/>
      </c>
      <c r="T146" s="389" t="str">
        <f>IF('Bản đồ công việc'!X162="","",'Bản đồ công việc'!AA162)</f>
        <v/>
      </c>
      <c r="U146" s="389" t="str">
        <f>IF('Bản đồ công việc'!X162="","",'Bản đồ công việc'!AE162)</f>
        <v/>
      </c>
      <c r="V146" s="389" t="str">
        <f>IF('Bản đồ công việc'!X162="","",'Bản đồ công việc'!AI162)</f>
        <v/>
      </c>
      <c r="W146" s="389">
        <f t="shared" si="2"/>
        <v>0</v>
      </c>
      <c r="X146" s="389" t="str">
        <f t="shared" si="3"/>
        <v/>
      </c>
      <c r="Y146" s="389" t="str">
        <f t="shared" ref="Y146:Z146" si="142">IFERROR(INDEX($O$8:$O$684,MATCH(X146,$N$8:$N$684,0)),"")</f>
        <v/>
      </c>
      <c r="Z146" s="389" t="str">
        <f t="shared" si="142"/>
        <v/>
      </c>
      <c r="AA146" s="389">
        <f t="shared" si="5"/>
        <v>0</v>
      </c>
    </row>
    <row r="147" ht="15.75" customHeight="1">
      <c r="F147" s="664"/>
      <c r="I147" s="665"/>
      <c r="M147" s="389" t="str">
        <f>IF('Bản đồ công việc'!X163="","",'Bản đồ công việc'!W163)</f>
        <v/>
      </c>
      <c r="N147" s="389" t="str">
        <f>IF('Bản đồ công việc'!X163="","",'Bản đồ công việc'!X163)</f>
        <v/>
      </c>
      <c r="O147" s="389" t="str">
        <f>IF('Bản đồ công việc'!X163="","",'Bản đồ công việc'!Y163)</f>
        <v/>
      </c>
      <c r="P147" s="389" t="str">
        <f>IF('Bản đồ công việc'!X163="","",'Bản đồ công việc'!V163)</f>
        <v/>
      </c>
      <c r="Q147" s="389" t="str">
        <f>IF('Bản đồ công việc'!X163="","",'Bản đồ công việc'!AC163)</f>
        <v/>
      </c>
      <c r="R147" s="389" t="str">
        <f>IF('Bản đồ công việc'!X163="","",'Bản đồ công việc'!AD163)</f>
        <v/>
      </c>
      <c r="S147" s="389" t="str">
        <f>IF('Bản đồ công việc'!X163="","",'Bản đồ công việc'!Z163)</f>
        <v/>
      </c>
      <c r="T147" s="389" t="str">
        <f>IF('Bản đồ công việc'!X163="","",'Bản đồ công việc'!AA163)</f>
        <v/>
      </c>
      <c r="U147" s="389" t="str">
        <f>IF('Bản đồ công việc'!X163="","",'Bản đồ công việc'!AE163)</f>
        <v/>
      </c>
      <c r="V147" s="389" t="str">
        <f>IF('Bản đồ công việc'!X163="","",'Bản đồ công việc'!AI163)</f>
        <v/>
      </c>
      <c r="W147" s="389">
        <f t="shared" si="2"/>
        <v>0</v>
      </c>
      <c r="X147" s="389" t="str">
        <f t="shared" si="3"/>
        <v/>
      </c>
      <c r="Y147" s="389" t="str">
        <f t="shared" ref="Y147:Z147" si="143">IFERROR(INDEX($O$8:$O$684,MATCH(X147,$N$8:$N$684,0)),"")</f>
        <v/>
      </c>
      <c r="Z147" s="389" t="str">
        <f t="shared" si="143"/>
        <v/>
      </c>
      <c r="AA147" s="389">
        <f t="shared" si="5"/>
        <v>0</v>
      </c>
    </row>
    <row r="148" ht="15.75" customHeight="1">
      <c r="F148" s="664"/>
      <c r="I148" s="665"/>
      <c r="M148" s="389" t="str">
        <f>IF('Bản đồ công việc'!X164="","",'Bản đồ công việc'!W164)</f>
        <v/>
      </c>
      <c r="N148" s="389" t="str">
        <f>IF('Bản đồ công việc'!X164="","",'Bản đồ công việc'!X164)</f>
        <v/>
      </c>
      <c r="O148" s="389" t="str">
        <f>IF('Bản đồ công việc'!X164="","",'Bản đồ công việc'!Y164)</f>
        <v/>
      </c>
      <c r="P148" s="389" t="str">
        <f>IF('Bản đồ công việc'!X164="","",'Bản đồ công việc'!V164)</f>
        <v/>
      </c>
      <c r="Q148" s="389" t="str">
        <f>IF('Bản đồ công việc'!X164="","",'Bản đồ công việc'!AC164)</f>
        <v/>
      </c>
      <c r="R148" s="389" t="str">
        <f>IF('Bản đồ công việc'!X164="","",'Bản đồ công việc'!AD164)</f>
        <v/>
      </c>
      <c r="S148" s="389" t="str">
        <f>IF('Bản đồ công việc'!X164="","",'Bản đồ công việc'!Z164)</f>
        <v/>
      </c>
      <c r="T148" s="389" t="str">
        <f>IF('Bản đồ công việc'!X164="","",'Bản đồ công việc'!AA164)</f>
        <v/>
      </c>
      <c r="U148" s="389" t="str">
        <f>IF('Bản đồ công việc'!X164="","",'Bản đồ công việc'!AE164)</f>
        <v/>
      </c>
      <c r="V148" s="389" t="str">
        <f>IF('Bản đồ công việc'!X164="","",'Bản đồ công việc'!AI164)</f>
        <v/>
      </c>
      <c r="W148" s="389">
        <f t="shared" si="2"/>
        <v>0</v>
      </c>
      <c r="X148" s="389" t="str">
        <f t="shared" si="3"/>
        <v/>
      </c>
      <c r="Y148" s="389" t="str">
        <f t="shared" ref="Y148:Z148" si="144">IFERROR(INDEX($O$8:$O$684,MATCH(X148,$N$8:$N$684,0)),"")</f>
        <v/>
      </c>
      <c r="Z148" s="389" t="str">
        <f t="shared" si="144"/>
        <v/>
      </c>
      <c r="AA148" s="389">
        <f t="shared" si="5"/>
        <v>0</v>
      </c>
    </row>
    <row r="149" ht="15.75" customHeight="1">
      <c r="F149" s="664"/>
      <c r="I149" s="665"/>
      <c r="M149" s="389" t="str">
        <f>IF('Bản đồ công việc'!X165="","",'Bản đồ công việc'!W165)</f>
        <v/>
      </c>
      <c r="N149" s="389" t="str">
        <f>IF('Bản đồ công việc'!X165="","",'Bản đồ công việc'!X165)</f>
        <v/>
      </c>
      <c r="O149" s="389" t="str">
        <f>IF('Bản đồ công việc'!X165="","",'Bản đồ công việc'!Y165)</f>
        <v/>
      </c>
      <c r="P149" s="389" t="str">
        <f>IF('Bản đồ công việc'!X165="","",'Bản đồ công việc'!V165)</f>
        <v/>
      </c>
      <c r="Q149" s="389" t="str">
        <f>IF('Bản đồ công việc'!X165="","",'Bản đồ công việc'!AC165)</f>
        <v/>
      </c>
      <c r="R149" s="389" t="str">
        <f>IF('Bản đồ công việc'!X165="","",'Bản đồ công việc'!AD165)</f>
        <v/>
      </c>
      <c r="S149" s="389" t="str">
        <f>IF('Bản đồ công việc'!X165="","",'Bản đồ công việc'!Z165)</f>
        <v/>
      </c>
      <c r="T149" s="389" t="str">
        <f>IF('Bản đồ công việc'!X165="","",'Bản đồ công việc'!AA165)</f>
        <v/>
      </c>
      <c r="U149" s="389" t="str">
        <f>IF('Bản đồ công việc'!X165="","",'Bản đồ công việc'!AE165)</f>
        <v/>
      </c>
      <c r="V149" s="389" t="str">
        <f>IF('Bản đồ công việc'!X165="","",'Bản đồ công việc'!AI165)</f>
        <v/>
      </c>
      <c r="W149" s="389">
        <f t="shared" si="2"/>
        <v>0</v>
      </c>
      <c r="X149" s="389" t="str">
        <f t="shared" si="3"/>
        <v/>
      </c>
      <c r="Y149" s="389" t="str">
        <f t="shared" ref="Y149:Z149" si="145">IFERROR(INDEX($O$8:$O$684,MATCH(X149,$N$8:$N$684,0)),"")</f>
        <v/>
      </c>
      <c r="Z149" s="389" t="str">
        <f t="shared" si="145"/>
        <v/>
      </c>
      <c r="AA149" s="389">
        <f t="shared" si="5"/>
        <v>0</v>
      </c>
    </row>
    <row r="150" ht="15.75" customHeight="1">
      <c r="F150" s="664"/>
      <c r="I150" s="665"/>
      <c r="M150" s="389" t="str">
        <f>IF('Bản đồ công việc'!X166="","",'Bản đồ công việc'!W166)</f>
        <v/>
      </c>
      <c r="N150" s="389" t="str">
        <f>IF('Bản đồ công việc'!X166="","",'Bản đồ công việc'!X166)</f>
        <v/>
      </c>
      <c r="O150" s="389" t="str">
        <f>IF('Bản đồ công việc'!X166="","",'Bản đồ công việc'!Y166)</f>
        <v/>
      </c>
      <c r="P150" s="389" t="str">
        <f>IF('Bản đồ công việc'!X166="","",'Bản đồ công việc'!V166)</f>
        <v/>
      </c>
      <c r="Q150" s="389" t="str">
        <f>IF('Bản đồ công việc'!X166="","",'Bản đồ công việc'!AC166)</f>
        <v/>
      </c>
      <c r="R150" s="389" t="str">
        <f>IF('Bản đồ công việc'!X166="","",'Bản đồ công việc'!AD166)</f>
        <v/>
      </c>
      <c r="S150" s="389" t="str">
        <f>IF('Bản đồ công việc'!X166="","",'Bản đồ công việc'!Z166)</f>
        <v/>
      </c>
      <c r="T150" s="389" t="str">
        <f>IF('Bản đồ công việc'!X166="","",'Bản đồ công việc'!AA166)</f>
        <v/>
      </c>
      <c r="U150" s="389" t="str">
        <f>IF('Bản đồ công việc'!X166="","",'Bản đồ công việc'!AE166)</f>
        <v/>
      </c>
      <c r="V150" s="389" t="str">
        <f>IF('Bản đồ công việc'!X166="","",'Bản đồ công việc'!AI166)</f>
        <v/>
      </c>
      <c r="W150" s="389">
        <f t="shared" si="2"/>
        <v>0</v>
      </c>
      <c r="X150" s="389" t="str">
        <f t="shared" si="3"/>
        <v/>
      </c>
      <c r="Y150" s="389" t="str">
        <f t="shared" ref="Y150:Z150" si="146">IFERROR(INDEX($O$8:$O$684,MATCH(X150,$N$8:$N$684,0)),"")</f>
        <v/>
      </c>
      <c r="Z150" s="389" t="str">
        <f t="shared" si="146"/>
        <v/>
      </c>
      <c r="AA150" s="389">
        <f t="shared" si="5"/>
        <v>0</v>
      </c>
    </row>
    <row r="151" ht="15.75" customHeight="1">
      <c r="F151" s="664"/>
      <c r="I151" s="665"/>
      <c r="M151" s="389" t="str">
        <f>IF('Bản đồ công việc'!X167="","",'Bản đồ công việc'!W167)</f>
        <v/>
      </c>
      <c r="N151" s="389" t="str">
        <f>IF('Bản đồ công việc'!X167="","",'Bản đồ công việc'!X167)</f>
        <v/>
      </c>
      <c r="O151" s="389" t="str">
        <f>IF('Bản đồ công việc'!X167="","",'Bản đồ công việc'!Y167)</f>
        <v/>
      </c>
      <c r="P151" s="389" t="str">
        <f>IF('Bản đồ công việc'!X167="","",'Bản đồ công việc'!V167)</f>
        <v/>
      </c>
      <c r="Q151" s="389" t="str">
        <f>IF('Bản đồ công việc'!X167="","",'Bản đồ công việc'!AC167)</f>
        <v/>
      </c>
      <c r="R151" s="389" t="str">
        <f>IF('Bản đồ công việc'!X167="","",'Bản đồ công việc'!AD167)</f>
        <v/>
      </c>
      <c r="S151" s="389" t="str">
        <f>IF('Bản đồ công việc'!X167="","",'Bản đồ công việc'!Z167)</f>
        <v/>
      </c>
      <c r="T151" s="389" t="str">
        <f>IF('Bản đồ công việc'!X167="","",'Bản đồ công việc'!AA167)</f>
        <v/>
      </c>
      <c r="U151" s="389" t="str">
        <f>IF('Bản đồ công việc'!X167="","",'Bản đồ công việc'!AE167)</f>
        <v/>
      </c>
      <c r="V151" s="389" t="str">
        <f>IF('Bản đồ công việc'!X167="","",'Bản đồ công việc'!AI167)</f>
        <v/>
      </c>
      <c r="W151" s="389">
        <f t="shared" si="2"/>
        <v>0</v>
      </c>
      <c r="X151" s="389" t="str">
        <f t="shared" si="3"/>
        <v/>
      </c>
      <c r="Y151" s="389" t="str">
        <f t="shared" ref="Y151:Z151" si="147">IFERROR(INDEX($O$8:$O$684,MATCH(X151,$N$8:$N$684,0)),"")</f>
        <v/>
      </c>
      <c r="Z151" s="389" t="str">
        <f t="shared" si="147"/>
        <v/>
      </c>
      <c r="AA151" s="389">
        <f t="shared" si="5"/>
        <v>0</v>
      </c>
    </row>
    <row r="152" ht="15.75" customHeight="1">
      <c r="F152" s="664"/>
      <c r="I152" s="665"/>
      <c r="M152" s="389" t="str">
        <f>IF('Bản đồ công việc'!X168="","",'Bản đồ công việc'!W168)</f>
        <v/>
      </c>
      <c r="N152" s="389" t="str">
        <f>IF('Bản đồ công việc'!X168="","",'Bản đồ công việc'!X168)</f>
        <v/>
      </c>
      <c r="O152" s="389" t="str">
        <f>IF('Bản đồ công việc'!X168="","",'Bản đồ công việc'!Y168)</f>
        <v/>
      </c>
      <c r="P152" s="389" t="str">
        <f>IF('Bản đồ công việc'!X168="","",'Bản đồ công việc'!V168)</f>
        <v/>
      </c>
      <c r="Q152" s="389" t="str">
        <f>IF('Bản đồ công việc'!X168="","",'Bản đồ công việc'!AC168)</f>
        <v/>
      </c>
      <c r="R152" s="389" t="str">
        <f>IF('Bản đồ công việc'!X168="","",'Bản đồ công việc'!AD168)</f>
        <v/>
      </c>
      <c r="S152" s="389" t="str">
        <f>IF('Bản đồ công việc'!X168="","",'Bản đồ công việc'!Z168)</f>
        <v/>
      </c>
      <c r="T152" s="389" t="str">
        <f>IF('Bản đồ công việc'!X168="","",'Bản đồ công việc'!AA168)</f>
        <v/>
      </c>
      <c r="U152" s="389" t="str">
        <f>IF('Bản đồ công việc'!X168="","",'Bản đồ công việc'!AE168)</f>
        <v/>
      </c>
      <c r="V152" s="389" t="str">
        <f>IF('Bản đồ công việc'!X168="","",'Bản đồ công việc'!AI168)</f>
        <v/>
      </c>
      <c r="W152" s="389">
        <f t="shared" si="2"/>
        <v>0</v>
      </c>
      <c r="X152" s="389" t="str">
        <f t="shared" si="3"/>
        <v/>
      </c>
      <c r="Y152" s="389" t="str">
        <f t="shared" ref="Y152:Z152" si="148">IFERROR(INDEX($O$8:$O$684,MATCH(X152,$N$8:$N$684,0)),"")</f>
        <v/>
      </c>
      <c r="Z152" s="389" t="str">
        <f t="shared" si="148"/>
        <v/>
      </c>
      <c r="AA152" s="389">
        <f t="shared" si="5"/>
        <v>0</v>
      </c>
    </row>
    <row r="153" ht="15.75" customHeight="1">
      <c r="F153" s="664"/>
      <c r="I153" s="665"/>
      <c r="M153" s="389" t="str">
        <f>IF('Bản đồ công việc'!X169="","",'Bản đồ công việc'!W169)</f>
        <v/>
      </c>
      <c r="N153" s="389" t="str">
        <f>IF('Bản đồ công việc'!X169="","",'Bản đồ công việc'!X169)</f>
        <v/>
      </c>
      <c r="O153" s="389" t="str">
        <f>IF('Bản đồ công việc'!X169="","",'Bản đồ công việc'!Y169)</f>
        <v/>
      </c>
      <c r="P153" s="389" t="str">
        <f>IF('Bản đồ công việc'!X169="","",'Bản đồ công việc'!V169)</f>
        <v/>
      </c>
      <c r="Q153" s="389" t="str">
        <f>IF('Bản đồ công việc'!X169="","",'Bản đồ công việc'!AC169)</f>
        <v/>
      </c>
      <c r="R153" s="389" t="str">
        <f>IF('Bản đồ công việc'!X169="","",'Bản đồ công việc'!AD169)</f>
        <v/>
      </c>
      <c r="S153" s="389" t="str">
        <f>IF('Bản đồ công việc'!X169="","",'Bản đồ công việc'!Z169)</f>
        <v/>
      </c>
      <c r="T153" s="389" t="str">
        <f>IF('Bản đồ công việc'!X169="","",'Bản đồ công việc'!AA169)</f>
        <v/>
      </c>
      <c r="U153" s="389" t="str">
        <f>IF('Bản đồ công việc'!X169="","",'Bản đồ công việc'!AE169)</f>
        <v/>
      </c>
      <c r="V153" s="389" t="str">
        <f>IF('Bản đồ công việc'!X169="","",'Bản đồ công việc'!AI169)</f>
        <v/>
      </c>
      <c r="W153" s="389">
        <f t="shared" si="2"/>
        <v>0</v>
      </c>
      <c r="X153" s="389" t="str">
        <f t="shared" si="3"/>
        <v/>
      </c>
      <c r="Y153" s="389" t="str">
        <f t="shared" ref="Y153:Z153" si="149">IFERROR(INDEX($O$8:$O$684,MATCH(X153,$N$8:$N$684,0)),"")</f>
        <v/>
      </c>
      <c r="Z153" s="389" t="str">
        <f t="shared" si="149"/>
        <v/>
      </c>
      <c r="AA153" s="389">
        <f t="shared" si="5"/>
        <v>0</v>
      </c>
    </row>
    <row r="154" ht="15.75" customHeight="1">
      <c r="F154" s="664"/>
      <c r="I154" s="665"/>
      <c r="M154" s="389" t="str">
        <f>IF('Bản đồ công việc'!X170="","",'Bản đồ công việc'!W170)</f>
        <v/>
      </c>
      <c r="N154" s="389" t="str">
        <f>IF('Bản đồ công việc'!X170="","",'Bản đồ công việc'!X170)</f>
        <v/>
      </c>
      <c r="O154" s="389" t="str">
        <f>IF('Bản đồ công việc'!X170="","",'Bản đồ công việc'!Y170)</f>
        <v/>
      </c>
      <c r="P154" s="389" t="str">
        <f>IF('Bản đồ công việc'!X170="","",'Bản đồ công việc'!V170)</f>
        <v/>
      </c>
      <c r="Q154" s="389" t="str">
        <f>IF('Bản đồ công việc'!X170="","",'Bản đồ công việc'!AC170)</f>
        <v/>
      </c>
      <c r="R154" s="389" t="str">
        <f>IF('Bản đồ công việc'!X170="","",'Bản đồ công việc'!AD170)</f>
        <v/>
      </c>
      <c r="S154" s="389" t="str">
        <f>IF('Bản đồ công việc'!X170="","",'Bản đồ công việc'!Z170)</f>
        <v/>
      </c>
      <c r="T154" s="389" t="str">
        <f>IF('Bản đồ công việc'!X170="","",'Bản đồ công việc'!AA170)</f>
        <v/>
      </c>
      <c r="U154" s="389" t="str">
        <f>IF('Bản đồ công việc'!X170="","",'Bản đồ công việc'!AE170)</f>
        <v/>
      </c>
      <c r="V154" s="389" t="str">
        <f>IF('Bản đồ công việc'!X170="","",'Bản đồ công việc'!AI170)</f>
        <v/>
      </c>
      <c r="W154" s="389">
        <f t="shared" si="2"/>
        <v>0</v>
      </c>
      <c r="X154" s="389" t="str">
        <f t="shared" si="3"/>
        <v/>
      </c>
      <c r="Y154" s="389" t="str">
        <f t="shared" ref="Y154:Z154" si="150">IFERROR(INDEX($O$8:$O$684,MATCH(X154,$N$8:$N$684,0)),"")</f>
        <v/>
      </c>
      <c r="Z154" s="389" t="str">
        <f t="shared" si="150"/>
        <v/>
      </c>
      <c r="AA154" s="389">
        <f t="shared" si="5"/>
        <v>0</v>
      </c>
    </row>
    <row r="155" ht="15.75" customHeight="1">
      <c r="F155" s="664"/>
      <c r="I155" s="665"/>
      <c r="M155" s="389" t="str">
        <f>IF('Bản đồ công việc'!X171="","",'Bản đồ công việc'!W171)</f>
        <v/>
      </c>
      <c r="N155" s="389" t="str">
        <f>IF('Bản đồ công việc'!X171="","",'Bản đồ công việc'!X171)</f>
        <v/>
      </c>
      <c r="O155" s="389" t="str">
        <f>IF('Bản đồ công việc'!X171="","",'Bản đồ công việc'!Y171)</f>
        <v/>
      </c>
      <c r="P155" s="389" t="str">
        <f>IF('Bản đồ công việc'!X171="","",'Bản đồ công việc'!V171)</f>
        <v/>
      </c>
      <c r="Q155" s="389" t="str">
        <f>IF('Bản đồ công việc'!X171="","",'Bản đồ công việc'!AC171)</f>
        <v/>
      </c>
      <c r="R155" s="389" t="str">
        <f>IF('Bản đồ công việc'!X171="","",'Bản đồ công việc'!AD171)</f>
        <v/>
      </c>
      <c r="S155" s="389" t="str">
        <f>IF('Bản đồ công việc'!X171="","",'Bản đồ công việc'!Z171)</f>
        <v/>
      </c>
      <c r="T155" s="389" t="str">
        <f>IF('Bản đồ công việc'!X171="","",'Bản đồ công việc'!AA171)</f>
        <v/>
      </c>
      <c r="U155" s="389" t="str">
        <f>IF('Bản đồ công việc'!X171="","",'Bản đồ công việc'!AE171)</f>
        <v/>
      </c>
      <c r="V155" s="389" t="str">
        <f>IF('Bản đồ công việc'!X171="","",'Bản đồ công việc'!AI171)</f>
        <v/>
      </c>
      <c r="W155" s="389">
        <f t="shared" si="2"/>
        <v>0</v>
      </c>
      <c r="X155" s="389" t="str">
        <f t="shared" si="3"/>
        <v/>
      </c>
      <c r="Y155" s="389" t="str">
        <f t="shared" ref="Y155:Z155" si="151">IFERROR(INDEX($O$8:$O$684,MATCH(X155,$N$8:$N$684,0)),"")</f>
        <v/>
      </c>
      <c r="Z155" s="389" t="str">
        <f t="shared" si="151"/>
        <v/>
      </c>
      <c r="AA155" s="389">
        <f t="shared" si="5"/>
        <v>0</v>
      </c>
    </row>
    <row r="156" ht="15.75" customHeight="1">
      <c r="F156" s="664"/>
      <c r="I156" s="665"/>
      <c r="M156" s="389" t="str">
        <f>IF('Bản đồ công việc'!X172="","",'Bản đồ công việc'!W172)</f>
        <v/>
      </c>
      <c r="N156" s="389" t="str">
        <f>IF('Bản đồ công việc'!X172="","",'Bản đồ công việc'!X172)</f>
        <v/>
      </c>
      <c r="O156" s="389" t="str">
        <f>IF('Bản đồ công việc'!X172="","",'Bản đồ công việc'!Y172)</f>
        <v/>
      </c>
      <c r="P156" s="389" t="str">
        <f>IF('Bản đồ công việc'!X172="","",'Bản đồ công việc'!V172)</f>
        <v/>
      </c>
      <c r="Q156" s="389" t="str">
        <f>IF('Bản đồ công việc'!X172="","",'Bản đồ công việc'!AC172)</f>
        <v/>
      </c>
      <c r="R156" s="389" t="str">
        <f>IF('Bản đồ công việc'!X172="","",'Bản đồ công việc'!AD172)</f>
        <v/>
      </c>
      <c r="S156" s="389" t="str">
        <f>IF('Bản đồ công việc'!X172="","",'Bản đồ công việc'!Z172)</f>
        <v/>
      </c>
      <c r="T156" s="389" t="str">
        <f>IF('Bản đồ công việc'!X172="","",'Bản đồ công việc'!AA172)</f>
        <v/>
      </c>
      <c r="U156" s="389" t="str">
        <f>IF('Bản đồ công việc'!X172="","",'Bản đồ công việc'!AE172)</f>
        <v/>
      </c>
      <c r="V156" s="389" t="str">
        <f>IF('Bản đồ công việc'!X172="","",'Bản đồ công việc'!AI172)</f>
        <v/>
      </c>
      <c r="W156" s="389">
        <f t="shared" si="2"/>
        <v>0</v>
      </c>
      <c r="X156" s="389" t="str">
        <f t="shared" si="3"/>
        <v/>
      </c>
      <c r="Y156" s="389" t="str">
        <f t="shared" ref="Y156:Z156" si="152">IFERROR(INDEX($O$8:$O$684,MATCH(X156,$N$8:$N$684,0)),"")</f>
        <v/>
      </c>
      <c r="Z156" s="389" t="str">
        <f t="shared" si="152"/>
        <v/>
      </c>
      <c r="AA156" s="389">
        <f t="shared" si="5"/>
        <v>0</v>
      </c>
    </row>
    <row r="157" ht="15.75" customHeight="1">
      <c r="F157" s="664"/>
      <c r="I157" s="665"/>
      <c r="M157" s="389" t="str">
        <f>IF('Bản đồ công việc'!X173="","",'Bản đồ công việc'!W173)</f>
        <v/>
      </c>
      <c r="N157" s="389" t="str">
        <f>IF('Bản đồ công việc'!X173="","",'Bản đồ công việc'!X173)</f>
        <v/>
      </c>
      <c r="O157" s="389" t="str">
        <f>IF('Bản đồ công việc'!X173="","",'Bản đồ công việc'!Y173)</f>
        <v/>
      </c>
      <c r="P157" s="389" t="str">
        <f>IF('Bản đồ công việc'!X173="","",'Bản đồ công việc'!V173)</f>
        <v/>
      </c>
      <c r="Q157" s="389" t="str">
        <f>IF('Bản đồ công việc'!X173="","",'Bản đồ công việc'!AC173)</f>
        <v/>
      </c>
      <c r="R157" s="389" t="str">
        <f>IF('Bản đồ công việc'!X173="","",'Bản đồ công việc'!AD173)</f>
        <v/>
      </c>
      <c r="S157" s="389" t="str">
        <f>IF('Bản đồ công việc'!X173="","",'Bản đồ công việc'!Z173)</f>
        <v/>
      </c>
      <c r="T157" s="389" t="str">
        <f>IF('Bản đồ công việc'!X173="","",'Bản đồ công việc'!AA173)</f>
        <v/>
      </c>
      <c r="U157" s="389" t="str">
        <f>IF('Bản đồ công việc'!X173="","",'Bản đồ công việc'!AE173)</f>
        <v/>
      </c>
      <c r="V157" s="389" t="str">
        <f>IF('Bản đồ công việc'!X173="","",'Bản đồ công việc'!AI173)</f>
        <v/>
      </c>
      <c r="W157" s="389">
        <f t="shared" si="2"/>
        <v>0</v>
      </c>
      <c r="X157" s="389" t="str">
        <f t="shared" si="3"/>
        <v/>
      </c>
      <c r="Y157" s="389" t="str">
        <f t="shared" ref="Y157:Z157" si="153">IFERROR(INDEX($O$8:$O$684,MATCH(X157,$N$8:$N$684,0)),"")</f>
        <v/>
      </c>
      <c r="Z157" s="389" t="str">
        <f t="shared" si="153"/>
        <v/>
      </c>
      <c r="AA157" s="389">
        <f t="shared" si="5"/>
        <v>0</v>
      </c>
    </row>
    <row r="158" ht="15.75" customHeight="1">
      <c r="F158" s="664"/>
      <c r="I158" s="665"/>
      <c r="M158" s="389" t="str">
        <f>IF('Bản đồ công việc'!X174="","",'Bản đồ công việc'!W174)</f>
        <v/>
      </c>
      <c r="N158" s="389" t="str">
        <f>IF('Bản đồ công việc'!X174="","",'Bản đồ công việc'!X174)</f>
        <v/>
      </c>
      <c r="O158" s="389" t="str">
        <f>IF('Bản đồ công việc'!X174="","",'Bản đồ công việc'!Y174)</f>
        <v/>
      </c>
      <c r="P158" s="389" t="str">
        <f>IF('Bản đồ công việc'!X174="","",'Bản đồ công việc'!V174)</f>
        <v/>
      </c>
      <c r="Q158" s="389" t="str">
        <f>IF('Bản đồ công việc'!X174="","",'Bản đồ công việc'!AC174)</f>
        <v/>
      </c>
      <c r="R158" s="389" t="str">
        <f>IF('Bản đồ công việc'!X174="","",'Bản đồ công việc'!AD174)</f>
        <v/>
      </c>
      <c r="S158" s="389" t="str">
        <f>IF('Bản đồ công việc'!X174="","",'Bản đồ công việc'!Z174)</f>
        <v/>
      </c>
      <c r="T158" s="389" t="str">
        <f>IF('Bản đồ công việc'!X174="","",'Bản đồ công việc'!AA174)</f>
        <v/>
      </c>
      <c r="U158" s="389" t="str">
        <f>IF('Bản đồ công việc'!X174="","",'Bản đồ công việc'!AE174)</f>
        <v/>
      </c>
      <c r="V158" s="389" t="str">
        <f>IF('Bản đồ công việc'!X174="","",'Bản đồ công việc'!AI174)</f>
        <v/>
      </c>
      <c r="W158" s="389">
        <f t="shared" si="2"/>
        <v>0</v>
      </c>
      <c r="X158" s="389" t="str">
        <f t="shared" si="3"/>
        <v/>
      </c>
      <c r="Y158" s="389" t="str">
        <f t="shared" ref="Y158:Z158" si="154">IFERROR(INDEX($O$8:$O$684,MATCH(X158,$N$8:$N$684,0)),"")</f>
        <v/>
      </c>
      <c r="Z158" s="389" t="str">
        <f t="shared" si="154"/>
        <v/>
      </c>
      <c r="AA158" s="389">
        <f t="shared" si="5"/>
        <v>0</v>
      </c>
    </row>
    <row r="159" ht="15.75" customHeight="1">
      <c r="F159" s="664"/>
      <c r="I159" s="665"/>
      <c r="M159" s="389" t="str">
        <f>IF('Bản đồ công việc'!X175="","",'Bản đồ công việc'!W175)</f>
        <v/>
      </c>
      <c r="N159" s="389" t="str">
        <f>IF('Bản đồ công việc'!X175="","",'Bản đồ công việc'!X175)</f>
        <v/>
      </c>
      <c r="O159" s="389" t="str">
        <f>IF('Bản đồ công việc'!X175="","",'Bản đồ công việc'!Y175)</f>
        <v/>
      </c>
      <c r="P159" s="389" t="str">
        <f>IF('Bản đồ công việc'!X175="","",'Bản đồ công việc'!V175)</f>
        <v/>
      </c>
      <c r="Q159" s="389" t="str">
        <f>IF('Bản đồ công việc'!X175="","",'Bản đồ công việc'!AC175)</f>
        <v/>
      </c>
      <c r="R159" s="389" t="str">
        <f>IF('Bản đồ công việc'!X175="","",'Bản đồ công việc'!AD175)</f>
        <v/>
      </c>
      <c r="S159" s="389" t="str">
        <f>IF('Bản đồ công việc'!X175="","",'Bản đồ công việc'!Z175)</f>
        <v/>
      </c>
      <c r="T159" s="389" t="str">
        <f>IF('Bản đồ công việc'!X175="","",'Bản đồ công việc'!AA175)</f>
        <v/>
      </c>
      <c r="U159" s="389" t="str">
        <f>IF('Bản đồ công việc'!X175="","",'Bản đồ công việc'!AE175)</f>
        <v/>
      </c>
      <c r="V159" s="389" t="str">
        <f>IF('Bản đồ công việc'!X175="","",'Bản đồ công việc'!AI175)</f>
        <v/>
      </c>
      <c r="W159" s="389">
        <f t="shared" si="2"/>
        <v>0</v>
      </c>
      <c r="X159" s="389" t="str">
        <f t="shared" si="3"/>
        <v/>
      </c>
      <c r="Y159" s="389" t="str">
        <f t="shared" ref="Y159:Z159" si="155">IFERROR(INDEX($O$8:$O$684,MATCH(X159,$N$8:$N$684,0)),"")</f>
        <v/>
      </c>
      <c r="Z159" s="389" t="str">
        <f t="shared" si="155"/>
        <v/>
      </c>
      <c r="AA159" s="389">
        <f t="shared" si="5"/>
        <v>0</v>
      </c>
    </row>
    <row r="160" ht="15.75" customHeight="1">
      <c r="F160" s="664"/>
      <c r="I160" s="665"/>
      <c r="M160" s="389" t="str">
        <f>IF('Bản đồ công việc'!X176="","",'Bản đồ công việc'!W176)</f>
        <v/>
      </c>
      <c r="N160" s="389" t="str">
        <f>IF('Bản đồ công việc'!X176="","",'Bản đồ công việc'!X176)</f>
        <v/>
      </c>
      <c r="O160" s="389" t="str">
        <f>IF('Bản đồ công việc'!X176="","",'Bản đồ công việc'!Y176)</f>
        <v/>
      </c>
      <c r="P160" s="389" t="str">
        <f>IF('Bản đồ công việc'!X176="","",'Bản đồ công việc'!V176)</f>
        <v/>
      </c>
      <c r="Q160" s="389" t="str">
        <f>IF('Bản đồ công việc'!X176="","",'Bản đồ công việc'!AC176)</f>
        <v/>
      </c>
      <c r="R160" s="389" t="str">
        <f>IF('Bản đồ công việc'!X176="","",'Bản đồ công việc'!AD176)</f>
        <v/>
      </c>
      <c r="S160" s="389" t="str">
        <f>IF('Bản đồ công việc'!X176="","",'Bản đồ công việc'!Z176)</f>
        <v/>
      </c>
      <c r="T160" s="389" t="str">
        <f>IF('Bản đồ công việc'!X176="","",'Bản đồ công việc'!AA176)</f>
        <v/>
      </c>
      <c r="U160" s="389" t="str">
        <f>IF('Bản đồ công việc'!X176="","",'Bản đồ công việc'!AE176)</f>
        <v/>
      </c>
      <c r="V160" s="389" t="str">
        <f>IF('Bản đồ công việc'!X176="","",'Bản đồ công việc'!AI176)</f>
        <v/>
      </c>
      <c r="W160" s="389">
        <f t="shared" si="2"/>
        <v>0</v>
      </c>
      <c r="X160" s="389" t="str">
        <f t="shared" si="3"/>
        <v/>
      </c>
      <c r="Y160" s="389" t="str">
        <f t="shared" ref="Y160:Z160" si="156">IFERROR(INDEX($O$8:$O$684,MATCH(X160,$N$8:$N$684,0)),"")</f>
        <v/>
      </c>
      <c r="Z160" s="389" t="str">
        <f t="shared" si="156"/>
        <v/>
      </c>
      <c r="AA160" s="389">
        <f t="shared" si="5"/>
        <v>0</v>
      </c>
    </row>
    <row r="161" ht="15.75" customHeight="1">
      <c r="F161" s="664"/>
      <c r="I161" s="665"/>
      <c r="M161" s="389" t="str">
        <f>IF('Bản đồ công việc'!X177="","",'Bản đồ công việc'!W177)</f>
        <v/>
      </c>
      <c r="N161" s="389" t="str">
        <f>IF('Bản đồ công việc'!X177="","",'Bản đồ công việc'!X177)</f>
        <v/>
      </c>
      <c r="O161" s="389" t="str">
        <f>IF('Bản đồ công việc'!X177="","",'Bản đồ công việc'!Y177)</f>
        <v/>
      </c>
      <c r="P161" s="389" t="str">
        <f>IF('Bản đồ công việc'!X177="","",'Bản đồ công việc'!V177)</f>
        <v/>
      </c>
      <c r="Q161" s="389" t="str">
        <f>IF('Bản đồ công việc'!X177="","",'Bản đồ công việc'!AC177)</f>
        <v/>
      </c>
      <c r="R161" s="389" t="str">
        <f>IF('Bản đồ công việc'!X177="","",'Bản đồ công việc'!AD177)</f>
        <v/>
      </c>
      <c r="S161" s="389" t="str">
        <f>IF('Bản đồ công việc'!X177="","",'Bản đồ công việc'!Z177)</f>
        <v/>
      </c>
      <c r="T161" s="389" t="str">
        <f>IF('Bản đồ công việc'!X177="","",'Bản đồ công việc'!AA177)</f>
        <v/>
      </c>
      <c r="U161" s="389" t="str">
        <f>IF('Bản đồ công việc'!X177="","",'Bản đồ công việc'!AE177)</f>
        <v/>
      </c>
      <c r="V161" s="389" t="str">
        <f>IF('Bản đồ công việc'!X177="","",'Bản đồ công việc'!AI177)</f>
        <v/>
      </c>
      <c r="W161" s="389">
        <f t="shared" si="2"/>
        <v>0</v>
      </c>
      <c r="X161" s="389" t="str">
        <f t="shared" si="3"/>
        <v/>
      </c>
      <c r="Y161" s="389" t="str">
        <f t="shared" ref="Y161:Z161" si="157">IFERROR(INDEX($O$8:$O$684,MATCH(X161,$N$8:$N$684,0)),"")</f>
        <v/>
      </c>
      <c r="Z161" s="389" t="str">
        <f t="shared" si="157"/>
        <v/>
      </c>
      <c r="AA161" s="389">
        <f t="shared" si="5"/>
        <v>0</v>
      </c>
    </row>
    <row r="162" ht="15.75" customHeight="1">
      <c r="F162" s="664"/>
      <c r="I162" s="665"/>
      <c r="M162" s="389" t="str">
        <f>IF('Bản đồ công việc'!X178="","",'Bản đồ công việc'!W178)</f>
        <v/>
      </c>
      <c r="N162" s="389" t="str">
        <f>IF('Bản đồ công việc'!X178="","",'Bản đồ công việc'!X178)</f>
        <v/>
      </c>
      <c r="O162" s="389" t="str">
        <f>IF('Bản đồ công việc'!X178="","",'Bản đồ công việc'!Y178)</f>
        <v/>
      </c>
      <c r="P162" s="389" t="str">
        <f>IF('Bản đồ công việc'!X178="","",'Bản đồ công việc'!V178)</f>
        <v/>
      </c>
      <c r="Q162" s="389" t="str">
        <f>IF('Bản đồ công việc'!X178="","",'Bản đồ công việc'!AC178)</f>
        <v/>
      </c>
      <c r="R162" s="389" t="str">
        <f>IF('Bản đồ công việc'!X178="","",'Bản đồ công việc'!AD178)</f>
        <v/>
      </c>
      <c r="S162" s="389" t="str">
        <f>IF('Bản đồ công việc'!X178="","",'Bản đồ công việc'!Z178)</f>
        <v/>
      </c>
      <c r="T162" s="389" t="str">
        <f>IF('Bản đồ công việc'!X178="","",'Bản đồ công việc'!AA178)</f>
        <v/>
      </c>
      <c r="U162" s="389" t="str">
        <f>IF('Bản đồ công việc'!X178="","",'Bản đồ công việc'!AE178)</f>
        <v/>
      </c>
      <c r="V162" s="389" t="str">
        <f>IF('Bản đồ công việc'!X178="","",'Bản đồ công việc'!AI178)</f>
        <v/>
      </c>
      <c r="W162" s="389">
        <f t="shared" si="2"/>
        <v>0</v>
      </c>
      <c r="X162" s="389" t="str">
        <f t="shared" si="3"/>
        <v/>
      </c>
      <c r="Y162" s="389" t="str">
        <f t="shared" ref="Y162:Z162" si="158">IFERROR(INDEX($O$8:$O$684,MATCH(X162,$N$8:$N$684,0)),"")</f>
        <v/>
      </c>
      <c r="Z162" s="389" t="str">
        <f t="shared" si="158"/>
        <v/>
      </c>
      <c r="AA162" s="389">
        <f t="shared" si="5"/>
        <v>0</v>
      </c>
    </row>
    <row r="163" ht="15.75" customHeight="1">
      <c r="F163" s="664"/>
      <c r="I163" s="665"/>
      <c r="M163" s="389" t="str">
        <f>IF('Bản đồ công việc'!X179="","",'Bản đồ công việc'!W179)</f>
        <v/>
      </c>
      <c r="N163" s="389" t="str">
        <f>IF('Bản đồ công việc'!X179="","",'Bản đồ công việc'!X179)</f>
        <v/>
      </c>
      <c r="O163" s="389" t="str">
        <f>IF('Bản đồ công việc'!X179="","",'Bản đồ công việc'!Y179)</f>
        <v/>
      </c>
      <c r="P163" s="389" t="str">
        <f>IF('Bản đồ công việc'!X179="","",'Bản đồ công việc'!V179)</f>
        <v/>
      </c>
      <c r="Q163" s="389" t="str">
        <f>IF('Bản đồ công việc'!X179="","",'Bản đồ công việc'!AC179)</f>
        <v/>
      </c>
      <c r="R163" s="389" t="str">
        <f>IF('Bản đồ công việc'!X179="","",'Bản đồ công việc'!AD179)</f>
        <v/>
      </c>
      <c r="S163" s="389" t="str">
        <f>IF('Bản đồ công việc'!X179="","",'Bản đồ công việc'!Z179)</f>
        <v/>
      </c>
      <c r="T163" s="389" t="str">
        <f>IF('Bản đồ công việc'!X179="","",'Bản đồ công việc'!AA179)</f>
        <v/>
      </c>
      <c r="U163" s="389" t="str">
        <f>IF('Bản đồ công việc'!X179="","",'Bản đồ công việc'!AE179)</f>
        <v/>
      </c>
      <c r="V163" s="389" t="str">
        <f>IF('Bản đồ công việc'!X179="","",'Bản đồ công việc'!AI179)</f>
        <v/>
      </c>
      <c r="W163" s="389">
        <f t="shared" si="2"/>
        <v>0</v>
      </c>
      <c r="X163" s="389" t="str">
        <f t="shared" si="3"/>
        <v/>
      </c>
      <c r="Y163" s="389" t="str">
        <f t="shared" ref="Y163:Z163" si="159">IFERROR(INDEX($O$8:$O$684,MATCH(X163,$N$8:$N$684,0)),"")</f>
        <v/>
      </c>
      <c r="Z163" s="389" t="str">
        <f t="shared" si="159"/>
        <v/>
      </c>
      <c r="AA163" s="389">
        <f t="shared" si="5"/>
        <v>0</v>
      </c>
    </row>
    <row r="164" ht="15.75" customHeight="1">
      <c r="F164" s="664"/>
      <c r="I164" s="665"/>
      <c r="M164" s="389" t="str">
        <f>IF('Bản đồ công việc'!X180="","",'Bản đồ công việc'!W180)</f>
        <v/>
      </c>
      <c r="N164" s="389" t="str">
        <f>IF('Bản đồ công việc'!X180="","",'Bản đồ công việc'!X180)</f>
        <v/>
      </c>
      <c r="O164" s="389" t="str">
        <f>IF('Bản đồ công việc'!X180="","",'Bản đồ công việc'!Y180)</f>
        <v/>
      </c>
      <c r="P164" s="389" t="str">
        <f>IF('Bản đồ công việc'!X180="","",'Bản đồ công việc'!V180)</f>
        <v/>
      </c>
      <c r="Q164" s="389" t="str">
        <f>IF('Bản đồ công việc'!X180="","",'Bản đồ công việc'!AC180)</f>
        <v/>
      </c>
      <c r="R164" s="389" t="str">
        <f>IF('Bản đồ công việc'!X180="","",'Bản đồ công việc'!AD180)</f>
        <v/>
      </c>
      <c r="S164" s="389" t="str">
        <f>IF('Bản đồ công việc'!X180="","",'Bản đồ công việc'!Z180)</f>
        <v/>
      </c>
      <c r="T164" s="389" t="str">
        <f>IF('Bản đồ công việc'!X180="","",'Bản đồ công việc'!AA180)</f>
        <v/>
      </c>
      <c r="U164" s="389" t="str">
        <f>IF('Bản đồ công việc'!X180="","",'Bản đồ công việc'!AE180)</f>
        <v/>
      </c>
      <c r="V164" s="389" t="str">
        <f>IF('Bản đồ công việc'!X180="","",'Bản đồ công việc'!AI180)</f>
        <v/>
      </c>
      <c r="W164" s="389">
        <f t="shared" si="2"/>
        <v>0</v>
      </c>
      <c r="X164" s="389" t="str">
        <f t="shared" si="3"/>
        <v/>
      </c>
      <c r="Y164" s="389" t="str">
        <f t="shared" ref="Y164:Z164" si="160">IFERROR(INDEX($O$8:$O$684,MATCH(X164,$N$8:$N$684,0)),"")</f>
        <v/>
      </c>
      <c r="Z164" s="389" t="str">
        <f t="shared" si="160"/>
        <v/>
      </c>
      <c r="AA164" s="389">
        <f t="shared" si="5"/>
        <v>0</v>
      </c>
    </row>
    <row r="165" ht="15.75" customHeight="1">
      <c r="F165" s="664"/>
      <c r="I165" s="665"/>
      <c r="M165" s="389" t="str">
        <f>IF('Bản đồ công việc'!X181="","",'Bản đồ công việc'!W181)</f>
        <v/>
      </c>
      <c r="N165" s="389" t="str">
        <f>IF('Bản đồ công việc'!X181="","",'Bản đồ công việc'!X181)</f>
        <v/>
      </c>
      <c r="O165" s="389" t="str">
        <f>IF('Bản đồ công việc'!X181="","",'Bản đồ công việc'!Y181)</f>
        <v/>
      </c>
      <c r="P165" s="389" t="str">
        <f>IF('Bản đồ công việc'!X181="","",'Bản đồ công việc'!V181)</f>
        <v/>
      </c>
      <c r="Q165" s="389" t="str">
        <f>IF('Bản đồ công việc'!X181="","",'Bản đồ công việc'!AC181)</f>
        <v/>
      </c>
      <c r="R165" s="389" t="str">
        <f>IF('Bản đồ công việc'!X181="","",'Bản đồ công việc'!AD181)</f>
        <v/>
      </c>
      <c r="S165" s="389" t="str">
        <f>IF('Bản đồ công việc'!X181="","",'Bản đồ công việc'!Z181)</f>
        <v/>
      </c>
      <c r="T165" s="389" t="str">
        <f>IF('Bản đồ công việc'!X181="","",'Bản đồ công việc'!AA181)</f>
        <v/>
      </c>
      <c r="U165" s="389" t="str">
        <f>IF('Bản đồ công việc'!X181="","",'Bản đồ công việc'!AE181)</f>
        <v/>
      </c>
      <c r="V165" s="389" t="str">
        <f>IF('Bản đồ công việc'!X181="","",'Bản đồ công việc'!AI181)</f>
        <v/>
      </c>
      <c r="W165" s="389">
        <f t="shared" si="2"/>
        <v>0</v>
      </c>
      <c r="X165" s="389" t="str">
        <f t="shared" si="3"/>
        <v/>
      </c>
      <c r="Y165" s="389" t="str">
        <f t="shared" ref="Y165:Z165" si="161">IFERROR(INDEX($O$8:$O$684,MATCH(X165,$N$8:$N$684,0)),"")</f>
        <v/>
      </c>
      <c r="Z165" s="389" t="str">
        <f t="shared" si="161"/>
        <v/>
      </c>
      <c r="AA165" s="389">
        <f t="shared" si="5"/>
        <v>0</v>
      </c>
    </row>
    <row r="166" ht="15.75" customHeight="1">
      <c r="F166" s="664"/>
      <c r="I166" s="665"/>
      <c r="M166" s="389" t="str">
        <f>IF('Bản đồ công việc'!X182="","",'Bản đồ công việc'!W182)</f>
        <v/>
      </c>
      <c r="N166" s="389" t="str">
        <f>IF('Bản đồ công việc'!X182="","",'Bản đồ công việc'!X182)</f>
        <v/>
      </c>
      <c r="O166" s="389" t="str">
        <f>IF('Bản đồ công việc'!X182="","",'Bản đồ công việc'!Y182)</f>
        <v/>
      </c>
      <c r="P166" s="389" t="str">
        <f>IF('Bản đồ công việc'!X182="","",'Bản đồ công việc'!V182)</f>
        <v/>
      </c>
      <c r="Q166" s="389" t="str">
        <f>IF('Bản đồ công việc'!X182="","",'Bản đồ công việc'!AC182)</f>
        <v/>
      </c>
      <c r="R166" s="389" t="str">
        <f>IF('Bản đồ công việc'!X182="","",'Bản đồ công việc'!AD182)</f>
        <v/>
      </c>
      <c r="S166" s="389" t="str">
        <f>IF('Bản đồ công việc'!X182="","",'Bản đồ công việc'!Z182)</f>
        <v/>
      </c>
      <c r="T166" s="389" t="str">
        <f>IF('Bản đồ công việc'!X182="","",'Bản đồ công việc'!AA182)</f>
        <v/>
      </c>
      <c r="U166" s="389" t="str">
        <f>IF('Bản đồ công việc'!X182="","",'Bản đồ công việc'!AE182)</f>
        <v/>
      </c>
      <c r="V166" s="389" t="str">
        <f>IF('Bản đồ công việc'!X182="","",'Bản đồ công việc'!AI182)</f>
        <v/>
      </c>
      <c r="W166" s="389">
        <f t="shared" si="2"/>
        <v>0</v>
      </c>
      <c r="X166" s="389" t="str">
        <f t="shared" si="3"/>
        <v/>
      </c>
      <c r="Y166" s="389" t="str">
        <f t="shared" ref="Y166:Z166" si="162">IFERROR(INDEX($O$8:$O$684,MATCH(X166,$N$8:$N$684,0)),"")</f>
        <v/>
      </c>
      <c r="Z166" s="389" t="str">
        <f t="shared" si="162"/>
        <v/>
      </c>
      <c r="AA166" s="389">
        <f t="shared" si="5"/>
        <v>0</v>
      </c>
    </row>
    <row r="167" ht="15.75" customHeight="1">
      <c r="F167" s="664"/>
      <c r="I167" s="665"/>
      <c r="M167" s="389" t="str">
        <f>IF('Bản đồ công việc'!X183="","",'Bản đồ công việc'!W183)</f>
        <v/>
      </c>
      <c r="N167" s="389" t="str">
        <f>IF('Bản đồ công việc'!X183="","",'Bản đồ công việc'!X183)</f>
        <v/>
      </c>
      <c r="O167" s="389" t="str">
        <f>IF('Bản đồ công việc'!X183="","",'Bản đồ công việc'!Y183)</f>
        <v/>
      </c>
      <c r="P167" s="389" t="str">
        <f>IF('Bản đồ công việc'!X183="","",'Bản đồ công việc'!V183)</f>
        <v/>
      </c>
      <c r="Q167" s="389" t="str">
        <f>IF('Bản đồ công việc'!X183="","",'Bản đồ công việc'!AC183)</f>
        <v/>
      </c>
      <c r="R167" s="389" t="str">
        <f>IF('Bản đồ công việc'!X183="","",'Bản đồ công việc'!AD183)</f>
        <v/>
      </c>
      <c r="S167" s="389" t="str">
        <f>IF('Bản đồ công việc'!X183="","",'Bản đồ công việc'!Z183)</f>
        <v/>
      </c>
      <c r="T167" s="389" t="str">
        <f>IF('Bản đồ công việc'!X183="","",'Bản đồ công việc'!AA183)</f>
        <v/>
      </c>
      <c r="U167" s="389" t="str">
        <f>IF('Bản đồ công việc'!X183="","",'Bản đồ công việc'!AE183)</f>
        <v/>
      </c>
      <c r="V167" s="389" t="str">
        <f>IF('Bản đồ công việc'!X183="","",'Bản đồ công việc'!AI183)</f>
        <v/>
      </c>
      <c r="W167" s="389">
        <f t="shared" si="2"/>
        <v>0</v>
      </c>
      <c r="X167" s="389" t="str">
        <f t="shared" si="3"/>
        <v/>
      </c>
      <c r="Y167" s="389" t="str">
        <f t="shared" ref="Y167:Z167" si="163">IFERROR(INDEX($O$8:$O$684,MATCH(X167,$N$8:$N$684,0)),"")</f>
        <v/>
      </c>
      <c r="Z167" s="389" t="str">
        <f t="shared" si="163"/>
        <v/>
      </c>
      <c r="AA167" s="389">
        <f t="shared" si="5"/>
        <v>0</v>
      </c>
    </row>
    <row r="168" ht="15.75" customHeight="1">
      <c r="F168" s="664"/>
      <c r="I168" s="665"/>
      <c r="M168" s="389" t="str">
        <f>IF('Bản đồ công việc'!X184="","",'Bản đồ công việc'!W184)</f>
        <v/>
      </c>
      <c r="N168" s="389" t="str">
        <f>IF('Bản đồ công việc'!X184="","",'Bản đồ công việc'!X184)</f>
        <v/>
      </c>
      <c r="O168" s="389" t="str">
        <f>IF('Bản đồ công việc'!X184="","",'Bản đồ công việc'!Y184)</f>
        <v/>
      </c>
      <c r="P168" s="389" t="str">
        <f>IF('Bản đồ công việc'!X184="","",'Bản đồ công việc'!V184)</f>
        <v/>
      </c>
      <c r="Q168" s="389" t="str">
        <f>IF('Bản đồ công việc'!X184="","",'Bản đồ công việc'!AC184)</f>
        <v/>
      </c>
      <c r="R168" s="389" t="str">
        <f>IF('Bản đồ công việc'!X184="","",'Bản đồ công việc'!AD184)</f>
        <v/>
      </c>
      <c r="S168" s="389" t="str">
        <f>IF('Bản đồ công việc'!X184="","",'Bản đồ công việc'!Z184)</f>
        <v/>
      </c>
      <c r="T168" s="389" t="str">
        <f>IF('Bản đồ công việc'!X184="","",'Bản đồ công việc'!AA184)</f>
        <v/>
      </c>
      <c r="U168" s="389" t="str">
        <f>IF('Bản đồ công việc'!X184="","",'Bản đồ công việc'!AE184)</f>
        <v/>
      </c>
      <c r="V168" s="389" t="str">
        <f>IF('Bản đồ công việc'!X184="","",'Bản đồ công việc'!AI184)</f>
        <v/>
      </c>
      <c r="W168" s="389">
        <f t="shared" si="2"/>
        <v>0</v>
      </c>
      <c r="X168" s="389" t="str">
        <f t="shared" si="3"/>
        <v/>
      </c>
      <c r="Y168" s="389" t="str">
        <f t="shared" ref="Y168:Z168" si="164">IFERROR(INDEX($O$8:$O$684,MATCH(X168,$N$8:$N$684,0)),"")</f>
        <v/>
      </c>
      <c r="Z168" s="389" t="str">
        <f t="shared" si="164"/>
        <v/>
      </c>
      <c r="AA168" s="389">
        <f t="shared" si="5"/>
        <v>0</v>
      </c>
    </row>
    <row r="169" ht="15.75" customHeight="1">
      <c r="F169" s="664"/>
      <c r="I169" s="665"/>
      <c r="M169" s="389" t="str">
        <f>IF('Bản đồ công việc'!X185="","",'Bản đồ công việc'!W185)</f>
        <v/>
      </c>
      <c r="N169" s="389" t="str">
        <f>IF('Bản đồ công việc'!X185="","",'Bản đồ công việc'!X185)</f>
        <v/>
      </c>
      <c r="O169" s="389" t="str">
        <f>IF('Bản đồ công việc'!X185="","",'Bản đồ công việc'!Y185)</f>
        <v/>
      </c>
      <c r="P169" s="389" t="str">
        <f>IF('Bản đồ công việc'!X185="","",'Bản đồ công việc'!V185)</f>
        <v/>
      </c>
      <c r="Q169" s="389" t="str">
        <f>IF('Bản đồ công việc'!X185="","",'Bản đồ công việc'!AC185)</f>
        <v/>
      </c>
      <c r="R169" s="389" t="str">
        <f>IF('Bản đồ công việc'!X185="","",'Bản đồ công việc'!AD185)</f>
        <v/>
      </c>
      <c r="S169" s="389" t="str">
        <f>IF('Bản đồ công việc'!X185="","",'Bản đồ công việc'!Z185)</f>
        <v/>
      </c>
      <c r="T169" s="389" t="str">
        <f>IF('Bản đồ công việc'!X185="","",'Bản đồ công việc'!AA185)</f>
        <v/>
      </c>
      <c r="U169" s="389" t="str">
        <f>IF('Bản đồ công việc'!X185="","",'Bản đồ công việc'!AE185)</f>
        <v/>
      </c>
      <c r="V169" s="389" t="str">
        <f>IF('Bản đồ công việc'!X185="","",'Bản đồ công việc'!AI185)</f>
        <v/>
      </c>
      <c r="W169" s="389">
        <f t="shared" si="2"/>
        <v>0</v>
      </c>
      <c r="X169" s="389" t="str">
        <f t="shared" si="3"/>
        <v/>
      </c>
      <c r="Y169" s="389" t="str">
        <f t="shared" ref="Y169:Z169" si="165">IFERROR(INDEX($O$8:$O$684,MATCH(X169,$N$8:$N$684,0)),"")</f>
        <v/>
      </c>
      <c r="Z169" s="389" t="str">
        <f t="shared" si="165"/>
        <v/>
      </c>
      <c r="AA169" s="389">
        <f t="shared" si="5"/>
        <v>0</v>
      </c>
    </row>
    <row r="170" ht="15.75" customHeight="1">
      <c r="F170" s="664"/>
      <c r="I170" s="665"/>
      <c r="M170" s="389" t="str">
        <f>IF('Bản đồ công việc'!X186="","",'Bản đồ công việc'!W186)</f>
        <v/>
      </c>
      <c r="N170" s="389" t="str">
        <f>IF('Bản đồ công việc'!X186="","",'Bản đồ công việc'!X186)</f>
        <v/>
      </c>
      <c r="O170" s="389" t="str">
        <f>IF('Bản đồ công việc'!X186="","",'Bản đồ công việc'!Y186)</f>
        <v/>
      </c>
      <c r="P170" s="389" t="str">
        <f>IF('Bản đồ công việc'!X186="","",'Bản đồ công việc'!V186)</f>
        <v/>
      </c>
      <c r="Q170" s="389" t="str">
        <f>IF('Bản đồ công việc'!X186="","",'Bản đồ công việc'!AC186)</f>
        <v/>
      </c>
      <c r="R170" s="389" t="str">
        <f>IF('Bản đồ công việc'!X186="","",'Bản đồ công việc'!AD186)</f>
        <v/>
      </c>
      <c r="S170" s="389" t="str">
        <f>IF('Bản đồ công việc'!X186="","",'Bản đồ công việc'!Z186)</f>
        <v/>
      </c>
      <c r="T170" s="389" t="str">
        <f>IF('Bản đồ công việc'!X186="","",'Bản đồ công việc'!AA186)</f>
        <v/>
      </c>
      <c r="U170" s="389" t="str">
        <f>IF('Bản đồ công việc'!X186="","",'Bản đồ công việc'!AE186)</f>
        <v/>
      </c>
      <c r="V170" s="389" t="str">
        <f>IF('Bản đồ công việc'!X186="","",'Bản đồ công việc'!AI186)</f>
        <v/>
      </c>
      <c r="W170" s="389">
        <f t="shared" si="2"/>
        <v>0</v>
      </c>
      <c r="X170" s="389" t="str">
        <f t="shared" si="3"/>
        <v/>
      </c>
      <c r="Y170" s="389" t="str">
        <f t="shared" ref="Y170:Z170" si="166">IFERROR(INDEX($O$8:$O$684,MATCH(X170,$N$8:$N$684,0)),"")</f>
        <v/>
      </c>
      <c r="Z170" s="389" t="str">
        <f t="shared" si="166"/>
        <v/>
      </c>
      <c r="AA170" s="389">
        <f t="shared" si="5"/>
        <v>0</v>
      </c>
    </row>
    <row r="171" ht="15.75" customHeight="1">
      <c r="F171" s="664"/>
      <c r="I171" s="665"/>
      <c r="M171" s="389" t="str">
        <f>IF('Bản đồ công việc'!X187="","",'Bản đồ công việc'!W187)</f>
        <v/>
      </c>
      <c r="N171" s="389" t="str">
        <f>IF('Bản đồ công việc'!X187="","",'Bản đồ công việc'!X187)</f>
        <v/>
      </c>
      <c r="O171" s="389" t="str">
        <f>IF('Bản đồ công việc'!X187="","",'Bản đồ công việc'!Y187)</f>
        <v/>
      </c>
      <c r="P171" s="389" t="str">
        <f>IF('Bản đồ công việc'!X187="","",'Bản đồ công việc'!V187)</f>
        <v/>
      </c>
      <c r="Q171" s="389" t="str">
        <f>IF('Bản đồ công việc'!X187="","",'Bản đồ công việc'!AC187)</f>
        <v/>
      </c>
      <c r="R171" s="389" t="str">
        <f>IF('Bản đồ công việc'!X187="","",'Bản đồ công việc'!AD187)</f>
        <v/>
      </c>
      <c r="S171" s="389" t="str">
        <f>IF('Bản đồ công việc'!X187="","",'Bản đồ công việc'!Z187)</f>
        <v/>
      </c>
      <c r="T171" s="389" t="str">
        <f>IF('Bản đồ công việc'!X187="","",'Bản đồ công việc'!AA187)</f>
        <v/>
      </c>
      <c r="U171" s="389" t="str">
        <f>IF('Bản đồ công việc'!X187="","",'Bản đồ công việc'!AE187)</f>
        <v/>
      </c>
      <c r="V171" s="389" t="str">
        <f>IF('Bản đồ công việc'!X187="","",'Bản đồ công việc'!AI187)</f>
        <v/>
      </c>
      <c r="W171" s="389">
        <f t="shared" si="2"/>
        <v>0</v>
      </c>
      <c r="X171" s="389" t="str">
        <f t="shared" si="3"/>
        <v/>
      </c>
      <c r="Y171" s="389" t="str">
        <f t="shared" ref="Y171:Z171" si="167">IFERROR(INDEX($O$8:$O$684,MATCH(X171,$N$8:$N$684,0)),"")</f>
        <v/>
      </c>
      <c r="Z171" s="389" t="str">
        <f t="shared" si="167"/>
        <v/>
      </c>
      <c r="AA171" s="389">
        <f t="shared" si="5"/>
        <v>0</v>
      </c>
    </row>
    <row r="172" ht="15.75" customHeight="1">
      <c r="F172" s="664"/>
      <c r="I172" s="665"/>
      <c r="M172" s="389" t="str">
        <f>IF('Bản đồ công việc'!X188="","",'Bản đồ công việc'!W188)</f>
        <v/>
      </c>
      <c r="N172" s="389" t="str">
        <f>IF('Bản đồ công việc'!X188="","",'Bản đồ công việc'!X188)</f>
        <v/>
      </c>
      <c r="O172" s="389" t="str">
        <f>IF('Bản đồ công việc'!X188="","",'Bản đồ công việc'!Y188)</f>
        <v/>
      </c>
      <c r="P172" s="389" t="str">
        <f>IF('Bản đồ công việc'!X188="","",'Bản đồ công việc'!V188)</f>
        <v/>
      </c>
      <c r="Q172" s="389" t="str">
        <f>IF('Bản đồ công việc'!X188="","",'Bản đồ công việc'!AC188)</f>
        <v/>
      </c>
      <c r="R172" s="389" t="str">
        <f>IF('Bản đồ công việc'!X188="","",'Bản đồ công việc'!AD188)</f>
        <v/>
      </c>
      <c r="S172" s="389" t="str">
        <f>IF('Bản đồ công việc'!X188="","",'Bản đồ công việc'!Z188)</f>
        <v/>
      </c>
      <c r="T172" s="389" t="str">
        <f>IF('Bản đồ công việc'!X188="","",'Bản đồ công việc'!AA188)</f>
        <v/>
      </c>
      <c r="U172" s="389" t="str">
        <f>IF('Bản đồ công việc'!X188="","",'Bản đồ công việc'!AE188)</f>
        <v/>
      </c>
      <c r="V172" s="389" t="str">
        <f>IF('Bản đồ công việc'!X188="","",'Bản đồ công việc'!AI188)</f>
        <v/>
      </c>
      <c r="W172" s="389">
        <f t="shared" si="2"/>
        <v>0</v>
      </c>
      <c r="X172" s="389" t="str">
        <f t="shared" si="3"/>
        <v/>
      </c>
      <c r="Y172" s="389" t="str">
        <f t="shared" ref="Y172:Z172" si="168">IFERROR(INDEX($O$8:$O$684,MATCH(X172,$N$8:$N$684,0)),"")</f>
        <v/>
      </c>
      <c r="Z172" s="389" t="str">
        <f t="shared" si="168"/>
        <v/>
      </c>
      <c r="AA172" s="389">
        <f t="shared" si="5"/>
        <v>0</v>
      </c>
    </row>
    <row r="173" ht="15.75" customHeight="1">
      <c r="F173" s="664"/>
      <c r="I173" s="665"/>
      <c r="M173" s="389" t="str">
        <f>IF('Bản đồ công việc'!X189="","",'Bản đồ công việc'!W189)</f>
        <v/>
      </c>
      <c r="N173" s="389" t="str">
        <f>IF('Bản đồ công việc'!X189="","",'Bản đồ công việc'!X189)</f>
        <v/>
      </c>
      <c r="O173" s="389" t="str">
        <f>IF('Bản đồ công việc'!X189="","",'Bản đồ công việc'!Y189)</f>
        <v/>
      </c>
      <c r="P173" s="389" t="str">
        <f>IF('Bản đồ công việc'!X189="","",'Bản đồ công việc'!V189)</f>
        <v/>
      </c>
      <c r="Q173" s="389" t="str">
        <f>IF('Bản đồ công việc'!X189="","",'Bản đồ công việc'!AC189)</f>
        <v/>
      </c>
      <c r="R173" s="389" t="str">
        <f>IF('Bản đồ công việc'!X189="","",'Bản đồ công việc'!AD189)</f>
        <v/>
      </c>
      <c r="S173" s="389" t="str">
        <f>IF('Bản đồ công việc'!X189="","",'Bản đồ công việc'!Z189)</f>
        <v/>
      </c>
      <c r="T173" s="389" t="str">
        <f>IF('Bản đồ công việc'!X189="","",'Bản đồ công việc'!AA189)</f>
        <v/>
      </c>
      <c r="U173" s="389" t="str">
        <f>IF('Bản đồ công việc'!X189="","",'Bản đồ công việc'!AE189)</f>
        <v/>
      </c>
      <c r="V173" s="389" t="str">
        <f>IF('Bản đồ công việc'!X189="","",'Bản đồ công việc'!AI189)</f>
        <v/>
      </c>
      <c r="W173" s="389">
        <f t="shared" si="2"/>
        <v>0</v>
      </c>
      <c r="X173" s="389" t="str">
        <f t="shared" si="3"/>
        <v/>
      </c>
      <c r="Y173" s="389" t="str">
        <f t="shared" ref="Y173:Z173" si="169">IFERROR(INDEX($O$8:$O$684,MATCH(X173,$N$8:$N$684,0)),"")</f>
        <v/>
      </c>
      <c r="Z173" s="389" t="str">
        <f t="shared" si="169"/>
        <v/>
      </c>
      <c r="AA173" s="389">
        <f t="shared" si="5"/>
        <v>0</v>
      </c>
    </row>
    <row r="174" ht="15.75" customHeight="1">
      <c r="F174" s="664"/>
      <c r="I174" s="665"/>
      <c r="M174" s="389" t="str">
        <f>IF('Bản đồ công việc'!X190="","",'Bản đồ công việc'!W190)</f>
        <v/>
      </c>
      <c r="N174" s="389" t="str">
        <f>IF('Bản đồ công việc'!X190="","",'Bản đồ công việc'!X190)</f>
        <v/>
      </c>
      <c r="O174" s="389" t="str">
        <f>IF('Bản đồ công việc'!X190="","",'Bản đồ công việc'!Y190)</f>
        <v/>
      </c>
      <c r="P174" s="389" t="str">
        <f>IF('Bản đồ công việc'!X190="","",'Bản đồ công việc'!V190)</f>
        <v/>
      </c>
      <c r="Q174" s="389" t="str">
        <f>IF('Bản đồ công việc'!X190="","",'Bản đồ công việc'!AC190)</f>
        <v/>
      </c>
      <c r="R174" s="389" t="str">
        <f>IF('Bản đồ công việc'!X190="","",'Bản đồ công việc'!AD190)</f>
        <v/>
      </c>
      <c r="S174" s="389" t="str">
        <f>IF('Bản đồ công việc'!X190="","",'Bản đồ công việc'!Z190)</f>
        <v/>
      </c>
      <c r="T174" s="389" t="str">
        <f>IF('Bản đồ công việc'!X190="","",'Bản đồ công việc'!AA190)</f>
        <v/>
      </c>
      <c r="U174" s="389" t="str">
        <f>IF('Bản đồ công việc'!X190="","",'Bản đồ công việc'!AE190)</f>
        <v/>
      </c>
      <c r="V174" s="389" t="str">
        <f>IF('Bản đồ công việc'!X190="","",'Bản đồ công việc'!AI190)</f>
        <v/>
      </c>
      <c r="W174" s="389">
        <f t="shared" si="2"/>
        <v>0</v>
      </c>
      <c r="X174" s="389" t="str">
        <f t="shared" si="3"/>
        <v/>
      </c>
      <c r="Y174" s="389" t="str">
        <f t="shared" ref="Y174:Z174" si="170">IFERROR(INDEX($O$8:$O$684,MATCH(X174,$N$8:$N$684,0)),"")</f>
        <v/>
      </c>
      <c r="Z174" s="389" t="str">
        <f t="shared" si="170"/>
        <v/>
      </c>
      <c r="AA174" s="389">
        <f t="shared" si="5"/>
        <v>0</v>
      </c>
    </row>
    <row r="175" ht="15.75" customHeight="1">
      <c r="F175" s="664"/>
      <c r="I175" s="665"/>
      <c r="M175" s="389" t="str">
        <f>IF('Bản đồ công việc'!X191="","",'Bản đồ công việc'!W191)</f>
        <v/>
      </c>
      <c r="N175" s="389" t="str">
        <f>IF('Bản đồ công việc'!X191="","",'Bản đồ công việc'!X191)</f>
        <v/>
      </c>
      <c r="O175" s="389" t="str">
        <f>IF('Bản đồ công việc'!X191="","",'Bản đồ công việc'!Y191)</f>
        <v/>
      </c>
      <c r="P175" s="389" t="str">
        <f>IF('Bản đồ công việc'!X191="","",'Bản đồ công việc'!V191)</f>
        <v/>
      </c>
      <c r="Q175" s="389" t="str">
        <f>IF('Bản đồ công việc'!X191="","",'Bản đồ công việc'!AC191)</f>
        <v/>
      </c>
      <c r="R175" s="389" t="str">
        <f>IF('Bản đồ công việc'!X191="","",'Bản đồ công việc'!AD191)</f>
        <v/>
      </c>
      <c r="S175" s="389" t="str">
        <f>IF('Bản đồ công việc'!X191="","",'Bản đồ công việc'!Z191)</f>
        <v/>
      </c>
      <c r="T175" s="389" t="str">
        <f>IF('Bản đồ công việc'!X191="","",'Bản đồ công việc'!AA191)</f>
        <v/>
      </c>
      <c r="U175" s="389" t="str">
        <f>IF('Bản đồ công việc'!X191="","",'Bản đồ công việc'!AE191)</f>
        <v/>
      </c>
      <c r="V175" s="389" t="str">
        <f>IF('Bản đồ công việc'!X191="","",'Bản đồ công việc'!AI191)</f>
        <v/>
      </c>
      <c r="W175" s="389">
        <f t="shared" si="2"/>
        <v>0</v>
      </c>
      <c r="X175" s="389" t="str">
        <f t="shared" si="3"/>
        <v/>
      </c>
      <c r="Y175" s="389" t="str">
        <f t="shared" ref="Y175:Z175" si="171">IFERROR(INDEX($O$8:$O$684,MATCH(X175,$N$8:$N$684,0)),"")</f>
        <v/>
      </c>
      <c r="Z175" s="389" t="str">
        <f t="shared" si="171"/>
        <v/>
      </c>
      <c r="AA175" s="389">
        <f t="shared" si="5"/>
        <v>0</v>
      </c>
    </row>
    <row r="176" ht="15.75" customHeight="1">
      <c r="F176" s="664"/>
      <c r="I176" s="665"/>
      <c r="M176" s="389" t="str">
        <f>IF('Bản đồ công việc'!X192="","",'Bản đồ công việc'!W192)</f>
        <v/>
      </c>
      <c r="N176" s="389" t="str">
        <f>IF('Bản đồ công việc'!X192="","",'Bản đồ công việc'!X192)</f>
        <v/>
      </c>
      <c r="O176" s="389" t="str">
        <f>IF('Bản đồ công việc'!X192="","",'Bản đồ công việc'!Y192)</f>
        <v/>
      </c>
      <c r="P176" s="389" t="str">
        <f>IF('Bản đồ công việc'!X192="","",'Bản đồ công việc'!V192)</f>
        <v/>
      </c>
      <c r="Q176" s="389" t="str">
        <f>IF('Bản đồ công việc'!X192="","",'Bản đồ công việc'!AC192)</f>
        <v/>
      </c>
      <c r="R176" s="389" t="str">
        <f>IF('Bản đồ công việc'!X192="","",'Bản đồ công việc'!AD192)</f>
        <v/>
      </c>
      <c r="S176" s="389" t="str">
        <f>IF('Bản đồ công việc'!X192="","",'Bản đồ công việc'!Z192)</f>
        <v/>
      </c>
      <c r="T176" s="389" t="str">
        <f>IF('Bản đồ công việc'!X192="","",'Bản đồ công việc'!AA192)</f>
        <v/>
      </c>
      <c r="U176" s="389" t="str">
        <f>IF('Bản đồ công việc'!X192="","",'Bản đồ công việc'!AE192)</f>
        <v/>
      </c>
      <c r="V176" s="389" t="str">
        <f>IF('Bản đồ công việc'!X192="","",'Bản đồ công việc'!AI192)</f>
        <v/>
      </c>
      <c r="W176" s="389">
        <f t="shared" si="2"/>
        <v>0</v>
      </c>
      <c r="X176" s="389" t="str">
        <f t="shared" si="3"/>
        <v/>
      </c>
      <c r="Y176" s="389" t="str">
        <f t="shared" ref="Y176:Z176" si="172">IFERROR(INDEX($O$8:$O$684,MATCH(X176,$N$8:$N$684,0)),"")</f>
        <v/>
      </c>
      <c r="Z176" s="389" t="str">
        <f t="shared" si="172"/>
        <v/>
      </c>
      <c r="AA176" s="389">
        <f t="shared" si="5"/>
        <v>0</v>
      </c>
    </row>
    <row r="177" ht="15.75" customHeight="1">
      <c r="F177" s="664"/>
      <c r="I177" s="665"/>
      <c r="M177" s="389" t="str">
        <f>IF('Bản đồ công việc'!X193="","",'Bản đồ công việc'!W193)</f>
        <v/>
      </c>
      <c r="N177" s="389" t="str">
        <f>IF('Bản đồ công việc'!X193="","",'Bản đồ công việc'!X193)</f>
        <v/>
      </c>
      <c r="O177" s="389" t="str">
        <f>IF('Bản đồ công việc'!X193="","",'Bản đồ công việc'!Y193)</f>
        <v/>
      </c>
      <c r="P177" s="389" t="str">
        <f>IF('Bản đồ công việc'!X193="","",'Bản đồ công việc'!V193)</f>
        <v/>
      </c>
      <c r="Q177" s="389" t="str">
        <f>IF('Bản đồ công việc'!X193="","",'Bản đồ công việc'!AC193)</f>
        <v/>
      </c>
      <c r="R177" s="389" t="str">
        <f>IF('Bản đồ công việc'!X193="","",'Bản đồ công việc'!AD193)</f>
        <v/>
      </c>
      <c r="S177" s="389" t="str">
        <f>IF('Bản đồ công việc'!X193="","",'Bản đồ công việc'!Z193)</f>
        <v/>
      </c>
      <c r="T177" s="389" t="str">
        <f>IF('Bản đồ công việc'!X193="","",'Bản đồ công việc'!AA193)</f>
        <v/>
      </c>
      <c r="U177" s="389" t="str">
        <f>IF('Bản đồ công việc'!X193="","",'Bản đồ công việc'!AE193)</f>
        <v/>
      </c>
      <c r="V177" s="389" t="str">
        <f>IF('Bản đồ công việc'!X193="","",'Bản đồ công việc'!AI193)</f>
        <v/>
      </c>
      <c r="W177" s="389">
        <f t="shared" si="2"/>
        <v>0</v>
      </c>
      <c r="X177" s="389" t="str">
        <f t="shared" si="3"/>
        <v/>
      </c>
      <c r="Y177" s="389" t="str">
        <f t="shared" ref="Y177:Z177" si="173">IFERROR(INDEX($O$8:$O$684,MATCH(X177,$N$8:$N$684,0)),"")</f>
        <v/>
      </c>
      <c r="Z177" s="389" t="str">
        <f t="shared" si="173"/>
        <v/>
      </c>
      <c r="AA177" s="389">
        <f t="shared" si="5"/>
        <v>0</v>
      </c>
    </row>
    <row r="178" ht="15.75" customHeight="1">
      <c r="F178" s="664"/>
      <c r="I178" s="665"/>
      <c r="M178" s="389" t="str">
        <f>IF('Bản đồ công việc'!X194="","",'Bản đồ công việc'!W194)</f>
        <v/>
      </c>
      <c r="N178" s="389" t="str">
        <f>IF('Bản đồ công việc'!X194="","",'Bản đồ công việc'!X194)</f>
        <v/>
      </c>
      <c r="O178" s="389" t="str">
        <f>IF('Bản đồ công việc'!X194="","",'Bản đồ công việc'!Y194)</f>
        <v/>
      </c>
      <c r="P178" s="389" t="str">
        <f>IF('Bản đồ công việc'!X194="","",'Bản đồ công việc'!V194)</f>
        <v/>
      </c>
      <c r="Q178" s="389" t="str">
        <f>IF('Bản đồ công việc'!X194="","",'Bản đồ công việc'!AC194)</f>
        <v/>
      </c>
      <c r="R178" s="389" t="str">
        <f>IF('Bản đồ công việc'!X194="","",'Bản đồ công việc'!AD194)</f>
        <v/>
      </c>
      <c r="S178" s="389" t="str">
        <f>IF('Bản đồ công việc'!X194="","",'Bản đồ công việc'!Z194)</f>
        <v/>
      </c>
      <c r="T178" s="389" t="str">
        <f>IF('Bản đồ công việc'!X194="","",'Bản đồ công việc'!AA194)</f>
        <v/>
      </c>
      <c r="U178" s="389" t="str">
        <f>IF('Bản đồ công việc'!X194="","",'Bản đồ công việc'!AE194)</f>
        <v/>
      </c>
      <c r="V178" s="389" t="str">
        <f>IF('Bản đồ công việc'!X194="","",'Bản đồ công việc'!AI194)</f>
        <v/>
      </c>
      <c r="W178" s="389">
        <f t="shared" si="2"/>
        <v>0</v>
      </c>
      <c r="X178" s="389" t="str">
        <f t="shared" si="3"/>
        <v/>
      </c>
      <c r="Y178" s="389" t="str">
        <f t="shared" ref="Y178:Z178" si="174">IFERROR(INDEX($O$8:$O$684,MATCH(X178,$N$8:$N$684,0)),"")</f>
        <v/>
      </c>
      <c r="Z178" s="389" t="str">
        <f t="shared" si="174"/>
        <v/>
      </c>
      <c r="AA178" s="389">
        <f t="shared" si="5"/>
        <v>0</v>
      </c>
    </row>
    <row r="179" ht="15.75" customHeight="1">
      <c r="F179" s="664"/>
      <c r="I179" s="665"/>
      <c r="M179" s="389" t="str">
        <f>IF('Bản đồ công việc'!X195="","",'Bản đồ công việc'!W195)</f>
        <v/>
      </c>
      <c r="N179" s="389" t="str">
        <f>IF('Bản đồ công việc'!X195="","",'Bản đồ công việc'!X195)</f>
        <v/>
      </c>
      <c r="O179" s="389" t="str">
        <f>IF('Bản đồ công việc'!X195="","",'Bản đồ công việc'!Y195)</f>
        <v/>
      </c>
      <c r="P179" s="389" t="str">
        <f>IF('Bản đồ công việc'!X195="","",'Bản đồ công việc'!V195)</f>
        <v/>
      </c>
      <c r="Q179" s="389" t="str">
        <f>IF('Bản đồ công việc'!X195="","",'Bản đồ công việc'!AC195)</f>
        <v/>
      </c>
      <c r="R179" s="389" t="str">
        <f>IF('Bản đồ công việc'!X195="","",'Bản đồ công việc'!AD195)</f>
        <v/>
      </c>
      <c r="S179" s="389" t="str">
        <f>IF('Bản đồ công việc'!X195="","",'Bản đồ công việc'!Z195)</f>
        <v/>
      </c>
      <c r="T179" s="389" t="str">
        <f>IF('Bản đồ công việc'!X195="","",'Bản đồ công việc'!AA195)</f>
        <v/>
      </c>
      <c r="U179" s="389" t="str">
        <f>IF('Bản đồ công việc'!X195="","",'Bản đồ công việc'!AE195)</f>
        <v/>
      </c>
      <c r="V179" s="389" t="str">
        <f>IF('Bản đồ công việc'!X195="","",'Bản đồ công việc'!AI195)</f>
        <v/>
      </c>
      <c r="W179" s="389">
        <f t="shared" si="2"/>
        <v>0</v>
      </c>
      <c r="X179" s="389" t="str">
        <f t="shared" si="3"/>
        <v/>
      </c>
      <c r="Y179" s="389" t="str">
        <f t="shared" ref="Y179:Z179" si="175">IFERROR(INDEX($O$8:$O$684,MATCH(X179,$N$8:$N$684,0)),"")</f>
        <v/>
      </c>
      <c r="Z179" s="389" t="str">
        <f t="shared" si="175"/>
        <v/>
      </c>
      <c r="AA179" s="389">
        <f t="shared" si="5"/>
        <v>0</v>
      </c>
    </row>
    <row r="180" ht="15.75" customHeight="1">
      <c r="F180" s="664"/>
      <c r="I180" s="665"/>
      <c r="M180" s="389" t="str">
        <f>IF('Bản đồ công việc'!X196="","",'Bản đồ công việc'!W196)</f>
        <v/>
      </c>
      <c r="N180" s="389" t="str">
        <f>IF('Bản đồ công việc'!X196="","",'Bản đồ công việc'!X196)</f>
        <v/>
      </c>
      <c r="O180" s="389" t="str">
        <f>IF('Bản đồ công việc'!X196="","",'Bản đồ công việc'!Y196)</f>
        <v/>
      </c>
      <c r="P180" s="389" t="str">
        <f>IF('Bản đồ công việc'!X196="","",'Bản đồ công việc'!V196)</f>
        <v/>
      </c>
      <c r="Q180" s="389" t="str">
        <f>IF('Bản đồ công việc'!X196="","",'Bản đồ công việc'!AC196)</f>
        <v/>
      </c>
      <c r="R180" s="389" t="str">
        <f>IF('Bản đồ công việc'!X196="","",'Bản đồ công việc'!AD196)</f>
        <v/>
      </c>
      <c r="S180" s="389" t="str">
        <f>IF('Bản đồ công việc'!X196="","",'Bản đồ công việc'!Z196)</f>
        <v/>
      </c>
      <c r="T180" s="389" t="str">
        <f>IF('Bản đồ công việc'!X196="","",'Bản đồ công việc'!AA196)</f>
        <v/>
      </c>
      <c r="U180" s="389" t="str">
        <f>IF('Bản đồ công việc'!X196="","",'Bản đồ công việc'!AE196)</f>
        <v/>
      </c>
      <c r="V180" s="389" t="str">
        <f>IF('Bản đồ công việc'!X196="","",'Bản đồ công việc'!AI196)</f>
        <v/>
      </c>
      <c r="W180" s="389">
        <f t="shared" si="2"/>
        <v>0</v>
      </c>
      <c r="X180" s="389" t="str">
        <f t="shared" si="3"/>
        <v/>
      </c>
      <c r="Y180" s="389" t="str">
        <f t="shared" ref="Y180:Z180" si="176">IFERROR(INDEX($O$8:$O$684,MATCH(X180,$N$8:$N$684,0)),"")</f>
        <v/>
      </c>
      <c r="Z180" s="389" t="str">
        <f t="shared" si="176"/>
        <v/>
      </c>
      <c r="AA180" s="389">
        <f t="shared" si="5"/>
        <v>0</v>
      </c>
    </row>
    <row r="181" ht="15.75" customHeight="1">
      <c r="F181" s="664"/>
      <c r="I181" s="665"/>
      <c r="M181" s="389" t="str">
        <f>IF('Bản đồ công việc'!X197="","",'Bản đồ công việc'!W197)</f>
        <v/>
      </c>
      <c r="N181" s="389" t="str">
        <f>IF('Bản đồ công việc'!X197="","",'Bản đồ công việc'!X197)</f>
        <v/>
      </c>
      <c r="O181" s="389" t="str">
        <f>IF('Bản đồ công việc'!X197="","",'Bản đồ công việc'!Y197)</f>
        <v/>
      </c>
      <c r="P181" s="389" t="str">
        <f>IF('Bản đồ công việc'!X197="","",'Bản đồ công việc'!V197)</f>
        <v/>
      </c>
      <c r="Q181" s="389" t="str">
        <f>IF('Bản đồ công việc'!X197="","",'Bản đồ công việc'!AC197)</f>
        <v/>
      </c>
      <c r="R181" s="389" t="str">
        <f>IF('Bản đồ công việc'!X197="","",'Bản đồ công việc'!AD197)</f>
        <v/>
      </c>
      <c r="S181" s="389" t="str">
        <f>IF('Bản đồ công việc'!X197="","",'Bản đồ công việc'!Z197)</f>
        <v/>
      </c>
      <c r="T181" s="389" t="str">
        <f>IF('Bản đồ công việc'!X197="","",'Bản đồ công việc'!AA197)</f>
        <v/>
      </c>
      <c r="U181" s="389" t="str">
        <f>IF('Bản đồ công việc'!X197="","",'Bản đồ công việc'!AE197)</f>
        <v/>
      </c>
      <c r="V181" s="389" t="str">
        <f>IF('Bản đồ công việc'!X197="","",'Bản đồ công việc'!AI197)</f>
        <v/>
      </c>
      <c r="W181" s="389">
        <f t="shared" si="2"/>
        <v>0</v>
      </c>
      <c r="X181" s="389" t="str">
        <f t="shared" si="3"/>
        <v/>
      </c>
      <c r="Y181" s="389" t="str">
        <f t="shared" ref="Y181:Z181" si="177">IFERROR(INDEX($O$8:$O$684,MATCH(X181,$N$8:$N$684,0)),"")</f>
        <v/>
      </c>
      <c r="Z181" s="389" t="str">
        <f t="shared" si="177"/>
        <v/>
      </c>
      <c r="AA181" s="389">
        <f t="shared" si="5"/>
        <v>0</v>
      </c>
    </row>
    <row r="182" ht="15.75" customHeight="1">
      <c r="F182" s="664"/>
      <c r="I182" s="665"/>
      <c r="M182" s="389" t="str">
        <f>IF('Bản đồ công việc'!X198="","",'Bản đồ công việc'!W198)</f>
        <v/>
      </c>
      <c r="N182" s="389" t="str">
        <f>IF('Bản đồ công việc'!X198="","",'Bản đồ công việc'!X198)</f>
        <v/>
      </c>
      <c r="O182" s="389" t="str">
        <f>IF('Bản đồ công việc'!X198="","",'Bản đồ công việc'!Y198)</f>
        <v/>
      </c>
      <c r="P182" s="389" t="str">
        <f>IF('Bản đồ công việc'!X198="","",'Bản đồ công việc'!V198)</f>
        <v/>
      </c>
      <c r="Q182" s="389" t="str">
        <f>IF('Bản đồ công việc'!X198="","",'Bản đồ công việc'!AC198)</f>
        <v/>
      </c>
      <c r="R182" s="389" t="str">
        <f>IF('Bản đồ công việc'!X198="","",'Bản đồ công việc'!AD198)</f>
        <v/>
      </c>
      <c r="S182" s="389" t="str">
        <f>IF('Bản đồ công việc'!X198="","",'Bản đồ công việc'!Z198)</f>
        <v/>
      </c>
      <c r="T182" s="389" t="str">
        <f>IF('Bản đồ công việc'!X198="","",'Bản đồ công việc'!AA198)</f>
        <v/>
      </c>
      <c r="U182" s="389" t="str">
        <f>IF('Bản đồ công việc'!X198="","",'Bản đồ công việc'!AE198)</f>
        <v/>
      </c>
      <c r="V182" s="389" t="str">
        <f>IF('Bản đồ công việc'!X198="","",'Bản đồ công việc'!AI198)</f>
        <v/>
      </c>
      <c r="W182" s="389">
        <f t="shared" si="2"/>
        <v>0</v>
      </c>
      <c r="X182" s="389" t="str">
        <f t="shared" si="3"/>
        <v/>
      </c>
      <c r="Y182" s="389" t="str">
        <f t="shared" ref="Y182:Z182" si="178">IFERROR(INDEX($O$8:$O$684,MATCH(X182,$N$8:$N$684,0)),"")</f>
        <v/>
      </c>
      <c r="Z182" s="389" t="str">
        <f t="shared" si="178"/>
        <v/>
      </c>
      <c r="AA182" s="389">
        <f t="shared" si="5"/>
        <v>0</v>
      </c>
    </row>
    <row r="183" ht="15.75" customHeight="1">
      <c r="F183" s="664"/>
      <c r="I183" s="665"/>
      <c r="M183" s="389" t="str">
        <f>IF('Bản đồ công việc'!X199="","",'Bản đồ công việc'!W199)</f>
        <v/>
      </c>
      <c r="N183" s="389" t="str">
        <f>IF('Bản đồ công việc'!X199="","",'Bản đồ công việc'!X199)</f>
        <v/>
      </c>
      <c r="O183" s="389" t="str">
        <f>IF('Bản đồ công việc'!X199="","",'Bản đồ công việc'!Y199)</f>
        <v/>
      </c>
      <c r="P183" s="389" t="str">
        <f>IF('Bản đồ công việc'!X199="","",'Bản đồ công việc'!V199)</f>
        <v/>
      </c>
      <c r="Q183" s="389" t="str">
        <f>IF('Bản đồ công việc'!X199="","",'Bản đồ công việc'!AC199)</f>
        <v/>
      </c>
      <c r="R183" s="389" t="str">
        <f>IF('Bản đồ công việc'!X199="","",'Bản đồ công việc'!AD199)</f>
        <v/>
      </c>
      <c r="S183" s="389" t="str">
        <f>IF('Bản đồ công việc'!X199="","",'Bản đồ công việc'!Z199)</f>
        <v/>
      </c>
      <c r="T183" s="389" t="str">
        <f>IF('Bản đồ công việc'!X199="","",'Bản đồ công việc'!AA199)</f>
        <v/>
      </c>
      <c r="U183" s="389" t="str">
        <f>IF('Bản đồ công việc'!X199="","",'Bản đồ công việc'!AE199)</f>
        <v/>
      </c>
      <c r="V183" s="389" t="str">
        <f>IF('Bản đồ công việc'!X199="","",'Bản đồ công việc'!AI199)</f>
        <v/>
      </c>
      <c r="W183" s="389">
        <f t="shared" si="2"/>
        <v>0</v>
      </c>
      <c r="X183" s="389" t="str">
        <f t="shared" si="3"/>
        <v/>
      </c>
      <c r="Y183" s="389" t="str">
        <f t="shared" ref="Y183:Z183" si="179">IFERROR(INDEX($O$8:$O$684,MATCH(X183,$N$8:$N$684,0)),"")</f>
        <v/>
      </c>
      <c r="Z183" s="389" t="str">
        <f t="shared" si="179"/>
        <v/>
      </c>
      <c r="AA183" s="389">
        <f t="shared" si="5"/>
        <v>0</v>
      </c>
    </row>
    <row r="184" ht="15.75" customHeight="1">
      <c r="F184" s="664"/>
      <c r="I184" s="665"/>
      <c r="M184" s="389" t="str">
        <f>IF('Bản đồ công việc'!X200="","",'Bản đồ công việc'!W200)</f>
        <v/>
      </c>
      <c r="N184" s="389" t="str">
        <f>IF('Bản đồ công việc'!X200="","",'Bản đồ công việc'!X200)</f>
        <v/>
      </c>
      <c r="O184" s="389" t="str">
        <f>IF('Bản đồ công việc'!X200="","",'Bản đồ công việc'!Y200)</f>
        <v/>
      </c>
      <c r="P184" s="389" t="str">
        <f>IF('Bản đồ công việc'!X200="","",'Bản đồ công việc'!V200)</f>
        <v/>
      </c>
      <c r="Q184" s="389" t="str">
        <f>IF('Bản đồ công việc'!X200="","",'Bản đồ công việc'!AC200)</f>
        <v/>
      </c>
      <c r="R184" s="389" t="str">
        <f>IF('Bản đồ công việc'!X200="","",'Bản đồ công việc'!AD200)</f>
        <v/>
      </c>
      <c r="S184" s="389" t="str">
        <f>IF('Bản đồ công việc'!X200="","",'Bản đồ công việc'!Z200)</f>
        <v/>
      </c>
      <c r="T184" s="389" t="str">
        <f>IF('Bản đồ công việc'!X200="","",'Bản đồ công việc'!AA200)</f>
        <v/>
      </c>
      <c r="U184" s="389" t="str">
        <f>IF('Bản đồ công việc'!X200="","",'Bản đồ công việc'!AE200)</f>
        <v/>
      </c>
      <c r="V184" s="389" t="str">
        <f>IF('Bản đồ công việc'!X200="","",'Bản đồ công việc'!AI200)</f>
        <v/>
      </c>
      <c r="W184" s="389">
        <f t="shared" si="2"/>
        <v>0</v>
      </c>
      <c r="X184" s="389" t="str">
        <f t="shared" si="3"/>
        <v/>
      </c>
      <c r="Y184" s="389" t="str">
        <f t="shared" ref="Y184:Z184" si="180">IFERROR(INDEX($O$8:$O$684,MATCH(X184,$N$8:$N$684,0)),"")</f>
        <v/>
      </c>
      <c r="Z184" s="389" t="str">
        <f t="shared" si="180"/>
        <v/>
      </c>
      <c r="AA184" s="389">
        <f t="shared" si="5"/>
        <v>0</v>
      </c>
    </row>
    <row r="185" ht="15.75" customHeight="1">
      <c r="F185" s="664"/>
      <c r="I185" s="665"/>
      <c r="M185" s="389" t="str">
        <f>IF('Bản đồ công việc'!X201="","",'Bản đồ công việc'!W201)</f>
        <v/>
      </c>
      <c r="N185" s="389" t="str">
        <f>IF('Bản đồ công việc'!X201="","",'Bản đồ công việc'!X201)</f>
        <v/>
      </c>
      <c r="O185" s="389" t="str">
        <f>IF('Bản đồ công việc'!X201="","",'Bản đồ công việc'!Y201)</f>
        <v/>
      </c>
      <c r="P185" s="389" t="str">
        <f>IF('Bản đồ công việc'!X201="","",'Bản đồ công việc'!V201)</f>
        <v/>
      </c>
      <c r="Q185" s="389" t="str">
        <f>IF('Bản đồ công việc'!X201="","",'Bản đồ công việc'!AC201)</f>
        <v/>
      </c>
      <c r="R185" s="389" t="str">
        <f>IF('Bản đồ công việc'!X201="","",'Bản đồ công việc'!AD201)</f>
        <v/>
      </c>
      <c r="S185" s="389" t="str">
        <f>IF('Bản đồ công việc'!X201="","",'Bản đồ công việc'!Z201)</f>
        <v/>
      </c>
      <c r="T185" s="389" t="str">
        <f>IF('Bản đồ công việc'!X201="","",'Bản đồ công việc'!AA201)</f>
        <v/>
      </c>
      <c r="U185" s="389" t="str">
        <f>IF('Bản đồ công việc'!X201="","",'Bản đồ công việc'!AE201)</f>
        <v/>
      </c>
      <c r="V185" s="389" t="str">
        <f>IF('Bản đồ công việc'!X201="","",'Bản đồ công việc'!AI201)</f>
        <v/>
      </c>
      <c r="W185" s="389">
        <f t="shared" si="2"/>
        <v>0</v>
      </c>
      <c r="X185" s="389" t="str">
        <f t="shared" si="3"/>
        <v/>
      </c>
      <c r="Y185" s="389" t="str">
        <f t="shared" ref="Y185:Z185" si="181">IFERROR(INDEX($O$8:$O$684,MATCH(X185,$N$8:$N$684,0)),"")</f>
        <v/>
      </c>
      <c r="Z185" s="389" t="str">
        <f t="shared" si="181"/>
        <v/>
      </c>
      <c r="AA185" s="389">
        <f t="shared" si="5"/>
        <v>0</v>
      </c>
    </row>
    <row r="186" ht="15.75" customHeight="1">
      <c r="F186" s="664"/>
      <c r="I186" s="665"/>
      <c r="M186" s="389" t="str">
        <f>IF('Bản đồ công việc'!X202="","",'Bản đồ công việc'!W202)</f>
        <v/>
      </c>
      <c r="N186" s="389" t="str">
        <f>IF('Bản đồ công việc'!X202="","",'Bản đồ công việc'!X202)</f>
        <v/>
      </c>
      <c r="O186" s="389" t="str">
        <f>IF('Bản đồ công việc'!X202="","",'Bản đồ công việc'!Y202)</f>
        <v/>
      </c>
      <c r="P186" s="389" t="str">
        <f>IF('Bản đồ công việc'!X202="","",'Bản đồ công việc'!V202)</f>
        <v/>
      </c>
      <c r="Q186" s="389" t="str">
        <f>IF('Bản đồ công việc'!X202="","",'Bản đồ công việc'!AC202)</f>
        <v/>
      </c>
      <c r="R186" s="389" t="str">
        <f>IF('Bản đồ công việc'!X202="","",'Bản đồ công việc'!AD202)</f>
        <v/>
      </c>
      <c r="S186" s="389" t="str">
        <f>IF('Bản đồ công việc'!X202="","",'Bản đồ công việc'!Z202)</f>
        <v/>
      </c>
      <c r="T186" s="389" t="str">
        <f>IF('Bản đồ công việc'!X202="","",'Bản đồ công việc'!AA202)</f>
        <v/>
      </c>
      <c r="U186" s="389" t="str">
        <f>IF('Bản đồ công việc'!X202="","",'Bản đồ công việc'!AE202)</f>
        <v/>
      </c>
      <c r="V186" s="389" t="str">
        <f>IF('Bản đồ công việc'!X202="","",'Bản đồ công việc'!AI202)</f>
        <v/>
      </c>
      <c r="W186" s="389">
        <f t="shared" si="2"/>
        <v>0</v>
      </c>
      <c r="X186" s="389" t="str">
        <f t="shared" si="3"/>
        <v/>
      </c>
      <c r="Y186" s="389" t="str">
        <f t="shared" ref="Y186:Z186" si="182">IFERROR(INDEX($O$8:$O$684,MATCH(X186,$N$8:$N$684,0)),"")</f>
        <v/>
      </c>
      <c r="Z186" s="389" t="str">
        <f t="shared" si="182"/>
        <v/>
      </c>
      <c r="AA186" s="389">
        <f t="shared" si="5"/>
        <v>0</v>
      </c>
    </row>
    <row r="187" ht="15.75" customHeight="1">
      <c r="F187" s="664"/>
      <c r="I187" s="665"/>
      <c r="M187" s="389">
        <f>IF('Bản đồ công việc'!X203="","",'Bản đồ công việc'!W203)</f>
        <v>5</v>
      </c>
      <c r="N187" s="67" t="str">
        <f>IF('Bản đồ công việc'!X203="","",'Bản đồ công việc'!X203)</f>
        <v>HHL5DL01-01</v>
      </c>
      <c r="O187" s="67" t="str">
        <f>IF('Bản đồ công việc'!X203="","",'Bản đồ công việc'!Y203)</f>
        <v>HHL4DL01</v>
      </c>
      <c r="P187" s="389" t="str">
        <f>IF('Bản đồ công việc'!X203="","",'Bản đồ công việc'!V203)</f>
        <v>       ├─ Liệt kê &amp; giải quyết vấn đề còn tồn tại công thức 2025 (CK/TK/phân biệt NPP) GT</v>
      </c>
      <c r="Q187" s="67" t="str">
        <f>IF('Bản đồ công việc'!X203="","",'Bản đồ công việc'!AC203)</f>
        <v>Chưa bắt đầu</v>
      </c>
      <c r="R187" s="398">
        <f>IF('Bản đồ công việc'!X203="","",'Bản đồ công việc'!AD203)</f>
        <v>0</v>
      </c>
      <c r="S187" s="67" t="str">
        <f>IF('Bản đồ công việc'!X203="","",'Bản đồ công việc'!Z203)</f>
        <v>GĐ BOC</v>
      </c>
      <c r="T187" s="67" t="str">
        <f>IF('Bản đồ công việc'!X203="","",'Bản đồ công việc'!AA203)</f>
        <v>Dữ liệu điều hành</v>
      </c>
      <c r="U187" s="358">
        <f>IF('Bản đồ công việc'!X203="","",'Bản đồ công việc'!AE203)</f>
        <v>46249</v>
      </c>
      <c r="V187" s="389" t="str">
        <f>IF('Bản đồ công việc'!X203="","",'Bản đồ công việc'!AI203)</f>
        <v>🟠 Hạn ≤7 ngày</v>
      </c>
      <c r="W187" s="389">
        <f t="shared" si="2"/>
        <v>1</v>
      </c>
      <c r="X187" s="67" t="str">
        <f t="shared" si="3"/>
        <v>HHL4DL01</v>
      </c>
      <c r="Y187" s="389" t="str">
        <f t="shared" ref="Y187:Z187" si="183">IFERROR(INDEX($O$8:$O$684,MATCH(X187,$N$8:$N$684,0)),"")</f>
        <v>HHL3CT03</v>
      </c>
      <c r="Z187" s="389" t="str">
        <f t="shared" si="183"/>
        <v/>
      </c>
      <c r="AA187" s="389">
        <f t="shared" si="5"/>
        <v>1</v>
      </c>
    </row>
    <row r="188" ht="15.75" customHeight="1">
      <c r="F188" s="664"/>
      <c r="I188" s="665"/>
      <c r="M188" s="389">
        <f>IF('Bản đồ công việc'!X204="","",'Bản đồ công việc'!W204)</f>
        <v>5</v>
      </c>
      <c r="N188" s="67" t="str">
        <f>IF('Bản đồ công việc'!X204="","",'Bản đồ công việc'!X204)</f>
        <v>HHL5DL01-02</v>
      </c>
      <c r="O188" s="67" t="str">
        <f>IF('Bản đồ công việc'!X204="","",'Bản đồ công việc'!Y204)</f>
        <v>HHL4DL01</v>
      </c>
      <c r="P188" s="389" t="str">
        <f>IF('Bản đồ công việc'!X204="","",'Bản đồ công việc'!V204)</f>
        <v>       ├─ Chốt lại đề bài với GĐ BOC &amp; GT</v>
      </c>
      <c r="Q188" s="67" t="str">
        <f>IF('Bản đồ công việc'!X204="","",'Bản đồ công việc'!AC204)</f>
        <v>Chưa bắt đầu</v>
      </c>
      <c r="R188" s="398">
        <f>IF('Bản đồ công việc'!X204="","",'Bản đồ công việc'!AD204)</f>
        <v>0</v>
      </c>
      <c r="S188" s="67" t="str">
        <f>IF('Bản đồ công việc'!X204="","",'Bản đồ công việc'!Z204)</f>
        <v>GĐ BOC</v>
      </c>
      <c r="T188" s="67" t="str">
        <f>IF('Bản đồ công việc'!X204="","",'Bản đồ công việc'!AA204)</f>
        <v>Dữ liệu điều hành</v>
      </c>
      <c r="U188" s="358">
        <f>IF('Bản đồ công việc'!X204="","",'Bản đồ công việc'!AE204)</f>
        <v>46254</v>
      </c>
      <c r="V188" s="389" t="str">
        <f>IF('Bản đồ công việc'!X204="","",'Bản đồ công việc'!AI204)</f>
        <v>🟣 P1 trọng yếu</v>
      </c>
      <c r="W188" s="389">
        <f t="shared" si="2"/>
        <v>0</v>
      </c>
      <c r="X188" s="67" t="str">
        <f t="shared" si="3"/>
        <v>HHL4DL01</v>
      </c>
      <c r="Y188" s="389" t="str">
        <f t="shared" ref="Y188:Z188" si="184">IFERROR(INDEX($O$8:$O$684,MATCH(X188,$N$8:$N$684,0)),"")</f>
        <v>HHL3CT03</v>
      </c>
      <c r="Z188" s="389" t="str">
        <f t="shared" si="184"/>
        <v/>
      </c>
      <c r="AA188" s="389">
        <f t="shared" si="5"/>
        <v>1</v>
      </c>
    </row>
    <row r="189" ht="15.75" customHeight="1">
      <c r="F189" s="664"/>
      <c r="I189" s="665"/>
      <c r="M189" s="389">
        <f>IF('Bản đồ công việc'!X205="","",'Bản đồ công việc'!W205)</f>
        <v>5</v>
      </c>
      <c r="N189" s="67" t="str">
        <f>IF('Bản đồ công việc'!X205="","",'Bản đồ công việc'!X205)</f>
        <v>HHL5DL01-03</v>
      </c>
      <c r="O189" s="67" t="str">
        <f>IF('Bản đồ công việc'!X205="","",'Bản đồ công việc'!Y205)</f>
        <v>HHL4DL01</v>
      </c>
      <c r="P189" s="389" t="str">
        <f>IF('Bản đồ công việc'!X205="","",'Bản đồ công việc'!V205)</f>
        <v>       ├─ XD bảng Excel &amp; HT phần mềm (chạy demo) &amp;GT</v>
      </c>
      <c r="Q189" s="67" t="str">
        <f>IF('Bản đồ công việc'!X205="","",'Bản đồ công việc'!AC205)</f>
        <v>Chưa bắt đầu</v>
      </c>
      <c r="R189" s="398">
        <f>IF('Bản đồ công việc'!X205="","",'Bản đồ công việc'!AD205)</f>
        <v>0</v>
      </c>
      <c r="S189" s="67" t="str">
        <f>IF('Bản đồ công việc'!X205="","",'Bản đồ công việc'!Z205)</f>
        <v>Em Đại</v>
      </c>
      <c r="T189" s="67" t="str">
        <f>IF('Bản đồ công việc'!X205="","",'Bản đồ công việc'!AA205)</f>
        <v>Dữ liệu điều hành</v>
      </c>
      <c r="U189" s="358">
        <f>IF('Bản đồ công việc'!X205="","",'Bản đồ công việc'!AE205)</f>
        <v>46264</v>
      </c>
      <c r="V189" s="389" t="str">
        <f>IF('Bản đồ công việc'!X205="","",'Bản đồ công việc'!AI205)</f>
        <v>🟣 P1 trọng yếu</v>
      </c>
      <c r="W189" s="389">
        <f t="shared" si="2"/>
        <v>0</v>
      </c>
      <c r="X189" s="67" t="str">
        <f t="shared" si="3"/>
        <v>HHL4DL01</v>
      </c>
      <c r="Y189" s="389" t="str">
        <f t="shared" ref="Y189:Z189" si="185">IFERROR(INDEX($O$8:$O$684,MATCH(X189,$N$8:$N$684,0)),"")</f>
        <v>HHL3CT03</v>
      </c>
      <c r="Z189" s="389" t="str">
        <f t="shared" si="185"/>
        <v/>
      </c>
      <c r="AA189" s="389">
        <f t="shared" si="5"/>
        <v>1</v>
      </c>
    </row>
    <row r="190" ht="15.75" customHeight="1">
      <c r="F190" s="664"/>
      <c r="I190" s="665"/>
      <c r="M190" s="389">
        <f>IF('Bản đồ công việc'!X206="","",'Bản đồ công việc'!W206)</f>
        <v>5</v>
      </c>
      <c r="N190" s="67" t="str">
        <f>IF('Bản đồ công việc'!X206="","",'Bản đồ công việc'!X206)</f>
        <v>HHL5DL01-04</v>
      </c>
      <c r="O190" s="67" t="str">
        <f>IF('Bản đồ công việc'!X206="","",'Bản đồ công việc'!Y206)</f>
        <v>HHL4DL01</v>
      </c>
      <c r="P190" s="389" t="str">
        <f>IF('Bản đồ công việc'!X206="","",'Bản đồ công việc'!V206)</f>
        <v>       ├─ Chạy tham số Topdown GT</v>
      </c>
      <c r="Q190" s="67" t="str">
        <f>IF('Bản đồ công việc'!X206="","",'Bản đồ công việc'!AC206)</f>
        <v>Chưa bắt đầu</v>
      </c>
      <c r="R190" s="398">
        <f>IF('Bản đồ công việc'!X206="","",'Bản đồ công việc'!AD206)</f>
        <v>0</v>
      </c>
      <c r="S190" s="67" t="str">
        <f>IF('Bản đồ công việc'!X206="","",'Bản đồ công việc'!Z206)</f>
        <v>Em Đại</v>
      </c>
      <c r="T190" s="67" t="str">
        <f>IF('Bản đồ công việc'!X206="","",'Bản đồ công việc'!AA206)</f>
        <v>Dữ liệu điều hành</v>
      </c>
      <c r="U190" s="358">
        <f>IF('Bản đồ công việc'!X206="","",'Bản đồ công việc'!AE206)</f>
        <v>46270</v>
      </c>
      <c r="V190" s="389" t="str">
        <f>IF('Bản đồ công việc'!X206="","",'Bản đồ công việc'!AI206)</f>
        <v>🟣 P1 trọng yếu</v>
      </c>
      <c r="W190" s="389">
        <f t="shared" si="2"/>
        <v>0</v>
      </c>
      <c r="X190" s="67" t="str">
        <f t="shared" si="3"/>
        <v>HHL4DL01</v>
      </c>
      <c r="Y190" s="389" t="str">
        <f t="shared" ref="Y190:Z190" si="186">IFERROR(INDEX($O$8:$O$684,MATCH(X190,$N$8:$N$684,0)),"")</f>
        <v>HHL3CT03</v>
      </c>
      <c r="Z190" s="389" t="str">
        <f t="shared" si="186"/>
        <v/>
      </c>
      <c r="AA190" s="389">
        <f t="shared" si="5"/>
        <v>1</v>
      </c>
    </row>
    <row r="191" ht="15.75" customHeight="1">
      <c r="F191" s="664"/>
      <c r="I191" s="665"/>
      <c r="M191" s="389">
        <f>IF('Bản đồ công việc'!X207="","",'Bản đồ công việc'!W207)</f>
        <v>5</v>
      </c>
      <c r="N191" s="67" t="str">
        <f>IF('Bản đồ công việc'!X207="","",'Bản đồ công việc'!X207)</f>
        <v>HHL5DL01-05</v>
      </c>
      <c r="O191" s="67" t="str">
        <f>IF('Bản đồ công việc'!X207="","",'Bản đồ công việc'!Y207)</f>
        <v>HHL4DL01</v>
      </c>
      <c r="P191" s="389" t="str">
        <f>IF('Bản đồ công việc'!X207="","",'Bản đồ công việc'!V207)</f>
        <v>       ├─ Chạy tham số Bottom-up theo khu vực vùng miền GT</v>
      </c>
      <c r="Q191" s="67" t="str">
        <f>IF('Bản đồ công việc'!X207="","",'Bản đồ công việc'!AC207)</f>
        <v>Đã lên lịch</v>
      </c>
      <c r="R191" s="398" t="str">
        <f>IF('Bản đồ công việc'!X207="","",'Bản đồ công việc'!AD207)</f>
        <v/>
      </c>
      <c r="S191" s="67" t="str">
        <f>IF('Bản đồ công việc'!X207="","",'Bản đồ công việc'!Z207)</f>
        <v>Em Đại</v>
      </c>
      <c r="T191" s="67" t="str">
        <f>IF('Bản đồ công việc'!X207="","",'Bản đồ công việc'!AA207)</f>
        <v>Dữ liệu điều hành</v>
      </c>
      <c r="U191" s="358">
        <f>IF('Bản đồ công việc'!X207="","",'Bản đồ công việc'!AE207)</f>
        <v>46305</v>
      </c>
      <c r="V191" s="389" t="str">
        <f>IF('Bản đồ công việc'!X207="","",'Bản đồ công việc'!AI207)</f>
        <v>🟣 P1 trọng yếu</v>
      </c>
      <c r="W191" s="389">
        <f t="shared" si="2"/>
        <v>0</v>
      </c>
      <c r="X191" s="67" t="str">
        <f t="shared" si="3"/>
        <v>HHL4DL01</v>
      </c>
      <c r="Y191" s="389" t="str">
        <f t="shared" ref="Y191:Z191" si="187">IFERROR(INDEX($O$8:$O$684,MATCH(X191,$N$8:$N$684,0)),"")</f>
        <v>HHL3CT03</v>
      </c>
      <c r="Z191" s="389" t="str">
        <f t="shared" si="187"/>
        <v/>
      </c>
      <c r="AA191" s="389">
        <f t="shared" si="5"/>
        <v>1</v>
      </c>
    </row>
    <row r="192" ht="15.75" customHeight="1">
      <c r="F192" s="664"/>
      <c r="I192" s="665"/>
      <c r="M192" s="389">
        <f>IF('Bản đồ công việc'!X208="","",'Bản đồ công việc'!W208)</f>
        <v>5</v>
      </c>
      <c r="N192" s="67" t="str">
        <f>IF('Bản đồ công việc'!X208="","",'Bản đồ công việc'!X208)</f>
        <v>HHL5DL02-01</v>
      </c>
      <c r="O192" s="67" t="str">
        <f>IF('Bản đồ công việc'!X208="","",'Bản đồ công việc'!Y208)</f>
        <v>HHL4DL02</v>
      </c>
      <c r="P192" s="389" t="str">
        <f>IF('Bản đồ công việc'!X208="","",'Bản đồ công việc'!V208)</f>
        <v>       ├─ XD &amp; phản biện công thức (nội bộ) MT</v>
      </c>
      <c r="Q192" s="67" t="str">
        <f>IF('Bản đồ công việc'!X208="","",'Bản đồ công việc'!AC208)</f>
        <v>Chưa bắt đầu</v>
      </c>
      <c r="R192" s="398">
        <f>IF('Bản đồ công việc'!X208="","",'Bản đồ công việc'!AD208)</f>
        <v>0</v>
      </c>
      <c r="S192" s="67" t="str">
        <f>IF('Bản đồ công việc'!X208="","",'Bản đồ công việc'!Z208)</f>
        <v>Em Đại</v>
      </c>
      <c r="T192" s="67" t="str">
        <f>IF('Bản đồ công việc'!X208="","",'Bản đồ công việc'!AA208)</f>
        <v>Dữ liệu điều hành</v>
      </c>
      <c r="U192" s="358">
        <f>IF('Bản đồ công việc'!X208="","",'Bản đồ công việc'!AE208)</f>
        <v>46290</v>
      </c>
      <c r="V192" s="389" t="str">
        <f>IF('Bản đồ công việc'!X208="","",'Bản đồ công việc'!AI208)</f>
        <v>🟣 P1 trọng yếu</v>
      </c>
      <c r="W192" s="389">
        <f t="shared" si="2"/>
        <v>1</v>
      </c>
      <c r="X192" s="67" t="str">
        <f t="shared" si="3"/>
        <v>HHL4DL02</v>
      </c>
      <c r="Y192" s="389" t="str">
        <f t="shared" ref="Y192:Z192" si="188">IFERROR(INDEX($O$8:$O$684,MATCH(X192,$N$8:$N$684,0)),"")</f>
        <v>HHL3CT03</v>
      </c>
      <c r="Z192" s="389" t="str">
        <f t="shared" si="188"/>
        <v/>
      </c>
      <c r="AA192" s="389">
        <f t="shared" si="5"/>
        <v>1</v>
      </c>
    </row>
    <row r="193" ht="15.75" customHeight="1">
      <c r="F193" s="664"/>
      <c r="I193" s="665"/>
      <c r="M193" s="389">
        <f>IF('Bản đồ công việc'!X209="","",'Bản đồ công việc'!W209)</f>
        <v>5</v>
      </c>
      <c r="N193" s="67" t="str">
        <f>IF('Bản đồ công việc'!X209="","",'Bản đồ công việc'!X209)</f>
        <v>HHL5DL02-02</v>
      </c>
      <c r="O193" s="67" t="str">
        <f>IF('Bản đồ công việc'!X209="","",'Bản đồ công việc'!Y209)</f>
        <v>HHL4DL02</v>
      </c>
      <c r="P193" s="389" t="str">
        <f>IF('Bản đồ công việc'!X209="","",'Bản đồ công việc'!V209)</f>
        <v>       ├─ Phản biện với TGĐ &amp; liên PB MT</v>
      </c>
      <c r="Q193" s="67" t="str">
        <f>IF('Bản đồ công việc'!X209="","",'Bản đồ công việc'!AC209)</f>
        <v>Chưa bắt đầu</v>
      </c>
      <c r="R193" s="398">
        <f>IF('Bản đồ công việc'!X209="","",'Bản đồ công việc'!AD209)</f>
        <v>0</v>
      </c>
      <c r="S193" s="67" t="str">
        <f>IF('Bản đồ công việc'!X209="","",'Bản đồ công việc'!Z209)</f>
        <v>Em Đại</v>
      </c>
      <c r="T193" s="67" t="str">
        <f>IF('Bản đồ công việc'!X209="","",'Bản đồ công việc'!AA209)</f>
        <v>Dữ liệu điều hành</v>
      </c>
      <c r="U193" s="358">
        <f>IF('Bản đồ công việc'!X209="","",'Bản đồ công việc'!AE209)</f>
        <v>46300</v>
      </c>
      <c r="V193" s="389" t="str">
        <f>IF('Bản đồ công việc'!X209="","",'Bản đồ công việc'!AI209)</f>
        <v>🟣 P1 trọng yếu</v>
      </c>
      <c r="W193" s="389">
        <f t="shared" si="2"/>
        <v>0</v>
      </c>
      <c r="X193" s="67" t="str">
        <f t="shared" si="3"/>
        <v>HHL4DL02</v>
      </c>
      <c r="Y193" s="389" t="str">
        <f t="shared" ref="Y193:Z193" si="189">IFERROR(INDEX($O$8:$O$684,MATCH(X193,$N$8:$N$684,0)),"")</f>
        <v>HHL3CT03</v>
      </c>
      <c r="Z193" s="389" t="str">
        <f t="shared" si="189"/>
        <v/>
      </c>
      <c r="AA193" s="389">
        <f t="shared" si="5"/>
        <v>1</v>
      </c>
    </row>
    <row r="194" ht="15.75" customHeight="1">
      <c r="F194" s="664"/>
      <c r="I194" s="665"/>
      <c r="M194" s="389">
        <f>IF('Bản đồ công việc'!X210="","",'Bản đồ công việc'!W210)</f>
        <v>5</v>
      </c>
      <c r="N194" s="67" t="str">
        <f>IF('Bản đồ công việc'!X210="","",'Bản đồ công việc'!X210)</f>
        <v>HHL5DL02-03</v>
      </c>
      <c r="O194" s="67" t="str">
        <f>IF('Bản đồ công việc'!X210="","",'Bản đồ công việc'!Y210)</f>
        <v>HHL4DL02</v>
      </c>
      <c r="P194" s="389" t="str">
        <f>IF('Bản đồ công việc'!X210="","",'Bản đồ công việc'!V210)</f>
        <v>       ├─ XD bảng Excel &amp; HT phần mềm (chạy demo) MT</v>
      </c>
      <c r="Q194" s="67" t="str">
        <f>IF('Bản đồ công việc'!X210="","",'Bản đồ công việc'!AC210)</f>
        <v>Chưa bắt đầu</v>
      </c>
      <c r="R194" s="398">
        <f>IF('Bản đồ công việc'!X210="","",'Bản đồ công việc'!AD210)</f>
        <v>0</v>
      </c>
      <c r="S194" s="67" t="str">
        <f>IF('Bản đồ công việc'!X210="","",'Bản đồ công việc'!Z210)</f>
        <v>Em Đại</v>
      </c>
      <c r="T194" s="67" t="str">
        <f>IF('Bản đồ công việc'!X210="","",'Bản đồ công việc'!AA210)</f>
        <v>Dữ liệu điều hành</v>
      </c>
      <c r="U194" s="358">
        <f>IF('Bản đồ công việc'!X210="","",'Bản đồ công việc'!AE210)</f>
        <v>46295</v>
      </c>
      <c r="V194" s="389" t="str">
        <f>IF('Bản đồ công việc'!X210="","",'Bản đồ công việc'!AI210)</f>
        <v>🟣 P1 trọng yếu</v>
      </c>
      <c r="W194" s="389">
        <f t="shared" si="2"/>
        <v>0</v>
      </c>
      <c r="X194" s="67" t="str">
        <f t="shared" si="3"/>
        <v>HHL4DL02</v>
      </c>
      <c r="Y194" s="389" t="str">
        <f t="shared" ref="Y194:Z194" si="190">IFERROR(INDEX($O$8:$O$684,MATCH(X194,$N$8:$N$684,0)),"")</f>
        <v>HHL3CT03</v>
      </c>
      <c r="Z194" s="389" t="str">
        <f t="shared" si="190"/>
        <v/>
      </c>
      <c r="AA194" s="389">
        <f t="shared" si="5"/>
        <v>1</v>
      </c>
    </row>
    <row r="195" ht="15.75" customHeight="1">
      <c r="F195" s="664"/>
      <c r="I195" s="665"/>
      <c r="M195" s="389">
        <f>IF('Bản đồ công việc'!X211="","",'Bản đồ công việc'!W211)</f>
        <v>5</v>
      </c>
      <c r="N195" s="67" t="str">
        <f>IF('Bản đồ công việc'!X211="","",'Bản đồ công việc'!X211)</f>
        <v>HHL5DL02-04</v>
      </c>
      <c r="O195" s="67" t="str">
        <f>IF('Bản đồ công việc'!X211="","",'Bản đồ công việc'!Y211)</f>
        <v>HHL4DL02</v>
      </c>
      <c r="P195" s="389" t="str">
        <f>IF('Bản đồ công việc'!X211="","",'Bản đồ công việc'!V211)</f>
        <v>       ├─ Chạy tham số Topdown MT</v>
      </c>
      <c r="Q195" s="67" t="str">
        <f>IF('Bản đồ công việc'!X211="","",'Bản đồ công việc'!AC211)</f>
        <v>Đã lên lịch</v>
      </c>
      <c r="R195" s="398" t="str">
        <f>IF('Bản đồ công việc'!X211="","",'Bản đồ công việc'!AD211)</f>
        <v/>
      </c>
      <c r="S195" s="67" t="str">
        <f>IF('Bản đồ công việc'!X211="","",'Bản đồ công việc'!Z211)</f>
        <v>Em Đại</v>
      </c>
      <c r="T195" s="67" t="str">
        <f>IF('Bản đồ công việc'!X211="","",'Bản đồ công việc'!AA211)</f>
        <v>Dữ liệu điều hành</v>
      </c>
      <c r="U195" s="358">
        <f>IF('Bản đồ công việc'!X211="","",'Bản đồ công việc'!AE211)</f>
        <v>46297</v>
      </c>
      <c r="V195" s="389" t="str">
        <f>IF('Bản đồ công việc'!X211="","",'Bản đồ công việc'!AI211)</f>
        <v>🟣 P1 trọng yếu</v>
      </c>
      <c r="W195" s="389">
        <f t="shared" si="2"/>
        <v>0</v>
      </c>
      <c r="X195" s="67" t="str">
        <f t="shared" si="3"/>
        <v>HHL4DL02</v>
      </c>
      <c r="Y195" s="389" t="str">
        <f t="shared" ref="Y195:Z195" si="191">IFERROR(INDEX($O$8:$O$684,MATCH(X195,$N$8:$N$684,0)),"")</f>
        <v>HHL3CT03</v>
      </c>
      <c r="Z195" s="389" t="str">
        <f t="shared" si="191"/>
        <v/>
      </c>
      <c r="AA195" s="389">
        <f t="shared" si="5"/>
        <v>1</v>
      </c>
    </row>
    <row r="196" ht="15.75" customHeight="1">
      <c r="F196" s="664"/>
      <c r="I196" s="665"/>
      <c r="M196" s="389">
        <f>IF('Bản đồ công việc'!X212="","",'Bản đồ công việc'!W212)</f>
        <v>5</v>
      </c>
      <c r="N196" s="67" t="str">
        <f>IF('Bản đồ công việc'!X212="","",'Bản đồ công việc'!X212)</f>
        <v>HHL5DL02-05</v>
      </c>
      <c r="O196" s="67" t="str">
        <f>IF('Bản đồ công việc'!X212="","",'Bản đồ công việc'!Y212)</f>
        <v>HHL4DL02</v>
      </c>
      <c r="P196" s="389" t="str">
        <f>IF('Bản đồ công việc'!X212="","",'Bản đồ công việc'!V212)</f>
        <v>       ├─ Chạy tham số Bottom-up MT</v>
      </c>
      <c r="Q196" s="67" t="str">
        <f>IF('Bản đồ công việc'!X212="","",'Bản đồ công việc'!AC212)</f>
        <v>Đã lên lịch</v>
      </c>
      <c r="R196" s="398" t="str">
        <f>IF('Bản đồ công việc'!X212="","",'Bản đồ công việc'!AD212)</f>
        <v/>
      </c>
      <c r="S196" s="67" t="str">
        <f>IF('Bản đồ công việc'!X212="","",'Bản đồ công việc'!Z212)</f>
        <v>Em Đại</v>
      </c>
      <c r="T196" s="67" t="str">
        <f>IF('Bản đồ công việc'!X212="","",'Bản đồ công việc'!AA212)</f>
        <v>Dữ liệu điều hành</v>
      </c>
      <c r="U196" s="358">
        <f>IF('Bản đồ công việc'!X212="","",'Bản đồ công việc'!AE212)</f>
        <v>46310</v>
      </c>
      <c r="V196" s="389" t="str">
        <f>IF('Bản đồ công việc'!X212="","",'Bản đồ công việc'!AI212)</f>
        <v>🟣 P1 trọng yếu</v>
      </c>
      <c r="W196" s="389">
        <f t="shared" si="2"/>
        <v>0</v>
      </c>
      <c r="X196" s="67" t="str">
        <f t="shared" si="3"/>
        <v>HHL4DL02</v>
      </c>
      <c r="Y196" s="389" t="str">
        <f t="shared" ref="Y196:Z196" si="192">IFERROR(INDEX($O$8:$O$684,MATCH(X196,$N$8:$N$684,0)),"")</f>
        <v>HHL3CT03</v>
      </c>
      <c r="Z196" s="389" t="str">
        <f t="shared" si="192"/>
        <v/>
      </c>
      <c r="AA196" s="389">
        <f t="shared" si="5"/>
        <v>1</v>
      </c>
    </row>
    <row r="197" ht="15.75" customHeight="1">
      <c r="F197" s="664"/>
      <c r="I197" s="665"/>
      <c r="M197" s="389">
        <f>IF('Bản đồ công việc'!X213="","",'Bản đồ công việc'!W213)</f>
        <v>5</v>
      </c>
      <c r="N197" s="67" t="str">
        <f>IF('Bản đồ công việc'!X213="","",'Bản đồ công việc'!X213)</f>
        <v>HHL5DL03-01</v>
      </c>
      <c r="O197" s="67" t="str">
        <f>IF('Bản đồ công việc'!X213="","",'Bản đồ công việc'!Y213)</f>
        <v>HHL4DL03</v>
      </c>
      <c r="P197" s="389" t="str">
        <f>IF('Bản đồ công việc'!X213="","",'Bản đồ công việc'!V213)</f>
        <v>       ├─ XD &amp; phản biện công thức (nội bộ) B2B</v>
      </c>
      <c r="Q197" s="67" t="str">
        <f>IF('Bản đồ công việc'!X213="","",'Bản đồ công việc'!AC213)</f>
        <v>Chưa bắt đầu</v>
      </c>
      <c r="R197" s="398">
        <f>IF('Bản đồ công việc'!X213="","",'Bản đồ công việc'!AD213)</f>
        <v>0</v>
      </c>
      <c r="S197" s="67" t="str">
        <f>IF('Bản đồ công việc'!X213="","",'Bản đồ công việc'!Z213)</f>
        <v>Em Đại</v>
      </c>
      <c r="T197" s="67" t="str">
        <f>IF('Bản đồ công việc'!X213="","",'Bản đồ công việc'!AA213)</f>
        <v>Dữ liệu điều hành</v>
      </c>
      <c r="U197" s="358">
        <f>IF('Bản đồ công việc'!X213="","",'Bản đồ công việc'!AE213)</f>
        <v>46300</v>
      </c>
      <c r="V197" s="389" t="str">
        <f>IF('Bản đồ công việc'!X213="","",'Bản đồ công việc'!AI213)</f>
        <v>🟢 Theo kế hoạch</v>
      </c>
      <c r="W197" s="389">
        <f t="shared" si="2"/>
        <v>1</v>
      </c>
      <c r="X197" s="67" t="str">
        <f t="shared" si="3"/>
        <v>HHL4DL03</v>
      </c>
      <c r="Y197" s="389" t="str">
        <f t="shared" ref="Y197:Z197" si="193">IFERROR(INDEX($O$8:$O$684,MATCH(X197,$N$8:$N$684,0)),"")</f>
        <v>HHL3CT03</v>
      </c>
      <c r="Z197" s="389" t="str">
        <f t="shared" si="193"/>
        <v/>
      </c>
      <c r="AA197" s="389">
        <f t="shared" si="5"/>
        <v>1</v>
      </c>
    </row>
    <row r="198" ht="15.75" customHeight="1">
      <c r="F198" s="664"/>
      <c r="I198" s="665"/>
      <c r="M198" s="389">
        <f>IF('Bản đồ công việc'!X214="","",'Bản đồ công việc'!W214)</f>
        <v>5</v>
      </c>
      <c r="N198" s="67" t="str">
        <f>IF('Bản đồ công việc'!X214="","",'Bản đồ công việc'!X214)</f>
        <v>HHL5DL03-02</v>
      </c>
      <c r="O198" s="67" t="str">
        <f>IF('Bản đồ công việc'!X214="","",'Bản đồ công việc'!Y214)</f>
        <v>HHL4DL03</v>
      </c>
      <c r="P198" s="389" t="str">
        <f>IF('Bản đồ công việc'!X214="","",'Bản đồ công việc'!V214)</f>
        <v>       ├─ Phản biện với TGĐ &amp; liên PB B2B</v>
      </c>
      <c r="Q198" s="67" t="str">
        <f>IF('Bản đồ công việc'!X214="","",'Bản đồ công việc'!AC214)</f>
        <v>Chưa bắt đầu</v>
      </c>
      <c r="R198" s="398">
        <f>IF('Bản đồ công việc'!X214="","",'Bản đồ công việc'!AD214)</f>
        <v>0</v>
      </c>
      <c r="S198" s="67" t="str">
        <f>IF('Bản đồ công việc'!X214="","",'Bản đồ công việc'!Z214)</f>
        <v>Em Đại</v>
      </c>
      <c r="T198" s="67" t="str">
        <f>IF('Bản đồ công việc'!X214="","",'Bản đồ công việc'!AA214)</f>
        <v>Dữ liệu điều hành</v>
      </c>
      <c r="U198" s="358">
        <f>IF('Bản đồ công việc'!X214="","",'Bản đồ công việc'!AE214)</f>
        <v>46310</v>
      </c>
      <c r="V198" s="389" t="str">
        <f>IF('Bản đồ công việc'!X214="","",'Bản đồ công việc'!AI214)</f>
        <v>🟢 Theo kế hoạch</v>
      </c>
      <c r="W198" s="389">
        <f t="shared" si="2"/>
        <v>0</v>
      </c>
      <c r="X198" s="67" t="str">
        <f t="shared" si="3"/>
        <v>HHL4DL03</v>
      </c>
      <c r="Y198" s="389" t="str">
        <f t="shared" ref="Y198:Z198" si="194">IFERROR(INDEX($O$8:$O$684,MATCH(X198,$N$8:$N$684,0)),"")</f>
        <v>HHL3CT03</v>
      </c>
      <c r="Z198" s="389" t="str">
        <f t="shared" si="194"/>
        <v/>
      </c>
      <c r="AA198" s="389">
        <f t="shared" si="5"/>
        <v>1</v>
      </c>
    </row>
    <row r="199" ht="15.75" customHeight="1">
      <c r="F199" s="664"/>
      <c r="I199" s="665"/>
      <c r="M199" s="389">
        <f>IF('Bản đồ công việc'!X215="","",'Bản đồ công việc'!W215)</f>
        <v>5</v>
      </c>
      <c r="N199" s="67" t="str">
        <f>IF('Bản đồ công việc'!X215="","",'Bản đồ công việc'!X215)</f>
        <v>HHL5DL03-03</v>
      </c>
      <c r="O199" s="67" t="str">
        <f>IF('Bản đồ công việc'!X215="","",'Bản đồ công việc'!Y215)</f>
        <v>HHL4DL03</v>
      </c>
      <c r="P199" s="389" t="str">
        <f>IF('Bản đồ công việc'!X215="","",'Bản đồ công việc'!V215)</f>
        <v>       ├─ XD bảng Excel &amp; HT phần mềm (chạy demo) B2B</v>
      </c>
      <c r="Q199" s="67" t="str">
        <f>IF('Bản đồ công việc'!X215="","",'Bản đồ công việc'!AC215)</f>
        <v>Chưa bắt đầu</v>
      </c>
      <c r="R199" s="398">
        <f>IF('Bản đồ công việc'!X215="","",'Bản đồ công việc'!AD215)</f>
        <v>0</v>
      </c>
      <c r="S199" s="67" t="str">
        <f>IF('Bản đồ công việc'!X215="","",'Bản đồ công việc'!Z215)</f>
        <v>Em Đại</v>
      </c>
      <c r="T199" s="67" t="str">
        <f>IF('Bản đồ công việc'!X215="","",'Bản đồ công việc'!AA215)</f>
        <v>Dữ liệu điều hành</v>
      </c>
      <c r="U199" s="358">
        <f>IF('Bản đồ công việc'!X215="","",'Bản đồ công việc'!AE215)</f>
        <v>46305</v>
      </c>
      <c r="V199" s="389" t="str">
        <f>IF('Bản đồ công việc'!X215="","",'Bản đồ công việc'!AI215)</f>
        <v>🟢 Theo kế hoạch</v>
      </c>
      <c r="W199" s="389">
        <f t="shared" si="2"/>
        <v>0</v>
      </c>
      <c r="X199" s="67" t="str">
        <f t="shared" si="3"/>
        <v>HHL4DL03</v>
      </c>
      <c r="Y199" s="389" t="str">
        <f t="shared" ref="Y199:Z199" si="195">IFERROR(INDEX($O$8:$O$684,MATCH(X199,$N$8:$N$684,0)),"")</f>
        <v>HHL3CT03</v>
      </c>
      <c r="Z199" s="389" t="str">
        <f t="shared" si="195"/>
        <v/>
      </c>
      <c r="AA199" s="389">
        <f t="shared" si="5"/>
        <v>1</v>
      </c>
    </row>
    <row r="200" ht="15.75" customHeight="1">
      <c r="F200" s="664"/>
      <c r="I200" s="665"/>
      <c r="M200" s="389">
        <f>IF('Bản đồ công việc'!X216="","",'Bản đồ công việc'!W216)</f>
        <v>5</v>
      </c>
      <c r="N200" s="67" t="str">
        <f>IF('Bản đồ công việc'!X216="","",'Bản đồ công việc'!X216)</f>
        <v>HHL5DL03-04</v>
      </c>
      <c r="O200" s="67" t="str">
        <f>IF('Bản đồ công việc'!X216="","",'Bản đồ công việc'!Y216)</f>
        <v>HHL4DL03</v>
      </c>
      <c r="P200" s="389" t="str">
        <f>IF('Bản đồ công việc'!X216="","",'Bản đồ công việc'!V216)</f>
        <v>       ├─ Chạy tham số Topdown B2B</v>
      </c>
      <c r="Q200" s="67" t="str">
        <f>IF('Bản đồ công việc'!X216="","",'Bản đồ công việc'!AC216)</f>
        <v>Đã lên lịch</v>
      </c>
      <c r="R200" s="398" t="str">
        <f>IF('Bản đồ công việc'!X216="","",'Bản đồ công việc'!AD216)</f>
        <v/>
      </c>
      <c r="S200" s="67" t="str">
        <f>IF('Bản đồ công việc'!X216="","",'Bản đồ công việc'!Z216)</f>
        <v>Em Đại</v>
      </c>
      <c r="T200" s="67" t="str">
        <f>IF('Bản đồ công việc'!X216="","",'Bản đồ công việc'!AA216)</f>
        <v>Dữ liệu điều hành</v>
      </c>
      <c r="U200" s="358">
        <f>IF('Bản đồ công việc'!X216="","",'Bản đồ công việc'!AE216)</f>
        <v>46307</v>
      </c>
      <c r="V200" s="389" t="str">
        <f>IF('Bản đồ công việc'!X216="","",'Bản đồ công việc'!AI216)</f>
        <v>🟢 Theo kế hoạch</v>
      </c>
      <c r="W200" s="389">
        <f t="shared" si="2"/>
        <v>0</v>
      </c>
      <c r="X200" s="67" t="str">
        <f t="shared" si="3"/>
        <v>HHL4DL03</v>
      </c>
      <c r="Y200" s="389" t="str">
        <f t="shared" ref="Y200:Z200" si="196">IFERROR(INDEX($O$8:$O$684,MATCH(X200,$N$8:$N$684,0)),"")</f>
        <v>HHL3CT03</v>
      </c>
      <c r="Z200" s="389" t="str">
        <f t="shared" si="196"/>
        <v/>
      </c>
      <c r="AA200" s="389">
        <f t="shared" si="5"/>
        <v>1</v>
      </c>
    </row>
    <row r="201" ht="15.75" customHeight="1">
      <c r="F201" s="664"/>
      <c r="I201" s="665"/>
      <c r="M201" s="389">
        <f>IF('Bản đồ công việc'!X217="","",'Bản đồ công việc'!W217)</f>
        <v>5</v>
      </c>
      <c r="N201" s="67" t="str">
        <f>IF('Bản đồ công việc'!X217="","",'Bản đồ công việc'!X217)</f>
        <v>HHL5DL03-05</v>
      </c>
      <c r="O201" s="67" t="str">
        <f>IF('Bản đồ công việc'!X217="","",'Bản đồ công việc'!Y217)</f>
        <v>HHL4DL03</v>
      </c>
      <c r="P201" s="389" t="str">
        <f>IF('Bản đồ công việc'!X217="","",'Bản đồ công việc'!V217)</f>
        <v>       ├─ Chạy tham số Bottom-up theo khu vực vùng miền B2B</v>
      </c>
      <c r="Q201" s="67" t="str">
        <f>IF('Bản đồ công việc'!X217="","",'Bản đồ công việc'!AC217)</f>
        <v>Đã lên lịch</v>
      </c>
      <c r="R201" s="398" t="str">
        <f>IF('Bản đồ công việc'!X217="","",'Bản đồ công việc'!AD217)</f>
        <v/>
      </c>
      <c r="S201" s="67" t="str">
        <f>IF('Bản đồ công việc'!X217="","",'Bản đồ công việc'!Z217)</f>
        <v>Em Đại</v>
      </c>
      <c r="T201" s="67" t="str">
        <f>IF('Bản đồ công việc'!X217="","",'Bản đồ công việc'!AA217)</f>
        <v>Dữ liệu điều hành</v>
      </c>
      <c r="U201" s="358">
        <f>IF('Bản đồ công việc'!X217="","",'Bản đồ công việc'!AE217)</f>
        <v>46320</v>
      </c>
      <c r="V201" s="389" t="str">
        <f>IF('Bản đồ công việc'!X217="","",'Bản đồ công việc'!AI217)</f>
        <v>🟢 Theo kế hoạch</v>
      </c>
      <c r="W201" s="389">
        <f t="shared" si="2"/>
        <v>0</v>
      </c>
      <c r="X201" s="67" t="str">
        <f t="shared" si="3"/>
        <v>HHL4DL03</v>
      </c>
      <c r="Y201" s="389" t="str">
        <f t="shared" ref="Y201:Z201" si="197">IFERROR(INDEX($O$8:$O$684,MATCH(X201,$N$8:$N$684,0)),"")</f>
        <v>HHL3CT03</v>
      </c>
      <c r="Z201" s="389" t="str">
        <f t="shared" si="197"/>
        <v/>
      </c>
      <c r="AA201" s="389">
        <f t="shared" si="5"/>
        <v>1</v>
      </c>
    </row>
    <row r="202" ht="15.75" customHeight="1">
      <c r="F202" s="664"/>
      <c r="I202" s="665"/>
      <c r="M202" s="389">
        <f>IF('Bản đồ công việc'!X218="","",'Bản đồ công việc'!W218)</f>
        <v>5</v>
      </c>
      <c r="N202" s="67" t="str">
        <f>IF('Bản đồ công việc'!X218="","",'Bản đồ công việc'!X218)</f>
        <v>HHL5DL04-01</v>
      </c>
      <c r="O202" s="67" t="str">
        <f>IF('Bản đồ công việc'!X218="","",'Bản đồ công việc'!Y218)</f>
        <v>HHL4DL04</v>
      </c>
      <c r="P202" s="389" t="str">
        <f>IF('Bản đồ công việc'!X218="","",'Bản đồ công việc'!V218)</f>
        <v>       ├─ XD &amp; phản biện công thức (nội bộ) Online</v>
      </c>
      <c r="Q202" s="67" t="str">
        <f>IF('Bản đồ công việc'!X218="","",'Bản đồ công việc'!AC218)</f>
        <v>Chưa bắt đầu</v>
      </c>
      <c r="R202" s="398">
        <f>IF('Bản đồ công việc'!X218="","",'Bản đồ công việc'!AD218)</f>
        <v>0</v>
      </c>
      <c r="S202" s="67" t="str">
        <f>IF('Bản đồ công việc'!X218="","",'Bản đồ công việc'!Z218)</f>
        <v>Em Đại</v>
      </c>
      <c r="T202" s="67" t="str">
        <f>IF('Bản đồ công việc'!X218="","",'Bản đồ công việc'!AA218)</f>
        <v>Dữ liệu điều hành</v>
      </c>
      <c r="U202" s="358">
        <f>IF('Bản đồ công việc'!X218="","",'Bản đồ công việc'!AE218)</f>
        <v>46300</v>
      </c>
      <c r="V202" s="389" t="str">
        <f>IF('Bản đồ công việc'!X218="","",'Bản đồ công việc'!AI218)</f>
        <v>🟢 Theo kế hoạch</v>
      </c>
      <c r="W202" s="389">
        <f t="shared" si="2"/>
        <v>1</v>
      </c>
      <c r="X202" s="67" t="str">
        <f t="shared" si="3"/>
        <v>HHL4DL04</v>
      </c>
      <c r="Y202" s="389" t="str">
        <f t="shared" ref="Y202:Z202" si="198">IFERROR(INDEX($O$8:$O$684,MATCH(X202,$N$8:$N$684,0)),"")</f>
        <v>HHL3CT03</v>
      </c>
      <c r="Z202" s="389" t="str">
        <f t="shared" si="198"/>
        <v/>
      </c>
      <c r="AA202" s="389">
        <f t="shared" si="5"/>
        <v>1</v>
      </c>
    </row>
    <row r="203" ht="15.75" customHeight="1">
      <c r="F203" s="664"/>
      <c r="I203" s="665"/>
      <c r="M203" s="389">
        <f>IF('Bản đồ công việc'!X219="","",'Bản đồ công việc'!W219)</f>
        <v>5</v>
      </c>
      <c r="N203" s="67" t="str">
        <f>IF('Bản đồ công việc'!X219="","",'Bản đồ công việc'!X219)</f>
        <v>HHL5DL04-02</v>
      </c>
      <c r="O203" s="67" t="str">
        <f>IF('Bản đồ công việc'!X219="","",'Bản đồ công việc'!Y219)</f>
        <v>HHL4DL04</v>
      </c>
      <c r="P203" s="389" t="str">
        <f>IF('Bản đồ công việc'!X219="","",'Bản đồ công việc'!V219)</f>
        <v>       ├─ Phản biện với TGĐ &amp; liên PB Online</v>
      </c>
      <c r="Q203" s="67" t="str">
        <f>IF('Bản đồ công việc'!X219="","",'Bản đồ công việc'!AC219)</f>
        <v>Chưa bắt đầu</v>
      </c>
      <c r="R203" s="398">
        <f>IF('Bản đồ công việc'!X219="","",'Bản đồ công việc'!AD219)</f>
        <v>0</v>
      </c>
      <c r="S203" s="67" t="str">
        <f>IF('Bản đồ công việc'!X219="","",'Bản đồ công việc'!Z219)</f>
        <v>Em Đại</v>
      </c>
      <c r="T203" s="67" t="str">
        <f>IF('Bản đồ công việc'!X219="","",'Bản đồ công việc'!AA219)</f>
        <v>Dữ liệu điều hành</v>
      </c>
      <c r="U203" s="358">
        <f>IF('Bản đồ công việc'!X219="","",'Bản đồ công việc'!AE219)</f>
        <v>46310</v>
      </c>
      <c r="V203" s="389" t="str">
        <f>IF('Bản đồ công việc'!X219="","",'Bản đồ công việc'!AI219)</f>
        <v>🟢 Theo kế hoạch</v>
      </c>
      <c r="W203" s="389">
        <f t="shared" si="2"/>
        <v>0</v>
      </c>
      <c r="X203" s="67" t="str">
        <f t="shared" si="3"/>
        <v>HHL4DL04</v>
      </c>
      <c r="Y203" s="389" t="str">
        <f t="shared" ref="Y203:Z203" si="199">IFERROR(INDEX($O$8:$O$684,MATCH(X203,$N$8:$N$684,0)),"")</f>
        <v>HHL3CT03</v>
      </c>
      <c r="Z203" s="389" t="str">
        <f t="shared" si="199"/>
        <v/>
      </c>
      <c r="AA203" s="389">
        <f t="shared" si="5"/>
        <v>1</v>
      </c>
    </row>
    <row r="204" ht="15.75" customHeight="1">
      <c r="F204" s="664"/>
      <c r="I204" s="665"/>
      <c r="M204" s="389">
        <f>IF('Bản đồ công việc'!X220="","",'Bản đồ công việc'!W220)</f>
        <v>5</v>
      </c>
      <c r="N204" s="67" t="str">
        <f>IF('Bản đồ công việc'!X220="","",'Bản đồ công việc'!X220)</f>
        <v>HHL5DL04-03</v>
      </c>
      <c r="O204" s="67" t="str">
        <f>IF('Bản đồ công việc'!X220="","",'Bản đồ công việc'!Y220)</f>
        <v>HHL4DL04</v>
      </c>
      <c r="P204" s="389" t="str">
        <f>IF('Bản đồ công việc'!X220="","",'Bản đồ công việc'!V220)</f>
        <v>       ├─ XD bảng Excel &amp; HT phần mềm (chạy demo) Online</v>
      </c>
      <c r="Q204" s="67" t="str">
        <f>IF('Bản đồ công việc'!X220="","",'Bản đồ công việc'!AC220)</f>
        <v>Chưa bắt đầu</v>
      </c>
      <c r="R204" s="398">
        <f>IF('Bản đồ công việc'!X220="","",'Bản đồ công việc'!AD220)</f>
        <v>0</v>
      </c>
      <c r="S204" s="67" t="str">
        <f>IF('Bản đồ công việc'!X220="","",'Bản đồ công việc'!Z220)</f>
        <v>Em Đại</v>
      </c>
      <c r="T204" s="67" t="str">
        <f>IF('Bản đồ công việc'!X220="","",'Bản đồ công việc'!AA220)</f>
        <v>Dữ liệu điều hành</v>
      </c>
      <c r="U204" s="358">
        <f>IF('Bản đồ công việc'!X220="","",'Bản đồ công việc'!AE220)</f>
        <v>46275</v>
      </c>
      <c r="V204" s="389" t="str">
        <f>IF('Bản đồ công việc'!X220="","",'Bản đồ công việc'!AI220)</f>
        <v>🟢 Theo kế hoạch</v>
      </c>
      <c r="W204" s="389">
        <f t="shared" si="2"/>
        <v>0</v>
      </c>
      <c r="X204" s="67" t="str">
        <f t="shared" si="3"/>
        <v>HHL4DL04</v>
      </c>
      <c r="Y204" s="389" t="str">
        <f t="shared" ref="Y204:Z204" si="200">IFERROR(INDEX($O$8:$O$684,MATCH(X204,$N$8:$N$684,0)),"")</f>
        <v>HHL3CT03</v>
      </c>
      <c r="Z204" s="389" t="str">
        <f t="shared" si="200"/>
        <v/>
      </c>
      <c r="AA204" s="389">
        <f t="shared" si="5"/>
        <v>1</v>
      </c>
    </row>
    <row r="205" ht="15.75" customHeight="1">
      <c r="F205" s="664"/>
      <c r="I205" s="665"/>
      <c r="M205" s="389">
        <f>IF('Bản đồ công việc'!X221="","",'Bản đồ công việc'!W221)</f>
        <v>5</v>
      </c>
      <c r="N205" s="67" t="str">
        <f>IF('Bản đồ công việc'!X221="","",'Bản đồ công việc'!X221)</f>
        <v>HHL5DL04-04</v>
      </c>
      <c r="O205" s="67" t="str">
        <f>IF('Bản đồ công việc'!X221="","",'Bản đồ công việc'!Y221)</f>
        <v>HHL4DL04</v>
      </c>
      <c r="P205" s="389" t="str">
        <f>IF('Bản đồ công việc'!X221="","",'Bản đồ công việc'!V221)</f>
        <v>       ├─ Chạy tham số Topdown Online</v>
      </c>
      <c r="Q205" s="67" t="str">
        <f>IF('Bản đồ công việc'!X221="","",'Bản đồ công việc'!AC221)</f>
        <v>Đã lên lịch</v>
      </c>
      <c r="R205" s="398" t="str">
        <f>IF('Bản đồ công việc'!X221="","",'Bản đồ công việc'!AD221)</f>
        <v/>
      </c>
      <c r="S205" s="67" t="str">
        <f>IF('Bản đồ công việc'!X221="","",'Bản đồ công việc'!Z221)</f>
        <v>Em Đại</v>
      </c>
      <c r="T205" s="67" t="str">
        <f>IF('Bản đồ công việc'!X221="","",'Bản đồ công việc'!AA221)</f>
        <v>Dữ liệu điều hành</v>
      </c>
      <c r="U205" s="358">
        <f>IF('Bản đồ công việc'!X221="","",'Bản đồ công việc'!AE221)</f>
        <v>46307</v>
      </c>
      <c r="V205" s="389" t="str">
        <f>IF('Bản đồ công việc'!X221="","",'Bản đồ công việc'!AI221)</f>
        <v>🟢 Theo kế hoạch</v>
      </c>
      <c r="W205" s="389">
        <f t="shared" si="2"/>
        <v>0</v>
      </c>
      <c r="X205" s="67" t="str">
        <f t="shared" si="3"/>
        <v>HHL4DL04</v>
      </c>
      <c r="Y205" s="389" t="str">
        <f t="shared" ref="Y205:Z205" si="201">IFERROR(INDEX($O$8:$O$684,MATCH(X205,$N$8:$N$684,0)),"")</f>
        <v>HHL3CT03</v>
      </c>
      <c r="Z205" s="389" t="str">
        <f t="shared" si="201"/>
        <v/>
      </c>
      <c r="AA205" s="389">
        <f t="shared" si="5"/>
        <v>1</v>
      </c>
    </row>
    <row r="206" ht="15.75" customHeight="1">
      <c r="F206" s="664"/>
      <c r="I206" s="665"/>
      <c r="M206" s="389">
        <f>IF('Bản đồ công việc'!X222="","",'Bản đồ công việc'!W222)</f>
        <v>5</v>
      </c>
      <c r="N206" s="67" t="str">
        <f>IF('Bản đồ công việc'!X222="","",'Bản đồ công việc'!X222)</f>
        <v>HHL5DL04-05</v>
      </c>
      <c r="O206" s="67" t="str">
        <f>IF('Bản đồ công việc'!X222="","",'Bản đồ công việc'!Y222)</f>
        <v>HHL4DL04</v>
      </c>
      <c r="P206" s="389" t="str">
        <f>IF('Bản đồ công việc'!X222="","",'Bản đồ công việc'!V222)</f>
        <v>       ├─ Chạy tham số Bottom-up theo khu vực vùng miền  Online</v>
      </c>
      <c r="Q206" s="67" t="str">
        <f>IF('Bản đồ công việc'!X222="","",'Bản đồ công việc'!AC222)</f>
        <v>Đã lên lịch</v>
      </c>
      <c r="R206" s="398" t="str">
        <f>IF('Bản đồ công việc'!X222="","",'Bản đồ công việc'!AD222)</f>
        <v/>
      </c>
      <c r="S206" s="67" t="str">
        <f>IF('Bản đồ công việc'!X222="","",'Bản đồ công việc'!Z222)</f>
        <v>Em Đại</v>
      </c>
      <c r="T206" s="67" t="str">
        <f>IF('Bản đồ công việc'!X222="","",'Bản đồ công việc'!AA222)</f>
        <v>Dữ liệu điều hành</v>
      </c>
      <c r="U206" s="358">
        <f>IF('Bản đồ công việc'!X222="","",'Bản đồ công việc'!AE222)</f>
        <v>46320</v>
      </c>
      <c r="V206" s="389" t="str">
        <f>IF('Bản đồ công việc'!X222="","",'Bản đồ công việc'!AI222)</f>
        <v>🟢 Theo kế hoạch</v>
      </c>
      <c r="W206" s="389">
        <f t="shared" si="2"/>
        <v>0</v>
      </c>
      <c r="X206" s="67" t="str">
        <f t="shared" si="3"/>
        <v>HHL4DL04</v>
      </c>
      <c r="Y206" s="389" t="str">
        <f t="shared" ref="Y206:Z206" si="202">IFERROR(INDEX($O$8:$O$684,MATCH(X206,$N$8:$N$684,0)),"")</f>
        <v>HHL3CT03</v>
      </c>
      <c r="Z206" s="389" t="str">
        <f t="shared" si="202"/>
        <v/>
      </c>
      <c r="AA206" s="389">
        <f t="shared" si="5"/>
        <v>1</v>
      </c>
    </row>
    <row r="207" ht="15.75" customHeight="1">
      <c r="F207" s="664"/>
      <c r="I207" s="665"/>
      <c r="M207" s="389">
        <f>IF('Bản đồ công việc'!X223="","",'Bản đồ công việc'!W223)</f>
        <v>5</v>
      </c>
      <c r="N207" s="67" t="str">
        <f>IF('Bản đồ công việc'!X223="","",'Bản đồ công việc'!X223)</f>
        <v>HHL5DL05-01</v>
      </c>
      <c r="O207" s="67" t="str">
        <f>IF('Bản đồ công việc'!X223="","",'Bản đồ công việc'!Y223)</f>
        <v>HHL4DL05</v>
      </c>
      <c r="P207" s="389" t="str">
        <f>IF('Bản đồ công việc'!X223="","",'Bản đồ công việc'!V223)</f>
        <v>       ├─ XD &amp; phản biện công thức (nội bộ) XK</v>
      </c>
      <c r="Q207" s="67" t="str">
        <f>IF('Bản đồ công việc'!X223="","",'Bản đồ công việc'!AC223)</f>
        <v>Chưa bắt đầu</v>
      </c>
      <c r="R207" s="398">
        <f>IF('Bản đồ công việc'!X223="","",'Bản đồ công việc'!AD223)</f>
        <v>0</v>
      </c>
      <c r="S207" s="67" t="str">
        <f>IF('Bản đồ công việc'!X223="","",'Bản đồ công việc'!Z223)</f>
        <v>Em Đại</v>
      </c>
      <c r="T207" s="67" t="str">
        <f>IF('Bản đồ công việc'!X223="","",'Bản đồ công việc'!AA223)</f>
        <v>Dữ liệu điều hành</v>
      </c>
      <c r="U207" s="358">
        <f>IF('Bản đồ công việc'!X223="","",'Bản đồ công việc'!AE223)</f>
        <v>46300</v>
      </c>
      <c r="V207" s="389" t="str">
        <f>IF('Bản đồ công việc'!X223="","",'Bản đồ công việc'!AI223)</f>
        <v>🟢 Theo kế hoạch</v>
      </c>
      <c r="W207" s="389">
        <f t="shared" si="2"/>
        <v>1</v>
      </c>
      <c r="X207" s="67" t="str">
        <f t="shared" si="3"/>
        <v>HHL4DL05</v>
      </c>
      <c r="Y207" s="389" t="str">
        <f t="shared" ref="Y207:Z207" si="203">IFERROR(INDEX($O$8:$O$684,MATCH(X207,$N$8:$N$684,0)),"")</f>
        <v>HHL3CT03</v>
      </c>
      <c r="Z207" s="389" t="str">
        <f t="shared" si="203"/>
        <v/>
      </c>
      <c r="AA207" s="389">
        <f t="shared" si="5"/>
        <v>1</v>
      </c>
    </row>
    <row r="208" ht="15.75" customHeight="1">
      <c r="F208" s="664"/>
      <c r="I208" s="665"/>
      <c r="M208" s="389">
        <f>IF('Bản đồ công việc'!X224="","",'Bản đồ công việc'!W224)</f>
        <v>5</v>
      </c>
      <c r="N208" s="67" t="str">
        <f>IF('Bản đồ công việc'!X224="","",'Bản đồ công việc'!X224)</f>
        <v>HHL5DL05-02</v>
      </c>
      <c r="O208" s="67" t="str">
        <f>IF('Bản đồ công việc'!X224="","",'Bản đồ công việc'!Y224)</f>
        <v>HHL4DL05</v>
      </c>
      <c r="P208" s="389" t="str">
        <f>IF('Bản đồ công việc'!X224="","",'Bản đồ công việc'!V224)</f>
        <v>       ├─ Phản biện với TGĐ &amp; liên PB XK</v>
      </c>
      <c r="Q208" s="67" t="str">
        <f>IF('Bản đồ công việc'!X224="","",'Bản đồ công việc'!AC224)</f>
        <v>Chưa bắt đầu</v>
      </c>
      <c r="R208" s="398">
        <f>IF('Bản đồ công việc'!X224="","",'Bản đồ công việc'!AD224)</f>
        <v>0</v>
      </c>
      <c r="S208" s="67" t="str">
        <f>IF('Bản đồ công việc'!X224="","",'Bản đồ công việc'!Z224)</f>
        <v>Em Đại</v>
      </c>
      <c r="T208" s="67" t="str">
        <f>IF('Bản đồ công việc'!X224="","",'Bản đồ công việc'!AA224)</f>
        <v>Dữ liệu điều hành</v>
      </c>
      <c r="U208" s="358">
        <f>IF('Bản đồ công việc'!X224="","",'Bản đồ công việc'!AE224)</f>
        <v>46310</v>
      </c>
      <c r="V208" s="389" t="str">
        <f>IF('Bản đồ công việc'!X224="","",'Bản đồ công việc'!AI224)</f>
        <v>🟢 Theo kế hoạch</v>
      </c>
      <c r="W208" s="389">
        <f t="shared" si="2"/>
        <v>0</v>
      </c>
      <c r="X208" s="67" t="str">
        <f t="shared" si="3"/>
        <v>HHL4DL05</v>
      </c>
      <c r="Y208" s="389" t="str">
        <f t="shared" ref="Y208:Z208" si="204">IFERROR(INDEX($O$8:$O$684,MATCH(X208,$N$8:$N$684,0)),"")</f>
        <v>HHL3CT03</v>
      </c>
      <c r="Z208" s="389" t="str">
        <f t="shared" si="204"/>
        <v/>
      </c>
      <c r="AA208" s="389">
        <f t="shared" si="5"/>
        <v>1</v>
      </c>
    </row>
    <row r="209" ht="15.75" customHeight="1">
      <c r="F209" s="664"/>
      <c r="I209" s="665"/>
      <c r="M209" s="389">
        <f>IF('Bản đồ công việc'!X225="","",'Bản đồ công việc'!W225)</f>
        <v>5</v>
      </c>
      <c r="N209" s="67" t="str">
        <f>IF('Bản đồ công việc'!X225="","",'Bản đồ công việc'!X225)</f>
        <v>HHL5DL05-03</v>
      </c>
      <c r="O209" s="67" t="str">
        <f>IF('Bản đồ công việc'!X225="","",'Bản đồ công việc'!Y225)</f>
        <v>HHL4DL05</v>
      </c>
      <c r="P209" s="389" t="str">
        <f>IF('Bản đồ công việc'!X225="","",'Bản đồ công việc'!V225)</f>
        <v>       ├─ XD bảng Excel &amp; HT phần mềm (chạy demo) XK</v>
      </c>
      <c r="Q209" s="67" t="str">
        <f>IF('Bản đồ công việc'!X225="","",'Bản đồ công việc'!AC225)</f>
        <v>Chưa bắt đầu</v>
      </c>
      <c r="R209" s="398">
        <f>IF('Bản đồ công việc'!X225="","",'Bản đồ công việc'!AD225)</f>
        <v>0</v>
      </c>
      <c r="S209" s="67" t="str">
        <f>IF('Bản đồ công việc'!X225="","",'Bản đồ công việc'!Z225)</f>
        <v>Em Đại</v>
      </c>
      <c r="T209" s="67" t="str">
        <f>IF('Bản đồ công việc'!X225="","",'Bản đồ công việc'!AA225)</f>
        <v>Dữ liệu điều hành</v>
      </c>
      <c r="U209" s="358">
        <f>IF('Bản đồ công việc'!X225="","",'Bản đồ công việc'!AE225)</f>
        <v>46305</v>
      </c>
      <c r="V209" s="389" t="str">
        <f>IF('Bản đồ công việc'!X225="","",'Bản đồ công việc'!AI225)</f>
        <v>🟢 Theo kế hoạch</v>
      </c>
      <c r="W209" s="389">
        <f t="shared" si="2"/>
        <v>0</v>
      </c>
      <c r="X209" s="67" t="str">
        <f t="shared" si="3"/>
        <v>HHL4DL05</v>
      </c>
      <c r="Y209" s="389" t="str">
        <f t="shared" ref="Y209:Z209" si="205">IFERROR(INDEX($O$8:$O$684,MATCH(X209,$N$8:$N$684,0)),"")</f>
        <v>HHL3CT03</v>
      </c>
      <c r="Z209" s="389" t="str">
        <f t="shared" si="205"/>
        <v/>
      </c>
      <c r="AA209" s="389">
        <f t="shared" si="5"/>
        <v>1</v>
      </c>
    </row>
    <row r="210" ht="15.75" customHeight="1">
      <c r="F210" s="664"/>
      <c r="I210" s="665"/>
      <c r="M210" s="389">
        <f>IF('Bản đồ công việc'!X226="","",'Bản đồ công việc'!W226)</f>
        <v>5</v>
      </c>
      <c r="N210" s="67" t="str">
        <f>IF('Bản đồ công việc'!X226="","",'Bản đồ công việc'!X226)</f>
        <v>HHL5DL05-04</v>
      </c>
      <c r="O210" s="67" t="str">
        <f>IF('Bản đồ công việc'!X226="","",'Bản đồ công việc'!Y226)</f>
        <v>HHL4DL05</v>
      </c>
      <c r="P210" s="389" t="str">
        <f>IF('Bản đồ công việc'!X226="","",'Bản đồ công việc'!V226)</f>
        <v>       ├─ Chạy tham số Topdown XK</v>
      </c>
      <c r="Q210" s="67" t="str">
        <f>IF('Bản đồ công việc'!X226="","",'Bản đồ công việc'!AC226)</f>
        <v>Đã lên lịch</v>
      </c>
      <c r="R210" s="398" t="str">
        <f>IF('Bản đồ công việc'!X226="","",'Bản đồ công việc'!AD226)</f>
        <v/>
      </c>
      <c r="S210" s="67" t="str">
        <f>IF('Bản đồ công việc'!X226="","",'Bản đồ công việc'!Z226)</f>
        <v>Em Đại</v>
      </c>
      <c r="T210" s="67" t="str">
        <f>IF('Bản đồ công việc'!X226="","",'Bản đồ công việc'!AA226)</f>
        <v>Dữ liệu điều hành</v>
      </c>
      <c r="U210" s="358">
        <f>IF('Bản đồ công việc'!X226="","",'Bản đồ công việc'!AE226)</f>
        <v>46307</v>
      </c>
      <c r="V210" s="389" t="str">
        <f>IF('Bản đồ công việc'!X226="","",'Bản đồ công việc'!AI226)</f>
        <v>🟢 Theo kế hoạch</v>
      </c>
      <c r="W210" s="389">
        <f t="shared" si="2"/>
        <v>0</v>
      </c>
      <c r="X210" s="67" t="str">
        <f t="shared" si="3"/>
        <v>HHL4DL05</v>
      </c>
      <c r="Y210" s="389" t="str">
        <f t="shared" ref="Y210:Z210" si="206">IFERROR(INDEX($O$8:$O$684,MATCH(X210,$N$8:$N$684,0)),"")</f>
        <v>HHL3CT03</v>
      </c>
      <c r="Z210" s="389" t="str">
        <f t="shared" si="206"/>
        <v/>
      </c>
      <c r="AA210" s="389">
        <f t="shared" si="5"/>
        <v>1</v>
      </c>
    </row>
    <row r="211" ht="15.75" customHeight="1">
      <c r="F211" s="664"/>
      <c r="I211" s="665"/>
      <c r="M211" s="389">
        <f>IF('Bản đồ công việc'!X227="","",'Bản đồ công việc'!W227)</f>
        <v>5</v>
      </c>
      <c r="N211" s="67" t="str">
        <f>IF('Bản đồ công việc'!X227="","",'Bản đồ công việc'!X227)</f>
        <v>HHL5DL05-05</v>
      </c>
      <c r="O211" s="67" t="str">
        <f>IF('Bản đồ công việc'!X227="","",'Bản đồ công việc'!Y227)</f>
        <v>HHL4DL05</v>
      </c>
      <c r="P211" s="389" t="str">
        <f>IF('Bản đồ công việc'!X227="","",'Bản đồ công việc'!V227)</f>
        <v>       ├─ Chạy tham số Bottom-up theo khu vực vùng miền XK</v>
      </c>
      <c r="Q211" s="67" t="str">
        <f>IF('Bản đồ công việc'!X227="","",'Bản đồ công việc'!AC227)</f>
        <v>Đã lên lịch</v>
      </c>
      <c r="R211" s="398" t="str">
        <f>IF('Bản đồ công việc'!X227="","",'Bản đồ công việc'!AD227)</f>
        <v/>
      </c>
      <c r="S211" s="67" t="str">
        <f>IF('Bản đồ công việc'!X227="","",'Bản đồ công việc'!Z227)</f>
        <v>Em Đại</v>
      </c>
      <c r="T211" s="67" t="str">
        <f>IF('Bản đồ công việc'!X227="","",'Bản đồ công việc'!AA227)</f>
        <v>Dữ liệu điều hành</v>
      </c>
      <c r="U211" s="358">
        <f>IF('Bản đồ công việc'!X227="","",'Bản đồ công việc'!AE227)</f>
        <v>46320</v>
      </c>
      <c r="V211" s="389" t="str">
        <f>IF('Bản đồ công việc'!X227="","",'Bản đồ công việc'!AI227)</f>
        <v>🟢 Theo kế hoạch</v>
      </c>
      <c r="W211" s="389">
        <f t="shared" si="2"/>
        <v>0</v>
      </c>
      <c r="X211" s="67" t="str">
        <f t="shared" si="3"/>
        <v>HHL4DL05</v>
      </c>
      <c r="Y211" s="389" t="str">
        <f t="shared" ref="Y211:Z211" si="207">IFERROR(INDEX($O$8:$O$684,MATCH(X211,$N$8:$N$684,0)),"")</f>
        <v>HHL3CT03</v>
      </c>
      <c r="Z211" s="389" t="str">
        <f t="shared" si="207"/>
        <v/>
      </c>
      <c r="AA211" s="389">
        <f t="shared" si="5"/>
        <v>1</v>
      </c>
    </row>
    <row r="212" ht="15.75" customHeight="1">
      <c r="F212" s="664"/>
      <c r="I212" s="665"/>
      <c r="M212" s="389">
        <f>IF('Bản đồ công việc'!X228="","",'Bản đồ công việc'!W228)</f>
        <v>5</v>
      </c>
      <c r="N212" s="67" t="str">
        <f>IF('Bản đồ công việc'!X228="","",'Bản đồ công việc'!X228)</f>
        <v>HHL5DL06-01</v>
      </c>
      <c r="O212" s="67" t="str">
        <f>IF('Bản đồ công việc'!X228="","",'Bản đồ công việc'!Y228)</f>
        <v>HHL4DL06</v>
      </c>
      <c r="P212" s="389" t="str">
        <f>IF('Bản đồ công việc'!X228="","",'Bản đồ công việc'!V228)</f>
        <v>       ├─ XD &amp; phản biện công thức (nội bộ) Showroom</v>
      </c>
      <c r="Q212" s="67" t="str">
        <f>IF('Bản đồ công việc'!X228="","",'Bản đồ công việc'!AC228)</f>
        <v>Chưa bắt đầu</v>
      </c>
      <c r="R212" s="398">
        <f>IF('Bản đồ công việc'!X228="","",'Bản đồ công việc'!AD228)</f>
        <v>0</v>
      </c>
      <c r="S212" s="67" t="str">
        <f>IF('Bản đồ công việc'!X228="","",'Bản đồ công việc'!Z228)</f>
        <v>Em Đại</v>
      </c>
      <c r="T212" s="67" t="str">
        <f>IF('Bản đồ công việc'!X228="","",'Bản đồ công việc'!AA228)</f>
        <v>Dữ liệu điều hành</v>
      </c>
      <c r="U212" s="358">
        <f>IF('Bản đồ công việc'!X228="","",'Bản đồ công việc'!AE228)</f>
        <v>46300</v>
      </c>
      <c r="V212" s="389" t="str">
        <f>IF('Bản đồ công việc'!X228="","",'Bản đồ công việc'!AI228)</f>
        <v>🟢 Theo kế hoạch</v>
      </c>
      <c r="W212" s="389">
        <f t="shared" si="2"/>
        <v>1</v>
      </c>
      <c r="X212" s="67" t="str">
        <f t="shared" si="3"/>
        <v>HHL4DL06</v>
      </c>
      <c r="Y212" s="389" t="str">
        <f t="shared" ref="Y212:Z212" si="208">IFERROR(INDEX($O$8:$O$684,MATCH(X212,$N$8:$N$684,0)),"")</f>
        <v>HHL3CT03</v>
      </c>
      <c r="Z212" s="389" t="str">
        <f t="shared" si="208"/>
        <v/>
      </c>
      <c r="AA212" s="389">
        <f t="shared" si="5"/>
        <v>1</v>
      </c>
    </row>
    <row r="213" ht="15.75" customHeight="1">
      <c r="F213" s="664"/>
      <c r="I213" s="665"/>
      <c r="M213" s="389">
        <f>IF('Bản đồ công việc'!X229="","",'Bản đồ công việc'!W229)</f>
        <v>5</v>
      </c>
      <c r="N213" s="67" t="str">
        <f>IF('Bản đồ công việc'!X229="","",'Bản đồ công việc'!X229)</f>
        <v>HHL5DL06-02</v>
      </c>
      <c r="O213" s="67" t="str">
        <f>IF('Bản đồ công việc'!X229="","",'Bản đồ công việc'!Y229)</f>
        <v>HHL4DL06</v>
      </c>
      <c r="P213" s="389" t="str">
        <f>IF('Bản đồ công việc'!X229="","",'Bản đồ công việc'!V229)</f>
        <v>       ├─ Phản biện với TGĐ &amp; liên PB Showroom</v>
      </c>
      <c r="Q213" s="67" t="str">
        <f>IF('Bản đồ công việc'!X229="","",'Bản đồ công việc'!AC229)</f>
        <v>Chưa bắt đầu</v>
      </c>
      <c r="R213" s="398">
        <f>IF('Bản đồ công việc'!X229="","",'Bản đồ công việc'!AD229)</f>
        <v>0</v>
      </c>
      <c r="S213" s="67" t="str">
        <f>IF('Bản đồ công việc'!X229="","",'Bản đồ công việc'!Z229)</f>
        <v>Em Đại</v>
      </c>
      <c r="T213" s="67" t="str">
        <f>IF('Bản đồ công việc'!X229="","",'Bản đồ công việc'!AA229)</f>
        <v>Dữ liệu điều hành</v>
      </c>
      <c r="U213" s="358">
        <f>IF('Bản đồ công việc'!X229="","",'Bản đồ công việc'!AE229)</f>
        <v>46310</v>
      </c>
      <c r="V213" s="389" t="str">
        <f>IF('Bản đồ công việc'!X229="","",'Bản đồ công việc'!AI229)</f>
        <v>🟢 Theo kế hoạch</v>
      </c>
      <c r="W213" s="389">
        <f t="shared" si="2"/>
        <v>0</v>
      </c>
      <c r="X213" s="67" t="str">
        <f t="shared" si="3"/>
        <v>HHL4DL06</v>
      </c>
      <c r="Y213" s="389" t="str">
        <f t="shared" ref="Y213:Z213" si="209">IFERROR(INDEX($O$8:$O$684,MATCH(X213,$N$8:$N$684,0)),"")</f>
        <v>HHL3CT03</v>
      </c>
      <c r="Z213" s="389" t="str">
        <f t="shared" si="209"/>
        <v/>
      </c>
      <c r="AA213" s="389">
        <f t="shared" si="5"/>
        <v>1</v>
      </c>
    </row>
    <row r="214" ht="15.75" customHeight="1">
      <c r="F214" s="664"/>
      <c r="I214" s="665"/>
      <c r="M214" s="389">
        <f>IF('Bản đồ công việc'!X230="","",'Bản đồ công việc'!W230)</f>
        <v>5</v>
      </c>
      <c r="N214" s="67" t="str">
        <f>IF('Bản đồ công việc'!X230="","",'Bản đồ công việc'!X230)</f>
        <v>HHL5DL06-03</v>
      </c>
      <c r="O214" s="67" t="str">
        <f>IF('Bản đồ công việc'!X230="","",'Bản đồ công việc'!Y230)</f>
        <v>HHL4DL06</v>
      </c>
      <c r="P214" s="389" t="str">
        <f>IF('Bản đồ công việc'!X230="","",'Bản đồ công việc'!V230)</f>
        <v>       ├─ XD bảng Excel &amp; HT phần mềm (chạy demo) Showroom</v>
      </c>
      <c r="Q214" s="67" t="str">
        <f>IF('Bản đồ công việc'!X230="","",'Bản đồ công việc'!AC230)</f>
        <v>Chưa bắt đầu</v>
      </c>
      <c r="R214" s="398">
        <f>IF('Bản đồ công việc'!X230="","",'Bản đồ công việc'!AD230)</f>
        <v>0</v>
      </c>
      <c r="S214" s="67" t="str">
        <f>IF('Bản đồ công việc'!X230="","",'Bản đồ công việc'!Z230)</f>
        <v>Em Đại</v>
      </c>
      <c r="T214" s="67" t="str">
        <f>IF('Bản đồ công việc'!X230="","",'Bản đồ công việc'!AA230)</f>
        <v>Dữ liệu điều hành</v>
      </c>
      <c r="U214" s="358">
        <f>IF('Bản đồ công việc'!X230="","",'Bản đồ công việc'!AE230)</f>
        <v>46305</v>
      </c>
      <c r="V214" s="389" t="str">
        <f>IF('Bản đồ công việc'!X230="","",'Bản đồ công việc'!AI230)</f>
        <v>🟢 Theo kế hoạch</v>
      </c>
      <c r="W214" s="389">
        <f t="shared" si="2"/>
        <v>0</v>
      </c>
      <c r="X214" s="67" t="str">
        <f t="shared" si="3"/>
        <v>HHL4DL06</v>
      </c>
      <c r="Y214" s="389" t="str">
        <f t="shared" ref="Y214:Z214" si="210">IFERROR(INDEX($O$8:$O$684,MATCH(X214,$N$8:$N$684,0)),"")</f>
        <v>HHL3CT03</v>
      </c>
      <c r="Z214" s="389" t="str">
        <f t="shared" si="210"/>
        <v/>
      </c>
      <c r="AA214" s="389">
        <f t="shared" si="5"/>
        <v>1</v>
      </c>
    </row>
    <row r="215" ht="15.75" customHeight="1">
      <c r="F215" s="664"/>
      <c r="I215" s="665"/>
      <c r="M215" s="389">
        <f>IF('Bản đồ công việc'!X231="","",'Bản đồ công việc'!W231)</f>
        <v>5</v>
      </c>
      <c r="N215" s="67" t="str">
        <f>IF('Bản đồ công việc'!X231="","",'Bản đồ công việc'!X231)</f>
        <v>HHL5DL06-04</v>
      </c>
      <c r="O215" s="67" t="str">
        <f>IF('Bản đồ công việc'!X231="","",'Bản đồ công việc'!Y231)</f>
        <v>HHL4DL06</v>
      </c>
      <c r="P215" s="389" t="str">
        <f>IF('Bản đồ công việc'!X231="","",'Bản đồ công việc'!V231)</f>
        <v>       ├─ Chạy tham số. Topdown Showroom</v>
      </c>
      <c r="Q215" s="67" t="str">
        <f>IF('Bản đồ công việc'!X231="","",'Bản đồ công việc'!AC231)</f>
        <v>Đã lên lịch</v>
      </c>
      <c r="R215" s="398" t="str">
        <f>IF('Bản đồ công việc'!X231="","",'Bản đồ công việc'!AD231)</f>
        <v/>
      </c>
      <c r="S215" s="67" t="str">
        <f>IF('Bản đồ công việc'!X231="","",'Bản đồ công việc'!Z231)</f>
        <v>Em Đại</v>
      </c>
      <c r="T215" s="67" t="str">
        <f>IF('Bản đồ công việc'!X231="","",'Bản đồ công việc'!AA231)</f>
        <v>Dữ liệu điều hành</v>
      </c>
      <c r="U215" s="358">
        <f>IF('Bản đồ công việc'!X231="","",'Bản đồ công việc'!AE231)</f>
        <v>46307</v>
      </c>
      <c r="V215" s="389" t="str">
        <f>IF('Bản đồ công việc'!X231="","",'Bản đồ công việc'!AI231)</f>
        <v>🟢 Theo kế hoạch</v>
      </c>
      <c r="W215" s="389">
        <f t="shared" si="2"/>
        <v>0</v>
      </c>
      <c r="X215" s="67" t="str">
        <f t="shared" si="3"/>
        <v>HHL4DL06</v>
      </c>
      <c r="Y215" s="389" t="str">
        <f t="shared" ref="Y215:Z215" si="211">IFERROR(INDEX($O$8:$O$684,MATCH(X215,$N$8:$N$684,0)),"")</f>
        <v>HHL3CT03</v>
      </c>
      <c r="Z215" s="389" t="str">
        <f t="shared" si="211"/>
        <v/>
      </c>
      <c r="AA215" s="389">
        <f t="shared" si="5"/>
        <v>1</v>
      </c>
    </row>
    <row r="216" ht="15.75" customHeight="1">
      <c r="F216" s="664"/>
      <c r="I216" s="665"/>
      <c r="M216" s="389">
        <f>IF('Bản đồ công việc'!X232="","",'Bản đồ công việc'!W232)</f>
        <v>5</v>
      </c>
      <c r="N216" s="67" t="str">
        <f>IF('Bản đồ công việc'!X232="","",'Bản đồ công việc'!X232)</f>
        <v>HHL5DL06-05</v>
      </c>
      <c r="O216" s="67" t="str">
        <f>IF('Bản đồ công việc'!X232="","",'Bản đồ công việc'!Y232)</f>
        <v>HHL4DL06</v>
      </c>
      <c r="P216" s="389" t="str">
        <f>IF('Bản đồ công việc'!X232="","",'Bản đồ công việc'!V232)</f>
        <v>       ├─ Chạy tham số Bottom-up theo khu vực vùng miền Showroom</v>
      </c>
      <c r="Q216" s="67" t="str">
        <f>IF('Bản đồ công việc'!X232="","",'Bản đồ công việc'!AC232)</f>
        <v>Đã lên lịch</v>
      </c>
      <c r="R216" s="398" t="str">
        <f>IF('Bản đồ công việc'!X232="","",'Bản đồ công việc'!AD232)</f>
        <v/>
      </c>
      <c r="S216" s="67" t="str">
        <f>IF('Bản đồ công việc'!X232="","",'Bản đồ công việc'!Z232)</f>
        <v>Em Đại</v>
      </c>
      <c r="T216" s="67" t="str">
        <f>IF('Bản đồ công việc'!X232="","",'Bản đồ công việc'!AA232)</f>
        <v>Dữ liệu điều hành</v>
      </c>
      <c r="U216" s="358">
        <f>IF('Bản đồ công việc'!X232="","",'Bản đồ công việc'!AE232)</f>
        <v>46320</v>
      </c>
      <c r="V216" s="389" t="str">
        <f>IF('Bản đồ công việc'!X232="","",'Bản đồ công việc'!AI232)</f>
        <v>🟢 Theo kế hoạch</v>
      </c>
      <c r="W216" s="389">
        <f t="shared" si="2"/>
        <v>0</v>
      </c>
      <c r="X216" s="67" t="str">
        <f t="shared" si="3"/>
        <v>HHL4DL06</v>
      </c>
      <c r="Y216" s="389" t="str">
        <f t="shared" ref="Y216:Z216" si="212">IFERROR(INDEX($O$8:$O$684,MATCH(X216,$N$8:$N$684,0)),"")</f>
        <v>HHL3CT03</v>
      </c>
      <c r="Z216" s="389" t="str">
        <f t="shared" si="212"/>
        <v/>
      </c>
      <c r="AA216" s="389">
        <f t="shared" si="5"/>
        <v>1</v>
      </c>
    </row>
    <row r="217" ht="15.75" customHeight="1">
      <c r="F217" s="664"/>
      <c r="I217" s="665"/>
      <c r="M217" s="389">
        <f>IF('Bản đồ công việc'!X233="","",'Bản đồ công việc'!W233)</f>
        <v>5</v>
      </c>
      <c r="N217" s="67" t="str">
        <f>IF('Bản đồ công việc'!X233="","",'Bản đồ công việc'!X233)</f>
        <v>HHL5DL07-01</v>
      </c>
      <c r="O217" s="67" t="str">
        <f>IF('Bản đồ công việc'!X233="","",'Bản đồ công việc'!Y233)</f>
        <v>HHL4DL07</v>
      </c>
      <c r="P217" s="389" t="str">
        <f>IF('Bản đồ công việc'!X233="","",'Bản đồ công việc'!V233)</f>
        <v>       ├─ Chốt đề bài DL phần mềm</v>
      </c>
      <c r="Q217" s="67" t="str">
        <f>IF('Bản đồ công việc'!X233="","",'Bản đồ công việc'!AC233)</f>
        <v>Chưa bắt đầu</v>
      </c>
      <c r="R217" s="398">
        <f>IF('Bản đồ công việc'!X233="","",'Bản đồ công việc'!AD233)</f>
        <v>0</v>
      </c>
      <c r="S217" s="67" t="str">
        <f>IF('Bản đồ công việc'!X233="","",'Bản đồ công việc'!Z233)</f>
        <v>Em Đại</v>
      </c>
      <c r="T217" s="67" t="str">
        <f>IF('Bản đồ công việc'!X233="","",'Bản đồ công việc'!AA233)</f>
        <v>Dữ liệu điều hành</v>
      </c>
      <c r="U217" s="358">
        <f>IF('Bản đồ công việc'!X233="","",'Bản đồ công việc'!AE233)</f>
        <v>46310</v>
      </c>
      <c r="V217" s="389" t="str">
        <f>IF('Bản đồ công việc'!X233="","",'Bản đồ công việc'!AI233)</f>
        <v>🟢 Theo kế hoạch</v>
      </c>
      <c r="W217" s="389">
        <f t="shared" si="2"/>
        <v>0</v>
      </c>
      <c r="X217" s="67" t="str">
        <f t="shared" si="3"/>
        <v>HHL4DL07</v>
      </c>
      <c r="Y217" s="389" t="str">
        <f t="shared" ref="Y217:Z217" si="213">IFERROR(INDEX($O$8:$O$684,MATCH(X217,$N$8:$N$684,0)),"")</f>
        <v>HHL3CT03</v>
      </c>
      <c r="Z217" s="389" t="str">
        <f t="shared" si="213"/>
        <v/>
      </c>
      <c r="AA217" s="389">
        <f t="shared" si="5"/>
        <v>0</v>
      </c>
    </row>
    <row r="218" ht="15.75" customHeight="1">
      <c r="F218" s="664"/>
      <c r="I218" s="665"/>
      <c r="M218" s="389">
        <f>IF('Bản đồ công việc'!X234="","",'Bản đồ công việc'!W234)</f>
        <v>5</v>
      </c>
      <c r="N218" s="67" t="str">
        <f>IF('Bản đồ công việc'!X234="","",'Bản đồ công việc'!X234)</f>
        <v>HHL5DL07-02</v>
      </c>
      <c r="O218" s="67" t="str">
        <f>IF('Bản đồ công việc'!X234="","",'Bản đồ công việc'!Y234)</f>
        <v>HHL4DL07</v>
      </c>
      <c r="P218" s="389" t="str">
        <f>IF('Bản đồ công việc'!X234="","",'Bản đồ công việc'!V234)</f>
        <v>       ├─ Chạy thử nghiệm topdown Total bằng phần mềm </v>
      </c>
      <c r="Q218" s="67" t="str">
        <f>IF('Bản đồ công việc'!X234="","",'Bản đồ công việc'!AC234)</f>
        <v>Chưa bắt đầu</v>
      </c>
      <c r="R218" s="398">
        <f>IF('Bản đồ công việc'!X234="","",'Bản đồ công việc'!AD234)</f>
        <v>0</v>
      </c>
      <c r="S218" s="67" t="str">
        <f>IF('Bản đồ công việc'!X234="","",'Bản đồ công việc'!Z234)</f>
        <v>Em Đại</v>
      </c>
      <c r="T218" s="67" t="str">
        <f>IF('Bản đồ công việc'!X234="","",'Bản đồ công việc'!AA234)</f>
        <v>Dữ liệu điều hành</v>
      </c>
      <c r="U218" s="358">
        <f>IF('Bản đồ công việc'!X234="","",'Bản đồ công việc'!AE234)</f>
        <v>46320</v>
      </c>
      <c r="V218" s="389" t="str">
        <f>IF('Bản đồ công việc'!X234="","",'Bản đồ công việc'!AI234)</f>
        <v>🟢 Theo kế hoạch</v>
      </c>
      <c r="W218" s="389">
        <f t="shared" si="2"/>
        <v>0</v>
      </c>
      <c r="X218" s="67" t="str">
        <f t="shared" si="3"/>
        <v>HHL4DL07</v>
      </c>
      <c r="Y218" s="389" t="str">
        <f t="shared" ref="Y218:Z218" si="214">IFERROR(INDEX($O$8:$O$684,MATCH(X218,$N$8:$N$684,0)),"")</f>
        <v>HHL3CT03</v>
      </c>
      <c r="Z218" s="389" t="str">
        <f t="shared" si="214"/>
        <v/>
      </c>
      <c r="AA218" s="389">
        <f t="shared" si="5"/>
        <v>0</v>
      </c>
    </row>
    <row r="219" ht="15.75" customHeight="1">
      <c r="F219" s="664"/>
      <c r="I219" s="665"/>
      <c r="M219" s="389">
        <f>IF('Bản đồ công việc'!X235="","",'Bản đồ công việc'!W235)</f>
        <v>5</v>
      </c>
      <c r="N219" s="67" t="str">
        <f>IF('Bản đồ công việc'!X235="","",'Bản đồ công việc'!X235)</f>
        <v>HHL5DL07-03</v>
      </c>
      <c r="O219" s="67" t="str">
        <f>IF('Bản đồ công việc'!X235="","",'Bản đồ công việc'!Y235)</f>
        <v>HHL4DL07</v>
      </c>
      <c r="P219" s="389" t="str">
        <f>IF('Bản đồ công việc'!X235="","",'Bản đồ công việc'!V235)</f>
        <v>       ├─ Đào tạo phần mềm</v>
      </c>
      <c r="Q219" s="67" t="str">
        <f>IF('Bản đồ công việc'!X235="","",'Bản đồ công việc'!AC235)</f>
        <v>Chưa bắt đầu</v>
      </c>
      <c r="R219" s="398">
        <f>IF('Bản đồ công việc'!X235="","",'Bản đồ công việc'!AD235)</f>
        <v>0</v>
      </c>
      <c r="S219" s="67" t="str">
        <f>IF('Bản đồ công việc'!X235="","",'Bản đồ công việc'!Z235)</f>
        <v>Em Đại</v>
      </c>
      <c r="T219" s="67" t="str">
        <f>IF('Bản đồ công việc'!X235="","",'Bản đồ công việc'!AA235)</f>
        <v>Dữ liệu điều hành</v>
      </c>
      <c r="U219" s="358">
        <f>IF('Bản đồ công việc'!X235="","",'Bản đồ công việc'!AE235)</f>
        <v>46254</v>
      </c>
      <c r="V219" s="389" t="str">
        <f>IF('Bản đồ công việc'!X235="","",'Bản đồ công việc'!AI235)</f>
        <v>🟢 Theo kế hoạch</v>
      </c>
      <c r="W219" s="389">
        <f t="shared" si="2"/>
        <v>0</v>
      </c>
      <c r="X219" s="67" t="str">
        <f t="shared" si="3"/>
        <v>HHL4DL07</v>
      </c>
      <c r="Y219" s="389" t="str">
        <f t="shared" ref="Y219:Z219" si="215">IFERROR(INDEX($O$8:$O$684,MATCH(X219,$N$8:$N$684,0)),"")</f>
        <v>HHL3CT03</v>
      </c>
      <c r="Z219" s="389" t="str">
        <f t="shared" si="215"/>
        <v/>
      </c>
      <c r="AA219" s="389">
        <f t="shared" si="5"/>
        <v>0</v>
      </c>
    </row>
    <row r="220" ht="15.75" customHeight="1">
      <c r="F220" s="664"/>
      <c r="I220" s="665"/>
      <c r="M220" s="389">
        <f>IF('Bản đồ công việc'!X236="","",'Bản đồ công việc'!W236)</f>
        <v>5</v>
      </c>
      <c r="N220" s="67" t="str">
        <f>IF('Bản đồ công việc'!X236="","",'Bản đồ công việc'!X236)</f>
        <v>HHL5DL07-04</v>
      </c>
      <c r="O220" s="67" t="str">
        <f>IF('Bản đồ công việc'!X236="","",'Bản đồ công việc'!Y236)</f>
        <v>HHL4DL07</v>
      </c>
      <c r="P220" s="389" t="str">
        <f>IF('Bản đồ công việc'!X236="","",'Bản đồ công việc'!V236)</f>
        <v>       ├─ Chạy thử nghiệm bottom-up Total bằng phần mềm</v>
      </c>
      <c r="Q220" s="67" t="str">
        <f>IF('Bản đồ công việc'!X236="","",'Bản đồ công việc'!AC236)</f>
        <v>Đã lên lịch</v>
      </c>
      <c r="R220" s="398" t="str">
        <f>IF('Bản đồ công việc'!X236="","",'Bản đồ công việc'!AD236)</f>
        <v/>
      </c>
      <c r="S220" s="67" t="str">
        <f>IF('Bản đồ công việc'!X236="","",'Bản đồ công việc'!Z236)</f>
        <v>Em Đại</v>
      </c>
      <c r="T220" s="67" t="str">
        <f>IF('Bản đồ công việc'!X236="","",'Bản đồ công việc'!AA236)</f>
        <v>Dữ liệu điều hành</v>
      </c>
      <c r="U220" s="358">
        <f>IF('Bản đồ công việc'!X236="","",'Bản đồ công việc'!AE236)</f>
        <v>46317</v>
      </c>
      <c r="V220" s="389" t="str">
        <f>IF('Bản đồ công việc'!X236="","",'Bản đồ công việc'!AI236)</f>
        <v>🟢 Theo kế hoạch</v>
      </c>
      <c r="W220" s="389">
        <f t="shared" si="2"/>
        <v>0</v>
      </c>
      <c r="X220" s="67" t="str">
        <f t="shared" si="3"/>
        <v>HHL4DL07</v>
      </c>
      <c r="Y220" s="389" t="str">
        <f t="shared" ref="Y220:Z220" si="216">IFERROR(INDEX($O$8:$O$684,MATCH(X220,$N$8:$N$684,0)),"")</f>
        <v>HHL3CT03</v>
      </c>
      <c r="Z220" s="389" t="str">
        <f t="shared" si="216"/>
        <v/>
      </c>
      <c r="AA220" s="389">
        <f t="shared" si="5"/>
        <v>0</v>
      </c>
    </row>
    <row r="221" ht="15.75" customHeight="1">
      <c r="F221" s="664"/>
      <c r="I221" s="665"/>
      <c r="M221" s="389">
        <f>IF('Bản đồ công việc'!X237="","",'Bản đồ công việc'!W237)</f>
        <v>5</v>
      </c>
      <c r="N221" s="67" t="str">
        <f>IF('Bản đồ công việc'!X237="","",'Bản đồ công việc'!X237)</f>
        <v>HHL5DL07-05</v>
      </c>
      <c r="O221" s="67" t="str">
        <f>IF('Bản đồ công việc'!X237="","",'Bản đồ công việc'!Y237)</f>
        <v>HHL4DL07</v>
      </c>
      <c r="P221" s="389" t="str">
        <f>IF('Bản đồ công việc'!X237="","",'Bản đồ công việc'!V237)</f>
        <v>       ├─ Chốt số KH V1 2027 Total</v>
      </c>
      <c r="Q221" s="67" t="str">
        <f>IF('Bản đồ công việc'!X237="","",'Bản đồ công việc'!AC237)</f>
        <v>Đã lên lịch</v>
      </c>
      <c r="R221" s="398" t="str">
        <f>IF('Bản đồ công việc'!X237="","",'Bản đồ công việc'!AD237)</f>
        <v/>
      </c>
      <c r="S221" s="67" t="str">
        <f>IF('Bản đồ công việc'!X237="","",'Bản đồ công việc'!Z237)</f>
        <v>Em Đại</v>
      </c>
      <c r="T221" s="67" t="str">
        <f>IF('Bản đồ công việc'!X237="","",'Bản đồ công việc'!AA237)</f>
        <v>Dữ liệu điều hành</v>
      </c>
      <c r="U221" s="358">
        <f>IF('Bản đồ công việc'!X237="","",'Bản đồ công việc'!AE237)</f>
        <v>46331</v>
      </c>
      <c r="V221" s="389" t="str">
        <f>IF('Bản đồ công việc'!X237="","",'Bản đồ công việc'!AI237)</f>
        <v>🟢 Theo kế hoạch</v>
      </c>
      <c r="W221" s="389">
        <f t="shared" si="2"/>
        <v>0</v>
      </c>
      <c r="X221" s="67" t="str">
        <f t="shared" si="3"/>
        <v>HHL4DL07</v>
      </c>
      <c r="Y221" s="389" t="str">
        <f t="shared" ref="Y221:Z221" si="217">IFERROR(INDEX($O$8:$O$684,MATCH(X221,$N$8:$N$684,0)),"")</f>
        <v>HHL3CT03</v>
      </c>
      <c r="Z221" s="389" t="str">
        <f t="shared" si="217"/>
        <v/>
      </c>
      <c r="AA221" s="389">
        <f t="shared" si="5"/>
        <v>0</v>
      </c>
    </row>
    <row r="222" ht="15.75" customHeight="1">
      <c r="F222" s="664"/>
      <c r="I222" s="665"/>
      <c r="M222" s="389" t="str">
        <f>IF('Bản đồ công việc'!X238="","",'Bản đồ công việc'!W238)</f>
        <v>#REF!</v>
      </c>
      <c r="N222" s="389" t="str">
        <f>IF('Bản đồ công việc'!X238="","",'Bản đồ công việc'!X238)</f>
        <v>#REF!</v>
      </c>
      <c r="O222" s="389" t="str">
        <f>IF('Bản đồ công việc'!X238="","",'Bản đồ công việc'!Y238)</f>
        <v>#REF!</v>
      </c>
      <c r="P222" s="389" t="str">
        <f>IF('Bản đồ công việc'!X238="","",'Bản đồ công việc'!V238)</f>
        <v>#REF!</v>
      </c>
      <c r="Q222" s="389" t="str">
        <f>IF('Bản đồ công việc'!X238="","",'Bản đồ công việc'!AC238)</f>
        <v>#REF!</v>
      </c>
      <c r="R222" s="389" t="str">
        <f>IF('Bản đồ công việc'!X238="","",'Bản đồ công việc'!AD238)</f>
        <v>#REF!</v>
      </c>
      <c r="S222" s="389" t="str">
        <f>IF('Bản đồ công việc'!X238="","",'Bản đồ công việc'!Z238)</f>
        <v>#REF!</v>
      </c>
      <c r="T222" s="389" t="str">
        <f>IF('Bản đồ công việc'!X238="","",'Bản đồ công việc'!AA238)</f>
        <v>#REF!</v>
      </c>
      <c r="U222" s="389" t="str">
        <f>IF('Bản đồ công việc'!X238="","",'Bản đồ công việc'!AE238)</f>
        <v>#REF!</v>
      </c>
      <c r="V222" s="389" t="str">
        <f>IF('Bản đồ công việc'!X238="","",'Bản đồ công việc'!AI238)</f>
        <v>#REF!</v>
      </c>
      <c r="W222" s="389" t="str">
        <f t="shared" si="2"/>
        <v>#REF!</v>
      </c>
      <c r="X222" s="389" t="str">
        <f t="shared" si="3"/>
        <v>#REF!</v>
      </c>
      <c r="Y222" s="389" t="str">
        <f t="shared" ref="Y222:Z222" si="218">IFERROR(INDEX($O$8:$O$684,MATCH(X222,$N$8:$N$684,0)),"")</f>
        <v/>
      </c>
      <c r="Z222" s="389" t="str">
        <f t="shared" si="218"/>
        <v/>
      </c>
      <c r="AA222" s="389" t="str">
        <f t="shared" si="5"/>
        <v>#REF!</v>
      </c>
    </row>
    <row r="223" ht="15.75" customHeight="1">
      <c r="F223" s="664"/>
      <c r="I223" s="665"/>
      <c r="M223" s="389">
        <f>IF('Bản đồ công việc'!X239="","",'Bản đồ công việc'!W239)</f>
        <v>5</v>
      </c>
      <c r="N223" s="67" t="str">
        <f>IF('Bản đồ công việc'!X239="","",'Bản đồ công việc'!X239)</f>
        <v>HHL5RD01-02</v>
      </c>
      <c r="O223" s="67" t="str">
        <f>IF('Bản đồ công việc'!X239="","",'Bản đồ công việc'!Y239)</f>
        <v>HHL4RD26</v>
      </c>
      <c r="P223" s="389" t="str">
        <f>IF('Bản đồ công việc'!X239="","",'Bản đồ công việc'!V239)</f>
        <v>       ├─ Báo cáo phân tích nội tại hiện trạng hàng HHa SX</v>
      </c>
      <c r="Q223" s="67" t="str">
        <f>IF('Bản đồ công việc'!X239="","",'Bản đồ công việc'!AC239)</f>
        <v/>
      </c>
      <c r="R223" s="398">
        <f>IF('Bản đồ công việc'!X239="","",'Bản đồ công việc'!AD239)</f>
        <v>0</v>
      </c>
      <c r="S223" s="67" t="str">
        <f>IF('Bản đồ công việc'!X239="","",'Bản đồ công việc'!Z239)</f>
        <v/>
      </c>
      <c r="T223" s="67" t="str">
        <f>IF('Bản đồ công việc'!X239="","",'Bản đồ công việc'!AA239)</f>
        <v/>
      </c>
      <c r="U223" s="358" t="str">
        <f>IF('Bản đồ công việc'!X239="","",'Bản đồ công việc'!AE239)</f>
        <v/>
      </c>
      <c r="V223" s="389" t="str">
        <f>IF('Bản đồ công việc'!X239="","",'Bản đồ công việc'!AI239)</f>
        <v>🔵 Chưa có hạn</v>
      </c>
      <c r="W223" s="389">
        <f t="shared" si="2"/>
        <v>0</v>
      </c>
      <c r="X223" s="67" t="str">
        <f t="shared" si="3"/>
        <v>HHL4RD26</v>
      </c>
      <c r="Y223" s="389" t="str">
        <f t="shared" ref="Y223:Z223" si="219">IFERROR(INDEX($O$8:$O$684,MATCH(X223,$N$8:$N$684,0)),"")</f>
        <v/>
      </c>
      <c r="Z223" s="389" t="str">
        <f t="shared" si="219"/>
        <v/>
      </c>
      <c r="AA223" s="389">
        <f t="shared" si="5"/>
        <v>0</v>
      </c>
    </row>
    <row r="224" ht="15.75" customHeight="1">
      <c r="F224" s="664"/>
      <c r="I224" s="665"/>
      <c r="M224" s="389">
        <f>IF('Bản đồ công việc'!X240="","",'Bản đồ công việc'!W240)</f>
        <v>5</v>
      </c>
      <c r="N224" s="67" t="str">
        <f>IF('Bản đồ công việc'!X240="","",'Bản đồ công việc'!X240)</f>
        <v>HHL5RD01-03</v>
      </c>
      <c r="O224" s="67" t="str">
        <f>IF('Bản đồ công việc'!X240="","",'Bản đồ công việc'!Y240)</f>
        <v>HHL4RD26</v>
      </c>
      <c r="P224" s="389" t="str">
        <f>IF('Bản đồ công việc'!X240="","",'Bản đồ công việc'!V240)</f>
        <v>       ├─ Báo cáo phân tích NLSX</v>
      </c>
      <c r="Q224" s="67" t="str">
        <f>IF('Bản đồ công việc'!X240="","",'Bản đồ công việc'!AC240)</f>
        <v/>
      </c>
      <c r="R224" s="398">
        <f>IF('Bản đồ công việc'!X240="","",'Bản đồ công việc'!AD240)</f>
        <v>0</v>
      </c>
      <c r="S224" s="67" t="str">
        <f>IF('Bản đồ công việc'!X240="","",'Bản đồ công việc'!Z240)</f>
        <v/>
      </c>
      <c r="T224" s="67" t="str">
        <f>IF('Bản đồ công việc'!X240="","",'Bản đồ công việc'!AA240)</f>
        <v/>
      </c>
      <c r="U224" s="358" t="str">
        <f>IF('Bản đồ công việc'!X240="","",'Bản đồ công việc'!AE240)</f>
        <v/>
      </c>
      <c r="V224" s="389" t="str">
        <f>IF('Bản đồ công việc'!X240="","",'Bản đồ công việc'!AI240)</f>
        <v>🔵 Chưa có hạn</v>
      </c>
      <c r="W224" s="389">
        <f t="shared" si="2"/>
        <v>0</v>
      </c>
      <c r="X224" s="67" t="str">
        <f t="shared" si="3"/>
        <v>HHL4RD26</v>
      </c>
      <c r="Y224" s="389" t="str">
        <f t="shared" ref="Y224:Z224" si="220">IFERROR(INDEX($O$8:$O$684,MATCH(X224,$N$8:$N$684,0)),"")</f>
        <v/>
      </c>
      <c r="Z224" s="389" t="str">
        <f t="shared" si="220"/>
        <v/>
      </c>
      <c r="AA224" s="389">
        <f t="shared" si="5"/>
        <v>0</v>
      </c>
    </row>
    <row r="225" ht="15.75" customHeight="1">
      <c r="F225" s="664"/>
      <c r="I225" s="665"/>
      <c r="M225" s="389" t="str">
        <f>IF('Bản đồ công việc'!X241="","",'Bản đồ công việc'!W241)</f>
        <v/>
      </c>
      <c r="N225" s="389" t="str">
        <f>IF('Bản đồ công việc'!X241="","",'Bản đồ công việc'!X241)</f>
        <v/>
      </c>
      <c r="O225" s="389" t="str">
        <f>IF('Bản đồ công việc'!X241="","",'Bản đồ công việc'!Y241)</f>
        <v/>
      </c>
      <c r="P225" s="389" t="str">
        <f>IF('Bản đồ công việc'!X241="","",'Bản đồ công việc'!V241)</f>
        <v/>
      </c>
      <c r="Q225" s="389" t="str">
        <f>IF('Bản đồ công việc'!X241="","",'Bản đồ công việc'!AC241)</f>
        <v/>
      </c>
      <c r="R225" s="389" t="str">
        <f>IF('Bản đồ công việc'!X241="","",'Bản đồ công việc'!AD241)</f>
        <v/>
      </c>
      <c r="S225" s="389" t="str">
        <f>IF('Bản đồ công việc'!X241="","",'Bản đồ công việc'!Z241)</f>
        <v/>
      </c>
      <c r="T225" s="389" t="str">
        <f>IF('Bản đồ công việc'!X241="","",'Bản đồ công việc'!AA241)</f>
        <v/>
      </c>
      <c r="U225" s="389" t="str">
        <f>IF('Bản đồ công việc'!X241="","",'Bản đồ công việc'!AE241)</f>
        <v/>
      </c>
      <c r="V225" s="389" t="str">
        <f>IF('Bản đồ công việc'!X241="","",'Bản đồ công việc'!AI241)</f>
        <v/>
      </c>
      <c r="W225" s="389">
        <f t="shared" si="2"/>
        <v>0</v>
      </c>
      <c r="X225" s="389" t="str">
        <f t="shared" si="3"/>
        <v/>
      </c>
      <c r="Y225" s="389" t="str">
        <f t="shared" ref="Y225:Z225" si="221">IFERROR(INDEX($O$8:$O$684,MATCH(X225,$N$8:$N$684,0)),"")</f>
        <v/>
      </c>
      <c r="Z225" s="389" t="str">
        <f t="shared" si="221"/>
        <v/>
      </c>
      <c r="AA225" s="389">
        <f t="shared" si="5"/>
        <v>0</v>
      </c>
    </row>
    <row r="226" ht="15.75" customHeight="1">
      <c r="F226" s="664"/>
      <c r="I226" s="665"/>
      <c r="M226" s="389" t="str">
        <f>IF('Bản đồ công việc'!X242="","",'Bản đồ công việc'!W242)</f>
        <v/>
      </c>
      <c r="N226" s="389" t="str">
        <f>IF('Bản đồ công việc'!X242="","",'Bản đồ công việc'!X242)</f>
        <v/>
      </c>
      <c r="O226" s="389" t="str">
        <f>IF('Bản đồ công việc'!X242="","",'Bản đồ công việc'!Y242)</f>
        <v/>
      </c>
      <c r="P226" s="389" t="str">
        <f>IF('Bản đồ công việc'!X242="","",'Bản đồ công việc'!V242)</f>
        <v/>
      </c>
      <c r="Q226" s="389" t="str">
        <f>IF('Bản đồ công việc'!X242="","",'Bản đồ công việc'!AC242)</f>
        <v/>
      </c>
      <c r="R226" s="389" t="str">
        <f>IF('Bản đồ công việc'!X242="","",'Bản đồ công việc'!AD242)</f>
        <v/>
      </c>
      <c r="S226" s="389" t="str">
        <f>IF('Bản đồ công việc'!X242="","",'Bản đồ công việc'!Z242)</f>
        <v/>
      </c>
      <c r="T226" s="389" t="str">
        <f>IF('Bản đồ công việc'!X242="","",'Bản đồ công việc'!AA242)</f>
        <v/>
      </c>
      <c r="U226" s="389" t="str">
        <f>IF('Bản đồ công việc'!X242="","",'Bản đồ công việc'!AE242)</f>
        <v/>
      </c>
      <c r="V226" s="389" t="str">
        <f>IF('Bản đồ công việc'!X242="","",'Bản đồ công việc'!AI242)</f>
        <v/>
      </c>
      <c r="W226" s="389">
        <f t="shared" si="2"/>
        <v>0</v>
      </c>
      <c r="X226" s="389" t="str">
        <f t="shared" si="3"/>
        <v/>
      </c>
      <c r="Y226" s="389" t="str">
        <f t="shared" ref="Y226:Z226" si="222">IFERROR(INDEX($O$8:$O$684,MATCH(X226,$N$8:$N$684,0)),"")</f>
        <v/>
      </c>
      <c r="Z226" s="389" t="str">
        <f t="shared" si="222"/>
        <v/>
      </c>
      <c r="AA226" s="389">
        <f t="shared" si="5"/>
        <v>0</v>
      </c>
    </row>
    <row r="227" ht="15.75" customHeight="1">
      <c r="F227" s="664"/>
      <c r="I227" s="665"/>
      <c r="M227" s="389" t="str">
        <f>IF('Bản đồ công việc'!X243="","",'Bản đồ công việc'!W243)</f>
        <v/>
      </c>
      <c r="N227" s="389" t="str">
        <f>IF('Bản đồ công việc'!X243="","",'Bản đồ công việc'!X243)</f>
        <v/>
      </c>
      <c r="O227" s="389" t="str">
        <f>IF('Bản đồ công việc'!X243="","",'Bản đồ công việc'!Y243)</f>
        <v/>
      </c>
      <c r="P227" s="389" t="str">
        <f>IF('Bản đồ công việc'!X243="","",'Bản đồ công việc'!V243)</f>
        <v/>
      </c>
      <c r="Q227" s="389" t="str">
        <f>IF('Bản đồ công việc'!X243="","",'Bản đồ công việc'!AC243)</f>
        <v/>
      </c>
      <c r="R227" s="389" t="str">
        <f>IF('Bản đồ công việc'!X243="","",'Bản đồ công việc'!AD243)</f>
        <v/>
      </c>
      <c r="S227" s="389" t="str">
        <f>IF('Bản đồ công việc'!X243="","",'Bản đồ công việc'!Z243)</f>
        <v/>
      </c>
      <c r="T227" s="389" t="str">
        <f>IF('Bản đồ công việc'!X243="","",'Bản đồ công việc'!AA243)</f>
        <v/>
      </c>
      <c r="U227" s="389" t="str">
        <f>IF('Bản đồ công việc'!X243="","",'Bản đồ công việc'!AE243)</f>
        <v/>
      </c>
      <c r="V227" s="389" t="str">
        <f>IF('Bản đồ công việc'!X243="","",'Bản đồ công việc'!AI243)</f>
        <v/>
      </c>
      <c r="W227" s="389">
        <f t="shared" si="2"/>
        <v>0</v>
      </c>
      <c r="X227" s="389" t="str">
        <f t="shared" si="3"/>
        <v/>
      </c>
      <c r="Y227" s="389" t="str">
        <f t="shared" ref="Y227:Z227" si="223">IFERROR(INDEX($O$8:$O$684,MATCH(X227,$N$8:$N$684,0)),"")</f>
        <v/>
      </c>
      <c r="Z227" s="389" t="str">
        <f t="shared" si="223"/>
        <v/>
      </c>
      <c r="AA227" s="389">
        <f t="shared" si="5"/>
        <v>0</v>
      </c>
    </row>
    <row r="228" ht="15.75" customHeight="1">
      <c r="F228" s="664"/>
      <c r="I228" s="665"/>
      <c r="M228" s="389" t="str">
        <f>IF('Bản đồ công việc'!X244="","",'Bản đồ công việc'!W244)</f>
        <v/>
      </c>
      <c r="N228" s="389" t="str">
        <f>IF('Bản đồ công việc'!X244="","",'Bản đồ công việc'!X244)</f>
        <v/>
      </c>
      <c r="O228" s="389" t="str">
        <f>IF('Bản đồ công việc'!X244="","",'Bản đồ công việc'!Y244)</f>
        <v/>
      </c>
      <c r="P228" s="389" t="str">
        <f>IF('Bản đồ công việc'!X244="","",'Bản đồ công việc'!V244)</f>
        <v/>
      </c>
      <c r="Q228" s="389" t="str">
        <f>IF('Bản đồ công việc'!X244="","",'Bản đồ công việc'!AC244)</f>
        <v/>
      </c>
      <c r="R228" s="389" t="str">
        <f>IF('Bản đồ công việc'!X244="","",'Bản đồ công việc'!AD244)</f>
        <v/>
      </c>
      <c r="S228" s="389" t="str">
        <f>IF('Bản đồ công việc'!X244="","",'Bản đồ công việc'!Z244)</f>
        <v/>
      </c>
      <c r="T228" s="389" t="str">
        <f>IF('Bản đồ công việc'!X244="","",'Bản đồ công việc'!AA244)</f>
        <v/>
      </c>
      <c r="U228" s="389" t="str">
        <f>IF('Bản đồ công việc'!X244="","",'Bản đồ công việc'!AE244)</f>
        <v/>
      </c>
      <c r="V228" s="389" t="str">
        <f>IF('Bản đồ công việc'!X244="","",'Bản đồ công việc'!AI244)</f>
        <v/>
      </c>
      <c r="W228" s="389">
        <f t="shared" si="2"/>
        <v>0</v>
      </c>
      <c r="X228" s="389" t="str">
        <f t="shared" si="3"/>
        <v/>
      </c>
      <c r="Y228" s="389" t="str">
        <f t="shared" ref="Y228:Z228" si="224">IFERROR(INDEX($O$8:$O$684,MATCH(X228,$N$8:$N$684,0)),"")</f>
        <v/>
      </c>
      <c r="Z228" s="389" t="str">
        <f t="shared" si="224"/>
        <v/>
      </c>
      <c r="AA228" s="389">
        <f t="shared" si="5"/>
        <v>0</v>
      </c>
    </row>
    <row r="229" ht="15.75" customHeight="1">
      <c r="F229" s="664"/>
      <c r="I229" s="665"/>
      <c r="M229" s="389" t="str">
        <f>IF('Bản đồ công việc'!X245="","",'Bản đồ công việc'!W245)</f>
        <v/>
      </c>
      <c r="N229" s="389" t="str">
        <f>IF('Bản đồ công việc'!X245="","",'Bản đồ công việc'!X245)</f>
        <v/>
      </c>
      <c r="O229" s="389" t="str">
        <f>IF('Bản đồ công việc'!X245="","",'Bản đồ công việc'!Y245)</f>
        <v/>
      </c>
      <c r="P229" s="389" t="str">
        <f>IF('Bản đồ công việc'!X245="","",'Bản đồ công việc'!V245)</f>
        <v/>
      </c>
      <c r="Q229" s="389" t="str">
        <f>IF('Bản đồ công việc'!X245="","",'Bản đồ công việc'!AC245)</f>
        <v/>
      </c>
      <c r="R229" s="389" t="str">
        <f>IF('Bản đồ công việc'!X245="","",'Bản đồ công việc'!AD245)</f>
        <v/>
      </c>
      <c r="S229" s="389" t="str">
        <f>IF('Bản đồ công việc'!X245="","",'Bản đồ công việc'!Z245)</f>
        <v/>
      </c>
      <c r="T229" s="389" t="str">
        <f>IF('Bản đồ công việc'!X245="","",'Bản đồ công việc'!AA245)</f>
        <v/>
      </c>
      <c r="U229" s="389" t="str">
        <f>IF('Bản đồ công việc'!X245="","",'Bản đồ công việc'!AE245)</f>
        <v/>
      </c>
      <c r="V229" s="389" t="str">
        <f>IF('Bản đồ công việc'!X245="","",'Bản đồ công việc'!AI245)</f>
        <v/>
      </c>
      <c r="W229" s="389">
        <f t="shared" si="2"/>
        <v>0</v>
      </c>
      <c r="X229" s="389" t="str">
        <f t="shared" si="3"/>
        <v/>
      </c>
      <c r="Y229" s="389" t="str">
        <f t="shared" ref="Y229:Z229" si="225">IFERROR(INDEX($O$8:$O$684,MATCH(X229,$N$8:$N$684,0)),"")</f>
        <v/>
      </c>
      <c r="Z229" s="389" t="str">
        <f t="shared" si="225"/>
        <v/>
      </c>
      <c r="AA229" s="389">
        <f t="shared" si="5"/>
        <v>0</v>
      </c>
    </row>
    <row r="230" ht="15.75" customHeight="1">
      <c r="F230" s="664"/>
      <c r="I230" s="665"/>
      <c r="M230" s="389" t="str">
        <f>IF('Bản đồ công việc'!X246="","",'Bản đồ công việc'!W246)</f>
        <v/>
      </c>
      <c r="N230" s="389" t="str">
        <f>IF('Bản đồ công việc'!X246="","",'Bản đồ công việc'!X246)</f>
        <v/>
      </c>
      <c r="O230" s="389" t="str">
        <f>IF('Bản đồ công việc'!X246="","",'Bản đồ công việc'!Y246)</f>
        <v/>
      </c>
      <c r="P230" s="389" t="str">
        <f>IF('Bản đồ công việc'!X246="","",'Bản đồ công việc'!V246)</f>
        <v/>
      </c>
      <c r="Q230" s="389" t="str">
        <f>IF('Bản đồ công việc'!X246="","",'Bản đồ công việc'!AC246)</f>
        <v/>
      </c>
      <c r="R230" s="389" t="str">
        <f>IF('Bản đồ công việc'!X246="","",'Bản đồ công việc'!AD246)</f>
        <v/>
      </c>
      <c r="S230" s="389" t="str">
        <f>IF('Bản đồ công việc'!X246="","",'Bản đồ công việc'!Z246)</f>
        <v/>
      </c>
      <c r="T230" s="389" t="str">
        <f>IF('Bản đồ công việc'!X246="","",'Bản đồ công việc'!AA246)</f>
        <v/>
      </c>
      <c r="U230" s="389" t="str">
        <f>IF('Bản đồ công việc'!X246="","",'Bản đồ công việc'!AE246)</f>
        <v/>
      </c>
      <c r="V230" s="389" t="str">
        <f>IF('Bản đồ công việc'!X246="","",'Bản đồ công việc'!AI246)</f>
        <v/>
      </c>
      <c r="W230" s="389">
        <f t="shared" si="2"/>
        <v>0</v>
      </c>
      <c r="X230" s="389" t="str">
        <f t="shared" si="3"/>
        <v/>
      </c>
      <c r="Y230" s="389" t="str">
        <f t="shared" ref="Y230:Z230" si="226">IFERROR(INDEX($O$8:$O$684,MATCH(X230,$N$8:$N$684,0)),"")</f>
        <v/>
      </c>
      <c r="Z230" s="389" t="str">
        <f t="shared" si="226"/>
        <v/>
      </c>
      <c r="AA230" s="389">
        <f t="shared" si="5"/>
        <v>0</v>
      </c>
    </row>
    <row r="231" ht="15.75" customHeight="1">
      <c r="F231" s="664"/>
      <c r="I231" s="665"/>
      <c r="M231" s="389" t="str">
        <f>IF('Bản đồ công việc'!X247="","",'Bản đồ công việc'!W247)</f>
        <v/>
      </c>
      <c r="N231" s="389" t="str">
        <f>IF('Bản đồ công việc'!X247="","",'Bản đồ công việc'!X247)</f>
        <v/>
      </c>
      <c r="O231" s="389" t="str">
        <f>IF('Bản đồ công việc'!X247="","",'Bản đồ công việc'!Y247)</f>
        <v/>
      </c>
      <c r="P231" s="389" t="str">
        <f>IF('Bản đồ công việc'!X247="","",'Bản đồ công việc'!V247)</f>
        <v/>
      </c>
      <c r="Q231" s="389" t="str">
        <f>IF('Bản đồ công việc'!X247="","",'Bản đồ công việc'!AC247)</f>
        <v/>
      </c>
      <c r="R231" s="389" t="str">
        <f>IF('Bản đồ công việc'!X247="","",'Bản đồ công việc'!AD247)</f>
        <v/>
      </c>
      <c r="S231" s="389" t="str">
        <f>IF('Bản đồ công việc'!X247="","",'Bản đồ công việc'!Z247)</f>
        <v/>
      </c>
      <c r="T231" s="389" t="str">
        <f>IF('Bản đồ công việc'!X247="","",'Bản đồ công việc'!AA247)</f>
        <v/>
      </c>
      <c r="U231" s="389" t="str">
        <f>IF('Bản đồ công việc'!X247="","",'Bản đồ công việc'!AE247)</f>
        <v/>
      </c>
      <c r="V231" s="389" t="str">
        <f>IF('Bản đồ công việc'!X247="","",'Bản đồ công việc'!AI247)</f>
        <v/>
      </c>
      <c r="W231" s="389">
        <f t="shared" si="2"/>
        <v>0</v>
      </c>
      <c r="X231" s="389" t="str">
        <f t="shared" si="3"/>
        <v/>
      </c>
      <c r="Y231" s="389" t="str">
        <f t="shared" ref="Y231:Z231" si="227">IFERROR(INDEX($O$8:$O$684,MATCH(X231,$N$8:$N$684,0)),"")</f>
        <v/>
      </c>
      <c r="Z231" s="389" t="str">
        <f t="shared" si="227"/>
        <v/>
      </c>
      <c r="AA231" s="389">
        <f t="shared" si="5"/>
        <v>0</v>
      </c>
    </row>
    <row r="232" ht="15.75" customHeight="1">
      <c r="F232" s="664"/>
      <c r="I232" s="665"/>
      <c r="M232" s="389" t="str">
        <f>IF('Bản đồ công việc'!X248="","",'Bản đồ công việc'!W248)</f>
        <v/>
      </c>
      <c r="N232" s="389" t="str">
        <f>IF('Bản đồ công việc'!X248="","",'Bản đồ công việc'!X248)</f>
        <v/>
      </c>
      <c r="O232" s="389" t="str">
        <f>IF('Bản đồ công việc'!X248="","",'Bản đồ công việc'!Y248)</f>
        <v/>
      </c>
      <c r="P232" s="389" t="str">
        <f>IF('Bản đồ công việc'!X248="","",'Bản đồ công việc'!V248)</f>
        <v/>
      </c>
      <c r="Q232" s="389" t="str">
        <f>IF('Bản đồ công việc'!X248="","",'Bản đồ công việc'!AC248)</f>
        <v/>
      </c>
      <c r="R232" s="389" t="str">
        <f>IF('Bản đồ công việc'!X248="","",'Bản đồ công việc'!AD248)</f>
        <v/>
      </c>
      <c r="S232" s="389" t="str">
        <f>IF('Bản đồ công việc'!X248="","",'Bản đồ công việc'!Z248)</f>
        <v/>
      </c>
      <c r="T232" s="389" t="str">
        <f>IF('Bản đồ công việc'!X248="","",'Bản đồ công việc'!AA248)</f>
        <v/>
      </c>
      <c r="U232" s="389" t="str">
        <f>IF('Bản đồ công việc'!X248="","",'Bản đồ công việc'!AE248)</f>
        <v/>
      </c>
      <c r="V232" s="389" t="str">
        <f>IF('Bản đồ công việc'!X248="","",'Bản đồ công việc'!AI248)</f>
        <v/>
      </c>
      <c r="W232" s="389">
        <f t="shared" si="2"/>
        <v>0</v>
      </c>
      <c r="X232" s="389" t="str">
        <f t="shared" si="3"/>
        <v/>
      </c>
      <c r="Y232" s="389" t="str">
        <f t="shared" ref="Y232:Z232" si="228">IFERROR(INDEX($O$8:$O$684,MATCH(X232,$N$8:$N$684,0)),"")</f>
        <v/>
      </c>
      <c r="Z232" s="389" t="str">
        <f t="shared" si="228"/>
        <v/>
      </c>
      <c r="AA232" s="389">
        <f t="shared" si="5"/>
        <v>0</v>
      </c>
    </row>
    <row r="233" ht="15.75" customHeight="1">
      <c r="F233" s="664"/>
      <c r="I233" s="665"/>
      <c r="M233" s="389" t="str">
        <f>IF('Bản đồ công việc'!X249="","",'Bản đồ công việc'!W249)</f>
        <v/>
      </c>
      <c r="N233" s="389" t="str">
        <f>IF('Bản đồ công việc'!X249="","",'Bản đồ công việc'!X249)</f>
        <v/>
      </c>
      <c r="O233" s="389" t="str">
        <f>IF('Bản đồ công việc'!X249="","",'Bản đồ công việc'!Y249)</f>
        <v/>
      </c>
      <c r="P233" s="389" t="str">
        <f>IF('Bản đồ công việc'!X249="","",'Bản đồ công việc'!V249)</f>
        <v/>
      </c>
      <c r="Q233" s="389" t="str">
        <f>IF('Bản đồ công việc'!X249="","",'Bản đồ công việc'!AC249)</f>
        <v/>
      </c>
      <c r="R233" s="389" t="str">
        <f>IF('Bản đồ công việc'!X249="","",'Bản đồ công việc'!AD249)</f>
        <v/>
      </c>
      <c r="S233" s="389" t="str">
        <f>IF('Bản đồ công việc'!X249="","",'Bản đồ công việc'!Z249)</f>
        <v/>
      </c>
      <c r="T233" s="389" t="str">
        <f>IF('Bản đồ công việc'!X249="","",'Bản đồ công việc'!AA249)</f>
        <v/>
      </c>
      <c r="U233" s="389" t="str">
        <f>IF('Bản đồ công việc'!X249="","",'Bản đồ công việc'!AE249)</f>
        <v/>
      </c>
      <c r="V233" s="389" t="str">
        <f>IF('Bản đồ công việc'!X249="","",'Bản đồ công việc'!AI249)</f>
        <v/>
      </c>
      <c r="W233" s="389">
        <f t="shared" si="2"/>
        <v>0</v>
      </c>
      <c r="X233" s="389" t="str">
        <f t="shared" si="3"/>
        <v/>
      </c>
      <c r="Y233" s="389" t="str">
        <f t="shared" ref="Y233:Z233" si="229">IFERROR(INDEX($O$8:$O$684,MATCH(X233,$N$8:$N$684,0)),"")</f>
        <v/>
      </c>
      <c r="Z233" s="389" t="str">
        <f t="shared" si="229"/>
        <v/>
      </c>
      <c r="AA233" s="389">
        <f t="shared" si="5"/>
        <v>0</v>
      </c>
    </row>
    <row r="234" ht="15.75" customHeight="1">
      <c r="F234" s="664"/>
      <c r="I234" s="665"/>
      <c r="M234" s="389" t="str">
        <f>IF('Bản đồ công việc'!X250="","",'Bản đồ công việc'!W250)</f>
        <v/>
      </c>
      <c r="N234" s="389" t="str">
        <f>IF('Bản đồ công việc'!X250="","",'Bản đồ công việc'!X250)</f>
        <v/>
      </c>
      <c r="O234" s="389" t="str">
        <f>IF('Bản đồ công việc'!X250="","",'Bản đồ công việc'!Y250)</f>
        <v/>
      </c>
      <c r="P234" s="389" t="str">
        <f>IF('Bản đồ công việc'!X250="","",'Bản đồ công việc'!V250)</f>
        <v/>
      </c>
      <c r="Q234" s="389" t="str">
        <f>IF('Bản đồ công việc'!X250="","",'Bản đồ công việc'!AC250)</f>
        <v/>
      </c>
      <c r="R234" s="389" t="str">
        <f>IF('Bản đồ công việc'!X250="","",'Bản đồ công việc'!AD250)</f>
        <v/>
      </c>
      <c r="S234" s="389" t="str">
        <f>IF('Bản đồ công việc'!X250="","",'Bản đồ công việc'!Z250)</f>
        <v/>
      </c>
      <c r="T234" s="389" t="str">
        <f>IF('Bản đồ công việc'!X250="","",'Bản đồ công việc'!AA250)</f>
        <v/>
      </c>
      <c r="U234" s="389" t="str">
        <f>IF('Bản đồ công việc'!X250="","",'Bản đồ công việc'!AE250)</f>
        <v/>
      </c>
      <c r="V234" s="389" t="str">
        <f>IF('Bản đồ công việc'!X250="","",'Bản đồ công việc'!AI250)</f>
        <v/>
      </c>
      <c r="W234" s="389">
        <f t="shared" si="2"/>
        <v>0</v>
      </c>
      <c r="X234" s="389" t="str">
        <f t="shared" si="3"/>
        <v/>
      </c>
      <c r="Y234" s="389" t="str">
        <f t="shared" ref="Y234:Z234" si="230">IFERROR(INDEX($O$8:$O$684,MATCH(X234,$N$8:$N$684,0)),"")</f>
        <v/>
      </c>
      <c r="Z234" s="389" t="str">
        <f t="shared" si="230"/>
        <v/>
      </c>
      <c r="AA234" s="389">
        <f t="shared" si="5"/>
        <v>0</v>
      </c>
    </row>
    <row r="235" ht="15.75" customHeight="1">
      <c r="F235" s="664"/>
      <c r="I235" s="665"/>
      <c r="M235" s="389" t="str">
        <f>IF('Bản đồ công việc'!X251="","",'Bản đồ công việc'!W251)</f>
        <v/>
      </c>
      <c r="N235" s="389" t="str">
        <f>IF('Bản đồ công việc'!X251="","",'Bản đồ công việc'!X251)</f>
        <v/>
      </c>
      <c r="O235" s="389" t="str">
        <f>IF('Bản đồ công việc'!X251="","",'Bản đồ công việc'!Y251)</f>
        <v/>
      </c>
      <c r="P235" s="389" t="str">
        <f>IF('Bản đồ công việc'!X251="","",'Bản đồ công việc'!V251)</f>
        <v/>
      </c>
      <c r="Q235" s="389" t="str">
        <f>IF('Bản đồ công việc'!X251="","",'Bản đồ công việc'!AC251)</f>
        <v/>
      </c>
      <c r="R235" s="389" t="str">
        <f>IF('Bản đồ công việc'!X251="","",'Bản đồ công việc'!AD251)</f>
        <v/>
      </c>
      <c r="S235" s="389" t="str">
        <f>IF('Bản đồ công việc'!X251="","",'Bản đồ công việc'!Z251)</f>
        <v/>
      </c>
      <c r="T235" s="389" t="str">
        <f>IF('Bản đồ công việc'!X251="","",'Bản đồ công việc'!AA251)</f>
        <v/>
      </c>
      <c r="U235" s="389" t="str">
        <f>IF('Bản đồ công việc'!X251="","",'Bản đồ công việc'!AE251)</f>
        <v/>
      </c>
      <c r="V235" s="389" t="str">
        <f>IF('Bản đồ công việc'!X251="","",'Bản đồ công việc'!AI251)</f>
        <v/>
      </c>
      <c r="W235" s="389">
        <f t="shared" si="2"/>
        <v>0</v>
      </c>
      <c r="X235" s="389" t="str">
        <f t="shared" si="3"/>
        <v/>
      </c>
      <c r="Y235" s="389" t="str">
        <f t="shared" ref="Y235:Z235" si="231">IFERROR(INDEX($O$8:$O$684,MATCH(X235,$N$8:$N$684,0)),"")</f>
        <v/>
      </c>
      <c r="Z235" s="389" t="str">
        <f t="shared" si="231"/>
        <v/>
      </c>
      <c r="AA235" s="389">
        <f t="shared" si="5"/>
        <v>0</v>
      </c>
    </row>
    <row r="236" ht="15.75" customHeight="1">
      <c r="F236" s="664"/>
      <c r="I236" s="665"/>
      <c r="M236" s="389" t="str">
        <f>IF('Bản đồ công việc'!X252="","",'Bản đồ công việc'!W252)</f>
        <v/>
      </c>
      <c r="N236" s="389" t="str">
        <f>IF('Bản đồ công việc'!X252="","",'Bản đồ công việc'!X252)</f>
        <v/>
      </c>
      <c r="O236" s="389" t="str">
        <f>IF('Bản đồ công việc'!X252="","",'Bản đồ công việc'!Y252)</f>
        <v/>
      </c>
      <c r="P236" s="389" t="str">
        <f>IF('Bản đồ công việc'!X252="","",'Bản đồ công việc'!V252)</f>
        <v/>
      </c>
      <c r="Q236" s="389" t="str">
        <f>IF('Bản đồ công việc'!X252="","",'Bản đồ công việc'!AC252)</f>
        <v/>
      </c>
      <c r="R236" s="389" t="str">
        <f>IF('Bản đồ công việc'!X252="","",'Bản đồ công việc'!AD252)</f>
        <v/>
      </c>
      <c r="S236" s="389" t="str">
        <f>IF('Bản đồ công việc'!X252="","",'Bản đồ công việc'!Z252)</f>
        <v/>
      </c>
      <c r="T236" s="389" t="str">
        <f>IF('Bản đồ công việc'!X252="","",'Bản đồ công việc'!AA252)</f>
        <v/>
      </c>
      <c r="U236" s="389" t="str">
        <f>IF('Bản đồ công việc'!X252="","",'Bản đồ công việc'!AE252)</f>
        <v/>
      </c>
      <c r="V236" s="389" t="str">
        <f>IF('Bản đồ công việc'!X252="","",'Bản đồ công việc'!AI252)</f>
        <v/>
      </c>
      <c r="W236" s="389">
        <f t="shared" si="2"/>
        <v>0</v>
      </c>
      <c r="X236" s="389" t="str">
        <f t="shared" si="3"/>
        <v/>
      </c>
      <c r="Y236" s="389" t="str">
        <f t="shared" ref="Y236:Z236" si="232">IFERROR(INDEX($O$8:$O$684,MATCH(X236,$N$8:$N$684,0)),"")</f>
        <v/>
      </c>
      <c r="Z236" s="389" t="str">
        <f t="shared" si="232"/>
        <v/>
      </c>
      <c r="AA236" s="389">
        <f t="shared" si="5"/>
        <v>0</v>
      </c>
    </row>
    <row r="237" ht="15.75" customHeight="1">
      <c r="F237" s="664"/>
      <c r="I237" s="665"/>
      <c r="M237" s="389" t="str">
        <f>IF('Bản đồ công việc'!X253="","",'Bản đồ công việc'!W253)</f>
        <v/>
      </c>
      <c r="N237" s="389" t="str">
        <f>IF('Bản đồ công việc'!X253="","",'Bản đồ công việc'!X253)</f>
        <v/>
      </c>
      <c r="O237" s="389" t="str">
        <f>IF('Bản đồ công việc'!X253="","",'Bản đồ công việc'!Y253)</f>
        <v/>
      </c>
      <c r="P237" s="389" t="str">
        <f>IF('Bản đồ công việc'!X253="","",'Bản đồ công việc'!V253)</f>
        <v/>
      </c>
      <c r="Q237" s="389" t="str">
        <f>IF('Bản đồ công việc'!X253="","",'Bản đồ công việc'!AC253)</f>
        <v/>
      </c>
      <c r="R237" s="389" t="str">
        <f>IF('Bản đồ công việc'!X253="","",'Bản đồ công việc'!AD253)</f>
        <v/>
      </c>
      <c r="S237" s="389" t="str">
        <f>IF('Bản đồ công việc'!X253="","",'Bản đồ công việc'!Z253)</f>
        <v/>
      </c>
      <c r="T237" s="389" t="str">
        <f>IF('Bản đồ công việc'!X253="","",'Bản đồ công việc'!AA253)</f>
        <v/>
      </c>
      <c r="U237" s="389" t="str">
        <f>IF('Bản đồ công việc'!X253="","",'Bản đồ công việc'!AE253)</f>
        <v/>
      </c>
      <c r="V237" s="389" t="str">
        <f>IF('Bản đồ công việc'!X253="","",'Bản đồ công việc'!AI253)</f>
        <v/>
      </c>
      <c r="W237" s="389">
        <f t="shared" si="2"/>
        <v>0</v>
      </c>
      <c r="X237" s="389" t="str">
        <f t="shared" si="3"/>
        <v/>
      </c>
      <c r="Y237" s="389" t="str">
        <f t="shared" ref="Y237:Z237" si="233">IFERROR(INDEX($O$8:$O$684,MATCH(X237,$N$8:$N$684,0)),"")</f>
        <v/>
      </c>
      <c r="Z237" s="389" t="str">
        <f t="shared" si="233"/>
        <v/>
      </c>
      <c r="AA237" s="389">
        <f t="shared" si="5"/>
        <v>0</v>
      </c>
    </row>
    <row r="238" ht="15.75" customHeight="1">
      <c r="F238" s="664"/>
      <c r="I238" s="665"/>
      <c r="M238" s="389" t="str">
        <f>IF('Bản đồ công việc'!X254="","",'Bản đồ công việc'!W254)</f>
        <v/>
      </c>
      <c r="N238" s="389" t="str">
        <f>IF('Bản đồ công việc'!X254="","",'Bản đồ công việc'!X254)</f>
        <v/>
      </c>
      <c r="O238" s="389" t="str">
        <f>IF('Bản đồ công việc'!X254="","",'Bản đồ công việc'!Y254)</f>
        <v/>
      </c>
      <c r="P238" s="389" t="str">
        <f>IF('Bản đồ công việc'!X254="","",'Bản đồ công việc'!V254)</f>
        <v/>
      </c>
      <c r="Q238" s="389" t="str">
        <f>IF('Bản đồ công việc'!X254="","",'Bản đồ công việc'!AC254)</f>
        <v/>
      </c>
      <c r="R238" s="389" t="str">
        <f>IF('Bản đồ công việc'!X254="","",'Bản đồ công việc'!AD254)</f>
        <v/>
      </c>
      <c r="S238" s="389" t="str">
        <f>IF('Bản đồ công việc'!X254="","",'Bản đồ công việc'!Z254)</f>
        <v/>
      </c>
      <c r="T238" s="389" t="str">
        <f>IF('Bản đồ công việc'!X254="","",'Bản đồ công việc'!AA254)</f>
        <v/>
      </c>
      <c r="U238" s="389" t="str">
        <f>IF('Bản đồ công việc'!X254="","",'Bản đồ công việc'!AE254)</f>
        <v/>
      </c>
      <c r="V238" s="389" t="str">
        <f>IF('Bản đồ công việc'!X254="","",'Bản đồ công việc'!AI254)</f>
        <v/>
      </c>
      <c r="W238" s="389">
        <f t="shared" si="2"/>
        <v>0</v>
      </c>
      <c r="X238" s="389" t="str">
        <f t="shared" si="3"/>
        <v/>
      </c>
      <c r="Y238" s="389" t="str">
        <f t="shared" ref="Y238:Z238" si="234">IFERROR(INDEX($O$8:$O$684,MATCH(X238,$N$8:$N$684,0)),"")</f>
        <v/>
      </c>
      <c r="Z238" s="389" t="str">
        <f t="shared" si="234"/>
        <v/>
      </c>
      <c r="AA238" s="389">
        <f t="shared" si="5"/>
        <v>0</v>
      </c>
    </row>
    <row r="239" ht="15.75" customHeight="1">
      <c r="F239" s="664"/>
      <c r="I239" s="665"/>
      <c r="M239" s="389" t="str">
        <f>IF('Bản đồ công việc'!X255="","",'Bản đồ công việc'!W255)</f>
        <v/>
      </c>
      <c r="N239" s="389" t="str">
        <f>IF('Bản đồ công việc'!X255="","",'Bản đồ công việc'!X255)</f>
        <v/>
      </c>
      <c r="O239" s="389" t="str">
        <f>IF('Bản đồ công việc'!X255="","",'Bản đồ công việc'!Y255)</f>
        <v/>
      </c>
      <c r="P239" s="389" t="str">
        <f>IF('Bản đồ công việc'!X255="","",'Bản đồ công việc'!V255)</f>
        <v/>
      </c>
      <c r="Q239" s="389" t="str">
        <f>IF('Bản đồ công việc'!X255="","",'Bản đồ công việc'!AC255)</f>
        <v/>
      </c>
      <c r="R239" s="389" t="str">
        <f>IF('Bản đồ công việc'!X255="","",'Bản đồ công việc'!AD255)</f>
        <v/>
      </c>
      <c r="S239" s="389" t="str">
        <f>IF('Bản đồ công việc'!X255="","",'Bản đồ công việc'!Z255)</f>
        <v/>
      </c>
      <c r="T239" s="389" t="str">
        <f>IF('Bản đồ công việc'!X255="","",'Bản đồ công việc'!AA255)</f>
        <v/>
      </c>
      <c r="U239" s="389" t="str">
        <f>IF('Bản đồ công việc'!X255="","",'Bản đồ công việc'!AE255)</f>
        <v/>
      </c>
      <c r="V239" s="389" t="str">
        <f>IF('Bản đồ công việc'!X255="","",'Bản đồ công việc'!AI255)</f>
        <v/>
      </c>
      <c r="W239" s="389">
        <f t="shared" si="2"/>
        <v>0</v>
      </c>
      <c r="X239" s="389" t="str">
        <f t="shared" si="3"/>
        <v/>
      </c>
      <c r="Y239" s="389" t="str">
        <f t="shared" ref="Y239:Z239" si="235">IFERROR(INDEX($O$8:$O$684,MATCH(X239,$N$8:$N$684,0)),"")</f>
        <v/>
      </c>
      <c r="Z239" s="389" t="str">
        <f t="shared" si="235"/>
        <v/>
      </c>
      <c r="AA239" s="389">
        <f t="shared" si="5"/>
        <v>0</v>
      </c>
    </row>
    <row r="240" ht="15.75" customHeight="1">
      <c r="F240" s="664"/>
      <c r="I240" s="665"/>
      <c r="M240" s="389" t="str">
        <f>IF('Bản đồ công việc'!X256="","",'Bản đồ công việc'!W256)</f>
        <v/>
      </c>
      <c r="N240" s="389" t="str">
        <f>IF('Bản đồ công việc'!X256="","",'Bản đồ công việc'!X256)</f>
        <v/>
      </c>
      <c r="O240" s="389" t="str">
        <f>IF('Bản đồ công việc'!X256="","",'Bản đồ công việc'!Y256)</f>
        <v/>
      </c>
      <c r="P240" s="389" t="str">
        <f>IF('Bản đồ công việc'!X256="","",'Bản đồ công việc'!V256)</f>
        <v/>
      </c>
      <c r="Q240" s="389" t="str">
        <f>IF('Bản đồ công việc'!X256="","",'Bản đồ công việc'!AC256)</f>
        <v/>
      </c>
      <c r="R240" s="389" t="str">
        <f>IF('Bản đồ công việc'!X256="","",'Bản đồ công việc'!AD256)</f>
        <v/>
      </c>
      <c r="S240" s="389" t="str">
        <f>IF('Bản đồ công việc'!X256="","",'Bản đồ công việc'!Z256)</f>
        <v/>
      </c>
      <c r="T240" s="389" t="str">
        <f>IF('Bản đồ công việc'!X256="","",'Bản đồ công việc'!AA256)</f>
        <v/>
      </c>
      <c r="U240" s="389" t="str">
        <f>IF('Bản đồ công việc'!X256="","",'Bản đồ công việc'!AE256)</f>
        <v/>
      </c>
      <c r="V240" s="389" t="str">
        <f>IF('Bản đồ công việc'!X256="","",'Bản đồ công việc'!AI256)</f>
        <v/>
      </c>
      <c r="W240" s="389">
        <f t="shared" si="2"/>
        <v>0</v>
      </c>
      <c r="X240" s="389" t="str">
        <f t="shared" si="3"/>
        <v/>
      </c>
      <c r="Y240" s="389" t="str">
        <f t="shared" ref="Y240:Z240" si="236">IFERROR(INDEX($O$8:$O$684,MATCH(X240,$N$8:$N$684,0)),"")</f>
        <v/>
      </c>
      <c r="Z240" s="389" t="str">
        <f t="shared" si="236"/>
        <v/>
      </c>
      <c r="AA240" s="389">
        <f t="shared" si="5"/>
        <v>0</v>
      </c>
    </row>
    <row r="241" ht="15.75" customHeight="1">
      <c r="F241" s="664"/>
      <c r="I241" s="665"/>
      <c r="M241" s="389" t="str">
        <f>IF('Bản đồ công việc'!X257="","",'Bản đồ công việc'!W257)</f>
        <v/>
      </c>
      <c r="N241" s="389" t="str">
        <f>IF('Bản đồ công việc'!X257="","",'Bản đồ công việc'!X257)</f>
        <v/>
      </c>
      <c r="O241" s="389" t="str">
        <f>IF('Bản đồ công việc'!X257="","",'Bản đồ công việc'!Y257)</f>
        <v/>
      </c>
      <c r="P241" s="389" t="str">
        <f>IF('Bản đồ công việc'!X257="","",'Bản đồ công việc'!V257)</f>
        <v/>
      </c>
      <c r="Q241" s="389" t="str">
        <f>IF('Bản đồ công việc'!X257="","",'Bản đồ công việc'!AC257)</f>
        <v/>
      </c>
      <c r="R241" s="389" t="str">
        <f>IF('Bản đồ công việc'!X257="","",'Bản đồ công việc'!AD257)</f>
        <v/>
      </c>
      <c r="S241" s="389" t="str">
        <f>IF('Bản đồ công việc'!X257="","",'Bản đồ công việc'!Z257)</f>
        <v/>
      </c>
      <c r="T241" s="389" t="str">
        <f>IF('Bản đồ công việc'!X257="","",'Bản đồ công việc'!AA257)</f>
        <v/>
      </c>
      <c r="U241" s="389" t="str">
        <f>IF('Bản đồ công việc'!X257="","",'Bản đồ công việc'!AE257)</f>
        <v/>
      </c>
      <c r="V241" s="389" t="str">
        <f>IF('Bản đồ công việc'!X257="","",'Bản đồ công việc'!AI257)</f>
        <v/>
      </c>
      <c r="W241" s="389">
        <f t="shared" si="2"/>
        <v>0</v>
      </c>
      <c r="X241" s="389" t="str">
        <f t="shared" si="3"/>
        <v/>
      </c>
      <c r="Y241" s="389" t="str">
        <f t="shared" ref="Y241:Z241" si="237">IFERROR(INDEX($O$8:$O$684,MATCH(X241,$N$8:$N$684,0)),"")</f>
        <v/>
      </c>
      <c r="Z241" s="389" t="str">
        <f t="shared" si="237"/>
        <v/>
      </c>
      <c r="AA241" s="389">
        <f t="shared" si="5"/>
        <v>0</v>
      </c>
    </row>
    <row r="242" ht="15.75" customHeight="1">
      <c r="F242" s="664"/>
      <c r="I242" s="665"/>
      <c r="M242" s="389" t="str">
        <f>IF('Bản đồ công việc'!X258="","",'Bản đồ công việc'!W258)</f>
        <v/>
      </c>
      <c r="N242" s="389" t="str">
        <f>IF('Bản đồ công việc'!X258="","",'Bản đồ công việc'!X258)</f>
        <v/>
      </c>
      <c r="O242" s="389" t="str">
        <f>IF('Bản đồ công việc'!X258="","",'Bản đồ công việc'!Y258)</f>
        <v/>
      </c>
      <c r="P242" s="389" t="str">
        <f>IF('Bản đồ công việc'!X258="","",'Bản đồ công việc'!V258)</f>
        <v/>
      </c>
      <c r="Q242" s="389" t="str">
        <f>IF('Bản đồ công việc'!X258="","",'Bản đồ công việc'!AC258)</f>
        <v/>
      </c>
      <c r="R242" s="389" t="str">
        <f>IF('Bản đồ công việc'!X258="","",'Bản đồ công việc'!AD258)</f>
        <v/>
      </c>
      <c r="S242" s="389" t="str">
        <f>IF('Bản đồ công việc'!X258="","",'Bản đồ công việc'!Z258)</f>
        <v/>
      </c>
      <c r="T242" s="389" t="str">
        <f>IF('Bản đồ công việc'!X258="","",'Bản đồ công việc'!AA258)</f>
        <v/>
      </c>
      <c r="U242" s="389" t="str">
        <f>IF('Bản đồ công việc'!X258="","",'Bản đồ công việc'!AE258)</f>
        <v/>
      </c>
      <c r="V242" s="389" t="str">
        <f>IF('Bản đồ công việc'!X258="","",'Bản đồ công việc'!AI258)</f>
        <v/>
      </c>
      <c r="W242" s="389">
        <f t="shared" si="2"/>
        <v>0</v>
      </c>
      <c r="X242" s="389" t="str">
        <f t="shared" si="3"/>
        <v/>
      </c>
      <c r="Y242" s="389" t="str">
        <f t="shared" ref="Y242:Z242" si="238">IFERROR(INDEX($O$8:$O$684,MATCH(X242,$N$8:$N$684,0)),"")</f>
        <v/>
      </c>
      <c r="Z242" s="389" t="str">
        <f t="shared" si="238"/>
        <v/>
      </c>
      <c r="AA242" s="389">
        <f t="shared" si="5"/>
        <v>0</v>
      </c>
    </row>
    <row r="243" ht="15.75" customHeight="1">
      <c r="F243" s="664"/>
      <c r="I243" s="665"/>
      <c r="M243" s="389" t="str">
        <f>IF('Bản đồ công việc'!X259="","",'Bản đồ công việc'!W259)</f>
        <v/>
      </c>
      <c r="N243" s="389" t="str">
        <f>IF('Bản đồ công việc'!X259="","",'Bản đồ công việc'!X259)</f>
        <v/>
      </c>
      <c r="O243" s="389" t="str">
        <f>IF('Bản đồ công việc'!X259="","",'Bản đồ công việc'!Y259)</f>
        <v/>
      </c>
      <c r="P243" s="389" t="str">
        <f>IF('Bản đồ công việc'!X259="","",'Bản đồ công việc'!V259)</f>
        <v/>
      </c>
      <c r="Q243" s="389" t="str">
        <f>IF('Bản đồ công việc'!X259="","",'Bản đồ công việc'!AC259)</f>
        <v/>
      </c>
      <c r="R243" s="389" t="str">
        <f>IF('Bản đồ công việc'!X259="","",'Bản đồ công việc'!AD259)</f>
        <v/>
      </c>
      <c r="S243" s="389" t="str">
        <f>IF('Bản đồ công việc'!X259="","",'Bản đồ công việc'!Z259)</f>
        <v/>
      </c>
      <c r="T243" s="389" t="str">
        <f>IF('Bản đồ công việc'!X259="","",'Bản đồ công việc'!AA259)</f>
        <v/>
      </c>
      <c r="U243" s="389" t="str">
        <f>IF('Bản đồ công việc'!X259="","",'Bản đồ công việc'!AE259)</f>
        <v/>
      </c>
      <c r="V243" s="389" t="str">
        <f>IF('Bản đồ công việc'!X259="","",'Bản đồ công việc'!AI259)</f>
        <v/>
      </c>
      <c r="W243" s="389">
        <f t="shared" si="2"/>
        <v>0</v>
      </c>
      <c r="X243" s="389" t="str">
        <f t="shared" si="3"/>
        <v/>
      </c>
      <c r="Y243" s="389" t="str">
        <f t="shared" ref="Y243:Z243" si="239">IFERROR(INDEX($O$8:$O$684,MATCH(X243,$N$8:$N$684,0)),"")</f>
        <v/>
      </c>
      <c r="Z243" s="389" t="str">
        <f t="shared" si="239"/>
        <v/>
      </c>
      <c r="AA243" s="389">
        <f t="shared" si="5"/>
        <v>0</v>
      </c>
    </row>
    <row r="244" ht="15.75" customHeight="1">
      <c r="F244" s="664"/>
      <c r="I244" s="665"/>
      <c r="M244" s="389" t="str">
        <f>IF('Bản đồ công việc'!X260="","",'Bản đồ công việc'!W260)</f>
        <v/>
      </c>
      <c r="N244" s="389" t="str">
        <f>IF('Bản đồ công việc'!X260="","",'Bản đồ công việc'!X260)</f>
        <v/>
      </c>
      <c r="O244" s="389" t="str">
        <f>IF('Bản đồ công việc'!X260="","",'Bản đồ công việc'!Y260)</f>
        <v/>
      </c>
      <c r="P244" s="389" t="str">
        <f>IF('Bản đồ công việc'!X260="","",'Bản đồ công việc'!V260)</f>
        <v/>
      </c>
      <c r="Q244" s="389" t="str">
        <f>IF('Bản đồ công việc'!X260="","",'Bản đồ công việc'!AC260)</f>
        <v/>
      </c>
      <c r="R244" s="389" t="str">
        <f>IF('Bản đồ công việc'!X260="","",'Bản đồ công việc'!AD260)</f>
        <v/>
      </c>
      <c r="S244" s="389" t="str">
        <f>IF('Bản đồ công việc'!X260="","",'Bản đồ công việc'!Z260)</f>
        <v/>
      </c>
      <c r="T244" s="389" t="str">
        <f>IF('Bản đồ công việc'!X260="","",'Bản đồ công việc'!AA260)</f>
        <v/>
      </c>
      <c r="U244" s="389" t="str">
        <f>IF('Bản đồ công việc'!X260="","",'Bản đồ công việc'!AE260)</f>
        <v/>
      </c>
      <c r="V244" s="389" t="str">
        <f>IF('Bản đồ công việc'!X260="","",'Bản đồ công việc'!AI260)</f>
        <v/>
      </c>
      <c r="W244" s="389">
        <f t="shared" si="2"/>
        <v>0</v>
      </c>
      <c r="X244" s="389" t="str">
        <f t="shared" si="3"/>
        <v/>
      </c>
      <c r="Y244" s="389" t="str">
        <f t="shared" ref="Y244:Z244" si="240">IFERROR(INDEX($O$8:$O$684,MATCH(X244,$N$8:$N$684,0)),"")</f>
        <v/>
      </c>
      <c r="Z244" s="389" t="str">
        <f t="shared" si="240"/>
        <v/>
      </c>
      <c r="AA244" s="389">
        <f t="shared" si="5"/>
        <v>0</v>
      </c>
    </row>
    <row r="245" ht="15.75" customHeight="1">
      <c r="F245" s="664"/>
      <c r="I245" s="665"/>
      <c r="M245" s="389" t="str">
        <f>IF('Bản đồ công việc'!X261="","",'Bản đồ công việc'!W261)</f>
        <v/>
      </c>
      <c r="N245" s="389" t="str">
        <f>IF('Bản đồ công việc'!X261="","",'Bản đồ công việc'!X261)</f>
        <v/>
      </c>
      <c r="O245" s="389" t="str">
        <f>IF('Bản đồ công việc'!X261="","",'Bản đồ công việc'!Y261)</f>
        <v/>
      </c>
      <c r="P245" s="389" t="str">
        <f>IF('Bản đồ công việc'!X261="","",'Bản đồ công việc'!V261)</f>
        <v/>
      </c>
      <c r="Q245" s="389" t="str">
        <f>IF('Bản đồ công việc'!X261="","",'Bản đồ công việc'!AC261)</f>
        <v/>
      </c>
      <c r="R245" s="389" t="str">
        <f>IF('Bản đồ công việc'!X261="","",'Bản đồ công việc'!AD261)</f>
        <v/>
      </c>
      <c r="S245" s="389" t="str">
        <f>IF('Bản đồ công việc'!X261="","",'Bản đồ công việc'!Z261)</f>
        <v/>
      </c>
      <c r="T245" s="389" t="str">
        <f>IF('Bản đồ công việc'!X261="","",'Bản đồ công việc'!AA261)</f>
        <v/>
      </c>
      <c r="U245" s="389" t="str">
        <f>IF('Bản đồ công việc'!X261="","",'Bản đồ công việc'!AE261)</f>
        <v/>
      </c>
      <c r="V245" s="389" t="str">
        <f>IF('Bản đồ công việc'!X261="","",'Bản đồ công việc'!AI261)</f>
        <v/>
      </c>
      <c r="W245" s="389">
        <f t="shared" si="2"/>
        <v>0</v>
      </c>
      <c r="X245" s="389" t="str">
        <f t="shared" si="3"/>
        <v/>
      </c>
      <c r="Y245" s="389" t="str">
        <f t="shared" ref="Y245:Z245" si="241">IFERROR(INDEX($O$8:$O$684,MATCH(X245,$N$8:$N$684,0)),"")</f>
        <v/>
      </c>
      <c r="Z245" s="389" t="str">
        <f t="shared" si="241"/>
        <v/>
      </c>
      <c r="AA245" s="389">
        <f t="shared" si="5"/>
        <v>0</v>
      </c>
    </row>
    <row r="246" ht="15.75" customHeight="1">
      <c r="F246" s="664"/>
      <c r="I246" s="665"/>
      <c r="M246" s="389" t="str">
        <f>IF('Bản đồ công việc'!X262="","",'Bản đồ công việc'!W262)</f>
        <v/>
      </c>
      <c r="N246" s="389" t="str">
        <f>IF('Bản đồ công việc'!X262="","",'Bản đồ công việc'!X262)</f>
        <v/>
      </c>
      <c r="O246" s="389" t="str">
        <f>IF('Bản đồ công việc'!X262="","",'Bản đồ công việc'!Y262)</f>
        <v/>
      </c>
      <c r="P246" s="389" t="str">
        <f>IF('Bản đồ công việc'!X262="","",'Bản đồ công việc'!V262)</f>
        <v/>
      </c>
      <c r="Q246" s="389" t="str">
        <f>IF('Bản đồ công việc'!X262="","",'Bản đồ công việc'!AC262)</f>
        <v/>
      </c>
      <c r="R246" s="389" t="str">
        <f>IF('Bản đồ công việc'!X262="","",'Bản đồ công việc'!AD262)</f>
        <v/>
      </c>
      <c r="S246" s="389" t="str">
        <f>IF('Bản đồ công việc'!X262="","",'Bản đồ công việc'!Z262)</f>
        <v/>
      </c>
      <c r="T246" s="389" t="str">
        <f>IF('Bản đồ công việc'!X262="","",'Bản đồ công việc'!AA262)</f>
        <v/>
      </c>
      <c r="U246" s="389" t="str">
        <f>IF('Bản đồ công việc'!X262="","",'Bản đồ công việc'!AE262)</f>
        <v/>
      </c>
      <c r="V246" s="389" t="str">
        <f>IF('Bản đồ công việc'!X262="","",'Bản đồ công việc'!AI262)</f>
        <v/>
      </c>
      <c r="W246" s="389">
        <f t="shared" si="2"/>
        <v>0</v>
      </c>
      <c r="X246" s="389" t="str">
        <f t="shared" si="3"/>
        <v/>
      </c>
      <c r="Y246" s="389" t="str">
        <f t="shared" ref="Y246:Z246" si="242">IFERROR(INDEX($O$8:$O$684,MATCH(X246,$N$8:$N$684,0)),"")</f>
        <v/>
      </c>
      <c r="Z246" s="389" t="str">
        <f t="shared" si="242"/>
        <v/>
      </c>
      <c r="AA246" s="389">
        <f t="shared" si="5"/>
        <v>0</v>
      </c>
    </row>
    <row r="247" ht="15.75" customHeight="1">
      <c r="F247" s="664"/>
      <c r="I247" s="665"/>
      <c r="M247" s="389" t="str">
        <f>IF('Bản đồ công việc'!X263="","",'Bản đồ công việc'!W263)</f>
        <v/>
      </c>
      <c r="N247" s="389" t="str">
        <f>IF('Bản đồ công việc'!X263="","",'Bản đồ công việc'!X263)</f>
        <v/>
      </c>
      <c r="O247" s="389" t="str">
        <f>IF('Bản đồ công việc'!X263="","",'Bản đồ công việc'!Y263)</f>
        <v/>
      </c>
      <c r="P247" s="389" t="str">
        <f>IF('Bản đồ công việc'!X263="","",'Bản đồ công việc'!V263)</f>
        <v/>
      </c>
      <c r="Q247" s="389" t="str">
        <f>IF('Bản đồ công việc'!X263="","",'Bản đồ công việc'!AC263)</f>
        <v/>
      </c>
      <c r="R247" s="389" t="str">
        <f>IF('Bản đồ công việc'!X263="","",'Bản đồ công việc'!AD263)</f>
        <v/>
      </c>
      <c r="S247" s="389" t="str">
        <f>IF('Bản đồ công việc'!X263="","",'Bản đồ công việc'!Z263)</f>
        <v/>
      </c>
      <c r="T247" s="389" t="str">
        <f>IF('Bản đồ công việc'!X263="","",'Bản đồ công việc'!AA263)</f>
        <v/>
      </c>
      <c r="U247" s="389" t="str">
        <f>IF('Bản đồ công việc'!X263="","",'Bản đồ công việc'!AE263)</f>
        <v/>
      </c>
      <c r="V247" s="389" t="str">
        <f>IF('Bản đồ công việc'!X263="","",'Bản đồ công việc'!AI263)</f>
        <v/>
      </c>
      <c r="W247" s="389">
        <f t="shared" si="2"/>
        <v>0</v>
      </c>
      <c r="X247" s="389" t="str">
        <f t="shared" si="3"/>
        <v/>
      </c>
      <c r="Y247" s="389" t="str">
        <f t="shared" ref="Y247:Z247" si="243">IFERROR(INDEX($O$8:$O$684,MATCH(X247,$N$8:$N$684,0)),"")</f>
        <v/>
      </c>
      <c r="Z247" s="389" t="str">
        <f t="shared" si="243"/>
        <v/>
      </c>
      <c r="AA247" s="389">
        <f t="shared" si="5"/>
        <v>0</v>
      </c>
    </row>
    <row r="248" ht="15.75" customHeight="1">
      <c r="F248" s="664"/>
      <c r="I248" s="665"/>
      <c r="M248" s="389" t="str">
        <f>IF('Bản đồ công việc'!X264="","",'Bản đồ công việc'!W264)</f>
        <v/>
      </c>
      <c r="N248" s="389" t="str">
        <f>IF('Bản đồ công việc'!X264="","",'Bản đồ công việc'!X264)</f>
        <v/>
      </c>
      <c r="O248" s="389" t="str">
        <f>IF('Bản đồ công việc'!X264="","",'Bản đồ công việc'!Y264)</f>
        <v/>
      </c>
      <c r="P248" s="389" t="str">
        <f>IF('Bản đồ công việc'!X264="","",'Bản đồ công việc'!V264)</f>
        <v/>
      </c>
      <c r="Q248" s="389" t="str">
        <f>IF('Bản đồ công việc'!X264="","",'Bản đồ công việc'!AC264)</f>
        <v/>
      </c>
      <c r="R248" s="389" t="str">
        <f>IF('Bản đồ công việc'!X264="","",'Bản đồ công việc'!AD264)</f>
        <v/>
      </c>
      <c r="S248" s="389" t="str">
        <f>IF('Bản đồ công việc'!X264="","",'Bản đồ công việc'!Z264)</f>
        <v/>
      </c>
      <c r="T248" s="389" t="str">
        <f>IF('Bản đồ công việc'!X264="","",'Bản đồ công việc'!AA264)</f>
        <v/>
      </c>
      <c r="U248" s="389" t="str">
        <f>IF('Bản đồ công việc'!X264="","",'Bản đồ công việc'!AE264)</f>
        <v/>
      </c>
      <c r="V248" s="389" t="str">
        <f>IF('Bản đồ công việc'!X264="","",'Bản đồ công việc'!AI264)</f>
        <v/>
      </c>
      <c r="W248" s="389">
        <f t="shared" si="2"/>
        <v>0</v>
      </c>
      <c r="X248" s="389" t="str">
        <f t="shared" si="3"/>
        <v/>
      </c>
      <c r="Y248" s="389" t="str">
        <f t="shared" ref="Y248:Z248" si="244">IFERROR(INDEX($O$8:$O$684,MATCH(X248,$N$8:$N$684,0)),"")</f>
        <v/>
      </c>
      <c r="Z248" s="389" t="str">
        <f t="shared" si="244"/>
        <v/>
      </c>
      <c r="AA248" s="389">
        <f t="shared" si="5"/>
        <v>0</v>
      </c>
    </row>
    <row r="249" ht="15.75" customHeight="1">
      <c r="F249" s="664"/>
      <c r="I249" s="665"/>
      <c r="M249" s="389" t="str">
        <f>IF('Bản đồ công việc'!X265="","",'Bản đồ công việc'!W265)</f>
        <v/>
      </c>
      <c r="N249" s="389" t="str">
        <f>IF('Bản đồ công việc'!X265="","",'Bản đồ công việc'!X265)</f>
        <v/>
      </c>
      <c r="O249" s="389" t="str">
        <f>IF('Bản đồ công việc'!X265="","",'Bản đồ công việc'!Y265)</f>
        <v/>
      </c>
      <c r="P249" s="389" t="str">
        <f>IF('Bản đồ công việc'!X265="","",'Bản đồ công việc'!V265)</f>
        <v/>
      </c>
      <c r="Q249" s="389" t="str">
        <f>IF('Bản đồ công việc'!X265="","",'Bản đồ công việc'!AC265)</f>
        <v/>
      </c>
      <c r="R249" s="389" t="str">
        <f>IF('Bản đồ công việc'!X265="","",'Bản đồ công việc'!AD265)</f>
        <v/>
      </c>
      <c r="S249" s="389" t="str">
        <f>IF('Bản đồ công việc'!X265="","",'Bản đồ công việc'!Z265)</f>
        <v/>
      </c>
      <c r="T249" s="389" t="str">
        <f>IF('Bản đồ công việc'!X265="","",'Bản đồ công việc'!AA265)</f>
        <v/>
      </c>
      <c r="U249" s="389" t="str">
        <f>IF('Bản đồ công việc'!X265="","",'Bản đồ công việc'!AE265)</f>
        <v/>
      </c>
      <c r="V249" s="389" t="str">
        <f>IF('Bản đồ công việc'!X265="","",'Bản đồ công việc'!AI265)</f>
        <v/>
      </c>
      <c r="W249" s="389">
        <f t="shared" si="2"/>
        <v>0</v>
      </c>
      <c r="X249" s="389" t="str">
        <f t="shared" si="3"/>
        <v/>
      </c>
      <c r="Y249" s="389" t="str">
        <f t="shared" ref="Y249:Z249" si="245">IFERROR(INDEX($O$8:$O$684,MATCH(X249,$N$8:$N$684,0)),"")</f>
        <v/>
      </c>
      <c r="Z249" s="389" t="str">
        <f t="shared" si="245"/>
        <v/>
      </c>
      <c r="AA249" s="389">
        <f t="shared" si="5"/>
        <v>0</v>
      </c>
    </row>
    <row r="250" ht="15.75" customHeight="1">
      <c r="F250" s="664"/>
      <c r="I250" s="665"/>
      <c r="M250" s="389" t="str">
        <f>IF('Bản đồ công việc'!X266="","",'Bản đồ công việc'!W266)</f>
        <v/>
      </c>
      <c r="N250" s="389" t="str">
        <f>IF('Bản đồ công việc'!X266="","",'Bản đồ công việc'!X266)</f>
        <v/>
      </c>
      <c r="O250" s="389" t="str">
        <f>IF('Bản đồ công việc'!X266="","",'Bản đồ công việc'!Y266)</f>
        <v/>
      </c>
      <c r="P250" s="389" t="str">
        <f>IF('Bản đồ công việc'!X266="","",'Bản đồ công việc'!V266)</f>
        <v/>
      </c>
      <c r="Q250" s="389" t="str">
        <f>IF('Bản đồ công việc'!X266="","",'Bản đồ công việc'!AC266)</f>
        <v/>
      </c>
      <c r="R250" s="389" t="str">
        <f>IF('Bản đồ công việc'!X266="","",'Bản đồ công việc'!AD266)</f>
        <v/>
      </c>
      <c r="S250" s="389" t="str">
        <f>IF('Bản đồ công việc'!X266="","",'Bản đồ công việc'!Z266)</f>
        <v/>
      </c>
      <c r="T250" s="389" t="str">
        <f>IF('Bản đồ công việc'!X266="","",'Bản đồ công việc'!AA266)</f>
        <v/>
      </c>
      <c r="U250" s="389" t="str">
        <f>IF('Bản đồ công việc'!X266="","",'Bản đồ công việc'!AE266)</f>
        <v/>
      </c>
      <c r="V250" s="389" t="str">
        <f>IF('Bản đồ công việc'!X266="","",'Bản đồ công việc'!AI266)</f>
        <v/>
      </c>
      <c r="W250" s="389">
        <f t="shared" si="2"/>
        <v>0</v>
      </c>
      <c r="X250" s="389" t="str">
        <f t="shared" si="3"/>
        <v/>
      </c>
      <c r="Y250" s="389" t="str">
        <f t="shared" ref="Y250:Z250" si="246">IFERROR(INDEX($O$8:$O$684,MATCH(X250,$N$8:$N$684,0)),"")</f>
        <v/>
      </c>
      <c r="Z250" s="389" t="str">
        <f t="shared" si="246"/>
        <v/>
      </c>
      <c r="AA250" s="389">
        <f t="shared" si="5"/>
        <v>0</v>
      </c>
    </row>
    <row r="251" ht="15.75" customHeight="1">
      <c r="F251" s="664"/>
      <c r="I251" s="665"/>
      <c r="M251" s="389" t="str">
        <f>IF('Bản đồ công việc'!X267="","",'Bản đồ công việc'!W267)</f>
        <v/>
      </c>
      <c r="N251" s="389" t="str">
        <f>IF('Bản đồ công việc'!X267="","",'Bản đồ công việc'!X267)</f>
        <v/>
      </c>
      <c r="O251" s="389" t="str">
        <f>IF('Bản đồ công việc'!X267="","",'Bản đồ công việc'!Y267)</f>
        <v/>
      </c>
      <c r="P251" s="389" t="str">
        <f>IF('Bản đồ công việc'!X267="","",'Bản đồ công việc'!V267)</f>
        <v/>
      </c>
      <c r="Q251" s="389" t="str">
        <f>IF('Bản đồ công việc'!X267="","",'Bản đồ công việc'!AC267)</f>
        <v/>
      </c>
      <c r="R251" s="389" t="str">
        <f>IF('Bản đồ công việc'!X267="","",'Bản đồ công việc'!AD267)</f>
        <v/>
      </c>
      <c r="S251" s="389" t="str">
        <f>IF('Bản đồ công việc'!X267="","",'Bản đồ công việc'!Z267)</f>
        <v/>
      </c>
      <c r="T251" s="389" t="str">
        <f>IF('Bản đồ công việc'!X267="","",'Bản đồ công việc'!AA267)</f>
        <v/>
      </c>
      <c r="U251" s="389" t="str">
        <f>IF('Bản đồ công việc'!X267="","",'Bản đồ công việc'!AE267)</f>
        <v/>
      </c>
      <c r="V251" s="389" t="str">
        <f>IF('Bản đồ công việc'!X267="","",'Bản đồ công việc'!AI267)</f>
        <v/>
      </c>
      <c r="W251" s="389">
        <f t="shared" si="2"/>
        <v>0</v>
      </c>
      <c r="X251" s="389" t="str">
        <f t="shared" si="3"/>
        <v/>
      </c>
      <c r="Y251" s="389" t="str">
        <f t="shared" ref="Y251:Z251" si="247">IFERROR(INDEX($O$8:$O$684,MATCH(X251,$N$8:$N$684,0)),"")</f>
        <v/>
      </c>
      <c r="Z251" s="389" t="str">
        <f t="shared" si="247"/>
        <v/>
      </c>
      <c r="AA251" s="389">
        <f t="shared" si="5"/>
        <v>0</v>
      </c>
    </row>
    <row r="252" ht="15.75" customHeight="1">
      <c r="F252" s="664"/>
      <c r="I252" s="665"/>
      <c r="M252" s="389" t="str">
        <f>IF('Bản đồ công việc'!X268="","",'Bản đồ công việc'!W268)</f>
        <v/>
      </c>
      <c r="N252" s="389" t="str">
        <f>IF('Bản đồ công việc'!X268="","",'Bản đồ công việc'!X268)</f>
        <v/>
      </c>
      <c r="O252" s="389" t="str">
        <f>IF('Bản đồ công việc'!X268="","",'Bản đồ công việc'!Y268)</f>
        <v/>
      </c>
      <c r="P252" s="389" t="str">
        <f>IF('Bản đồ công việc'!X268="","",'Bản đồ công việc'!V268)</f>
        <v/>
      </c>
      <c r="Q252" s="389" t="str">
        <f>IF('Bản đồ công việc'!X268="","",'Bản đồ công việc'!AC268)</f>
        <v/>
      </c>
      <c r="R252" s="389" t="str">
        <f>IF('Bản đồ công việc'!X268="","",'Bản đồ công việc'!AD268)</f>
        <v/>
      </c>
      <c r="S252" s="389" t="str">
        <f>IF('Bản đồ công việc'!X268="","",'Bản đồ công việc'!Z268)</f>
        <v/>
      </c>
      <c r="T252" s="389" t="str">
        <f>IF('Bản đồ công việc'!X268="","",'Bản đồ công việc'!AA268)</f>
        <v/>
      </c>
      <c r="U252" s="389" t="str">
        <f>IF('Bản đồ công việc'!X268="","",'Bản đồ công việc'!AE268)</f>
        <v/>
      </c>
      <c r="V252" s="389" t="str">
        <f>IF('Bản đồ công việc'!X268="","",'Bản đồ công việc'!AI268)</f>
        <v/>
      </c>
      <c r="W252" s="389">
        <f t="shared" si="2"/>
        <v>0</v>
      </c>
      <c r="X252" s="389" t="str">
        <f t="shared" si="3"/>
        <v/>
      </c>
      <c r="Y252" s="389" t="str">
        <f t="shared" ref="Y252:Z252" si="248">IFERROR(INDEX($O$8:$O$684,MATCH(X252,$N$8:$N$684,0)),"")</f>
        <v/>
      </c>
      <c r="Z252" s="389" t="str">
        <f t="shared" si="248"/>
        <v/>
      </c>
      <c r="AA252" s="389">
        <f t="shared" si="5"/>
        <v>0</v>
      </c>
    </row>
    <row r="253" ht="15.75" customHeight="1">
      <c r="F253" s="664"/>
      <c r="I253" s="665"/>
      <c r="M253" s="389" t="str">
        <f>IF('Bản đồ công việc'!X269="","",'Bản đồ công việc'!W269)</f>
        <v/>
      </c>
      <c r="N253" s="389" t="str">
        <f>IF('Bản đồ công việc'!X269="","",'Bản đồ công việc'!X269)</f>
        <v/>
      </c>
      <c r="O253" s="389" t="str">
        <f>IF('Bản đồ công việc'!X269="","",'Bản đồ công việc'!Y269)</f>
        <v/>
      </c>
      <c r="P253" s="389" t="str">
        <f>IF('Bản đồ công việc'!X269="","",'Bản đồ công việc'!V269)</f>
        <v/>
      </c>
      <c r="Q253" s="389" t="str">
        <f>IF('Bản đồ công việc'!X269="","",'Bản đồ công việc'!AC269)</f>
        <v/>
      </c>
      <c r="R253" s="389" t="str">
        <f>IF('Bản đồ công việc'!X269="","",'Bản đồ công việc'!AD269)</f>
        <v/>
      </c>
      <c r="S253" s="389" t="str">
        <f>IF('Bản đồ công việc'!X269="","",'Bản đồ công việc'!Z269)</f>
        <v/>
      </c>
      <c r="T253" s="389" t="str">
        <f>IF('Bản đồ công việc'!X269="","",'Bản đồ công việc'!AA269)</f>
        <v/>
      </c>
      <c r="U253" s="389" t="str">
        <f>IF('Bản đồ công việc'!X269="","",'Bản đồ công việc'!AE269)</f>
        <v/>
      </c>
      <c r="V253" s="389" t="str">
        <f>IF('Bản đồ công việc'!X269="","",'Bản đồ công việc'!AI269)</f>
        <v/>
      </c>
      <c r="W253" s="389">
        <f t="shared" si="2"/>
        <v>0</v>
      </c>
      <c r="X253" s="389" t="str">
        <f t="shared" si="3"/>
        <v/>
      </c>
      <c r="Y253" s="389" t="str">
        <f t="shared" ref="Y253:Z253" si="249">IFERROR(INDEX($O$8:$O$684,MATCH(X253,$N$8:$N$684,0)),"")</f>
        <v/>
      </c>
      <c r="Z253" s="389" t="str">
        <f t="shared" si="249"/>
        <v/>
      </c>
      <c r="AA253" s="389">
        <f t="shared" si="5"/>
        <v>0</v>
      </c>
    </row>
    <row r="254" ht="15.75" customHeight="1">
      <c r="F254" s="664"/>
      <c r="I254" s="665"/>
      <c r="M254" s="389" t="str">
        <f>IF('Bản đồ công việc'!X270="","",'Bản đồ công việc'!W270)</f>
        <v/>
      </c>
      <c r="N254" s="389" t="str">
        <f>IF('Bản đồ công việc'!X270="","",'Bản đồ công việc'!X270)</f>
        <v/>
      </c>
      <c r="O254" s="389" t="str">
        <f>IF('Bản đồ công việc'!X270="","",'Bản đồ công việc'!Y270)</f>
        <v/>
      </c>
      <c r="P254" s="389" t="str">
        <f>IF('Bản đồ công việc'!X270="","",'Bản đồ công việc'!V270)</f>
        <v/>
      </c>
      <c r="Q254" s="389" t="str">
        <f>IF('Bản đồ công việc'!X270="","",'Bản đồ công việc'!AC270)</f>
        <v/>
      </c>
      <c r="R254" s="389" t="str">
        <f>IF('Bản đồ công việc'!X270="","",'Bản đồ công việc'!AD270)</f>
        <v/>
      </c>
      <c r="S254" s="389" t="str">
        <f>IF('Bản đồ công việc'!X270="","",'Bản đồ công việc'!Z270)</f>
        <v/>
      </c>
      <c r="T254" s="389" t="str">
        <f>IF('Bản đồ công việc'!X270="","",'Bản đồ công việc'!AA270)</f>
        <v/>
      </c>
      <c r="U254" s="389" t="str">
        <f>IF('Bản đồ công việc'!X270="","",'Bản đồ công việc'!AE270)</f>
        <v/>
      </c>
      <c r="V254" s="389" t="str">
        <f>IF('Bản đồ công việc'!X270="","",'Bản đồ công việc'!AI270)</f>
        <v/>
      </c>
      <c r="W254" s="389">
        <f t="shared" si="2"/>
        <v>0</v>
      </c>
      <c r="X254" s="389" t="str">
        <f t="shared" si="3"/>
        <v/>
      </c>
      <c r="Y254" s="389" t="str">
        <f t="shared" ref="Y254:Z254" si="250">IFERROR(INDEX($O$8:$O$684,MATCH(X254,$N$8:$N$684,0)),"")</f>
        <v/>
      </c>
      <c r="Z254" s="389" t="str">
        <f t="shared" si="250"/>
        <v/>
      </c>
      <c r="AA254" s="389">
        <f t="shared" si="5"/>
        <v>0</v>
      </c>
    </row>
    <row r="255" ht="15.75" customHeight="1">
      <c r="F255" s="664"/>
      <c r="I255" s="665"/>
      <c r="M255" s="389" t="str">
        <f>IF('Bản đồ công việc'!X271="","",'Bản đồ công việc'!W271)</f>
        <v/>
      </c>
      <c r="N255" s="389" t="str">
        <f>IF('Bản đồ công việc'!X271="","",'Bản đồ công việc'!X271)</f>
        <v/>
      </c>
      <c r="O255" s="389" t="str">
        <f>IF('Bản đồ công việc'!X271="","",'Bản đồ công việc'!Y271)</f>
        <v/>
      </c>
      <c r="P255" s="389" t="str">
        <f>IF('Bản đồ công việc'!X271="","",'Bản đồ công việc'!V271)</f>
        <v/>
      </c>
      <c r="Q255" s="389" t="str">
        <f>IF('Bản đồ công việc'!X271="","",'Bản đồ công việc'!AC271)</f>
        <v/>
      </c>
      <c r="R255" s="389" t="str">
        <f>IF('Bản đồ công việc'!X271="","",'Bản đồ công việc'!AD271)</f>
        <v/>
      </c>
      <c r="S255" s="389" t="str">
        <f>IF('Bản đồ công việc'!X271="","",'Bản đồ công việc'!Z271)</f>
        <v/>
      </c>
      <c r="T255" s="389" t="str">
        <f>IF('Bản đồ công việc'!X271="","",'Bản đồ công việc'!AA271)</f>
        <v/>
      </c>
      <c r="U255" s="389" t="str">
        <f>IF('Bản đồ công việc'!X271="","",'Bản đồ công việc'!AE271)</f>
        <v/>
      </c>
      <c r="V255" s="389" t="str">
        <f>IF('Bản đồ công việc'!X271="","",'Bản đồ công việc'!AI271)</f>
        <v/>
      </c>
      <c r="W255" s="389">
        <f t="shared" si="2"/>
        <v>0</v>
      </c>
      <c r="X255" s="389" t="str">
        <f t="shared" si="3"/>
        <v/>
      </c>
      <c r="Y255" s="389" t="str">
        <f t="shared" ref="Y255:Z255" si="251">IFERROR(INDEX($O$8:$O$684,MATCH(X255,$N$8:$N$684,0)),"")</f>
        <v/>
      </c>
      <c r="Z255" s="389" t="str">
        <f t="shared" si="251"/>
        <v/>
      </c>
      <c r="AA255" s="389">
        <f t="shared" si="5"/>
        <v>0</v>
      </c>
    </row>
    <row r="256" ht="15.75" customHeight="1">
      <c r="F256" s="664"/>
      <c r="I256" s="665"/>
      <c r="M256" s="389" t="str">
        <f>IF('Bản đồ công việc'!X272="","",'Bản đồ công việc'!W272)</f>
        <v/>
      </c>
      <c r="N256" s="389" t="str">
        <f>IF('Bản đồ công việc'!X272="","",'Bản đồ công việc'!X272)</f>
        <v/>
      </c>
      <c r="O256" s="389" t="str">
        <f>IF('Bản đồ công việc'!X272="","",'Bản đồ công việc'!Y272)</f>
        <v/>
      </c>
      <c r="P256" s="389" t="str">
        <f>IF('Bản đồ công việc'!X272="","",'Bản đồ công việc'!V272)</f>
        <v/>
      </c>
      <c r="Q256" s="389" t="str">
        <f>IF('Bản đồ công việc'!X272="","",'Bản đồ công việc'!AC272)</f>
        <v/>
      </c>
      <c r="R256" s="389" t="str">
        <f>IF('Bản đồ công việc'!X272="","",'Bản đồ công việc'!AD272)</f>
        <v/>
      </c>
      <c r="S256" s="389" t="str">
        <f>IF('Bản đồ công việc'!X272="","",'Bản đồ công việc'!Z272)</f>
        <v/>
      </c>
      <c r="T256" s="389" t="str">
        <f>IF('Bản đồ công việc'!X272="","",'Bản đồ công việc'!AA272)</f>
        <v/>
      </c>
      <c r="U256" s="389" t="str">
        <f>IF('Bản đồ công việc'!X272="","",'Bản đồ công việc'!AE272)</f>
        <v/>
      </c>
      <c r="V256" s="389" t="str">
        <f>IF('Bản đồ công việc'!X272="","",'Bản đồ công việc'!AI272)</f>
        <v/>
      </c>
      <c r="W256" s="389">
        <f t="shared" si="2"/>
        <v>0</v>
      </c>
      <c r="X256" s="389" t="str">
        <f t="shared" si="3"/>
        <v/>
      </c>
      <c r="Y256" s="389" t="str">
        <f t="shared" ref="Y256:Z256" si="252">IFERROR(INDEX($O$8:$O$684,MATCH(X256,$N$8:$N$684,0)),"")</f>
        <v/>
      </c>
      <c r="Z256" s="389" t="str">
        <f t="shared" si="252"/>
        <v/>
      </c>
      <c r="AA256" s="389">
        <f t="shared" si="5"/>
        <v>0</v>
      </c>
    </row>
    <row r="257" ht="15.75" customHeight="1">
      <c r="F257" s="664"/>
      <c r="I257" s="665"/>
      <c r="M257" s="389" t="str">
        <f>IF('Bản đồ công việc'!X273="","",'Bản đồ công việc'!W273)</f>
        <v/>
      </c>
      <c r="N257" s="389" t="str">
        <f>IF('Bản đồ công việc'!X273="","",'Bản đồ công việc'!X273)</f>
        <v/>
      </c>
      <c r="O257" s="389" t="str">
        <f>IF('Bản đồ công việc'!X273="","",'Bản đồ công việc'!Y273)</f>
        <v/>
      </c>
      <c r="P257" s="389" t="str">
        <f>IF('Bản đồ công việc'!X273="","",'Bản đồ công việc'!V273)</f>
        <v/>
      </c>
      <c r="Q257" s="389" t="str">
        <f>IF('Bản đồ công việc'!X273="","",'Bản đồ công việc'!AC273)</f>
        <v/>
      </c>
      <c r="R257" s="389" t="str">
        <f>IF('Bản đồ công việc'!X273="","",'Bản đồ công việc'!AD273)</f>
        <v/>
      </c>
      <c r="S257" s="389" t="str">
        <f>IF('Bản đồ công việc'!X273="","",'Bản đồ công việc'!Z273)</f>
        <v/>
      </c>
      <c r="T257" s="389" t="str">
        <f>IF('Bản đồ công việc'!X273="","",'Bản đồ công việc'!AA273)</f>
        <v/>
      </c>
      <c r="U257" s="389" t="str">
        <f>IF('Bản đồ công việc'!X273="","",'Bản đồ công việc'!AE273)</f>
        <v/>
      </c>
      <c r="V257" s="389" t="str">
        <f>IF('Bản đồ công việc'!X273="","",'Bản đồ công việc'!AI273)</f>
        <v/>
      </c>
      <c r="W257" s="389">
        <f t="shared" si="2"/>
        <v>0</v>
      </c>
      <c r="X257" s="389" t="str">
        <f t="shared" si="3"/>
        <v/>
      </c>
      <c r="Y257" s="389" t="str">
        <f t="shared" ref="Y257:Z257" si="253">IFERROR(INDEX($O$8:$O$684,MATCH(X257,$N$8:$N$684,0)),"")</f>
        <v/>
      </c>
      <c r="Z257" s="389" t="str">
        <f t="shared" si="253"/>
        <v/>
      </c>
      <c r="AA257" s="389">
        <f t="shared" si="5"/>
        <v>0</v>
      </c>
    </row>
    <row r="258" ht="15.75" customHeight="1">
      <c r="F258" s="664"/>
      <c r="I258" s="665"/>
      <c r="M258" s="389" t="str">
        <f>IF('Bản đồ công việc'!X274="","",'Bản đồ công việc'!W274)</f>
        <v/>
      </c>
      <c r="N258" s="389" t="str">
        <f>IF('Bản đồ công việc'!X274="","",'Bản đồ công việc'!X274)</f>
        <v/>
      </c>
      <c r="O258" s="389" t="str">
        <f>IF('Bản đồ công việc'!X274="","",'Bản đồ công việc'!Y274)</f>
        <v/>
      </c>
      <c r="P258" s="389" t="str">
        <f>IF('Bản đồ công việc'!X274="","",'Bản đồ công việc'!V274)</f>
        <v/>
      </c>
      <c r="Q258" s="389" t="str">
        <f>IF('Bản đồ công việc'!X274="","",'Bản đồ công việc'!AC274)</f>
        <v/>
      </c>
      <c r="R258" s="389" t="str">
        <f>IF('Bản đồ công việc'!X274="","",'Bản đồ công việc'!AD274)</f>
        <v/>
      </c>
      <c r="S258" s="389" t="str">
        <f>IF('Bản đồ công việc'!X274="","",'Bản đồ công việc'!Z274)</f>
        <v/>
      </c>
      <c r="T258" s="389" t="str">
        <f>IF('Bản đồ công việc'!X274="","",'Bản đồ công việc'!AA274)</f>
        <v/>
      </c>
      <c r="U258" s="389" t="str">
        <f>IF('Bản đồ công việc'!X274="","",'Bản đồ công việc'!AE274)</f>
        <v/>
      </c>
      <c r="V258" s="389" t="str">
        <f>IF('Bản đồ công việc'!X274="","",'Bản đồ công việc'!AI274)</f>
        <v/>
      </c>
      <c r="W258" s="389">
        <f t="shared" si="2"/>
        <v>0</v>
      </c>
      <c r="X258" s="389" t="str">
        <f t="shared" si="3"/>
        <v/>
      </c>
      <c r="Y258" s="389" t="str">
        <f t="shared" ref="Y258:Z258" si="254">IFERROR(INDEX($O$8:$O$684,MATCH(X258,$N$8:$N$684,0)),"")</f>
        <v/>
      </c>
      <c r="Z258" s="389" t="str">
        <f t="shared" si="254"/>
        <v/>
      </c>
      <c r="AA258" s="389">
        <f t="shared" si="5"/>
        <v>0</v>
      </c>
    </row>
    <row r="259" ht="15.75" customHeight="1">
      <c r="F259" s="664"/>
      <c r="I259" s="665"/>
      <c r="M259" s="389" t="str">
        <f>IF('Bản đồ công việc'!X275="","",'Bản đồ công việc'!W275)</f>
        <v/>
      </c>
      <c r="N259" s="389" t="str">
        <f>IF('Bản đồ công việc'!X275="","",'Bản đồ công việc'!X275)</f>
        <v/>
      </c>
      <c r="O259" s="389" t="str">
        <f>IF('Bản đồ công việc'!X275="","",'Bản đồ công việc'!Y275)</f>
        <v/>
      </c>
      <c r="P259" s="389" t="str">
        <f>IF('Bản đồ công việc'!X275="","",'Bản đồ công việc'!V275)</f>
        <v/>
      </c>
      <c r="Q259" s="389" t="str">
        <f>IF('Bản đồ công việc'!X275="","",'Bản đồ công việc'!AC275)</f>
        <v/>
      </c>
      <c r="R259" s="389" t="str">
        <f>IF('Bản đồ công việc'!X275="","",'Bản đồ công việc'!AD275)</f>
        <v/>
      </c>
      <c r="S259" s="389" t="str">
        <f>IF('Bản đồ công việc'!X275="","",'Bản đồ công việc'!Z275)</f>
        <v/>
      </c>
      <c r="T259" s="389" t="str">
        <f>IF('Bản đồ công việc'!X275="","",'Bản đồ công việc'!AA275)</f>
        <v/>
      </c>
      <c r="U259" s="389" t="str">
        <f>IF('Bản đồ công việc'!X275="","",'Bản đồ công việc'!AE275)</f>
        <v/>
      </c>
      <c r="V259" s="389" t="str">
        <f>IF('Bản đồ công việc'!X275="","",'Bản đồ công việc'!AI275)</f>
        <v/>
      </c>
      <c r="W259" s="389">
        <f t="shared" si="2"/>
        <v>0</v>
      </c>
      <c r="X259" s="389" t="str">
        <f t="shared" si="3"/>
        <v/>
      </c>
      <c r="Y259" s="389" t="str">
        <f t="shared" ref="Y259:Z259" si="255">IFERROR(INDEX($O$8:$O$684,MATCH(X259,$N$8:$N$684,0)),"")</f>
        <v/>
      </c>
      <c r="Z259" s="389" t="str">
        <f t="shared" si="255"/>
        <v/>
      </c>
      <c r="AA259" s="389">
        <f t="shared" si="5"/>
        <v>0</v>
      </c>
    </row>
    <row r="260" ht="15.75" customHeight="1">
      <c r="F260" s="664"/>
      <c r="I260" s="665"/>
      <c r="M260" s="389" t="str">
        <f>IF('Bản đồ công việc'!X276="","",'Bản đồ công việc'!W276)</f>
        <v/>
      </c>
      <c r="N260" s="389" t="str">
        <f>IF('Bản đồ công việc'!X276="","",'Bản đồ công việc'!X276)</f>
        <v/>
      </c>
      <c r="O260" s="389" t="str">
        <f>IF('Bản đồ công việc'!X276="","",'Bản đồ công việc'!Y276)</f>
        <v/>
      </c>
      <c r="P260" s="389" t="str">
        <f>IF('Bản đồ công việc'!X276="","",'Bản đồ công việc'!V276)</f>
        <v/>
      </c>
      <c r="Q260" s="389" t="str">
        <f>IF('Bản đồ công việc'!X276="","",'Bản đồ công việc'!AC276)</f>
        <v/>
      </c>
      <c r="R260" s="389" t="str">
        <f>IF('Bản đồ công việc'!X276="","",'Bản đồ công việc'!AD276)</f>
        <v/>
      </c>
      <c r="S260" s="389" t="str">
        <f>IF('Bản đồ công việc'!X276="","",'Bản đồ công việc'!Z276)</f>
        <v/>
      </c>
      <c r="T260" s="389" t="str">
        <f>IF('Bản đồ công việc'!X276="","",'Bản đồ công việc'!AA276)</f>
        <v/>
      </c>
      <c r="U260" s="389" t="str">
        <f>IF('Bản đồ công việc'!X276="","",'Bản đồ công việc'!AE276)</f>
        <v/>
      </c>
      <c r="V260" s="389" t="str">
        <f>IF('Bản đồ công việc'!X276="","",'Bản đồ công việc'!AI276)</f>
        <v/>
      </c>
      <c r="W260" s="389">
        <f t="shared" si="2"/>
        <v>0</v>
      </c>
      <c r="X260" s="389" t="str">
        <f t="shared" si="3"/>
        <v/>
      </c>
      <c r="Y260" s="389" t="str">
        <f t="shared" ref="Y260:Z260" si="256">IFERROR(INDEX($O$8:$O$684,MATCH(X260,$N$8:$N$684,0)),"")</f>
        <v/>
      </c>
      <c r="Z260" s="389" t="str">
        <f t="shared" si="256"/>
        <v/>
      </c>
      <c r="AA260" s="389">
        <f t="shared" si="5"/>
        <v>0</v>
      </c>
    </row>
    <row r="261" ht="15.75" customHeight="1">
      <c r="F261" s="664"/>
      <c r="I261" s="665"/>
      <c r="M261" s="389" t="str">
        <f>IF('Bản đồ công việc'!X277="","",'Bản đồ công việc'!W277)</f>
        <v/>
      </c>
      <c r="N261" s="389" t="str">
        <f>IF('Bản đồ công việc'!X277="","",'Bản đồ công việc'!X277)</f>
        <v/>
      </c>
      <c r="O261" s="389" t="str">
        <f>IF('Bản đồ công việc'!X277="","",'Bản đồ công việc'!Y277)</f>
        <v/>
      </c>
      <c r="P261" s="389" t="str">
        <f>IF('Bản đồ công việc'!X277="","",'Bản đồ công việc'!V277)</f>
        <v/>
      </c>
      <c r="Q261" s="389" t="str">
        <f>IF('Bản đồ công việc'!X277="","",'Bản đồ công việc'!AC277)</f>
        <v/>
      </c>
      <c r="R261" s="389" t="str">
        <f>IF('Bản đồ công việc'!X277="","",'Bản đồ công việc'!AD277)</f>
        <v/>
      </c>
      <c r="S261" s="389" t="str">
        <f>IF('Bản đồ công việc'!X277="","",'Bản đồ công việc'!Z277)</f>
        <v/>
      </c>
      <c r="T261" s="389" t="str">
        <f>IF('Bản đồ công việc'!X277="","",'Bản đồ công việc'!AA277)</f>
        <v/>
      </c>
      <c r="U261" s="389" t="str">
        <f>IF('Bản đồ công việc'!X277="","",'Bản đồ công việc'!AE277)</f>
        <v/>
      </c>
      <c r="V261" s="389" t="str">
        <f>IF('Bản đồ công việc'!X277="","",'Bản đồ công việc'!AI277)</f>
        <v/>
      </c>
      <c r="W261" s="389">
        <f t="shared" si="2"/>
        <v>0</v>
      </c>
      <c r="X261" s="389" t="str">
        <f t="shared" si="3"/>
        <v/>
      </c>
      <c r="Y261" s="389" t="str">
        <f t="shared" ref="Y261:Z261" si="257">IFERROR(INDEX($O$8:$O$684,MATCH(X261,$N$8:$N$684,0)),"")</f>
        <v/>
      </c>
      <c r="Z261" s="389" t="str">
        <f t="shared" si="257"/>
        <v/>
      </c>
      <c r="AA261" s="389">
        <f t="shared" si="5"/>
        <v>0</v>
      </c>
    </row>
    <row r="262" ht="15.75" customHeight="1">
      <c r="F262" s="664"/>
      <c r="I262" s="665"/>
      <c r="M262" s="389" t="str">
        <f>IF('Bản đồ công việc'!X278="","",'Bản đồ công việc'!W278)</f>
        <v/>
      </c>
      <c r="N262" s="389" t="str">
        <f>IF('Bản đồ công việc'!X278="","",'Bản đồ công việc'!X278)</f>
        <v/>
      </c>
      <c r="O262" s="389" t="str">
        <f>IF('Bản đồ công việc'!X278="","",'Bản đồ công việc'!Y278)</f>
        <v/>
      </c>
      <c r="P262" s="389" t="str">
        <f>IF('Bản đồ công việc'!X278="","",'Bản đồ công việc'!V278)</f>
        <v/>
      </c>
      <c r="Q262" s="389" t="str">
        <f>IF('Bản đồ công việc'!X278="","",'Bản đồ công việc'!AC278)</f>
        <v/>
      </c>
      <c r="R262" s="389" t="str">
        <f>IF('Bản đồ công việc'!X278="","",'Bản đồ công việc'!AD278)</f>
        <v/>
      </c>
      <c r="S262" s="389" t="str">
        <f>IF('Bản đồ công việc'!X278="","",'Bản đồ công việc'!Z278)</f>
        <v/>
      </c>
      <c r="T262" s="389" t="str">
        <f>IF('Bản đồ công việc'!X278="","",'Bản đồ công việc'!AA278)</f>
        <v/>
      </c>
      <c r="U262" s="389" t="str">
        <f>IF('Bản đồ công việc'!X278="","",'Bản đồ công việc'!AE278)</f>
        <v/>
      </c>
      <c r="V262" s="389" t="str">
        <f>IF('Bản đồ công việc'!X278="","",'Bản đồ công việc'!AI278)</f>
        <v/>
      </c>
      <c r="W262" s="389">
        <f t="shared" si="2"/>
        <v>0</v>
      </c>
      <c r="X262" s="389" t="str">
        <f t="shared" si="3"/>
        <v/>
      </c>
      <c r="Y262" s="389" t="str">
        <f t="shared" ref="Y262:Z262" si="258">IFERROR(INDEX($O$8:$O$684,MATCH(X262,$N$8:$N$684,0)),"")</f>
        <v/>
      </c>
      <c r="Z262" s="389" t="str">
        <f t="shared" si="258"/>
        <v/>
      </c>
      <c r="AA262" s="389">
        <f t="shared" si="5"/>
        <v>0</v>
      </c>
    </row>
    <row r="263" ht="15.75" customHeight="1">
      <c r="F263" s="664"/>
      <c r="I263" s="665"/>
      <c r="M263" s="389" t="str">
        <f>IF('Bản đồ công việc'!X279="","",'Bản đồ công việc'!W279)</f>
        <v/>
      </c>
      <c r="N263" s="389" t="str">
        <f>IF('Bản đồ công việc'!X279="","",'Bản đồ công việc'!X279)</f>
        <v/>
      </c>
      <c r="O263" s="389" t="str">
        <f>IF('Bản đồ công việc'!X279="","",'Bản đồ công việc'!Y279)</f>
        <v/>
      </c>
      <c r="P263" s="389" t="str">
        <f>IF('Bản đồ công việc'!X279="","",'Bản đồ công việc'!V279)</f>
        <v/>
      </c>
      <c r="Q263" s="389" t="str">
        <f>IF('Bản đồ công việc'!X279="","",'Bản đồ công việc'!AC279)</f>
        <v/>
      </c>
      <c r="R263" s="389" t="str">
        <f>IF('Bản đồ công việc'!X279="","",'Bản đồ công việc'!AD279)</f>
        <v/>
      </c>
      <c r="S263" s="389" t="str">
        <f>IF('Bản đồ công việc'!X279="","",'Bản đồ công việc'!Z279)</f>
        <v/>
      </c>
      <c r="T263" s="389" t="str">
        <f>IF('Bản đồ công việc'!X279="","",'Bản đồ công việc'!AA279)</f>
        <v/>
      </c>
      <c r="U263" s="389" t="str">
        <f>IF('Bản đồ công việc'!X279="","",'Bản đồ công việc'!AE279)</f>
        <v/>
      </c>
      <c r="V263" s="389" t="str">
        <f>IF('Bản đồ công việc'!X279="","",'Bản đồ công việc'!AI279)</f>
        <v/>
      </c>
      <c r="W263" s="389">
        <f t="shared" si="2"/>
        <v>0</v>
      </c>
      <c r="X263" s="389" t="str">
        <f t="shared" si="3"/>
        <v/>
      </c>
      <c r="Y263" s="389" t="str">
        <f t="shared" ref="Y263:Z263" si="259">IFERROR(INDEX($O$8:$O$684,MATCH(X263,$N$8:$N$684,0)),"")</f>
        <v/>
      </c>
      <c r="Z263" s="389" t="str">
        <f t="shared" si="259"/>
        <v/>
      </c>
      <c r="AA263" s="389">
        <f t="shared" si="5"/>
        <v>0</v>
      </c>
    </row>
    <row r="264" ht="15.75" customHeight="1">
      <c r="F264" s="664"/>
      <c r="I264" s="665"/>
      <c r="M264" s="389" t="str">
        <f>IF('Bản đồ công việc'!X280="","",'Bản đồ công việc'!W280)</f>
        <v/>
      </c>
      <c r="N264" s="389" t="str">
        <f>IF('Bản đồ công việc'!X280="","",'Bản đồ công việc'!X280)</f>
        <v/>
      </c>
      <c r="O264" s="389" t="str">
        <f>IF('Bản đồ công việc'!X280="","",'Bản đồ công việc'!Y280)</f>
        <v/>
      </c>
      <c r="P264" s="389" t="str">
        <f>IF('Bản đồ công việc'!X280="","",'Bản đồ công việc'!V280)</f>
        <v/>
      </c>
      <c r="Q264" s="389" t="str">
        <f>IF('Bản đồ công việc'!X280="","",'Bản đồ công việc'!AC280)</f>
        <v/>
      </c>
      <c r="R264" s="389" t="str">
        <f>IF('Bản đồ công việc'!X280="","",'Bản đồ công việc'!AD280)</f>
        <v/>
      </c>
      <c r="S264" s="389" t="str">
        <f>IF('Bản đồ công việc'!X280="","",'Bản đồ công việc'!Z280)</f>
        <v/>
      </c>
      <c r="T264" s="389" t="str">
        <f>IF('Bản đồ công việc'!X280="","",'Bản đồ công việc'!AA280)</f>
        <v/>
      </c>
      <c r="U264" s="389" t="str">
        <f>IF('Bản đồ công việc'!X280="","",'Bản đồ công việc'!AE280)</f>
        <v/>
      </c>
      <c r="V264" s="389" t="str">
        <f>IF('Bản đồ công việc'!X280="","",'Bản đồ công việc'!AI280)</f>
        <v/>
      </c>
      <c r="W264" s="389">
        <f t="shared" si="2"/>
        <v>0</v>
      </c>
      <c r="X264" s="389" t="str">
        <f t="shared" si="3"/>
        <v/>
      </c>
      <c r="Y264" s="389" t="str">
        <f t="shared" ref="Y264:Z264" si="260">IFERROR(INDEX($O$8:$O$684,MATCH(X264,$N$8:$N$684,0)),"")</f>
        <v/>
      </c>
      <c r="Z264" s="389" t="str">
        <f t="shared" si="260"/>
        <v/>
      </c>
      <c r="AA264" s="389">
        <f t="shared" si="5"/>
        <v>0</v>
      </c>
    </row>
    <row r="265" ht="15.75" customHeight="1">
      <c r="F265" s="664"/>
      <c r="I265" s="665"/>
      <c r="M265" s="389" t="str">
        <f>IF('Bản đồ công việc'!X281="","",'Bản đồ công việc'!W281)</f>
        <v/>
      </c>
      <c r="N265" s="389" t="str">
        <f>IF('Bản đồ công việc'!X281="","",'Bản đồ công việc'!X281)</f>
        <v/>
      </c>
      <c r="O265" s="389" t="str">
        <f>IF('Bản đồ công việc'!X281="","",'Bản đồ công việc'!Y281)</f>
        <v/>
      </c>
      <c r="P265" s="389" t="str">
        <f>IF('Bản đồ công việc'!X281="","",'Bản đồ công việc'!V281)</f>
        <v/>
      </c>
      <c r="Q265" s="389" t="str">
        <f>IF('Bản đồ công việc'!X281="","",'Bản đồ công việc'!AC281)</f>
        <v/>
      </c>
      <c r="R265" s="389" t="str">
        <f>IF('Bản đồ công việc'!X281="","",'Bản đồ công việc'!AD281)</f>
        <v/>
      </c>
      <c r="S265" s="389" t="str">
        <f>IF('Bản đồ công việc'!X281="","",'Bản đồ công việc'!Z281)</f>
        <v/>
      </c>
      <c r="T265" s="389" t="str">
        <f>IF('Bản đồ công việc'!X281="","",'Bản đồ công việc'!AA281)</f>
        <v/>
      </c>
      <c r="U265" s="389" t="str">
        <f>IF('Bản đồ công việc'!X281="","",'Bản đồ công việc'!AE281)</f>
        <v/>
      </c>
      <c r="V265" s="389" t="str">
        <f>IF('Bản đồ công việc'!X281="","",'Bản đồ công việc'!AI281)</f>
        <v/>
      </c>
      <c r="W265" s="389">
        <f t="shared" si="2"/>
        <v>0</v>
      </c>
      <c r="X265" s="389" t="str">
        <f t="shared" si="3"/>
        <v/>
      </c>
      <c r="Y265" s="389" t="str">
        <f t="shared" ref="Y265:Z265" si="261">IFERROR(INDEX($O$8:$O$684,MATCH(X265,$N$8:$N$684,0)),"")</f>
        <v/>
      </c>
      <c r="Z265" s="389" t="str">
        <f t="shared" si="261"/>
        <v/>
      </c>
      <c r="AA265" s="389">
        <f t="shared" si="5"/>
        <v>0</v>
      </c>
    </row>
    <row r="266" ht="15.75" customHeight="1">
      <c r="F266" s="664"/>
      <c r="I266" s="665"/>
      <c r="M266" s="389" t="str">
        <f>IF('Bản đồ công việc'!X282="","",'Bản đồ công việc'!W282)</f>
        <v/>
      </c>
      <c r="N266" s="389" t="str">
        <f>IF('Bản đồ công việc'!X282="","",'Bản đồ công việc'!X282)</f>
        <v/>
      </c>
      <c r="O266" s="389" t="str">
        <f>IF('Bản đồ công việc'!X282="","",'Bản đồ công việc'!Y282)</f>
        <v/>
      </c>
      <c r="P266" s="389" t="str">
        <f>IF('Bản đồ công việc'!X282="","",'Bản đồ công việc'!V282)</f>
        <v/>
      </c>
      <c r="Q266" s="389" t="str">
        <f>IF('Bản đồ công việc'!X282="","",'Bản đồ công việc'!AC282)</f>
        <v/>
      </c>
      <c r="R266" s="389" t="str">
        <f>IF('Bản đồ công việc'!X282="","",'Bản đồ công việc'!AD282)</f>
        <v/>
      </c>
      <c r="S266" s="389" t="str">
        <f>IF('Bản đồ công việc'!X282="","",'Bản đồ công việc'!Z282)</f>
        <v/>
      </c>
      <c r="T266" s="389" t="str">
        <f>IF('Bản đồ công việc'!X282="","",'Bản đồ công việc'!AA282)</f>
        <v/>
      </c>
      <c r="U266" s="389" t="str">
        <f>IF('Bản đồ công việc'!X282="","",'Bản đồ công việc'!AE282)</f>
        <v/>
      </c>
      <c r="V266" s="389" t="str">
        <f>IF('Bản đồ công việc'!X282="","",'Bản đồ công việc'!AI282)</f>
        <v/>
      </c>
      <c r="W266" s="389">
        <f t="shared" si="2"/>
        <v>0</v>
      </c>
      <c r="X266" s="389" t="str">
        <f t="shared" si="3"/>
        <v/>
      </c>
      <c r="Y266" s="389" t="str">
        <f t="shared" ref="Y266:Z266" si="262">IFERROR(INDEX($O$8:$O$684,MATCH(X266,$N$8:$N$684,0)),"")</f>
        <v/>
      </c>
      <c r="Z266" s="389" t="str">
        <f t="shared" si="262"/>
        <v/>
      </c>
      <c r="AA266" s="389">
        <f t="shared" si="5"/>
        <v>0</v>
      </c>
    </row>
    <row r="267" ht="15.75" customHeight="1">
      <c r="F267" s="664"/>
      <c r="I267" s="665"/>
      <c r="M267" s="389" t="str">
        <f>IF('Bản đồ công việc'!X283="","",'Bản đồ công việc'!W283)</f>
        <v/>
      </c>
      <c r="N267" s="389" t="str">
        <f>IF('Bản đồ công việc'!X283="","",'Bản đồ công việc'!X283)</f>
        <v/>
      </c>
      <c r="O267" s="389" t="str">
        <f>IF('Bản đồ công việc'!X283="","",'Bản đồ công việc'!Y283)</f>
        <v/>
      </c>
      <c r="P267" s="389" t="str">
        <f>IF('Bản đồ công việc'!X283="","",'Bản đồ công việc'!V283)</f>
        <v/>
      </c>
      <c r="Q267" s="389" t="str">
        <f>IF('Bản đồ công việc'!X283="","",'Bản đồ công việc'!AC283)</f>
        <v/>
      </c>
      <c r="R267" s="389" t="str">
        <f>IF('Bản đồ công việc'!X283="","",'Bản đồ công việc'!AD283)</f>
        <v/>
      </c>
      <c r="S267" s="389" t="str">
        <f>IF('Bản đồ công việc'!X283="","",'Bản đồ công việc'!Z283)</f>
        <v/>
      </c>
      <c r="T267" s="389" t="str">
        <f>IF('Bản đồ công việc'!X283="","",'Bản đồ công việc'!AA283)</f>
        <v/>
      </c>
      <c r="U267" s="389" t="str">
        <f>IF('Bản đồ công việc'!X283="","",'Bản đồ công việc'!AE283)</f>
        <v/>
      </c>
      <c r="V267" s="389" t="str">
        <f>IF('Bản đồ công việc'!X283="","",'Bản đồ công việc'!AI283)</f>
        <v/>
      </c>
      <c r="W267" s="389">
        <f t="shared" si="2"/>
        <v>0</v>
      </c>
      <c r="X267" s="389" t="str">
        <f t="shared" si="3"/>
        <v/>
      </c>
      <c r="Y267" s="389" t="str">
        <f t="shared" ref="Y267:Z267" si="263">IFERROR(INDEX($O$8:$O$684,MATCH(X267,$N$8:$N$684,0)),"")</f>
        <v/>
      </c>
      <c r="Z267" s="389" t="str">
        <f t="shared" si="263"/>
        <v/>
      </c>
      <c r="AA267" s="389">
        <f t="shared" si="5"/>
        <v>0</v>
      </c>
    </row>
    <row r="268" ht="15.75" customHeight="1">
      <c r="F268" s="664"/>
      <c r="I268" s="665"/>
      <c r="M268" s="389" t="str">
        <f>IF('Bản đồ công việc'!X284="","",'Bản đồ công việc'!W284)</f>
        <v/>
      </c>
      <c r="N268" s="389" t="str">
        <f>IF('Bản đồ công việc'!X284="","",'Bản đồ công việc'!X284)</f>
        <v/>
      </c>
      <c r="O268" s="389" t="str">
        <f>IF('Bản đồ công việc'!X284="","",'Bản đồ công việc'!Y284)</f>
        <v/>
      </c>
      <c r="P268" s="389" t="str">
        <f>IF('Bản đồ công việc'!X284="","",'Bản đồ công việc'!V284)</f>
        <v/>
      </c>
      <c r="Q268" s="389" t="str">
        <f>IF('Bản đồ công việc'!X284="","",'Bản đồ công việc'!AC284)</f>
        <v/>
      </c>
      <c r="R268" s="389" t="str">
        <f>IF('Bản đồ công việc'!X284="","",'Bản đồ công việc'!AD284)</f>
        <v/>
      </c>
      <c r="S268" s="389" t="str">
        <f>IF('Bản đồ công việc'!X284="","",'Bản đồ công việc'!Z284)</f>
        <v/>
      </c>
      <c r="T268" s="389" t="str">
        <f>IF('Bản đồ công việc'!X284="","",'Bản đồ công việc'!AA284)</f>
        <v/>
      </c>
      <c r="U268" s="389" t="str">
        <f>IF('Bản đồ công việc'!X284="","",'Bản đồ công việc'!AE284)</f>
        <v/>
      </c>
      <c r="V268" s="389" t="str">
        <f>IF('Bản đồ công việc'!X284="","",'Bản đồ công việc'!AI284)</f>
        <v/>
      </c>
      <c r="W268" s="389">
        <f t="shared" si="2"/>
        <v>0</v>
      </c>
      <c r="X268" s="389" t="str">
        <f t="shared" si="3"/>
        <v/>
      </c>
      <c r="Y268" s="389" t="str">
        <f t="shared" ref="Y268:Z268" si="264">IFERROR(INDEX($O$8:$O$684,MATCH(X268,$N$8:$N$684,0)),"")</f>
        <v/>
      </c>
      <c r="Z268" s="389" t="str">
        <f t="shared" si="264"/>
        <v/>
      </c>
      <c r="AA268" s="389">
        <f t="shared" si="5"/>
        <v>0</v>
      </c>
    </row>
    <row r="269" ht="15.75" customHeight="1">
      <c r="F269" s="664"/>
      <c r="I269" s="665"/>
      <c r="M269" s="389" t="str">
        <f>IF('Bản đồ công việc'!X285="","",'Bản đồ công việc'!W285)</f>
        <v/>
      </c>
      <c r="N269" s="389" t="str">
        <f>IF('Bản đồ công việc'!X285="","",'Bản đồ công việc'!X285)</f>
        <v/>
      </c>
      <c r="O269" s="389" t="str">
        <f>IF('Bản đồ công việc'!X285="","",'Bản đồ công việc'!Y285)</f>
        <v/>
      </c>
      <c r="P269" s="389" t="str">
        <f>IF('Bản đồ công việc'!X285="","",'Bản đồ công việc'!V285)</f>
        <v/>
      </c>
      <c r="Q269" s="389" t="str">
        <f>IF('Bản đồ công việc'!X285="","",'Bản đồ công việc'!AC285)</f>
        <v/>
      </c>
      <c r="R269" s="389" t="str">
        <f>IF('Bản đồ công việc'!X285="","",'Bản đồ công việc'!AD285)</f>
        <v/>
      </c>
      <c r="S269" s="389" t="str">
        <f>IF('Bản đồ công việc'!X285="","",'Bản đồ công việc'!Z285)</f>
        <v/>
      </c>
      <c r="T269" s="389" t="str">
        <f>IF('Bản đồ công việc'!X285="","",'Bản đồ công việc'!AA285)</f>
        <v/>
      </c>
      <c r="U269" s="389" t="str">
        <f>IF('Bản đồ công việc'!X285="","",'Bản đồ công việc'!AE285)</f>
        <v/>
      </c>
      <c r="V269" s="389" t="str">
        <f>IF('Bản đồ công việc'!X285="","",'Bản đồ công việc'!AI285)</f>
        <v/>
      </c>
      <c r="W269" s="389">
        <f t="shared" si="2"/>
        <v>0</v>
      </c>
      <c r="X269" s="389" t="str">
        <f t="shared" si="3"/>
        <v/>
      </c>
      <c r="Y269" s="389" t="str">
        <f t="shared" ref="Y269:Z269" si="265">IFERROR(INDEX($O$8:$O$684,MATCH(X269,$N$8:$N$684,0)),"")</f>
        <v/>
      </c>
      <c r="Z269" s="389" t="str">
        <f t="shared" si="265"/>
        <v/>
      </c>
      <c r="AA269" s="389">
        <f t="shared" si="5"/>
        <v>0</v>
      </c>
    </row>
    <row r="270" ht="15.75" customHeight="1">
      <c r="F270" s="664"/>
      <c r="I270" s="665"/>
      <c r="M270" s="389" t="str">
        <f>IF('Bản đồ công việc'!X286="","",'Bản đồ công việc'!W286)</f>
        <v/>
      </c>
      <c r="N270" s="389" t="str">
        <f>IF('Bản đồ công việc'!X286="","",'Bản đồ công việc'!X286)</f>
        <v/>
      </c>
      <c r="O270" s="389" t="str">
        <f>IF('Bản đồ công việc'!X286="","",'Bản đồ công việc'!Y286)</f>
        <v/>
      </c>
      <c r="P270" s="389" t="str">
        <f>IF('Bản đồ công việc'!X286="","",'Bản đồ công việc'!V286)</f>
        <v/>
      </c>
      <c r="Q270" s="389" t="str">
        <f>IF('Bản đồ công việc'!X286="","",'Bản đồ công việc'!AC286)</f>
        <v/>
      </c>
      <c r="R270" s="389" t="str">
        <f>IF('Bản đồ công việc'!X286="","",'Bản đồ công việc'!AD286)</f>
        <v/>
      </c>
      <c r="S270" s="389" t="str">
        <f>IF('Bản đồ công việc'!X286="","",'Bản đồ công việc'!Z286)</f>
        <v/>
      </c>
      <c r="T270" s="389" t="str">
        <f>IF('Bản đồ công việc'!X286="","",'Bản đồ công việc'!AA286)</f>
        <v/>
      </c>
      <c r="U270" s="389" t="str">
        <f>IF('Bản đồ công việc'!X286="","",'Bản đồ công việc'!AE286)</f>
        <v/>
      </c>
      <c r="V270" s="389" t="str">
        <f>IF('Bản đồ công việc'!X286="","",'Bản đồ công việc'!AI286)</f>
        <v/>
      </c>
      <c r="W270" s="389">
        <f t="shared" si="2"/>
        <v>0</v>
      </c>
      <c r="X270" s="389" t="str">
        <f t="shared" si="3"/>
        <v/>
      </c>
      <c r="Y270" s="389" t="str">
        <f t="shared" ref="Y270:Z270" si="266">IFERROR(INDEX($O$8:$O$684,MATCH(X270,$N$8:$N$684,0)),"")</f>
        <v/>
      </c>
      <c r="Z270" s="389" t="str">
        <f t="shared" si="266"/>
        <v/>
      </c>
      <c r="AA270" s="389">
        <f t="shared" si="5"/>
        <v>0</v>
      </c>
    </row>
    <row r="271" ht="15.75" customHeight="1">
      <c r="F271" s="664"/>
      <c r="I271" s="665"/>
      <c r="M271" s="389" t="str">
        <f>IF('Bản đồ công việc'!X287="","",'Bản đồ công việc'!W287)</f>
        <v/>
      </c>
      <c r="N271" s="389" t="str">
        <f>IF('Bản đồ công việc'!X287="","",'Bản đồ công việc'!X287)</f>
        <v/>
      </c>
      <c r="O271" s="389" t="str">
        <f>IF('Bản đồ công việc'!X287="","",'Bản đồ công việc'!Y287)</f>
        <v/>
      </c>
      <c r="P271" s="389" t="str">
        <f>IF('Bản đồ công việc'!X287="","",'Bản đồ công việc'!V287)</f>
        <v/>
      </c>
      <c r="Q271" s="389" t="str">
        <f>IF('Bản đồ công việc'!X287="","",'Bản đồ công việc'!AC287)</f>
        <v/>
      </c>
      <c r="R271" s="389" t="str">
        <f>IF('Bản đồ công việc'!X287="","",'Bản đồ công việc'!AD287)</f>
        <v/>
      </c>
      <c r="S271" s="389" t="str">
        <f>IF('Bản đồ công việc'!X287="","",'Bản đồ công việc'!Z287)</f>
        <v/>
      </c>
      <c r="T271" s="389" t="str">
        <f>IF('Bản đồ công việc'!X287="","",'Bản đồ công việc'!AA287)</f>
        <v/>
      </c>
      <c r="U271" s="389" t="str">
        <f>IF('Bản đồ công việc'!X287="","",'Bản đồ công việc'!AE287)</f>
        <v/>
      </c>
      <c r="V271" s="389" t="str">
        <f>IF('Bản đồ công việc'!X287="","",'Bản đồ công việc'!AI287)</f>
        <v/>
      </c>
      <c r="W271" s="389">
        <f t="shared" si="2"/>
        <v>0</v>
      </c>
      <c r="X271" s="389" t="str">
        <f t="shared" si="3"/>
        <v/>
      </c>
      <c r="Y271" s="389" t="str">
        <f t="shared" ref="Y271:Z271" si="267">IFERROR(INDEX($O$8:$O$684,MATCH(X271,$N$8:$N$684,0)),"")</f>
        <v/>
      </c>
      <c r="Z271" s="389" t="str">
        <f t="shared" si="267"/>
        <v/>
      </c>
      <c r="AA271" s="389">
        <f t="shared" si="5"/>
        <v>0</v>
      </c>
    </row>
    <row r="272" ht="15.75" customHeight="1">
      <c r="F272" s="664"/>
      <c r="I272" s="665"/>
      <c r="M272" s="389" t="str">
        <f>IF('Bản đồ công việc'!X288="","",'Bản đồ công việc'!W288)</f>
        <v/>
      </c>
      <c r="N272" s="389" t="str">
        <f>IF('Bản đồ công việc'!X288="","",'Bản đồ công việc'!X288)</f>
        <v/>
      </c>
      <c r="O272" s="389" t="str">
        <f>IF('Bản đồ công việc'!X288="","",'Bản đồ công việc'!Y288)</f>
        <v/>
      </c>
      <c r="P272" s="389" t="str">
        <f>IF('Bản đồ công việc'!X288="","",'Bản đồ công việc'!V288)</f>
        <v/>
      </c>
      <c r="Q272" s="389" t="str">
        <f>IF('Bản đồ công việc'!X288="","",'Bản đồ công việc'!AC288)</f>
        <v/>
      </c>
      <c r="R272" s="389" t="str">
        <f>IF('Bản đồ công việc'!X288="","",'Bản đồ công việc'!AD288)</f>
        <v/>
      </c>
      <c r="S272" s="389" t="str">
        <f>IF('Bản đồ công việc'!X288="","",'Bản đồ công việc'!Z288)</f>
        <v/>
      </c>
      <c r="T272" s="389" t="str">
        <f>IF('Bản đồ công việc'!X288="","",'Bản đồ công việc'!AA288)</f>
        <v/>
      </c>
      <c r="U272" s="389" t="str">
        <f>IF('Bản đồ công việc'!X288="","",'Bản đồ công việc'!AE288)</f>
        <v/>
      </c>
      <c r="V272" s="389" t="str">
        <f>IF('Bản đồ công việc'!X288="","",'Bản đồ công việc'!AI288)</f>
        <v/>
      </c>
      <c r="W272" s="389">
        <f t="shared" si="2"/>
        <v>0</v>
      </c>
      <c r="X272" s="389" t="str">
        <f t="shared" si="3"/>
        <v/>
      </c>
      <c r="Y272" s="389" t="str">
        <f t="shared" ref="Y272:Z272" si="268">IFERROR(INDEX($O$8:$O$684,MATCH(X272,$N$8:$N$684,0)),"")</f>
        <v/>
      </c>
      <c r="Z272" s="389" t="str">
        <f t="shared" si="268"/>
        <v/>
      </c>
      <c r="AA272" s="389">
        <f t="shared" si="5"/>
        <v>0</v>
      </c>
    </row>
    <row r="273" ht="15.75" customHeight="1">
      <c r="F273" s="664"/>
      <c r="I273" s="665"/>
      <c r="M273" s="389" t="str">
        <f>IF('Bản đồ công việc'!X289="","",'Bản đồ công việc'!W289)</f>
        <v/>
      </c>
      <c r="N273" s="389" t="str">
        <f>IF('Bản đồ công việc'!X289="","",'Bản đồ công việc'!X289)</f>
        <v/>
      </c>
      <c r="O273" s="389" t="str">
        <f>IF('Bản đồ công việc'!X289="","",'Bản đồ công việc'!Y289)</f>
        <v/>
      </c>
      <c r="P273" s="389" t="str">
        <f>IF('Bản đồ công việc'!X289="","",'Bản đồ công việc'!V289)</f>
        <v/>
      </c>
      <c r="Q273" s="389" t="str">
        <f>IF('Bản đồ công việc'!X289="","",'Bản đồ công việc'!AC289)</f>
        <v/>
      </c>
      <c r="R273" s="389" t="str">
        <f>IF('Bản đồ công việc'!X289="","",'Bản đồ công việc'!AD289)</f>
        <v/>
      </c>
      <c r="S273" s="389" t="str">
        <f>IF('Bản đồ công việc'!X289="","",'Bản đồ công việc'!Z289)</f>
        <v/>
      </c>
      <c r="T273" s="389" t="str">
        <f>IF('Bản đồ công việc'!X289="","",'Bản đồ công việc'!AA289)</f>
        <v/>
      </c>
      <c r="U273" s="389" t="str">
        <f>IF('Bản đồ công việc'!X289="","",'Bản đồ công việc'!AE289)</f>
        <v/>
      </c>
      <c r="V273" s="389" t="str">
        <f>IF('Bản đồ công việc'!X289="","",'Bản đồ công việc'!AI289)</f>
        <v/>
      </c>
      <c r="W273" s="389">
        <f t="shared" si="2"/>
        <v>0</v>
      </c>
      <c r="X273" s="389" t="str">
        <f t="shared" si="3"/>
        <v/>
      </c>
      <c r="Y273" s="389" t="str">
        <f t="shared" ref="Y273:Z273" si="269">IFERROR(INDEX($O$8:$O$684,MATCH(X273,$N$8:$N$684,0)),"")</f>
        <v/>
      </c>
      <c r="Z273" s="389" t="str">
        <f t="shared" si="269"/>
        <v/>
      </c>
      <c r="AA273" s="389">
        <f t="shared" si="5"/>
        <v>0</v>
      </c>
    </row>
    <row r="274" ht="15.75" customHeight="1">
      <c r="F274" s="664"/>
      <c r="I274" s="665"/>
      <c r="M274" s="389" t="str">
        <f>IF('Bản đồ công việc'!X290="","",'Bản đồ công việc'!W290)</f>
        <v/>
      </c>
      <c r="N274" s="389" t="str">
        <f>IF('Bản đồ công việc'!X290="","",'Bản đồ công việc'!X290)</f>
        <v/>
      </c>
      <c r="O274" s="389" t="str">
        <f>IF('Bản đồ công việc'!X290="","",'Bản đồ công việc'!Y290)</f>
        <v/>
      </c>
      <c r="P274" s="389" t="str">
        <f>IF('Bản đồ công việc'!X290="","",'Bản đồ công việc'!V290)</f>
        <v/>
      </c>
      <c r="Q274" s="389" t="str">
        <f>IF('Bản đồ công việc'!X290="","",'Bản đồ công việc'!AC290)</f>
        <v/>
      </c>
      <c r="R274" s="389" t="str">
        <f>IF('Bản đồ công việc'!X290="","",'Bản đồ công việc'!AD290)</f>
        <v/>
      </c>
      <c r="S274" s="389" t="str">
        <f>IF('Bản đồ công việc'!X290="","",'Bản đồ công việc'!Z290)</f>
        <v/>
      </c>
      <c r="T274" s="389" t="str">
        <f>IF('Bản đồ công việc'!X290="","",'Bản đồ công việc'!AA290)</f>
        <v/>
      </c>
      <c r="U274" s="389" t="str">
        <f>IF('Bản đồ công việc'!X290="","",'Bản đồ công việc'!AE290)</f>
        <v/>
      </c>
      <c r="V274" s="389" t="str">
        <f>IF('Bản đồ công việc'!X290="","",'Bản đồ công việc'!AI290)</f>
        <v/>
      </c>
      <c r="W274" s="389">
        <f t="shared" si="2"/>
        <v>0</v>
      </c>
      <c r="X274" s="389" t="str">
        <f t="shared" si="3"/>
        <v/>
      </c>
      <c r="Y274" s="389" t="str">
        <f t="shared" ref="Y274:Z274" si="270">IFERROR(INDEX($O$8:$O$684,MATCH(X274,$N$8:$N$684,0)),"")</f>
        <v/>
      </c>
      <c r="Z274" s="389" t="str">
        <f t="shared" si="270"/>
        <v/>
      </c>
      <c r="AA274" s="389">
        <f t="shared" si="5"/>
        <v>0</v>
      </c>
    </row>
    <row r="275" ht="15.75" customHeight="1">
      <c r="F275" s="664"/>
      <c r="I275" s="665"/>
      <c r="M275" s="389" t="str">
        <f>IF('Bản đồ công việc'!X291="","",'Bản đồ công việc'!W291)</f>
        <v/>
      </c>
      <c r="N275" s="389" t="str">
        <f>IF('Bản đồ công việc'!X291="","",'Bản đồ công việc'!X291)</f>
        <v/>
      </c>
      <c r="O275" s="389" t="str">
        <f>IF('Bản đồ công việc'!X291="","",'Bản đồ công việc'!Y291)</f>
        <v/>
      </c>
      <c r="P275" s="389" t="str">
        <f>IF('Bản đồ công việc'!X291="","",'Bản đồ công việc'!V291)</f>
        <v/>
      </c>
      <c r="Q275" s="389" t="str">
        <f>IF('Bản đồ công việc'!X291="","",'Bản đồ công việc'!AC291)</f>
        <v/>
      </c>
      <c r="R275" s="389" t="str">
        <f>IF('Bản đồ công việc'!X291="","",'Bản đồ công việc'!AD291)</f>
        <v/>
      </c>
      <c r="S275" s="389" t="str">
        <f>IF('Bản đồ công việc'!X291="","",'Bản đồ công việc'!Z291)</f>
        <v/>
      </c>
      <c r="T275" s="389" t="str">
        <f>IF('Bản đồ công việc'!X291="","",'Bản đồ công việc'!AA291)</f>
        <v/>
      </c>
      <c r="U275" s="389" t="str">
        <f>IF('Bản đồ công việc'!X291="","",'Bản đồ công việc'!AE291)</f>
        <v/>
      </c>
      <c r="V275" s="389" t="str">
        <f>IF('Bản đồ công việc'!X291="","",'Bản đồ công việc'!AI291)</f>
        <v/>
      </c>
      <c r="W275" s="389">
        <f t="shared" si="2"/>
        <v>0</v>
      </c>
      <c r="X275" s="389" t="str">
        <f t="shared" si="3"/>
        <v/>
      </c>
      <c r="Y275" s="389" t="str">
        <f t="shared" ref="Y275:Z275" si="271">IFERROR(INDEX($O$8:$O$684,MATCH(X275,$N$8:$N$684,0)),"")</f>
        <v/>
      </c>
      <c r="Z275" s="389" t="str">
        <f t="shared" si="271"/>
        <v/>
      </c>
      <c r="AA275" s="389">
        <f t="shared" si="5"/>
        <v>0</v>
      </c>
    </row>
    <row r="276" ht="15.75" customHeight="1">
      <c r="F276" s="664"/>
      <c r="I276" s="665"/>
      <c r="M276" s="389" t="str">
        <f>IF('Bản đồ công việc'!X292="","",'Bản đồ công việc'!W292)</f>
        <v/>
      </c>
      <c r="N276" s="389" t="str">
        <f>IF('Bản đồ công việc'!X292="","",'Bản đồ công việc'!X292)</f>
        <v/>
      </c>
      <c r="O276" s="389" t="str">
        <f>IF('Bản đồ công việc'!X292="","",'Bản đồ công việc'!Y292)</f>
        <v/>
      </c>
      <c r="P276" s="389" t="str">
        <f>IF('Bản đồ công việc'!X292="","",'Bản đồ công việc'!V292)</f>
        <v/>
      </c>
      <c r="Q276" s="389" t="str">
        <f>IF('Bản đồ công việc'!X292="","",'Bản đồ công việc'!AC292)</f>
        <v/>
      </c>
      <c r="R276" s="389" t="str">
        <f>IF('Bản đồ công việc'!X292="","",'Bản đồ công việc'!AD292)</f>
        <v/>
      </c>
      <c r="S276" s="389" t="str">
        <f>IF('Bản đồ công việc'!X292="","",'Bản đồ công việc'!Z292)</f>
        <v/>
      </c>
      <c r="T276" s="389" t="str">
        <f>IF('Bản đồ công việc'!X292="","",'Bản đồ công việc'!AA292)</f>
        <v/>
      </c>
      <c r="U276" s="389" t="str">
        <f>IF('Bản đồ công việc'!X292="","",'Bản đồ công việc'!AE292)</f>
        <v/>
      </c>
      <c r="V276" s="389" t="str">
        <f>IF('Bản đồ công việc'!X292="","",'Bản đồ công việc'!AI292)</f>
        <v/>
      </c>
      <c r="W276" s="389">
        <f t="shared" si="2"/>
        <v>0</v>
      </c>
      <c r="X276" s="389" t="str">
        <f t="shared" si="3"/>
        <v/>
      </c>
      <c r="Y276" s="389" t="str">
        <f t="shared" ref="Y276:Z276" si="272">IFERROR(INDEX($O$8:$O$684,MATCH(X276,$N$8:$N$684,0)),"")</f>
        <v/>
      </c>
      <c r="Z276" s="389" t="str">
        <f t="shared" si="272"/>
        <v/>
      </c>
      <c r="AA276" s="389">
        <f t="shared" si="5"/>
        <v>0</v>
      </c>
    </row>
    <row r="277" ht="15.75" customHeight="1">
      <c r="F277" s="664"/>
      <c r="I277" s="665"/>
      <c r="M277" s="389" t="str">
        <f>IF('Bản đồ công việc'!X293="","",'Bản đồ công việc'!W293)</f>
        <v/>
      </c>
      <c r="N277" s="389" t="str">
        <f>IF('Bản đồ công việc'!X293="","",'Bản đồ công việc'!X293)</f>
        <v/>
      </c>
      <c r="O277" s="389" t="str">
        <f>IF('Bản đồ công việc'!X293="","",'Bản đồ công việc'!Y293)</f>
        <v/>
      </c>
      <c r="P277" s="389" t="str">
        <f>IF('Bản đồ công việc'!X293="","",'Bản đồ công việc'!V293)</f>
        <v/>
      </c>
      <c r="Q277" s="389" t="str">
        <f>IF('Bản đồ công việc'!X293="","",'Bản đồ công việc'!AC293)</f>
        <v/>
      </c>
      <c r="R277" s="389" t="str">
        <f>IF('Bản đồ công việc'!X293="","",'Bản đồ công việc'!AD293)</f>
        <v/>
      </c>
      <c r="S277" s="389" t="str">
        <f>IF('Bản đồ công việc'!X293="","",'Bản đồ công việc'!Z293)</f>
        <v/>
      </c>
      <c r="T277" s="389" t="str">
        <f>IF('Bản đồ công việc'!X293="","",'Bản đồ công việc'!AA293)</f>
        <v/>
      </c>
      <c r="U277" s="389" t="str">
        <f>IF('Bản đồ công việc'!X293="","",'Bản đồ công việc'!AE293)</f>
        <v/>
      </c>
      <c r="V277" s="389" t="str">
        <f>IF('Bản đồ công việc'!X293="","",'Bản đồ công việc'!AI293)</f>
        <v/>
      </c>
      <c r="W277" s="389">
        <f t="shared" si="2"/>
        <v>0</v>
      </c>
      <c r="X277" s="389" t="str">
        <f t="shared" si="3"/>
        <v/>
      </c>
      <c r="Y277" s="389" t="str">
        <f t="shared" ref="Y277:Z277" si="273">IFERROR(INDEX($O$8:$O$684,MATCH(X277,$N$8:$N$684,0)),"")</f>
        <v/>
      </c>
      <c r="Z277" s="389" t="str">
        <f t="shared" si="273"/>
        <v/>
      </c>
      <c r="AA277" s="389">
        <f t="shared" si="5"/>
        <v>0</v>
      </c>
    </row>
    <row r="278" ht="15.75" customHeight="1">
      <c r="F278" s="664"/>
      <c r="I278" s="665"/>
      <c r="M278" s="389" t="str">
        <f>IF('Bản đồ công việc'!X294="","",'Bản đồ công việc'!W294)</f>
        <v/>
      </c>
      <c r="N278" s="389" t="str">
        <f>IF('Bản đồ công việc'!X294="","",'Bản đồ công việc'!X294)</f>
        <v/>
      </c>
      <c r="O278" s="389" t="str">
        <f>IF('Bản đồ công việc'!X294="","",'Bản đồ công việc'!Y294)</f>
        <v/>
      </c>
      <c r="P278" s="389" t="str">
        <f>IF('Bản đồ công việc'!X294="","",'Bản đồ công việc'!V294)</f>
        <v/>
      </c>
      <c r="Q278" s="389" t="str">
        <f>IF('Bản đồ công việc'!X294="","",'Bản đồ công việc'!AC294)</f>
        <v/>
      </c>
      <c r="R278" s="389" t="str">
        <f>IF('Bản đồ công việc'!X294="","",'Bản đồ công việc'!AD294)</f>
        <v/>
      </c>
      <c r="S278" s="389" t="str">
        <f>IF('Bản đồ công việc'!X294="","",'Bản đồ công việc'!Z294)</f>
        <v/>
      </c>
      <c r="T278" s="389" t="str">
        <f>IF('Bản đồ công việc'!X294="","",'Bản đồ công việc'!AA294)</f>
        <v/>
      </c>
      <c r="U278" s="389" t="str">
        <f>IF('Bản đồ công việc'!X294="","",'Bản đồ công việc'!AE294)</f>
        <v/>
      </c>
      <c r="V278" s="389" t="str">
        <f>IF('Bản đồ công việc'!X294="","",'Bản đồ công việc'!AI294)</f>
        <v/>
      </c>
      <c r="W278" s="389">
        <f t="shared" si="2"/>
        <v>0</v>
      </c>
      <c r="X278" s="389" t="str">
        <f t="shared" si="3"/>
        <v/>
      </c>
      <c r="Y278" s="389" t="str">
        <f t="shared" ref="Y278:Z278" si="274">IFERROR(INDEX($O$8:$O$684,MATCH(X278,$N$8:$N$684,0)),"")</f>
        <v/>
      </c>
      <c r="Z278" s="389" t="str">
        <f t="shared" si="274"/>
        <v/>
      </c>
      <c r="AA278" s="389">
        <f t="shared" si="5"/>
        <v>0</v>
      </c>
    </row>
    <row r="279" ht="15.75" customHeight="1">
      <c r="F279" s="664"/>
      <c r="I279" s="665"/>
      <c r="M279" s="389" t="str">
        <f>IF('Bản đồ công việc'!X295="","",'Bản đồ công việc'!W295)</f>
        <v/>
      </c>
      <c r="N279" s="389" t="str">
        <f>IF('Bản đồ công việc'!X295="","",'Bản đồ công việc'!X295)</f>
        <v/>
      </c>
      <c r="O279" s="389" t="str">
        <f>IF('Bản đồ công việc'!X295="","",'Bản đồ công việc'!Y295)</f>
        <v/>
      </c>
      <c r="P279" s="389" t="str">
        <f>IF('Bản đồ công việc'!X295="","",'Bản đồ công việc'!V295)</f>
        <v/>
      </c>
      <c r="Q279" s="389" t="str">
        <f>IF('Bản đồ công việc'!X295="","",'Bản đồ công việc'!AC295)</f>
        <v/>
      </c>
      <c r="R279" s="389" t="str">
        <f>IF('Bản đồ công việc'!X295="","",'Bản đồ công việc'!AD295)</f>
        <v/>
      </c>
      <c r="S279" s="389" t="str">
        <f>IF('Bản đồ công việc'!X295="","",'Bản đồ công việc'!Z295)</f>
        <v/>
      </c>
      <c r="T279" s="389" t="str">
        <f>IF('Bản đồ công việc'!X295="","",'Bản đồ công việc'!AA295)</f>
        <v/>
      </c>
      <c r="U279" s="389" t="str">
        <f>IF('Bản đồ công việc'!X295="","",'Bản đồ công việc'!AE295)</f>
        <v/>
      </c>
      <c r="V279" s="389" t="str">
        <f>IF('Bản đồ công việc'!X295="","",'Bản đồ công việc'!AI295)</f>
        <v/>
      </c>
      <c r="W279" s="389">
        <f t="shared" si="2"/>
        <v>0</v>
      </c>
      <c r="X279" s="389" t="str">
        <f t="shared" si="3"/>
        <v/>
      </c>
      <c r="Y279" s="389" t="str">
        <f t="shared" ref="Y279:Z279" si="275">IFERROR(INDEX($O$8:$O$684,MATCH(X279,$N$8:$N$684,0)),"")</f>
        <v/>
      </c>
      <c r="Z279" s="389" t="str">
        <f t="shared" si="275"/>
        <v/>
      </c>
      <c r="AA279" s="389">
        <f t="shared" si="5"/>
        <v>0</v>
      </c>
    </row>
    <row r="280" ht="15.75" customHeight="1">
      <c r="F280" s="664"/>
      <c r="I280" s="665"/>
      <c r="M280" s="389" t="str">
        <f>IF('Bản đồ công việc'!X296="","",'Bản đồ công việc'!W296)</f>
        <v/>
      </c>
      <c r="N280" s="389" t="str">
        <f>IF('Bản đồ công việc'!X296="","",'Bản đồ công việc'!X296)</f>
        <v/>
      </c>
      <c r="O280" s="389" t="str">
        <f>IF('Bản đồ công việc'!X296="","",'Bản đồ công việc'!Y296)</f>
        <v/>
      </c>
      <c r="P280" s="389" t="str">
        <f>IF('Bản đồ công việc'!X296="","",'Bản đồ công việc'!V296)</f>
        <v/>
      </c>
      <c r="Q280" s="389" t="str">
        <f>IF('Bản đồ công việc'!X296="","",'Bản đồ công việc'!AC296)</f>
        <v/>
      </c>
      <c r="R280" s="389" t="str">
        <f>IF('Bản đồ công việc'!X296="","",'Bản đồ công việc'!AD296)</f>
        <v/>
      </c>
      <c r="S280" s="389" t="str">
        <f>IF('Bản đồ công việc'!X296="","",'Bản đồ công việc'!Z296)</f>
        <v/>
      </c>
      <c r="T280" s="389" t="str">
        <f>IF('Bản đồ công việc'!X296="","",'Bản đồ công việc'!AA296)</f>
        <v/>
      </c>
      <c r="U280" s="389" t="str">
        <f>IF('Bản đồ công việc'!X296="","",'Bản đồ công việc'!AE296)</f>
        <v/>
      </c>
      <c r="V280" s="389" t="str">
        <f>IF('Bản đồ công việc'!X296="","",'Bản đồ công việc'!AI296)</f>
        <v/>
      </c>
      <c r="W280" s="389">
        <f t="shared" si="2"/>
        <v>0</v>
      </c>
      <c r="X280" s="389" t="str">
        <f t="shared" si="3"/>
        <v/>
      </c>
      <c r="Y280" s="389" t="str">
        <f t="shared" ref="Y280:Z280" si="276">IFERROR(INDEX($O$8:$O$684,MATCH(X280,$N$8:$N$684,0)),"")</f>
        <v/>
      </c>
      <c r="Z280" s="389" t="str">
        <f t="shared" si="276"/>
        <v/>
      </c>
      <c r="AA280" s="389">
        <f t="shared" si="5"/>
        <v>0</v>
      </c>
    </row>
    <row r="281" ht="15.75" customHeight="1">
      <c r="F281" s="664"/>
      <c r="I281" s="665"/>
      <c r="M281" s="389" t="str">
        <f>IF('Bản đồ công việc'!X297="","",'Bản đồ công việc'!W297)</f>
        <v/>
      </c>
      <c r="N281" s="389" t="str">
        <f>IF('Bản đồ công việc'!X297="","",'Bản đồ công việc'!X297)</f>
        <v/>
      </c>
      <c r="O281" s="389" t="str">
        <f>IF('Bản đồ công việc'!X297="","",'Bản đồ công việc'!Y297)</f>
        <v/>
      </c>
      <c r="P281" s="389" t="str">
        <f>IF('Bản đồ công việc'!X297="","",'Bản đồ công việc'!V297)</f>
        <v/>
      </c>
      <c r="Q281" s="389" t="str">
        <f>IF('Bản đồ công việc'!X297="","",'Bản đồ công việc'!AC297)</f>
        <v/>
      </c>
      <c r="R281" s="389" t="str">
        <f>IF('Bản đồ công việc'!X297="","",'Bản đồ công việc'!AD297)</f>
        <v/>
      </c>
      <c r="S281" s="389" t="str">
        <f>IF('Bản đồ công việc'!X297="","",'Bản đồ công việc'!Z297)</f>
        <v/>
      </c>
      <c r="T281" s="389" t="str">
        <f>IF('Bản đồ công việc'!X297="","",'Bản đồ công việc'!AA297)</f>
        <v/>
      </c>
      <c r="U281" s="389" t="str">
        <f>IF('Bản đồ công việc'!X297="","",'Bản đồ công việc'!AE297)</f>
        <v/>
      </c>
      <c r="V281" s="389" t="str">
        <f>IF('Bản đồ công việc'!X297="","",'Bản đồ công việc'!AI297)</f>
        <v/>
      </c>
      <c r="W281" s="389">
        <f t="shared" si="2"/>
        <v>0</v>
      </c>
      <c r="X281" s="389" t="str">
        <f t="shared" si="3"/>
        <v/>
      </c>
      <c r="Y281" s="389" t="str">
        <f t="shared" ref="Y281:Z281" si="277">IFERROR(INDEX($O$8:$O$684,MATCH(X281,$N$8:$N$684,0)),"")</f>
        <v/>
      </c>
      <c r="Z281" s="389" t="str">
        <f t="shared" si="277"/>
        <v/>
      </c>
      <c r="AA281" s="389">
        <f t="shared" si="5"/>
        <v>0</v>
      </c>
    </row>
    <row r="282" ht="15.75" customHeight="1">
      <c r="F282" s="664"/>
      <c r="I282" s="665"/>
      <c r="M282" s="389" t="str">
        <f>IF('Bản đồ công việc'!X298="","",'Bản đồ công việc'!W298)</f>
        <v/>
      </c>
      <c r="N282" s="389" t="str">
        <f>IF('Bản đồ công việc'!X298="","",'Bản đồ công việc'!X298)</f>
        <v/>
      </c>
      <c r="O282" s="389" t="str">
        <f>IF('Bản đồ công việc'!X298="","",'Bản đồ công việc'!Y298)</f>
        <v/>
      </c>
      <c r="P282" s="389" t="str">
        <f>IF('Bản đồ công việc'!X298="","",'Bản đồ công việc'!V298)</f>
        <v/>
      </c>
      <c r="Q282" s="389" t="str">
        <f>IF('Bản đồ công việc'!X298="","",'Bản đồ công việc'!AC298)</f>
        <v/>
      </c>
      <c r="R282" s="389" t="str">
        <f>IF('Bản đồ công việc'!X298="","",'Bản đồ công việc'!AD298)</f>
        <v/>
      </c>
      <c r="S282" s="389" t="str">
        <f>IF('Bản đồ công việc'!X298="","",'Bản đồ công việc'!Z298)</f>
        <v/>
      </c>
      <c r="T282" s="389" t="str">
        <f>IF('Bản đồ công việc'!X298="","",'Bản đồ công việc'!AA298)</f>
        <v/>
      </c>
      <c r="U282" s="389" t="str">
        <f>IF('Bản đồ công việc'!X298="","",'Bản đồ công việc'!AE298)</f>
        <v/>
      </c>
      <c r="V282" s="389" t="str">
        <f>IF('Bản đồ công việc'!X298="","",'Bản đồ công việc'!AI298)</f>
        <v/>
      </c>
      <c r="W282" s="389">
        <f t="shared" si="2"/>
        <v>0</v>
      </c>
      <c r="X282" s="389" t="str">
        <f t="shared" si="3"/>
        <v/>
      </c>
      <c r="Y282" s="389" t="str">
        <f t="shared" ref="Y282:Z282" si="278">IFERROR(INDEX($O$8:$O$684,MATCH(X282,$N$8:$N$684,0)),"")</f>
        <v/>
      </c>
      <c r="Z282" s="389" t="str">
        <f t="shared" si="278"/>
        <v/>
      </c>
      <c r="AA282" s="389">
        <f t="shared" si="5"/>
        <v>0</v>
      </c>
    </row>
    <row r="283" ht="15.75" customHeight="1">
      <c r="F283" s="664"/>
      <c r="I283" s="665"/>
      <c r="M283" s="389" t="str">
        <f>IF('Bản đồ công việc'!X299="","",'Bản đồ công việc'!W299)</f>
        <v/>
      </c>
      <c r="N283" s="389" t="str">
        <f>IF('Bản đồ công việc'!X299="","",'Bản đồ công việc'!X299)</f>
        <v/>
      </c>
      <c r="O283" s="389" t="str">
        <f>IF('Bản đồ công việc'!X299="","",'Bản đồ công việc'!Y299)</f>
        <v/>
      </c>
      <c r="P283" s="389" t="str">
        <f>IF('Bản đồ công việc'!X299="","",'Bản đồ công việc'!V299)</f>
        <v/>
      </c>
      <c r="Q283" s="389" t="str">
        <f>IF('Bản đồ công việc'!X299="","",'Bản đồ công việc'!AC299)</f>
        <v/>
      </c>
      <c r="R283" s="389" t="str">
        <f>IF('Bản đồ công việc'!X299="","",'Bản đồ công việc'!AD299)</f>
        <v/>
      </c>
      <c r="S283" s="389" t="str">
        <f>IF('Bản đồ công việc'!X299="","",'Bản đồ công việc'!Z299)</f>
        <v/>
      </c>
      <c r="T283" s="389" t="str">
        <f>IF('Bản đồ công việc'!X299="","",'Bản đồ công việc'!AA299)</f>
        <v/>
      </c>
      <c r="U283" s="389" t="str">
        <f>IF('Bản đồ công việc'!X299="","",'Bản đồ công việc'!AE299)</f>
        <v/>
      </c>
      <c r="V283" s="389" t="str">
        <f>IF('Bản đồ công việc'!X299="","",'Bản đồ công việc'!AI299)</f>
        <v/>
      </c>
      <c r="W283" s="389">
        <f t="shared" si="2"/>
        <v>0</v>
      </c>
      <c r="X283" s="389" t="str">
        <f t="shared" si="3"/>
        <v/>
      </c>
      <c r="Y283" s="389" t="str">
        <f t="shared" ref="Y283:Z283" si="279">IFERROR(INDEX($O$8:$O$684,MATCH(X283,$N$8:$N$684,0)),"")</f>
        <v/>
      </c>
      <c r="Z283" s="389" t="str">
        <f t="shared" si="279"/>
        <v/>
      </c>
      <c r="AA283" s="389">
        <f t="shared" si="5"/>
        <v>0</v>
      </c>
    </row>
    <row r="284" ht="15.75" customHeight="1">
      <c r="F284" s="664"/>
      <c r="I284" s="665"/>
      <c r="M284" s="389" t="str">
        <f>IF('Bản đồ công việc'!X300="","",'Bản đồ công việc'!W300)</f>
        <v/>
      </c>
      <c r="N284" s="389" t="str">
        <f>IF('Bản đồ công việc'!X300="","",'Bản đồ công việc'!X300)</f>
        <v/>
      </c>
      <c r="O284" s="389" t="str">
        <f>IF('Bản đồ công việc'!X300="","",'Bản đồ công việc'!Y300)</f>
        <v/>
      </c>
      <c r="P284" s="389" t="str">
        <f>IF('Bản đồ công việc'!X300="","",'Bản đồ công việc'!V300)</f>
        <v/>
      </c>
      <c r="Q284" s="389" t="str">
        <f>IF('Bản đồ công việc'!X300="","",'Bản đồ công việc'!AC300)</f>
        <v/>
      </c>
      <c r="R284" s="389" t="str">
        <f>IF('Bản đồ công việc'!X300="","",'Bản đồ công việc'!AD300)</f>
        <v/>
      </c>
      <c r="S284" s="389" t="str">
        <f>IF('Bản đồ công việc'!X300="","",'Bản đồ công việc'!Z300)</f>
        <v/>
      </c>
      <c r="T284" s="389" t="str">
        <f>IF('Bản đồ công việc'!X300="","",'Bản đồ công việc'!AA300)</f>
        <v/>
      </c>
      <c r="U284" s="389" t="str">
        <f>IF('Bản đồ công việc'!X300="","",'Bản đồ công việc'!AE300)</f>
        <v/>
      </c>
      <c r="V284" s="389" t="str">
        <f>IF('Bản đồ công việc'!X300="","",'Bản đồ công việc'!AI300)</f>
        <v/>
      </c>
      <c r="W284" s="389">
        <f t="shared" si="2"/>
        <v>0</v>
      </c>
      <c r="X284" s="389" t="str">
        <f t="shared" si="3"/>
        <v/>
      </c>
      <c r="Y284" s="389" t="str">
        <f t="shared" ref="Y284:Z284" si="280">IFERROR(INDEX($O$8:$O$684,MATCH(X284,$N$8:$N$684,0)),"")</f>
        <v/>
      </c>
      <c r="Z284" s="389" t="str">
        <f t="shared" si="280"/>
        <v/>
      </c>
      <c r="AA284" s="389">
        <f t="shared" si="5"/>
        <v>0</v>
      </c>
    </row>
    <row r="285" ht="15.75" customHeight="1">
      <c r="F285" s="664"/>
      <c r="I285" s="665"/>
      <c r="M285" s="389" t="str">
        <f>IF('Bản đồ công việc'!X301="","",'Bản đồ công việc'!W301)</f>
        <v/>
      </c>
      <c r="N285" s="389" t="str">
        <f>IF('Bản đồ công việc'!X301="","",'Bản đồ công việc'!X301)</f>
        <v/>
      </c>
      <c r="O285" s="389" t="str">
        <f>IF('Bản đồ công việc'!X301="","",'Bản đồ công việc'!Y301)</f>
        <v/>
      </c>
      <c r="P285" s="389" t="str">
        <f>IF('Bản đồ công việc'!X301="","",'Bản đồ công việc'!V301)</f>
        <v/>
      </c>
      <c r="Q285" s="389" t="str">
        <f>IF('Bản đồ công việc'!X301="","",'Bản đồ công việc'!AC301)</f>
        <v/>
      </c>
      <c r="R285" s="389" t="str">
        <f>IF('Bản đồ công việc'!X301="","",'Bản đồ công việc'!AD301)</f>
        <v/>
      </c>
      <c r="S285" s="389" t="str">
        <f>IF('Bản đồ công việc'!X301="","",'Bản đồ công việc'!Z301)</f>
        <v/>
      </c>
      <c r="T285" s="389" t="str">
        <f>IF('Bản đồ công việc'!X301="","",'Bản đồ công việc'!AA301)</f>
        <v/>
      </c>
      <c r="U285" s="389" t="str">
        <f>IF('Bản đồ công việc'!X301="","",'Bản đồ công việc'!AE301)</f>
        <v/>
      </c>
      <c r="V285" s="389" t="str">
        <f>IF('Bản đồ công việc'!X301="","",'Bản đồ công việc'!AI301)</f>
        <v/>
      </c>
      <c r="W285" s="389">
        <f t="shared" si="2"/>
        <v>0</v>
      </c>
      <c r="X285" s="389" t="str">
        <f t="shared" si="3"/>
        <v/>
      </c>
      <c r="Y285" s="389" t="str">
        <f t="shared" ref="Y285:Z285" si="281">IFERROR(INDEX($O$8:$O$684,MATCH(X285,$N$8:$N$684,0)),"")</f>
        <v/>
      </c>
      <c r="Z285" s="389" t="str">
        <f t="shared" si="281"/>
        <v/>
      </c>
      <c r="AA285" s="389">
        <f t="shared" si="5"/>
        <v>0</v>
      </c>
    </row>
    <row r="286" ht="15.75" customHeight="1">
      <c r="F286" s="664"/>
      <c r="I286" s="665"/>
      <c r="M286" s="389" t="str">
        <f>IF('Bản đồ công việc'!X302="","",'Bản đồ công việc'!W302)</f>
        <v/>
      </c>
      <c r="N286" s="389" t="str">
        <f>IF('Bản đồ công việc'!X302="","",'Bản đồ công việc'!X302)</f>
        <v/>
      </c>
      <c r="O286" s="389" t="str">
        <f>IF('Bản đồ công việc'!X302="","",'Bản đồ công việc'!Y302)</f>
        <v/>
      </c>
      <c r="P286" s="389" t="str">
        <f>IF('Bản đồ công việc'!X302="","",'Bản đồ công việc'!V302)</f>
        <v/>
      </c>
      <c r="Q286" s="389" t="str">
        <f>IF('Bản đồ công việc'!X302="","",'Bản đồ công việc'!AC302)</f>
        <v/>
      </c>
      <c r="R286" s="389" t="str">
        <f>IF('Bản đồ công việc'!X302="","",'Bản đồ công việc'!AD302)</f>
        <v/>
      </c>
      <c r="S286" s="389" t="str">
        <f>IF('Bản đồ công việc'!X302="","",'Bản đồ công việc'!Z302)</f>
        <v/>
      </c>
      <c r="T286" s="389" t="str">
        <f>IF('Bản đồ công việc'!X302="","",'Bản đồ công việc'!AA302)</f>
        <v/>
      </c>
      <c r="U286" s="389" t="str">
        <f>IF('Bản đồ công việc'!X302="","",'Bản đồ công việc'!AE302)</f>
        <v/>
      </c>
      <c r="V286" s="389" t="str">
        <f>IF('Bản đồ công việc'!X302="","",'Bản đồ công việc'!AI302)</f>
        <v/>
      </c>
      <c r="W286" s="389">
        <f t="shared" si="2"/>
        <v>0</v>
      </c>
      <c r="X286" s="389" t="str">
        <f t="shared" si="3"/>
        <v/>
      </c>
      <c r="Y286" s="389" t="str">
        <f t="shared" ref="Y286:Z286" si="282">IFERROR(INDEX($O$8:$O$684,MATCH(X286,$N$8:$N$684,0)),"")</f>
        <v/>
      </c>
      <c r="Z286" s="389" t="str">
        <f t="shared" si="282"/>
        <v/>
      </c>
      <c r="AA286" s="389">
        <f t="shared" si="5"/>
        <v>0</v>
      </c>
    </row>
    <row r="287" ht="15.75" customHeight="1">
      <c r="F287" s="664"/>
      <c r="I287" s="665"/>
      <c r="M287" s="389" t="str">
        <f>IF('Bản đồ công việc'!X303="","",'Bản đồ công việc'!W303)</f>
        <v/>
      </c>
      <c r="N287" s="389" t="str">
        <f>IF('Bản đồ công việc'!X303="","",'Bản đồ công việc'!X303)</f>
        <v/>
      </c>
      <c r="O287" s="389" t="str">
        <f>IF('Bản đồ công việc'!X303="","",'Bản đồ công việc'!Y303)</f>
        <v/>
      </c>
      <c r="P287" s="389" t="str">
        <f>IF('Bản đồ công việc'!X303="","",'Bản đồ công việc'!V303)</f>
        <v/>
      </c>
      <c r="Q287" s="389" t="str">
        <f>IF('Bản đồ công việc'!X303="","",'Bản đồ công việc'!AC303)</f>
        <v/>
      </c>
      <c r="R287" s="389" t="str">
        <f>IF('Bản đồ công việc'!X303="","",'Bản đồ công việc'!AD303)</f>
        <v/>
      </c>
      <c r="S287" s="389" t="str">
        <f>IF('Bản đồ công việc'!X303="","",'Bản đồ công việc'!Z303)</f>
        <v/>
      </c>
      <c r="T287" s="389" t="str">
        <f>IF('Bản đồ công việc'!X303="","",'Bản đồ công việc'!AA303)</f>
        <v/>
      </c>
      <c r="U287" s="389" t="str">
        <f>IF('Bản đồ công việc'!X303="","",'Bản đồ công việc'!AE303)</f>
        <v/>
      </c>
      <c r="V287" s="389" t="str">
        <f>IF('Bản đồ công việc'!X303="","",'Bản đồ công việc'!AI303)</f>
        <v/>
      </c>
      <c r="W287" s="389">
        <f t="shared" si="2"/>
        <v>0</v>
      </c>
      <c r="X287" s="389" t="str">
        <f t="shared" si="3"/>
        <v/>
      </c>
      <c r="Y287" s="389" t="str">
        <f t="shared" ref="Y287:Z287" si="283">IFERROR(INDEX($O$8:$O$684,MATCH(X287,$N$8:$N$684,0)),"")</f>
        <v/>
      </c>
      <c r="Z287" s="389" t="str">
        <f t="shared" si="283"/>
        <v/>
      </c>
      <c r="AA287" s="389">
        <f t="shared" si="5"/>
        <v>0</v>
      </c>
    </row>
    <row r="288" ht="15.75" customHeight="1">
      <c r="F288" s="664"/>
      <c r="I288" s="665"/>
      <c r="M288" s="389" t="str">
        <f>IF('Bản đồ công việc'!X304="","",'Bản đồ công việc'!W304)</f>
        <v/>
      </c>
      <c r="N288" s="389" t="str">
        <f>IF('Bản đồ công việc'!X304="","",'Bản đồ công việc'!X304)</f>
        <v/>
      </c>
      <c r="O288" s="389" t="str">
        <f>IF('Bản đồ công việc'!X304="","",'Bản đồ công việc'!Y304)</f>
        <v/>
      </c>
      <c r="P288" s="389" t="str">
        <f>IF('Bản đồ công việc'!X304="","",'Bản đồ công việc'!V304)</f>
        <v/>
      </c>
      <c r="Q288" s="389" t="str">
        <f>IF('Bản đồ công việc'!X304="","",'Bản đồ công việc'!AC304)</f>
        <v/>
      </c>
      <c r="R288" s="389" t="str">
        <f>IF('Bản đồ công việc'!X304="","",'Bản đồ công việc'!AD304)</f>
        <v/>
      </c>
      <c r="S288" s="389" t="str">
        <f>IF('Bản đồ công việc'!X304="","",'Bản đồ công việc'!Z304)</f>
        <v/>
      </c>
      <c r="T288" s="389" t="str">
        <f>IF('Bản đồ công việc'!X304="","",'Bản đồ công việc'!AA304)</f>
        <v/>
      </c>
      <c r="U288" s="389" t="str">
        <f>IF('Bản đồ công việc'!X304="","",'Bản đồ công việc'!AE304)</f>
        <v/>
      </c>
      <c r="V288" s="389" t="str">
        <f>IF('Bản đồ công việc'!X304="","",'Bản đồ công việc'!AI304)</f>
        <v/>
      </c>
      <c r="W288" s="389">
        <f t="shared" si="2"/>
        <v>0</v>
      </c>
      <c r="X288" s="389" t="str">
        <f t="shared" si="3"/>
        <v/>
      </c>
      <c r="Y288" s="389" t="str">
        <f t="shared" ref="Y288:Z288" si="284">IFERROR(INDEX($O$8:$O$684,MATCH(X288,$N$8:$N$684,0)),"")</f>
        <v/>
      </c>
      <c r="Z288" s="389" t="str">
        <f t="shared" si="284"/>
        <v/>
      </c>
      <c r="AA288" s="389">
        <f t="shared" si="5"/>
        <v>0</v>
      </c>
    </row>
    <row r="289" ht="15.75" customHeight="1">
      <c r="F289" s="664"/>
      <c r="I289" s="665"/>
      <c r="M289" s="389" t="str">
        <f>IF('Bản đồ công việc'!X305="","",'Bản đồ công việc'!W305)</f>
        <v/>
      </c>
      <c r="N289" s="389" t="str">
        <f>IF('Bản đồ công việc'!X305="","",'Bản đồ công việc'!X305)</f>
        <v/>
      </c>
      <c r="O289" s="389" t="str">
        <f>IF('Bản đồ công việc'!X305="","",'Bản đồ công việc'!Y305)</f>
        <v/>
      </c>
      <c r="P289" s="389" t="str">
        <f>IF('Bản đồ công việc'!X305="","",'Bản đồ công việc'!V305)</f>
        <v/>
      </c>
      <c r="Q289" s="389" t="str">
        <f>IF('Bản đồ công việc'!X305="","",'Bản đồ công việc'!AC305)</f>
        <v/>
      </c>
      <c r="R289" s="389" t="str">
        <f>IF('Bản đồ công việc'!X305="","",'Bản đồ công việc'!AD305)</f>
        <v/>
      </c>
      <c r="S289" s="389" t="str">
        <f>IF('Bản đồ công việc'!X305="","",'Bản đồ công việc'!Z305)</f>
        <v/>
      </c>
      <c r="T289" s="389" t="str">
        <f>IF('Bản đồ công việc'!X305="","",'Bản đồ công việc'!AA305)</f>
        <v/>
      </c>
      <c r="U289" s="389" t="str">
        <f>IF('Bản đồ công việc'!X305="","",'Bản đồ công việc'!AE305)</f>
        <v/>
      </c>
      <c r="V289" s="389" t="str">
        <f>IF('Bản đồ công việc'!X305="","",'Bản đồ công việc'!AI305)</f>
        <v/>
      </c>
      <c r="W289" s="389">
        <f t="shared" si="2"/>
        <v>0</v>
      </c>
      <c r="X289" s="389" t="str">
        <f t="shared" si="3"/>
        <v/>
      </c>
      <c r="Y289" s="389" t="str">
        <f t="shared" ref="Y289:Z289" si="285">IFERROR(INDEX($O$8:$O$684,MATCH(X289,$N$8:$N$684,0)),"")</f>
        <v/>
      </c>
      <c r="Z289" s="389" t="str">
        <f t="shared" si="285"/>
        <v/>
      </c>
      <c r="AA289" s="389">
        <f t="shared" si="5"/>
        <v>0</v>
      </c>
    </row>
    <row r="290" ht="15.75" customHeight="1">
      <c r="F290" s="664"/>
      <c r="I290" s="665"/>
      <c r="M290" s="389" t="str">
        <f>IF('Bản đồ công việc'!X306="","",'Bản đồ công việc'!W306)</f>
        <v/>
      </c>
      <c r="N290" s="389" t="str">
        <f>IF('Bản đồ công việc'!X306="","",'Bản đồ công việc'!X306)</f>
        <v/>
      </c>
      <c r="O290" s="389" t="str">
        <f>IF('Bản đồ công việc'!X306="","",'Bản đồ công việc'!Y306)</f>
        <v/>
      </c>
      <c r="P290" s="389" t="str">
        <f>IF('Bản đồ công việc'!X306="","",'Bản đồ công việc'!V306)</f>
        <v/>
      </c>
      <c r="Q290" s="389" t="str">
        <f>IF('Bản đồ công việc'!X306="","",'Bản đồ công việc'!AC306)</f>
        <v/>
      </c>
      <c r="R290" s="389" t="str">
        <f>IF('Bản đồ công việc'!X306="","",'Bản đồ công việc'!AD306)</f>
        <v/>
      </c>
      <c r="S290" s="389" t="str">
        <f>IF('Bản đồ công việc'!X306="","",'Bản đồ công việc'!Z306)</f>
        <v/>
      </c>
      <c r="T290" s="389" t="str">
        <f>IF('Bản đồ công việc'!X306="","",'Bản đồ công việc'!AA306)</f>
        <v/>
      </c>
      <c r="U290" s="389" t="str">
        <f>IF('Bản đồ công việc'!X306="","",'Bản đồ công việc'!AE306)</f>
        <v/>
      </c>
      <c r="V290" s="389" t="str">
        <f>IF('Bản đồ công việc'!X306="","",'Bản đồ công việc'!AI306)</f>
        <v/>
      </c>
      <c r="W290" s="389">
        <f t="shared" si="2"/>
        <v>0</v>
      </c>
      <c r="X290" s="389" t="str">
        <f t="shared" si="3"/>
        <v/>
      </c>
      <c r="Y290" s="389" t="str">
        <f t="shared" ref="Y290:Z290" si="286">IFERROR(INDEX($O$8:$O$684,MATCH(X290,$N$8:$N$684,0)),"")</f>
        <v/>
      </c>
      <c r="Z290" s="389" t="str">
        <f t="shared" si="286"/>
        <v/>
      </c>
      <c r="AA290" s="389">
        <f t="shared" si="5"/>
        <v>0</v>
      </c>
    </row>
    <row r="291" ht="15.75" customHeight="1">
      <c r="F291" s="664"/>
      <c r="I291" s="665"/>
      <c r="M291" s="389" t="str">
        <f>IF('Bản đồ công việc'!X307="","",'Bản đồ công việc'!W307)</f>
        <v/>
      </c>
      <c r="N291" s="389" t="str">
        <f>IF('Bản đồ công việc'!X307="","",'Bản đồ công việc'!X307)</f>
        <v/>
      </c>
      <c r="O291" s="389" t="str">
        <f>IF('Bản đồ công việc'!X307="","",'Bản đồ công việc'!Y307)</f>
        <v/>
      </c>
      <c r="P291" s="389" t="str">
        <f>IF('Bản đồ công việc'!X307="","",'Bản đồ công việc'!V307)</f>
        <v/>
      </c>
      <c r="Q291" s="389" t="str">
        <f>IF('Bản đồ công việc'!X307="","",'Bản đồ công việc'!AC307)</f>
        <v/>
      </c>
      <c r="R291" s="389" t="str">
        <f>IF('Bản đồ công việc'!X307="","",'Bản đồ công việc'!AD307)</f>
        <v/>
      </c>
      <c r="S291" s="389" t="str">
        <f>IF('Bản đồ công việc'!X307="","",'Bản đồ công việc'!Z307)</f>
        <v/>
      </c>
      <c r="T291" s="389" t="str">
        <f>IF('Bản đồ công việc'!X307="","",'Bản đồ công việc'!AA307)</f>
        <v/>
      </c>
      <c r="U291" s="389" t="str">
        <f>IF('Bản đồ công việc'!X307="","",'Bản đồ công việc'!AE307)</f>
        <v/>
      </c>
      <c r="V291" s="389" t="str">
        <f>IF('Bản đồ công việc'!X307="","",'Bản đồ công việc'!AI307)</f>
        <v/>
      </c>
      <c r="W291" s="389">
        <f t="shared" si="2"/>
        <v>0</v>
      </c>
      <c r="X291" s="389" t="str">
        <f t="shared" si="3"/>
        <v/>
      </c>
      <c r="Y291" s="389" t="str">
        <f t="shared" ref="Y291:Z291" si="287">IFERROR(INDEX($O$8:$O$684,MATCH(X291,$N$8:$N$684,0)),"")</f>
        <v/>
      </c>
      <c r="Z291" s="389" t="str">
        <f t="shared" si="287"/>
        <v/>
      </c>
      <c r="AA291" s="389">
        <f t="shared" si="5"/>
        <v>0</v>
      </c>
    </row>
    <row r="292" ht="15.75" customHeight="1">
      <c r="F292" s="664"/>
      <c r="I292" s="665"/>
      <c r="M292" s="389" t="str">
        <f>IF('Bản đồ công việc'!X308="","",'Bản đồ công việc'!W308)</f>
        <v/>
      </c>
      <c r="N292" s="389" t="str">
        <f>IF('Bản đồ công việc'!X308="","",'Bản đồ công việc'!X308)</f>
        <v/>
      </c>
      <c r="O292" s="389" t="str">
        <f>IF('Bản đồ công việc'!X308="","",'Bản đồ công việc'!Y308)</f>
        <v/>
      </c>
      <c r="P292" s="389" t="str">
        <f>IF('Bản đồ công việc'!X308="","",'Bản đồ công việc'!V308)</f>
        <v/>
      </c>
      <c r="Q292" s="389" t="str">
        <f>IF('Bản đồ công việc'!X308="","",'Bản đồ công việc'!AC308)</f>
        <v/>
      </c>
      <c r="R292" s="389" t="str">
        <f>IF('Bản đồ công việc'!X308="","",'Bản đồ công việc'!AD308)</f>
        <v/>
      </c>
      <c r="S292" s="389" t="str">
        <f>IF('Bản đồ công việc'!X308="","",'Bản đồ công việc'!Z308)</f>
        <v/>
      </c>
      <c r="T292" s="389" t="str">
        <f>IF('Bản đồ công việc'!X308="","",'Bản đồ công việc'!AA308)</f>
        <v/>
      </c>
      <c r="U292" s="389" t="str">
        <f>IF('Bản đồ công việc'!X308="","",'Bản đồ công việc'!AE308)</f>
        <v/>
      </c>
      <c r="V292" s="389" t="str">
        <f>IF('Bản đồ công việc'!X308="","",'Bản đồ công việc'!AI308)</f>
        <v/>
      </c>
      <c r="W292" s="389">
        <f t="shared" si="2"/>
        <v>0</v>
      </c>
      <c r="X292" s="389" t="str">
        <f t="shared" si="3"/>
        <v/>
      </c>
      <c r="Y292" s="389" t="str">
        <f t="shared" ref="Y292:Z292" si="288">IFERROR(INDEX($O$8:$O$684,MATCH(X292,$N$8:$N$684,0)),"")</f>
        <v/>
      </c>
      <c r="Z292" s="389" t="str">
        <f t="shared" si="288"/>
        <v/>
      </c>
      <c r="AA292" s="389">
        <f t="shared" si="5"/>
        <v>0</v>
      </c>
    </row>
    <row r="293" ht="15.75" customHeight="1">
      <c r="F293" s="664"/>
      <c r="I293" s="665"/>
      <c r="M293" s="389" t="str">
        <f>IF('Bản đồ công việc'!X309="","",'Bản đồ công việc'!W309)</f>
        <v/>
      </c>
      <c r="N293" s="389" t="str">
        <f>IF('Bản đồ công việc'!X309="","",'Bản đồ công việc'!X309)</f>
        <v/>
      </c>
      <c r="O293" s="389" t="str">
        <f>IF('Bản đồ công việc'!X309="","",'Bản đồ công việc'!Y309)</f>
        <v/>
      </c>
      <c r="P293" s="389" t="str">
        <f>IF('Bản đồ công việc'!X309="","",'Bản đồ công việc'!V309)</f>
        <v/>
      </c>
      <c r="Q293" s="389" t="str">
        <f>IF('Bản đồ công việc'!X309="","",'Bản đồ công việc'!AC309)</f>
        <v/>
      </c>
      <c r="R293" s="389" t="str">
        <f>IF('Bản đồ công việc'!X309="","",'Bản đồ công việc'!AD309)</f>
        <v/>
      </c>
      <c r="S293" s="389" t="str">
        <f>IF('Bản đồ công việc'!X309="","",'Bản đồ công việc'!Z309)</f>
        <v/>
      </c>
      <c r="T293" s="389" t="str">
        <f>IF('Bản đồ công việc'!X309="","",'Bản đồ công việc'!AA309)</f>
        <v/>
      </c>
      <c r="U293" s="389" t="str">
        <f>IF('Bản đồ công việc'!X309="","",'Bản đồ công việc'!AE309)</f>
        <v/>
      </c>
      <c r="V293" s="389" t="str">
        <f>IF('Bản đồ công việc'!X309="","",'Bản đồ công việc'!AI309)</f>
        <v/>
      </c>
      <c r="W293" s="389">
        <f t="shared" si="2"/>
        <v>0</v>
      </c>
      <c r="X293" s="389" t="str">
        <f t="shared" si="3"/>
        <v/>
      </c>
      <c r="Y293" s="389" t="str">
        <f t="shared" ref="Y293:Z293" si="289">IFERROR(INDEX($O$8:$O$684,MATCH(X293,$N$8:$N$684,0)),"")</f>
        <v/>
      </c>
      <c r="Z293" s="389" t="str">
        <f t="shared" si="289"/>
        <v/>
      </c>
      <c r="AA293" s="389">
        <f t="shared" si="5"/>
        <v>0</v>
      </c>
    </row>
    <row r="294" ht="15.75" customHeight="1">
      <c r="F294" s="664"/>
      <c r="I294" s="665"/>
      <c r="M294" s="389" t="str">
        <f>IF('Bản đồ công việc'!X310="","",'Bản đồ công việc'!W310)</f>
        <v/>
      </c>
      <c r="N294" s="389" t="str">
        <f>IF('Bản đồ công việc'!X310="","",'Bản đồ công việc'!X310)</f>
        <v/>
      </c>
      <c r="O294" s="389" t="str">
        <f>IF('Bản đồ công việc'!X310="","",'Bản đồ công việc'!Y310)</f>
        <v/>
      </c>
      <c r="P294" s="389" t="str">
        <f>IF('Bản đồ công việc'!X310="","",'Bản đồ công việc'!V310)</f>
        <v/>
      </c>
      <c r="Q294" s="389" t="str">
        <f>IF('Bản đồ công việc'!X310="","",'Bản đồ công việc'!AC310)</f>
        <v/>
      </c>
      <c r="R294" s="389" t="str">
        <f>IF('Bản đồ công việc'!X310="","",'Bản đồ công việc'!AD310)</f>
        <v/>
      </c>
      <c r="S294" s="389" t="str">
        <f>IF('Bản đồ công việc'!X310="","",'Bản đồ công việc'!Z310)</f>
        <v/>
      </c>
      <c r="T294" s="389" t="str">
        <f>IF('Bản đồ công việc'!X310="","",'Bản đồ công việc'!AA310)</f>
        <v/>
      </c>
      <c r="U294" s="389" t="str">
        <f>IF('Bản đồ công việc'!X310="","",'Bản đồ công việc'!AE310)</f>
        <v/>
      </c>
      <c r="V294" s="389" t="str">
        <f>IF('Bản đồ công việc'!X310="","",'Bản đồ công việc'!AI310)</f>
        <v/>
      </c>
      <c r="W294" s="389">
        <f t="shared" si="2"/>
        <v>0</v>
      </c>
      <c r="X294" s="389" t="str">
        <f t="shared" si="3"/>
        <v/>
      </c>
      <c r="Y294" s="389" t="str">
        <f t="shared" ref="Y294:Z294" si="290">IFERROR(INDEX($O$8:$O$684,MATCH(X294,$N$8:$N$684,0)),"")</f>
        <v/>
      </c>
      <c r="Z294" s="389" t="str">
        <f t="shared" si="290"/>
        <v/>
      </c>
      <c r="AA294" s="389">
        <f t="shared" si="5"/>
        <v>0</v>
      </c>
    </row>
    <row r="295" ht="15.75" customHeight="1">
      <c r="F295" s="664"/>
      <c r="I295" s="665"/>
      <c r="M295" s="389" t="str">
        <f>IF('Bản đồ công việc'!X311="","",'Bản đồ công việc'!W311)</f>
        <v/>
      </c>
      <c r="N295" s="389" t="str">
        <f>IF('Bản đồ công việc'!X311="","",'Bản đồ công việc'!X311)</f>
        <v/>
      </c>
      <c r="O295" s="389" t="str">
        <f>IF('Bản đồ công việc'!X311="","",'Bản đồ công việc'!Y311)</f>
        <v/>
      </c>
      <c r="P295" s="389" t="str">
        <f>IF('Bản đồ công việc'!X311="","",'Bản đồ công việc'!V311)</f>
        <v/>
      </c>
      <c r="Q295" s="389" t="str">
        <f>IF('Bản đồ công việc'!X311="","",'Bản đồ công việc'!AC311)</f>
        <v/>
      </c>
      <c r="R295" s="389" t="str">
        <f>IF('Bản đồ công việc'!X311="","",'Bản đồ công việc'!AD311)</f>
        <v/>
      </c>
      <c r="S295" s="389" t="str">
        <f>IF('Bản đồ công việc'!X311="","",'Bản đồ công việc'!Z311)</f>
        <v/>
      </c>
      <c r="T295" s="389" t="str">
        <f>IF('Bản đồ công việc'!X311="","",'Bản đồ công việc'!AA311)</f>
        <v/>
      </c>
      <c r="U295" s="389" t="str">
        <f>IF('Bản đồ công việc'!X311="","",'Bản đồ công việc'!AE311)</f>
        <v/>
      </c>
      <c r="V295" s="389" t="str">
        <f>IF('Bản đồ công việc'!X311="","",'Bản đồ công việc'!AI311)</f>
        <v/>
      </c>
      <c r="W295" s="389">
        <f t="shared" si="2"/>
        <v>0</v>
      </c>
      <c r="X295" s="389" t="str">
        <f t="shared" si="3"/>
        <v/>
      </c>
      <c r="Y295" s="389" t="str">
        <f t="shared" ref="Y295:Z295" si="291">IFERROR(INDEX($O$8:$O$684,MATCH(X295,$N$8:$N$684,0)),"")</f>
        <v/>
      </c>
      <c r="Z295" s="389" t="str">
        <f t="shared" si="291"/>
        <v/>
      </c>
      <c r="AA295" s="389">
        <f t="shared" si="5"/>
        <v>0</v>
      </c>
    </row>
    <row r="296" ht="15.75" customHeight="1">
      <c r="F296" s="664"/>
      <c r="I296" s="665"/>
      <c r="M296" s="389" t="str">
        <f>IF('Bản đồ công việc'!X312="","",'Bản đồ công việc'!W312)</f>
        <v/>
      </c>
      <c r="N296" s="389" t="str">
        <f>IF('Bản đồ công việc'!X312="","",'Bản đồ công việc'!X312)</f>
        <v/>
      </c>
      <c r="O296" s="389" t="str">
        <f>IF('Bản đồ công việc'!X312="","",'Bản đồ công việc'!Y312)</f>
        <v/>
      </c>
      <c r="P296" s="389" t="str">
        <f>IF('Bản đồ công việc'!X312="","",'Bản đồ công việc'!V312)</f>
        <v/>
      </c>
      <c r="Q296" s="389" t="str">
        <f>IF('Bản đồ công việc'!X312="","",'Bản đồ công việc'!AC312)</f>
        <v/>
      </c>
      <c r="R296" s="389" t="str">
        <f>IF('Bản đồ công việc'!X312="","",'Bản đồ công việc'!AD312)</f>
        <v/>
      </c>
      <c r="S296" s="389" t="str">
        <f>IF('Bản đồ công việc'!X312="","",'Bản đồ công việc'!Z312)</f>
        <v/>
      </c>
      <c r="T296" s="389" t="str">
        <f>IF('Bản đồ công việc'!X312="","",'Bản đồ công việc'!AA312)</f>
        <v/>
      </c>
      <c r="U296" s="389" t="str">
        <f>IF('Bản đồ công việc'!X312="","",'Bản đồ công việc'!AE312)</f>
        <v/>
      </c>
      <c r="V296" s="389" t="str">
        <f>IF('Bản đồ công việc'!X312="","",'Bản đồ công việc'!AI312)</f>
        <v/>
      </c>
      <c r="W296" s="389">
        <f t="shared" si="2"/>
        <v>0</v>
      </c>
      <c r="X296" s="389" t="str">
        <f t="shared" si="3"/>
        <v/>
      </c>
      <c r="Y296" s="389" t="str">
        <f t="shared" ref="Y296:Z296" si="292">IFERROR(INDEX($O$8:$O$684,MATCH(X296,$N$8:$N$684,0)),"")</f>
        <v/>
      </c>
      <c r="Z296" s="389" t="str">
        <f t="shared" si="292"/>
        <v/>
      </c>
      <c r="AA296" s="389">
        <f t="shared" si="5"/>
        <v>0</v>
      </c>
    </row>
    <row r="297" ht="15.75" customHeight="1">
      <c r="F297" s="664"/>
      <c r="I297" s="665"/>
      <c r="M297" s="389" t="str">
        <f>IF('Bản đồ công việc'!X313="","",'Bản đồ công việc'!W313)</f>
        <v/>
      </c>
      <c r="N297" s="389" t="str">
        <f>IF('Bản đồ công việc'!X313="","",'Bản đồ công việc'!X313)</f>
        <v/>
      </c>
      <c r="O297" s="389" t="str">
        <f>IF('Bản đồ công việc'!X313="","",'Bản đồ công việc'!Y313)</f>
        <v/>
      </c>
      <c r="P297" s="389" t="str">
        <f>IF('Bản đồ công việc'!X313="","",'Bản đồ công việc'!V313)</f>
        <v/>
      </c>
      <c r="Q297" s="389" t="str">
        <f>IF('Bản đồ công việc'!X313="","",'Bản đồ công việc'!AC313)</f>
        <v/>
      </c>
      <c r="R297" s="389" t="str">
        <f>IF('Bản đồ công việc'!X313="","",'Bản đồ công việc'!AD313)</f>
        <v/>
      </c>
      <c r="S297" s="389" t="str">
        <f>IF('Bản đồ công việc'!X313="","",'Bản đồ công việc'!Z313)</f>
        <v/>
      </c>
      <c r="T297" s="389" t="str">
        <f>IF('Bản đồ công việc'!X313="","",'Bản đồ công việc'!AA313)</f>
        <v/>
      </c>
      <c r="U297" s="389" t="str">
        <f>IF('Bản đồ công việc'!X313="","",'Bản đồ công việc'!AE313)</f>
        <v/>
      </c>
      <c r="V297" s="389" t="str">
        <f>IF('Bản đồ công việc'!X313="","",'Bản đồ công việc'!AI313)</f>
        <v/>
      </c>
      <c r="W297" s="389">
        <f t="shared" si="2"/>
        <v>0</v>
      </c>
      <c r="X297" s="389" t="str">
        <f t="shared" si="3"/>
        <v/>
      </c>
      <c r="Y297" s="389" t="str">
        <f t="shared" ref="Y297:Z297" si="293">IFERROR(INDEX($O$8:$O$684,MATCH(X297,$N$8:$N$684,0)),"")</f>
        <v/>
      </c>
      <c r="Z297" s="389" t="str">
        <f t="shared" si="293"/>
        <v/>
      </c>
      <c r="AA297" s="389">
        <f t="shared" si="5"/>
        <v>0</v>
      </c>
    </row>
    <row r="298" ht="15.75" customHeight="1">
      <c r="F298" s="664"/>
      <c r="I298" s="665"/>
      <c r="M298" s="389" t="str">
        <f>IF('Bản đồ công việc'!X314="","",'Bản đồ công việc'!W314)</f>
        <v/>
      </c>
      <c r="N298" s="389" t="str">
        <f>IF('Bản đồ công việc'!X314="","",'Bản đồ công việc'!X314)</f>
        <v/>
      </c>
      <c r="O298" s="389" t="str">
        <f>IF('Bản đồ công việc'!X314="","",'Bản đồ công việc'!Y314)</f>
        <v/>
      </c>
      <c r="P298" s="389" t="str">
        <f>IF('Bản đồ công việc'!X314="","",'Bản đồ công việc'!V314)</f>
        <v/>
      </c>
      <c r="Q298" s="389" t="str">
        <f>IF('Bản đồ công việc'!X314="","",'Bản đồ công việc'!AC314)</f>
        <v/>
      </c>
      <c r="R298" s="389" t="str">
        <f>IF('Bản đồ công việc'!X314="","",'Bản đồ công việc'!AD314)</f>
        <v/>
      </c>
      <c r="S298" s="389" t="str">
        <f>IF('Bản đồ công việc'!X314="","",'Bản đồ công việc'!Z314)</f>
        <v/>
      </c>
      <c r="T298" s="389" t="str">
        <f>IF('Bản đồ công việc'!X314="","",'Bản đồ công việc'!AA314)</f>
        <v/>
      </c>
      <c r="U298" s="389" t="str">
        <f>IF('Bản đồ công việc'!X314="","",'Bản đồ công việc'!AE314)</f>
        <v/>
      </c>
      <c r="V298" s="389" t="str">
        <f>IF('Bản đồ công việc'!X314="","",'Bản đồ công việc'!AI314)</f>
        <v/>
      </c>
      <c r="W298" s="389">
        <f t="shared" si="2"/>
        <v>0</v>
      </c>
      <c r="X298" s="389" t="str">
        <f t="shared" si="3"/>
        <v/>
      </c>
      <c r="Y298" s="389" t="str">
        <f t="shared" ref="Y298:Z298" si="294">IFERROR(INDEX($O$8:$O$684,MATCH(X298,$N$8:$N$684,0)),"")</f>
        <v/>
      </c>
      <c r="Z298" s="389" t="str">
        <f t="shared" si="294"/>
        <v/>
      </c>
      <c r="AA298" s="389">
        <f t="shared" si="5"/>
        <v>0</v>
      </c>
    </row>
    <row r="299" ht="15.75" customHeight="1">
      <c r="F299" s="664"/>
      <c r="I299" s="665"/>
      <c r="M299" s="389" t="str">
        <f>IF('Bản đồ công việc'!X315="","",'Bản đồ công việc'!W315)</f>
        <v/>
      </c>
      <c r="N299" s="389" t="str">
        <f>IF('Bản đồ công việc'!X315="","",'Bản đồ công việc'!X315)</f>
        <v/>
      </c>
      <c r="O299" s="389" t="str">
        <f>IF('Bản đồ công việc'!X315="","",'Bản đồ công việc'!Y315)</f>
        <v/>
      </c>
      <c r="P299" s="389" t="str">
        <f>IF('Bản đồ công việc'!X315="","",'Bản đồ công việc'!V315)</f>
        <v/>
      </c>
      <c r="Q299" s="389" t="str">
        <f>IF('Bản đồ công việc'!X315="","",'Bản đồ công việc'!AC315)</f>
        <v/>
      </c>
      <c r="R299" s="389" t="str">
        <f>IF('Bản đồ công việc'!X315="","",'Bản đồ công việc'!AD315)</f>
        <v/>
      </c>
      <c r="S299" s="389" t="str">
        <f>IF('Bản đồ công việc'!X315="","",'Bản đồ công việc'!Z315)</f>
        <v/>
      </c>
      <c r="T299" s="389" t="str">
        <f>IF('Bản đồ công việc'!X315="","",'Bản đồ công việc'!AA315)</f>
        <v/>
      </c>
      <c r="U299" s="389" t="str">
        <f>IF('Bản đồ công việc'!X315="","",'Bản đồ công việc'!AE315)</f>
        <v/>
      </c>
      <c r="V299" s="389" t="str">
        <f>IF('Bản đồ công việc'!X315="","",'Bản đồ công việc'!AI315)</f>
        <v/>
      </c>
      <c r="W299" s="389">
        <f t="shared" si="2"/>
        <v>0</v>
      </c>
      <c r="X299" s="389" t="str">
        <f t="shared" si="3"/>
        <v/>
      </c>
      <c r="Y299" s="389" t="str">
        <f t="shared" ref="Y299:Z299" si="295">IFERROR(INDEX($O$8:$O$684,MATCH(X299,$N$8:$N$684,0)),"")</f>
        <v/>
      </c>
      <c r="Z299" s="389" t="str">
        <f t="shared" si="295"/>
        <v/>
      </c>
      <c r="AA299" s="389">
        <f t="shared" si="5"/>
        <v>0</v>
      </c>
    </row>
    <row r="300" ht="15.75" customHeight="1">
      <c r="F300" s="664"/>
      <c r="I300" s="665"/>
      <c r="M300" s="389" t="str">
        <f>IF('Bản đồ công việc'!X316="","",'Bản đồ công việc'!W316)</f>
        <v/>
      </c>
      <c r="N300" s="389" t="str">
        <f>IF('Bản đồ công việc'!X316="","",'Bản đồ công việc'!X316)</f>
        <v/>
      </c>
      <c r="O300" s="389" t="str">
        <f>IF('Bản đồ công việc'!X316="","",'Bản đồ công việc'!Y316)</f>
        <v/>
      </c>
      <c r="P300" s="389" t="str">
        <f>IF('Bản đồ công việc'!X316="","",'Bản đồ công việc'!V316)</f>
        <v/>
      </c>
      <c r="Q300" s="389" t="str">
        <f>IF('Bản đồ công việc'!X316="","",'Bản đồ công việc'!AC316)</f>
        <v/>
      </c>
      <c r="R300" s="389" t="str">
        <f>IF('Bản đồ công việc'!X316="","",'Bản đồ công việc'!AD316)</f>
        <v/>
      </c>
      <c r="S300" s="389" t="str">
        <f>IF('Bản đồ công việc'!X316="","",'Bản đồ công việc'!Z316)</f>
        <v/>
      </c>
      <c r="T300" s="389" t="str">
        <f>IF('Bản đồ công việc'!X316="","",'Bản đồ công việc'!AA316)</f>
        <v/>
      </c>
      <c r="U300" s="389" t="str">
        <f>IF('Bản đồ công việc'!X316="","",'Bản đồ công việc'!AE316)</f>
        <v/>
      </c>
      <c r="V300" s="389" t="str">
        <f>IF('Bản đồ công việc'!X316="","",'Bản đồ công việc'!AI316)</f>
        <v/>
      </c>
      <c r="W300" s="389">
        <f t="shared" si="2"/>
        <v>0</v>
      </c>
      <c r="X300" s="389" t="str">
        <f t="shared" si="3"/>
        <v/>
      </c>
      <c r="Y300" s="389" t="str">
        <f t="shared" ref="Y300:Z300" si="296">IFERROR(INDEX($O$8:$O$684,MATCH(X300,$N$8:$N$684,0)),"")</f>
        <v/>
      </c>
      <c r="Z300" s="389" t="str">
        <f t="shared" si="296"/>
        <v/>
      </c>
      <c r="AA300" s="389">
        <f t="shared" si="5"/>
        <v>0</v>
      </c>
    </row>
    <row r="301" ht="15.75" customHeight="1">
      <c r="M301" s="389" t="str">
        <f>IF('Bản đồ công việc'!X317="","",'Bản đồ công việc'!W317)</f>
        <v/>
      </c>
      <c r="N301" s="389" t="str">
        <f>IF('Bản đồ công việc'!X317="","",'Bản đồ công việc'!X317)</f>
        <v/>
      </c>
      <c r="O301" s="389" t="str">
        <f>IF('Bản đồ công việc'!X317="","",'Bản đồ công việc'!Y317)</f>
        <v/>
      </c>
      <c r="P301" s="389" t="str">
        <f>IF('Bản đồ công việc'!X317="","",'Bản đồ công việc'!V317)</f>
        <v/>
      </c>
      <c r="Q301" s="389" t="str">
        <f>IF('Bản đồ công việc'!X317="","",'Bản đồ công việc'!AC317)</f>
        <v/>
      </c>
      <c r="R301" s="389" t="str">
        <f>IF('Bản đồ công việc'!X317="","",'Bản đồ công việc'!AD317)</f>
        <v/>
      </c>
      <c r="S301" s="389" t="str">
        <f>IF('Bản đồ công việc'!X317="","",'Bản đồ công việc'!Z317)</f>
        <v/>
      </c>
      <c r="T301" s="389" t="str">
        <f>IF('Bản đồ công việc'!X317="","",'Bản đồ công việc'!AA317)</f>
        <v/>
      </c>
      <c r="U301" s="389" t="str">
        <f>IF('Bản đồ công việc'!X317="","",'Bản đồ công việc'!AE317)</f>
        <v/>
      </c>
      <c r="V301" s="389" t="str">
        <f>IF('Bản đồ công việc'!X317="","",'Bản đồ công việc'!AI317)</f>
        <v/>
      </c>
      <c r="W301" s="389">
        <f t="shared" si="2"/>
        <v>0</v>
      </c>
      <c r="X301" s="389" t="str">
        <f t="shared" si="3"/>
        <v/>
      </c>
      <c r="Y301" s="389" t="str">
        <f t="shared" ref="Y301:Z301" si="297">IFERROR(INDEX($O$8:$O$684,MATCH(X301,$N$8:$N$684,0)),"")</f>
        <v/>
      </c>
      <c r="Z301" s="389" t="str">
        <f t="shared" si="297"/>
        <v/>
      </c>
      <c r="AA301" s="389">
        <f t="shared" si="5"/>
        <v>0</v>
      </c>
    </row>
    <row r="302" ht="15.75" customHeight="1">
      <c r="M302" s="389" t="str">
        <f>IF('Bản đồ công việc'!X318="","",'Bản đồ công việc'!W318)</f>
        <v/>
      </c>
      <c r="N302" s="389" t="str">
        <f>IF('Bản đồ công việc'!X318="","",'Bản đồ công việc'!X318)</f>
        <v/>
      </c>
      <c r="O302" s="389" t="str">
        <f>IF('Bản đồ công việc'!X318="","",'Bản đồ công việc'!Y318)</f>
        <v/>
      </c>
      <c r="P302" s="389" t="str">
        <f>IF('Bản đồ công việc'!X318="","",'Bản đồ công việc'!V318)</f>
        <v/>
      </c>
      <c r="Q302" s="389" t="str">
        <f>IF('Bản đồ công việc'!X318="","",'Bản đồ công việc'!AC318)</f>
        <v/>
      </c>
      <c r="R302" s="389" t="str">
        <f>IF('Bản đồ công việc'!X318="","",'Bản đồ công việc'!AD318)</f>
        <v/>
      </c>
      <c r="S302" s="389" t="str">
        <f>IF('Bản đồ công việc'!X318="","",'Bản đồ công việc'!Z318)</f>
        <v/>
      </c>
      <c r="T302" s="389" t="str">
        <f>IF('Bản đồ công việc'!X318="","",'Bản đồ công việc'!AA318)</f>
        <v/>
      </c>
      <c r="U302" s="389" t="str">
        <f>IF('Bản đồ công việc'!X318="","",'Bản đồ công việc'!AE318)</f>
        <v/>
      </c>
      <c r="V302" s="389" t="str">
        <f>IF('Bản đồ công việc'!X318="","",'Bản đồ công việc'!AI318)</f>
        <v/>
      </c>
      <c r="W302" s="389">
        <f t="shared" si="2"/>
        <v>0</v>
      </c>
      <c r="X302" s="389" t="str">
        <f t="shared" si="3"/>
        <v/>
      </c>
      <c r="Y302" s="389" t="str">
        <f t="shared" ref="Y302:Z302" si="298">IFERROR(INDEX($O$8:$O$684,MATCH(X302,$N$8:$N$684,0)),"")</f>
        <v/>
      </c>
      <c r="Z302" s="389" t="str">
        <f t="shared" si="298"/>
        <v/>
      </c>
      <c r="AA302" s="389">
        <f t="shared" si="5"/>
        <v>0</v>
      </c>
    </row>
    <row r="303" ht="15.75" customHeight="1">
      <c r="M303" s="389" t="str">
        <f>IF('Bản đồ công việc'!X319="","",'Bản đồ công việc'!W319)</f>
        <v/>
      </c>
      <c r="N303" s="389" t="str">
        <f>IF('Bản đồ công việc'!X319="","",'Bản đồ công việc'!X319)</f>
        <v/>
      </c>
      <c r="O303" s="389" t="str">
        <f>IF('Bản đồ công việc'!X319="","",'Bản đồ công việc'!Y319)</f>
        <v/>
      </c>
      <c r="P303" s="389" t="str">
        <f>IF('Bản đồ công việc'!X319="","",'Bản đồ công việc'!V319)</f>
        <v/>
      </c>
      <c r="Q303" s="389" t="str">
        <f>IF('Bản đồ công việc'!X319="","",'Bản đồ công việc'!AC319)</f>
        <v/>
      </c>
      <c r="R303" s="389" t="str">
        <f>IF('Bản đồ công việc'!X319="","",'Bản đồ công việc'!AD319)</f>
        <v/>
      </c>
      <c r="S303" s="389" t="str">
        <f>IF('Bản đồ công việc'!X319="","",'Bản đồ công việc'!Z319)</f>
        <v/>
      </c>
      <c r="T303" s="389" t="str">
        <f>IF('Bản đồ công việc'!X319="","",'Bản đồ công việc'!AA319)</f>
        <v/>
      </c>
      <c r="U303" s="389" t="str">
        <f>IF('Bản đồ công việc'!X319="","",'Bản đồ công việc'!AE319)</f>
        <v/>
      </c>
      <c r="V303" s="389" t="str">
        <f>IF('Bản đồ công việc'!X319="","",'Bản đồ công việc'!AI319)</f>
        <v/>
      </c>
      <c r="W303" s="389">
        <f t="shared" si="2"/>
        <v>0</v>
      </c>
      <c r="X303" s="389" t="str">
        <f t="shared" si="3"/>
        <v/>
      </c>
      <c r="Y303" s="389" t="str">
        <f t="shared" ref="Y303:Z303" si="299">IFERROR(INDEX($O$8:$O$684,MATCH(X303,$N$8:$N$684,0)),"")</f>
        <v/>
      </c>
      <c r="Z303" s="389" t="str">
        <f t="shared" si="299"/>
        <v/>
      </c>
      <c r="AA303" s="389">
        <f t="shared" si="5"/>
        <v>0</v>
      </c>
    </row>
    <row r="304" ht="15.75" customHeight="1">
      <c r="M304" s="389" t="str">
        <f>IF('Bản đồ công việc'!X320="","",'Bản đồ công việc'!W320)</f>
        <v/>
      </c>
      <c r="N304" s="389" t="str">
        <f>IF('Bản đồ công việc'!X320="","",'Bản đồ công việc'!X320)</f>
        <v/>
      </c>
      <c r="O304" s="389" t="str">
        <f>IF('Bản đồ công việc'!X320="","",'Bản đồ công việc'!Y320)</f>
        <v/>
      </c>
      <c r="P304" s="389" t="str">
        <f>IF('Bản đồ công việc'!X320="","",'Bản đồ công việc'!V320)</f>
        <v/>
      </c>
      <c r="Q304" s="389" t="str">
        <f>IF('Bản đồ công việc'!X320="","",'Bản đồ công việc'!AC320)</f>
        <v/>
      </c>
      <c r="R304" s="389" t="str">
        <f>IF('Bản đồ công việc'!X320="","",'Bản đồ công việc'!AD320)</f>
        <v/>
      </c>
      <c r="S304" s="389" t="str">
        <f>IF('Bản đồ công việc'!X320="","",'Bản đồ công việc'!Z320)</f>
        <v/>
      </c>
      <c r="T304" s="389" t="str">
        <f>IF('Bản đồ công việc'!X320="","",'Bản đồ công việc'!AA320)</f>
        <v/>
      </c>
      <c r="U304" s="389" t="str">
        <f>IF('Bản đồ công việc'!X320="","",'Bản đồ công việc'!AE320)</f>
        <v/>
      </c>
      <c r="V304" s="389" t="str">
        <f>IF('Bản đồ công việc'!X320="","",'Bản đồ công việc'!AI320)</f>
        <v/>
      </c>
      <c r="W304" s="389">
        <f t="shared" si="2"/>
        <v>0</v>
      </c>
      <c r="X304" s="389" t="str">
        <f t="shared" si="3"/>
        <v/>
      </c>
      <c r="Y304" s="389" t="str">
        <f t="shared" ref="Y304:Z304" si="300">IFERROR(INDEX($O$8:$O$684,MATCH(X304,$N$8:$N$684,0)),"")</f>
        <v/>
      </c>
      <c r="Z304" s="389" t="str">
        <f t="shared" si="300"/>
        <v/>
      </c>
      <c r="AA304" s="389">
        <f t="shared" si="5"/>
        <v>0</v>
      </c>
    </row>
    <row r="305" ht="15.75" customHeight="1">
      <c r="M305" s="389" t="str">
        <f>IF('Bản đồ công việc'!X321="","",'Bản đồ công việc'!W321)</f>
        <v/>
      </c>
      <c r="N305" s="389" t="str">
        <f>IF('Bản đồ công việc'!X321="","",'Bản đồ công việc'!X321)</f>
        <v/>
      </c>
      <c r="O305" s="389" t="str">
        <f>IF('Bản đồ công việc'!X321="","",'Bản đồ công việc'!Y321)</f>
        <v/>
      </c>
      <c r="P305" s="389" t="str">
        <f>IF('Bản đồ công việc'!X321="","",'Bản đồ công việc'!V321)</f>
        <v/>
      </c>
      <c r="Q305" s="389" t="str">
        <f>IF('Bản đồ công việc'!X321="","",'Bản đồ công việc'!AC321)</f>
        <v/>
      </c>
      <c r="R305" s="389" t="str">
        <f>IF('Bản đồ công việc'!X321="","",'Bản đồ công việc'!AD321)</f>
        <v/>
      </c>
      <c r="S305" s="389" t="str">
        <f>IF('Bản đồ công việc'!X321="","",'Bản đồ công việc'!Z321)</f>
        <v/>
      </c>
      <c r="T305" s="389" t="str">
        <f>IF('Bản đồ công việc'!X321="","",'Bản đồ công việc'!AA321)</f>
        <v/>
      </c>
      <c r="U305" s="389" t="str">
        <f>IF('Bản đồ công việc'!X321="","",'Bản đồ công việc'!AE321)</f>
        <v/>
      </c>
      <c r="V305" s="389" t="str">
        <f>IF('Bản đồ công việc'!X321="","",'Bản đồ công việc'!AI321)</f>
        <v/>
      </c>
      <c r="W305" s="389">
        <f t="shared" si="2"/>
        <v>0</v>
      </c>
      <c r="X305" s="389" t="str">
        <f t="shared" si="3"/>
        <v/>
      </c>
      <c r="Y305" s="389" t="str">
        <f t="shared" ref="Y305:Z305" si="301">IFERROR(INDEX($O$8:$O$684,MATCH(X305,$N$8:$N$684,0)),"")</f>
        <v/>
      </c>
      <c r="Z305" s="389" t="str">
        <f t="shared" si="301"/>
        <v/>
      </c>
      <c r="AA305" s="389">
        <f t="shared" si="5"/>
        <v>0</v>
      </c>
    </row>
    <row r="306" ht="15.75" customHeight="1">
      <c r="M306" s="389" t="str">
        <f>IF('Bản đồ công việc'!X322="","",'Bản đồ công việc'!W322)</f>
        <v/>
      </c>
      <c r="N306" s="389" t="str">
        <f>IF('Bản đồ công việc'!X322="","",'Bản đồ công việc'!X322)</f>
        <v/>
      </c>
      <c r="O306" s="389" t="str">
        <f>IF('Bản đồ công việc'!X322="","",'Bản đồ công việc'!Y322)</f>
        <v/>
      </c>
      <c r="P306" s="389" t="str">
        <f>IF('Bản đồ công việc'!X322="","",'Bản đồ công việc'!V322)</f>
        <v/>
      </c>
      <c r="Q306" s="389" t="str">
        <f>IF('Bản đồ công việc'!X322="","",'Bản đồ công việc'!AC322)</f>
        <v/>
      </c>
      <c r="R306" s="389" t="str">
        <f>IF('Bản đồ công việc'!X322="","",'Bản đồ công việc'!AD322)</f>
        <v/>
      </c>
      <c r="S306" s="389" t="str">
        <f>IF('Bản đồ công việc'!X322="","",'Bản đồ công việc'!Z322)</f>
        <v/>
      </c>
      <c r="T306" s="389" t="str">
        <f>IF('Bản đồ công việc'!X322="","",'Bản đồ công việc'!AA322)</f>
        <v/>
      </c>
      <c r="U306" s="389" t="str">
        <f>IF('Bản đồ công việc'!X322="","",'Bản đồ công việc'!AE322)</f>
        <v/>
      </c>
      <c r="V306" s="389" t="str">
        <f>IF('Bản đồ công việc'!X322="","",'Bản đồ công việc'!AI322)</f>
        <v/>
      </c>
      <c r="W306" s="389">
        <f t="shared" si="2"/>
        <v>0</v>
      </c>
      <c r="X306" s="389" t="str">
        <f t="shared" si="3"/>
        <v/>
      </c>
      <c r="Y306" s="389" t="str">
        <f t="shared" ref="Y306:Z306" si="302">IFERROR(INDEX($O$8:$O$684,MATCH(X306,$N$8:$N$684,0)),"")</f>
        <v/>
      </c>
      <c r="Z306" s="389" t="str">
        <f t="shared" si="302"/>
        <v/>
      </c>
      <c r="AA306" s="389">
        <f t="shared" si="5"/>
        <v>0</v>
      </c>
    </row>
    <row r="307" ht="15.75" customHeight="1">
      <c r="M307" s="389" t="str">
        <f>IF('Bản đồ công việc'!X323="","",'Bản đồ công việc'!W323)</f>
        <v/>
      </c>
      <c r="N307" s="389" t="str">
        <f>IF('Bản đồ công việc'!X323="","",'Bản đồ công việc'!X323)</f>
        <v/>
      </c>
      <c r="O307" s="389" t="str">
        <f>IF('Bản đồ công việc'!X323="","",'Bản đồ công việc'!Y323)</f>
        <v/>
      </c>
      <c r="P307" s="389" t="str">
        <f>IF('Bản đồ công việc'!X323="","",'Bản đồ công việc'!V323)</f>
        <v/>
      </c>
      <c r="Q307" s="389" t="str">
        <f>IF('Bản đồ công việc'!X323="","",'Bản đồ công việc'!AC323)</f>
        <v/>
      </c>
      <c r="R307" s="389" t="str">
        <f>IF('Bản đồ công việc'!X323="","",'Bản đồ công việc'!AD323)</f>
        <v/>
      </c>
      <c r="S307" s="389" t="str">
        <f>IF('Bản đồ công việc'!X323="","",'Bản đồ công việc'!Z323)</f>
        <v/>
      </c>
      <c r="T307" s="389" t="str">
        <f>IF('Bản đồ công việc'!X323="","",'Bản đồ công việc'!AA323)</f>
        <v/>
      </c>
      <c r="U307" s="389" t="str">
        <f>IF('Bản đồ công việc'!X323="","",'Bản đồ công việc'!AE323)</f>
        <v/>
      </c>
      <c r="V307" s="389" t="str">
        <f>IF('Bản đồ công việc'!X323="","",'Bản đồ công việc'!AI323)</f>
        <v/>
      </c>
      <c r="W307" s="389">
        <f t="shared" si="2"/>
        <v>0</v>
      </c>
      <c r="X307" s="389" t="str">
        <f t="shared" si="3"/>
        <v/>
      </c>
      <c r="Y307" s="389" t="str">
        <f t="shared" ref="Y307:Z307" si="303">IFERROR(INDEX($O$8:$O$684,MATCH(X307,$N$8:$N$684,0)),"")</f>
        <v/>
      </c>
      <c r="Z307" s="389" t="str">
        <f t="shared" si="303"/>
        <v/>
      </c>
      <c r="AA307" s="389">
        <f t="shared" si="5"/>
        <v>0</v>
      </c>
    </row>
    <row r="308" ht="15.75" customHeight="1">
      <c r="M308" s="389" t="str">
        <f>IF('Bản đồ công việc'!X324="","",'Bản đồ công việc'!W324)</f>
        <v/>
      </c>
      <c r="N308" s="389" t="str">
        <f>IF('Bản đồ công việc'!X324="","",'Bản đồ công việc'!X324)</f>
        <v/>
      </c>
      <c r="O308" s="389" t="str">
        <f>IF('Bản đồ công việc'!X324="","",'Bản đồ công việc'!Y324)</f>
        <v/>
      </c>
      <c r="P308" s="389" t="str">
        <f>IF('Bản đồ công việc'!X324="","",'Bản đồ công việc'!V324)</f>
        <v/>
      </c>
      <c r="Q308" s="389" t="str">
        <f>IF('Bản đồ công việc'!X324="","",'Bản đồ công việc'!AC324)</f>
        <v/>
      </c>
      <c r="R308" s="389" t="str">
        <f>IF('Bản đồ công việc'!X324="","",'Bản đồ công việc'!AD324)</f>
        <v/>
      </c>
      <c r="S308" s="389" t="str">
        <f>IF('Bản đồ công việc'!X324="","",'Bản đồ công việc'!Z324)</f>
        <v/>
      </c>
      <c r="T308" s="389" t="str">
        <f>IF('Bản đồ công việc'!X324="","",'Bản đồ công việc'!AA324)</f>
        <v/>
      </c>
      <c r="U308" s="389" t="str">
        <f>IF('Bản đồ công việc'!X324="","",'Bản đồ công việc'!AE324)</f>
        <v/>
      </c>
      <c r="V308" s="389" t="str">
        <f>IF('Bản đồ công việc'!X324="","",'Bản đồ công việc'!AI324)</f>
        <v/>
      </c>
      <c r="W308" s="389">
        <f t="shared" si="2"/>
        <v>0</v>
      </c>
      <c r="X308" s="389" t="str">
        <f t="shared" si="3"/>
        <v/>
      </c>
      <c r="Y308" s="389" t="str">
        <f t="shared" ref="Y308:Z308" si="304">IFERROR(INDEX($O$8:$O$684,MATCH(X308,$N$8:$N$684,0)),"")</f>
        <v/>
      </c>
      <c r="Z308" s="389" t="str">
        <f t="shared" si="304"/>
        <v/>
      </c>
      <c r="AA308" s="389">
        <f t="shared" si="5"/>
        <v>0</v>
      </c>
    </row>
    <row r="309" ht="15.75" customHeight="1">
      <c r="M309" s="389" t="str">
        <f>IF('Bản đồ công việc'!X325="","",'Bản đồ công việc'!W325)</f>
        <v/>
      </c>
      <c r="N309" s="389" t="str">
        <f>IF('Bản đồ công việc'!X325="","",'Bản đồ công việc'!X325)</f>
        <v/>
      </c>
      <c r="O309" s="389" t="str">
        <f>IF('Bản đồ công việc'!X325="","",'Bản đồ công việc'!Y325)</f>
        <v/>
      </c>
      <c r="P309" s="389" t="str">
        <f>IF('Bản đồ công việc'!X325="","",'Bản đồ công việc'!V325)</f>
        <v/>
      </c>
      <c r="Q309" s="389" t="str">
        <f>IF('Bản đồ công việc'!X325="","",'Bản đồ công việc'!AC325)</f>
        <v/>
      </c>
      <c r="R309" s="389" t="str">
        <f>IF('Bản đồ công việc'!X325="","",'Bản đồ công việc'!AD325)</f>
        <v/>
      </c>
      <c r="S309" s="389" t="str">
        <f>IF('Bản đồ công việc'!X325="","",'Bản đồ công việc'!Z325)</f>
        <v/>
      </c>
      <c r="T309" s="389" t="str">
        <f>IF('Bản đồ công việc'!X325="","",'Bản đồ công việc'!AA325)</f>
        <v/>
      </c>
      <c r="U309" s="389" t="str">
        <f>IF('Bản đồ công việc'!X325="","",'Bản đồ công việc'!AE325)</f>
        <v/>
      </c>
      <c r="V309" s="389" t="str">
        <f>IF('Bản đồ công việc'!X325="","",'Bản đồ công việc'!AI325)</f>
        <v/>
      </c>
      <c r="W309" s="389">
        <f t="shared" si="2"/>
        <v>0</v>
      </c>
      <c r="X309" s="389" t="str">
        <f t="shared" si="3"/>
        <v/>
      </c>
      <c r="Y309" s="389" t="str">
        <f t="shared" ref="Y309:Z309" si="305">IFERROR(INDEX($O$8:$O$684,MATCH(X309,$N$8:$N$684,0)),"")</f>
        <v/>
      </c>
      <c r="Z309" s="389" t="str">
        <f t="shared" si="305"/>
        <v/>
      </c>
      <c r="AA309" s="389">
        <f t="shared" si="5"/>
        <v>0</v>
      </c>
    </row>
    <row r="310" ht="15.75" customHeight="1">
      <c r="M310" s="389" t="str">
        <f>IF('Bản đồ công việc'!X326="","",'Bản đồ công việc'!W326)</f>
        <v/>
      </c>
      <c r="N310" s="389" t="str">
        <f>IF('Bản đồ công việc'!X326="","",'Bản đồ công việc'!X326)</f>
        <v/>
      </c>
      <c r="O310" s="389" t="str">
        <f>IF('Bản đồ công việc'!X326="","",'Bản đồ công việc'!Y326)</f>
        <v/>
      </c>
      <c r="P310" s="389" t="str">
        <f>IF('Bản đồ công việc'!X326="","",'Bản đồ công việc'!V326)</f>
        <v/>
      </c>
      <c r="Q310" s="389" t="str">
        <f>IF('Bản đồ công việc'!X326="","",'Bản đồ công việc'!AC326)</f>
        <v/>
      </c>
      <c r="R310" s="389" t="str">
        <f>IF('Bản đồ công việc'!X326="","",'Bản đồ công việc'!AD326)</f>
        <v/>
      </c>
      <c r="S310" s="389" t="str">
        <f>IF('Bản đồ công việc'!X326="","",'Bản đồ công việc'!Z326)</f>
        <v/>
      </c>
      <c r="T310" s="389" t="str">
        <f>IF('Bản đồ công việc'!X326="","",'Bản đồ công việc'!AA326)</f>
        <v/>
      </c>
      <c r="U310" s="389" t="str">
        <f>IF('Bản đồ công việc'!X326="","",'Bản đồ công việc'!AE326)</f>
        <v/>
      </c>
      <c r="V310" s="389" t="str">
        <f>IF('Bản đồ công việc'!X326="","",'Bản đồ công việc'!AI326)</f>
        <v/>
      </c>
      <c r="W310" s="389">
        <f t="shared" si="2"/>
        <v>0</v>
      </c>
      <c r="X310" s="389" t="str">
        <f t="shared" si="3"/>
        <v/>
      </c>
      <c r="Y310" s="389" t="str">
        <f t="shared" ref="Y310:Z310" si="306">IFERROR(INDEX($O$8:$O$684,MATCH(X310,$N$8:$N$684,0)),"")</f>
        <v/>
      </c>
      <c r="Z310" s="389" t="str">
        <f t="shared" si="306"/>
        <v/>
      </c>
      <c r="AA310" s="389">
        <f t="shared" si="5"/>
        <v>0</v>
      </c>
    </row>
    <row r="311" ht="15.75" customHeight="1">
      <c r="M311" s="389" t="str">
        <f>IF('Bản đồ công việc'!X327="","",'Bản đồ công việc'!W327)</f>
        <v/>
      </c>
      <c r="N311" s="389" t="str">
        <f>IF('Bản đồ công việc'!X327="","",'Bản đồ công việc'!X327)</f>
        <v/>
      </c>
      <c r="O311" s="389" t="str">
        <f>IF('Bản đồ công việc'!X327="","",'Bản đồ công việc'!Y327)</f>
        <v/>
      </c>
      <c r="P311" s="389" t="str">
        <f>IF('Bản đồ công việc'!X327="","",'Bản đồ công việc'!V327)</f>
        <v/>
      </c>
      <c r="Q311" s="389" t="str">
        <f>IF('Bản đồ công việc'!X327="","",'Bản đồ công việc'!AC327)</f>
        <v/>
      </c>
      <c r="R311" s="389" t="str">
        <f>IF('Bản đồ công việc'!X327="","",'Bản đồ công việc'!AD327)</f>
        <v/>
      </c>
      <c r="S311" s="389" t="str">
        <f>IF('Bản đồ công việc'!X327="","",'Bản đồ công việc'!Z327)</f>
        <v/>
      </c>
      <c r="T311" s="389" t="str">
        <f>IF('Bản đồ công việc'!X327="","",'Bản đồ công việc'!AA327)</f>
        <v/>
      </c>
      <c r="U311" s="389" t="str">
        <f>IF('Bản đồ công việc'!X327="","",'Bản đồ công việc'!AE327)</f>
        <v/>
      </c>
      <c r="V311" s="389" t="str">
        <f>IF('Bản đồ công việc'!X327="","",'Bản đồ công việc'!AI327)</f>
        <v/>
      </c>
      <c r="W311" s="389">
        <f t="shared" si="2"/>
        <v>0</v>
      </c>
      <c r="X311" s="389" t="str">
        <f t="shared" si="3"/>
        <v/>
      </c>
      <c r="Y311" s="389" t="str">
        <f t="shared" ref="Y311:Z311" si="307">IFERROR(INDEX($O$8:$O$684,MATCH(X311,$N$8:$N$684,0)),"")</f>
        <v/>
      </c>
      <c r="Z311" s="389" t="str">
        <f t="shared" si="307"/>
        <v/>
      </c>
      <c r="AA311" s="389">
        <f t="shared" si="5"/>
        <v>0</v>
      </c>
    </row>
    <row r="312" ht="15.75" customHeight="1">
      <c r="M312" s="389" t="str">
        <f>IF('Bản đồ công việc'!X328="","",'Bản đồ công việc'!W328)</f>
        <v/>
      </c>
      <c r="N312" s="389" t="str">
        <f>IF('Bản đồ công việc'!X328="","",'Bản đồ công việc'!X328)</f>
        <v/>
      </c>
      <c r="O312" s="389" t="str">
        <f>IF('Bản đồ công việc'!X328="","",'Bản đồ công việc'!Y328)</f>
        <v/>
      </c>
      <c r="P312" s="389" t="str">
        <f>IF('Bản đồ công việc'!X328="","",'Bản đồ công việc'!V328)</f>
        <v/>
      </c>
      <c r="Q312" s="389" t="str">
        <f>IF('Bản đồ công việc'!X328="","",'Bản đồ công việc'!AC328)</f>
        <v/>
      </c>
      <c r="R312" s="389" t="str">
        <f>IF('Bản đồ công việc'!X328="","",'Bản đồ công việc'!AD328)</f>
        <v/>
      </c>
      <c r="S312" s="389" t="str">
        <f>IF('Bản đồ công việc'!X328="","",'Bản đồ công việc'!Z328)</f>
        <v/>
      </c>
      <c r="T312" s="389" t="str">
        <f>IF('Bản đồ công việc'!X328="","",'Bản đồ công việc'!AA328)</f>
        <v/>
      </c>
      <c r="U312" s="389" t="str">
        <f>IF('Bản đồ công việc'!X328="","",'Bản đồ công việc'!AE328)</f>
        <v/>
      </c>
      <c r="V312" s="389" t="str">
        <f>IF('Bản đồ công việc'!X328="","",'Bản đồ công việc'!AI328)</f>
        <v/>
      </c>
      <c r="W312" s="389">
        <f t="shared" si="2"/>
        <v>0</v>
      </c>
      <c r="X312" s="389" t="str">
        <f t="shared" si="3"/>
        <v/>
      </c>
      <c r="Y312" s="389" t="str">
        <f t="shared" ref="Y312:Z312" si="308">IFERROR(INDEX($O$8:$O$684,MATCH(X312,$N$8:$N$684,0)),"")</f>
        <v/>
      </c>
      <c r="Z312" s="389" t="str">
        <f t="shared" si="308"/>
        <v/>
      </c>
      <c r="AA312" s="389">
        <f t="shared" si="5"/>
        <v>0</v>
      </c>
    </row>
    <row r="313" ht="15.75" customHeight="1">
      <c r="M313" s="389" t="str">
        <f>IF('Bản đồ công việc'!X329="","",'Bản đồ công việc'!W329)</f>
        <v/>
      </c>
      <c r="N313" s="389" t="str">
        <f>IF('Bản đồ công việc'!X329="","",'Bản đồ công việc'!X329)</f>
        <v/>
      </c>
      <c r="O313" s="389" t="str">
        <f>IF('Bản đồ công việc'!X329="","",'Bản đồ công việc'!Y329)</f>
        <v/>
      </c>
      <c r="P313" s="389" t="str">
        <f>IF('Bản đồ công việc'!X329="","",'Bản đồ công việc'!V329)</f>
        <v/>
      </c>
      <c r="Q313" s="389" t="str">
        <f>IF('Bản đồ công việc'!X329="","",'Bản đồ công việc'!AC329)</f>
        <v/>
      </c>
      <c r="R313" s="389" t="str">
        <f>IF('Bản đồ công việc'!X329="","",'Bản đồ công việc'!AD329)</f>
        <v/>
      </c>
      <c r="S313" s="389" t="str">
        <f>IF('Bản đồ công việc'!X329="","",'Bản đồ công việc'!Z329)</f>
        <v/>
      </c>
      <c r="T313" s="389" t="str">
        <f>IF('Bản đồ công việc'!X329="","",'Bản đồ công việc'!AA329)</f>
        <v/>
      </c>
      <c r="U313" s="389" t="str">
        <f>IF('Bản đồ công việc'!X329="","",'Bản đồ công việc'!AE329)</f>
        <v/>
      </c>
      <c r="V313" s="389" t="str">
        <f>IF('Bản đồ công việc'!X329="","",'Bản đồ công việc'!AI329)</f>
        <v/>
      </c>
      <c r="W313" s="389">
        <f t="shared" si="2"/>
        <v>0</v>
      </c>
      <c r="X313" s="389" t="str">
        <f t="shared" si="3"/>
        <v/>
      </c>
      <c r="Y313" s="389" t="str">
        <f t="shared" ref="Y313:Z313" si="309">IFERROR(INDEX($O$8:$O$684,MATCH(X313,$N$8:$N$684,0)),"")</f>
        <v/>
      </c>
      <c r="Z313" s="389" t="str">
        <f t="shared" si="309"/>
        <v/>
      </c>
      <c r="AA313" s="389">
        <f t="shared" si="5"/>
        <v>0</v>
      </c>
    </row>
    <row r="314" ht="15.75" customHeight="1">
      <c r="M314" s="389" t="str">
        <f>IF('Bản đồ công việc'!X330="","",'Bản đồ công việc'!W330)</f>
        <v/>
      </c>
      <c r="N314" s="389" t="str">
        <f>IF('Bản đồ công việc'!X330="","",'Bản đồ công việc'!X330)</f>
        <v/>
      </c>
      <c r="O314" s="389" t="str">
        <f>IF('Bản đồ công việc'!X330="","",'Bản đồ công việc'!Y330)</f>
        <v/>
      </c>
      <c r="P314" s="389" t="str">
        <f>IF('Bản đồ công việc'!X330="","",'Bản đồ công việc'!V330)</f>
        <v/>
      </c>
      <c r="Q314" s="389" t="str">
        <f>IF('Bản đồ công việc'!X330="","",'Bản đồ công việc'!AC330)</f>
        <v/>
      </c>
      <c r="R314" s="389" t="str">
        <f>IF('Bản đồ công việc'!X330="","",'Bản đồ công việc'!AD330)</f>
        <v/>
      </c>
      <c r="S314" s="389" t="str">
        <f>IF('Bản đồ công việc'!X330="","",'Bản đồ công việc'!Z330)</f>
        <v/>
      </c>
      <c r="T314" s="389" t="str">
        <f>IF('Bản đồ công việc'!X330="","",'Bản đồ công việc'!AA330)</f>
        <v/>
      </c>
      <c r="U314" s="389" t="str">
        <f>IF('Bản đồ công việc'!X330="","",'Bản đồ công việc'!AE330)</f>
        <v/>
      </c>
      <c r="V314" s="389" t="str">
        <f>IF('Bản đồ công việc'!X330="","",'Bản đồ công việc'!AI330)</f>
        <v/>
      </c>
      <c r="W314" s="389">
        <f t="shared" si="2"/>
        <v>0</v>
      </c>
      <c r="X314" s="389" t="str">
        <f t="shared" si="3"/>
        <v/>
      </c>
      <c r="Y314" s="389" t="str">
        <f t="shared" ref="Y314:Z314" si="310">IFERROR(INDEX($O$8:$O$684,MATCH(X314,$N$8:$N$684,0)),"")</f>
        <v/>
      </c>
      <c r="Z314" s="389" t="str">
        <f t="shared" si="310"/>
        <v/>
      </c>
      <c r="AA314" s="389">
        <f t="shared" si="5"/>
        <v>0</v>
      </c>
    </row>
    <row r="315" ht="15.75" customHeight="1">
      <c r="M315" s="389" t="str">
        <f>IF('Bản đồ công việc'!X331="","",'Bản đồ công việc'!W331)</f>
        <v/>
      </c>
      <c r="N315" s="389" t="str">
        <f>IF('Bản đồ công việc'!X331="","",'Bản đồ công việc'!X331)</f>
        <v/>
      </c>
      <c r="O315" s="389" t="str">
        <f>IF('Bản đồ công việc'!X331="","",'Bản đồ công việc'!Y331)</f>
        <v/>
      </c>
      <c r="P315" s="389" t="str">
        <f>IF('Bản đồ công việc'!X331="","",'Bản đồ công việc'!V331)</f>
        <v/>
      </c>
      <c r="Q315" s="389" t="str">
        <f>IF('Bản đồ công việc'!X331="","",'Bản đồ công việc'!AC331)</f>
        <v/>
      </c>
      <c r="R315" s="389" t="str">
        <f>IF('Bản đồ công việc'!X331="","",'Bản đồ công việc'!AD331)</f>
        <v/>
      </c>
      <c r="S315" s="389" t="str">
        <f>IF('Bản đồ công việc'!X331="","",'Bản đồ công việc'!Z331)</f>
        <v/>
      </c>
      <c r="T315" s="389" t="str">
        <f>IF('Bản đồ công việc'!X331="","",'Bản đồ công việc'!AA331)</f>
        <v/>
      </c>
      <c r="U315" s="389" t="str">
        <f>IF('Bản đồ công việc'!X331="","",'Bản đồ công việc'!AE331)</f>
        <v/>
      </c>
      <c r="V315" s="389" t="str">
        <f>IF('Bản đồ công việc'!X331="","",'Bản đồ công việc'!AI331)</f>
        <v/>
      </c>
      <c r="W315" s="389">
        <f t="shared" si="2"/>
        <v>0</v>
      </c>
      <c r="X315" s="389" t="str">
        <f t="shared" si="3"/>
        <v/>
      </c>
      <c r="Y315" s="389" t="str">
        <f t="shared" ref="Y315:Z315" si="311">IFERROR(INDEX($O$8:$O$684,MATCH(X315,$N$8:$N$684,0)),"")</f>
        <v/>
      </c>
      <c r="Z315" s="389" t="str">
        <f t="shared" si="311"/>
        <v/>
      </c>
      <c r="AA315" s="389">
        <f t="shared" si="5"/>
        <v>0</v>
      </c>
    </row>
    <row r="316" ht="15.75" customHeight="1">
      <c r="M316" s="389" t="str">
        <f>IF('Bản đồ công việc'!X332="","",'Bản đồ công việc'!W332)</f>
        <v/>
      </c>
      <c r="N316" s="389" t="str">
        <f>IF('Bản đồ công việc'!X332="","",'Bản đồ công việc'!X332)</f>
        <v/>
      </c>
      <c r="O316" s="389" t="str">
        <f>IF('Bản đồ công việc'!X332="","",'Bản đồ công việc'!Y332)</f>
        <v/>
      </c>
      <c r="P316" s="389" t="str">
        <f>IF('Bản đồ công việc'!X332="","",'Bản đồ công việc'!V332)</f>
        <v/>
      </c>
      <c r="Q316" s="389" t="str">
        <f>IF('Bản đồ công việc'!X332="","",'Bản đồ công việc'!AC332)</f>
        <v/>
      </c>
      <c r="R316" s="389" t="str">
        <f>IF('Bản đồ công việc'!X332="","",'Bản đồ công việc'!AD332)</f>
        <v/>
      </c>
      <c r="S316" s="389" t="str">
        <f>IF('Bản đồ công việc'!X332="","",'Bản đồ công việc'!Z332)</f>
        <v/>
      </c>
      <c r="T316" s="389" t="str">
        <f>IF('Bản đồ công việc'!X332="","",'Bản đồ công việc'!AA332)</f>
        <v/>
      </c>
      <c r="U316" s="389" t="str">
        <f>IF('Bản đồ công việc'!X332="","",'Bản đồ công việc'!AE332)</f>
        <v/>
      </c>
      <c r="V316" s="389" t="str">
        <f>IF('Bản đồ công việc'!X332="","",'Bản đồ công việc'!AI332)</f>
        <v/>
      </c>
      <c r="W316" s="389">
        <f t="shared" si="2"/>
        <v>0</v>
      </c>
      <c r="X316" s="389" t="str">
        <f t="shared" si="3"/>
        <v/>
      </c>
      <c r="Y316" s="389" t="str">
        <f t="shared" ref="Y316:Z316" si="312">IFERROR(INDEX($O$8:$O$684,MATCH(X316,$N$8:$N$684,0)),"")</f>
        <v/>
      </c>
      <c r="Z316" s="389" t="str">
        <f t="shared" si="312"/>
        <v/>
      </c>
      <c r="AA316" s="389">
        <f t="shared" si="5"/>
        <v>0</v>
      </c>
    </row>
    <row r="317" ht="15.75" customHeight="1">
      <c r="M317" s="389" t="str">
        <f>IF('Bản đồ công việc'!X333="","",'Bản đồ công việc'!W333)</f>
        <v/>
      </c>
      <c r="N317" s="389" t="str">
        <f>IF('Bản đồ công việc'!X333="","",'Bản đồ công việc'!X333)</f>
        <v/>
      </c>
      <c r="O317" s="389" t="str">
        <f>IF('Bản đồ công việc'!X333="","",'Bản đồ công việc'!Y333)</f>
        <v/>
      </c>
      <c r="P317" s="389" t="str">
        <f>IF('Bản đồ công việc'!X333="","",'Bản đồ công việc'!V333)</f>
        <v/>
      </c>
      <c r="Q317" s="389" t="str">
        <f>IF('Bản đồ công việc'!X333="","",'Bản đồ công việc'!AC333)</f>
        <v/>
      </c>
      <c r="R317" s="389" t="str">
        <f>IF('Bản đồ công việc'!X333="","",'Bản đồ công việc'!AD333)</f>
        <v/>
      </c>
      <c r="S317" s="389" t="str">
        <f>IF('Bản đồ công việc'!X333="","",'Bản đồ công việc'!Z333)</f>
        <v/>
      </c>
      <c r="T317" s="389" t="str">
        <f>IF('Bản đồ công việc'!X333="","",'Bản đồ công việc'!AA333)</f>
        <v/>
      </c>
      <c r="U317" s="389" t="str">
        <f>IF('Bản đồ công việc'!X333="","",'Bản đồ công việc'!AE333)</f>
        <v/>
      </c>
      <c r="V317" s="389" t="str">
        <f>IF('Bản đồ công việc'!X333="","",'Bản đồ công việc'!AI333)</f>
        <v/>
      </c>
      <c r="W317" s="389">
        <f t="shared" si="2"/>
        <v>0</v>
      </c>
      <c r="X317" s="389" t="str">
        <f t="shared" si="3"/>
        <v/>
      </c>
      <c r="Y317" s="389" t="str">
        <f t="shared" ref="Y317:Z317" si="313">IFERROR(INDEX($O$8:$O$684,MATCH(X317,$N$8:$N$684,0)),"")</f>
        <v/>
      </c>
      <c r="Z317" s="389" t="str">
        <f t="shared" si="313"/>
        <v/>
      </c>
      <c r="AA317" s="389">
        <f t="shared" si="5"/>
        <v>0</v>
      </c>
    </row>
    <row r="318" ht="15.75" customHeight="1">
      <c r="M318" s="389" t="str">
        <f>IF('Bản đồ công việc'!X334="","",'Bản đồ công việc'!W334)</f>
        <v/>
      </c>
      <c r="N318" s="389" t="str">
        <f>IF('Bản đồ công việc'!X334="","",'Bản đồ công việc'!X334)</f>
        <v/>
      </c>
      <c r="O318" s="389" t="str">
        <f>IF('Bản đồ công việc'!X334="","",'Bản đồ công việc'!Y334)</f>
        <v/>
      </c>
      <c r="P318" s="389" t="str">
        <f>IF('Bản đồ công việc'!X334="","",'Bản đồ công việc'!V334)</f>
        <v/>
      </c>
      <c r="Q318" s="389" t="str">
        <f>IF('Bản đồ công việc'!X334="","",'Bản đồ công việc'!AC334)</f>
        <v/>
      </c>
      <c r="R318" s="389" t="str">
        <f>IF('Bản đồ công việc'!X334="","",'Bản đồ công việc'!AD334)</f>
        <v/>
      </c>
      <c r="S318" s="389" t="str">
        <f>IF('Bản đồ công việc'!X334="","",'Bản đồ công việc'!Z334)</f>
        <v/>
      </c>
      <c r="T318" s="389" t="str">
        <f>IF('Bản đồ công việc'!X334="","",'Bản đồ công việc'!AA334)</f>
        <v/>
      </c>
      <c r="U318" s="389" t="str">
        <f>IF('Bản đồ công việc'!X334="","",'Bản đồ công việc'!AE334)</f>
        <v/>
      </c>
      <c r="V318" s="389" t="str">
        <f>IF('Bản đồ công việc'!X334="","",'Bản đồ công việc'!AI334)</f>
        <v/>
      </c>
      <c r="W318" s="389">
        <f t="shared" si="2"/>
        <v>0</v>
      </c>
      <c r="X318" s="389" t="str">
        <f t="shared" si="3"/>
        <v/>
      </c>
      <c r="Y318" s="389" t="str">
        <f t="shared" ref="Y318:Z318" si="314">IFERROR(INDEX($O$8:$O$684,MATCH(X318,$N$8:$N$684,0)),"")</f>
        <v/>
      </c>
      <c r="Z318" s="389" t="str">
        <f t="shared" si="314"/>
        <v/>
      </c>
      <c r="AA318" s="389">
        <f t="shared" si="5"/>
        <v>0</v>
      </c>
    </row>
    <row r="319" ht="15.75" customHeight="1">
      <c r="M319" s="389" t="str">
        <f>IF('Bản đồ công việc'!X335="","",'Bản đồ công việc'!W335)</f>
        <v/>
      </c>
      <c r="N319" s="389" t="str">
        <f>IF('Bản đồ công việc'!X335="","",'Bản đồ công việc'!X335)</f>
        <v/>
      </c>
      <c r="O319" s="389" t="str">
        <f>IF('Bản đồ công việc'!X335="","",'Bản đồ công việc'!Y335)</f>
        <v/>
      </c>
      <c r="P319" s="389" t="str">
        <f>IF('Bản đồ công việc'!X335="","",'Bản đồ công việc'!V335)</f>
        <v/>
      </c>
      <c r="Q319" s="389" t="str">
        <f>IF('Bản đồ công việc'!X335="","",'Bản đồ công việc'!AC335)</f>
        <v/>
      </c>
      <c r="R319" s="389" t="str">
        <f>IF('Bản đồ công việc'!X335="","",'Bản đồ công việc'!AD335)</f>
        <v/>
      </c>
      <c r="S319" s="389" t="str">
        <f>IF('Bản đồ công việc'!X335="","",'Bản đồ công việc'!Z335)</f>
        <v/>
      </c>
      <c r="T319" s="389" t="str">
        <f>IF('Bản đồ công việc'!X335="","",'Bản đồ công việc'!AA335)</f>
        <v/>
      </c>
      <c r="U319" s="389" t="str">
        <f>IF('Bản đồ công việc'!X335="","",'Bản đồ công việc'!AE335)</f>
        <v/>
      </c>
      <c r="V319" s="389" t="str">
        <f>IF('Bản đồ công việc'!X335="","",'Bản đồ công việc'!AI335)</f>
        <v/>
      </c>
      <c r="W319" s="389">
        <f t="shared" si="2"/>
        <v>0</v>
      </c>
      <c r="X319" s="389" t="str">
        <f t="shared" si="3"/>
        <v/>
      </c>
      <c r="Y319" s="389" t="str">
        <f t="shared" ref="Y319:Z319" si="315">IFERROR(INDEX($O$8:$O$684,MATCH(X319,$N$8:$N$684,0)),"")</f>
        <v/>
      </c>
      <c r="Z319" s="389" t="str">
        <f t="shared" si="315"/>
        <v/>
      </c>
      <c r="AA319" s="389">
        <f t="shared" si="5"/>
        <v>0</v>
      </c>
    </row>
    <row r="320" ht="15.75" customHeight="1">
      <c r="M320" s="389" t="str">
        <f>IF('Bản đồ công việc'!X336="","",'Bản đồ công việc'!W336)</f>
        <v/>
      </c>
      <c r="N320" s="389" t="str">
        <f>IF('Bản đồ công việc'!X336="","",'Bản đồ công việc'!X336)</f>
        <v/>
      </c>
      <c r="O320" s="389" t="str">
        <f>IF('Bản đồ công việc'!X336="","",'Bản đồ công việc'!Y336)</f>
        <v/>
      </c>
      <c r="P320" s="389" t="str">
        <f>IF('Bản đồ công việc'!X336="","",'Bản đồ công việc'!V336)</f>
        <v/>
      </c>
      <c r="Q320" s="389" t="str">
        <f>IF('Bản đồ công việc'!X336="","",'Bản đồ công việc'!AC336)</f>
        <v/>
      </c>
      <c r="R320" s="389" t="str">
        <f>IF('Bản đồ công việc'!X336="","",'Bản đồ công việc'!AD336)</f>
        <v/>
      </c>
      <c r="S320" s="389" t="str">
        <f>IF('Bản đồ công việc'!X336="","",'Bản đồ công việc'!Z336)</f>
        <v/>
      </c>
      <c r="T320" s="389" t="str">
        <f>IF('Bản đồ công việc'!X336="","",'Bản đồ công việc'!AA336)</f>
        <v/>
      </c>
      <c r="U320" s="389" t="str">
        <f>IF('Bản đồ công việc'!X336="","",'Bản đồ công việc'!AE336)</f>
        <v/>
      </c>
      <c r="V320" s="389" t="str">
        <f>IF('Bản đồ công việc'!X336="","",'Bản đồ công việc'!AI336)</f>
        <v/>
      </c>
      <c r="W320" s="389">
        <f t="shared" si="2"/>
        <v>0</v>
      </c>
      <c r="X320" s="389" t="str">
        <f t="shared" si="3"/>
        <v/>
      </c>
      <c r="Y320" s="389" t="str">
        <f t="shared" ref="Y320:Z320" si="316">IFERROR(INDEX($O$8:$O$684,MATCH(X320,$N$8:$N$684,0)),"")</f>
        <v/>
      </c>
      <c r="Z320" s="389" t="str">
        <f t="shared" si="316"/>
        <v/>
      </c>
      <c r="AA320" s="389">
        <f t="shared" si="5"/>
        <v>0</v>
      </c>
    </row>
    <row r="321" ht="15.75" customHeight="1">
      <c r="M321" s="389" t="str">
        <f>IF('Bản đồ công việc'!X337="","",'Bản đồ công việc'!W337)</f>
        <v/>
      </c>
      <c r="N321" s="389" t="str">
        <f>IF('Bản đồ công việc'!X337="","",'Bản đồ công việc'!X337)</f>
        <v/>
      </c>
      <c r="O321" s="389" t="str">
        <f>IF('Bản đồ công việc'!X337="","",'Bản đồ công việc'!Y337)</f>
        <v/>
      </c>
      <c r="P321" s="389" t="str">
        <f>IF('Bản đồ công việc'!X337="","",'Bản đồ công việc'!V337)</f>
        <v/>
      </c>
      <c r="Q321" s="389" t="str">
        <f>IF('Bản đồ công việc'!X337="","",'Bản đồ công việc'!AC337)</f>
        <v/>
      </c>
      <c r="R321" s="389" t="str">
        <f>IF('Bản đồ công việc'!X337="","",'Bản đồ công việc'!AD337)</f>
        <v/>
      </c>
      <c r="S321" s="389" t="str">
        <f>IF('Bản đồ công việc'!X337="","",'Bản đồ công việc'!Z337)</f>
        <v/>
      </c>
      <c r="T321" s="389" t="str">
        <f>IF('Bản đồ công việc'!X337="","",'Bản đồ công việc'!AA337)</f>
        <v/>
      </c>
      <c r="U321" s="389" t="str">
        <f>IF('Bản đồ công việc'!X337="","",'Bản đồ công việc'!AE337)</f>
        <v/>
      </c>
      <c r="V321" s="389" t="str">
        <f>IF('Bản đồ công việc'!X337="","",'Bản đồ công việc'!AI337)</f>
        <v/>
      </c>
      <c r="W321" s="389">
        <f t="shared" si="2"/>
        <v>0</v>
      </c>
      <c r="X321" s="389" t="str">
        <f t="shared" si="3"/>
        <v/>
      </c>
      <c r="Y321" s="389" t="str">
        <f t="shared" ref="Y321:Z321" si="317">IFERROR(INDEX($O$8:$O$684,MATCH(X321,$N$8:$N$684,0)),"")</f>
        <v/>
      </c>
      <c r="Z321" s="389" t="str">
        <f t="shared" si="317"/>
        <v/>
      </c>
      <c r="AA321" s="389">
        <f t="shared" si="5"/>
        <v>0</v>
      </c>
    </row>
    <row r="322" ht="15.75" customHeight="1">
      <c r="M322" s="389" t="str">
        <f>IF('Bản đồ công việc'!X338="","",'Bản đồ công việc'!W338)</f>
        <v/>
      </c>
      <c r="N322" s="389" t="str">
        <f>IF('Bản đồ công việc'!X338="","",'Bản đồ công việc'!X338)</f>
        <v/>
      </c>
      <c r="O322" s="389" t="str">
        <f>IF('Bản đồ công việc'!X338="","",'Bản đồ công việc'!Y338)</f>
        <v/>
      </c>
      <c r="P322" s="389" t="str">
        <f>IF('Bản đồ công việc'!X338="","",'Bản đồ công việc'!V338)</f>
        <v/>
      </c>
      <c r="Q322" s="389" t="str">
        <f>IF('Bản đồ công việc'!X338="","",'Bản đồ công việc'!AC338)</f>
        <v/>
      </c>
      <c r="R322" s="389" t="str">
        <f>IF('Bản đồ công việc'!X338="","",'Bản đồ công việc'!AD338)</f>
        <v/>
      </c>
      <c r="S322" s="389" t="str">
        <f>IF('Bản đồ công việc'!X338="","",'Bản đồ công việc'!Z338)</f>
        <v/>
      </c>
      <c r="T322" s="389" t="str">
        <f>IF('Bản đồ công việc'!X338="","",'Bản đồ công việc'!AA338)</f>
        <v/>
      </c>
      <c r="U322" s="389" t="str">
        <f>IF('Bản đồ công việc'!X338="","",'Bản đồ công việc'!AE338)</f>
        <v/>
      </c>
      <c r="V322" s="389" t="str">
        <f>IF('Bản đồ công việc'!X338="","",'Bản đồ công việc'!AI338)</f>
        <v/>
      </c>
      <c r="W322" s="389">
        <f t="shared" si="2"/>
        <v>0</v>
      </c>
      <c r="X322" s="389" t="str">
        <f t="shared" si="3"/>
        <v/>
      </c>
      <c r="Y322" s="389" t="str">
        <f t="shared" ref="Y322:Z322" si="318">IFERROR(INDEX($O$8:$O$684,MATCH(X322,$N$8:$N$684,0)),"")</f>
        <v/>
      </c>
      <c r="Z322" s="389" t="str">
        <f t="shared" si="318"/>
        <v/>
      </c>
      <c r="AA322" s="389">
        <f t="shared" si="5"/>
        <v>0</v>
      </c>
    </row>
    <row r="323" ht="15.75" customHeight="1">
      <c r="M323" s="389" t="str">
        <f>IF('Bản đồ công việc'!X339="","",'Bản đồ công việc'!W339)</f>
        <v/>
      </c>
      <c r="N323" s="389" t="str">
        <f>IF('Bản đồ công việc'!X339="","",'Bản đồ công việc'!X339)</f>
        <v/>
      </c>
      <c r="O323" s="389" t="str">
        <f>IF('Bản đồ công việc'!X339="","",'Bản đồ công việc'!Y339)</f>
        <v/>
      </c>
      <c r="P323" s="389" t="str">
        <f>IF('Bản đồ công việc'!X339="","",'Bản đồ công việc'!V339)</f>
        <v/>
      </c>
      <c r="Q323" s="389" t="str">
        <f>IF('Bản đồ công việc'!X339="","",'Bản đồ công việc'!AC339)</f>
        <v/>
      </c>
      <c r="R323" s="389" t="str">
        <f>IF('Bản đồ công việc'!X339="","",'Bản đồ công việc'!AD339)</f>
        <v/>
      </c>
      <c r="S323" s="389" t="str">
        <f>IF('Bản đồ công việc'!X339="","",'Bản đồ công việc'!Z339)</f>
        <v/>
      </c>
      <c r="T323" s="389" t="str">
        <f>IF('Bản đồ công việc'!X339="","",'Bản đồ công việc'!AA339)</f>
        <v/>
      </c>
      <c r="U323" s="389" t="str">
        <f>IF('Bản đồ công việc'!X339="","",'Bản đồ công việc'!AE339)</f>
        <v/>
      </c>
      <c r="V323" s="389" t="str">
        <f>IF('Bản đồ công việc'!X339="","",'Bản đồ công việc'!AI339)</f>
        <v/>
      </c>
      <c r="W323" s="389">
        <f t="shared" si="2"/>
        <v>0</v>
      </c>
      <c r="X323" s="389" t="str">
        <f t="shared" si="3"/>
        <v/>
      </c>
      <c r="Y323" s="389" t="str">
        <f t="shared" ref="Y323:Z323" si="319">IFERROR(INDEX($O$8:$O$684,MATCH(X323,$N$8:$N$684,0)),"")</f>
        <v/>
      </c>
      <c r="Z323" s="389" t="str">
        <f t="shared" si="319"/>
        <v/>
      </c>
      <c r="AA323" s="389">
        <f t="shared" si="5"/>
        <v>0</v>
      </c>
    </row>
    <row r="324" ht="15.75" customHeight="1">
      <c r="M324" s="389" t="str">
        <f>IF('Bản đồ công việc'!X340="","",'Bản đồ công việc'!W340)</f>
        <v/>
      </c>
      <c r="N324" s="389" t="str">
        <f>IF('Bản đồ công việc'!X340="","",'Bản đồ công việc'!X340)</f>
        <v/>
      </c>
      <c r="O324" s="389" t="str">
        <f>IF('Bản đồ công việc'!X340="","",'Bản đồ công việc'!Y340)</f>
        <v/>
      </c>
      <c r="P324" s="389" t="str">
        <f>IF('Bản đồ công việc'!X340="","",'Bản đồ công việc'!V340)</f>
        <v/>
      </c>
      <c r="Q324" s="389" t="str">
        <f>IF('Bản đồ công việc'!X340="","",'Bản đồ công việc'!AC340)</f>
        <v/>
      </c>
      <c r="R324" s="389" t="str">
        <f>IF('Bản đồ công việc'!X340="","",'Bản đồ công việc'!AD340)</f>
        <v/>
      </c>
      <c r="S324" s="389" t="str">
        <f>IF('Bản đồ công việc'!X340="","",'Bản đồ công việc'!Z340)</f>
        <v/>
      </c>
      <c r="T324" s="389" t="str">
        <f>IF('Bản đồ công việc'!X340="","",'Bản đồ công việc'!AA340)</f>
        <v/>
      </c>
      <c r="U324" s="389" t="str">
        <f>IF('Bản đồ công việc'!X340="","",'Bản đồ công việc'!AE340)</f>
        <v/>
      </c>
      <c r="V324" s="389" t="str">
        <f>IF('Bản đồ công việc'!X340="","",'Bản đồ công việc'!AI340)</f>
        <v/>
      </c>
      <c r="W324" s="389">
        <f t="shared" si="2"/>
        <v>0</v>
      </c>
      <c r="X324" s="389" t="str">
        <f t="shared" si="3"/>
        <v/>
      </c>
      <c r="Y324" s="389" t="str">
        <f t="shared" ref="Y324:Z324" si="320">IFERROR(INDEX($O$8:$O$684,MATCH(X324,$N$8:$N$684,0)),"")</f>
        <v/>
      </c>
      <c r="Z324" s="389" t="str">
        <f t="shared" si="320"/>
        <v/>
      </c>
      <c r="AA324" s="389">
        <f t="shared" si="5"/>
        <v>0</v>
      </c>
    </row>
    <row r="325" ht="15.75" customHeight="1">
      <c r="M325" s="389" t="str">
        <f>IF('Bản đồ công việc'!X341="","",'Bản đồ công việc'!W341)</f>
        <v/>
      </c>
      <c r="N325" s="389" t="str">
        <f>IF('Bản đồ công việc'!X341="","",'Bản đồ công việc'!X341)</f>
        <v/>
      </c>
      <c r="O325" s="389" t="str">
        <f>IF('Bản đồ công việc'!X341="","",'Bản đồ công việc'!Y341)</f>
        <v/>
      </c>
      <c r="P325" s="389" t="str">
        <f>IF('Bản đồ công việc'!X341="","",'Bản đồ công việc'!V341)</f>
        <v/>
      </c>
      <c r="Q325" s="389" t="str">
        <f>IF('Bản đồ công việc'!X341="","",'Bản đồ công việc'!AC341)</f>
        <v/>
      </c>
      <c r="R325" s="389" t="str">
        <f>IF('Bản đồ công việc'!X341="","",'Bản đồ công việc'!AD341)</f>
        <v/>
      </c>
      <c r="S325" s="389" t="str">
        <f>IF('Bản đồ công việc'!X341="","",'Bản đồ công việc'!Z341)</f>
        <v/>
      </c>
      <c r="T325" s="389" t="str">
        <f>IF('Bản đồ công việc'!X341="","",'Bản đồ công việc'!AA341)</f>
        <v/>
      </c>
      <c r="U325" s="389" t="str">
        <f>IF('Bản đồ công việc'!X341="","",'Bản đồ công việc'!AE341)</f>
        <v/>
      </c>
      <c r="V325" s="389" t="str">
        <f>IF('Bản đồ công việc'!X341="","",'Bản đồ công việc'!AI341)</f>
        <v/>
      </c>
      <c r="W325" s="389">
        <f t="shared" si="2"/>
        <v>0</v>
      </c>
      <c r="X325" s="389" t="str">
        <f t="shared" si="3"/>
        <v/>
      </c>
      <c r="Y325" s="389" t="str">
        <f t="shared" ref="Y325:Z325" si="321">IFERROR(INDEX($O$8:$O$684,MATCH(X325,$N$8:$N$684,0)),"")</f>
        <v/>
      </c>
      <c r="Z325" s="389" t="str">
        <f t="shared" si="321"/>
        <v/>
      </c>
      <c r="AA325" s="389">
        <f t="shared" si="5"/>
        <v>0</v>
      </c>
    </row>
    <row r="326" ht="15.75" customHeight="1">
      <c r="M326" s="389" t="str">
        <f>IF('Bản đồ công việc'!X342="","",'Bản đồ công việc'!W342)</f>
        <v/>
      </c>
      <c r="N326" s="389" t="str">
        <f>IF('Bản đồ công việc'!X342="","",'Bản đồ công việc'!X342)</f>
        <v/>
      </c>
      <c r="O326" s="389" t="str">
        <f>IF('Bản đồ công việc'!X342="","",'Bản đồ công việc'!Y342)</f>
        <v/>
      </c>
      <c r="P326" s="389" t="str">
        <f>IF('Bản đồ công việc'!X342="","",'Bản đồ công việc'!V342)</f>
        <v/>
      </c>
      <c r="Q326" s="389" t="str">
        <f>IF('Bản đồ công việc'!X342="","",'Bản đồ công việc'!AC342)</f>
        <v/>
      </c>
      <c r="R326" s="389" t="str">
        <f>IF('Bản đồ công việc'!X342="","",'Bản đồ công việc'!AD342)</f>
        <v/>
      </c>
      <c r="S326" s="389" t="str">
        <f>IF('Bản đồ công việc'!X342="","",'Bản đồ công việc'!Z342)</f>
        <v/>
      </c>
      <c r="T326" s="389" t="str">
        <f>IF('Bản đồ công việc'!X342="","",'Bản đồ công việc'!AA342)</f>
        <v/>
      </c>
      <c r="U326" s="389" t="str">
        <f>IF('Bản đồ công việc'!X342="","",'Bản đồ công việc'!AE342)</f>
        <v/>
      </c>
      <c r="V326" s="389" t="str">
        <f>IF('Bản đồ công việc'!X342="","",'Bản đồ công việc'!AI342)</f>
        <v/>
      </c>
      <c r="W326" s="389">
        <f t="shared" si="2"/>
        <v>0</v>
      </c>
      <c r="X326" s="389" t="str">
        <f t="shared" si="3"/>
        <v/>
      </c>
      <c r="Y326" s="389" t="str">
        <f t="shared" ref="Y326:Z326" si="322">IFERROR(INDEX($O$8:$O$684,MATCH(X326,$N$8:$N$684,0)),"")</f>
        <v/>
      </c>
      <c r="Z326" s="389" t="str">
        <f t="shared" si="322"/>
        <v/>
      </c>
      <c r="AA326" s="389">
        <f t="shared" si="5"/>
        <v>0</v>
      </c>
    </row>
    <row r="327" ht="15.75" customHeight="1">
      <c r="M327" s="389" t="str">
        <f>IF('Bản đồ công việc'!X343="","",'Bản đồ công việc'!W343)</f>
        <v/>
      </c>
      <c r="N327" s="389" t="str">
        <f>IF('Bản đồ công việc'!X343="","",'Bản đồ công việc'!X343)</f>
        <v/>
      </c>
      <c r="O327" s="389" t="str">
        <f>IF('Bản đồ công việc'!X343="","",'Bản đồ công việc'!Y343)</f>
        <v/>
      </c>
      <c r="P327" s="389" t="str">
        <f>IF('Bản đồ công việc'!X343="","",'Bản đồ công việc'!V343)</f>
        <v/>
      </c>
      <c r="Q327" s="389" t="str">
        <f>IF('Bản đồ công việc'!X343="","",'Bản đồ công việc'!AC343)</f>
        <v/>
      </c>
      <c r="R327" s="389" t="str">
        <f>IF('Bản đồ công việc'!X343="","",'Bản đồ công việc'!AD343)</f>
        <v/>
      </c>
      <c r="S327" s="389" t="str">
        <f>IF('Bản đồ công việc'!X343="","",'Bản đồ công việc'!Z343)</f>
        <v/>
      </c>
      <c r="T327" s="389" t="str">
        <f>IF('Bản đồ công việc'!X343="","",'Bản đồ công việc'!AA343)</f>
        <v/>
      </c>
      <c r="U327" s="389" t="str">
        <f>IF('Bản đồ công việc'!X343="","",'Bản đồ công việc'!AE343)</f>
        <v/>
      </c>
      <c r="V327" s="389" t="str">
        <f>IF('Bản đồ công việc'!X343="","",'Bản đồ công việc'!AI343)</f>
        <v/>
      </c>
      <c r="W327" s="389">
        <f t="shared" si="2"/>
        <v>0</v>
      </c>
      <c r="X327" s="389" t="str">
        <f t="shared" si="3"/>
        <v/>
      </c>
      <c r="Y327" s="389" t="str">
        <f t="shared" ref="Y327:Z327" si="323">IFERROR(INDEX($O$8:$O$684,MATCH(X327,$N$8:$N$684,0)),"")</f>
        <v/>
      </c>
      <c r="Z327" s="389" t="str">
        <f t="shared" si="323"/>
        <v/>
      </c>
      <c r="AA327" s="389">
        <f t="shared" si="5"/>
        <v>0</v>
      </c>
    </row>
    <row r="328" ht="15.75" customHeight="1">
      <c r="M328" s="389" t="str">
        <f>IF('Bản đồ công việc'!X344="","",'Bản đồ công việc'!W344)</f>
        <v/>
      </c>
      <c r="N328" s="389" t="str">
        <f>IF('Bản đồ công việc'!X344="","",'Bản đồ công việc'!X344)</f>
        <v/>
      </c>
      <c r="O328" s="389" t="str">
        <f>IF('Bản đồ công việc'!X344="","",'Bản đồ công việc'!Y344)</f>
        <v/>
      </c>
      <c r="P328" s="389" t="str">
        <f>IF('Bản đồ công việc'!X344="","",'Bản đồ công việc'!V344)</f>
        <v/>
      </c>
      <c r="Q328" s="389" t="str">
        <f>IF('Bản đồ công việc'!X344="","",'Bản đồ công việc'!AC344)</f>
        <v/>
      </c>
      <c r="R328" s="389" t="str">
        <f>IF('Bản đồ công việc'!X344="","",'Bản đồ công việc'!AD344)</f>
        <v/>
      </c>
      <c r="S328" s="389" t="str">
        <f>IF('Bản đồ công việc'!X344="","",'Bản đồ công việc'!Z344)</f>
        <v/>
      </c>
      <c r="T328" s="389" t="str">
        <f>IF('Bản đồ công việc'!X344="","",'Bản đồ công việc'!AA344)</f>
        <v/>
      </c>
      <c r="U328" s="389" t="str">
        <f>IF('Bản đồ công việc'!X344="","",'Bản đồ công việc'!AE344)</f>
        <v/>
      </c>
      <c r="V328" s="389" t="str">
        <f>IF('Bản đồ công việc'!X344="","",'Bản đồ công việc'!AI344)</f>
        <v/>
      </c>
      <c r="W328" s="389">
        <f t="shared" si="2"/>
        <v>0</v>
      </c>
      <c r="X328" s="389" t="str">
        <f t="shared" si="3"/>
        <v/>
      </c>
      <c r="Y328" s="389" t="str">
        <f t="shared" ref="Y328:Z328" si="324">IFERROR(INDEX($O$8:$O$684,MATCH(X328,$N$8:$N$684,0)),"")</f>
        <v/>
      </c>
      <c r="Z328" s="389" t="str">
        <f t="shared" si="324"/>
        <v/>
      </c>
      <c r="AA328" s="389">
        <f t="shared" si="5"/>
        <v>0</v>
      </c>
    </row>
    <row r="329" ht="15.75" customHeight="1">
      <c r="M329" s="389" t="str">
        <f>IF('Bản đồ công việc'!X345="","",'Bản đồ công việc'!W345)</f>
        <v/>
      </c>
      <c r="N329" s="389" t="str">
        <f>IF('Bản đồ công việc'!X345="","",'Bản đồ công việc'!X345)</f>
        <v/>
      </c>
      <c r="O329" s="389" t="str">
        <f>IF('Bản đồ công việc'!X345="","",'Bản đồ công việc'!Y345)</f>
        <v/>
      </c>
      <c r="P329" s="389" t="str">
        <f>IF('Bản đồ công việc'!X345="","",'Bản đồ công việc'!V345)</f>
        <v/>
      </c>
      <c r="Q329" s="389" t="str">
        <f>IF('Bản đồ công việc'!X345="","",'Bản đồ công việc'!AC345)</f>
        <v/>
      </c>
      <c r="R329" s="389" t="str">
        <f>IF('Bản đồ công việc'!X345="","",'Bản đồ công việc'!AD345)</f>
        <v/>
      </c>
      <c r="S329" s="389" t="str">
        <f>IF('Bản đồ công việc'!X345="","",'Bản đồ công việc'!Z345)</f>
        <v/>
      </c>
      <c r="T329" s="389" t="str">
        <f>IF('Bản đồ công việc'!X345="","",'Bản đồ công việc'!AA345)</f>
        <v/>
      </c>
      <c r="U329" s="389" t="str">
        <f>IF('Bản đồ công việc'!X345="","",'Bản đồ công việc'!AE345)</f>
        <v/>
      </c>
      <c r="V329" s="389" t="str">
        <f>IF('Bản đồ công việc'!X345="","",'Bản đồ công việc'!AI345)</f>
        <v/>
      </c>
      <c r="W329" s="389">
        <f t="shared" si="2"/>
        <v>0</v>
      </c>
      <c r="X329" s="389" t="str">
        <f t="shared" si="3"/>
        <v/>
      </c>
      <c r="Y329" s="389" t="str">
        <f t="shared" ref="Y329:Z329" si="325">IFERROR(INDEX($O$8:$O$684,MATCH(X329,$N$8:$N$684,0)),"")</f>
        <v/>
      </c>
      <c r="Z329" s="389" t="str">
        <f t="shared" si="325"/>
        <v/>
      </c>
      <c r="AA329" s="389">
        <f t="shared" si="5"/>
        <v>0</v>
      </c>
    </row>
    <row r="330" ht="15.75" customHeight="1">
      <c r="M330" s="389" t="str">
        <f>IF('Bản đồ công việc'!X346="","",'Bản đồ công việc'!W346)</f>
        <v/>
      </c>
      <c r="N330" s="389" t="str">
        <f>IF('Bản đồ công việc'!X346="","",'Bản đồ công việc'!X346)</f>
        <v/>
      </c>
      <c r="O330" s="389" t="str">
        <f>IF('Bản đồ công việc'!X346="","",'Bản đồ công việc'!Y346)</f>
        <v/>
      </c>
      <c r="P330" s="389" t="str">
        <f>IF('Bản đồ công việc'!X346="","",'Bản đồ công việc'!V346)</f>
        <v/>
      </c>
      <c r="Q330" s="389" t="str">
        <f>IF('Bản đồ công việc'!X346="","",'Bản đồ công việc'!AC346)</f>
        <v/>
      </c>
      <c r="R330" s="389" t="str">
        <f>IF('Bản đồ công việc'!X346="","",'Bản đồ công việc'!AD346)</f>
        <v/>
      </c>
      <c r="S330" s="389" t="str">
        <f>IF('Bản đồ công việc'!X346="","",'Bản đồ công việc'!Z346)</f>
        <v/>
      </c>
      <c r="T330" s="389" t="str">
        <f>IF('Bản đồ công việc'!X346="","",'Bản đồ công việc'!AA346)</f>
        <v/>
      </c>
      <c r="U330" s="389" t="str">
        <f>IF('Bản đồ công việc'!X346="","",'Bản đồ công việc'!AE346)</f>
        <v/>
      </c>
      <c r="V330" s="389" t="str">
        <f>IF('Bản đồ công việc'!X346="","",'Bản đồ công việc'!AI346)</f>
        <v/>
      </c>
      <c r="W330" s="389">
        <f t="shared" si="2"/>
        <v>0</v>
      </c>
      <c r="X330" s="389" t="str">
        <f t="shared" si="3"/>
        <v/>
      </c>
      <c r="Y330" s="389" t="str">
        <f t="shared" ref="Y330:Z330" si="326">IFERROR(INDEX($O$8:$O$684,MATCH(X330,$N$8:$N$684,0)),"")</f>
        <v/>
      </c>
      <c r="Z330" s="389" t="str">
        <f t="shared" si="326"/>
        <v/>
      </c>
      <c r="AA330" s="389">
        <f t="shared" si="5"/>
        <v>0</v>
      </c>
    </row>
    <row r="331" ht="15.75" customHeight="1">
      <c r="M331" s="389" t="str">
        <f>IF('Bản đồ công việc'!X347="","",'Bản đồ công việc'!W347)</f>
        <v/>
      </c>
      <c r="N331" s="389" t="str">
        <f>IF('Bản đồ công việc'!X347="","",'Bản đồ công việc'!X347)</f>
        <v/>
      </c>
      <c r="O331" s="389" t="str">
        <f>IF('Bản đồ công việc'!X347="","",'Bản đồ công việc'!Y347)</f>
        <v/>
      </c>
      <c r="P331" s="389" t="str">
        <f>IF('Bản đồ công việc'!X347="","",'Bản đồ công việc'!V347)</f>
        <v/>
      </c>
      <c r="Q331" s="389" t="str">
        <f>IF('Bản đồ công việc'!X347="","",'Bản đồ công việc'!AC347)</f>
        <v/>
      </c>
      <c r="R331" s="389" t="str">
        <f>IF('Bản đồ công việc'!X347="","",'Bản đồ công việc'!AD347)</f>
        <v/>
      </c>
      <c r="S331" s="389" t="str">
        <f>IF('Bản đồ công việc'!X347="","",'Bản đồ công việc'!Z347)</f>
        <v/>
      </c>
      <c r="T331" s="389" t="str">
        <f>IF('Bản đồ công việc'!X347="","",'Bản đồ công việc'!AA347)</f>
        <v/>
      </c>
      <c r="U331" s="389" t="str">
        <f>IF('Bản đồ công việc'!X347="","",'Bản đồ công việc'!AE347)</f>
        <v/>
      </c>
      <c r="V331" s="389" t="str">
        <f>IF('Bản đồ công việc'!X347="","",'Bản đồ công việc'!AI347)</f>
        <v/>
      </c>
      <c r="W331" s="389">
        <f t="shared" si="2"/>
        <v>0</v>
      </c>
      <c r="X331" s="389" t="str">
        <f t="shared" si="3"/>
        <v/>
      </c>
      <c r="Y331" s="389" t="str">
        <f t="shared" ref="Y331:Z331" si="327">IFERROR(INDEX($O$8:$O$684,MATCH(X331,$N$8:$N$684,0)),"")</f>
        <v/>
      </c>
      <c r="Z331" s="389" t="str">
        <f t="shared" si="327"/>
        <v/>
      </c>
      <c r="AA331" s="389">
        <f t="shared" si="5"/>
        <v>0</v>
      </c>
    </row>
    <row r="332" ht="15.75" customHeight="1">
      <c r="M332" s="389" t="str">
        <f>IF('Bản đồ công việc'!X348="","",'Bản đồ công việc'!W348)</f>
        <v/>
      </c>
      <c r="N332" s="389" t="str">
        <f>IF('Bản đồ công việc'!X348="","",'Bản đồ công việc'!X348)</f>
        <v/>
      </c>
      <c r="O332" s="389" t="str">
        <f>IF('Bản đồ công việc'!X348="","",'Bản đồ công việc'!Y348)</f>
        <v/>
      </c>
      <c r="P332" s="389" t="str">
        <f>IF('Bản đồ công việc'!X348="","",'Bản đồ công việc'!V348)</f>
        <v/>
      </c>
      <c r="Q332" s="389" t="str">
        <f>IF('Bản đồ công việc'!X348="","",'Bản đồ công việc'!AC348)</f>
        <v/>
      </c>
      <c r="R332" s="389" t="str">
        <f>IF('Bản đồ công việc'!X348="","",'Bản đồ công việc'!AD348)</f>
        <v/>
      </c>
      <c r="S332" s="389" t="str">
        <f>IF('Bản đồ công việc'!X348="","",'Bản đồ công việc'!Z348)</f>
        <v/>
      </c>
      <c r="T332" s="389" t="str">
        <f>IF('Bản đồ công việc'!X348="","",'Bản đồ công việc'!AA348)</f>
        <v/>
      </c>
      <c r="U332" s="389" t="str">
        <f>IF('Bản đồ công việc'!X348="","",'Bản đồ công việc'!AE348)</f>
        <v/>
      </c>
      <c r="V332" s="389" t="str">
        <f>IF('Bản đồ công việc'!X348="","",'Bản đồ công việc'!AI348)</f>
        <v/>
      </c>
      <c r="W332" s="389">
        <f t="shared" si="2"/>
        <v>0</v>
      </c>
      <c r="X332" s="389" t="str">
        <f t="shared" si="3"/>
        <v/>
      </c>
      <c r="Y332" s="389" t="str">
        <f t="shared" ref="Y332:Z332" si="328">IFERROR(INDEX($O$8:$O$684,MATCH(X332,$N$8:$N$684,0)),"")</f>
        <v/>
      </c>
      <c r="Z332" s="389" t="str">
        <f t="shared" si="328"/>
        <v/>
      </c>
      <c r="AA332" s="389">
        <f t="shared" si="5"/>
        <v>0</v>
      </c>
    </row>
    <row r="333" ht="15.75" customHeight="1">
      <c r="M333" s="389" t="str">
        <f>IF('Bản đồ công việc'!X349="","",'Bản đồ công việc'!W349)</f>
        <v/>
      </c>
      <c r="N333" s="389" t="str">
        <f>IF('Bản đồ công việc'!X349="","",'Bản đồ công việc'!X349)</f>
        <v/>
      </c>
      <c r="O333" s="389" t="str">
        <f>IF('Bản đồ công việc'!X349="","",'Bản đồ công việc'!Y349)</f>
        <v/>
      </c>
      <c r="P333" s="389" t="str">
        <f>IF('Bản đồ công việc'!X349="","",'Bản đồ công việc'!V349)</f>
        <v/>
      </c>
      <c r="Q333" s="389" t="str">
        <f>IF('Bản đồ công việc'!X349="","",'Bản đồ công việc'!AC349)</f>
        <v/>
      </c>
      <c r="R333" s="389" t="str">
        <f>IF('Bản đồ công việc'!X349="","",'Bản đồ công việc'!AD349)</f>
        <v/>
      </c>
      <c r="S333" s="389" t="str">
        <f>IF('Bản đồ công việc'!X349="","",'Bản đồ công việc'!Z349)</f>
        <v/>
      </c>
      <c r="T333" s="389" t="str">
        <f>IF('Bản đồ công việc'!X349="","",'Bản đồ công việc'!AA349)</f>
        <v/>
      </c>
      <c r="U333" s="389" t="str">
        <f>IF('Bản đồ công việc'!X349="","",'Bản đồ công việc'!AE349)</f>
        <v/>
      </c>
      <c r="V333" s="389" t="str">
        <f>IF('Bản đồ công việc'!X349="","",'Bản đồ công việc'!AI349)</f>
        <v/>
      </c>
      <c r="W333" s="389">
        <f t="shared" si="2"/>
        <v>0</v>
      </c>
      <c r="X333" s="389" t="str">
        <f t="shared" si="3"/>
        <v/>
      </c>
      <c r="Y333" s="389" t="str">
        <f t="shared" ref="Y333:Z333" si="329">IFERROR(INDEX($O$8:$O$684,MATCH(X333,$N$8:$N$684,0)),"")</f>
        <v/>
      </c>
      <c r="Z333" s="389" t="str">
        <f t="shared" si="329"/>
        <v/>
      </c>
      <c r="AA333" s="389">
        <f t="shared" si="5"/>
        <v>0</v>
      </c>
    </row>
    <row r="334" ht="15.75" customHeight="1">
      <c r="M334" s="389" t="str">
        <f>IF('Bản đồ công việc'!X350="","",'Bản đồ công việc'!W350)</f>
        <v/>
      </c>
      <c r="N334" s="389" t="str">
        <f>IF('Bản đồ công việc'!X350="","",'Bản đồ công việc'!X350)</f>
        <v/>
      </c>
      <c r="O334" s="389" t="str">
        <f>IF('Bản đồ công việc'!X350="","",'Bản đồ công việc'!Y350)</f>
        <v/>
      </c>
      <c r="P334" s="389" t="str">
        <f>IF('Bản đồ công việc'!X350="","",'Bản đồ công việc'!V350)</f>
        <v/>
      </c>
      <c r="Q334" s="389" t="str">
        <f>IF('Bản đồ công việc'!X350="","",'Bản đồ công việc'!AC350)</f>
        <v/>
      </c>
      <c r="R334" s="389" t="str">
        <f>IF('Bản đồ công việc'!X350="","",'Bản đồ công việc'!AD350)</f>
        <v/>
      </c>
      <c r="S334" s="389" t="str">
        <f>IF('Bản đồ công việc'!X350="","",'Bản đồ công việc'!Z350)</f>
        <v/>
      </c>
      <c r="T334" s="389" t="str">
        <f>IF('Bản đồ công việc'!X350="","",'Bản đồ công việc'!AA350)</f>
        <v/>
      </c>
      <c r="U334" s="389" t="str">
        <f>IF('Bản đồ công việc'!X350="","",'Bản đồ công việc'!AE350)</f>
        <v/>
      </c>
      <c r="V334" s="389" t="str">
        <f>IF('Bản đồ công việc'!X350="","",'Bản đồ công việc'!AI350)</f>
        <v/>
      </c>
      <c r="W334" s="389">
        <f t="shared" si="2"/>
        <v>0</v>
      </c>
      <c r="X334" s="389" t="str">
        <f t="shared" si="3"/>
        <v/>
      </c>
      <c r="Y334" s="389" t="str">
        <f t="shared" ref="Y334:Z334" si="330">IFERROR(INDEX($O$8:$O$684,MATCH(X334,$N$8:$N$684,0)),"")</f>
        <v/>
      </c>
      <c r="Z334" s="389" t="str">
        <f t="shared" si="330"/>
        <v/>
      </c>
      <c r="AA334" s="389">
        <f t="shared" si="5"/>
        <v>0</v>
      </c>
    </row>
    <row r="335" ht="15.75" customHeight="1">
      <c r="M335" s="389" t="str">
        <f>IF('Bản đồ công việc'!X351="","",'Bản đồ công việc'!W351)</f>
        <v/>
      </c>
      <c r="N335" s="389" t="str">
        <f>IF('Bản đồ công việc'!X351="","",'Bản đồ công việc'!X351)</f>
        <v/>
      </c>
      <c r="O335" s="389" t="str">
        <f>IF('Bản đồ công việc'!X351="","",'Bản đồ công việc'!Y351)</f>
        <v/>
      </c>
      <c r="P335" s="389" t="str">
        <f>IF('Bản đồ công việc'!X351="","",'Bản đồ công việc'!V351)</f>
        <v/>
      </c>
      <c r="Q335" s="389" t="str">
        <f>IF('Bản đồ công việc'!X351="","",'Bản đồ công việc'!AC351)</f>
        <v/>
      </c>
      <c r="R335" s="389" t="str">
        <f>IF('Bản đồ công việc'!X351="","",'Bản đồ công việc'!AD351)</f>
        <v/>
      </c>
      <c r="S335" s="389" t="str">
        <f>IF('Bản đồ công việc'!X351="","",'Bản đồ công việc'!Z351)</f>
        <v/>
      </c>
      <c r="T335" s="389" t="str">
        <f>IF('Bản đồ công việc'!X351="","",'Bản đồ công việc'!AA351)</f>
        <v/>
      </c>
      <c r="U335" s="389" t="str">
        <f>IF('Bản đồ công việc'!X351="","",'Bản đồ công việc'!AE351)</f>
        <v/>
      </c>
      <c r="V335" s="389" t="str">
        <f>IF('Bản đồ công việc'!X351="","",'Bản đồ công việc'!AI351)</f>
        <v/>
      </c>
      <c r="W335" s="389">
        <f t="shared" si="2"/>
        <v>0</v>
      </c>
      <c r="X335" s="389" t="str">
        <f t="shared" si="3"/>
        <v/>
      </c>
      <c r="Y335" s="389" t="str">
        <f t="shared" ref="Y335:Z335" si="331">IFERROR(INDEX($O$8:$O$684,MATCH(X335,$N$8:$N$684,0)),"")</f>
        <v/>
      </c>
      <c r="Z335" s="389" t="str">
        <f t="shared" si="331"/>
        <v/>
      </c>
      <c r="AA335" s="389">
        <f t="shared" si="5"/>
        <v>0</v>
      </c>
    </row>
    <row r="336" ht="15.75" customHeight="1">
      <c r="M336" s="389" t="str">
        <f>IF('Bản đồ công việc'!X352="","",'Bản đồ công việc'!W352)</f>
        <v/>
      </c>
      <c r="N336" s="389" t="str">
        <f>IF('Bản đồ công việc'!X352="","",'Bản đồ công việc'!X352)</f>
        <v/>
      </c>
      <c r="O336" s="389" t="str">
        <f>IF('Bản đồ công việc'!X352="","",'Bản đồ công việc'!Y352)</f>
        <v/>
      </c>
      <c r="P336" s="389" t="str">
        <f>IF('Bản đồ công việc'!X352="","",'Bản đồ công việc'!V352)</f>
        <v/>
      </c>
      <c r="Q336" s="389" t="str">
        <f>IF('Bản đồ công việc'!X352="","",'Bản đồ công việc'!AC352)</f>
        <v/>
      </c>
      <c r="R336" s="389" t="str">
        <f>IF('Bản đồ công việc'!X352="","",'Bản đồ công việc'!AD352)</f>
        <v/>
      </c>
      <c r="S336" s="389" t="str">
        <f>IF('Bản đồ công việc'!X352="","",'Bản đồ công việc'!Z352)</f>
        <v/>
      </c>
      <c r="T336" s="389" t="str">
        <f>IF('Bản đồ công việc'!X352="","",'Bản đồ công việc'!AA352)</f>
        <v/>
      </c>
      <c r="U336" s="389" t="str">
        <f>IF('Bản đồ công việc'!X352="","",'Bản đồ công việc'!AE352)</f>
        <v/>
      </c>
      <c r="V336" s="389" t="str">
        <f>IF('Bản đồ công việc'!X352="","",'Bản đồ công việc'!AI352)</f>
        <v/>
      </c>
      <c r="W336" s="389">
        <f t="shared" si="2"/>
        <v>0</v>
      </c>
      <c r="X336" s="389" t="str">
        <f t="shared" si="3"/>
        <v/>
      </c>
      <c r="Y336" s="389" t="str">
        <f t="shared" ref="Y336:Z336" si="332">IFERROR(INDEX($O$8:$O$684,MATCH(X336,$N$8:$N$684,0)),"")</f>
        <v/>
      </c>
      <c r="Z336" s="389" t="str">
        <f t="shared" si="332"/>
        <v/>
      </c>
      <c r="AA336" s="389">
        <f t="shared" si="5"/>
        <v>0</v>
      </c>
    </row>
    <row r="337" ht="15.75" customHeight="1">
      <c r="M337" s="389" t="str">
        <f>IF('Bản đồ công việc'!X353="","",'Bản đồ công việc'!W353)</f>
        <v/>
      </c>
      <c r="N337" s="389" t="str">
        <f>IF('Bản đồ công việc'!X353="","",'Bản đồ công việc'!X353)</f>
        <v/>
      </c>
      <c r="O337" s="389" t="str">
        <f>IF('Bản đồ công việc'!X353="","",'Bản đồ công việc'!Y353)</f>
        <v/>
      </c>
      <c r="P337" s="389" t="str">
        <f>IF('Bản đồ công việc'!X353="","",'Bản đồ công việc'!V353)</f>
        <v/>
      </c>
      <c r="Q337" s="389" t="str">
        <f>IF('Bản đồ công việc'!X353="","",'Bản đồ công việc'!AC353)</f>
        <v/>
      </c>
      <c r="R337" s="389" t="str">
        <f>IF('Bản đồ công việc'!X353="","",'Bản đồ công việc'!AD353)</f>
        <v/>
      </c>
      <c r="S337" s="389" t="str">
        <f>IF('Bản đồ công việc'!X353="","",'Bản đồ công việc'!Z353)</f>
        <v/>
      </c>
      <c r="T337" s="389" t="str">
        <f>IF('Bản đồ công việc'!X353="","",'Bản đồ công việc'!AA353)</f>
        <v/>
      </c>
      <c r="U337" s="389" t="str">
        <f>IF('Bản đồ công việc'!X353="","",'Bản đồ công việc'!AE353)</f>
        <v/>
      </c>
      <c r="V337" s="389" t="str">
        <f>IF('Bản đồ công việc'!X353="","",'Bản đồ công việc'!AI353)</f>
        <v/>
      </c>
      <c r="W337" s="389">
        <f t="shared" si="2"/>
        <v>0</v>
      </c>
      <c r="X337" s="389" t="str">
        <f t="shared" si="3"/>
        <v/>
      </c>
      <c r="Y337" s="389" t="str">
        <f t="shared" ref="Y337:Z337" si="333">IFERROR(INDEX($O$8:$O$684,MATCH(X337,$N$8:$N$684,0)),"")</f>
        <v/>
      </c>
      <c r="Z337" s="389" t="str">
        <f t="shared" si="333"/>
        <v/>
      </c>
      <c r="AA337" s="389">
        <f t="shared" si="5"/>
        <v>0</v>
      </c>
    </row>
    <row r="338" ht="15.75" customHeight="1">
      <c r="M338" s="389" t="str">
        <f>IF('Bản đồ công việc'!X354="","",'Bản đồ công việc'!W354)</f>
        <v/>
      </c>
      <c r="N338" s="389" t="str">
        <f>IF('Bản đồ công việc'!X354="","",'Bản đồ công việc'!X354)</f>
        <v/>
      </c>
      <c r="O338" s="389" t="str">
        <f>IF('Bản đồ công việc'!X354="","",'Bản đồ công việc'!Y354)</f>
        <v/>
      </c>
      <c r="P338" s="389" t="str">
        <f>IF('Bản đồ công việc'!X354="","",'Bản đồ công việc'!V354)</f>
        <v/>
      </c>
      <c r="Q338" s="389" t="str">
        <f>IF('Bản đồ công việc'!X354="","",'Bản đồ công việc'!AC354)</f>
        <v/>
      </c>
      <c r="R338" s="389" t="str">
        <f>IF('Bản đồ công việc'!X354="","",'Bản đồ công việc'!AD354)</f>
        <v/>
      </c>
      <c r="S338" s="389" t="str">
        <f>IF('Bản đồ công việc'!X354="","",'Bản đồ công việc'!Z354)</f>
        <v/>
      </c>
      <c r="T338" s="389" t="str">
        <f>IF('Bản đồ công việc'!X354="","",'Bản đồ công việc'!AA354)</f>
        <v/>
      </c>
      <c r="U338" s="389" t="str">
        <f>IF('Bản đồ công việc'!X354="","",'Bản đồ công việc'!AE354)</f>
        <v/>
      </c>
      <c r="V338" s="389" t="str">
        <f>IF('Bản đồ công việc'!X354="","",'Bản đồ công việc'!AI354)</f>
        <v/>
      </c>
      <c r="W338" s="389">
        <f t="shared" si="2"/>
        <v>0</v>
      </c>
      <c r="X338" s="389" t="str">
        <f t="shared" si="3"/>
        <v/>
      </c>
      <c r="Y338" s="389" t="str">
        <f t="shared" ref="Y338:Z338" si="334">IFERROR(INDEX($O$8:$O$684,MATCH(X338,$N$8:$N$684,0)),"")</f>
        <v/>
      </c>
      <c r="Z338" s="389" t="str">
        <f t="shared" si="334"/>
        <v/>
      </c>
      <c r="AA338" s="389">
        <f t="shared" si="5"/>
        <v>0</v>
      </c>
    </row>
    <row r="339" ht="15.75" customHeight="1">
      <c r="M339" s="389" t="str">
        <f>IF('Bản đồ công việc'!X355="","",'Bản đồ công việc'!W355)</f>
        <v/>
      </c>
      <c r="N339" s="389" t="str">
        <f>IF('Bản đồ công việc'!X355="","",'Bản đồ công việc'!X355)</f>
        <v/>
      </c>
      <c r="O339" s="389" t="str">
        <f>IF('Bản đồ công việc'!X355="","",'Bản đồ công việc'!Y355)</f>
        <v/>
      </c>
      <c r="P339" s="389" t="str">
        <f>IF('Bản đồ công việc'!X355="","",'Bản đồ công việc'!V355)</f>
        <v/>
      </c>
      <c r="Q339" s="389" t="str">
        <f>IF('Bản đồ công việc'!X355="","",'Bản đồ công việc'!AC355)</f>
        <v/>
      </c>
      <c r="R339" s="389" t="str">
        <f>IF('Bản đồ công việc'!X355="","",'Bản đồ công việc'!AD355)</f>
        <v/>
      </c>
      <c r="S339" s="389" t="str">
        <f>IF('Bản đồ công việc'!X355="","",'Bản đồ công việc'!Z355)</f>
        <v/>
      </c>
      <c r="T339" s="389" t="str">
        <f>IF('Bản đồ công việc'!X355="","",'Bản đồ công việc'!AA355)</f>
        <v/>
      </c>
      <c r="U339" s="389" t="str">
        <f>IF('Bản đồ công việc'!X355="","",'Bản đồ công việc'!AE355)</f>
        <v/>
      </c>
      <c r="V339" s="389" t="str">
        <f>IF('Bản đồ công việc'!X355="","",'Bản đồ công việc'!AI355)</f>
        <v/>
      </c>
      <c r="W339" s="389">
        <f t="shared" si="2"/>
        <v>0</v>
      </c>
      <c r="X339" s="389" t="str">
        <f t="shared" si="3"/>
        <v/>
      </c>
      <c r="Y339" s="389" t="str">
        <f t="shared" ref="Y339:Z339" si="335">IFERROR(INDEX($O$8:$O$684,MATCH(X339,$N$8:$N$684,0)),"")</f>
        <v/>
      </c>
      <c r="Z339" s="389" t="str">
        <f t="shared" si="335"/>
        <v/>
      </c>
      <c r="AA339" s="389">
        <f t="shared" si="5"/>
        <v>0</v>
      </c>
    </row>
    <row r="340" ht="15.75" customHeight="1">
      <c r="M340" s="389" t="str">
        <f>IF('Bản đồ công việc'!X356="","",'Bản đồ công việc'!W356)</f>
        <v/>
      </c>
      <c r="N340" s="389" t="str">
        <f>IF('Bản đồ công việc'!X356="","",'Bản đồ công việc'!X356)</f>
        <v/>
      </c>
      <c r="O340" s="389" t="str">
        <f>IF('Bản đồ công việc'!X356="","",'Bản đồ công việc'!Y356)</f>
        <v/>
      </c>
      <c r="P340" s="389" t="str">
        <f>IF('Bản đồ công việc'!X356="","",'Bản đồ công việc'!V356)</f>
        <v/>
      </c>
      <c r="Q340" s="389" t="str">
        <f>IF('Bản đồ công việc'!X356="","",'Bản đồ công việc'!AC356)</f>
        <v/>
      </c>
      <c r="R340" s="389" t="str">
        <f>IF('Bản đồ công việc'!X356="","",'Bản đồ công việc'!AD356)</f>
        <v/>
      </c>
      <c r="S340" s="389" t="str">
        <f>IF('Bản đồ công việc'!X356="","",'Bản đồ công việc'!Z356)</f>
        <v/>
      </c>
      <c r="T340" s="389" t="str">
        <f>IF('Bản đồ công việc'!X356="","",'Bản đồ công việc'!AA356)</f>
        <v/>
      </c>
      <c r="U340" s="389" t="str">
        <f>IF('Bản đồ công việc'!X356="","",'Bản đồ công việc'!AE356)</f>
        <v/>
      </c>
      <c r="V340" s="389" t="str">
        <f>IF('Bản đồ công việc'!X356="","",'Bản đồ công việc'!AI356)</f>
        <v/>
      </c>
      <c r="W340" s="389">
        <f t="shared" si="2"/>
        <v>0</v>
      </c>
      <c r="X340" s="389" t="str">
        <f t="shared" si="3"/>
        <v/>
      </c>
      <c r="Y340" s="389" t="str">
        <f t="shared" ref="Y340:Z340" si="336">IFERROR(INDEX($O$8:$O$684,MATCH(X340,$N$8:$N$684,0)),"")</f>
        <v/>
      </c>
      <c r="Z340" s="389" t="str">
        <f t="shared" si="336"/>
        <v/>
      </c>
      <c r="AA340" s="389">
        <f t="shared" si="5"/>
        <v>0</v>
      </c>
    </row>
    <row r="341" ht="15.75" customHeight="1">
      <c r="M341" s="389" t="str">
        <f>IF('Bản đồ công việc'!X357="","",'Bản đồ công việc'!W357)</f>
        <v/>
      </c>
      <c r="N341" s="389" t="str">
        <f>IF('Bản đồ công việc'!X357="","",'Bản đồ công việc'!X357)</f>
        <v/>
      </c>
      <c r="O341" s="389" t="str">
        <f>IF('Bản đồ công việc'!X357="","",'Bản đồ công việc'!Y357)</f>
        <v/>
      </c>
      <c r="P341" s="389" t="str">
        <f>IF('Bản đồ công việc'!X357="","",'Bản đồ công việc'!V357)</f>
        <v/>
      </c>
      <c r="Q341" s="389" t="str">
        <f>IF('Bản đồ công việc'!X357="","",'Bản đồ công việc'!AC357)</f>
        <v/>
      </c>
      <c r="R341" s="389" t="str">
        <f>IF('Bản đồ công việc'!X357="","",'Bản đồ công việc'!AD357)</f>
        <v/>
      </c>
      <c r="S341" s="389" t="str">
        <f>IF('Bản đồ công việc'!X357="","",'Bản đồ công việc'!Z357)</f>
        <v/>
      </c>
      <c r="T341" s="389" t="str">
        <f>IF('Bản đồ công việc'!X357="","",'Bản đồ công việc'!AA357)</f>
        <v/>
      </c>
      <c r="U341" s="389" t="str">
        <f>IF('Bản đồ công việc'!X357="","",'Bản đồ công việc'!AE357)</f>
        <v/>
      </c>
      <c r="V341" s="389" t="str">
        <f>IF('Bản đồ công việc'!X357="","",'Bản đồ công việc'!AI357)</f>
        <v/>
      </c>
      <c r="W341" s="389">
        <f t="shared" si="2"/>
        <v>0</v>
      </c>
      <c r="X341" s="389" t="str">
        <f t="shared" si="3"/>
        <v/>
      </c>
      <c r="Y341" s="389" t="str">
        <f t="shared" ref="Y341:Z341" si="337">IFERROR(INDEX($O$8:$O$684,MATCH(X341,$N$8:$N$684,0)),"")</f>
        <v/>
      </c>
      <c r="Z341" s="389" t="str">
        <f t="shared" si="337"/>
        <v/>
      </c>
      <c r="AA341" s="389">
        <f t="shared" si="5"/>
        <v>0</v>
      </c>
    </row>
    <row r="342" ht="15.75" customHeight="1">
      <c r="M342" s="389" t="str">
        <f>IF('Bản đồ công việc'!X358="","",'Bản đồ công việc'!W358)</f>
        <v/>
      </c>
      <c r="N342" s="389" t="str">
        <f>IF('Bản đồ công việc'!X358="","",'Bản đồ công việc'!X358)</f>
        <v/>
      </c>
      <c r="O342" s="389" t="str">
        <f>IF('Bản đồ công việc'!X358="","",'Bản đồ công việc'!Y358)</f>
        <v/>
      </c>
      <c r="P342" s="389" t="str">
        <f>IF('Bản đồ công việc'!X358="","",'Bản đồ công việc'!V358)</f>
        <v/>
      </c>
      <c r="Q342" s="389" t="str">
        <f>IF('Bản đồ công việc'!X358="","",'Bản đồ công việc'!AC358)</f>
        <v/>
      </c>
      <c r="R342" s="389" t="str">
        <f>IF('Bản đồ công việc'!X358="","",'Bản đồ công việc'!AD358)</f>
        <v/>
      </c>
      <c r="S342" s="389" t="str">
        <f>IF('Bản đồ công việc'!X358="","",'Bản đồ công việc'!Z358)</f>
        <v/>
      </c>
      <c r="T342" s="389" t="str">
        <f>IF('Bản đồ công việc'!X358="","",'Bản đồ công việc'!AA358)</f>
        <v/>
      </c>
      <c r="U342" s="389" t="str">
        <f>IF('Bản đồ công việc'!X358="","",'Bản đồ công việc'!AE358)</f>
        <v/>
      </c>
      <c r="V342" s="389" t="str">
        <f>IF('Bản đồ công việc'!X358="","",'Bản đồ công việc'!AI358)</f>
        <v/>
      </c>
      <c r="W342" s="389">
        <f t="shared" si="2"/>
        <v>0</v>
      </c>
      <c r="X342" s="389" t="str">
        <f t="shared" si="3"/>
        <v/>
      </c>
      <c r="Y342" s="389" t="str">
        <f t="shared" ref="Y342:Z342" si="338">IFERROR(INDEX($O$8:$O$684,MATCH(X342,$N$8:$N$684,0)),"")</f>
        <v/>
      </c>
      <c r="Z342" s="389" t="str">
        <f t="shared" si="338"/>
        <v/>
      </c>
      <c r="AA342" s="389">
        <f t="shared" si="5"/>
        <v>0</v>
      </c>
    </row>
    <row r="343" ht="15.75" customHeight="1">
      <c r="M343" s="389" t="str">
        <f>IF('Bản đồ công việc'!X359="","",'Bản đồ công việc'!W359)</f>
        <v/>
      </c>
      <c r="N343" s="389" t="str">
        <f>IF('Bản đồ công việc'!X359="","",'Bản đồ công việc'!X359)</f>
        <v/>
      </c>
      <c r="O343" s="389" t="str">
        <f>IF('Bản đồ công việc'!X359="","",'Bản đồ công việc'!Y359)</f>
        <v/>
      </c>
      <c r="P343" s="389" t="str">
        <f>IF('Bản đồ công việc'!X359="","",'Bản đồ công việc'!V359)</f>
        <v/>
      </c>
      <c r="Q343" s="389" t="str">
        <f>IF('Bản đồ công việc'!X359="","",'Bản đồ công việc'!AC359)</f>
        <v/>
      </c>
      <c r="R343" s="389" t="str">
        <f>IF('Bản đồ công việc'!X359="","",'Bản đồ công việc'!AD359)</f>
        <v/>
      </c>
      <c r="S343" s="389" t="str">
        <f>IF('Bản đồ công việc'!X359="","",'Bản đồ công việc'!Z359)</f>
        <v/>
      </c>
      <c r="T343" s="389" t="str">
        <f>IF('Bản đồ công việc'!X359="","",'Bản đồ công việc'!AA359)</f>
        <v/>
      </c>
      <c r="U343" s="389" t="str">
        <f>IF('Bản đồ công việc'!X359="","",'Bản đồ công việc'!AE359)</f>
        <v/>
      </c>
      <c r="V343" s="389" t="str">
        <f>IF('Bản đồ công việc'!X359="","",'Bản đồ công việc'!AI359)</f>
        <v/>
      </c>
      <c r="W343" s="389">
        <f t="shared" si="2"/>
        <v>0</v>
      </c>
      <c r="X343" s="389" t="str">
        <f t="shared" si="3"/>
        <v/>
      </c>
      <c r="Y343" s="389" t="str">
        <f t="shared" ref="Y343:Z343" si="339">IFERROR(INDEX($O$8:$O$684,MATCH(X343,$N$8:$N$684,0)),"")</f>
        <v/>
      </c>
      <c r="Z343" s="389" t="str">
        <f t="shared" si="339"/>
        <v/>
      </c>
      <c r="AA343" s="389">
        <f t="shared" si="5"/>
        <v>0</v>
      </c>
    </row>
    <row r="344" ht="15.75" customHeight="1">
      <c r="M344" s="389" t="str">
        <f>IF('Bản đồ công việc'!X360="","",'Bản đồ công việc'!W360)</f>
        <v/>
      </c>
      <c r="N344" s="389" t="str">
        <f>IF('Bản đồ công việc'!X360="","",'Bản đồ công việc'!X360)</f>
        <v/>
      </c>
      <c r="O344" s="389" t="str">
        <f>IF('Bản đồ công việc'!X360="","",'Bản đồ công việc'!Y360)</f>
        <v/>
      </c>
      <c r="P344" s="389" t="str">
        <f>IF('Bản đồ công việc'!X360="","",'Bản đồ công việc'!V360)</f>
        <v/>
      </c>
      <c r="Q344" s="389" t="str">
        <f>IF('Bản đồ công việc'!X360="","",'Bản đồ công việc'!AC360)</f>
        <v/>
      </c>
      <c r="R344" s="389" t="str">
        <f>IF('Bản đồ công việc'!X360="","",'Bản đồ công việc'!AD360)</f>
        <v/>
      </c>
      <c r="S344" s="389" t="str">
        <f>IF('Bản đồ công việc'!X360="","",'Bản đồ công việc'!Z360)</f>
        <v/>
      </c>
      <c r="T344" s="389" t="str">
        <f>IF('Bản đồ công việc'!X360="","",'Bản đồ công việc'!AA360)</f>
        <v/>
      </c>
      <c r="U344" s="389" t="str">
        <f>IF('Bản đồ công việc'!X360="","",'Bản đồ công việc'!AE360)</f>
        <v/>
      </c>
      <c r="V344" s="389" t="str">
        <f>IF('Bản đồ công việc'!X360="","",'Bản đồ công việc'!AI360)</f>
        <v/>
      </c>
      <c r="W344" s="389">
        <f t="shared" si="2"/>
        <v>0</v>
      </c>
      <c r="X344" s="389" t="str">
        <f t="shared" si="3"/>
        <v/>
      </c>
      <c r="Y344" s="389" t="str">
        <f t="shared" ref="Y344:Z344" si="340">IFERROR(INDEX($O$8:$O$684,MATCH(X344,$N$8:$N$684,0)),"")</f>
        <v/>
      </c>
      <c r="Z344" s="389" t="str">
        <f t="shared" si="340"/>
        <v/>
      </c>
      <c r="AA344" s="389">
        <f t="shared" si="5"/>
        <v>0</v>
      </c>
    </row>
    <row r="345" ht="15.75" customHeight="1">
      <c r="M345" s="389" t="str">
        <f>IF('Bản đồ công việc'!X361="","",'Bản đồ công việc'!W361)</f>
        <v/>
      </c>
      <c r="N345" s="389" t="str">
        <f>IF('Bản đồ công việc'!X361="","",'Bản đồ công việc'!X361)</f>
        <v/>
      </c>
      <c r="O345" s="389" t="str">
        <f>IF('Bản đồ công việc'!X361="","",'Bản đồ công việc'!Y361)</f>
        <v/>
      </c>
      <c r="P345" s="389" t="str">
        <f>IF('Bản đồ công việc'!X361="","",'Bản đồ công việc'!V361)</f>
        <v/>
      </c>
      <c r="Q345" s="389" t="str">
        <f>IF('Bản đồ công việc'!X361="","",'Bản đồ công việc'!AC361)</f>
        <v/>
      </c>
      <c r="R345" s="389" t="str">
        <f>IF('Bản đồ công việc'!X361="","",'Bản đồ công việc'!AD361)</f>
        <v/>
      </c>
      <c r="S345" s="389" t="str">
        <f>IF('Bản đồ công việc'!X361="","",'Bản đồ công việc'!Z361)</f>
        <v/>
      </c>
      <c r="T345" s="389" t="str">
        <f>IF('Bản đồ công việc'!X361="","",'Bản đồ công việc'!AA361)</f>
        <v/>
      </c>
      <c r="U345" s="389" t="str">
        <f>IF('Bản đồ công việc'!X361="","",'Bản đồ công việc'!AE361)</f>
        <v/>
      </c>
      <c r="V345" s="389" t="str">
        <f>IF('Bản đồ công việc'!X361="","",'Bản đồ công việc'!AI361)</f>
        <v/>
      </c>
      <c r="W345" s="389">
        <f t="shared" si="2"/>
        <v>0</v>
      </c>
      <c r="X345" s="389" t="str">
        <f t="shared" si="3"/>
        <v/>
      </c>
      <c r="Y345" s="389" t="str">
        <f t="shared" ref="Y345:Z345" si="341">IFERROR(INDEX($O$8:$O$684,MATCH(X345,$N$8:$N$684,0)),"")</f>
        <v/>
      </c>
      <c r="Z345" s="389" t="str">
        <f t="shared" si="341"/>
        <v/>
      </c>
      <c r="AA345" s="389">
        <f t="shared" si="5"/>
        <v>0</v>
      </c>
    </row>
    <row r="346" ht="15.75" customHeight="1">
      <c r="M346" s="389" t="str">
        <f>IF('Bản đồ công việc'!X362="","",'Bản đồ công việc'!W362)</f>
        <v/>
      </c>
      <c r="N346" s="389" t="str">
        <f>IF('Bản đồ công việc'!X362="","",'Bản đồ công việc'!X362)</f>
        <v/>
      </c>
      <c r="O346" s="389" t="str">
        <f>IF('Bản đồ công việc'!X362="","",'Bản đồ công việc'!Y362)</f>
        <v/>
      </c>
      <c r="P346" s="389" t="str">
        <f>IF('Bản đồ công việc'!X362="","",'Bản đồ công việc'!V362)</f>
        <v/>
      </c>
      <c r="Q346" s="389" t="str">
        <f>IF('Bản đồ công việc'!X362="","",'Bản đồ công việc'!AC362)</f>
        <v/>
      </c>
      <c r="R346" s="389" t="str">
        <f>IF('Bản đồ công việc'!X362="","",'Bản đồ công việc'!AD362)</f>
        <v/>
      </c>
      <c r="S346" s="389" t="str">
        <f>IF('Bản đồ công việc'!X362="","",'Bản đồ công việc'!Z362)</f>
        <v/>
      </c>
      <c r="T346" s="389" t="str">
        <f>IF('Bản đồ công việc'!X362="","",'Bản đồ công việc'!AA362)</f>
        <v/>
      </c>
      <c r="U346" s="389" t="str">
        <f>IF('Bản đồ công việc'!X362="","",'Bản đồ công việc'!AE362)</f>
        <v/>
      </c>
      <c r="V346" s="389" t="str">
        <f>IF('Bản đồ công việc'!X362="","",'Bản đồ công việc'!AI362)</f>
        <v/>
      </c>
      <c r="W346" s="389">
        <f t="shared" si="2"/>
        <v>0</v>
      </c>
      <c r="X346" s="389" t="str">
        <f t="shared" si="3"/>
        <v/>
      </c>
      <c r="Y346" s="389" t="str">
        <f t="shared" ref="Y346:Z346" si="342">IFERROR(INDEX($O$8:$O$684,MATCH(X346,$N$8:$N$684,0)),"")</f>
        <v/>
      </c>
      <c r="Z346" s="389" t="str">
        <f t="shared" si="342"/>
        <v/>
      </c>
      <c r="AA346" s="389">
        <f t="shared" si="5"/>
        <v>0</v>
      </c>
    </row>
    <row r="347" ht="15.75" customHeight="1">
      <c r="M347" s="389" t="str">
        <f>IF('Bản đồ công việc'!X363="","",'Bản đồ công việc'!W363)</f>
        <v/>
      </c>
      <c r="N347" s="389" t="str">
        <f>IF('Bản đồ công việc'!X363="","",'Bản đồ công việc'!X363)</f>
        <v/>
      </c>
      <c r="O347" s="389" t="str">
        <f>IF('Bản đồ công việc'!X363="","",'Bản đồ công việc'!Y363)</f>
        <v/>
      </c>
      <c r="P347" s="389" t="str">
        <f>IF('Bản đồ công việc'!X363="","",'Bản đồ công việc'!V363)</f>
        <v/>
      </c>
      <c r="Q347" s="389" t="str">
        <f>IF('Bản đồ công việc'!X363="","",'Bản đồ công việc'!AC363)</f>
        <v/>
      </c>
      <c r="R347" s="389" t="str">
        <f>IF('Bản đồ công việc'!X363="","",'Bản đồ công việc'!AD363)</f>
        <v/>
      </c>
      <c r="S347" s="389" t="str">
        <f>IF('Bản đồ công việc'!X363="","",'Bản đồ công việc'!Z363)</f>
        <v/>
      </c>
      <c r="T347" s="389" t="str">
        <f>IF('Bản đồ công việc'!X363="","",'Bản đồ công việc'!AA363)</f>
        <v/>
      </c>
      <c r="U347" s="389" t="str">
        <f>IF('Bản đồ công việc'!X363="","",'Bản đồ công việc'!AE363)</f>
        <v/>
      </c>
      <c r="V347" s="389" t="str">
        <f>IF('Bản đồ công việc'!X363="","",'Bản đồ công việc'!AI363)</f>
        <v/>
      </c>
      <c r="W347" s="389">
        <f t="shared" si="2"/>
        <v>0</v>
      </c>
      <c r="X347" s="389" t="str">
        <f t="shared" si="3"/>
        <v/>
      </c>
      <c r="Y347" s="389" t="str">
        <f t="shared" ref="Y347:Z347" si="343">IFERROR(INDEX($O$8:$O$684,MATCH(X347,$N$8:$N$684,0)),"")</f>
        <v/>
      </c>
      <c r="Z347" s="389" t="str">
        <f t="shared" si="343"/>
        <v/>
      </c>
      <c r="AA347" s="389">
        <f t="shared" si="5"/>
        <v>0</v>
      </c>
    </row>
    <row r="348" ht="15.75" customHeight="1">
      <c r="M348" s="389" t="str">
        <f>IF('Bản đồ công việc'!X364="","",'Bản đồ công việc'!W364)</f>
        <v/>
      </c>
      <c r="N348" s="389" t="str">
        <f>IF('Bản đồ công việc'!X364="","",'Bản đồ công việc'!X364)</f>
        <v/>
      </c>
      <c r="O348" s="389" t="str">
        <f>IF('Bản đồ công việc'!X364="","",'Bản đồ công việc'!Y364)</f>
        <v/>
      </c>
      <c r="P348" s="389" t="str">
        <f>IF('Bản đồ công việc'!X364="","",'Bản đồ công việc'!V364)</f>
        <v/>
      </c>
      <c r="Q348" s="389" t="str">
        <f>IF('Bản đồ công việc'!X364="","",'Bản đồ công việc'!AC364)</f>
        <v/>
      </c>
      <c r="R348" s="389" t="str">
        <f>IF('Bản đồ công việc'!X364="","",'Bản đồ công việc'!AD364)</f>
        <v/>
      </c>
      <c r="S348" s="389" t="str">
        <f>IF('Bản đồ công việc'!X364="","",'Bản đồ công việc'!Z364)</f>
        <v/>
      </c>
      <c r="T348" s="389" t="str">
        <f>IF('Bản đồ công việc'!X364="","",'Bản đồ công việc'!AA364)</f>
        <v/>
      </c>
      <c r="U348" s="389" t="str">
        <f>IF('Bản đồ công việc'!X364="","",'Bản đồ công việc'!AE364)</f>
        <v/>
      </c>
      <c r="V348" s="389" t="str">
        <f>IF('Bản đồ công việc'!X364="","",'Bản đồ công việc'!AI364)</f>
        <v/>
      </c>
      <c r="W348" s="389">
        <f t="shared" si="2"/>
        <v>0</v>
      </c>
      <c r="X348" s="389" t="str">
        <f t="shared" si="3"/>
        <v/>
      </c>
      <c r="Y348" s="389" t="str">
        <f t="shared" ref="Y348:Z348" si="344">IFERROR(INDEX($O$8:$O$684,MATCH(X348,$N$8:$N$684,0)),"")</f>
        <v/>
      </c>
      <c r="Z348" s="389" t="str">
        <f t="shared" si="344"/>
        <v/>
      </c>
      <c r="AA348" s="389">
        <f t="shared" si="5"/>
        <v>0</v>
      </c>
    </row>
    <row r="349" ht="15.75" customHeight="1">
      <c r="M349" s="389" t="str">
        <f>IF('Bản đồ công việc'!X365="","",'Bản đồ công việc'!W365)</f>
        <v/>
      </c>
      <c r="N349" s="389" t="str">
        <f>IF('Bản đồ công việc'!X365="","",'Bản đồ công việc'!X365)</f>
        <v/>
      </c>
      <c r="O349" s="389" t="str">
        <f>IF('Bản đồ công việc'!X365="","",'Bản đồ công việc'!Y365)</f>
        <v/>
      </c>
      <c r="P349" s="389" t="str">
        <f>IF('Bản đồ công việc'!X365="","",'Bản đồ công việc'!V365)</f>
        <v/>
      </c>
      <c r="Q349" s="389" t="str">
        <f>IF('Bản đồ công việc'!X365="","",'Bản đồ công việc'!AC365)</f>
        <v/>
      </c>
      <c r="R349" s="389" t="str">
        <f>IF('Bản đồ công việc'!X365="","",'Bản đồ công việc'!AD365)</f>
        <v/>
      </c>
      <c r="S349" s="389" t="str">
        <f>IF('Bản đồ công việc'!X365="","",'Bản đồ công việc'!Z365)</f>
        <v/>
      </c>
      <c r="T349" s="389" t="str">
        <f>IF('Bản đồ công việc'!X365="","",'Bản đồ công việc'!AA365)</f>
        <v/>
      </c>
      <c r="U349" s="389" t="str">
        <f>IF('Bản đồ công việc'!X365="","",'Bản đồ công việc'!AE365)</f>
        <v/>
      </c>
      <c r="V349" s="389" t="str">
        <f>IF('Bản đồ công việc'!X365="","",'Bản đồ công việc'!AI365)</f>
        <v/>
      </c>
      <c r="W349" s="389">
        <f t="shared" si="2"/>
        <v>0</v>
      </c>
      <c r="X349" s="389" t="str">
        <f t="shared" si="3"/>
        <v/>
      </c>
      <c r="Y349" s="389" t="str">
        <f t="shared" ref="Y349:Z349" si="345">IFERROR(INDEX($O$8:$O$684,MATCH(X349,$N$8:$N$684,0)),"")</f>
        <v/>
      </c>
      <c r="Z349" s="389" t="str">
        <f t="shared" si="345"/>
        <v/>
      </c>
      <c r="AA349" s="389">
        <f t="shared" si="5"/>
        <v>0</v>
      </c>
    </row>
    <row r="350" ht="15.75" customHeight="1">
      <c r="M350" s="389" t="str">
        <f>IF('Bản đồ công việc'!X366="","",'Bản đồ công việc'!W366)</f>
        <v/>
      </c>
      <c r="N350" s="389" t="str">
        <f>IF('Bản đồ công việc'!X366="","",'Bản đồ công việc'!X366)</f>
        <v/>
      </c>
      <c r="O350" s="389" t="str">
        <f>IF('Bản đồ công việc'!X366="","",'Bản đồ công việc'!Y366)</f>
        <v/>
      </c>
      <c r="P350" s="389" t="str">
        <f>IF('Bản đồ công việc'!X366="","",'Bản đồ công việc'!V366)</f>
        <v/>
      </c>
      <c r="Q350" s="389" t="str">
        <f>IF('Bản đồ công việc'!X366="","",'Bản đồ công việc'!AC366)</f>
        <v/>
      </c>
      <c r="R350" s="389" t="str">
        <f>IF('Bản đồ công việc'!X366="","",'Bản đồ công việc'!AD366)</f>
        <v/>
      </c>
      <c r="S350" s="389" t="str">
        <f>IF('Bản đồ công việc'!X366="","",'Bản đồ công việc'!Z366)</f>
        <v/>
      </c>
      <c r="T350" s="389" t="str">
        <f>IF('Bản đồ công việc'!X366="","",'Bản đồ công việc'!AA366)</f>
        <v/>
      </c>
      <c r="U350" s="389" t="str">
        <f>IF('Bản đồ công việc'!X366="","",'Bản đồ công việc'!AE366)</f>
        <v/>
      </c>
      <c r="V350" s="389" t="str">
        <f>IF('Bản đồ công việc'!X366="","",'Bản đồ công việc'!AI366)</f>
        <v/>
      </c>
      <c r="W350" s="389">
        <f t="shared" si="2"/>
        <v>0</v>
      </c>
      <c r="X350" s="389" t="str">
        <f t="shared" si="3"/>
        <v/>
      </c>
      <c r="Y350" s="389" t="str">
        <f t="shared" ref="Y350:Z350" si="346">IFERROR(INDEX($O$8:$O$684,MATCH(X350,$N$8:$N$684,0)),"")</f>
        <v/>
      </c>
      <c r="Z350" s="389" t="str">
        <f t="shared" si="346"/>
        <v/>
      </c>
      <c r="AA350" s="389">
        <f t="shared" si="5"/>
        <v>0</v>
      </c>
    </row>
    <row r="351" ht="15.75" customHeight="1">
      <c r="M351" s="389" t="str">
        <f>IF('Bản đồ công việc'!X367="","",'Bản đồ công việc'!W367)</f>
        <v/>
      </c>
      <c r="N351" s="389" t="str">
        <f>IF('Bản đồ công việc'!X367="","",'Bản đồ công việc'!X367)</f>
        <v/>
      </c>
      <c r="O351" s="389" t="str">
        <f>IF('Bản đồ công việc'!X367="","",'Bản đồ công việc'!Y367)</f>
        <v/>
      </c>
      <c r="P351" s="389" t="str">
        <f>IF('Bản đồ công việc'!X367="","",'Bản đồ công việc'!V367)</f>
        <v/>
      </c>
      <c r="Q351" s="389" t="str">
        <f>IF('Bản đồ công việc'!X367="","",'Bản đồ công việc'!AC367)</f>
        <v/>
      </c>
      <c r="R351" s="389" t="str">
        <f>IF('Bản đồ công việc'!X367="","",'Bản đồ công việc'!AD367)</f>
        <v/>
      </c>
      <c r="S351" s="389" t="str">
        <f>IF('Bản đồ công việc'!X367="","",'Bản đồ công việc'!Z367)</f>
        <v/>
      </c>
      <c r="T351" s="389" t="str">
        <f>IF('Bản đồ công việc'!X367="","",'Bản đồ công việc'!AA367)</f>
        <v/>
      </c>
      <c r="U351" s="389" t="str">
        <f>IF('Bản đồ công việc'!X367="","",'Bản đồ công việc'!AE367)</f>
        <v/>
      </c>
      <c r="V351" s="389" t="str">
        <f>IF('Bản đồ công việc'!X367="","",'Bản đồ công việc'!AI367)</f>
        <v/>
      </c>
      <c r="W351" s="389">
        <f t="shared" si="2"/>
        <v>0</v>
      </c>
      <c r="X351" s="389" t="str">
        <f t="shared" si="3"/>
        <v/>
      </c>
      <c r="Y351" s="389" t="str">
        <f t="shared" ref="Y351:Z351" si="347">IFERROR(INDEX($O$8:$O$684,MATCH(X351,$N$8:$N$684,0)),"")</f>
        <v/>
      </c>
      <c r="Z351" s="389" t="str">
        <f t="shared" si="347"/>
        <v/>
      </c>
      <c r="AA351" s="389">
        <f t="shared" si="5"/>
        <v>0</v>
      </c>
    </row>
    <row r="352" ht="15.75" customHeight="1">
      <c r="M352" s="389" t="str">
        <f>IF('Bản đồ công việc'!X368="","",'Bản đồ công việc'!W368)</f>
        <v/>
      </c>
      <c r="N352" s="389" t="str">
        <f>IF('Bản đồ công việc'!X368="","",'Bản đồ công việc'!X368)</f>
        <v/>
      </c>
      <c r="O352" s="389" t="str">
        <f>IF('Bản đồ công việc'!X368="","",'Bản đồ công việc'!Y368)</f>
        <v/>
      </c>
      <c r="P352" s="389" t="str">
        <f>IF('Bản đồ công việc'!X368="","",'Bản đồ công việc'!V368)</f>
        <v/>
      </c>
      <c r="Q352" s="389" t="str">
        <f>IF('Bản đồ công việc'!X368="","",'Bản đồ công việc'!AC368)</f>
        <v/>
      </c>
      <c r="R352" s="389" t="str">
        <f>IF('Bản đồ công việc'!X368="","",'Bản đồ công việc'!AD368)</f>
        <v/>
      </c>
      <c r="S352" s="389" t="str">
        <f>IF('Bản đồ công việc'!X368="","",'Bản đồ công việc'!Z368)</f>
        <v/>
      </c>
      <c r="T352" s="389" t="str">
        <f>IF('Bản đồ công việc'!X368="","",'Bản đồ công việc'!AA368)</f>
        <v/>
      </c>
      <c r="U352" s="389" t="str">
        <f>IF('Bản đồ công việc'!X368="","",'Bản đồ công việc'!AE368)</f>
        <v/>
      </c>
      <c r="V352" s="389" t="str">
        <f>IF('Bản đồ công việc'!X368="","",'Bản đồ công việc'!AI368)</f>
        <v/>
      </c>
      <c r="W352" s="389">
        <f t="shared" si="2"/>
        <v>0</v>
      </c>
      <c r="X352" s="389" t="str">
        <f t="shared" si="3"/>
        <v/>
      </c>
      <c r="Y352" s="389" t="str">
        <f t="shared" ref="Y352:Z352" si="348">IFERROR(INDEX($O$8:$O$684,MATCH(X352,$N$8:$N$684,0)),"")</f>
        <v/>
      </c>
      <c r="Z352" s="389" t="str">
        <f t="shared" si="348"/>
        <v/>
      </c>
      <c r="AA352" s="389">
        <f t="shared" si="5"/>
        <v>0</v>
      </c>
    </row>
    <row r="353" ht="15.75" customHeight="1">
      <c r="M353" s="389" t="str">
        <f>IF('Bản đồ công việc'!X369="","",'Bản đồ công việc'!W369)</f>
        <v/>
      </c>
      <c r="N353" s="389" t="str">
        <f>IF('Bản đồ công việc'!X369="","",'Bản đồ công việc'!X369)</f>
        <v/>
      </c>
      <c r="O353" s="389" t="str">
        <f>IF('Bản đồ công việc'!X369="","",'Bản đồ công việc'!Y369)</f>
        <v/>
      </c>
      <c r="P353" s="389" t="str">
        <f>IF('Bản đồ công việc'!X369="","",'Bản đồ công việc'!V369)</f>
        <v/>
      </c>
      <c r="Q353" s="389" t="str">
        <f>IF('Bản đồ công việc'!X369="","",'Bản đồ công việc'!AC369)</f>
        <v/>
      </c>
      <c r="R353" s="389" t="str">
        <f>IF('Bản đồ công việc'!X369="","",'Bản đồ công việc'!AD369)</f>
        <v/>
      </c>
      <c r="S353" s="389" t="str">
        <f>IF('Bản đồ công việc'!X369="","",'Bản đồ công việc'!Z369)</f>
        <v/>
      </c>
      <c r="T353" s="389" t="str">
        <f>IF('Bản đồ công việc'!X369="","",'Bản đồ công việc'!AA369)</f>
        <v/>
      </c>
      <c r="U353" s="389" t="str">
        <f>IF('Bản đồ công việc'!X369="","",'Bản đồ công việc'!AE369)</f>
        <v/>
      </c>
      <c r="V353" s="389" t="str">
        <f>IF('Bản đồ công việc'!X369="","",'Bản đồ công việc'!AI369)</f>
        <v/>
      </c>
      <c r="W353" s="389">
        <f t="shared" si="2"/>
        <v>0</v>
      </c>
      <c r="X353" s="389" t="str">
        <f t="shared" si="3"/>
        <v/>
      </c>
      <c r="Y353" s="389" t="str">
        <f t="shared" ref="Y353:Z353" si="349">IFERROR(INDEX($O$8:$O$684,MATCH(X353,$N$8:$N$684,0)),"")</f>
        <v/>
      </c>
      <c r="Z353" s="389" t="str">
        <f t="shared" si="349"/>
        <v/>
      </c>
      <c r="AA353" s="389">
        <f t="shared" si="5"/>
        <v>0</v>
      </c>
    </row>
    <row r="354" ht="15.75" customHeight="1">
      <c r="M354" s="389" t="str">
        <f>IF('Bản đồ công việc'!X370="","",'Bản đồ công việc'!W370)</f>
        <v/>
      </c>
      <c r="N354" s="389" t="str">
        <f>IF('Bản đồ công việc'!X370="","",'Bản đồ công việc'!X370)</f>
        <v/>
      </c>
      <c r="O354" s="389" t="str">
        <f>IF('Bản đồ công việc'!X370="","",'Bản đồ công việc'!Y370)</f>
        <v/>
      </c>
      <c r="P354" s="389" t="str">
        <f>IF('Bản đồ công việc'!X370="","",'Bản đồ công việc'!V370)</f>
        <v/>
      </c>
      <c r="Q354" s="389" t="str">
        <f>IF('Bản đồ công việc'!X370="","",'Bản đồ công việc'!AC370)</f>
        <v/>
      </c>
      <c r="R354" s="389" t="str">
        <f>IF('Bản đồ công việc'!X370="","",'Bản đồ công việc'!AD370)</f>
        <v/>
      </c>
      <c r="S354" s="389" t="str">
        <f>IF('Bản đồ công việc'!X370="","",'Bản đồ công việc'!Z370)</f>
        <v/>
      </c>
      <c r="T354" s="389" t="str">
        <f>IF('Bản đồ công việc'!X370="","",'Bản đồ công việc'!AA370)</f>
        <v/>
      </c>
      <c r="U354" s="389" t="str">
        <f>IF('Bản đồ công việc'!X370="","",'Bản đồ công việc'!AE370)</f>
        <v/>
      </c>
      <c r="V354" s="389" t="str">
        <f>IF('Bản đồ công việc'!X370="","",'Bản đồ công việc'!AI370)</f>
        <v/>
      </c>
      <c r="W354" s="389">
        <f t="shared" si="2"/>
        <v>0</v>
      </c>
      <c r="X354" s="389" t="str">
        <f t="shared" si="3"/>
        <v/>
      </c>
      <c r="Y354" s="389" t="str">
        <f t="shared" ref="Y354:Z354" si="350">IFERROR(INDEX($O$8:$O$684,MATCH(X354,$N$8:$N$684,0)),"")</f>
        <v/>
      </c>
      <c r="Z354" s="389" t="str">
        <f t="shared" si="350"/>
        <v/>
      </c>
      <c r="AA354" s="389">
        <f t="shared" si="5"/>
        <v>0</v>
      </c>
    </row>
    <row r="355" ht="15.75" customHeight="1">
      <c r="M355" s="389" t="str">
        <f>IF('Bản đồ công việc'!X371="","",'Bản đồ công việc'!W371)</f>
        <v/>
      </c>
      <c r="N355" s="389" t="str">
        <f>IF('Bản đồ công việc'!X371="","",'Bản đồ công việc'!X371)</f>
        <v/>
      </c>
      <c r="O355" s="389" t="str">
        <f>IF('Bản đồ công việc'!X371="","",'Bản đồ công việc'!Y371)</f>
        <v/>
      </c>
      <c r="P355" s="389" t="str">
        <f>IF('Bản đồ công việc'!X371="","",'Bản đồ công việc'!V371)</f>
        <v/>
      </c>
      <c r="Q355" s="389" t="str">
        <f>IF('Bản đồ công việc'!X371="","",'Bản đồ công việc'!AC371)</f>
        <v/>
      </c>
      <c r="R355" s="389" t="str">
        <f>IF('Bản đồ công việc'!X371="","",'Bản đồ công việc'!AD371)</f>
        <v/>
      </c>
      <c r="S355" s="389" t="str">
        <f>IF('Bản đồ công việc'!X371="","",'Bản đồ công việc'!Z371)</f>
        <v/>
      </c>
      <c r="T355" s="389" t="str">
        <f>IF('Bản đồ công việc'!X371="","",'Bản đồ công việc'!AA371)</f>
        <v/>
      </c>
      <c r="U355" s="389" t="str">
        <f>IF('Bản đồ công việc'!X371="","",'Bản đồ công việc'!AE371)</f>
        <v/>
      </c>
      <c r="V355" s="389" t="str">
        <f>IF('Bản đồ công việc'!X371="","",'Bản đồ công việc'!AI371)</f>
        <v/>
      </c>
      <c r="W355" s="389">
        <f t="shared" si="2"/>
        <v>0</v>
      </c>
      <c r="X355" s="389" t="str">
        <f t="shared" si="3"/>
        <v/>
      </c>
      <c r="Y355" s="389" t="str">
        <f t="shared" ref="Y355:Z355" si="351">IFERROR(INDEX($O$8:$O$684,MATCH(X355,$N$8:$N$684,0)),"")</f>
        <v/>
      </c>
      <c r="Z355" s="389" t="str">
        <f t="shared" si="351"/>
        <v/>
      </c>
      <c r="AA355" s="389">
        <f t="shared" si="5"/>
        <v>0</v>
      </c>
    </row>
    <row r="356" ht="15.75" customHeight="1">
      <c r="M356" s="389" t="str">
        <f>IF('Bản đồ công việc'!X372="","",'Bản đồ công việc'!W372)</f>
        <v/>
      </c>
      <c r="N356" s="389" t="str">
        <f>IF('Bản đồ công việc'!X372="","",'Bản đồ công việc'!X372)</f>
        <v/>
      </c>
      <c r="O356" s="389" t="str">
        <f>IF('Bản đồ công việc'!X372="","",'Bản đồ công việc'!Y372)</f>
        <v/>
      </c>
      <c r="P356" s="389" t="str">
        <f>IF('Bản đồ công việc'!X372="","",'Bản đồ công việc'!V372)</f>
        <v/>
      </c>
      <c r="Q356" s="389" t="str">
        <f>IF('Bản đồ công việc'!X372="","",'Bản đồ công việc'!AC372)</f>
        <v/>
      </c>
      <c r="R356" s="389" t="str">
        <f>IF('Bản đồ công việc'!X372="","",'Bản đồ công việc'!AD372)</f>
        <v/>
      </c>
      <c r="S356" s="389" t="str">
        <f>IF('Bản đồ công việc'!X372="","",'Bản đồ công việc'!Z372)</f>
        <v/>
      </c>
      <c r="T356" s="389" t="str">
        <f>IF('Bản đồ công việc'!X372="","",'Bản đồ công việc'!AA372)</f>
        <v/>
      </c>
      <c r="U356" s="389" t="str">
        <f>IF('Bản đồ công việc'!X372="","",'Bản đồ công việc'!AE372)</f>
        <v/>
      </c>
      <c r="V356" s="389" t="str">
        <f>IF('Bản đồ công việc'!X372="","",'Bản đồ công việc'!AI372)</f>
        <v/>
      </c>
      <c r="W356" s="389">
        <f t="shared" si="2"/>
        <v>0</v>
      </c>
      <c r="X356" s="389" t="str">
        <f t="shared" si="3"/>
        <v/>
      </c>
      <c r="Y356" s="389" t="str">
        <f t="shared" ref="Y356:Z356" si="352">IFERROR(INDEX($O$8:$O$684,MATCH(X356,$N$8:$N$684,0)),"")</f>
        <v/>
      </c>
      <c r="Z356" s="389" t="str">
        <f t="shared" si="352"/>
        <v/>
      </c>
      <c r="AA356" s="389">
        <f t="shared" si="5"/>
        <v>0</v>
      </c>
    </row>
    <row r="357" ht="15.75" customHeight="1">
      <c r="M357" s="389" t="str">
        <f>IF('Bản đồ công việc'!X373="","",'Bản đồ công việc'!W373)</f>
        <v/>
      </c>
      <c r="N357" s="389" t="str">
        <f>IF('Bản đồ công việc'!X373="","",'Bản đồ công việc'!X373)</f>
        <v/>
      </c>
      <c r="O357" s="389" t="str">
        <f>IF('Bản đồ công việc'!X373="","",'Bản đồ công việc'!Y373)</f>
        <v/>
      </c>
      <c r="P357" s="389" t="str">
        <f>IF('Bản đồ công việc'!X373="","",'Bản đồ công việc'!V373)</f>
        <v/>
      </c>
      <c r="Q357" s="389" t="str">
        <f>IF('Bản đồ công việc'!X373="","",'Bản đồ công việc'!AC373)</f>
        <v/>
      </c>
      <c r="R357" s="389" t="str">
        <f>IF('Bản đồ công việc'!X373="","",'Bản đồ công việc'!AD373)</f>
        <v/>
      </c>
      <c r="S357" s="389" t="str">
        <f>IF('Bản đồ công việc'!X373="","",'Bản đồ công việc'!Z373)</f>
        <v/>
      </c>
      <c r="T357" s="389" t="str">
        <f>IF('Bản đồ công việc'!X373="","",'Bản đồ công việc'!AA373)</f>
        <v/>
      </c>
      <c r="U357" s="389" t="str">
        <f>IF('Bản đồ công việc'!X373="","",'Bản đồ công việc'!AE373)</f>
        <v/>
      </c>
      <c r="V357" s="389" t="str">
        <f>IF('Bản đồ công việc'!X373="","",'Bản đồ công việc'!AI373)</f>
        <v/>
      </c>
      <c r="W357" s="389">
        <f t="shared" si="2"/>
        <v>0</v>
      </c>
      <c r="X357" s="389" t="str">
        <f t="shared" si="3"/>
        <v/>
      </c>
      <c r="Y357" s="389" t="str">
        <f t="shared" ref="Y357:Z357" si="353">IFERROR(INDEX($O$8:$O$684,MATCH(X357,$N$8:$N$684,0)),"")</f>
        <v/>
      </c>
      <c r="Z357" s="389" t="str">
        <f t="shared" si="353"/>
        <v/>
      </c>
      <c r="AA357" s="389">
        <f t="shared" si="5"/>
        <v>0</v>
      </c>
    </row>
    <row r="358" ht="15.75" customHeight="1">
      <c r="M358" s="389" t="str">
        <f>IF('Bản đồ công việc'!X374="","",'Bản đồ công việc'!W374)</f>
        <v/>
      </c>
      <c r="N358" s="389" t="str">
        <f>IF('Bản đồ công việc'!X374="","",'Bản đồ công việc'!X374)</f>
        <v/>
      </c>
      <c r="O358" s="389" t="str">
        <f>IF('Bản đồ công việc'!X374="","",'Bản đồ công việc'!Y374)</f>
        <v/>
      </c>
      <c r="P358" s="389" t="str">
        <f>IF('Bản đồ công việc'!X374="","",'Bản đồ công việc'!V374)</f>
        <v/>
      </c>
      <c r="Q358" s="389" t="str">
        <f>IF('Bản đồ công việc'!X374="","",'Bản đồ công việc'!AC374)</f>
        <v/>
      </c>
      <c r="R358" s="389" t="str">
        <f>IF('Bản đồ công việc'!X374="","",'Bản đồ công việc'!AD374)</f>
        <v/>
      </c>
      <c r="S358" s="389" t="str">
        <f>IF('Bản đồ công việc'!X374="","",'Bản đồ công việc'!Z374)</f>
        <v/>
      </c>
      <c r="T358" s="389" t="str">
        <f>IF('Bản đồ công việc'!X374="","",'Bản đồ công việc'!AA374)</f>
        <v/>
      </c>
      <c r="U358" s="389" t="str">
        <f>IF('Bản đồ công việc'!X374="","",'Bản đồ công việc'!AE374)</f>
        <v/>
      </c>
      <c r="V358" s="389" t="str">
        <f>IF('Bản đồ công việc'!X374="","",'Bản đồ công việc'!AI374)</f>
        <v/>
      </c>
      <c r="W358" s="389">
        <f t="shared" si="2"/>
        <v>0</v>
      </c>
      <c r="X358" s="389" t="str">
        <f t="shared" si="3"/>
        <v/>
      </c>
      <c r="Y358" s="389" t="str">
        <f t="shared" ref="Y358:Z358" si="354">IFERROR(INDEX($O$8:$O$684,MATCH(X358,$N$8:$N$684,0)),"")</f>
        <v/>
      </c>
      <c r="Z358" s="389" t="str">
        <f t="shared" si="354"/>
        <v/>
      </c>
      <c r="AA358" s="389">
        <f t="shared" si="5"/>
        <v>0</v>
      </c>
    </row>
    <row r="359" ht="15.75" customHeight="1">
      <c r="M359" s="389" t="str">
        <f>IF('Bản đồ công việc'!X375="","",'Bản đồ công việc'!W375)</f>
        <v/>
      </c>
      <c r="N359" s="389" t="str">
        <f>IF('Bản đồ công việc'!X375="","",'Bản đồ công việc'!X375)</f>
        <v/>
      </c>
      <c r="O359" s="389" t="str">
        <f>IF('Bản đồ công việc'!X375="","",'Bản đồ công việc'!Y375)</f>
        <v/>
      </c>
      <c r="P359" s="389" t="str">
        <f>IF('Bản đồ công việc'!X375="","",'Bản đồ công việc'!V375)</f>
        <v/>
      </c>
      <c r="Q359" s="389" t="str">
        <f>IF('Bản đồ công việc'!X375="","",'Bản đồ công việc'!AC375)</f>
        <v/>
      </c>
      <c r="R359" s="389" t="str">
        <f>IF('Bản đồ công việc'!X375="","",'Bản đồ công việc'!AD375)</f>
        <v/>
      </c>
      <c r="S359" s="389" t="str">
        <f>IF('Bản đồ công việc'!X375="","",'Bản đồ công việc'!Z375)</f>
        <v/>
      </c>
      <c r="T359" s="389" t="str">
        <f>IF('Bản đồ công việc'!X375="","",'Bản đồ công việc'!AA375)</f>
        <v/>
      </c>
      <c r="U359" s="389" t="str">
        <f>IF('Bản đồ công việc'!X375="","",'Bản đồ công việc'!AE375)</f>
        <v/>
      </c>
      <c r="V359" s="389" t="str">
        <f>IF('Bản đồ công việc'!X375="","",'Bản đồ công việc'!AI375)</f>
        <v/>
      </c>
      <c r="W359" s="389">
        <f t="shared" si="2"/>
        <v>0</v>
      </c>
      <c r="X359" s="389" t="str">
        <f t="shared" si="3"/>
        <v/>
      </c>
      <c r="Y359" s="389" t="str">
        <f t="shared" ref="Y359:Z359" si="355">IFERROR(INDEX($O$8:$O$684,MATCH(X359,$N$8:$N$684,0)),"")</f>
        <v/>
      </c>
      <c r="Z359" s="389" t="str">
        <f t="shared" si="355"/>
        <v/>
      </c>
      <c r="AA359" s="389">
        <f t="shared" si="5"/>
        <v>0</v>
      </c>
    </row>
    <row r="360" ht="15.75" customHeight="1">
      <c r="M360" s="389" t="str">
        <f>IF('Bản đồ công việc'!X376="","",'Bản đồ công việc'!W376)</f>
        <v/>
      </c>
      <c r="N360" s="389" t="str">
        <f>IF('Bản đồ công việc'!X376="","",'Bản đồ công việc'!X376)</f>
        <v/>
      </c>
      <c r="O360" s="389" t="str">
        <f>IF('Bản đồ công việc'!X376="","",'Bản đồ công việc'!Y376)</f>
        <v/>
      </c>
      <c r="P360" s="389" t="str">
        <f>IF('Bản đồ công việc'!X376="","",'Bản đồ công việc'!V376)</f>
        <v/>
      </c>
      <c r="Q360" s="389" t="str">
        <f>IF('Bản đồ công việc'!X376="","",'Bản đồ công việc'!AC376)</f>
        <v/>
      </c>
      <c r="R360" s="389" t="str">
        <f>IF('Bản đồ công việc'!X376="","",'Bản đồ công việc'!AD376)</f>
        <v/>
      </c>
      <c r="S360" s="389" t="str">
        <f>IF('Bản đồ công việc'!X376="","",'Bản đồ công việc'!Z376)</f>
        <v/>
      </c>
      <c r="T360" s="389" t="str">
        <f>IF('Bản đồ công việc'!X376="","",'Bản đồ công việc'!AA376)</f>
        <v/>
      </c>
      <c r="U360" s="389" t="str">
        <f>IF('Bản đồ công việc'!X376="","",'Bản đồ công việc'!AE376)</f>
        <v/>
      </c>
      <c r="V360" s="389" t="str">
        <f>IF('Bản đồ công việc'!X376="","",'Bản đồ công việc'!AI376)</f>
        <v/>
      </c>
      <c r="W360" s="389">
        <f t="shared" si="2"/>
        <v>0</v>
      </c>
      <c r="X360" s="389" t="str">
        <f t="shared" si="3"/>
        <v/>
      </c>
      <c r="Y360" s="389" t="str">
        <f t="shared" ref="Y360:Z360" si="356">IFERROR(INDEX($O$8:$O$684,MATCH(X360,$N$8:$N$684,0)),"")</f>
        <v/>
      </c>
      <c r="Z360" s="389" t="str">
        <f t="shared" si="356"/>
        <v/>
      </c>
      <c r="AA360" s="389">
        <f t="shared" si="5"/>
        <v>0</v>
      </c>
    </row>
    <row r="361" ht="15.75" customHeight="1">
      <c r="M361" s="389" t="str">
        <f>IF('Bản đồ công việc'!X377="","",'Bản đồ công việc'!W377)</f>
        <v/>
      </c>
      <c r="N361" s="389" t="str">
        <f>IF('Bản đồ công việc'!X377="","",'Bản đồ công việc'!X377)</f>
        <v/>
      </c>
      <c r="O361" s="389" t="str">
        <f>IF('Bản đồ công việc'!X377="","",'Bản đồ công việc'!Y377)</f>
        <v/>
      </c>
      <c r="P361" s="389" t="str">
        <f>IF('Bản đồ công việc'!X377="","",'Bản đồ công việc'!V377)</f>
        <v/>
      </c>
      <c r="Q361" s="389" t="str">
        <f>IF('Bản đồ công việc'!X377="","",'Bản đồ công việc'!AC377)</f>
        <v/>
      </c>
      <c r="R361" s="389" t="str">
        <f>IF('Bản đồ công việc'!X377="","",'Bản đồ công việc'!AD377)</f>
        <v/>
      </c>
      <c r="S361" s="389" t="str">
        <f>IF('Bản đồ công việc'!X377="","",'Bản đồ công việc'!Z377)</f>
        <v/>
      </c>
      <c r="T361" s="389" t="str">
        <f>IF('Bản đồ công việc'!X377="","",'Bản đồ công việc'!AA377)</f>
        <v/>
      </c>
      <c r="U361" s="389" t="str">
        <f>IF('Bản đồ công việc'!X377="","",'Bản đồ công việc'!AE377)</f>
        <v/>
      </c>
      <c r="V361" s="389" t="str">
        <f>IF('Bản đồ công việc'!X377="","",'Bản đồ công việc'!AI377)</f>
        <v/>
      </c>
      <c r="W361" s="389">
        <f t="shared" si="2"/>
        <v>0</v>
      </c>
      <c r="X361" s="389" t="str">
        <f t="shared" si="3"/>
        <v/>
      </c>
      <c r="Y361" s="389" t="str">
        <f t="shared" ref="Y361:Z361" si="357">IFERROR(INDEX($O$8:$O$684,MATCH(X361,$N$8:$N$684,0)),"")</f>
        <v/>
      </c>
      <c r="Z361" s="389" t="str">
        <f t="shared" si="357"/>
        <v/>
      </c>
      <c r="AA361" s="389">
        <f t="shared" si="5"/>
        <v>0</v>
      </c>
    </row>
    <row r="362" ht="15.75" customHeight="1">
      <c r="M362" s="389" t="str">
        <f>IF('Bản đồ công việc'!X378="","",'Bản đồ công việc'!W378)</f>
        <v/>
      </c>
      <c r="N362" s="389" t="str">
        <f>IF('Bản đồ công việc'!X378="","",'Bản đồ công việc'!X378)</f>
        <v/>
      </c>
      <c r="O362" s="389" t="str">
        <f>IF('Bản đồ công việc'!X378="","",'Bản đồ công việc'!Y378)</f>
        <v/>
      </c>
      <c r="P362" s="389" t="str">
        <f>IF('Bản đồ công việc'!X378="","",'Bản đồ công việc'!V378)</f>
        <v/>
      </c>
      <c r="Q362" s="389" t="str">
        <f>IF('Bản đồ công việc'!X378="","",'Bản đồ công việc'!AC378)</f>
        <v/>
      </c>
      <c r="R362" s="389" t="str">
        <f>IF('Bản đồ công việc'!X378="","",'Bản đồ công việc'!AD378)</f>
        <v/>
      </c>
      <c r="S362" s="389" t="str">
        <f>IF('Bản đồ công việc'!X378="","",'Bản đồ công việc'!Z378)</f>
        <v/>
      </c>
      <c r="T362" s="389" t="str">
        <f>IF('Bản đồ công việc'!X378="","",'Bản đồ công việc'!AA378)</f>
        <v/>
      </c>
      <c r="U362" s="389" t="str">
        <f>IF('Bản đồ công việc'!X378="","",'Bản đồ công việc'!AE378)</f>
        <v/>
      </c>
      <c r="V362" s="389" t="str">
        <f>IF('Bản đồ công việc'!X378="","",'Bản đồ công việc'!AI378)</f>
        <v/>
      </c>
      <c r="W362" s="389">
        <f t="shared" si="2"/>
        <v>0</v>
      </c>
      <c r="X362" s="389" t="str">
        <f t="shared" si="3"/>
        <v/>
      </c>
      <c r="Y362" s="389" t="str">
        <f t="shared" ref="Y362:Z362" si="358">IFERROR(INDEX($O$8:$O$684,MATCH(X362,$N$8:$N$684,0)),"")</f>
        <v/>
      </c>
      <c r="Z362" s="389" t="str">
        <f t="shared" si="358"/>
        <v/>
      </c>
      <c r="AA362" s="389">
        <f t="shared" si="5"/>
        <v>0</v>
      </c>
    </row>
    <row r="363" ht="15.75" customHeight="1">
      <c r="M363" s="389" t="str">
        <f>IF('Bản đồ công việc'!X379="","",'Bản đồ công việc'!W379)</f>
        <v/>
      </c>
      <c r="N363" s="389" t="str">
        <f>IF('Bản đồ công việc'!X379="","",'Bản đồ công việc'!X379)</f>
        <v/>
      </c>
      <c r="O363" s="389" t="str">
        <f>IF('Bản đồ công việc'!X379="","",'Bản đồ công việc'!Y379)</f>
        <v/>
      </c>
      <c r="P363" s="389" t="str">
        <f>IF('Bản đồ công việc'!X379="","",'Bản đồ công việc'!V379)</f>
        <v/>
      </c>
      <c r="Q363" s="389" t="str">
        <f>IF('Bản đồ công việc'!X379="","",'Bản đồ công việc'!AC379)</f>
        <v/>
      </c>
      <c r="R363" s="389" t="str">
        <f>IF('Bản đồ công việc'!X379="","",'Bản đồ công việc'!AD379)</f>
        <v/>
      </c>
      <c r="S363" s="389" t="str">
        <f>IF('Bản đồ công việc'!X379="","",'Bản đồ công việc'!Z379)</f>
        <v/>
      </c>
      <c r="T363" s="389" t="str">
        <f>IF('Bản đồ công việc'!X379="","",'Bản đồ công việc'!AA379)</f>
        <v/>
      </c>
      <c r="U363" s="389" t="str">
        <f>IF('Bản đồ công việc'!X379="","",'Bản đồ công việc'!AE379)</f>
        <v/>
      </c>
      <c r="V363" s="389" t="str">
        <f>IF('Bản đồ công việc'!X379="","",'Bản đồ công việc'!AI379)</f>
        <v/>
      </c>
      <c r="W363" s="389">
        <f t="shared" si="2"/>
        <v>0</v>
      </c>
      <c r="X363" s="389" t="str">
        <f t="shared" si="3"/>
        <v/>
      </c>
      <c r="Y363" s="389" t="str">
        <f t="shared" ref="Y363:Z363" si="359">IFERROR(INDEX($O$8:$O$684,MATCH(X363,$N$8:$N$684,0)),"")</f>
        <v/>
      </c>
      <c r="Z363" s="389" t="str">
        <f t="shared" si="359"/>
        <v/>
      </c>
      <c r="AA363" s="389">
        <f t="shared" si="5"/>
        <v>0</v>
      </c>
    </row>
    <row r="364" ht="15.75" customHeight="1">
      <c r="M364" s="389" t="str">
        <f>IF('Bản đồ công việc'!X380="","",'Bản đồ công việc'!W380)</f>
        <v/>
      </c>
      <c r="N364" s="389" t="str">
        <f>IF('Bản đồ công việc'!X380="","",'Bản đồ công việc'!X380)</f>
        <v/>
      </c>
      <c r="O364" s="389" t="str">
        <f>IF('Bản đồ công việc'!X380="","",'Bản đồ công việc'!Y380)</f>
        <v/>
      </c>
      <c r="P364" s="389" t="str">
        <f>IF('Bản đồ công việc'!X380="","",'Bản đồ công việc'!V380)</f>
        <v/>
      </c>
      <c r="Q364" s="389" t="str">
        <f>IF('Bản đồ công việc'!X380="","",'Bản đồ công việc'!AC380)</f>
        <v/>
      </c>
      <c r="R364" s="389" t="str">
        <f>IF('Bản đồ công việc'!X380="","",'Bản đồ công việc'!AD380)</f>
        <v/>
      </c>
      <c r="S364" s="389" t="str">
        <f>IF('Bản đồ công việc'!X380="","",'Bản đồ công việc'!Z380)</f>
        <v/>
      </c>
      <c r="T364" s="389" t="str">
        <f>IF('Bản đồ công việc'!X380="","",'Bản đồ công việc'!AA380)</f>
        <v/>
      </c>
      <c r="U364" s="389" t="str">
        <f>IF('Bản đồ công việc'!X380="","",'Bản đồ công việc'!AE380)</f>
        <v/>
      </c>
      <c r="V364" s="389" t="str">
        <f>IF('Bản đồ công việc'!X380="","",'Bản đồ công việc'!AI380)</f>
        <v/>
      </c>
      <c r="W364" s="389">
        <f t="shared" si="2"/>
        <v>0</v>
      </c>
      <c r="X364" s="389" t="str">
        <f t="shared" si="3"/>
        <v/>
      </c>
      <c r="Y364" s="389" t="str">
        <f t="shared" ref="Y364:Z364" si="360">IFERROR(INDEX($O$8:$O$684,MATCH(X364,$N$8:$N$684,0)),"")</f>
        <v/>
      </c>
      <c r="Z364" s="389" t="str">
        <f t="shared" si="360"/>
        <v/>
      </c>
      <c r="AA364" s="389">
        <f t="shared" si="5"/>
        <v>0</v>
      </c>
    </row>
    <row r="365" ht="15.75" customHeight="1">
      <c r="M365" s="389" t="str">
        <f>IF('Bản đồ công việc'!X381="","",'Bản đồ công việc'!W381)</f>
        <v/>
      </c>
      <c r="N365" s="389" t="str">
        <f>IF('Bản đồ công việc'!X381="","",'Bản đồ công việc'!X381)</f>
        <v/>
      </c>
      <c r="O365" s="389" t="str">
        <f>IF('Bản đồ công việc'!X381="","",'Bản đồ công việc'!Y381)</f>
        <v/>
      </c>
      <c r="P365" s="389" t="str">
        <f>IF('Bản đồ công việc'!X381="","",'Bản đồ công việc'!V381)</f>
        <v/>
      </c>
      <c r="Q365" s="389" t="str">
        <f>IF('Bản đồ công việc'!X381="","",'Bản đồ công việc'!AC381)</f>
        <v/>
      </c>
      <c r="R365" s="389" t="str">
        <f>IF('Bản đồ công việc'!X381="","",'Bản đồ công việc'!AD381)</f>
        <v/>
      </c>
      <c r="S365" s="389" t="str">
        <f>IF('Bản đồ công việc'!X381="","",'Bản đồ công việc'!Z381)</f>
        <v/>
      </c>
      <c r="T365" s="389" t="str">
        <f>IF('Bản đồ công việc'!X381="","",'Bản đồ công việc'!AA381)</f>
        <v/>
      </c>
      <c r="U365" s="389" t="str">
        <f>IF('Bản đồ công việc'!X381="","",'Bản đồ công việc'!AE381)</f>
        <v/>
      </c>
      <c r="V365" s="389" t="str">
        <f>IF('Bản đồ công việc'!X381="","",'Bản đồ công việc'!AI381)</f>
        <v/>
      </c>
      <c r="W365" s="389">
        <f t="shared" si="2"/>
        <v>0</v>
      </c>
      <c r="X365" s="389" t="str">
        <f t="shared" si="3"/>
        <v/>
      </c>
      <c r="Y365" s="389" t="str">
        <f t="shared" ref="Y365:Z365" si="361">IFERROR(INDEX($O$8:$O$684,MATCH(X365,$N$8:$N$684,0)),"")</f>
        <v/>
      </c>
      <c r="Z365" s="389" t="str">
        <f t="shared" si="361"/>
        <v/>
      </c>
      <c r="AA365" s="389">
        <f t="shared" si="5"/>
        <v>0</v>
      </c>
    </row>
    <row r="366" ht="15.75" customHeight="1">
      <c r="M366" s="389" t="str">
        <f>IF('Bản đồ công việc'!X382="","",'Bản đồ công việc'!W382)</f>
        <v/>
      </c>
      <c r="N366" s="389" t="str">
        <f>IF('Bản đồ công việc'!X382="","",'Bản đồ công việc'!X382)</f>
        <v/>
      </c>
      <c r="O366" s="389" t="str">
        <f>IF('Bản đồ công việc'!X382="","",'Bản đồ công việc'!Y382)</f>
        <v/>
      </c>
      <c r="P366" s="389" t="str">
        <f>IF('Bản đồ công việc'!X382="","",'Bản đồ công việc'!V382)</f>
        <v/>
      </c>
      <c r="Q366" s="389" t="str">
        <f>IF('Bản đồ công việc'!X382="","",'Bản đồ công việc'!AC382)</f>
        <v/>
      </c>
      <c r="R366" s="389" t="str">
        <f>IF('Bản đồ công việc'!X382="","",'Bản đồ công việc'!AD382)</f>
        <v/>
      </c>
      <c r="S366" s="389" t="str">
        <f>IF('Bản đồ công việc'!X382="","",'Bản đồ công việc'!Z382)</f>
        <v/>
      </c>
      <c r="T366" s="389" t="str">
        <f>IF('Bản đồ công việc'!X382="","",'Bản đồ công việc'!AA382)</f>
        <v/>
      </c>
      <c r="U366" s="389" t="str">
        <f>IF('Bản đồ công việc'!X382="","",'Bản đồ công việc'!AE382)</f>
        <v/>
      </c>
      <c r="V366" s="389" t="str">
        <f>IF('Bản đồ công việc'!X382="","",'Bản đồ công việc'!AI382)</f>
        <v/>
      </c>
      <c r="W366" s="389">
        <f t="shared" si="2"/>
        <v>0</v>
      </c>
      <c r="X366" s="389" t="str">
        <f t="shared" si="3"/>
        <v/>
      </c>
      <c r="Y366" s="389" t="str">
        <f t="shared" ref="Y366:Z366" si="362">IFERROR(INDEX($O$8:$O$684,MATCH(X366,$N$8:$N$684,0)),"")</f>
        <v/>
      </c>
      <c r="Z366" s="389" t="str">
        <f t="shared" si="362"/>
        <v/>
      </c>
      <c r="AA366" s="389">
        <f t="shared" si="5"/>
        <v>0</v>
      </c>
    </row>
    <row r="367" ht="15.75" customHeight="1">
      <c r="M367" s="389" t="str">
        <f>IF('Bản đồ công việc'!X383="","",'Bản đồ công việc'!W383)</f>
        <v/>
      </c>
      <c r="N367" s="389" t="str">
        <f>IF('Bản đồ công việc'!X383="","",'Bản đồ công việc'!X383)</f>
        <v/>
      </c>
      <c r="O367" s="389" t="str">
        <f>IF('Bản đồ công việc'!X383="","",'Bản đồ công việc'!Y383)</f>
        <v/>
      </c>
      <c r="P367" s="389" t="str">
        <f>IF('Bản đồ công việc'!X383="","",'Bản đồ công việc'!V383)</f>
        <v/>
      </c>
      <c r="Q367" s="389" t="str">
        <f>IF('Bản đồ công việc'!X383="","",'Bản đồ công việc'!AC383)</f>
        <v/>
      </c>
      <c r="R367" s="389" t="str">
        <f>IF('Bản đồ công việc'!X383="","",'Bản đồ công việc'!AD383)</f>
        <v/>
      </c>
      <c r="S367" s="389" t="str">
        <f>IF('Bản đồ công việc'!X383="","",'Bản đồ công việc'!Z383)</f>
        <v/>
      </c>
      <c r="T367" s="389" t="str">
        <f>IF('Bản đồ công việc'!X383="","",'Bản đồ công việc'!AA383)</f>
        <v/>
      </c>
      <c r="U367" s="389" t="str">
        <f>IF('Bản đồ công việc'!X383="","",'Bản đồ công việc'!AE383)</f>
        <v/>
      </c>
      <c r="V367" s="389" t="str">
        <f>IF('Bản đồ công việc'!X383="","",'Bản đồ công việc'!AI383)</f>
        <v/>
      </c>
      <c r="W367" s="389">
        <f t="shared" si="2"/>
        <v>0</v>
      </c>
      <c r="X367" s="389" t="str">
        <f t="shared" si="3"/>
        <v/>
      </c>
      <c r="Y367" s="389" t="str">
        <f t="shared" ref="Y367:Z367" si="363">IFERROR(INDEX($O$8:$O$684,MATCH(X367,$N$8:$N$684,0)),"")</f>
        <v/>
      </c>
      <c r="Z367" s="389" t="str">
        <f t="shared" si="363"/>
        <v/>
      </c>
      <c r="AA367" s="389">
        <f t="shared" si="5"/>
        <v>0</v>
      </c>
    </row>
    <row r="368" ht="15.75" customHeight="1">
      <c r="M368" s="389" t="str">
        <f>IF('Bản đồ công việc'!X384="","",'Bản đồ công việc'!W384)</f>
        <v/>
      </c>
      <c r="N368" s="389" t="str">
        <f>IF('Bản đồ công việc'!X384="","",'Bản đồ công việc'!X384)</f>
        <v/>
      </c>
      <c r="O368" s="389" t="str">
        <f>IF('Bản đồ công việc'!X384="","",'Bản đồ công việc'!Y384)</f>
        <v/>
      </c>
      <c r="P368" s="389" t="str">
        <f>IF('Bản đồ công việc'!X384="","",'Bản đồ công việc'!V384)</f>
        <v/>
      </c>
      <c r="Q368" s="389" t="str">
        <f>IF('Bản đồ công việc'!X384="","",'Bản đồ công việc'!AC384)</f>
        <v/>
      </c>
      <c r="R368" s="389" t="str">
        <f>IF('Bản đồ công việc'!X384="","",'Bản đồ công việc'!AD384)</f>
        <v/>
      </c>
      <c r="S368" s="389" t="str">
        <f>IF('Bản đồ công việc'!X384="","",'Bản đồ công việc'!Z384)</f>
        <v/>
      </c>
      <c r="T368" s="389" t="str">
        <f>IF('Bản đồ công việc'!X384="","",'Bản đồ công việc'!AA384)</f>
        <v/>
      </c>
      <c r="U368" s="389" t="str">
        <f>IF('Bản đồ công việc'!X384="","",'Bản đồ công việc'!AE384)</f>
        <v/>
      </c>
      <c r="V368" s="389" t="str">
        <f>IF('Bản đồ công việc'!X384="","",'Bản đồ công việc'!AI384)</f>
        <v/>
      </c>
      <c r="W368" s="389">
        <f t="shared" si="2"/>
        <v>0</v>
      </c>
      <c r="X368" s="389" t="str">
        <f t="shared" si="3"/>
        <v/>
      </c>
      <c r="Y368" s="389" t="str">
        <f t="shared" ref="Y368:Z368" si="364">IFERROR(INDEX($O$8:$O$684,MATCH(X368,$N$8:$N$684,0)),"")</f>
        <v/>
      </c>
      <c r="Z368" s="389" t="str">
        <f t="shared" si="364"/>
        <v/>
      </c>
      <c r="AA368" s="389">
        <f t="shared" si="5"/>
        <v>0</v>
      </c>
    </row>
    <row r="369" ht="15.75" customHeight="1">
      <c r="M369" s="389" t="str">
        <f>IF('Bản đồ công việc'!X385="","",'Bản đồ công việc'!W385)</f>
        <v/>
      </c>
      <c r="N369" s="389" t="str">
        <f>IF('Bản đồ công việc'!X385="","",'Bản đồ công việc'!X385)</f>
        <v/>
      </c>
      <c r="O369" s="389" t="str">
        <f>IF('Bản đồ công việc'!X385="","",'Bản đồ công việc'!Y385)</f>
        <v/>
      </c>
      <c r="P369" s="389" t="str">
        <f>IF('Bản đồ công việc'!X385="","",'Bản đồ công việc'!V385)</f>
        <v/>
      </c>
      <c r="Q369" s="389" t="str">
        <f>IF('Bản đồ công việc'!X385="","",'Bản đồ công việc'!AC385)</f>
        <v/>
      </c>
      <c r="R369" s="389" t="str">
        <f>IF('Bản đồ công việc'!X385="","",'Bản đồ công việc'!AD385)</f>
        <v/>
      </c>
      <c r="S369" s="389" t="str">
        <f>IF('Bản đồ công việc'!X385="","",'Bản đồ công việc'!Z385)</f>
        <v/>
      </c>
      <c r="T369" s="389" t="str">
        <f>IF('Bản đồ công việc'!X385="","",'Bản đồ công việc'!AA385)</f>
        <v/>
      </c>
      <c r="U369" s="389" t="str">
        <f>IF('Bản đồ công việc'!X385="","",'Bản đồ công việc'!AE385)</f>
        <v/>
      </c>
      <c r="V369" s="389" t="str">
        <f>IF('Bản đồ công việc'!X385="","",'Bản đồ công việc'!AI385)</f>
        <v/>
      </c>
      <c r="W369" s="389">
        <f t="shared" si="2"/>
        <v>0</v>
      </c>
      <c r="X369" s="389" t="str">
        <f t="shared" si="3"/>
        <v/>
      </c>
      <c r="Y369" s="389" t="str">
        <f t="shared" ref="Y369:Z369" si="365">IFERROR(INDEX($O$8:$O$684,MATCH(X369,$N$8:$N$684,0)),"")</f>
        <v/>
      </c>
      <c r="Z369" s="389" t="str">
        <f t="shared" si="365"/>
        <v/>
      </c>
      <c r="AA369" s="389">
        <f t="shared" si="5"/>
        <v>0</v>
      </c>
    </row>
    <row r="370" ht="15.75" customHeight="1">
      <c r="M370" s="389" t="str">
        <f>IF('Bản đồ công việc'!X386="","",'Bản đồ công việc'!W386)</f>
        <v/>
      </c>
      <c r="N370" s="389" t="str">
        <f>IF('Bản đồ công việc'!X386="","",'Bản đồ công việc'!X386)</f>
        <v/>
      </c>
      <c r="O370" s="389" t="str">
        <f>IF('Bản đồ công việc'!X386="","",'Bản đồ công việc'!Y386)</f>
        <v/>
      </c>
      <c r="P370" s="389" t="str">
        <f>IF('Bản đồ công việc'!X386="","",'Bản đồ công việc'!V386)</f>
        <v/>
      </c>
      <c r="Q370" s="389" t="str">
        <f>IF('Bản đồ công việc'!X386="","",'Bản đồ công việc'!AC386)</f>
        <v/>
      </c>
      <c r="R370" s="389" t="str">
        <f>IF('Bản đồ công việc'!X386="","",'Bản đồ công việc'!AD386)</f>
        <v/>
      </c>
      <c r="S370" s="389" t="str">
        <f>IF('Bản đồ công việc'!X386="","",'Bản đồ công việc'!Z386)</f>
        <v/>
      </c>
      <c r="T370" s="389" t="str">
        <f>IF('Bản đồ công việc'!X386="","",'Bản đồ công việc'!AA386)</f>
        <v/>
      </c>
      <c r="U370" s="389" t="str">
        <f>IF('Bản đồ công việc'!X386="","",'Bản đồ công việc'!AE386)</f>
        <v/>
      </c>
      <c r="V370" s="389" t="str">
        <f>IF('Bản đồ công việc'!X386="","",'Bản đồ công việc'!AI386)</f>
        <v/>
      </c>
      <c r="W370" s="389">
        <f t="shared" si="2"/>
        <v>0</v>
      </c>
      <c r="X370" s="389" t="str">
        <f t="shared" si="3"/>
        <v/>
      </c>
      <c r="Y370" s="389" t="str">
        <f t="shared" ref="Y370:Z370" si="366">IFERROR(INDEX($O$8:$O$684,MATCH(X370,$N$8:$N$684,0)),"")</f>
        <v/>
      </c>
      <c r="Z370" s="389" t="str">
        <f t="shared" si="366"/>
        <v/>
      </c>
      <c r="AA370" s="389">
        <f t="shared" si="5"/>
        <v>0</v>
      </c>
    </row>
    <row r="371" ht="15.75" customHeight="1">
      <c r="M371" s="389" t="str">
        <f>IF('Bản đồ công việc'!X387="","",'Bản đồ công việc'!W387)</f>
        <v/>
      </c>
      <c r="N371" s="389" t="str">
        <f>IF('Bản đồ công việc'!X387="","",'Bản đồ công việc'!X387)</f>
        <v/>
      </c>
      <c r="O371" s="389" t="str">
        <f>IF('Bản đồ công việc'!X387="","",'Bản đồ công việc'!Y387)</f>
        <v/>
      </c>
      <c r="P371" s="389" t="str">
        <f>IF('Bản đồ công việc'!X387="","",'Bản đồ công việc'!V387)</f>
        <v/>
      </c>
      <c r="Q371" s="389" t="str">
        <f>IF('Bản đồ công việc'!X387="","",'Bản đồ công việc'!AC387)</f>
        <v/>
      </c>
      <c r="R371" s="389" t="str">
        <f>IF('Bản đồ công việc'!X387="","",'Bản đồ công việc'!AD387)</f>
        <v/>
      </c>
      <c r="S371" s="389" t="str">
        <f>IF('Bản đồ công việc'!X387="","",'Bản đồ công việc'!Z387)</f>
        <v/>
      </c>
      <c r="T371" s="389" t="str">
        <f>IF('Bản đồ công việc'!X387="","",'Bản đồ công việc'!AA387)</f>
        <v/>
      </c>
      <c r="U371" s="389" t="str">
        <f>IF('Bản đồ công việc'!X387="","",'Bản đồ công việc'!AE387)</f>
        <v/>
      </c>
      <c r="V371" s="389" t="str">
        <f>IF('Bản đồ công việc'!X387="","",'Bản đồ công việc'!AI387)</f>
        <v/>
      </c>
      <c r="W371" s="389">
        <f t="shared" si="2"/>
        <v>0</v>
      </c>
      <c r="X371" s="389" t="str">
        <f t="shared" si="3"/>
        <v/>
      </c>
      <c r="Y371" s="389" t="str">
        <f t="shared" ref="Y371:Z371" si="367">IFERROR(INDEX($O$8:$O$684,MATCH(X371,$N$8:$N$684,0)),"")</f>
        <v/>
      </c>
      <c r="Z371" s="389" t="str">
        <f t="shared" si="367"/>
        <v/>
      </c>
      <c r="AA371" s="389">
        <f t="shared" si="5"/>
        <v>0</v>
      </c>
    </row>
    <row r="372" ht="15.75" customHeight="1">
      <c r="M372" s="389" t="str">
        <f>IF('Bản đồ công việc'!X388="","",'Bản đồ công việc'!W388)</f>
        <v/>
      </c>
      <c r="N372" s="389" t="str">
        <f>IF('Bản đồ công việc'!X388="","",'Bản đồ công việc'!X388)</f>
        <v/>
      </c>
      <c r="O372" s="389" t="str">
        <f>IF('Bản đồ công việc'!X388="","",'Bản đồ công việc'!Y388)</f>
        <v/>
      </c>
      <c r="P372" s="389" t="str">
        <f>IF('Bản đồ công việc'!X388="","",'Bản đồ công việc'!V388)</f>
        <v/>
      </c>
      <c r="Q372" s="389" t="str">
        <f>IF('Bản đồ công việc'!X388="","",'Bản đồ công việc'!AC388)</f>
        <v/>
      </c>
      <c r="R372" s="389" t="str">
        <f>IF('Bản đồ công việc'!X388="","",'Bản đồ công việc'!AD388)</f>
        <v/>
      </c>
      <c r="S372" s="389" t="str">
        <f>IF('Bản đồ công việc'!X388="","",'Bản đồ công việc'!Z388)</f>
        <v/>
      </c>
      <c r="T372" s="389" t="str">
        <f>IF('Bản đồ công việc'!X388="","",'Bản đồ công việc'!AA388)</f>
        <v/>
      </c>
      <c r="U372" s="389" t="str">
        <f>IF('Bản đồ công việc'!X388="","",'Bản đồ công việc'!AE388)</f>
        <v/>
      </c>
      <c r="V372" s="389" t="str">
        <f>IF('Bản đồ công việc'!X388="","",'Bản đồ công việc'!AI388)</f>
        <v/>
      </c>
      <c r="W372" s="389">
        <f t="shared" si="2"/>
        <v>0</v>
      </c>
      <c r="X372" s="389" t="str">
        <f t="shared" si="3"/>
        <v/>
      </c>
      <c r="Y372" s="389" t="str">
        <f t="shared" ref="Y372:Z372" si="368">IFERROR(INDEX($O$8:$O$684,MATCH(X372,$N$8:$N$684,0)),"")</f>
        <v/>
      </c>
      <c r="Z372" s="389" t="str">
        <f t="shared" si="368"/>
        <v/>
      </c>
      <c r="AA372" s="389">
        <f t="shared" si="5"/>
        <v>0</v>
      </c>
    </row>
    <row r="373" ht="15.75" customHeight="1">
      <c r="M373" s="389" t="str">
        <f>IF('Bản đồ công việc'!X389="","",'Bản đồ công việc'!W389)</f>
        <v/>
      </c>
      <c r="N373" s="389" t="str">
        <f>IF('Bản đồ công việc'!X389="","",'Bản đồ công việc'!X389)</f>
        <v/>
      </c>
      <c r="O373" s="389" t="str">
        <f>IF('Bản đồ công việc'!X389="","",'Bản đồ công việc'!Y389)</f>
        <v/>
      </c>
      <c r="P373" s="389" t="str">
        <f>IF('Bản đồ công việc'!X389="","",'Bản đồ công việc'!V389)</f>
        <v/>
      </c>
      <c r="Q373" s="389" t="str">
        <f>IF('Bản đồ công việc'!X389="","",'Bản đồ công việc'!AC389)</f>
        <v/>
      </c>
      <c r="R373" s="389" t="str">
        <f>IF('Bản đồ công việc'!X389="","",'Bản đồ công việc'!AD389)</f>
        <v/>
      </c>
      <c r="S373" s="389" t="str">
        <f>IF('Bản đồ công việc'!X389="","",'Bản đồ công việc'!Z389)</f>
        <v/>
      </c>
      <c r="T373" s="389" t="str">
        <f>IF('Bản đồ công việc'!X389="","",'Bản đồ công việc'!AA389)</f>
        <v/>
      </c>
      <c r="U373" s="389" t="str">
        <f>IF('Bản đồ công việc'!X389="","",'Bản đồ công việc'!AE389)</f>
        <v/>
      </c>
      <c r="V373" s="389" t="str">
        <f>IF('Bản đồ công việc'!X389="","",'Bản đồ công việc'!AI389)</f>
        <v/>
      </c>
      <c r="W373" s="389">
        <f t="shared" si="2"/>
        <v>0</v>
      </c>
      <c r="X373" s="389" t="str">
        <f t="shared" si="3"/>
        <v/>
      </c>
      <c r="Y373" s="389" t="str">
        <f t="shared" ref="Y373:Z373" si="369">IFERROR(INDEX($O$8:$O$684,MATCH(X373,$N$8:$N$684,0)),"")</f>
        <v/>
      </c>
      <c r="Z373" s="389" t="str">
        <f t="shared" si="369"/>
        <v/>
      </c>
      <c r="AA373" s="389">
        <f t="shared" si="5"/>
        <v>0</v>
      </c>
    </row>
    <row r="374" ht="15.75" customHeight="1">
      <c r="M374" s="389" t="str">
        <f>IF('Bản đồ công việc'!X390="","",'Bản đồ công việc'!W390)</f>
        <v/>
      </c>
      <c r="N374" s="389" t="str">
        <f>IF('Bản đồ công việc'!X390="","",'Bản đồ công việc'!X390)</f>
        <v/>
      </c>
      <c r="O374" s="389" t="str">
        <f>IF('Bản đồ công việc'!X390="","",'Bản đồ công việc'!Y390)</f>
        <v/>
      </c>
      <c r="P374" s="389" t="str">
        <f>IF('Bản đồ công việc'!X390="","",'Bản đồ công việc'!V390)</f>
        <v/>
      </c>
      <c r="Q374" s="389" t="str">
        <f>IF('Bản đồ công việc'!X390="","",'Bản đồ công việc'!AC390)</f>
        <v/>
      </c>
      <c r="R374" s="389" t="str">
        <f>IF('Bản đồ công việc'!X390="","",'Bản đồ công việc'!AD390)</f>
        <v/>
      </c>
      <c r="S374" s="389" t="str">
        <f>IF('Bản đồ công việc'!X390="","",'Bản đồ công việc'!Z390)</f>
        <v/>
      </c>
      <c r="T374" s="389" t="str">
        <f>IF('Bản đồ công việc'!X390="","",'Bản đồ công việc'!AA390)</f>
        <v/>
      </c>
      <c r="U374" s="389" t="str">
        <f>IF('Bản đồ công việc'!X390="","",'Bản đồ công việc'!AE390)</f>
        <v/>
      </c>
      <c r="V374" s="389" t="str">
        <f>IF('Bản đồ công việc'!X390="","",'Bản đồ công việc'!AI390)</f>
        <v/>
      </c>
      <c r="W374" s="389">
        <f t="shared" si="2"/>
        <v>0</v>
      </c>
      <c r="X374" s="389" t="str">
        <f t="shared" si="3"/>
        <v/>
      </c>
      <c r="Y374" s="389" t="str">
        <f t="shared" ref="Y374:Z374" si="370">IFERROR(INDEX($O$8:$O$684,MATCH(X374,$N$8:$N$684,0)),"")</f>
        <v/>
      </c>
      <c r="Z374" s="389" t="str">
        <f t="shared" si="370"/>
        <v/>
      </c>
      <c r="AA374" s="389">
        <f t="shared" si="5"/>
        <v>0</v>
      </c>
    </row>
    <row r="375" ht="15.75" customHeight="1">
      <c r="M375" s="389" t="str">
        <f>IF('Bản đồ công việc'!X391="","",'Bản đồ công việc'!W391)</f>
        <v/>
      </c>
      <c r="N375" s="389" t="str">
        <f>IF('Bản đồ công việc'!X391="","",'Bản đồ công việc'!X391)</f>
        <v/>
      </c>
      <c r="O375" s="389" t="str">
        <f>IF('Bản đồ công việc'!X391="","",'Bản đồ công việc'!Y391)</f>
        <v/>
      </c>
      <c r="P375" s="389" t="str">
        <f>IF('Bản đồ công việc'!X391="","",'Bản đồ công việc'!V391)</f>
        <v/>
      </c>
      <c r="Q375" s="389" t="str">
        <f>IF('Bản đồ công việc'!X391="","",'Bản đồ công việc'!AC391)</f>
        <v/>
      </c>
      <c r="R375" s="389" t="str">
        <f>IF('Bản đồ công việc'!X391="","",'Bản đồ công việc'!AD391)</f>
        <v/>
      </c>
      <c r="S375" s="389" t="str">
        <f>IF('Bản đồ công việc'!X391="","",'Bản đồ công việc'!Z391)</f>
        <v/>
      </c>
      <c r="T375" s="389" t="str">
        <f>IF('Bản đồ công việc'!X391="","",'Bản đồ công việc'!AA391)</f>
        <v/>
      </c>
      <c r="U375" s="389" t="str">
        <f>IF('Bản đồ công việc'!X391="","",'Bản đồ công việc'!AE391)</f>
        <v/>
      </c>
      <c r="V375" s="389" t="str">
        <f>IF('Bản đồ công việc'!X391="","",'Bản đồ công việc'!AI391)</f>
        <v/>
      </c>
      <c r="W375" s="389">
        <f t="shared" si="2"/>
        <v>0</v>
      </c>
      <c r="X375" s="389" t="str">
        <f t="shared" si="3"/>
        <v/>
      </c>
      <c r="Y375" s="389" t="str">
        <f t="shared" ref="Y375:Z375" si="371">IFERROR(INDEX($O$8:$O$684,MATCH(X375,$N$8:$N$684,0)),"")</f>
        <v/>
      </c>
      <c r="Z375" s="389" t="str">
        <f t="shared" si="371"/>
        <v/>
      </c>
      <c r="AA375" s="389">
        <f t="shared" si="5"/>
        <v>0</v>
      </c>
    </row>
    <row r="376" ht="15.75" customHeight="1">
      <c r="M376" s="389" t="str">
        <f>IF('Bản đồ công việc'!X392="","",'Bản đồ công việc'!W392)</f>
        <v/>
      </c>
      <c r="N376" s="389" t="str">
        <f>IF('Bản đồ công việc'!X392="","",'Bản đồ công việc'!X392)</f>
        <v/>
      </c>
      <c r="O376" s="389" t="str">
        <f>IF('Bản đồ công việc'!X392="","",'Bản đồ công việc'!Y392)</f>
        <v/>
      </c>
      <c r="P376" s="389" t="str">
        <f>IF('Bản đồ công việc'!X392="","",'Bản đồ công việc'!V392)</f>
        <v/>
      </c>
      <c r="Q376" s="389" t="str">
        <f>IF('Bản đồ công việc'!X392="","",'Bản đồ công việc'!AC392)</f>
        <v/>
      </c>
      <c r="R376" s="389" t="str">
        <f>IF('Bản đồ công việc'!X392="","",'Bản đồ công việc'!AD392)</f>
        <v/>
      </c>
      <c r="S376" s="389" t="str">
        <f>IF('Bản đồ công việc'!X392="","",'Bản đồ công việc'!Z392)</f>
        <v/>
      </c>
      <c r="T376" s="389" t="str">
        <f>IF('Bản đồ công việc'!X392="","",'Bản đồ công việc'!AA392)</f>
        <v/>
      </c>
      <c r="U376" s="389" t="str">
        <f>IF('Bản đồ công việc'!X392="","",'Bản đồ công việc'!AE392)</f>
        <v/>
      </c>
      <c r="V376" s="389" t="str">
        <f>IF('Bản đồ công việc'!X392="","",'Bản đồ công việc'!AI392)</f>
        <v/>
      </c>
      <c r="W376" s="389">
        <f t="shared" si="2"/>
        <v>0</v>
      </c>
      <c r="X376" s="389" t="str">
        <f t="shared" si="3"/>
        <v/>
      </c>
      <c r="Y376" s="389" t="str">
        <f t="shared" ref="Y376:Z376" si="372">IFERROR(INDEX($O$8:$O$684,MATCH(X376,$N$8:$N$684,0)),"")</f>
        <v/>
      </c>
      <c r="Z376" s="389" t="str">
        <f t="shared" si="372"/>
        <v/>
      </c>
      <c r="AA376" s="389">
        <f t="shared" si="5"/>
        <v>0</v>
      </c>
    </row>
    <row r="377" ht="15.75" customHeight="1">
      <c r="M377" s="389" t="str">
        <f>IF('Bản đồ công việc'!X393="","",'Bản đồ công việc'!W393)</f>
        <v/>
      </c>
      <c r="N377" s="389" t="str">
        <f>IF('Bản đồ công việc'!X393="","",'Bản đồ công việc'!X393)</f>
        <v/>
      </c>
      <c r="O377" s="389" t="str">
        <f>IF('Bản đồ công việc'!X393="","",'Bản đồ công việc'!Y393)</f>
        <v/>
      </c>
      <c r="P377" s="389" t="str">
        <f>IF('Bản đồ công việc'!X393="","",'Bản đồ công việc'!V393)</f>
        <v/>
      </c>
      <c r="Q377" s="389" t="str">
        <f>IF('Bản đồ công việc'!X393="","",'Bản đồ công việc'!AC393)</f>
        <v/>
      </c>
      <c r="R377" s="389" t="str">
        <f>IF('Bản đồ công việc'!X393="","",'Bản đồ công việc'!AD393)</f>
        <v/>
      </c>
      <c r="S377" s="389" t="str">
        <f>IF('Bản đồ công việc'!X393="","",'Bản đồ công việc'!Z393)</f>
        <v/>
      </c>
      <c r="T377" s="389" t="str">
        <f>IF('Bản đồ công việc'!X393="","",'Bản đồ công việc'!AA393)</f>
        <v/>
      </c>
      <c r="U377" s="389" t="str">
        <f>IF('Bản đồ công việc'!X393="","",'Bản đồ công việc'!AE393)</f>
        <v/>
      </c>
      <c r="V377" s="389" t="str">
        <f>IF('Bản đồ công việc'!X393="","",'Bản đồ công việc'!AI393)</f>
        <v/>
      </c>
      <c r="W377" s="389">
        <f t="shared" si="2"/>
        <v>0</v>
      </c>
      <c r="X377" s="389" t="str">
        <f t="shared" si="3"/>
        <v/>
      </c>
      <c r="Y377" s="389" t="str">
        <f t="shared" ref="Y377:Z377" si="373">IFERROR(INDEX($O$8:$O$684,MATCH(X377,$N$8:$N$684,0)),"")</f>
        <v/>
      </c>
      <c r="Z377" s="389" t="str">
        <f t="shared" si="373"/>
        <v/>
      </c>
      <c r="AA377" s="389">
        <f t="shared" si="5"/>
        <v>0</v>
      </c>
    </row>
    <row r="378" ht="15.75" customHeight="1">
      <c r="M378" s="389" t="str">
        <f>IF('Bản đồ công việc'!X394="","",'Bản đồ công việc'!W394)</f>
        <v/>
      </c>
      <c r="N378" s="389" t="str">
        <f>IF('Bản đồ công việc'!X394="","",'Bản đồ công việc'!X394)</f>
        <v/>
      </c>
      <c r="O378" s="389" t="str">
        <f>IF('Bản đồ công việc'!X394="","",'Bản đồ công việc'!Y394)</f>
        <v/>
      </c>
      <c r="P378" s="389" t="str">
        <f>IF('Bản đồ công việc'!X394="","",'Bản đồ công việc'!V394)</f>
        <v/>
      </c>
      <c r="Q378" s="389" t="str">
        <f>IF('Bản đồ công việc'!X394="","",'Bản đồ công việc'!AC394)</f>
        <v/>
      </c>
      <c r="R378" s="389" t="str">
        <f>IF('Bản đồ công việc'!X394="","",'Bản đồ công việc'!AD394)</f>
        <v/>
      </c>
      <c r="S378" s="389" t="str">
        <f>IF('Bản đồ công việc'!X394="","",'Bản đồ công việc'!Z394)</f>
        <v/>
      </c>
      <c r="T378" s="389" t="str">
        <f>IF('Bản đồ công việc'!X394="","",'Bản đồ công việc'!AA394)</f>
        <v/>
      </c>
      <c r="U378" s="389" t="str">
        <f>IF('Bản đồ công việc'!X394="","",'Bản đồ công việc'!AE394)</f>
        <v/>
      </c>
      <c r="V378" s="389" t="str">
        <f>IF('Bản đồ công việc'!X394="","",'Bản đồ công việc'!AI394)</f>
        <v/>
      </c>
      <c r="W378" s="389">
        <f t="shared" si="2"/>
        <v>0</v>
      </c>
      <c r="X378" s="389" t="str">
        <f t="shared" si="3"/>
        <v/>
      </c>
      <c r="Y378" s="389" t="str">
        <f t="shared" ref="Y378:Z378" si="374">IFERROR(INDEX($O$8:$O$684,MATCH(X378,$N$8:$N$684,0)),"")</f>
        <v/>
      </c>
      <c r="Z378" s="389" t="str">
        <f t="shared" si="374"/>
        <v/>
      </c>
      <c r="AA378" s="389">
        <f t="shared" si="5"/>
        <v>0</v>
      </c>
    </row>
    <row r="379" ht="15.75" customHeight="1">
      <c r="M379" s="389" t="str">
        <f>IF('Bản đồ công việc'!X395="","",'Bản đồ công việc'!W395)</f>
        <v/>
      </c>
      <c r="N379" s="389" t="str">
        <f>IF('Bản đồ công việc'!X395="","",'Bản đồ công việc'!X395)</f>
        <v/>
      </c>
      <c r="O379" s="389" t="str">
        <f>IF('Bản đồ công việc'!X395="","",'Bản đồ công việc'!Y395)</f>
        <v/>
      </c>
      <c r="P379" s="389" t="str">
        <f>IF('Bản đồ công việc'!X395="","",'Bản đồ công việc'!V395)</f>
        <v/>
      </c>
      <c r="Q379" s="389" t="str">
        <f>IF('Bản đồ công việc'!X395="","",'Bản đồ công việc'!AC395)</f>
        <v/>
      </c>
      <c r="R379" s="389" t="str">
        <f>IF('Bản đồ công việc'!X395="","",'Bản đồ công việc'!AD395)</f>
        <v/>
      </c>
      <c r="S379" s="389" t="str">
        <f>IF('Bản đồ công việc'!X395="","",'Bản đồ công việc'!Z395)</f>
        <v/>
      </c>
      <c r="T379" s="389" t="str">
        <f>IF('Bản đồ công việc'!X395="","",'Bản đồ công việc'!AA395)</f>
        <v/>
      </c>
      <c r="U379" s="389" t="str">
        <f>IF('Bản đồ công việc'!X395="","",'Bản đồ công việc'!AE395)</f>
        <v/>
      </c>
      <c r="V379" s="389" t="str">
        <f>IF('Bản đồ công việc'!X395="","",'Bản đồ công việc'!AI395)</f>
        <v/>
      </c>
      <c r="W379" s="389">
        <f t="shared" si="2"/>
        <v>0</v>
      </c>
      <c r="X379" s="389" t="str">
        <f t="shared" si="3"/>
        <v/>
      </c>
      <c r="Y379" s="389" t="str">
        <f t="shared" ref="Y379:Z379" si="375">IFERROR(INDEX($O$8:$O$684,MATCH(X379,$N$8:$N$684,0)),"")</f>
        <v/>
      </c>
      <c r="Z379" s="389" t="str">
        <f t="shared" si="375"/>
        <v/>
      </c>
      <c r="AA379" s="389">
        <f t="shared" si="5"/>
        <v>0</v>
      </c>
    </row>
    <row r="380" ht="15.75" customHeight="1">
      <c r="M380" s="389" t="str">
        <f>IF('Bản đồ công việc'!X396="","",'Bản đồ công việc'!W396)</f>
        <v/>
      </c>
      <c r="N380" s="389" t="str">
        <f>IF('Bản đồ công việc'!X396="","",'Bản đồ công việc'!X396)</f>
        <v/>
      </c>
      <c r="O380" s="389" t="str">
        <f>IF('Bản đồ công việc'!X396="","",'Bản đồ công việc'!Y396)</f>
        <v/>
      </c>
      <c r="P380" s="389" t="str">
        <f>IF('Bản đồ công việc'!X396="","",'Bản đồ công việc'!V396)</f>
        <v/>
      </c>
      <c r="Q380" s="389" t="str">
        <f>IF('Bản đồ công việc'!X396="","",'Bản đồ công việc'!AC396)</f>
        <v/>
      </c>
      <c r="R380" s="389" t="str">
        <f>IF('Bản đồ công việc'!X396="","",'Bản đồ công việc'!AD396)</f>
        <v/>
      </c>
      <c r="S380" s="389" t="str">
        <f>IF('Bản đồ công việc'!X396="","",'Bản đồ công việc'!Z396)</f>
        <v/>
      </c>
      <c r="T380" s="389" t="str">
        <f>IF('Bản đồ công việc'!X396="","",'Bản đồ công việc'!AA396)</f>
        <v/>
      </c>
      <c r="U380" s="389" t="str">
        <f>IF('Bản đồ công việc'!X396="","",'Bản đồ công việc'!AE396)</f>
        <v/>
      </c>
      <c r="V380" s="389" t="str">
        <f>IF('Bản đồ công việc'!X396="","",'Bản đồ công việc'!AI396)</f>
        <v/>
      </c>
      <c r="W380" s="389">
        <f t="shared" si="2"/>
        <v>0</v>
      </c>
      <c r="X380" s="389" t="str">
        <f t="shared" si="3"/>
        <v/>
      </c>
      <c r="Y380" s="389" t="str">
        <f t="shared" ref="Y380:Z380" si="376">IFERROR(INDEX($O$8:$O$684,MATCH(X380,$N$8:$N$684,0)),"")</f>
        <v/>
      </c>
      <c r="Z380" s="389" t="str">
        <f t="shared" si="376"/>
        <v/>
      </c>
      <c r="AA380" s="389">
        <f t="shared" si="5"/>
        <v>0</v>
      </c>
    </row>
    <row r="381" ht="15.75" customHeight="1">
      <c r="M381" s="389" t="str">
        <f>IF('Bản đồ công việc'!X397="","",'Bản đồ công việc'!W397)</f>
        <v/>
      </c>
      <c r="N381" s="389" t="str">
        <f>IF('Bản đồ công việc'!X397="","",'Bản đồ công việc'!X397)</f>
        <v/>
      </c>
      <c r="O381" s="389" t="str">
        <f>IF('Bản đồ công việc'!X397="","",'Bản đồ công việc'!Y397)</f>
        <v/>
      </c>
      <c r="P381" s="389" t="str">
        <f>IF('Bản đồ công việc'!X397="","",'Bản đồ công việc'!V397)</f>
        <v/>
      </c>
      <c r="Q381" s="389" t="str">
        <f>IF('Bản đồ công việc'!X397="","",'Bản đồ công việc'!AC397)</f>
        <v/>
      </c>
      <c r="R381" s="389" t="str">
        <f>IF('Bản đồ công việc'!X397="","",'Bản đồ công việc'!AD397)</f>
        <v/>
      </c>
      <c r="S381" s="389" t="str">
        <f>IF('Bản đồ công việc'!X397="","",'Bản đồ công việc'!Z397)</f>
        <v/>
      </c>
      <c r="T381" s="389" t="str">
        <f>IF('Bản đồ công việc'!X397="","",'Bản đồ công việc'!AA397)</f>
        <v/>
      </c>
      <c r="U381" s="389" t="str">
        <f>IF('Bản đồ công việc'!X397="","",'Bản đồ công việc'!AE397)</f>
        <v/>
      </c>
      <c r="V381" s="389" t="str">
        <f>IF('Bản đồ công việc'!X397="","",'Bản đồ công việc'!AI397)</f>
        <v/>
      </c>
      <c r="W381" s="389">
        <f t="shared" si="2"/>
        <v>0</v>
      </c>
      <c r="X381" s="389" t="str">
        <f t="shared" si="3"/>
        <v/>
      </c>
      <c r="Y381" s="389" t="str">
        <f t="shared" ref="Y381:Z381" si="377">IFERROR(INDEX($O$8:$O$684,MATCH(X381,$N$8:$N$684,0)),"")</f>
        <v/>
      </c>
      <c r="Z381" s="389" t="str">
        <f t="shared" si="377"/>
        <v/>
      </c>
      <c r="AA381" s="389">
        <f t="shared" si="5"/>
        <v>0</v>
      </c>
    </row>
    <row r="382" ht="15.75" customHeight="1">
      <c r="M382" s="389" t="str">
        <f>IF('Bản đồ công việc'!X398="","",'Bản đồ công việc'!W398)</f>
        <v/>
      </c>
      <c r="N382" s="389" t="str">
        <f>IF('Bản đồ công việc'!X398="","",'Bản đồ công việc'!X398)</f>
        <v/>
      </c>
      <c r="O382" s="389" t="str">
        <f>IF('Bản đồ công việc'!X398="","",'Bản đồ công việc'!Y398)</f>
        <v/>
      </c>
      <c r="P382" s="389" t="str">
        <f>IF('Bản đồ công việc'!X398="","",'Bản đồ công việc'!V398)</f>
        <v/>
      </c>
      <c r="Q382" s="389" t="str">
        <f>IF('Bản đồ công việc'!X398="","",'Bản đồ công việc'!AC398)</f>
        <v/>
      </c>
      <c r="R382" s="389" t="str">
        <f>IF('Bản đồ công việc'!X398="","",'Bản đồ công việc'!AD398)</f>
        <v/>
      </c>
      <c r="S382" s="389" t="str">
        <f>IF('Bản đồ công việc'!X398="","",'Bản đồ công việc'!Z398)</f>
        <v/>
      </c>
      <c r="T382" s="389" t="str">
        <f>IF('Bản đồ công việc'!X398="","",'Bản đồ công việc'!AA398)</f>
        <v/>
      </c>
      <c r="U382" s="389" t="str">
        <f>IF('Bản đồ công việc'!X398="","",'Bản đồ công việc'!AE398)</f>
        <v/>
      </c>
      <c r="V382" s="389" t="str">
        <f>IF('Bản đồ công việc'!X398="","",'Bản đồ công việc'!AI398)</f>
        <v/>
      </c>
      <c r="W382" s="389">
        <f t="shared" si="2"/>
        <v>0</v>
      </c>
      <c r="X382" s="389" t="str">
        <f t="shared" si="3"/>
        <v/>
      </c>
      <c r="Y382" s="389" t="str">
        <f t="shared" ref="Y382:Z382" si="378">IFERROR(INDEX($O$8:$O$684,MATCH(X382,$N$8:$N$684,0)),"")</f>
        <v/>
      </c>
      <c r="Z382" s="389" t="str">
        <f t="shared" si="378"/>
        <v/>
      </c>
      <c r="AA382" s="389">
        <f t="shared" si="5"/>
        <v>0</v>
      </c>
    </row>
    <row r="383" ht="15.75" customHeight="1">
      <c r="M383" s="389" t="str">
        <f>IF('Bản đồ công việc'!X399="","",'Bản đồ công việc'!W399)</f>
        <v/>
      </c>
      <c r="N383" s="389" t="str">
        <f>IF('Bản đồ công việc'!X399="","",'Bản đồ công việc'!X399)</f>
        <v/>
      </c>
      <c r="O383" s="389" t="str">
        <f>IF('Bản đồ công việc'!X399="","",'Bản đồ công việc'!Y399)</f>
        <v/>
      </c>
      <c r="P383" s="389" t="str">
        <f>IF('Bản đồ công việc'!X399="","",'Bản đồ công việc'!V399)</f>
        <v/>
      </c>
      <c r="Q383" s="389" t="str">
        <f>IF('Bản đồ công việc'!X399="","",'Bản đồ công việc'!AC399)</f>
        <v/>
      </c>
      <c r="R383" s="389" t="str">
        <f>IF('Bản đồ công việc'!X399="","",'Bản đồ công việc'!AD399)</f>
        <v/>
      </c>
      <c r="S383" s="389" t="str">
        <f>IF('Bản đồ công việc'!X399="","",'Bản đồ công việc'!Z399)</f>
        <v/>
      </c>
      <c r="T383" s="389" t="str">
        <f>IF('Bản đồ công việc'!X399="","",'Bản đồ công việc'!AA399)</f>
        <v/>
      </c>
      <c r="U383" s="389" t="str">
        <f>IF('Bản đồ công việc'!X399="","",'Bản đồ công việc'!AE399)</f>
        <v/>
      </c>
      <c r="V383" s="389" t="str">
        <f>IF('Bản đồ công việc'!X399="","",'Bản đồ công việc'!AI399)</f>
        <v/>
      </c>
      <c r="W383" s="389">
        <f t="shared" si="2"/>
        <v>0</v>
      </c>
      <c r="X383" s="389" t="str">
        <f t="shared" si="3"/>
        <v/>
      </c>
      <c r="Y383" s="389" t="str">
        <f t="shared" ref="Y383:Z383" si="379">IFERROR(INDEX($O$8:$O$684,MATCH(X383,$N$8:$N$684,0)),"")</f>
        <v/>
      </c>
      <c r="Z383" s="389" t="str">
        <f t="shared" si="379"/>
        <v/>
      </c>
      <c r="AA383" s="389">
        <f t="shared" si="5"/>
        <v>0</v>
      </c>
    </row>
    <row r="384" ht="15.75" customHeight="1">
      <c r="M384" s="389" t="str">
        <f>IF('Bản đồ công việc'!X400="","",'Bản đồ công việc'!W400)</f>
        <v/>
      </c>
      <c r="N384" s="389" t="str">
        <f>IF('Bản đồ công việc'!X400="","",'Bản đồ công việc'!X400)</f>
        <v/>
      </c>
      <c r="O384" s="389" t="str">
        <f>IF('Bản đồ công việc'!X400="","",'Bản đồ công việc'!Y400)</f>
        <v/>
      </c>
      <c r="P384" s="389" t="str">
        <f>IF('Bản đồ công việc'!X400="","",'Bản đồ công việc'!V400)</f>
        <v/>
      </c>
      <c r="Q384" s="389" t="str">
        <f>IF('Bản đồ công việc'!X400="","",'Bản đồ công việc'!AC400)</f>
        <v/>
      </c>
      <c r="R384" s="389" t="str">
        <f>IF('Bản đồ công việc'!X400="","",'Bản đồ công việc'!AD400)</f>
        <v/>
      </c>
      <c r="S384" s="389" t="str">
        <f>IF('Bản đồ công việc'!X400="","",'Bản đồ công việc'!Z400)</f>
        <v/>
      </c>
      <c r="T384" s="389" t="str">
        <f>IF('Bản đồ công việc'!X400="","",'Bản đồ công việc'!AA400)</f>
        <v/>
      </c>
      <c r="U384" s="389" t="str">
        <f>IF('Bản đồ công việc'!X400="","",'Bản đồ công việc'!AE400)</f>
        <v/>
      </c>
      <c r="V384" s="389" t="str">
        <f>IF('Bản đồ công việc'!X400="","",'Bản đồ công việc'!AI400)</f>
        <v/>
      </c>
      <c r="W384" s="389">
        <f t="shared" si="2"/>
        <v>0</v>
      </c>
      <c r="X384" s="389" t="str">
        <f t="shared" si="3"/>
        <v/>
      </c>
      <c r="Y384" s="389" t="str">
        <f t="shared" ref="Y384:Z384" si="380">IFERROR(INDEX($O$8:$O$684,MATCH(X384,$N$8:$N$684,0)),"")</f>
        <v/>
      </c>
      <c r="Z384" s="389" t="str">
        <f t="shared" si="380"/>
        <v/>
      </c>
      <c r="AA384" s="389">
        <f t="shared" si="5"/>
        <v>0</v>
      </c>
    </row>
    <row r="385" ht="15.75" customHeight="1">
      <c r="M385" s="389" t="str">
        <f>IF('Bản đồ công việc'!X401="","",'Bản đồ công việc'!W401)</f>
        <v/>
      </c>
      <c r="N385" s="389" t="str">
        <f>IF('Bản đồ công việc'!X401="","",'Bản đồ công việc'!X401)</f>
        <v/>
      </c>
      <c r="O385" s="389" t="str">
        <f>IF('Bản đồ công việc'!X401="","",'Bản đồ công việc'!Y401)</f>
        <v/>
      </c>
      <c r="P385" s="389" t="str">
        <f>IF('Bản đồ công việc'!X401="","",'Bản đồ công việc'!V401)</f>
        <v/>
      </c>
      <c r="Q385" s="389" t="str">
        <f>IF('Bản đồ công việc'!X401="","",'Bản đồ công việc'!AC401)</f>
        <v/>
      </c>
      <c r="R385" s="389" t="str">
        <f>IF('Bản đồ công việc'!X401="","",'Bản đồ công việc'!AD401)</f>
        <v/>
      </c>
      <c r="S385" s="389" t="str">
        <f>IF('Bản đồ công việc'!X401="","",'Bản đồ công việc'!Z401)</f>
        <v/>
      </c>
      <c r="T385" s="389" t="str">
        <f>IF('Bản đồ công việc'!X401="","",'Bản đồ công việc'!AA401)</f>
        <v/>
      </c>
      <c r="U385" s="389" t="str">
        <f>IF('Bản đồ công việc'!X401="","",'Bản đồ công việc'!AE401)</f>
        <v/>
      </c>
      <c r="V385" s="389" t="str">
        <f>IF('Bản đồ công việc'!X401="","",'Bản đồ công việc'!AI401)</f>
        <v/>
      </c>
      <c r="W385" s="389">
        <f t="shared" si="2"/>
        <v>0</v>
      </c>
      <c r="X385" s="389" t="str">
        <f t="shared" si="3"/>
        <v/>
      </c>
      <c r="Y385" s="389" t="str">
        <f t="shared" ref="Y385:Z385" si="381">IFERROR(INDEX($O$8:$O$684,MATCH(X385,$N$8:$N$684,0)),"")</f>
        <v/>
      </c>
      <c r="Z385" s="389" t="str">
        <f t="shared" si="381"/>
        <v/>
      </c>
      <c r="AA385" s="389">
        <f t="shared" si="5"/>
        <v>0</v>
      </c>
    </row>
    <row r="386" ht="15.75" customHeight="1">
      <c r="M386" s="389" t="str">
        <f>IF('Bản đồ công việc'!X402="","",'Bản đồ công việc'!W402)</f>
        <v/>
      </c>
      <c r="N386" s="389" t="str">
        <f>IF('Bản đồ công việc'!X402="","",'Bản đồ công việc'!X402)</f>
        <v/>
      </c>
      <c r="O386" s="389" t="str">
        <f>IF('Bản đồ công việc'!X402="","",'Bản đồ công việc'!Y402)</f>
        <v/>
      </c>
      <c r="P386" s="389" t="str">
        <f>IF('Bản đồ công việc'!X402="","",'Bản đồ công việc'!V402)</f>
        <v/>
      </c>
      <c r="Q386" s="389" t="str">
        <f>IF('Bản đồ công việc'!X402="","",'Bản đồ công việc'!AC402)</f>
        <v/>
      </c>
      <c r="R386" s="389" t="str">
        <f>IF('Bản đồ công việc'!X402="","",'Bản đồ công việc'!AD402)</f>
        <v/>
      </c>
      <c r="S386" s="389" t="str">
        <f>IF('Bản đồ công việc'!X402="","",'Bản đồ công việc'!Z402)</f>
        <v/>
      </c>
      <c r="T386" s="389" t="str">
        <f>IF('Bản đồ công việc'!X402="","",'Bản đồ công việc'!AA402)</f>
        <v/>
      </c>
      <c r="U386" s="389" t="str">
        <f>IF('Bản đồ công việc'!X402="","",'Bản đồ công việc'!AE402)</f>
        <v/>
      </c>
      <c r="V386" s="389" t="str">
        <f>IF('Bản đồ công việc'!X402="","",'Bản đồ công việc'!AI402)</f>
        <v/>
      </c>
      <c r="W386" s="389">
        <f t="shared" si="2"/>
        <v>0</v>
      </c>
      <c r="X386" s="389" t="str">
        <f t="shared" si="3"/>
        <v/>
      </c>
      <c r="Y386" s="389" t="str">
        <f t="shared" ref="Y386:Z386" si="382">IFERROR(INDEX($O$8:$O$684,MATCH(X386,$N$8:$N$684,0)),"")</f>
        <v/>
      </c>
      <c r="Z386" s="389" t="str">
        <f t="shared" si="382"/>
        <v/>
      </c>
      <c r="AA386" s="389">
        <f t="shared" si="5"/>
        <v>0</v>
      </c>
    </row>
    <row r="387" ht="15.75" customHeight="1">
      <c r="M387" s="389" t="str">
        <f>IF('Bản đồ công việc'!X403="","",'Bản đồ công việc'!W403)</f>
        <v/>
      </c>
      <c r="N387" s="389" t="str">
        <f>IF('Bản đồ công việc'!X403="","",'Bản đồ công việc'!X403)</f>
        <v/>
      </c>
      <c r="O387" s="389" t="str">
        <f>IF('Bản đồ công việc'!X403="","",'Bản đồ công việc'!Y403)</f>
        <v/>
      </c>
      <c r="P387" s="389" t="str">
        <f>IF('Bản đồ công việc'!X403="","",'Bản đồ công việc'!V403)</f>
        <v/>
      </c>
      <c r="Q387" s="389" t="str">
        <f>IF('Bản đồ công việc'!X403="","",'Bản đồ công việc'!AC403)</f>
        <v/>
      </c>
      <c r="R387" s="389" t="str">
        <f>IF('Bản đồ công việc'!X403="","",'Bản đồ công việc'!AD403)</f>
        <v/>
      </c>
      <c r="S387" s="389" t="str">
        <f>IF('Bản đồ công việc'!X403="","",'Bản đồ công việc'!Z403)</f>
        <v/>
      </c>
      <c r="T387" s="389" t="str">
        <f>IF('Bản đồ công việc'!X403="","",'Bản đồ công việc'!AA403)</f>
        <v/>
      </c>
      <c r="U387" s="389" t="str">
        <f>IF('Bản đồ công việc'!X403="","",'Bản đồ công việc'!AE403)</f>
        <v/>
      </c>
      <c r="V387" s="389" t="str">
        <f>IF('Bản đồ công việc'!X403="","",'Bản đồ công việc'!AI403)</f>
        <v/>
      </c>
      <c r="W387" s="389">
        <f t="shared" si="2"/>
        <v>0</v>
      </c>
      <c r="X387" s="389" t="str">
        <f t="shared" si="3"/>
        <v/>
      </c>
      <c r="Y387" s="389" t="str">
        <f t="shared" ref="Y387:Z387" si="383">IFERROR(INDEX($O$8:$O$684,MATCH(X387,$N$8:$N$684,0)),"")</f>
        <v/>
      </c>
      <c r="Z387" s="389" t="str">
        <f t="shared" si="383"/>
        <v/>
      </c>
      <c r="AA387" s="389">
        <f t="shared" si="5"/>
        <v>0</v>
      </c>
    </row>
    <row r="388" ht="15.75" customHeight="1">
      <c r="M388" s="389" t="str">
        <f>IF('Bản đồ công việc'!X404="","",'Bản đồ công việc'!W404)</f>
        <v/>
      </c>
      <c r="N388" s="389" t="str">
        <f>IF('Bản đồ công việc'!X404="","",'Bản đồ công việc'!X404)</f>
        <v/>
      </c>
      <c r="O388" s="389" t="str">
        <f>IF('Bản đồ công việc'!X404="","",'Bản đồ công việc'!Y404)</f>
        <v/>
      </c>
      <c r="P388" s="389" t="str">
        <f>IF('Bản đồ công việc'!X404="","",'Bản đồ công việc'!V404)</f>
        <v/>
      </c>
      <c r="Q388" s="389" t="str">
        <f>IF('Bản đồ công việc'!X404="","",'Bản đồ công việc'!AC404)</f>
        <v/>
      </c>
      <c r="R388" s="389" t="str">
        <f>IF('Bản đồ công việc'!X404="","",'Bản đồ công việc'!AD404)</f>
        <v/>
      </c>
      <c r="S388" s="389" t="str">
        <f>IF('Bản đồ công việc'!X404="","",'Bản đồ công việc'!Z404)</f>
        <v/>
      </c>
      <c r="T388" s="389" t="str">
        <f>IF('Bản đồ công việc'!X404="","",'Bản đồ công việc'!AA404)</f>
        <v/>
      </c>
      <c r="U388" s="389" t="str">
        <f>IF('Bản đồ công việc'!X404="","",'Bản đồ công việc'!AE404)</f>
        <v/>
      </c>
      <c r="V388" s="389" t="str">
        <f>IF('Bản đồ công việc'!X404="","",'Bản đồ công việc'!AI404)</f>
        <v/>
      </c>
      <c r="W388" s="389">
        <f t="shared" si="2"/>
        <v>0</v>
      </c>
      <c r="X388" s="389" t="str">
        <f t="shared" si="3"/>
        <v/>
      </c>
      <c r="Y388" s="389" t="str">
        <f t="shared" ref="Y388:Z388" si="384">IFERROR(INDEX($O$8:$O$684,MATCH(X388,$N$8:$N$684,0)),"")</f>
        <v/>
      </c>
      <c r="Z388" s="389" t="str">
        <f t="shared" si="384"/>
        <v/>
      </c>
      <c r="AA388" s="389">
        <f t="shared" si="5"/>
        <v>0</v>
      </c>
    </row>
    <row r="389" ht="15.75" customHeight="1">
      <c r="M389" s="389" t="str">
        <f>IF('Bản đồ công việc'!X405="","",'Bản đồ công việc'!W405)</f>
        <v/>
      </c>
      <c r="N389" s="389" t="str">
        <f>IF('Bản đồ công việc'!X405="","",'Bản đồ công việc'!X405)</f>
        <v/>
      </c>
      <c r="O389" s="389" t="str">
        <f>IF('Bản đồ công việc'!X405="","",'Bản đồ công việc'!Y405)</f>
        <v/>
      </c>
      <c r="P389" s="389" t="str">
        <f>IF('Bản đồ công việc'!X405="","",'Bản đồ công việc'!V405)</f>
        <v/>
      </c>
      <c r="Q389" s="389" t="str">
        <f>IF('Bản đồ công việc'!X405="","",'Bản đồ công việc'!AC405)</f>
        <v/>
      </c>
      <c r="R389" s="389" t="str">
        <f>IF('Bản đồ công việc'!X405="","",'Bản đồ công việc'!AD405)</f>
        <v/>
      </c>
      <c r="S389" s="389" t="str">
        <f>IF('Bản đồ công việc'!X405="","",'Bản đồ công việc'!Z405)</f>
        <v/>
      </c>
      <c r="T389" s="389" t="str">
        <f>IF('Bản đồ công việc'!X405="","",'Bản đồ công việc'!AA405)</f>
        <v/>
      </c>
      <c r="U389" s="389" t="str">
        <f>IF('Bản đồ công việc'!X405="","",'Bản đồ công việc'!AE405)</f>
        <v/>
      </c>
      <c r="V389" s="389" t="str">
        <f>IF('Bản đồ công việc'!X405="","",'Bản đồ công việc'!AI405)</f>
        <v/>
      </c>
      <c r="W389" s="389">
        <f t="shared" si="2"/>
        <v>0</v>
      </c>
      <c r="X389" s="389" t="str">
        <f t="shared" si="3"/>
        <v/>
      </c>
      <c r="Y389" s="389" t="str">
        <f t="shared" ref="Y389:Z389" si="385">IFERROR(INDEX($O$8:$O$684,MATCH(X389,$N$8:$N$684,0)),"")</f>
        <v/>
      </c>
      <c r="Z389" s="389" t="str">
        <f t="shared" si="385"/>
        <v/>
      </c>
      <c r="AA389" s="389">
        <f t="shared" si="5"/>
        <v>0</v>
      </c>
    </row>
    <row r="390" ht="15.75" customHeight="1">
      <c r="M390" s="389" t="str">
        <f>IF('Bản đồ công việc'!X406="","",'Bản đồ công việc'!W406)</f>
        <v/>
      </c>
      <c r="N390" s="389" t="str">
        <f>IF('Bản đồ công việc'!X406="","",'Bản đồ công việc'!X406)</f>
        <v/>
      </c>
      <c r="O390" s="389" t="str">
        <f>IF('Bản đồ công việc'!X406="","",'Bản đồ công việc'!Y406)</f>
        <v/>
      </c>
      <c r="P390" s="389" t="str">
        <f>IF('Bản đồ công việc'!X406="","",'Bản đồ công việc'!V406)</f>
        <v/>
      </c>
      <c r="Q390" s="389" t="str">
        <f>IF('Bản đồ công việc'!X406="","",'Bản đồ công việc'!AC406)</f>
        <v/>
      </c>
      <c r="R390" s="389" t="str">
        <f>IF('Bản đồ công việc'!X406="","",'Bản đồ công việc'!AD406)</f>
        <v/>
      </c>
      <c r="S390" s="389" t="str">
        <f>IF('Bản đồ công việc'!X406="","",'Bản đồ công việc'!Z406)</f>
        <v/>
      </c>
      <c r="T390" s="389" t="str">
        <f>IF('Bản đồ công việc'!X406="","",'Bản đồ công việc'!AA406)</f>
        <v/>
      </c>
      <c r="U390" s="389" t="str">
        <f>IF('Bản đồ công việc'!X406="","",'Bản đồ công việc'!AE406)</f>
        <v/>
      </c>
      <c r="V390" s="389" t="str">
        <f>IF('Bản đồ công việc'!X406="","",'Bản đồ công việc'!AI406)</f>
        <v/>
      </c>
      <c r="W390" s="389">
        <f t="shared" si="2"/>
        <v>0</v>
      </c>
      <c r="X390" s="389" t="str">
        <f t="shared" si="3"/>
        <v/>
      </c>
      <c r="Y390" s="389" t="str">
        <f t="shared" ref="Y390:Z390" si="386">IFERROR(INDEX($O$8:$O$684,MATCH(X390,$N$8:$N$684,0)),"")</f>
        <v/>
      </c>
      <c r="Z390" s="389" t="str">
        <f t="shared" si="386"/>
        <v/>
      </c>
      <c r="AA390" s="389">
        <f t="shared" si="5"/>
        <v>0</v>
      </c>
    </row>
    <row r="391" ht="15.75" customHeight="1">
      <c r="M391" s="389" t="str">
        <f>IF('Bản đồ công việc'!X407="","",'Bản đồ công việc'!W407)</f>
        <v/>
      </c>
      <c r="N391" s="389" t="str">
        <f>IF('Bản đồ công việc'!X407="","",'Bản đồ công việc'!X407)</f>
        <v/>
      </c>
      <c r="O391" s="389" t="str">
        <f>IF('Bản đồ công việc'!X407="","",'Bản đồ công việc'!Y407)</f>
        <v/>
      </c>
      <c r="P391" s="389" t="str">
        <f>IF('Bản đồ công việc'!X407="","",'Bản đồ công việc'!V407)</f>
        <v/>
      </c>
      <c r="Q391" s="389" t="str">
        <f>IF('Bản đồ công việc'!X407="","",'Bản đồ công việc'!AC407)</f>
        <v/>
      </c>
      <c r="R391" s="389" t="str">
        <f>IF('Bản đồ công việc'!X407="","",'Bản đồ công việc'!AD407)</f>
        <v/>
      </c>
      <c r="S391" s="389" t="str">
        <f>IF('Bản đồ công việc'!X407="","",'Bản đồ công việc'!Z407)</f>
        <v/>
      </c>
      <c r="T391" s="389" t="str">
        <f>IF('Bản đồ công việc'!X407="","",'Bản đồ công việc'!AA407)</f>
        <v/>
      </c>
      <c r="U391" s="389" t="str">
        <f>IF('Bản đồ công việc'!X407="","",'Bản đồ công việc'!AE407)</f>
        <v/>
      </c>
      <c r="V391" s="389" t="str">
        <f>IF('Bản đồ công việc'!X407="","",'Bản đồ công việc'!AI407)</f>
        <v/>
      </c>
      <c r="W391" s="389">
        <f t="shared" si="2"/>
        <v>0</v>
      </c>
      <c r="X391" s="389" t="str">
        <f t="shared" si="3"/>
        <v/>
      </c>
      <c r="Y391" s="389" t="str">
        <f t="shared" ref="Y391:Z391" si="387">IFERROR(INDEX($O$8:$O$684,MATCH(X391,$N$8:$N$684,0)),"")</f>
        <v/>
      </c>
      <c r="Z391" s="389" t="str">
        <f t="shared" si="387"/>
        <v/>
      </c>
      <c r="AA391" s="389">
        <f t="shared" si="5"/>
        <v>0</v>
      </c>
    </row>
    <row r="392" ht="15.75" customHeight="1">
      <c r="M392" s="389" t="str">
        <f>IF('Bản đồ công việc'!X408="","",'Bản đồ công việc'!W408)</f>
        <v/>
      </c>
      <c r="N392" s="389" t="str">
        <f>IF('Bản đồ công việc'!X408="","",'Bản đồ công việc'!X408)</f>
        <v/>
      </c>
      <c r="O392" s="389" t="str">
        <f>IF('Bản đồ công việc'!X408="","",'Bản đồ công việc'!Y408)</f>
        <v/>
      </c>
      <c r="P392" s="389" t="str">
        <f>IF('Bản đồ công việc'!X408="","",'Bản đồ công việc'!V408)</f>
        <v/>
      </c>
      <c r="Q392" s="389" t="str">
        <f>IF('Bản đồ công việc'!X408="","",'Bản đồ công việc'!AC408)</f>
        <v/>
      </c>
      <c r="R392" s="389" t="str">
        <f>IF('Bản đồ công việc'!X408="","",'Bản đồ công việc'!AD408)</f>
        <v/>
      </c>
      <c r="S392" s="389" t="str">
        <f>IF('Bản đồ công việc'!X408="","",'Bản đồ công việc'!Z408)</f>
        <v/>
      </c>
      <c r="T392" s="389" t="str">
        <f>IF('Bản đồ công việc'!X408="","",'Bản đồ công việc'!AA408)</f>
        <v/>
      </c>
      <c r="U392" s="389" t="str">
        <f>IF('Bản đồ công việc'!X408="","",'Bản đồ công việc'!AE408)</f>
        <v/>
      </c>
      <c r="V392" s="389" t="str">
        <f>IF('Bản đồ công việc'!X408="","",'Bản đồ công việc'!AI408)</f>
        <v/>
      </c>
      <c r="W392" s="389">
        <f t="shared" si="2"/>
        <v>0</v>
      </c>
      <c r="X392" s="389" t="str">
        <f t="shared" si="3"/>
        <v/>
      </c>
      <c r="Y392" s="389" t="str">
        <f t="shared" ref="Y392:Z392" si="388">IFERROR(INDEX($O$8:$O$684,MATCH(X392,$N$8:$N$684,0)),"")</f>
        <v/>
      </c>
      <c r="Z392" s="389" t="str">
        <f t="shared" si="388"/>
        <v/>
      </c>
      <c r="AA392" s="389">
        <f t="shared" si="5"/>
        <v>0</v>
      </c>
    </row>
    <row r="393" ht="15.75" customHeight="1">
      <c r="M393" s="389" t="str">
        <f>IF('Bản đồ công việc'!X409="","",'Bản đồ công việc'!W409)</f>
        <v/>
      </c>
      <c r="N393" s="389" t="str">
        <f>IF('Bản đồ công việc'!X409="","",'Bản đồ công việc'!X409)</f>
        <v/>
      </c>
      <c r="O393" s="389" t="str">
        <f>IF('Bản đồ công việc'!X409="","",'Bản đồ công việc'!Y409)</f>
        <v/>
      </c>
      <c r="P393" s="389" t="str">
        <f>IF('Bản đồ công việc'!X409="","",'Bản đồ công việc'!V409)</f>
        <v/>
      </c>
      <c r="Q393" s="389" t="str">
        <f>IF('Bản đồ công việc'!X409="","",'Bản đồ công việc'!AC409)</f>
        <v/>
      </c>
      <c r="R393" s="389" t="str">
        <f>IF('Bản đồ công việc'!X409="","",'Bản đồ công việc'!AD409)</f>
        <v/>
      </c>
      <c r="S393" s="389" t="str">
        <f>IF('Bản đồ công việc'!X409="","",'Bản đồ công việc'!Z409)</f>
        <v/>
      </c>
      <c r="T393" s="389" t="str">
        <f>IF('Bản đồ công việc'!X409="","",'Bản đồ công việc'!AA409)</f>
        <v/>
      </c>
      <c r="U393" s="389" t="str">
        <f>IF('Bản đồ công việc'!X409="","",'Bản đồ công việc'!AE409)</f>
        <v/>
      </c>
      <c r="V393" s="389" t="str">
        <f>IF('Bản đồ công việc'!X409="","",'Bản đồ công việc'!AI409)</f>
        <v/>
      </c>
      <c r="W393" s="389">
        <f t="shared" si="2"/>
        <v>0</v>
      </c>
      <c r="X393" s="389" t="str">
        <f t="shared" si="3"/>
        <v/>
      </c>
      <c r="Y393" s="389" t="str">
        <f t="shared" ref="Y393:Z393" si="389">IFERROR(INDEX($O$8:$O$684,MATCH(X393,$N$8:$N$684,0)),"")</f>
        <v/>
      </c>
      <c r="Z393" s="389" t="str">
        <f t="shared" si="389"/>
        <v/>
      </c>
      <c r="AA393" s="389">
        <f t="shared" si="5"/>
        <v>0</v>
      </c>
    </row>
    <row r="394" ht="15.75" customHeight="1">
      <c r="M394" s="389" t="str">
        <f>IF('Bản đồ công việc'!X410="","",'Bản đồ công việc'!W410)</f>
        <v/>
      </c>
      <c r="N394" s="389" t="str">
        <f>IF('Bản đồ công việc'!X410="","",'Bản đồ công việc'!X410)</f>
        <v/>
      </c>
      <c r="O394" s="389" t="str">
        <f>IF('Bản đồ công việc'!X410="","",'Bản đồ công việc'!Y410)</f>
        <v/>
      </c>
      <c r="P394" s="389" t="str">
        <f>IF('Bản đồ công việc'!X410="","",'Bản đồ công việc'!V410)</f>
        <v/>
      </c>
      <c r="Q394" s="389" t="str">
        <f>IF('Bản đồ công việc'!X410="","",'Bản đồ công việc'!AC410)</f>
        <v/>
      </c>
      <c r="R394" s="389" t="str">
        <f>IF('Bản đồ công việc'!X410="","",'Bản đồ công việc'!AD410)</f>
        <v/>
      </c>
      <c r="S394" s="389" t="str">
        <f>IF('Bản đồ công việc'!X410="","",'Bản đồ công việc'!Z410)</f>
        <v/>
      </c>
      <c r="T394" s="389" t="str">
        <f>IF('Bản đồ công việc'!X410="","",'Bản đồ công việc'!AA410)</f>
        <v/>
      </c>
      <c r="U394" s="389" t="str">
        <f>IF('Bản đồ công việc'!X410="","",'Bản đồ công việc'!AE410)</f>
        <v/>
      </c>
      <c r="V394" s="389" t="str">
        <f>IF('Bản đồ công việc'!X410="","",'Bản đồ công việc'!AI410)</f>
        <v/>
      </c>
      <c r="W394" s="389">
        <f t="shared" si="2"/>
        <v>0</v>
      </c>
      <c r="X394" s="389" t="str">
        <f t="shared" si="3"/>
        <v/>
      </c>
      <c r="Y394" s="389" t="str">
        <f t="shared" ref="Y394:Z394" si="390">IFERROR(INDEX($O$8:$O$684,MATCH(X394,$N$8:$N$684,0)),"")</f>
        <v/>
      </c>
      <c r="Z394" s="389" t="str">
        <f t="shared" si="390"/>
        <v/>
      </c>
      <c r="AA394" s="389">
        <f t="shared" si="5"/>
        <v>0</v>
      </c>
    </row>
    <row r="395" ht="15.75" customHeight="1">
      <c r="M395" s="389" t="str">
        <f>IF('Bản đồ công việc'!X411="","",'Bản đồ công việc'!W411)</f>
        <v/>
      </c>
      <c r="N395" s="389" t="str">
        <f>IF('Bản đồ công việc'!X411="","",'Bản đồ công việc'!X411)</f>
        <v/>
      </c>
      <c r="O395" s="389" t="str">
        <f>IF('Bản đồ công việc'!X411="","",'Bản đồ công việc'!Y411)</f>
        <v/>
      </c>
      <c r="P395" s="389" t="str">
        <f>IF('Bản đồ công việc'!X411="","",'Bản đồ công việc'!V411)</f>
        <v/>
      </c>
      <c r="Q395" s="389" t="str">
        <f>IF('Bản đồ công việc'!X411="","",'Bản đồ công việc'!AC411)</f>
        <v/>
      </c>
      <c r="R395" s="389" t="str">
        <f>IF('Bản đồ công việc'!X411="","",'Bản đồ công việc'!AD411)</f>
        <v/>
      </c>
      <c r="S395" s="389" t="str">
        <f>IF('Bản đồ công việc'!X411="","",'Bản đồ công việc'!Z411)</f>
        <v/>
      </c>
      <c r="T395" s="389" t="str">
        <f>IF('Bản đồ công việc'!X411="","",'Bản đồ công việc'!AA411)</f>
        <v/>
      </c>
      <c r="U395" s="389" t="str">
        <f>IF('Bản đồ công việc'!X411="","",'Bản đồ công việc'!AE411)</f>
        <v/>
      </c>
      <c r="V395" s="389" t="str">
        <f>IF('Bản đồ công việc'!X411="","",'Bản đồ công việc'!AI411)</f>
        <v/>
      </c>
      <c r="W395" s="389">
        <f t="shared" si="2"/>
        <v>0</v>
      </c>
      <c r="X395" s="389" t="str">
        <f t="shared" si="3"/>
        <v/>
      </c>
      <c r="Y395" s="389" t="str">
        <f t="shared" ref="Y395:Z395" si="391">IFERROR(INDEX($O$8:$O$684,MATCH(X395,$N$8:$N$684,0)),"")</f>
        <v/>
      </c>
      <c r="Z395" s="389" t="str">
        <f t="shared" si="391"/>
        <v/>
      </c>
      <c r="AA395" s="389">
        <f t="shared" si="5"/>
        <v>0</v>
      </c>
    </row>
    <row r="396" ht="15.75" customHeight="1">
      <c r="M396" s="389" t="str">
        <f>IF('Bản đồ công việc'!X412="","",'Bản đồ công việc'!W412)</f>
        <v/>
      </c>
      <c r="N396" s="389" t="str">
        <f>IF('Bản đồ công việc'!X412="","",'Bản đồ công việc'!X412)</f>
        <v/>
      </c>
      <c r="O396" s="389" t="str">
        <f>IF('Bản đồ công việc'!X412="","",'Bản đồ công việc'!Y412)</f>
        <v/>
      </c>
      <c r="P396" s="389" t="str">
        <f>IF('Bản đồ công việc'!X412="","",'Bản đồ công việc'!V412)</f>
        <v/>
      </c>
      <c r="Q396" s="389" t="str">
        <f>IF('Bản đồ công việc'!X412="","",'Bản đồ công việc'!AC412)</f>
        <v/>
      </c>
      <c r="R396" s="389" t="str">
        <f>IF('Bản đồ công việc'!X412="","",'Bản đồ công việc'!AD412)</f>
        <v/>
      </c>
      <c r="S396" s="389" t="str">
        <f>IF('Bản đồ công việc'!X412="","",'Bản đồ công việc'!Z412)</f>
        <v/>
      </c>
      <c r="T396" s="389" t="str">
        <f>IF('Bản đồ công việc'!X412="","",'Bản đồ công việc'!AA412)</f>
        <v/>
      </c>
      <c r="U396" s="389" t="str">
        <f>IF('Bản đồ công việc'!X412="","",'Bản đồ công việc'!AE412)</f>
        <v/>
      </c>
      <c r="V396" s="389" t="str">
        <f>IF('Bản đồ công việc'!X412="","",'Bản đồ công việc'!AI412)</f>
        <v/>
      </c>
      <c r="W396" s="389">
        <f t="shared" si="2"/>
        <v>0</v>
      </c>
      <c r="X396" s="389" t="str">
        <f t="shared" si="3"/>
        <v/>
      </c>
      <c r="Y396" s="389" t="str">
        <f t="shared" ref="Y396:Z396" si="392">IFERROR(INDEX($O$8:$O$684,MATCH(X396,$N$8:$N$684,0)),"")</f>
        <v/>
      </c>
      <c r="Z396" s="389" t="str">
        <f t="shared" si="392"/>
        <v/>
      </c>
      <c r="AA396" s="389">
        <f t="shared" si="5"/>
        <v>0</v>
      </c>
    </row>
    <row r="397" ht="15.75" customHeight="1">
      <c r="M397" s="389" t="str">
        <f>IF('Bản đồ công việc'!X413="","",'Bản đồ công việc'!W413)</f>
        <v/>
      </c>
      <c r="N397" s="389" t="str">
        <f>IF('Bản đồ công việc'!X413="","",'Bản đồ công việc'!X413)</f>
        <v/>
      </c>
      <c r="O397" s="389" t="str">
        <f>IF('Bản đồ công việc'!X413="","",'Bản đồ công việc'!Y413)</f>
        <v/>
      </c>
      <c r="P397" s="389" t="str">
        <f>IF('Bản đồ công việc'!X413="","",'Bản đồ công việc'!V413)</f>
        <v/>
      </c>
      <c r="Q397" s="389" t="str">
        <f>IF('Bản đồ công việc'!X413="","",'Bản đồ công việc'!AC413)</f>
        <v/>
      </c>
      <c r="R397" s="389" t="str">
        <f>IF('Bản đồ công việc'!X413="","",'Bản đồ công việc'!AD413)</f>
        <v/>
      </c>
      <c r="S397" s="389" t="str">
        <f>IF('Bản đồ công việc'!X413="","",'Bản đồ công việc'!Z413)</f>
        <v/>
      </c>
      <c r="T397" s="389" t="str">
        <f>IF('Bản đồ công việc'!X413="","",'Bản đồ công việc'!AA413)</f>
        <v/>
      </c>
      <c r="U397" s="389" t="str">
        <f>IF('Bản đồ công việc'!X413="","",'Bản đồ công việc'!AE413)</f>
        <v/>
      </c>
      <c r="V397" s="389" t="str">
        <f>IF('Bản đồ công việc'!X413="","",'Bản đồ công việc'!AI413)</f>
        <v/>
      </c>
      <c r="W397" s="389">
        <f t="shared" si="2"/>
        <v>0</v>
      </c>
      <c r="X397" s="389" t="str">
        <f t="shared" si="3"/>
        <v/>
      </c>
      <c r="Y397" s="389" t="str">
        <f t="shared" ref="Y397:Z397" si="393">IFERROR(INDEX($O$8:$O$684,MATCH(X397,$N$8:$N$684,0)),"")</f>
        <v/>
      </c>
      <c r="Z397" s="389" t="str">
        <f t="shared" si="393"/>
        <v/>
      </c>
      <c r="AA397" s="389">
        <f t="shared" si="5"/>
        <v>0</v>
      </c>
    </row>
    <row r="398" ht="15.75" customHeight="1">
      <c r="M398" s="389" t="str">
        <f>IF('Bản đồ công việc'!X414="","",'Bản đồ công việc'!W414)</f>
        <v/>
      </c>
      <c r="N398" s="389" t="str">
        <f>IF('Bản đồ công việc'!X414="","",'Bản đồ công việc'!X414)</f>
        <v/>
      </c>
      <c r="O398" s="389" t="str">
        <f>IF('Bản đồ công việc'!X414="","",'Bản đồ công việc'!Y414)</f>
        <v/>
      </c>
      <c r="P398" s="389" t="str">
        <f>IF('Bản đồ công việc'!X414="","",'Bản đồ công việc'!V414)</f>
        <v/>
      </c>
      <c r="Q398" s="389" t="str">
        <f>IF('Bản đồ công việc'!X414="","",'Bản đồ công việc'!AC414)</f>
        <v/>
      </c>
      <c r="R398" s="389" t="str">
        <f>IF('Bản đồ công việc'!X414="","",'Bản đồ công việc'!AD414)</f>
        <v/>
      </c>
      <c r="S398" s="389" t="str">
        <f>IF('Bản đồ công việc'!X414="","",'Bản đồ công việc'!Z414)</f>
        <v/>
      </c>
      <c r="T398" s="389" t="str">
        <f>IF('Bản đồ công việc'!X414="","",'Bản đồ công việc'!AA414)</f>
        <v/>
      </c>
      <c r="U398" s="389" t="str">
        <f>IF('Bản đồ công việc'!X414="","",'Bản đồ công việc'!AE414)</f>
        <v/>
      </c>
      <c r="V398" s="389" t="str">
        <f>IF('Bản đồ công việc'!X414="","",'Bản đồ công việc'!AI414)</f>
        <v/>
      </c>
      <c r="W398" s="389">
        <f t="shared" si="2"/>
        <v>0</v>
      </c>
      <c r="X398" s="389" t="str">
        <f t="shared" si="3"/>
        <v/>
      </c>
      <c r="Y398" s="389" t="str">
        <f t="shared" ref="Y398:Z398" si="394">IFERROR(INDEX($O$8:$O$684,MATCH(X398,$N$8:$N$684,0)),"")</f>
        <v/>
      </c>
      <c r="Z398" s="389" t="str">
        <f t="shared" si="394"/>
        <v/>
      </c>
      <c r="AA398" s="389">
        <f t="shared" si="5"/>
        <v>0</v>
      </c>
    </row>
    <row r="399" ht="15.75" customHeight="1">
      <c r="M399" s="389" t="str">
        <f>IF('Bản đồ công việc'!X415="","",'Bản đồ công việc'!W415)</f>
        <v/>
      </c>
      <c r="N399" s="389" t="str">
        <f>IF('Bản đồ công việc'!X415="","",'Bản đồ công việc'!X415)</f>
        <v/>
      </c>
      <c r="O399" s="389" t="str">
        <f>IF('Bản đồ công việc'!X415="","",'Bản đồ công việc'!Y415)</f>
        <v/>
      </c>
      <c r="P399" s="389" t="str">
        <f>IF('Bản đồ công việc'!X415="","",'Bản đồ công việc'!V415)</f>
        <v/>
      </c>
      <c r="Q399" s="389" t="str">
        <f>IF('Bản đồ công việc'!X415="","",'Bản đồ công việc'!AC415)</f>
        <v/>
      </c>
      <c r="R399" s="389" t="str">
        <f>IF('Bản đồ công việc'!X415="","",'Bản đồ công việc'!AD415)</f>
        <v/>
      </c>
      <c r="S399" s="389" t="str">
        <f>IF('Bản đồ công việc'!X415="","",'Bản đồ công việc'!Z415)</f>
        <v/>
      </c>
      <c r="T399" s="389" t="str">
        <f>IF('Bản đồ công việc'!X415="","",'Bản đồ công việc'!AA415)</f>
        <v/>
      </c>
      <c r="U399" s="389" t="str">
        <f>IF('Bản đồ công việc'!X415="","",'Bản đồ công việc'!AE415)</f>
        <v/>
      </c>
      <c r="V399" s="389" t="str">
        <f>IF('Bản đồ công việc'!X415="","",'Bản đồ công việc'!AI415)</f>
        <v/>
      </c>
      <c r="W399" s="389">
        <f t="shared" si="2"/>
        <v>0</v>
      </c>
      <c r="X399" s="389" t="str">
        <f t="shared" si="3"/>
        <v/>
      </c>
      <c r="Y399" s="389" t="str">
        <f t="shared" ref="Y399:Z399" si="395">IFERROR(INDEX($O$8:$O$684,MATCH(X399,$N$8:$N$684,0)),"")</f>
        <v/>
      </c>
      <c r="Z399" s="389" t="str">
        <f t="shared" si="395"/>
        <v/>
      </c>
      <c r="AA399" s="389">
        <f t="shared" si="5"/>
        <v>0</v>
      </c>
    </row>
    <row r="400" ht="15.75" customHeight="1">
      <c r="M400" s="389" t="str">
        <f>IF('Bản đồ công việc'!X416="","",'Bản đồ công việc'!W416)</f>
        <v/>
      </c>
      <c r="N400" s="389" t="str">
        <f>IF('Bản đồ công việc'!X416="","",'Bản đồ công việc'!X416)</f>
        <v/>
      </c>
      <c r="O400" s="389" t="str">
        <f>IF('Bản đồ công việc'!X416="","",'Bản đồ công việc'!Y416)</f>
        <v/>
      </c>
      <c r="P400" s="389" t="str">
        <f>IF('Bản đồ công việc'!X416="","",'Bản đồ công việc'!V416)</f>
        <v/>
      </c>
      <c r="Q400" s="389" t="str">
        <f>IF('Bản đồ công việc'!X416="","",'Bản đồ công việc'!AC416)</f>
        <v/>
      </c>
      <c r="R400" s="389" t="str">
        <f>IF('Bản đồ công việc'!X416="","",'Bản đồ công việc'!AD416)</f>
        <v/>
      </c>
      <c r="S400" s="389" t="str">
        <f>IF('Bản đồ công việc'!X416="","",'Bản đồ công việc'!Z416)</f>
        <v/>
      </c>
      <c r="T400" s="389" t="str">
        <f>IF('Bản đồ công việc'!X416="","",'Bản đồ công việc'!AA416)</f>
        <v/>
      </c>
      <c r="U400" s="389" t="str">
        <f>IF('Bản đồ công việc'!X416="","",'Bản đồ công việc'!AE416)</f>
        <v/>
      </c>
      <c r="V400" s="389" t="str">
        <f>IF('Bản đồ công việc'!X416="","",'Bản đồ công việc'!AI416)</f>
        <v/>
      </c>
      <c r="W400" s="389">
        <f t="shared" si="2"/>
        <v>0</v>
      </c>
      <c r="X400" s="389" t="str">
        <f t="shared" si="3"/>
        <v/>
      </c>
      <c r="Y400" s="389" t="str">
        <f t="shared" ref="Y400:Z400" si="396">IFERROR(INDEX($O$8:$O$684,MATCH(X400,$N$8:$N$684,0)),"")</f>
        <v/>
      </c>
      <c r="Z400" s="389" t="str">
        <f t="shared" si="396"/>
        <v/>
      </c>
      <c r="AA400" s="389">
        <f t="shared" si="5"/>
        <v>0</v>
      </c>
    </row>
    <row r="401" ht="15.75" customHeight="1">
      <c r="M401" s="389" t="str">
        <f>IF('Bản đồ công việc'!X417="","",'Bản đồ công việc'!W417)</f>
        <v/>
      </c>
      <c r="N401" s="389" t="str">
        <f>IF('Bản đồ công việc'!X417="","",'Bản đồ công việc'!X417)</f>
        <v/>
      </c>
      <c r="O401" s="389" t="str">
        <f>IF('Bản đồ công việc'!X417="","",'Bản đồ công việc'!Y417)</f>
        <v/>
      </c>
      <c r="P401" s="389" t="str">
        <f>IF('Bản đồ công việc'!X417="","",'Bản đồ công việc'!V417)</f>
        <v/>
      </c>
      <c r="Q401" s="389" t="str">
        <f>IF('Bản đồ công việc'!X417="","",'Bản đồ công việc'!AC417)</f>
        <v/>
      </c>
      <c r="R401" s="389" t="str">
        <f>IF('Bản đồ công việc'!X417="","",'Bản đồ công việc'!AD417)</f>
        <v/>
      </c>
      <c r="S401" s="389" t="str">
        <f>IF('Bản đồ công việc'!X417="","",'Bản đồ công việc'!Z417)</f>
        <v/>
      </c>
      <c r="T401" s="389" t="str">
        <f>IF('Bản đồ công việc'!X417="","",'Bản đồ công việc'!AA417)</f>
        <v/>
      </c>
      <c r="U401" s="389" t="str">
        <f>IF('Bản đồ công việc'!X417="","",'Bản đồ công việc'!AE417)</f>
        <v/>
      </c>
      <c r="V401" s="389" t="str">
        <f>IF('Bản đồ công việc'!X417="","",'Bản đồ công việc'!AI417)</f>
        <v/>
      </c>
      <c r="W401" s="389">
        <f t="shared" si="2"/>
        <v>0</v>
      </c>
      <c r="X401" s="389" t="str">
        <f t="shared" si="3"/>
        <v/>
      </c>
      <c r="Y401" s="389" t="str">
        <f t="shared" ref="Y401:Z401" si="397">IFERROR(INDEX($O$8:$O$684,MATCH(X401,$N$8:$N$684,0)),"")</f>
        <v/>
      </c>
      <c r="Z401" s="389" t="str">
        <f t="shared" si="397"/>
        <v/>
      </c>
      <c r="AA401" s="389">
        <f t="shared" si="5"/>
        <v>0</v>
      </c>
    </row>
    <row r="402" ht="15.75" customHeight="1">
      <c r="M402" s="389" t="str">
        <f>IF('Bản đồ công việc'!X418="","",'Bản đồ công việc'!W418)</f>
        <v/>
      </c>
      <c r="N402" s="389" t="str">
        <f>IF('Bản đồ công việc'!X418="","",'Bản đồ công việc'!X418)</f>
        <v/>
      </c>
      <c r="O402" s="389" t="str">
        <f>IF('Bản đồ công việc'!X418="","",'Bản đồ công việc'!Y418)</f>
        <v/>
      </c>
      <c r="P402" s="389" t="str">
        <f>IF('Bản đồ công việc'!X418="","",'Bản đồ công việc'!V418)</f>
        <v/>
      </c>
      <c r="Q402" s="389" t="str">
        <f>IF('Bản đồ công việc'!X418="","",'Bản đồ công việc'!AC418)</f>
        <v/>
      </c>
      <c r="R402" s="389" t="str">
        <f>IF('Bản đồ công việc'!X418="","",'Bản đồ công việc'!AD418)</f>
        <v/>
      </c>
      <c r="S402" s="389" t="str">
        <f>IF('Bản đồ công việc'!X418="","",'Bản đồ công việc'!Z418)</f>
        <v/>
      </c>
      <c r="T402" s="389" t="str">
        <f>IF('Bản đồ công việc'!X418="","",'Bản đồ công việc'!AA418)</f>
        <v/>
      </c>
      <c r="U402" s="389" t="str">
        <f>IF('Bản đồ công việc'!X418="","",'Bản đồ công việc'!AE418)</f>
        <v/>
      </c>
      <c r="V402" s="389" t="str">
        <f>IF('Bản đồ công việc'!X418="","",'Bản đồ công việc'!AI418)</f>
        <v/>
      </c>
      <c r="W402" s="389">
        <f t="shared" si="2"/>
        <v>0</v>
      </c>
      <c r="X402" s="389" t="str">
        <f t="shared" si="3"/>
        <v/>
      </c>
      <c r="Y402" s="389" t="str">
        <f t="shared" ref="Y402:Z402" si="398">IFERROR(INDEX($O$8:$O$684,MATCH(X402,$N$8:$N$684,0)),"")</f>
        <v/>
      </c>
      <c r="Z402" s="389" t="str">
        <f t="shared" si="398"/>
        <v/>
      </c>
      <c r="AA402" s="389">
        <f t="shared" si="5"/>
        <v>0</v>
      </c>
    </row>
    <row r="403" ht="15.75" customHeight="1">
      <c r="M403" s="389" t="str">
        <f>IF('Bản đồ công việc'!X419="","",'Bản đồ công việc'!W419)</f>
        <v/>
      </c>
      <c r="N403" s="389" t="str">
        <f>IF('Bản đồ công việc'!X419="","",'Bản đồ công việc'!X419)</f>
        <v/>
      </c>
      <c r="O403" s="389" t="str">
        <f>IF('Bản đồ công việc'!X419="","",'Bản đồ công việc'!Y419)</f>
        <v/>
      </c>
      <c r="P403" s="389" t="str">
        <f>IF('Bản đồ công việc'!X419="","",'Bản đồ công việc'!V419)</f>
        <v/>
      </c>
      <c r="Q403" s="389" t="str">
        <f>IF('Bản đồ công việc'!X419="","",'Bản đồ công việc'!AC419)</f>
        <v/>
      </c>
      <c r="R403" s="389" t="str">
        <f>IF('Bản đồ công việc'!X419="","",'Bản đồ công việc'!AD419)</f>
        <v/>
      </c>
      <c r="S403" s="389" t="str">
        <f>IF('Bản đồ công việc'!X419="","",'Bản đồ công việc'!Z419)</f>
        <v/>
      </c>
      <c r="T403" s="389" t="str">
        <f>IF('Bản đồ công việc'!X419="","",'Bản đồ công việc'!AA419)</f>
        <v/>
      </c>
      <c r="U403" s="389" t="str">
        <f>IF('Bản đồ công việc'!X419="","",'Bản đồ công việc'!AE419)</f>
        <v/>
      </c>
      <c r="V403" s="389" t="str">
        <f>IF('Bản đồ công việc'!X419="","",'Bản đồ công việc'!AI419)</f>
        <v/>
      </c>
      <c r="W403" s="389">
        <f t="shared" si="2"/>
        <v>0</v>
      </c>
      <c r="X403" s="389" t="str">
        <f t="shared" si="3"/>
        <v/>
      </c>
      <c r="Y403" s="389" t="str">
        <f t="shared" ref="Y403:Z403" si="399">IFERROR(INDEX($O$8:$O$684,MATCH(X403,$N$8:$N$684,0)),"")</f>
        <v/>
      </c>
      <c r="Z403" s="389" t="str">
        <f t="shared" si="399"/>
        <v/>
      </c>
      <c r="AA403" s="389">
        <f t="shared" si="5"/>
        <v>0</v>
      </c>
    </row>
    <row r="404" ht="15.75" customHeight="1">
      <c r="M404" s="389" t="str">
        <f>IF('Bản đồ công việc'!X420="","",'Bản đồ công việc'!W420)</f>
        <v/>
      </c>
      <c r="N404" s="389" t="str">
        <f>IF('Bản đồ công việc'!X420="","",'Bản đồ công việc'!X420)</f>
        <v/>
      </c>
      <c r="O404" s="389" t="str">
        <f>IF('Bản đồ công việc'!X420="","",'Bản đồ công việc'!Y420)</f>
        <v/>
      </c>
      <c r="P404" s="389" t="str">
        <f>IF('Bản đồ công việc'!X420="","",'Bản đồ công việc'!V420)</f>
        <v/>
      </c>
      <c r="Q404" s="389" t="str">
        <f>IF('Bản đồ công việc'!X420="","",'Bản đồ công việc'!AC420)</f>
        <v/>
      </c>
      <c r="R404" s="389" t="str">
        <f>IF('Bản đồ công việc'!X420="","",'Bản đồ công việc'!AD420)</f>
        <v/>
      </c>
      <c r="S404" s="389" t="str">
        <f>IF('Bản đồ công việc'!X420="","",'Bản đồ công việc'!Z420)</f>
        <v/>
      </c>
      <c r="T404" s="389" t="str">
        <f>IF('Bản đồ công việc'!X420="","",'Bản đồ công việc'!AA420)</f>
        <v/>
      </c>
      <c r="U404" s="389" t="str">
        <f>IF('Bản đồ công việc'!X420="","",'Bản đồ công việc'!AE420)</f>
        <v/>
      </c>
      <c r="V404" s="389" t="str">
        <f>IF('Bản đồ công việc'!X420="","",'Bản đồ công việc'!AI420)</f>
        <v/>
      </c>
      <c r="W404" s="389">
        <f t="shared" si="2"/>
        <v>0</v>
      </c>
      <c r="X404" s="389" t="str">
        <f t="shared" si="3"/>
        <v/>
      </c>
      <c r="Y404" s="389" t="str">
        <f t="shared" ref="Y404:Z404" si="400">IFERROR(INDEX($O$8:$O$684,MATCH(X404,$N$8:$N$684,0)),"")</f>
        <v/>
      </c>
      <c r="Z404" s="389" t="str">
        <f t="shared" si="400"/>
        <v/>
      </c>
      <c r="AA404" s="389">
        <f t="shared" si="5"/>
        <v>0</v>
      </c>
    </row>
    <row r="405" ht="15.75" customHeight="1">
      <c r="M405" s="389" t="str">
        <f>IF('Bản đồ công việc'!X421="","",'Bản đồ công việc'!W421)</f>
        <v/>
      </c>
      <c r="N405" s="389" t="str">
        <f>IF('Bản đồ công việc'!X421="","",'Bản đồ công việc'!X421)</f>
        <v/>
      </c>
      <c r="O405" s="389" t="str">
        <f>IF('Bản đồ công việc'!X421="","",'Bản đồ công việc'!Y421)</f>
        <v/>
      </c>
      <c r="P405" s="389" t="str">
        <f>IF('Bản đồ công việc'!X421="","",'Bản đồ công việc'!V421)</f>
        <v/>
      </c>
      <c r="Q405" s="389" t="str">
        <f>IF('Bản đồ công việc'!X421="","",'Bản đồ công việc'!AC421)</f>
        <v/>
      </c>
      <c r="R405" s="389" t="str">
        <f>IF('Bản đồ công việc'!X421="","",'Bản đồ công việc'!AD421)</f>
        <v/>
      </c>
      <c r="S405" s="389" t="str">
        <f>IF('Bản đồ công việc'!X421="","",'Bản đồ công việc'!Z421)</f>
        <v/>
      </c>
      <c r="T405" s="389" t="str">
        <f>IF('Bản đồ công việc'!X421="","",'Bản đồ công việc'!AA421)</f>
        <v/>
      </c>
      <c r="U405" s="389" t="str">
        <f>IF('Bản đồ công việc'!X421="","",'Bản đồ công việc'!AE421)</f>
        <v/>
      </c>
      <c r="V405" s="389" t="str">
        <f>IF('Bản đồ công việc'!X421="","",'Bản đồ công việc'!AI421)</f>
        <v/>
      </c>
      <c r="W405" s="389">
        <f t="shared" si="2"/>
        <v>0</v>
      </c>
      <c r="X405" s="389" t="str">
        <f t="shared" si="3"/>
        <v/>
      </c>
      <c r="Y405" s="389" t="str">
        <f t="shared" ref="Y405:Z405" si="401">IFERROR(INDEX($O$8:$O$684,MATCH(X405,$N$8:$N$684,0)),"")</f>
        <v/>
      </c>
      <c r="Z405" s="389" t="str">
        <f t="shared" si="401"/>
        <v/>
      </c>
      <c r="AA405" s="389">
        <f t="shared" si="5"/>
        <v>0</v>
      </c>
    </row>
    <row r="406" ht="15.75" customHeight="1">
      <c r="M406" s="389" t="str">
        <f>IF('Bản đồ công việc'!X422="","",'Bản đồ công việc'!W422)</f>
        <v/>
      </c>
      <c r="N406" s="389" t="str">
        <f>IF('Bản đồ công việc'!X422="","",'Bản đồ công việc'!X422)</f>
        <v/>
      </c>
      <c r="O406" s="389" t="str">
        <f>IF('Bản đồ công việc'!X422="","",'Bản đồ công việc'!Y422)</f>
        <v/>
      </c>
      <c r="P406" s="389" t="str">
        <f>IF('Bản đồ công việc'!X422="","",'Bản đồ công việc'!V422)</f>
        <v/>
      </c>
      <c r="Q406" s="389" t="str">
        <f>IF('Bản đồ công việc'!X422="","",'Bản đồ công việc'!AC422)</f>
        <v/>
      </c>
      <c r="R406" s="389" t="str">
        <f>IF('Bản đồ công việc'!X422="","",'Bản đồ công việc'!AD422)</f>
        <v/>
      </c>
      <c r="S406" s="389" t="str">
        <f>IF('Bản đồ công việc'!X422="","",'Bản đồ công việc'!Z422)</f>
        <v/>
      </c>
      <c r="T406" s="389" t="str">
        <f>IF('Bản đồ công việc'!X422="","",'Bản đồ công việc'!AA422)</f>
        <v/>
      </c>
      <c r="U406" s="389" t="str">
        <f>IF('Bản đồ công việc'!X422="","",'Bản đồ công việc'!AE422)</f>
        <v/>
      </c>
      <c r="V406" s="389" t="str">
        <f>IF('Bản đồ công việc'!X422="","",'Bản đồ công việc'!AI422)</f>
        <v/>
      </c>
      <c r="W406" s="389">
        <f t="shared" si="2"/>
        <v>0</v>
      </c>
      <c r="X406" s="389" t="str">
        <f t="shared" si="3"/>
        <v/>
      </c>
      <c r="Y406" s="389" t="str">
        <f t="shared" ref="Y406:Z406" si="402">IFERROR(INDEX($O$8:$O$684,MATCH(X406,$N$8:$N$684,0)),"")</f>
        <v/>
      </c>
      <c r="Z406" s="389" t="str">
        <f t="shared" si="402"/>
        <v/>
      </c>
      <c r="AA406" s="389">
        <f t="shared" si="5"/>
        <v>0</v>
      </c>
    </row>
    <row r="407" ht="15.75" customHeight="1">
      <c r="M407" s="389" t="str">
        <f>IF('Bản đồ công việc'!X423="","",'Bản đồ công việc'!W423)</f>
        <v/>
      </c>
      <c r="N407" s="389" t="str">
        <f>IF('Bản đồ công việc'!X423="","",'Bản đồ công việc'!X423)</f>
        <v/>
      </c>
      <c r="O407" s="389" t="str">
        <f>IF('Bản đồ công việc'!X423="","",'Bản đồ công việc'!Y423)</f>
        <v/>
      </c>
      <c r="P407" s="389" t="str">
        <f>IF('Bản đồ công việc'!X423="","",'Bản đồ công việc'!V423)</f>
        <v/>
      </c>
      <c r="Q407" s="389" t="str">
        <f>IF('Bản đồ công việc'!X423="","",'Bản đồ công việc'!AC423)</f>
        <v/>
      </c>
      <c r="R407" s="389" t="str">
        <f>IF('Bản đồ công việc'!X423="","",'Bản đồ công việc'!AD423)</f>
        <v/>
      </c>
      <c r="S407" s="389" t="str">
        <f>IF('Bản đồ công việc'!X423="","",'Bản đồ công việc'!Z423)</f>
        <v/>
      </c>
      <c r="T407" s="389" t="str">
        <f>IF('Bản đồ công việc'!X423="","",'Bản đồ công việc'!AA423)</f>
        <v/>
      </c>
      <c r="U407" s="389" t="str">
        <f>IF('Bản đồ công việc'!X423="","",'Bản đồ công việc'!AE423)</f>
        <v/>
      </c>
      <c r="V407" s="389" t="str">
        <f>IF('Bản đồ công việc'!X423="","",'Bản đồ công việc'!AI423)</f>
        <v/>
      </c>
      <c r="W407" s="389">
        <f t="shared" si="2"/>
        <v>0</v>
      </c>
      <c r="X407" s="389" t="str">
        <f t="shared" si="3"/>
        <v/>
      </c>
      <c r="Y407" s="389" t="str">
        <f t="shared" ref="Y407:Z407" si="403">IFERROR(INDEX($O$8:$O$684,MATCH(X407,$N$8:$N$684,0)),"")</f>
        <v/>
      </c>
      <c r="Z407" s="389" t="str">
        <f t="shared" si="403"/>
        <v/>
      </c>
      <c r="AA407" s="389">
        <f t="shared" si="5"/>
        <v>0</v>
      </c>
    </row>
    <row r="408" ht="15.75" customHeight="1">
      <c r="M408" s="389" t="str">
        <f>IF('Bản đồ công việc'!X424="","",'Bản đồ công việc'!W424)</f>
        <v/>
      </c>
      <c r="N408" s="389" t="str">
        <f>IF('Bản đồ công việc'!X424="","",'Bản đồ công việc'!X424)</f>
        <v/>
      </c>
      <c r="O408" s="389" t="str">
        <f>IF('Bản đồ công việc'!X424="","",'Bản đồ công việc'!Y424)</f>
        <v/>
      </c>
      <c r="P408" s="389" t="str">
        <f>IF('Bản đồ công việc'!X424="","",'Bản đồ công việc'!V424)</f>
        <v/>
      </c>
      <c r="Q408" s="389" t="str">
        <f>IF('Bản đồ công việc'!X424="","",'Bản đồ công việc'!AC424)</f>
        <v/>
      </c>
      <c r="R408" s="389" t="str">
        <f>IF('Bản đồ công việc'!X424="","",'Bản đồ công việc'!AD424)</f>
        <v/>
      </c>
      <c r="S408" s="389" t="str">
        <f>IF('Bản đồ công việc'!X424="","",'Bản đồ công việc'!Z424)</f>
        <v/>
      </c>
      <c r="T408" s="389" t="str">
        <f>IF('Bản đồ công việc'!X424="","",'Bản đồ công việc'!AA424)</f>
        <v/>
      </c>
      <c r="U408" s="389" t="str">
        <f>IF('Bản đồ công việc'!X424="","",'Bản đồ công việc'!AE424)</f>
        <v/>
      </c>
      <c r="V408" s="389" t="str">
        <f>IF('Bản đồ công việc'!X424="","",'Bản đồ công việc'!AI424)</f>
        <v/>
      </c>
      <c r="W408" s="389">
        <f t="shared" si="2"/>
        <v>0</v>
      </c>
      <c r="X408" s="389" t="str">
        <f t="shared" si="3"/>
        <v/>
      </c>
      <c r="Y408" s="389" t="str">
        <f t="shared" ref="Y408:Z408" si="404">IFERROR(INDEX($O$8:$O$684,MATCH(X408,$N$8:$N$684,0)),"")</f>
        <v/>
      </c>
      <c r="Z408" s="389" t="str">
        <f t="shared" si="404"/>
        <v/>
      </c>
      <c r="AA408" s="389">
        <f t="shared" si="5"/>
        <v>0</v>
      </c>
    </row>
    <row r="409" ht="15.75" customHeight="1">
      <c r="M409" s="389" t="str">
        <f>IF('Bản đồ công việc'!X425="","",'Bản đồ công việc'!W425)</f>
        <v/>
      </c>
      <c r="N409" s="389" t="str">
        <f>IF('Bản đồ công việc'!X425="","",'Bản đồ công việc'!X425)</f>
        <v/>
      </c>
      <c r="O409" s="389" t="str">
        <f>IF('Bản đồ công việc'!X425="","",'Bản đồ công việc'!Y425)</f>
        <v/>
      </c>
      <c r="P409" s="389" t="str">
        <f>IF('Bản đồ công việc'!X425="","",'Bản đồ công việc'!V425)</f>
        <v/>
      </c>
      <c r="Q409" s="389" t="str">
        <f>IF('Bản đồ công việc'!X425="","",'Bản đồ công việc'!AC425)</f>
        <v/>
      </c>
      <c r="R409" s="389" t="str">
        <f>IF('Bản đồ công việc'!X425="","",'Bản đồ công việc'!AD425)</f>
        <v/>
      </c>
      <c r="S409" s="389" t="str">
        <f>IF('Bản đồ công việc'!X425="","",'Bản đồ công việc'!Z425)</f>
        <v/>
      </c>
      <c r="T409" s="389" t="str">
        <f>IF('Bản đồ công việc'!X425="","",'Bản đồ công việc'!AA425)</f>
        <v/>
      </c>
      <c r="U409" s="389" t="str">
        <f>IF('Bản đồ công việc'!X425="","",'Bản đồ công việc'!AE425)</f>
        <v/>
      </c>
      <c r="V409" s="389" t="str">
        <f>IF('Bản đồ công việc'!X425="","",'Bản đồ công việc'!AI425)</f>
        <v/>
      </c>
      <c r="W409" s="389">
        <f t="shared" si="2"/>
        <v>0</v>
      </c>
      <c r="X409" s="389" t="str">
        <f t="shared" si="3"/>
        <v/>
      </c>
      <c r="Y409" s="389" t="str">
        <f t="shared" ref="Y409:Z409" si="405">IFERROR(INDEX($O$8:$O$684,MATCH(X409,$N$8:$N$684,0)),"")</f>
        <v/>
      </c>
      <c r="Z409" s="389" t="str">
        <f t="shared" si="405"/>
        <v/>
      </c>
      <c r="AA409" s="389">
        <f t="shared" si="5"/>
        <v>0</v>
      </c>
    </row>
    <row r="410" ht="15.75" customHeight="1">
      <c r="M410" s="389" t="str">
        <f>IF('Bản đồ công việc'!X426="","",'Bản đồ công việc'!W426)</f>
        <v/>
      </c>
      <c r="N410" s="389" t="str">
        <f>IF('Bản đồ công việc'!X426="","",'Bản đồ công việc'!X426)</f>
        <v/>
      </c>
      <c r="O410" s="389" t="str">
        <f>IF('Bản đồ công việc'!X426="","",'Bản đồ công việc'!Y426)</f>
        <v/>
      </c>
      <c r="P410" s="389" t="str">
        <f>IF('Bản đồ công việc'!X426="","",'Bản đồ công việc'!V426)</f>
        <v/>
      </c>
      <c r="Q410" s="389" t="str">
        <f>IF('Bản đồ công việc'!X426="","",'Bản đồ công việc'!AC426)</f>
        <v/>
      </c>
      <c r="R410" s="389" t="str">
        <f>IF('Bản đồ công việc'!X426="","",'Bản đồ công việc'!AD426)</f>
        <v/>
      </c>
      <c r="S410" s="389" t="str">
        <f>IF('Bản đồ công việc'!X426="","",'Bản đồ công việc'!Z426)</f>
        <v/>
      </c>
      <c r="T410" s="389" t="str">
        <f>IF('Bản đồ công việc'!X426="","",'Bản đồ công việc'!AA426)</f>
        <v/>
      </c>
      <c r="U410" s="389" t="str">
        <f>IF('Bản đồ công việc'!X426="","",'Bản đồ công việc'!AE426)</f>
        <v/>
      </c>
      <c r="V410" s="389" t="str">
        <f>IF('Bản đồ công việc'!X426="","",'Bản đồ công việc'!AI426)</f>
        <v/>
      </c>
      <c r="W410" s="389">
        <f t="shared" si="2"/>
        <v>0</v>
      </c>
      <c r="X410" s="389" t="str">
        <f t="shared" si="3"/>
        <v/>
      </c>
      <c r="Y410" s="389" t="str">
        <f t="shared" ref="Y410:Z410" si="406">IFERROR(INDEX($O$8:$O$684,MATCH(X410,$N$8:$N$684,0)),"")</f>
        <v/>
      </c>
      <c r="Z410" s="389" t="str">
        <f t="shared" si="406"/>
        <v/>
      </c>
      <c r="AA410" s="389">
        <f t="shared" si="5"/>
        <v>0</v>
      </c>
    </row>
    <row r="411" ht="15.75" customHeight="1">
      <c r="M411" s="389" t="str">
        <f>IF('Bản đồ công việc'!X427="","",'Bản đồ công việc'!W427)</f>
        <v/>
      </c>
      <c r="N411" s="389" t="str">
        <f>IF('Bản đồ công việc'!X427="","",'Bản đồ công việc'!X427)</f>
        <v/>
      </c>
      <c r="O411" s="389" t="str">
        <f>IF('Bản đồ công việc'!X427="","",'Bản đồ công việc'!Y427)</f>
        <v/>
      </c>
      <c r="P411" s="389" t="str">
        <f>IF('Bản đồ công việc'!X427="","",'Bản đồ công việc'!V427)</f>
        <v/>
      </c>
      <c r="Q411" s="389" t="str">
        <f>IF('Bản đồ công việc'!X427="","",'Bản đồ công việc'!AC427)</f>
        <v/>
      </c>
      <c r="R411" s="389" t="str">
        <f>IF('Bản đồ công việc'!X427="","",'Bản đồ công việc'!AD427)</f>
        <v/>
      </c>
      <c r="S411" s="389" t="str">
        <f>IF('Bản đồ công việc'!X427="","",'Bản đồ công việc'!Z427)</f>
        <v/>
      </c>
      <c r="T411" s="389" t="str">
        <f>IF('Bản đồ công việc'!X427="","",'Bản đồ công việc'!AA427)</f>
        <v/>
      </c>
      <c r="U411" s="389" t="str">
        <f>IF('Bản đồ công việc'!X427="","",'Bản đồ công việc'!AE427)</f>
        <v/>
      </c>
      <c r="V411" s="389" t="str">
        <f>IF('Bản đồ công việc'!X427="","",'Bản đồ công việc'!AI427)</f>
        <v/>
      </c>
      <c r="W411" s="389">
        <f t="shared" si="2"/>
        <v>0</v>
      </c>
      <c r="X411" s="389" t="str">
        <f t="shared" si="3"/>
        <v/>
      </c>
      <c r="Y411" s="389" t="str">
        <f t="shared" ref="Y411:Z411" si="407">IFERROR(INDEX($O$8:$O$684,MATCH(X411,$N$8:$N$684,0)),"")</f>
        <v/>
      </c>
      <c r="Z411" s="389" t="str">
        <f t="shared" si="407"/>
        <v/>
      </c>
      <c r="AA411" s="389">
        <f t="shared" si="5"/>
        <v>0</v>
      </c>
    </row>
    <row r="412" ht="15.75" customHeight="1">
      <c r="M412" s="389" t="str">
        <f>IF('Bản đồ công việc'!X428="","",'Bản đồ công việc'!W428)</f>
        <v/>
      </c>
      <c r="N412" s="389" t="str">
        <f>IF('Bản đồ công việc'!X428="","",'Bản đồ công việc'!X428)</f>
        <v/>
      </c>
      <c r="O412" s="389" t="str">
        <f>IF('Bản đồ công việc'!X428="","",'Bản đồ công việc'!Y428)</f>
        <v/>
      </c>
      <c r="P412" s="389" t="str">
        <f>IF('Bản đồ công việc'!X428="","",'Bản đồ công việc'!V428)</f>
        <v/>
      </c>
      <c r="Q412" s="389" t="str">
        <f>IF('Bản đồ công việc'!X428="","",'Bản đồ công việc'!AC428)</f>
        <v/>
      </c>
      <c r="R412" s="389" t="str">
        <f>IF('Bản đồ công việc'!X428="","",'Bản đồ công việc'!AD428)</f>
        <v/>
      </c>
      <c r="S412" s="389" t="str">
        <f>IF('Bản đồ công việc'!X428="","",'Bản đồ công việc'!Z428)</f>
        <v/>
      </c>
      <c r="T412" s="389" t="str">
        <f>IF('Bản đồ công việc'!X428="","",'Bản đồ công việc'!AA428)</f>
        <v/>
      </c>
      <c r="U412" s="389" t="str">
        <f>IF('Bản đồ công việc'!X428="","",'Bản đồ công việc'!AE428)</f>
        <v/>
      </c>
      <c r="V412" s="389" t="str">
        <f>IF('Bản đồ công việc'!X428="","",'Bản đồ công việc'!AI428)</f>
        <v/>
      </c>
      <c r="W412" s="389">
        <f t="shared" si="2"/>
        <v>0</v>
      </c>
      <c r="X412" s="389" t="str">
        <f t="shared" si="3"/>
        <v/>
      </c>
      <c r="Y412" s="389" t="str">
        <f t="shared" ref="Y412:Z412" si="408">IFERROR(INDEX($O$8:$O$684,MATCH(X412,$N$8:$N$684,0)),"")</f>
        <v/>
      </c>
      <c r="Z412" s="389" t="str">
        <f t="shared" si="408"/>
        <v/>
      </c>
      <c r="AA412" s="389">
        <f t="shared" si="5"/>
        <v>0</v>
      </c>
    </row>
    <row r="413" ht="15.75" customHeight="1">
      <c r="M413" s="389" t="str">
        <f>IF('Bản đồ công việc'!X429="","",'Bản đồ công việc'!W429)</f>
        <v/>
      </c>
      <c r="N413" s="389" t="str">
        <f>IF('Bản đồ công việc'!X429="","",'Bản đồ công việc'!X429)</f>
        <v/>
      </c>
      <c r="O413" s="389" t="str">
        <f>IF('Bản đồ công việc'!X429="","",'Bản đồ công việc'!Y429)</f>
        <v/>
      </c>
      <c r="P413" s="389" t="str">
        <f>IF('Bản đồ công việc'!X429="","",'Bản đồ công việc'!V429)</f>
        <v/>
      </c>
      <c r="Q413" s="389" t="str">
        <f>IF('Bản đồ công việc'!X429="","",'Bản đồ công việc'!AC429)</f>
        <v/>
      </c>
      <c r="R413" s="389" t="str">
        <f>IF('Bản đồ công việc'!X429="","",'Bản đồ công việc'!AD429)</f>
        <v/>
      </c>
      <c r="S413" s="389" t="str">
        <f>IF('Bản đồ công việc'!X429="","",'Bản đồ công việc'!Z429)</f>
        <v/>
      </c>
      <c r="T413" s="389" t="str">
        <f>IF('Bản đồ công việc'!X429="","",'Bản đồ công việc'!AA429)</f>
        <v/>
      </c>
      <c r="U413" s="389" t="str">
        <f>IF('Bản đồ công việc'!X429="","",'Bản đồ công việc'!AE429)</f>
        <v/>
      </c>
      <c r="V413" s="389" t="str">
        <f>IF('Bản đồ công việc'!X429="","",'Bản đồ công việc'!AI429)</f>
        <v/>
      </c>
      <c r="W413" s="389">
        <f t="shared" si="2"/>
        <v>0</v>
      </c>
      <c r="X413" s="389" t="str">
        <f t="shared" si="3"/>
        <v/>
      </c>
      <c r="Y413" s="389" t="str">
        <f t="shared" ref="Y413:Z413" si="409">IFERROR(INDEX($O$8:$O$684,MATCH(X413,$N$8:$N$684,0)),"")</f>
        <v/>
      </c>
      <c r="Z413" s="389" t="str">
        <f t="shared" si="409"/>
        <v/>
      </c>
      <c r="AA413" s="389">
        <f t="shared" si="5"/>
        <v>0</v>
      </c>
    </row>
    <row r="414" ht="15.75" customHeight="1">
      <c r="M414" s="389" t="str">
        <f>IF('Bản đồ công việc'!X430="","",'Bản đồ công việc'!W430)</f>
        <v/>
      </c>
      <c r="N414" s="389" t="str">
        <f>IF('Bản đồ công việc'!X430="","",'Bản đồ công việc'!X430)</f>
        <v/>
      </c>
      <c r="O414" s="389" t="str">
        <f>IF('Bản đồ công việc'!X430="","",'Bản đồ công việc'!Y430)</f>
        <v/>
      </c>
      <c r="P414" s="389" t="str">
        <f>IF('Bản đồ công việc'!X430="","",'Bản đồ công việc'!V430)</f>
        <v/>
      </c>
      <c r="Q414" s="389" t="str">
        <f>IF('Bản đồ công việc'!X430="","",'Bản đồ công việc'!AC430)</f>
        <v/>
      </c>
      <c r="R414" s="389" t="str">
        <f>IF('Bản đồ công việc'!X430="","",'Bản đồ công việc'!AD430)</f>
        <v/>
      </c>
      <c r="S414" s="389" t="str">
        <f>IF('Bản đồ công việc'!X430="","",'Bản đồ công việc'!Z430)</f>
        <v/>
      </c>
      <c r="T414" s="389" t="str">
        <f>IF('Bản đồ công việc'!X430="","",'Bản đồ công việc'!AA430)</f>
        <v/>
      </c>
      <c r="U414" s="389" t="str">
        <f>IF('Bản đồ công việc'!X430="","",'Bản đồ công việc'!AE430)</f>
        <v/>
      </c>
      <c r="V414" s="389" t="str">
        <f>IF('Bản đồ công việc'!X430="","",'Bản đồ công việc'!AI430)</f>
        <v/>
      </c>
      <c r="W414" s="389">
        <f t="shared" si="2"/>
        <v>0</v>
      </c>
      <c r="X414" s="389" t="str">
        <f t="shared" si="3"/>
        <v/>
      </c>
      <c r="Y414" s="389" t="str">
        <f t="shared" ref="Y414:Z414" si="410">IFERROR(INDEX($O$8:$O$684,MATCH(X414,$N$8:$N$684,0)),"")</f>
        <v/>
      </c>
      <c r="Z414" s="389" t="str">
        <f t="shared" si="410"/>
        <v/>
      </c>
      <c r="AA414" s="389">
        <f t="shared" si="5"/>
        <v>0</v>
      </c>
    </row>
    <row r="415" ht="15.75" customHeight="1">
      <c r="M415" s="389" t="str">
        <f>IF('Bản đồ công việc'!X431="","",'Bản đồ công việc'!W431)</f>
        <v/>
      </c>
      <c r="N415" s="389" t="str">
        <f>IF('Bản đồ công việc'!X431="","",'Bản đồ công việc'!X431)</f>
        <v/>
      </c>
      <c r="O415" s="389" t="str">
        <f>IF('Bản đồ công việc'!X431="","",'Bản đồ công việc'!Y431)</f>
        <v/>
      </c>
      <c r="P415" s="389" t="str">
        <f>IF('Bản đồ công việc'!X431="","",'Bản đồ công việc'!V431)</f>
        <v/>
      </c>
      <c r="Q415" s="389" t="str">
        <f>IF('Bản đồ công việc'!X431="","",'Bản đồ công việc'!AC431)</f>
        <v/>
      </c>
      <c r="R415" s="389" t="str">
        <f>IF('Bản đồ công việc'!X431="","",'Bản đồ công việc'!AD431)</f>
        <v/>
      </c>
      <c r="S415" s="389" t="str">
        <f>IF('Bản đồ công việc'!X431="","",'Bản đồ công việc'!Z431)</f>
        <v/>
      </c>
      <c r="T415" s="389" t="str">
        <f>IF('Bản đồ công việc'!X431="","",'Bản đồ công việc'!AA431)</f>
        <v/>
      </c>
      <c r="U415" s="389" t="str">
        <f>IF('Bản đồ công việc'!X431="","",'Bản đồ công việc'!AE431)</f>
        <v/>
      </c>
      <c r="V415" s="389" t="str">
        <f>IF('Bản đồ công việc'!X431="","",'Bản đồ công việc'!AI431)</f>
        <v/>
      </c>
      <c r="W415" s="389">
        <f t="shared" si="2"/>
        <v>0</v>
      </c>
      <c r="X415" s="389" t="str">
        <f t="shared" si="3"/>
        <v/>
      </c>
      <c r="Y415" s="389" t="str">
        <f t="shared" ref="Y415:Z415" si="411">IFERROR(INDEX($O$8:$O$684,MATCH(X415,$N$8:$N$684,0)),"")</f>
        <v/>
      </c>
      <c r="Z415" s="389" t="str">
        <f t="shared" si="411"/>
        <v/>
      </c>
      <c r="AA415" s="389">
        <f t="shared" si="5"/>
        <v>0</v>
      </c>
    </row>
    <row r="416" ht="15.75" customHeight="1">
      <c r="M416" s="389" t="str">
        <f>IF('Bản đồ công việc'!X432="","",'Bản đồ công việc'!W432)</f>
        <v/>
      </c>
      <c r="N416" s="389" t="str">
        <f>IF('Bản đồ công việc'!X432="","",'Bản đồ công việc'!X432)</f>
        <v/>
      </c>
      <c r="O416" s="389" t="str">
        <f>IF('Bản đồ công việc'!X432="","",'Bản đồ công việc'!Y432)</f>
        <v/>
      </c>
      <c r="P416" s="389" t="str">
        <f>IF('Bản đồ công việc'!X432="","",'Bản đồ công việc'!V432)</f>
        <v/>
      </c>
      <c r="Q416" s="389" t="str">
        <f>IF('Bản đồ công việc'!X432="","",'Bản đồ công việc'!AC432)</f>
        <v/>
      </c>
      <c r="R416" s="389" t="str">
        <f>IF('Bản đồ công việc'!X432="","",'Bản đồ công việc'!AD432)</f>
        <v/>
      </c>
      <c r="S416" s="389" t="str">
        <f>IF('Bản đồ công việc'!X432="","",'Bản đồ công việc'!Z432)</f>
        <v/>
      </c>
      <c r="T416" s="389" t="str">
        <f>IF('Bản đồ công việc'!X432="","",'Bản đồ công việc'!AA432)</f>
        <v/>
      </c>
      <c r="U416" s="389" t="str">
        <f>IF('Bản đồ công việc'!X432="","",'Bản đồ công việc'!AE432)</f>
        <v/>
      </c>
      <c r="V416" s="389" t="str">
        <f>IF('Bản đồ công việc'!X432="","",'Bản đồ công việc'!AI432)</f>
        <v/>
      </c>
      <c r="W416" s="389">
        <f t="shared" si="2"/>
        <v>0</v>
      </c>
      <c r="X416" s="389" t="str">
        <f t="shared" si="3"/>
        <v/>
      </c>
      <c r="Y416" s="389" t="str">
        <f t="shared" ref="Y416:Z416" si="412">IFERROR(INDEX($O$8:$O$684,MATCH(X416,$N$8:$N$684,0)),"")</f>
        <v/>
      </c>
      <c r="Z416" s="389" t="str">
        <f t="shared" si="412"/>
        <v/>
      </c>
      <c r="AA416" s="389">
        <f t="shared" si="5"/>
        <v>0</v>
      </c>
    </row>
    <row r="417" ht="15.75" customHeight="1">
      <c r="M417" s="389" t="str">
        <f>IF('Bản đồ công việc'!X433="","",'Bản đồ công việc'!W433)</f>
        <v/>
      </c>
      <c r="N417" s="389" t="str">
        <f>IF('Bản đồ công việc'!X433="","",'Bản đồ công việc'!X433)</f>
        <v/>
      </c>
      <c r="O417" s="389" t="str">
        <f>IF('Bản đồ công việc'!X433="","",'Bản đồ công việc'!Y433)</f>
        <v/>
      </c>
      <c r="P417" s="389" t="str">
        <f>IF('Bản đồ công việc'!X433="","",'Bản đồ công việc'!V433)</f>
        <v/>
      </c>
      <c r="Q417" s="389" t="str">
        <f>IF('Bản đồ công việc'!X433="","",'Bản đồ công việc'!AC433)</f>
        <v/>
      </c>
      <c r="R417" s="389" t="str">
        <f>IF('Bản đồ công việc'!X433="","",'Bản đồ công việc'!AD433)</f>
        <v/>
      </c>
      <c r="S417" s="389" t="str">
        <f>IF('Bản đồ công việc'!X433="","",'Bản đồ công việc'!Z433)</f>
        <v/>
      </c>
      <c r="T417" s="389" t="str">
        <f>IF('Bản đồ công việc'!X433="","",'Bản đồ công việc'!AA433)</f>
        <v/>
      </c>
      <c r="U417" s="389" t="str">
        <f>IF('Bản đồ công việc'!X433="","",'Bản đồ công việc'!AE433)</f>
        <v/>
      </c>
      <c r="V417" s="389" t="str">
        <f>IF('Bản đồ công việc'!X433="","",'Bản đồ công việc'!AI433)</f>
        <v/>
      </c>
      <c r="W417" s="389">
        <f t="shared" si="2"/>
        <v>0</v>
      </c>
      <c r="X417" s="389" t="str">
        <f t="shared" si="3"/>
        <v/>
      </c>
      <c r="Y417" s="389" t="str">
        <f t="shared" ref="Y417:Z417" si="413">IFERROR(INDEX($O$8:$O$684,MATCH(X417,$N$8:$N$684,0)),"")</f>
        <v/>
      </c>
      <c r="Z417" s="389" t="str">
        <f t="shared" si="413"/>
        <v/>
      </c>
      <c r="AA417" s="389">
        <f t="shared" si="5"/>
        <v>0</v>
      </c>
    </row>
    <row r="418" ht="15.75" customHeight="1">
      <c r="M418" s="389" t="str">
        <f>IF('Bản đồ công việc'!X434="","",'Bản đồ công việc'!W434)</f>
        <v/>
      </c>
      <c r="N418" s="389" t="str">
        <f>IF('Bản đồ công việc'!X434="","",'Bản đồ công việc'!X434)</f>
        <v/>
      </c>
      <c r="O418" s="389" t="str">
        <f>IF('Bản đồ công việc'!X434="","",'Bản đồ công việc'!Y434)</f>
        <v/>
      </c>
      <c r="P418" s="389" t="str">
        <f>IF('Bản đồ công việc'!X434="","",'Bản đồ công việc'!V434)</f>
        <v/>
      </c>
      <c r="Q418" s="389" t="str">
        <f>IF('Bản đồ công việc'!X434="","",'Bản đồ công việc'!AC434)</f>
        <v/>
      </c>
      <c r="R418" s="389" t="str">
        <f>IF('Bản đồ công việc'!X434="","",'Bản đồ công việc'!AD434)</f>
        <v/>
      </c>
      <c r="S418" s="389" t="str">
        <f>IF('Bản đồ công việc'!X434="","",'Bản đồ công việc'!Z434)</f>
        <v/>
      </c>
      <c r="T418" s="389" t="str">
        <f>IF('Bản đồ công việc'!X434="","",'Bản đồ công việc'!AA434)</f>
        <v/>
      </c>
      <c r="U418" s="389" t="str">
        <f>IF('Bản đồ công việc'!X434="","",'Bản đồ công việc'!AE434)</f>
        <v/>
      </c>
      <c r="V418" s="389" t="str">
        <f>IF('Bản đồ công việc'!X434="","",'Bản đồ công việc'!AI434)</f>
        <v/>
      </c>
      <c r="W418" s="389">
        <f t="shared" si="2"/>
        <v>0</v>
      </c>
      <c r="X418" s="389" t="str">
        <f t="shared" si="3"/>
        <v/>
      </c>
      <c r="Y418" s="389" t="str">
        <f t="shared" ref="Y418:Z418" si="414">IFERROR(INDEX($O$8:$O$684,MATCH(X418,$N$8:$N$684,0)),"")</f>
        <v/>
      </c>
      <c r="Z418" s="389" t="str">
        <f t="shared" si="414"/>
        <v/>
      </c>
      <c r="AA418" s="389">
        <f t="shared" si="5"/>
        <v>0</v>
      </c>
    </row>
    <row r="419" ht="15.75" customHeight="1">
      <c r="M419" s="389" t="str">
        <f>IF('Bản đồ công việc'!X435="","",'Bản đồ công việc'!W435)</f>
        <v/>
      </c>
      <c r="N419" s="389" t="str">
        <f>IF('Bản đồ công việc'!X435="","",'Bản đồ công việc'!X435)</f>
        <v/>
      </c>
      <c r="O419" s="389" t="str">
        <f>IF('Bản đồ công việc'!X435="","",'Bản đồ công việc'!Y435)</f>
        <v/>
      </c>
      <c r="P419" s="389" t="str">
        <f>IF('Bản đồ công việc'!X435="","",'Bản đồ công việc'!V435)</f>
        <v/>
      </c>
      <c r="Q419" s="389" t="str">
        <f>IF('Bản đồ công việc'!X435="","",'Bản đồ công việc'!AC435)</f>
        <v/>
      </c>
      <c r="R419" s="389" t="str">
        <f>IF('Bản đồ công việc'!X435="","",'Bản đồ công việc'!AD435)</f>
        <v/>
      </c>
      <c r="S419" s="389" t="str">
        <f>IF('Bản đồ công việc'!X435="","",'Bản đồ công việc'!Z435)</f>
        <v/>
      </c>
      <c r="T419" s="389" t="str">
        <f>IF('Bản đồ công việc'!X435="","",'Bản đồ công việc'!AA435)</f>
        <v/>
      </c>
      <c r="U419" s="389" t="str">
        <f>IF('Bản đồ công việc'!X435="","",'Bản đồ công việc'!AE435)</f>
        <v/>
      </c>
      <c r="V419" s="389" t="str">
        <f>IF('Bản đồ công việc'!X435="","",'Bản đồ công việc'!AI435)</f>
        <v/>
      </c>
      <c r="W419" s="389">
        <f t="shared" si="2"/>
        <v>0</v>
      </c>
      <c r="X419" s="389" t="str">
        <f t="shared" si="3"/>
        <v/>
      </c>
      <c r="Y419" s="389" t="str">
        <f t="shared" ref="Y419:Z419" si="415">IFERROR(INDEX($O$8:$O$684,MATCH(X419,$N$8:$N$684,0)),"")</f>
        <v/>
      </c>
      <c r="Z419" s="389" t="str">
        <f t="shared" si="415"/>
        <v/>
      </c>
      <c r="AA419" s="389">
        <f t="shared" si="5"/>
        <v>0</v>
      </c>
    </row>
    <row r="420" ht="15.75" customHeight="1">
      <c r="M420" s="389" t="str">
        <f>IF('Bản đồ công việc'!X436="","",'Bản đồ công việc'!W436)</f>
        <v/>
      </c>
      <c r="N420" s="389" t="str">
        <f>IF('Bản đồ công việc'!X436="","",'Bản đồ công việc'!X436)</f>
        <v/>
      </c>
      <c r="O420" s="389" t="str">
        <f>IF('Bản đồ công việc'!X436="","",'Bản đồ công việc'!Y436)</f>
        <v/>
      </c>
      <c r="P420" s="389" t="str">
        <f>IF('Bản đồ công việc'!X436="","",'Bản đồ công việc'!V436)</f>
        <v/>
      </c>
      <c r="Q420" s="389" t="str">
        <f>IF('Bản đồ công việc'!X436="","",'Bản đồ công việc'!AC436)</f>
        <v/>
      </c>
      <c r="R420" s="389" t="str">
        <f>IF('Bản đồ công việc'!X436="","",'Bản đồ công việc'!AD436)</f>
        <v/>
      </c>
      <c r="S420" s="389" t="str">
        <f>IF('Bản đồ công việc'!X436="","",'Bản đồ công việc'!Z436)</f>
        <v/>
      </c>
      <c r="T420" s="389" t="str">
        <f>IF('Bản đồ công việc'!X436="","",'Bản đồ công việc'!AA436)</f>
        <v/>
      </c>
      <c r="U420" s="389" t="str">
        <f>IF('Bản đồ công việc'!X436="","",'Bản đồ công việc'!AE436)</f>
        <v/>
      </c>
      <c r="V420" s="389" t="str">
        <f>IF('Bản đồ công việc'!X436="","",'Bản đồ công việc'!AI436)</f>
        <v/>
      </c>
      <c r="W420" s="389">
        <f t="shared" si="2"/>
        <v>0</v>
      </c>
      <c r="X420" s="389" t="str">
        <f t="shared" si="3"/>
        <v/>
      </c>
      <c r="Y420" s="389" t="str">
        <f t="shared" ref="Y420:Z420" si="416">IFERROR(INDEX($O$8:$O$684,MATCH(X420,$N$8:$N$684,0)),"")</f>
        <v/>
      </c>
      <c r="Z420" s="389" t="str">
        <f t="shared" si="416"/>
        <v/>
      </c>
      <c r="AA420" s="389">
        <f t="shared" si="5"/>
        <v>0</v>
      </c>
    </row>
    <row r="421" ht="15.75" customHeight="1">
      <c r="M421" s="389" t="str">
        <f>IF('Bản đồ công việc'!X437="","",'Bản đồ công việc'!W437)</f>
        <v/>
      </c>
      <c r="N421" s="389" t="str">
        <f>IF('Bản đồ công việc'!X437="","",'Bản đồ công việc'!X437)</f>
        <v/>
      </c>
      <c r="O421" s="389" t="str">
        <f>IF('Bản đồ công việc'!X437="","",'Bản đồ công việc'!Y437)</f>
        <v/>
      </c>
      <c r="P421" s="389" t="str">
        <f>IF('Bản đồ công việc'!X437="","",'Bản đồ công việc'!V437)</f>
        <v/>
      </c>
      <c r="Q421" s="389" t="str">
        <f>IF('Bản đồ công việc'!X437="","",'Bản đồ công việc'!AC437)</f>
        <v/>
      </c>
      <c r="R421" s="389" t="str">
        <f>IF('Bản đồ công việc'!X437="","",'Bản đồ công việc'!AD437)</f>
        <v/>
      </c>
      <c r="S421" s="389" t="str">
        <f>IF('Bản đồ công việc'!X437="","",'Bản đồ công việc'!Z437)</f>
        <v/>
      </c>
      <c r="T421" s="389" t="str">
        <f>IF('Bản đồ công việc'!X437="","",'Bản đồ công việc'!AA437)</f>
        <v/>
      </c>
      <c r="U421" s="389" t="str">
        <f>IF('Bản đồ công việc'!X437="","",'Bản đồ công việc'!AE437)</f>
        <v/>
      </c>
      <c r="V421" s="389" t="str">
        <f>IF('Bản đồ công việc'!X437="","",'Bản đồ công việc'!AI437)</f>
        <v/>
      </c>
      <c r="W421" s="389">
        <f t="shared" si="2"/>
        <v>0</v>
      </c>
      <c r="X421" s="389" t="str">
        <f t="shared" si="3"/>
        <v/>
      </c>
      <c r="Y421" s="389" t="str">
        <f t="shared" ref="Y421:Z421" si="417">IFERROR(INDEX($O$8:$O$684,MATCH(X421,$N$8:$N$684,0)),"")</f>
        <v/>
      </c>
      <c r="Z421" s="389" t="str">
        <f t="shared" si="417"/>
        <v/>
      </c>
      <c r="AA421" s="389">
        <f t="shared" si="5"/>
        <v>0</v>
      </c>
    </row>
    <row r="422" ht="15.75" customHeight="1">
      <c r="M422" s="389" t="str">
        <f>IF('Bản đồ công việc'!X438="","",'Bản đồ công việc'!W438)</f>
        <v/>
      </c>
      <c r="N422" s="389" t="str">
        <f>IF('Bản đồ công việc'!X438="","",'Bản đồ công việc'!X438)</f>
        <v/>
      </c>
      <c r="O422" s="389" t="str">
        <f>IF('Bản đồ công việc'!X438="","",'Bản đồ công việc'!Y438)</f>
        <v/>
      </c>
      <c r="P422" s="389" t="str">
        <f>IF('Bản đồ công việc'!X438="","",'Bản đồ công việc'!V438)</f>
        <v/>
      </c>
      <c r="Q422" s="389" t="str">
        <f>IF('Bản đồ công việc'!X438="","",'Bản đồ công việc'!AC438)</f>
        <v/>
      </c>
      <c r="R422" s="389" t="str">
        <f>IF('Bản đồ công việc'!X438="","",'Bản đồ công việc'!AD438)</f>
        <v/>
      </c>
      <c r="S422" s="389" t="str">
        <f>IF('Bản đồ công việc'!X438="","",'Bản đồ công việc'!Z438)</f>
        <v/>
      </c>
      <c r="T422" s="389" t="str">
        <f>IF('Bản đồ công việc'!X438="","",'Bản đồ công việc'!AA438)</f>
        <v/>
      </c>
      <c r="U422" s="389" t="str">
        <f>IF('Bản đồ công việc'!X438="","",'Bản đồ công việc'!AE438)</f>
        <v/>
      </c>
      <c r="V422" s="389" t="str">
        <f>IF('Bản đồ công việc'!X438="","",'Bản đồ công việc'!AI438)</f>
        <v/>
      </c>
      <c r="W422" s="389">
        <f t="shared" si="2"/>
        <v>0</v>
      </c>
      <c r="X422" s="389" t="str">
        <f t="shared" si="3"/>
        <v/>
      </c>
      <c r="Y422" s="389" t="str">
        <f t="shared" ref="Y422:Z422" si="418">IFERROR(INDEX($O$8:$O$684,MATCH(X422,$N$8:$N$684,0)),"")</f>
        <v/>
      </c>
      <c r="Z422" s="389" t="str">
        <f t="shared" si="418"/>
        <v/>
      </c>
      <c r="AA422" s="389">
        <f t="shared" si="5"/>
        <v>0</v>
      </c>
    </row>
    <row r="423" ht="15.75" customHeight="1">
      <c r="M423" s="389" t="str">
        <f>IF('Bản đồ công việc'!X439="","",'Bản đồ công việc'!W439)</f>
        <v/>
      </c>
      <c r="N423" s="389" t="str">
        <f>IF('Bản đồ công việc'!X439="","",'Bản đồ công việc'!X439)</f>
        <v/>
      </c>
      <c r="O423" s="389" t="str">
        <f>IF('Bản đồ công việc'!X439="","",'Bản đồ công việc'!Y439)</f>
        <v/>
      </c>
      <c r="P423" s="389" t="str">
        <f>IF('Bản đồ công việc'!X439="","",'Bản đồ công việc'!V439)</f>
        <v/>
      </c>
      <c r="Q423" s="389" t="str">
        <f>IF('Bản đồ công việc'!X439="","",'Bản đồ công việc'!AC439)</f>
        <v/>
      </c>
      <c r="R423" s="389" t="str">
        <f>IF('Bản đồ công việc'!X439="","",'Bản đồ công việc'!AD439)</f>
        <v/>
      </c>
      <c r="S423" s="389" t="str">
        <f>IF('Bản đồ công việc'!X439="","",'Bản đồ công việc'!Z439)</f>
        <v/>
      </c>
      <c r="T423" s="389" t="str">
        <f>IF('Bản đồ công việc'!X439="","",'Bản đồ công việc'!AA439)</f>
        <v/>
      </c>
      <c r="U423" s="389" t="str">
        <f>IF('Bản đồ công việc'!X439="","",'Bản đồ công việc'!AE439)</f>
        <v/>
      </c>
      <c r="V423" s="389" t="str">
        <f>IF('Bản đồ công việc'!X439="","",'Bản đồ công việc'!AI439)</f>
        <v/>
      </c>
      <c r="W423" s="389">
        <f t="shared" si="2"/>
        <v>0</v>
      </c>
      <c r="X423" s="389" t="str">
        <f t="shared" si="3"/>
        <v/>
      </c>
      <c r="Y423" s="389" t="str">
        <f t="shared" ref="Y423:Z423" si="419">IFERROR(INDEX($O$8:$O$684,MATCH(X423,$N$8:$N$684,0)),"")</f>
        <v/>
      </c>
      <c r="Z423" s="389" t="str">
        <f t="shared" si="419"/>
        <v/>
      </c>
      <c r="AA423" s="389">
        <f t="shared" si="5"/>
        <v>0</v>
      </c>
    </row>
    <row r="424" ht="15.75" customHeight="1">
      <c r="M424" s="389" t="str">
        <f>IF('Bản đồ công việc'!X440="","",'Bản đồ công việc'!W440)</f>
        <v/>
      </c>
      <c r="N424" s="389" t="str">
        <f>IF('Bản đồ công việc'!X440="","",'Bản đồ công việc'!X440)</f>
        <v/>
      </c>
      <c r="O424" s="389" t="str">
        <f>IF('Bản đồ công việc'!X440="","",'Bản đồ công việc'!Y440)</f>
        <v/>
      </c>
      <c r="P424" s="389" t="str">
        <f>IF('Bản đồ công việc'!X440="","",'Bản đồ công việc'!V440)</f>
        <v/>
      </c>
      <c r="Q424" s="389" t="str">
        <f>IF('Bản đồ công việc'!X440="","",'Bản đồ công việc'!AC440)</f>
        <v/>
      </c>
      <c r="R424" s="389" t="str">
        <f>IF('Bản đồ công việc'!X440="","",'Bản đồ công việc'!AD440)</f>
        <v/>
      </c>
      <c r="S424" s="389" t="str">
        <f>IF('Bản đồ công việc'!X440="","",'Bản đồ công việc'!Z440)</f>
        <v/>
      </c>
      <c r="T424" s="389" t="str">
        <f>IF('Bản đồ công việc'!X440="","",'Bản đồ công việc'!AA440)</f>
        <v/>
      </c>
      <c r="U424" s="389" t="str">
        <f>IF('Bản đồ công việc'!X440="","",'Bản đồ công việc'!AE440)</f>
        <v/>
      </c>
      <c r="V424" s="389" t="str">
        <f>IF('Bản đồ công việc'!X440="","",'Bản đồ công việc'!AI440)</f>
        <v/>
      </c>
      <c r="W424" s="389">
        <f t="shared" si="2"/>
        <v>0</v>
      </c>
      <c r="X424" s="389" t="str">
        <f t="shared" si="3"/>
        <v/>
      </c>
      <c r="Y424" s="389" t="str">
        <f t="shared" ref="Y424:Z424" si="420">IFERROR(INDEX($O$8:$O$684,MATCH(X424,$N$8:$N$684,0)),"")</f>
        <v/>
      </c>
      <c r="Z424" s="389" t="str">
        <f t="shared" si="420"/>
        <v/>
      </c>
      <c r="AA424" s="389">
        <f t="shared" si="5"/>
        <v>0</v>
      </c>
    </row>
    <row r="425" ht="15.75" customHeight="1">
      <c r="M425" s="389" t="str">
        <f>IF('Bản đồ công việc'!X441="","",'Bản đồ công việc'!W441)</f>
        <v/>
      </c>
      <c r="N425" s="389" t="str">
        <f>IF('Bản đồ công việc'!X441="","",'Bản đồ công việc'!X441)</f>
        <v/>
      </c>
      <c r="O425" s="389" t="str">
        <f>IF('Bản đồ công việc'!X441="","",'Bản đồ công việc'!Y441)</f>
        <v/>
      </c>
      <c r="P425" s="389" t="str">
        <f>IF('Bản đồ công việc'!X441="","",'Bản đồ công việc'!V441)</f>
        <v/>
      </c>
      <c r="Q425" s="389" t="str">
        <f>IF('Bản đồ công việc'!X441="","",'Bản đồ công việc'!AC441)</f>
        <v/>
      </c>
      <c r="R425" s="389" t="str">
        <f>IF('Bản đồ công việc'!X441="","",'Bản đồ công việc'!AD441)</f>
        <v/>
      </c>
      <c r="S425" s="389" t="str">
        <f>IF('Bản đồ công việc'!X441="","",'Bản đồ công việc'!Z441)</f>
        <v/>
      </c>
      <c r="T425" s="389" t="str">
        <f>IF('Bản đồ công việc'!X441="","",'Bản đồ công việc'!AA441)</f>
        <v/>
      </c>
      <c r="U425" s="389" t="str">
        <f>IF('Bản đồ công việc'!X441="","",'Bản đồ công việc'!AE441)</f>
        <v/>
      </c>
      <c r="V425" s="389" t="str">
        <f>IF('Bản đồ công việc'!X441="","",'Bản đồ công việc'!AI441)</f>
        <v/>
      </c>
      <c r="W425" s="389">
        <f t="shared" si="2"/>
        <v>0</v>
      </c>
      <c r="X425" s="389" t="str">
        <f t="shared" si="3"/>
        <v/>
      </c>
      <c r="Y425" s="389" t="str">
        <f t="shared" ref="Y425:Z425" si="421">IFERROR(INDEX($O$8:$O$684,MATCH(X425,$N$8:$N$684,0)),"")</f>
        <v/>
      </c>
      <c r="Z425" s="389" t="str">
        <f t="shared" si="421"/>
        <v/>
      </c>
      <c r="AA425" s="389">
        <f t="shared" si="5"/>
        <v>0</v>
      </c>
    </row>
    <row r="426" ht="15.75" customHeight="1">
      <c r="M426" s="389" t="str">
        <f>IF('Bản đồ công việc'!X442="","",'Bản đồ công việc'!W442)</f>
        <v/>
      </c>
      <c r="N426" s="389" t="str">
        <f>IF('Bản đồ công việc'!X442="","",'Bản đồ công việc'!X442)</f>
        <v/>
      </c>
      <c r="O426" s="389" t="str">
        <f>IF('Bản đồ công việc'!X442="","",'Bản đồ công việc'!Y442)</f>
        <v/>
      </c>
      <c r="P426" s="389" t="str">
        <f>IF('Bản đồ công việc'!X442="","",'Bản đồ công việc'!V442)</f>
        <v/>
      </c>
      <c r="Q426" s="389" t="str">
        <f>IF('Bản đồ công việc'!X442="","",'Bản đồ công việc'!AC442)</f>
        <v/>
      </c>
      <c r="R426" s="389" t="str">
        <f>IF('Bản đồ công việc'!X442="","",'Bản đồ công việc'!AD442)</f>
        <v/>
      </c>
      <c r="S426" s="389" t="str">
        <f>IF('Bản đồ công việc'!X442="","",'Bản đồ công việc'!Z442)</f>
        <v/>
      </c>
      <c r="T426" s="389" t="str">
        <f>IF('Bản đồ công việc'!X442="","",'Bản đồ công việc'!AA442)</f>
        <v/>
      </c>
      <c r="U426" s="389" t="str">
        <f>IF('Bản đồ công việc'!X442="","",'Bản đồ công việc'!AE442)</f>
        <v/>
      </c>
      <c r="V426" s="389" t="str">
        <f>IF('Bản đồ công việc'!X442="","",'Bản đồ công việc'!AI442)</f>
        <v/>
      </c>
      <c r="W426" s="389">
        <f t="shared" si="2"/>
        <v>0</v>
      </c>
      <c r="X426" s="389" t="str">
        <f t="shared" si="3"/>
        <v/>
      </c>
      <c r="Y426" s="389" t="str">
        <f t="shared" ref="Y426:Z426" si="422">IFERROR(INDEX($O$8:$O$684,MATCH(X426,$N$8:$N$684,0)),"")</f>
        <v/>
      </c>
      <c r="Z426" s="389" t="str">
        <f t="shared" si="422"/>
        <v/>
      </c>
      <c r="AA426" s="389">
        <f t="shared" si="5"/>
        <v>0</v>
      </c>
    </row>
    <row r="427" ht="15.75" customHeight="1">
      <c r="M427" s="389" t="str">
        <f>IF('Bản đồ công việc'!X443="","",'Bản đồ công việc'!W443)</f>
        <v/>
      </c>
      <c r="N427" s="389" t="str">
        <f>IF('Bản đồ công việc'!X443="","",'Bản đồ công việc'!X443)</f>
        <v/>
      </c>
      <c r="O427" s="389" t="str">
        <f>IF('Bản đồ công việc'!X443="","",'Bản đồ công việc'!Y443)</f>
        <v/>
      </c>
      <c r="P427" s="389" t="str">
        <f>IF('Bản đồ công việc'!X443="","",'Bản đồ công việc'!V443)</f>
        <v/>
      </c>
      <c r="Q427" s="389" t="str">
        <f>IF('Bản đồ công việc'!X443="","",'Bản đồ công việc'!AC443)</f>
        <v/>
      </c>
      <c r="R427" s="389" t="str">
        <f>IF('Bản đồ công việc'!X443="","",'Bản đồ công việc'!AD443)</f>
        <v/>
      </c>
      <c r="S427" s="389" t="str">
        <f>IF('Bản đồ công việc'!X443="","",'Bản đồ công việc'!Z443)</f>
        <v/>
      </c>
      <c r="T427" s="389" t="str">
        <f>IF('Bản đồ công việc'!X443="","",'Bản đồ công việc'!AA443)</f>
        <v/>
      </c>
      <c r="U427" s="389" t="str">
        <f>IF('Bản đồ công việc'!X443="","",'Bản đồ công việc'!AE443)</f>
        <v/>
      </c>
      <c r="V427" s="389" t="str">
        <f>IF('Bản đồ công việc'!X443="","",'Bản đồ công việc'!AI443)</f>
        <v/>
      </c>
      <c r="W427" s="389">
        <f t="shared" si="2"/>
        <v>0</v>
      </c>
      <c r="X427" s="389" t="str">
        <f t="shared" si="3"/>
        <v/>
      </c>
      <c r="Y427" s="389" t="str">
        <f t="shared" ref="Y427:Z427" si="423">IFERROR(INDEX($O$8:$O$684,MATCH(X427,$N$8:$N$684,0)),"")</f>
        <v/>
      </c>
      <c r="Z427" s="389" t="str">
        <f t="shared" si="423"/>
        <v/>
      </c>
      <c r="AA427" s="389">
        <f t="shared" si="5"/>
        <v>0</v>
      </c>
    </row>
    <row r="428" ht="15.75" customHeight="1">
      <c r="M428" s="389" t="str">
        <f>IF('Bản đồ công việc'!X444="","",'Bản đồ công việc'!W444)</f>
        <v/>
      </c>
      <c r="N428" s="389" t="str">
        <f>IF('Bản đồ công việc'!X444="","",'Bản đồ công việc'!X444)</f>
        <v/>
      </c>
      <c r="O428" s="389" t="str">
        <f>IF('Bản đồ công việc'!X444="","",'Bản đồ công việc'!Y444)</f>
        <v/>
      </c>
      <c r="P428" s="389" t="str">
        <f>IF('Bản đồ công việc'!X444="","",'Bản đồ công việc'!V444)</f>
        <v/>
      </c>
      <c r="Q428" s="389" t="str">
        <f>IF('Bản đồ công việc'!X444="","",'Bản đồ công việc'!AC444)</f>
        <v/>
      </c>
      <c r="R428" s="389" t="str">
        <f>IF('Bản đồ công việc'!X444="","",'Bản đồ công việc'!AD444)</f>
        <v/>
      </c>
      <c r="S428" s="389" t="str">
        <f>IF('Bản đồ công việc'!X444="","",'Bản đồ công việc'!Z444)</f>
        <v/>
      </c>
      <c r="T428" s="389" t="str">
        <f>IF('Bản đồ công việc'!X444="","",'Bản đồ công việc'!AA444)</f>
        <v/>
      </c>
      <c r="U428" s="389" t="str">
        <f>IF('Bản đồ công việc'!X444="","",'Bản đồ công việc'!AE444)</f>
        <v/>
      </c>
      <c r="V428" s="389" t="str">
        <f>IF('Bản đồ công việc'!X444="","",'Bản đồ công việc'!AI444)</f>
        <v/>
      </c>
      <c r="W428" s="389">
        <f t="shared" si="2"/>
        <v>0</v>
      </c>
      <c r="X428" s="389" t="str">
        <f t="shared" si="3"/>
        <v/>
      </c>
      <c r="Y428" s="389" t="str">
        <f t="shared" ref="Y428:Z428" si="424">IFERROR(INDEX($O$8:$O$684,MATCH(X428,$N$8:$N$684,0)),"")</f>
        <v/>
      </c>
      <c r="Z428" s="389" t="str">
        <f t="shared" si="424"/>
        <v/>
      </c>
      <c r="AA428" s="389">
        <f t="shared" si="5"/>
        <v>0</v>
      </c>
    </row>
    <row r="429" ht="15.75" customHeight="1">
      <c r="M429" s="389" t="str">
        <f>IF('Bản đồ công việc'!X445="","",'Bản đồ công việc'!W445)</f>
        <v/>
      </c>
      <c r="N429" s="389" t="str">
        <f>IF('Bản đồ công việc'!X445="","",'Bản đồ công việc'!X445)</f>
        <v/>
      </c>
      <c r="O429" s="389" t="str">
        <f>IF('Bản đồ công việc'!X445="","",'Bản đồ công việc'!Y445)</f>
        <v/>
      </c>
      <c r="P429" s="389" t="str">
        <f>IF('Bản đồ công việc'!X445="","",'Bản đồ công việc'!V445)</f>
        <v/>
      </c>
      <c r="Q429" s="389" t="str">
        <f>IF('Bản đồ công việc'!X445="","",'Bản đồ công việc'!AC445)</f>
        <v/>
      </c>
      <c r="R429" s="389" t="str">
        <f>IF('Bản đồ công việc'!X445="","",'Bản đồ công việc'!AD445)</f>
        <v/>
      </c>
      <c r="S429" s="389" t="str">
        <f>IF('Bản đồ công việc'!X445="","",'Bản đồ công việc'!Z445)</f>
        <v/>
      </c>
      <c r="T429" s="389" t="str">
        <f>IF('Bản đồ công việc'!X445="","",'Bản đồ công việc'!AA445)</f>
        <v/>
      </c>
      <c r="U429" s="389" t="str">
        <f>IF('Bản đồ công việc'!X445="","",'Bản đồ công việc'!AE445)</f>
        <v/>
      </c>
      <c r="V429" s="389" t="str">
        <f>IF('Bản đồ công việc'!X445="","",'Bản đồ công việc'!AI445)</f>
        <v/>
      </c>
      <c r="W429" s="389">
        <f t="shared" si="2"/>
        <v>0</v>
      </c>
      <c r="X429" s="389" t="str">
        <f t="shared" si="3"/>
        <v/>
      </c>
      <c r="Y429" s="389" t="str">
        <f t="shared" ref="Y429:Z429" si="425">IFERROR(INDEX($O$8:$O$684,MATCH(X429,$N$8:$N$684,0)),"")</f>
        <v/>
      </c>
      <c r="Z429" s="389" t="str">
        <f t="shared" si="425"/>
        <v/>
      </c>
      <c r="AA429" s="389">
        <f t="shared" si="5"/>
        <v>0</v>
      </c>
    </row>
    <row r="430" ht="15.75" customHeight="1">
      <c r="M430" s="389" t="str">
        <f>IF('Bản đồ công việc'!X446="","",'Bản đồ công việc'!W446)</f>
        <v/>
      </c>
      <c r="N430" s="389" t="str">
        <f>IF('Bản đồ công việc'!X446="","",'Bản đồ công việc'!X446)</f>
        <v/>
      </c>
      <c r="O430" s="389" t="str">
        <f>IF('Bản đồ công việc'!X446="","",'Bản đồ công việc'!Y446)</f>
        <v/>
      </c>
      <c r="P430" s="389" t="str">
        <f>IF('Bản đồ công việc'!X446="","",'Bản đồ công việc'!V446)</f>
        <v/>
      </c>
      <c r="Q430" s="389" t="str">
        <f>IF('Bản đồ công việc'!X446="","",'Bản đồ công việc'!AC446)</f>
        <v/>
      </c>
      <c r="R430" s="389" t="str">
        <f>IF('Bản đồ công việc'!X446="","",'Bản đồ công việc'!AD446)</f>
        <v/>
      </c>
      <c r="S430" s="389" t="str">
        <f>IF('Bản đồ công việc'!X446="","",'Bản đồ công việc'!Z446)</f>
        <v/>
      </c>
      <c r="T430" s="389" t="str">
        <f>IF('Bản đồ công việc'!X446="","",'Bản đồ công việc'!AA446)</f>
        <v/>
      </c>
      <c r="U430" s="389" t="str">
        <f>IF('Bản đồ công việc'!X446="","",'Bản đồ công việc'!AE446)</f>
        <v/>
      </c>
      <c r="V430" s="389" t="str">
        <f>IF('Bản đồ công việc'!X446="","",'Bản đồ công việc'!AI446)</f>
        <v/>
      </c>
      <c r="W430" s="389">
        <f t="shared" si="2"/>
        <v>0</v>
      </c>
      <c r="X430" s="389" t="str">
        <f t="shared" si="3"/>
        <v/>
      </c>
      <c r="Y430" s="389" t="str">
        <f t="shared" ref="Y430:Z430" si="426">IFERROR(INDEX($O$8:$O$684,MATCH(X430,$N$8:$N$684,0)),"")</f>
        <v/>
      </c>
      <c r="Z430" s="389" t="str">
        <f t="shared" si="426"/>
        <v/>
      </c>
      <c r="AA430" s="389">
        <f t="shared" si="5"/>
        <v>0</v>
      </c>
    </row>
    <row r="431" ht="15.75" customHeight="1">
      <c r="M431" s="389" t="str">
        <f>IF('Bản đồ công việc'!X447="","",'Bản đồ công việc'!W447)</f>
        <v/>
      </c>
      <c r="N431" s="389" t="str">
        <f>IF('Bản đồ công việc'!X447="","",'Bản đồ công việc'!X447)</f>
        <v/>
      </c>
      <c r="O431" s="389" t="str">
        <f>IF('Bản đồ công việc'!X447="","",'Bản đồ công việc'!Y447)</f>
        <v/>
      </c>
      <c r="P431" s="389" t="str">
        <f>IF('Bản đồ công việc'!X447="","",'Bản đồ công việc'!V447)</f>
        <v/>
      </c>
      <c r="Q431" s="389" t="str">
        <f>IF('Bản đồ công việc'!X447="","",'Bản đồ công việc'!AC447)</f>
        <v/>
      </c>
      <c r="R431" s="389" t="str">
        <f>IF('Bản đồ công việc'!X447="","",'Bản đồ công việc'!AD447)</f>
        <v/>
      </c>
      <c r="S431" s="389" t="str">
        <f>IF('Bản đồ công việc'!X447="","",'Bản đồ công việc'!Z447)</f>
        <v/>
      </c>
      <c r="T431" s="389" t="str">
        <f>IF('Bản đồ công việc'!X447="","",'Bản đồ công việc'!AA447)</f>
        <v/>
      </c>
      <c r="U431" s="389" t="str">
        <f>IF('Bản đồ công việc'!X447="","",'Bản đồ công việc'!AE447)</f>
        <v/>
      </c>
      <c r="V431" s="389" t="str">
        <f>IF('Bản đồ công việc'!X447="","",'Bản đồ công việc'!AI447)</f>
        <v/>
      </c>
      <c r="W431" s="389">
        <f t="shared" si="2"/>
        <v>0</v>
      </c>
      <c r="X431" s="389" t="str">
        <f t="shared" si="3"/>
        <v/>
      </c>
      <c r="Y431" s="389" t="str">
        <f t="shared" ref="Y431:Z431" si="427">IFERROR(INDEX($O$8:$O$684,MATCH(X431,$N$8:$N$684,0)),"")</f>
        <v/>
      </c>
      <c r="Z431" s="389" t="str">
        <f t="shared" si="427"/>
        <v/>
      </c>
      <c r="AA431" s="389">
        <f t="shared" si="5"/>
        <v>0</v>
      </c>
    </row>
    <row r="432" ht="15.75" customHeight="1">
      <c r="M432" s="389" t="str">
        <f>IF('Bản đồ công việc'!X448="","",'Bản đồ công việc'!W448)</f>
        <v/>
      </c>
      <c r="N432" s="389" t="str">
        <f>IF('Bản đồ công việc'!X448="","",'Bản đồ công việc'!X448)</f>
        <v/>
      </c>
      <c r="O432" s="389" t="str">
        <f>IF('Bản đồ công việc'!X448="","",'Bản đồ công việc'!Y448)</f>
        <v/>
      </c>
      <c r="P432" s="389" t="str">
        <f>IF('Bản đồ công việc'!X448="","",'Bản đồ công việc'!V448)</f>
        <v/>
      </c>
      <c r="Q432" s="389" t="str">
        <f>IF('Bản đồ công việc'!X448="","",'Bản đồ công việc'!AC448)</f>
        <v/>
      </c>
      <c r="R432" s="389" t="str">
        <f>IF('Bản đồ công việc'!X448="","",'Bản đồ công việc'!AD448)</f>
        <v/>
      </c>
      <c r="S432" s="389" t="str">
        <f>IF('Bản đồ công việc'!X448="","",'Bản đồ công việc'!Z448)</f>
        <v/>
      </c>
      <c r="T432" s="389" t="str">
        <f>IF('Bản đồ công việc'!X448="","",'Bản đồ công việc'!AA448)</f>
        <v/>
      </c>
      <c r="U432" s="389" t="str">
        <f>IF('Bản đồ công việc'!X448="","",'Bản đồ công việc'!AE448)</f>
        <v/>
      </c>
      <c r="V432" s="389" t="str">
        <f>IF('Bản đồ công việc'!X448="","",'Bản đồ công việc'!AI448)</f>
        <v/>
      </c>
      <c r="W432" s="389">
        <f t="shared" si="2"/>
        <v>0</v>
      </c>
      <c r="X432" s="389" t="str">
        <f t="shared" si="3"/>
        <v/>
      </c>
      <c r="Y432" s="389" t="str">
        <f t="shared" ref="Y432:Z432" si="428">IFERROR(INDEX($O$8:$O$684,MATCH(X432,$N$8:$N$684,0)),"")</f>
        <v/>
      </c>
      <c r="Z432" s="389" t="str">
        <f t="shared" si="428"/>
        <v/>
      </c>
      <c r="AA432" s="389">
        <f t="shared" si="5"/>
        <v>0</v>
      </c>
    </row>
    <row r="433" ht="15.75" customHeight="1">
      <c r="M433" s="389" t="str">
        <f>IF('Bản đồ công việc'!X449="","",'Bản đồ công việc'!W449)</f>
        <v/>
      </c>
      <c r="N433" s="389" t="str">
        <f>IF('Bản đồ công việc'!X449="","",'Bản đồ công việc'!X449)</f>
        <v/>
      </c>
      <c r="O433" s="389" t="str">
        <f>IF('Bản đồ công việc'!X449="","",'Bản đồ công việc'!Y449)</f>
        <v/>
      </c>
      <c r="P433" s="389" t="str">
        <f>IF('Bản đồ công việc'!X449="","",'Bản đồ công việc'!V449)</f>
        <v/>
      </c>
      <c r="Q433" s="389" t="str">
        <f>IF('Bản đồ công việc'!X449="","",'Bản đồ công việc'!AC449)</f>
        <v/>
      </c>
      <c r="R433" s="389" t="str">
        <f>IF('Bản đồ công việc'!X449="","",'Bản đồ công việc'!AD449)</f>
        <v/>
      </c>
      <c r="S433" s="389" t="str">
        <f>IF('Bản đồ công việc'!X449="","",'Bản đồ công việc'!Z449)</f>
        <v/>
      </c>
      <c r="T433" s="389" t="str">
        <f>IF('Bản đồ công việc'!X449="","",'Bản đồ công việc'!AA449)</f>
        <v/>
      </c>
      <c r="U433" s="389" t="str">
        <f>IF('Bản đồ công việc'!X449="","",'Bản đồ công việc'!AE449)</f>
        <v/>
      </c>
      <c r="V433" s="389" t="str">
        <f>IF('Bản đồ công việc'!X449="","",'Bản đồ công việc'!AI449)</f>
        <v/>
      </c>
      <c r="W433" s="389">
        <f t="shared" si="2"/>
        <v>0</v>
      </c>
      <c r="X433" s="389" t="str">
        <f t="shared" si="3"/>
        <v/>
      </c>
      <c r="Y433" s="389" t="str">
        <f t="shared" ref="Y433:Z433" si="429">IFERROR(INDEX($O$8:$O$684,MATCH(X433,$N$8:$N$684,0)),"")</f>
        <v/>
      </c>
      <c r="Z433" s="389" t="str">
        <f t="shared" si="429"/>
        <v/>
      </c>
      <c r="AA433" s="389">
        <f t="shared" si="5"/>
        <v>0</v>
      </c>
    </row>
    <row r="434" ht="15.75" customHeight="1">
      <c r="M434" s="389" t="str">
        <f>IF('Bản đồ công việc'!X450="","",'Bản đồ công việc'!W450)</f>
        <v/>
      </c>
      <c r="N434" s="389" t="str">
        <f>IF('Bản đồ công việc'!X450="","",'Bản đồ công việc'!X450)</f>
        <v/>
      </c>
      <c r="O434" s="389" t="str">
        <f>IF('Bản đồ công việc'!X450="","",'Bản đồ công việc'!Y450)</f>
        <v/>
      </c>
      <c r="P434" s="389" t="str">
        <f>IF('Bản đồ công việc'!X450="","",'Bản đồ công việc'!V450)</f>
        <v/>
      </c>
      <c r="Q434" s="389" t="str">
        <f>IF('Bản đồ công việc'!X450="","",'Bản đồ công việc'!AC450)</f>
        <v/>
      </c>
      <c r="R434" s="389" t="str">
        <f>IF('Bản đồ công việc'!X450="","",'Bản đồ công việc'!AD450)</f>
        <v/>
      </c>
      <c r="S434" s="389" t="str">
        <f>IF('Bản đồ công việc'!X450="","",'Bản đồ công việc'!Z450)</f>
        <v/>
      </c>
      <c r="T434" s="389" t="str">
        <f>IF('Bản đồ công việc'!X450="","",'Bản đồ công việc'!AA450)</f>
        <v/>
      </c>
      <c r="U434" s="389" t="str">
        <f>IF('Bản đồ công việc'!X450="","",'Bản đồ công việc'!AE450)</f>
        <v/>
      </c>
      <c r="V434" s="389" t="str">
        <f>IF('Bản đồ công việc'!X450="","",'Bản đồ công việc'!AI450)</f>
        <v/>
      </c>
      <c r="W434" s="389">
        <f t="shared" si="2"/>
        <v>0</v>
      </c>
      <c r="X434" s="389" t="str">
        <f t="shared" si="3"/>
        <v/>
      </c>
      <c r="Y434" s="389" t="str">
        <f t="shared" ref="Y434:Z434" si="430">IFERROR(INDEX($O$8:$O$684,MATCH(X434,$N$8:$N$684,0)),"")</f>
        <v/>
      </c>
      <c r="Z434" s="389" t="str">
        <f t="shared" si="430"/>
        <v/>
      </c>
      <c r="AA434" s="389">
        <f t="shared" si="5"/>
        <v>0</v>
      </c>
    </row>
    <row r="435" ht="15.75" customHeight="1">
      <c r="M435" s="389" t="str">
        <f>IF('Bản đồ công việc'!X451="","",'Bản đồ công việc'!W451)</f>
        <v/>
      </c>
      <c r="N435" s="389" t="str">
        <f>IF('Bản đồ công việc'!X451="","",'Bản đồ công việc'!X451)</f>
        <v/>
      </c>
      <c r="O435" s="389" t="str">
        <f>IF('Bản đồ công việc'!X451="","",'Bản đồ công việc'!Y451)</f>
        <v/>
      </c>
      <c r="P435" s="389" t="str">
        <f>IF('Bản đồ công việc'!X451="","",'Bản đồ công việc'!V451)</f>
        <v/>
      </c>
      <c r="Q435" s="389" t="str">
        <f>IF('Bản đồ công việc'!X451="","",'Bản đồ công việc'!AC451)</f>
        <v/>
      </c>
      <c r="R435" s="389" t="str">
        <f>IF('Bản đồ công việc'!X451="","",'Bản đồ công việc'!AD451)</f>
        <v/>
      </c>
      <c r="S435" s="389" t="str">
        <f>IF('Bản đồ công việc'!X451="","",'Bản đồ công việc'!Z451)</f>
        <v/>
      </c>
      <c r="T435" s="389" t="str">
        <f>IF('Bản đồ công việc'!X451="","",'Bản đồ công việc'!AA451)</f>
        <v/>
      </c>
      <c r="U435" s="389" t="str">
        <f>IF('Bản đồ công việc'!X451="","",'Bản đồ công việc'!AE451)</f>
        <v/>
      </c>
      <c r="V435" s="389" t="str">
        <f>IF('Bản đồ công việc'!X451="","",'Bản đồ công việc'!AI451)</f>
        <v/>
      </c>
      <c r="W435" s="389">
        <f t="shared" si="2"/>
        <v>0</v>
      </c>
      <c r="X435" s="389" t="str">
        <f t="shared" si="3"/>
        <v/>
      </c>
      <c r="Y435" s="389" t="str">
        <f t="shared" ref="Y435:Z435" si="431">IFERROR(INDEX($O$8:$O$684,MATCH(X435,$N$8:$N$684,0)),"")</f>
        <v/>
      </c>
      <c r="Z435" s="389" t="str">
        <f t="shared" si="431"/>
        <v/>
      </c>
      <c r="AA435" s="389">
        <f t="shared" si="5"/>
        <v>0</v>
      </c>
    </row>
    <row r="436" ht="15.75" customHeight="1">
      <c r="M436" s="389">
        <f>IF('Bản đồ công việc'!X452="","",'Bản đồ công việc'!W452)</f>
        <v>6</v>
      </c>
      <c r="N436" s="67" t="str">
        <f>IF('Bản đồ công việc'!X452="","",'Bản đồ công việc'!X452)</f>
        <v>HHL5RD05-01.01</v>
      </c>
      <c r="O436" s="67" t="str">
        <f>IF('Bản đồ công việc'!X452="","",'Bản đồ công việc'!Y452)</f>
        <v>HHL5RD05-01</v>
      </c>
      <c r="P436" s="389" t="str">
        <f>IF('Bản đồ công việc'!X452="","",'Bản đồ công việc'!V452)</f>
        <v>           └─ Khảo sát thị phần tương đối tại các Vùng thị trường</v>
      </c>
      <c r="Q436" s="67" t="str">
        <f>IF('Bản đồ công việc'!X452="","",'Bản đồ công việc'!AC452)</f>
        <v>Đang thực hiện</v>
      </c>
      <c r="R436" s="398">
        <f>IF('Bản đồ công việc'!X452="","",'Bản đồ công việc'!AD452)</f>
        <v>0</v>
      </c>
      <c r="S436" s="67" t="str">
        <f>IF('Bản đồ công việc'!X452="","",'Bản đồ công việc'!Z452)</f>
        <v>Team PTSP</v>
      </c>
      <c r="T436" s="67" t="str">
        <f>IF('Bản đồ công việc'!X452="","",'Bản đồ công việc'!AA452)</f>
        <v/>
      </c>
      <c r="U436" s="358">
        <f>IF('Bản đồ công việc'!X452="","",'Bản đồ công việc'!AE452)</f>
        <v>46254</v>
      </c>
      <c r="V436" s="389" t="str">
        <f>IF('Bản đồ công việc'!X452="","",'Bản đồ công việc'!AI452)</f>
        <v>🟣 P1 trọng yếu</v>
      </c>
      <c r="W436" s="389">
        <f t="shared" si="2"/>
        <v>0</v>
      </c>
      <c r="X436" s="67" t="str">
        <f t="shared" si="3"/>
        <v>HHL5RD05-01</v>
      </c>
      <c r="Y436" s="389" t="str">
        <f t="shared" ref="Y436:Z436" si="432">IFERROR(INDEX($O$8:$O$684,MATCH(X436,$N$8:$N$684,0)),"")</f>
        <v/>
      </c>
      <c r="Z436" s="389" t="str">
        <f t="shared" si="432"/>
        <v/>
      </c>
      <c r="AA436" s="389">
        <f t="shared" si="5"/>
        <v>0</v>
      </c>
    </row>
    <row r="437" ht="15.75" customHeight="1">
      <c r="M437" s="389">
        <f>IF('Bản đồ công việc'!X453="","",'Bản đồ công việc'!W453)</f>
        <v>6</v>
      </c>
      <c r="N437" s="67" t="str">
        <f>IF('Bản đồ công việc'!X453="","",'Bản đồ công việc'!X453)</f>
        <v>HHL5RD05-01.02</v>
      </c>
      <c r="O437" s="67" t="str">
        <f>IF('Bản đồ công việc'!X453="","",'Bản đồ công việc'!Y453)</f>
        <v>HHL5RD05-01</v>
      </c>
      <c r="P437" s="389" t="str">
        <f>IF('Bản đồ công việc'!X453="","",'Bản đồ công việc'!V453)</f>
        <v>           └─ Phân tích tốc độ tăng trưởng 4 năm của danh mục sản phẩm</v>
      </c>
      <c r="Q437" s="67" t="str">
        <f>IF('Bản đồ công việc'!X453="","",'Bản đồ công việc'!AC453)</f>
        <v>Đang thực hiện</v>
      </c>
      <c r="R437" s="398">
        <f>IF('Bản đồ công việc'!X453="","",'Bản đồ công việc'!AD453)</f>
        <v>0</v>
      </c>
      <c r="S437" s="67" t="str">
        <f>IF('Bản đồ công việc'!X453="","",'Bản đồ công việc'!Z453)</f>
        <v>Em Đại</v>
      </c>
      <c r="T437" s="67" t="str">
        <f>IF('Bản đồ công việc'!X453="","",'Bản đồ công việc'!AA453)</f>
        <v/>
      </c>
      <c r="U437" s="358">
        <f>IF('Bản đồ công việc'!X453="","",'Bản đồ công việc'!AE453)</f>
        <v>46254</v>
      </c>
      <c r="V437" s="389" t="str">
        <f>IF('Bản đồ công việc'!X453="","",'Bản đồ công việc'!AI453)</f>
        <v>🟣 P1 trọng yếu</v>
      </c>
      <c r="W437" s="389">
        <f t="shared" si="2"/>
        <v>0</v>
      </c>
      <c r="X437" s="67" t="str">
        <f t="shared" si="3"/>
        <v>HHL5RD05-01</v>
      </c>
      <c r="Y437" s="389" t="str">
        <f t="shared" ref="Y437:Z437" si="433">IFERROR(INDEX($O$8:$O$684,MATCH(X437,$N$8:$N$684,0)),"")</f>
        <v/>
      </c>
      <c r="Z437" s="389" t="str">
        <f t="shared" si="433"/>
        <v/>
      </c>
      <c r="AA437" s="389">
        <f t="shared" si="5"/>
        <v>0</v>
      </c>
    </row>
    <row r="438" ht="15.75" customHeight="1">
      <c r="M438" s="389">
        <f>IF('Bản đồ công việc'!X454="","",'Bản đồ công việc'!W454)</f>
        <v>6</v>
      </c>
      <c r="N438" s="67" t="str">
        <f>IF('Bản đồ công việc'!X454="","",'Bản đồ công việc'!X454)</f>
        <v>HHL5RD05-01.03</v>
      </c>
      <c r="O438" s="67" t="str">
        <f>IF('Bản đồ công việc'!X454="","",'Bản đồ công việc'!Y454)</f>
        <v>HHL5RD05-01</v>
      </c>
      <c r="P438" s="389" t="str">
        <f>IF('Bản đồ công việc'!X454="","",'Bản đồ công việc'!V454)</f>
        <v>           └─ Kiểm tra khả năng đáp ứng của CADS về mở trường thông tin mới phân loại sản phẩm</v>
      </c>
      <c r="Q438" s="67" t="str">
        <f>IF('Bản đồ công việc'!X454="","",'Bản đồ công việc'!AC454)</f>
        <v>Hoàn thành</v>
      </c>
      <c r="R438" s="398">
        <f>IF('Bản đồ công việc'!X454="","",'Bản đồ công việc'!AD454)</f>
        <v>1</v>
      </c>
      <c r="S438" s="67" t="str">
        <f>IF('Bản đồ công việc'!X454="","",'Bản đồ công việc'!Z454)</f>
        <v>Thu Trang</v>
      </c>
      <c r="T438" s="67" t="str">
        <f>IF('Bản đồ công việc'!X454="","",'Bản đồ công việc'!AA454)</f>
        <v/>
      </c>
      <c r="U438" s="358">
        <f>IF('Bản đồ công việc'!X454="","",'Bản đồ công việc'!AE454)</f>
        <v>46239</v>
      </c>
      <c r="V438" s="389" t="str">
        <f>IF('Bản đồ công việc'!X454="","",'Bản đồ công việc'!AI454)</f>
        <v>🟢 Hoàn thành</v>
      </c>
      <c r="W438" s="389">
        <f t="shared" si="2"/>
        <v>0</v>
      </c>
      <c r="X438" s="67" t="str">
        <f t="shared" si="3"/>
        <v>HHL5RD05-01</v>
      </c>
      <c r="Y438" s="389" t="str">
        <f t="shared" ref="Y438:Z438" si="434">IFERROR(INDEX($O$8:$O$684,MATCH(X438,$N$8:$N$684,0)),"")</f>
        <v/>
      </c>
      <c r="Z438" s="389" t="str">
        <f t="shared" si="434"/>
        <v/>
      </c>
      <c r="AA438" s="389">
        <f t="shared" si="5"/>
        <v>0</v>
      </c>
    </row>
    <row r="439" ht="15.75" customHeight="1">
      <c r="M439" s="389">
        <f>IF('Bản đồ công việc'!X455="","",'Bản đồ công việc'!W455)</f>
        <v>6</v>
      </c>
      <c r="N439" s="67" t="str">
        <f>IF('Bản đồ công việc'!X455="","",'Bản đồ công việc'!X455)</f>
        <v>HHL5RD05-01.04</v>
      </c>
      <c r="O439" s="67" t="str">
        <f>IF('Bản đồ công việc'!X455="","",'Bản đồ công việc'!Y455)</f>
        <v>HHL5RD05-01</v>
      </c>
      <c r="P439" s="389" t="str">
        <f>IF('Bản đồ công việc'!X455="","",'Bản đồ công việc'!V455)</f>
        <v>           └─ Báo cáo phân loại sản phẩm + hiển thị thông tin trên CADS</v>
      </c>
      <c r="Q439" s="67" t="str">
        <f>IF('Bản đồ công việc'!X455="","",'Bản đồ công việc'!AC455)</f>
        <v>Đã lên lịch</v>
      </c>
      <c r="R439" s="398">
        <f>IF('Bản đồ công việc'!X455="","",'Bản đồ công việc'!AD455)</f>
        <v>0</v>
      </c>
      <c r="S439" s="67" t="str">
        <f>IF('Bản đồ công việc'!X455="","",'Bản đồ công việc'!Z455)</f>
        <v>Team PTSP</v>
      </c>
      <c r="T439" s="67" t="str">
        <f>IF('Bản đồ công việc'!X455="","",'Bản đồ công việc'!AA455)</f>
        <v/>
      </c>
      <c r="U439" s="358">
        <f>IF('Bản đồ công việc'!X455="","",'Bản đồ công việc'!AE455)</f>
        <v>46264</v>
      </c>
      <c r="V439" s="389" t="str">
        <f>IF('Bản đồ công việc'!X455="","",'Bản đồ công việc'!AI455)</f>
        <v>🟣 P1 trọng yếu</v>
      </c>
      <c r="W439" s="389">
        <f t="shared" si="2"/>
        <v>0</v>
      </c>
      <c r="X439" s="67" t="str">
        <f t="shared" si="3"/>
        <v>HHL5RD05-01</v>
      </c>
      <c r="Y439" s="389" t="str">
        <f t="shared" ref="Y439:Z439" si="435">IFERROR(INDEX($O$8:$O$684,MATCH(X439,$N$8:$N$684,0)),"")</f>
        <v/>
      </c>
      <c r="Z439" s="389" t="str">
        <f t="shared" si="435"/>
        <v/>
      </c>
      <c r="AA439" s="389">
        <f t="shared" si="5"/>
        <v>0</v>
      </c>
    </row>
    <row r="440" ht="15.75" customHeight="1">
      <c r="M440" s="389" t="str">
        <f>IF('Bản đồ công việc'!X456="","",'Bản đồ công việc'!W456)</f>
        <v/>
      </c>
      <c r="N440" s="389" t="str">
        <f>IF('Bản đồ công việc'!X456="","",'Bản đồ công việc'!X456)</f>
        <v/>
      </c>
      <c r="O440" s="389" t="str">
        <f>IF('Bản đồ công việc'!X456="","",'Bản đồ công việc'!Y456)</f>
        <v/>
      </c>
      <c r="P440" s="389" t="str">
        <f>IF('Bản đồ công việc'!X456="","",'Bản đồ công việc'!V456)</f>
        <v/>
      </c>
      <c r="Q440" s="389" t="str">
        <f>IF('Bản đồ công việc'!X456="","",'Bản đồ công việc'!AC456)</f>
        <v/>
      </c>
      <c r="R440" s="389" t="str">
        <f>IF('Bản đồ công việc'!X456="","",'Bản đồ công việc'!AD456)</f>
        <v/>
      </c>
      <c r="S440" s="389" t="str">
        <f>IF('Bản đồ công việc'!X456="","",'Bản đồ công việc'!Z456)</f>
        <v/>
      </c>
      <c r="T440" s="389" t="str">
        <f>IF('Bản đồ công việc'!X456="","",'Bản đồ công việc'!AA456)</f>
        <v/>
      </c>
      <c r="U440" s="389" t="str">
        <f>IF('Bản đồ công việc'!X456="","",'Bản đồ công việc'!AE456)</f>
        <v/>
      </c>
      <c r="V440" s="389" t="str">
        <f>IF('Bản đồ công việc'!X456="","",'Bản đồ công việc'!AI456)</f>
        <v/>
      </c>
      <c r="W440" s="389">
        <f t="shared" si="2"/>
        <v>0</v>
      </c>
      <c r="X440" s="389" t="str">
        <f t="shared" si="3"/>
        <v/>
      </c>
      <c r="Y440" s="389" t="str">
        <f t="shared" ref="Y440:Z440" si="436">IFERROR(INDEX($O$8:$O$684,MATCH(X440,$N$8:$N$684,0)),"")</f>
        <v/>
      </c>
      <c r="Z440" s="389" t="str">
        <f t="shared" si="436"/>
        <v/>
      </c>
      <c r="AA440" s="389">
        <f t="shared" si="5"/>
        <v>0</v>
      </c>
    </row>
    <row r="441" ht="15.75" customHeight="1">
      <c r="M441" s="389" t="str">
        <f>IF('Bản đồ công việc'!X457="","",'Bản đồ công việc'!W457)</f>
        <v/>
      </c>
      <c r="N441" s="389" t="str">
        <f>IF('Bản đồ công việc'!X457="","",'Bản đồ công việc'!X457)</f>
        <v/>
      </c>
      <c r="O441" s="389" t="str">
        <f>IF('Bản đồ công việc'!X457="","",'Bản đồ công việc'!Y457)</f>
        <v/>
      </c>
      <c r="P441" s="389" t="str">
        <f>IF('Bản đồ công việc'!X457="","",'Bản đồ công việc'!V457)</f>
        <v/>
      </c>
      <c r="Q441" s="389" t="str">
        <f>IF('Bản đồ công việc'!X457="","",'Bản đồ công việc'!AC457)</f>
        <v/>
      </c>
      <c r="R441" s="389" t="str">
        <f>IF('Bản đồ công việc'!X457="","",'Bản đồ công việc'!AD457)</f>
        <v/>
      </c>
      <c r="S441" s="389" t="str">
        <f>IF('Bản đồ công việc'!X457="","",'Bản đồ công việc'!Z457)</f>
        <v/>
      </c>
      <c r="T441" s="389" t="str">
        <f>IF('Bản đồ công việc'!X457="","",'Bản đồ công việc'!AA457)</f>
        <v/>
      </c>
      <c r="U441" s="389" t="str">
        <f>IF('Bản đồ công việc'!X457="","",'Bản đồ công việc'!AE457)</f>
        <v/>
      </c>
      <c r="V441" s="389" t="str">
        <f>IF('Bản đồ công việc'!X457="","",'Bản đồ công việc'!AI457)</f>
        <v/>
      </c>
      <c r="W441" s="389">
        <f t="shared" si="2"/>
        <v>0</v>
      </c>
      <c r="X441" s="389" t="str">
        <f t="shared" si="3"/>
        <v/>
      </c>
      <c r="Y441" s="389" t="str">
        <f t="shared" ref="Y441:Z441" si="437">IFERROR(INDEX($O$8:$O$684,MATCH(X441,$N$8:$N$684,0)),"")</f>
        <v/>
      </c>
      <c r="Z441" s="389" t="str">
        <f t="shared" si="437"/>
        <v/>
      </c>
      <c r="AA441" s="389">
        <f t="shared" si="5"/>
        <v>0</v>
      </c>
    </row>
    <row r="442" ht="15.75" customHeight="1">
      <c r="M442" s="389" t="str">
        <f>IF('Bản đồ công việc'!X458="","",'Bản đồ công việc'!W458)</f>
        <v/>
      </c>
      <c r="N442" s="389" t="str">
        <f>IF('Bản đồ công việc'!X458="","",'Bản đồ công việc'!X458)</f>
        <v/>
      </c>
      <c r="O442" s="389" t="str">
        <f>IF('Bản đồ công việc'!X458="","",'Bản đồ công việc'!Y458)</f>
        <v/>
      </c>
      <c r="P442" s="389" t="str">
        <f>IF('Bản đồ công việc'!X458="","",'Bản đồ công việc'!V458)</f>
        <v/>
      </c>
      <c r="Q442" s="389" t="str">
        <f>IF('Bản đồ công việc'!X458="","",'Bản đồ công việc'!AC458)</f>
        <v/>
      </c>
      <c r="R442" s="389" t="str">
        <f>IF('Bản đồ công việc'!X458="","",'Bản đồ công việc'!AD458)</f>
        <v/>
      </c>
      <c r="S442" s="389" t="str">
        <f>IF('Bản đồ công việc'!X458="","",'Bản đồ công việc'!Z458)</f>
        <v/>
      </c>
      <c r="T442" s="389" t="str">
        <f>IF('Bản đồ công việc'!X458="","",'Bản đồ công việc'!AA458)</f>
        <v/>
      </c>
      <c r="U442" s="389" t="str">
        <f>IF('Bản đồ công việc'!X458="","",'Bản đồ công việc'!AE458)</f>
        <v/>
      </c>
      <c r="V442" s="389" t="str">
        <f>IF('Bản đồ công việc'!X458="","",'Bản đồ công việc'!AI458)</f>
        <v/>
      </c>
      <c r="W442" s="389">
        <f t="shared" si="2"/>
        <v>0</v>
      </c>
      <c r="X442" s="389" t="str">
        <f t="shared" si="3"/>
        <v/>
      </c>
      <c r="Y442" s="389" t="str">
        <f t="shared" ref="Y442:Z442" si="438">IFERROR(INDEX($O$8:$O$684,MATCH(X442,$N$8:$N$684,0)),"")</f>
        <v/>
      </c>
      <c r="Z442" s="389" t="str">
        <f t="shared" si="438"/>
        <v/>
      </c>
      <c r="AA442" s="389">
        <f t="shared" si="5"/>
        <v>0</v>
      </c>
    </row>
    <row r="443" ht="15.75" customHeight="1">
      <c r="M443" s="389" t="str">
        <f>IF('Bản đồ công việc'!X459="","",'Bản đồ công việc'!W459)</f>
        <v/>
      </c>
      <c r="N443" s="389" t="str">
        <f>IF('Bản đồ công việc'!X459="","",'Bản đồ công việc'!X459)</f>
        <v/>
      </c>
      <c r="O443" s="389" t="str">
        <f>IF('Bản đồ công việc'!X459="","",'Bản đồ công việc'!Y459)</f>
        <v/>
      </c>
      <c r="P443" s="389" t="str">
        <f>IF('Bản đồ công việc'!X459="","",'Bản đồ công việc'!V459)</f>
        <v/>
      </c>
      <c r="Q443" s="389" t="str">
        <f>IF('Bản đồ công việc'!X459="","",'Bản đồ công việc'!AC459)</f>
        <v/>
      </c>
      <c r="R443" s="389" t="str">
        <f>IF('Bản đồ công việc'!X459="","",'Bản đồ công việc'!AD459)</f>
        <v/>
      </c>
      <c r="S443" s="389" t="str">
        <f>IF('Bản đồ công việc'!X459="","",'Bản đồ công việc'!Z459)</f>
        <v/>
      </c>
      <c r="T443" s="389" t="str">
        <f>IF('Bản đồ công việc'!X459="","",'Bản đồ công việc'!AA459)</f>
        <v/>
      </c>
      <c r="U443" s="389" t="str">
        <f>IF('Bản đồ công việc'!X459="","",'Bản đồ công việc'!AE459)</f>
        <v/>
      </c>
      <c r="V443" s="389" t="str">
        <f>IF('Bản đồ công việc'!X459="","",'Bản đồ công việc'!AI459)</f>
        <v/>
      </c>
      <c r="W443" s="389">
        <f t="shared" si="2"/>
        <v>0</v>
      </c>
      <c r="X443" s="389" t="str">
        <f t="shared" si="3"/>
        <v/>
      </c>
      <c r="Y443" s="389" t="str">
        <f t="shared" ref="Y443:Z443" si="439">IFERROR(INDEX($O$8:$O$684,MATCH(X443,$N$8:$N$684,0)),"")</f>
        <v/>
      </c>
      <c r="Z443" s="389" t="str">
        <f t="shared" si="439"/>
        <v/>
      </c>
      <c r="AA443" s="389">
        <f t="shared" si="5"/>
        <v>0</v>
      </c>
    </row>
    <row r="444" ht="15.75" customHeight="1">
      <c r="M444" s="389" t="str">
        <f>IF('Bản đồ công việc'!X460="","",'Bản đồ công việc'!W460)</f>
        <v/>
      </c>
      <c r="N444" s="389" t="str">
        <f>IF('Bản đồ công việc'!X460="","",'Bản đồ công việc'!X460)</f>
        <v/>
      </c>
      <c r="O444" s="389" t="str">
        <f>IF('Bản đồ công việc'!X460="","",'Bản đồ công việc'!Y460)</f>
        <v/>
      </c>
      <c r="P444" s="389" t="str">
        <f>IF('Bản đồ công việc'!X460="","",'Bản đồ công việc'!V460)</f>
        <v/>
      </c>
      <c r="Q444" s="389" t="str">
        <f>IF('Bản đồ công việc'!X460="","",'Bản đồ công việc'!AC460)</f>
        <v/>
      </c>
      <c r="R444" s="389" t="str">
        <f>IF('Bản đồ công việc'!X460="","",'Bản đồ công việc'!AD460)</f>
        <v/>
      </c>
      <c r="S444" s="389" t="str">
        <f>IF('Bản đồ công việc'!X460="","",'Bản đồ công việc'!Z460)</f>
        <v/>
      </c>
      <c r="T444" s="389" t="str">
        <f>IF('Bản đồ công việc'!X460="","",'Bản đồ công việc'!AA460)</f>
        <v/>
      </c>
      <c r="U444" s="389" t="str">
        <f>IF('Bản đồ công việc'!X460="","",'Bản đồ công việc'!AE460)</f>
        <v/>
      </c>
      <c r="V444" s="389" t="str">
        <f>IF('Bản đồ công việc'!X460="","",'Bản đồ công việc'!AI460)</f>
        <v/>
      </c>
      <c r="W444" s="389">
        <f t="shared" si="2"/>
        <v>0</v>
      </c>
      <c r="X444" s="389" t="str">
        <f t="shared" si="3"/>
        <v/>
      </c>
      <c r="Y444" s="389" t="str">
        <f t="shared" ref="Y444:Z444" si="440">IFERROR(INDEX($O$8:$O$684,MATCH(X444,$N$8:$N$684,0)),"")</f>
        <v/>
      </c>
      <c r="Z444" s="389" t="str">
        <f t="shared" si="440"/>
        <v/>
      </c>
      <c r="AA444" s="389">
        <f t="shared" si="5"/>
        <v>0</v>
      </c>
    </row>
    <row r="445" ht="15.75" customHeight="1">
      <c r="M445" s="389" t="str">
        <f>IF('Bản đồ công việc'!X461="","",'Bản đồ công việc'!W461)</f>
        <v/>
      </c>
      <c r="N445" s="389" t="str">
        <f>IF('Bản đồ công việc'!X461="","",'Bản đồ công việc'!X461)</f>
        <v/>
      </c>
      <c r="O445" s="389" t="str">
        <f>IF('Bản đồ công việc'!X461="","",'Bản đồ công việc'!Y461)</f>
        <v/>
      </c>
      <c r="P445" s="389" t="str">
        <f>IF('Bản đồ công việc'!X461="","",'Bản đồ công việc'!V461)</f>
        <v/>
      </c>
      <c r="Q445" s="389" t="str">
        <f>IF('Bản đồ công việc'!X461="","",'Bản đồ công việc'!AC461)</f>
        <v/>
      </c>
      <c r="R445" s="389" t="str">
        <f>IF('Bản đồ công việc'!X461="","",'Bản đồ công việc'!AD461)</f>
        <v/>
      </c>
      <c r="S445" s="389" t="str">
        <f>IF('Bản đồ công việc'!X461="","",'Bản đồ công việc'!Z461)</f>
        <v/>
      </c>
      <c r="T445" s="389" t="str">
        <f>IF('Bản đồ công việc'!X461="","",'Bản đồ công việc'!AA461)</f>
        <v/>
      </c>
      <c r="U445" s="389" t="str">
        <f>IF('Bản đồ công việc'!X461="","",'Bản đồ công việc'!AE461)</f>
        <v/>
      </c>
      <c r="V445" s="389" t="str">
        <f>IF('Bản đồ công việc'!X461="","",'Bản đồ công việc'!AI461)</f>
        <v/>
      </c>
      <c r="W445" s="389">
        <f t="shared" si="2"/>
        <v>0</v>
      </c>
      <c r="X445" s="389" t="str">
        <f t="shared" si="3"/>
        <v/>
      </c>
      <c r="Y445" s="389" t="str">
        <f t="shared" ref="Y445:Z445" si="441">IFERROR(INDEX($O$8:$O$684,MATCH(X445,$N$8:$N$684,0)),"")</f>
        <v/>
      </c>
      <c r="Z445" s="389" t="str">
        <f t="shared" si="441"/>
        <v/>
      </c>
      <c r="AA445" s="389">
        <f t="shared" si="5"/>
        <v>0</v>
      </c>
    </row>
    <row r="446" ht="15.75" customHeight="1">
      <c r="M446" s="389" t="str">
        <f>IF('Bản đồ công việc'!X462="","",'Bản đồ công việc'!W462)</f>
        <v/>
      </c>
      <c r="N446" s="389" t="str">
        <f>IF('Bản đồ công việc'!X462="","",'Bản đồ công việc'!X462)</f>
        <v/>
      </c>
      <c r="O446" s="389" t="str">
        <f>IF('Bản đồ công việc'!X462="","",'Bản đồ công việc'!Y462)</f>
        <v/>
      </c>
      <c r="P446" s="389" t="str">
        <f>IF('Bản đồ công việc'!X462="","",'Bản đồ công việc'!V462)</f>
        <v/>
      </c>
      <c r="Q446" s="389" t="str">
        <f>IF('Bản đồ công việc'!X462="","",'Bản đồ công việc'!AC462)</f>
        <v/>
      </c>
      <c r="R446" s="389" t="str">
        <f>IF('Bản đồ công việc'!X462="","",'Bản đồ công việc'!AD462)</f>
        <v/>
      </c>
      <c r="S446" s="389" t="str">
        <f>IF('Bản đồ công việc'!X462="","",'Bản đồ công việc'!Z462)</f>
        <v/>
      </c>
      <c r="T446" s="389" t="str">
        <f>IF('Bản đồ công việc'!X462="","",'Bản đồ công việc'!AA462)</f>
        <v/>
      </c>
      <c r="U446" s="389" t="str">
        <f>IF('Bản đồ công việc'!X462="","",'Bản đồ công việc'!AE462)</f>
        <v/>
      </c>
      <c r="V446" s="389" t="str">
        <f>IF('Bản đồ công việc'!X462="","",'Bản đồ công việc'!AI462)</f>
        <v/>
      </c>
      <c r="W446" s="389">
        <f t="shared" si="2"/>
        <v>0</v>
      </c>
      <c r="X446" s="389" t="str">
        <f t="shared" si="3"/>
        <v/>
      </c>
      <c r="Y446" s="389" t="str">
        <f t="shared" ref="Y446:Z446" si="442">IFERROR(INDEX($O$8:$O$684,MATCH(X446,$N$8:$N$684,0)),"")</f>
        <v/>
      </c>
      <c r="Z446" s="389" t="str">
        <f t="shared" si="442"/>
        <v/>
      </c>
      <c r="AA446" s="389">
        <f t="shared" si="5"/>
        <v>0</v>
      </c>
    </row>
    <row r="447" ht="15.75" customHeight="1">
      <c r="M447" s="389" t="str">
        <f>IF('Bản đồ công việc'!X463="","",'Bản đồ công việc'!W463)</f>
        <v/>
      </c>
      <c r="N447" s="389" t="str">
        <f>IF('Bản đồ công việc'!X463="","",'Bản đồ công việc'!X463)</f>
        <v/>
      </c>
      <c r="O447" s="389" t="str">
        <f>IF('Bản đồ công việc'!X463="","",'Bản đồ công việc'!Y463)</f>
        <v/>
      </c>
      <c r="P447" s="389" t="str">
        <f>IF('Bản đồ công việc'!X463="","",'Bản đồ công việc'!V463)</f>
        <v/>
      </c>
      <c r="Q447" s="389" t="str">
        <f>IF('Bản đồ công việc'!X463="","",'Bản đồ công việc'!AC463)</f>
        <v/>
      </c>
      <c r="R447" s="389" t="str">
        <f>IF('Bản đồ công việc'!X463="","",'Bản đồ công việc'!AD463)</f>
        <v/>
      </c>
      <c r="S447" s="389" t="str">
        <f>IF('Bản đồ công việc'!X463="","",'Bản đồ công việc'!Z463)</f>
        <v/>
      </c>
      <c r="T447" s="389" t="str">
        <f>IF('Bản đồ công việc'!X463="","",'Bản đồ công việc'!AA463)</f>
        <v/>
      </c>
      <c r="U447" s="389" t="str">
        <f>IF('Bản đồ công việc'!X463="","",'Bản đồ công việc'!AE463)</f>
        <v/>
      </c>
      <c r="V447" s="389" t="str">
        <f>IF('Bản đồ công việc'!X463="","",'Bản đồ công việc'!AI463)</f>
        <v/>
      </c>
      <c r="W447" s="389">
        <f t="shared" si="2"/>
        <v>0</v>
      </c>
      <c r="X447" s="389" t="str">
        <f t="shared" si="3"/>
        <v/>
      </c>
      <c r="Y447" s="389" t="str">
        <f t="shared" ref="Y447:Z447" si="443">IFERROR(INDEX($O$8:$O$684,MATCH(X447,$N$8:$N$684,0)),"")</f>
        <v/>
      </c>
      <c r="Z447" s="389" t="str">
        <f t="shared" si="443"/>
        <v/>
      </c>
      <c r="AA447" s="389">
        <f t="shared" si="5"/>
        <v>0</v>
      </c>
    </row>
    <row r="448" ht="15.75" customHeight="1">
      <c r="M448" s="389" t="str">
        <f>IF('Bản đồ công việc'!X464="","",'Bản đồ công việc'!W464)</f>
        <v/>
      </c>
      <c r="N448" s="389" t="str">
        <f>IF('Bản đồ công việc'!X464="","",'Bản đồ công việc'!X464)</f>
        <v/>
      </c>
      <c r="O448" s="389" t="str">
        <f>IF('Bản đồ công việc'!X464="","",'Bản đồ công việc'!Y464)</f>
        <v/>
      </c>
      <c r="P448" s="389" t="str">
        <f>IF('Bản đồ công việc'!X464="","",'Bản đồ công việc'!V464)</f>
        <v/>
      </c>
      <c r="Q448" s="389" t="str">
        <f>IF('Bản đồ công việc'!X464="","",'Bản đồ công việc'!AC464)</f>
        <v/>
      </c>
      <c r="R448" s="389" t="str">
        <f>IF('Bản đồ công việc'!X464="","",'Bản đồ công việc'!AD464)</f>
        <v/>
      </c>
      <c r="S448" s="389" t="str">
        <f>IF('Bản đồ công việc'!X464="","",'Bản đồ công việc'!Z464)</f>
        <v/>
      </c>
      <c r="T448" s="389" t="str">
        <f>IF('Bản đồ công việc'!X464="","",'Bản đồ công việc'!AA464)</f>
        <v/>
      </c>
      <c r="U448" s="389" t="str">
        <f>IF('Bản đồ công việc'!X464="","",'Bản đồ công việc'!AE464)</f>
        <v/>
      </c>
      <c r="V448" s="389" t="str">
        <f>IF('Bản đồ công việc'!X464="","",'Bản đồ công việc'!AI464)</f>
        <v/>
      </c>
      <c r="W448" s="389">
        <f t="shared" si="2"/>
        <v>0</v>
      </c>
      <c r="X448" s="389" t="str">
        <f t="shared" si="3"/>
        <v/>
      </c>
      <c r="Y448" s="389" t="str">
        <f t="shared" ref="Y448:Z448" si="444">IFERROR(INDEX($O$8:$O$684,MATCH(X448,$N$8:$N$684,0)),"")</f>
        <v/>
      </c>
      <c r="Z448" s="389" t="str">
        <f t="shared" si="444"/>
        <v/>
      </c>
      <c r="AA448" s="389">
        <f t="shared" si="5"/>
        <v>0</v>
      </c>
    </row>
    <row r="449" ht="15.75" customHeight="1">
      <c r="M449" s="389" t="str">
        <f>IF('Bản đồ công việc'!X465="","",'Bản đồ công việc'!W465)</f>
        <v/>
      </c>
      <c r="N449" s="389" t="str">
        <f>IF('Bản đồ công việc'!X465="","",'Bản đồ công việc'!X465)</f>
        <v/>
      </c>
      <c r="O449" s="389" t="str">
        <f>IF('Bản đồ công việc'!X465="","",'Bản đồ công việc'!Y465)</f>
        <v/>
      </c>
      <c r="P449" s="389" t="str">
        <f>IF('Bản đồ công việc'!X465="","",'Bản đồ công việc'!V465)</f>
        <v/>
      </c>
      <c r="Q449" s="389" t="str">
        <f>IF('Bản đồ công việc'!X465="","",'Bản đồ công việc'!AC465)</f>
        <v/>
      </c>
      <c r="R449" s="389" t="str">
        <f>IF('Bản đồ công việc'!X465="","",'Bản đồ công việc'!AD465)</f>
        <v/>
      </c>
      <c r="S449" s="389" t="str">
        <f>IF('Bản đồ công việc'!X465="","",'Bản đồ công việc'!Z465)</f>
        <v/>
      </c>
      <c r="T449" s="389" t="str">
        <f>IF('Bản đồ công việc'!X465="","",'Bản đồ công việc'!AA465)</f>
        <v/>
      </c>
      <c r="U449" s="389" t="str">
        <f>IF('Bản đồ công việc'!X465="","",'Bản đồ công việc'!AE465)</f>
        <v/>
      </c>
      <c r="V449" s="389" t="str">
        <f>IF('Bản đồ công việc'!X465="","",'Bản đồ công việc'!AI465)</f>
        <v/>
      </c>
      <c r="W449" s="389">
        <f t="shared" si="2"/>
        <v>0</v>
      </c>
      <c r="X449" s="389" t="str">
        <f t="shared" si="3"/>
        <v/>
      </c>
      <c r="Y449" s="389" t="str">
        <f t="shared" ref="Y449:Z449" si="445">IFERROR(INDEX($O$8:$O$684,MATCH(X449,$N$8:$N$684,0)),"")</f>
        <v/>
      </c>
      <c r="Z449" s="389" t="str">
        <f t="shared" si="445"/>
        <v/>
      </c>
      <c r="AA449" s="389">
        <f t="shared" si="5"/>
        <v>0</v>
      </c>
    </row>
    <row r="450" ht="15.75" customHeight="1">
      <c r="M450" s="389" t="str">
        <f>IF('Bản đồ công việc'!X466="","",'Bản đồ công việc'!W466)</f>
        <v/>
      </c>
      <c r="N450" s="389" t="str">
        <f>IF('Bản đồ công việc'!X466="","",'Bản đồ công việc'!X466)</f>
        <v/>
      </c>
      <c r="O450" s="389" t="str">
        <f>IF('Bản đồ công việc'!X466="","",'Bản đồ công việc'!Y466)</f>
        <v/>
      </c>
      <c r="P450" s="389" t="str">
        <f>IF('Bản đồ công việc'!X466="","",'Bản đồ công việc'!V466)</f>
        <v/>
      </c>
      <c r="Q450" s="389" t="str">
        <f>IF('Bản đồ công việc'!X466="","",'Bản đồ công việc'!AC466)</f>
        <v/>
      </c>
      <c r="R450" s="389" t="str">
        <f>IF('Bản đồ công việc'!X466="","",'Bản đồ công việc'!AD466)</f>
        <v/>
      </c>
      <c r="S450" s="389" t="str">
        <f>IF('Bản đồ công việc'!X466="","",'Bản đồ công việc'!Z466)</f>
        <v/>
      </c>
      <c r="T450" s="389" t="str">
        <f>IF('Bản đồ công việc'!X466="","",'Bản đồ công việc'!AA466)</f>
        <v/>
      </c>
      <c r="U450" s="389" t="str">
        <f>IF('Bản đồ công việc'!X466="","",'Bản đồ công việc'!AE466)</f>
        <v/>
      </c>
      <c r="V450" s="389" t="str">
        <f>IF('Bản đồ công việc'!X466="","",'Bản đồ công việc'!AI466)</f>
        <v/>
      </c>
      <c r="W450" s="389">
        <f t="shared" si="2"/>
        <v>0</v>
      </c>
      <c r="X450" s="389" t="str">
        <f t="shared" si="3"/>
        <v/>
      </c>
      <c r="Y450" s="389" t="str">
        <f t="shared" ref="Y450:Z450" si="446">IFERROR(INDEX($O$8:$O$684,MATCH(X450,$N$8:$N$684,0)),"")</f>
        <v/>
      </c>
      <c r="Z450" s="389" t="str">
        <f t="shared" si="446"/>
        <v/>
      </c>
      <c r="AA450" s="389">
        <f t="shared" si="5"/>
        <v>0</v>
      </c>
    </row>
    <row r="451" ht="15.75" customHeight="1">
      <c r="M451" s="389" t="str">
        <f>IF('Bản đồ công việc'!X467="","",'Bản đồ công việc'!W467)</f>
        <v/>
      </c>
      <c r="N451" s="389" t="str">
        <f>IF('Bản đồ công việc'!X467="","",'Bản đồ công việc'!X467)</f>
        <v/>
      </c>
      <c r="O451" s="389" t="str">
        <f>IF('Bản đồ công việc'!X467="","",'Bản đồ công việc'!Y467)</f>
        <v/>
      </c>
      <c r="P451" s="389" t="str">
        <f>IF('Bản đồ công việc'!X467="","",'Bản đồ công việc'!V467)</f>
        <v/>
      </c>
      <c r="Q451" s="389" t="str">
        <f>IF('Bản đồ công việc'!X467="","",'Bản đồ công việc'!AC467)</f>
        <v/>
      </c>
      <c r="R451" s="389" t="str">
        <f>IF('Bản đồ công việc'!X467="","",'Bản đồ công việc'!AD467)</f>
        <v/>
      </c>
      <c r="S451" s="389" t="str">
        <f>IF('Bản đồ công việc'!X467="","",'Bản đồ công việc'!Z467)</f>
        <v/>
      </c>
      <c r="T451" s="389" t="str">
        <f>IF('Bản đồ công việc'!X467="","",'Bản đồ công việc'!AA467)</f>
        <v/>
      </c>
      <c r="U451" s="389" t="str">
        <f>IF('Bản đồ công việc'!X467="","",'Bản đồ công việc'!AE467)</f>
        <v/>
      </c>
      <c r="V451" s="389" t="str">
        <f>IF('Bản đồ công việc'!X467="","",'Bản đồ công việc'!AI467)</f>
        <v/>
      </c>
      <c r="W451" s="389">
        <f t="shared" si="2"/>
        <v>0</v>
      </c>
      <c r="X451" s="389" t="str">
        <f t="shared" si="3"/>
        <v/>
      </c>
      <c r="Y451" s="389" t="str">
        <f t="shared" ref="Y451:Z451" si="447">IFERROR(INDEX($O$8:$O$684,MATCH(X451,$N$8:$N$684,0)),"")</f>
        <v/>
      </c>
      <c r="Z451" s="389" t="str">
        <f t="shared" si="447"/>
        <v/>
      </c>
      <c r="AA451" s="389">
        <f t="shared" si="5"/>
        <v>0</v>
      </c>
    </row>
    <row r="452" ht="15.75" customHeight="1">
      <c r="M452" s="389" t="str">
        <f>IF('Bản đồ công việc'!X468="","",'Bản đồ công việc'!W468)</f>
        <v/>
      </c>
      <c r="N452" s="389" t="str">
        <f>IF('Bản đồ công việc'!X468="","",'Bản đồ công việc'!X468)</f>
        <v/>
      </c>
      <c r="O452" s="389" t="str">
        <f>IF('Bản đồ công việc'!X468="","",'Bản đồ công việc'!Y468)</f>
        <v/>
      </c>
      <c r="P452" s="389" t="str">
        <f>IF('Bản đồ công việc'!X468="","",'Bản đồ công việc'!V468)</f>
        <v/>
      </c>
      <c r="Q452" s="389" t="str">
        <f>IF('Bản đồ công việc'!X468="","",'Bản đồ công việc'!AC468)</f>
        <v/>
      </c>
      <c r="R452" s="389" t="str">
        <f>IF('Bản đồ công việc'!X468="","",'Bản đồ công việc'!AD468)</f>
        <v/>
      </c>
      <c r="S452" s="389" t="str">
        <f>IF('Bản đồ công việc'!X468="","",'Bản đồ công việc'!Z468)</f>
        <v/>
      </c>
      <c r="T452" s="389" t="str">
        <f>IF('Bản đồ công việc'!X468="","",'Bản đồ công việc'!AA468)</f>
        <v/>
      </c>
      <c r="U452" s="389" t="str">
        <f>IF('Bản đồ công việc'!X468="","",'Bản đồ công việc'!AE468)</f>
        <v/>
      </c>
      <c r="V452" s="389" t="str">
        <f>IF('Bản đồ công việc'!X468="","",'Bản đồ công việc'!AI468)</f>
        <v/>
      </c>
      <c r="W452" s="389">
        <f t="shared" si="2"/>
        <v>0</v>
      </c>
      <c r="X452" s="389" t="str">
        <f t="shared" si="3"/>
        <v/>
      </c>
      <c r="Y452" s="389" t="str">
        <f t="shared" ref="Y452:Z452" si="448">IFERROR(INDEX($O$8:$O$684,MATCH(X452,$N$8:$N$684,0)),"")</f>
        <v/>
      </c>
      <c r="Z452" s="389" t="str">
        <f t="shared" si="448"/>
        <v/>
      </c>
      <c r="AA452" s="389">
        <f t="shared" si="5"/>
        <v>0</v>
      </c>
    </row>
    <row r="453" ht="15.75" customHeight="1">
      <c r="M453" s="389" t="str">
        <f>IF('Bản đồ công việc'!X469="","",'Bản đồ công việc'!W469)</f>
        <v/>
      </c>
      <c r="N453" s="389" t="str">
        <f>IF('Bản đồ công việc'!X469="","",'Bản đồ công việc'!X469)</f>
        <v/>
      </c>
      <c r="O453" s="389" t="str">
        <f>IF('Bản đồ công việc'!X469="","",'Bản đồ công việc'!Y469)</f>
        <v/>
      </c>
      <c r="P453" s="389" t="str">
        <f>IF('Bản đồ công việc'!X469="","",'Bản đồ công việc'!V469)</f>
        <v/>
      </c>
      <c r="Q453" s="389" t="str">
        <f>IF('Bản đồ công việc'!X469="","",'Bản đồ công việc'!AC469)</f>
        <v/>
      </c>
      <c r="R453" s="389" t="str">
        <f>IF('Bản đồ công việc'!X469="","",'Bản đồ công việc'!AD469)</f>
        <v/>
      </c>
      <c r="S453" s="389" t="str">
        <f>IF('Bản đồ công việc'!X469="","",'Bản đồ công việc'!Z469)</f>
        <v/>
      </c>
      <c r="T453" s="389" t="str">
        <f>IF('Bản đồ công việc'!X469="","",'Bản đồ công việc'!AA469)</f>
        <v/>
      </c>
      <c r="U453" s="389" t="str">
        <f>IF('Bản đồ công việc'!X469="","",'Bản đồ công việc'!AE469)</f>
        <v/>
      </c>
      <c r="V453" s="389" t="str">
        <f>IF('Bản đồ công việc'!X469="","",'Bản đồ công việc'!AI469)</f>
        <v/>
      </c>
      <c r="W453" s="389">
        <f t="shared" si="2"/>
        <v>0</v>
      </c>
      <c r="X453" s="389" t="str">
        <f t="shared" si="3"/>
        <v/>
      </c>
      <c r="Y453" s="389" t="str">
        <f t="shared" ref="Y453:Z453" si="449">IFERROR(INDEX($O$8:$O$684,MATCH(X453,$N$8:$N$684,0)),"")</f>
        <v/>
      </c>
      <c r="Z453" s="389" t="str">
        <f t="shared" si="449"/>
        <v/>
      </c>
      <c r="AA453" s="389">
        <f t="shared" si="5"/>
        <v>0</v>
      </c>
    </row>
    <row r="454" ht="15.75" customHeight="1">
      <c r="M454" s="389" t="str">
        <f>IF('Bản đồ công việc'!X470="","",'Bản đồ công việc'!W470)</f>
        <v/>
      </c>
      <c r="N454" s="389" t="str">
        <f>IF('Bản đồ công việc'!X470="","",'Bản đồ công việc'!X470)</f>
        <v/>
      </c>
      <c r="O454" s="389" t="str">
        <f>IF('Bản đồ công việc'!X470="","",'Bản đồ công việc'!Y470)</f>
        <v/>
      </c>
      <c r="P454" s="389" t="str">
        <f>IF('Bản đồ công việc'!X470="","",'Bản đồ công việc'!V470)</f>
        <v/>
      </c>
      <c r="Q454" s="389" t="str">
        <f>IF('Bản đồ công việc'!X470="","",'Bản đồ công việc'!AC470)</f>
        <v/>
      </c>
      <c r="R454" s="389" t="str">
        <f>IF('Bản đồ công việc'!X470="","",'Bản đồ công việc'!AD470)</f>
        <v/>
      </c>
      <c r="S454" s="389" t="str">
        <f>IF('Bản đồ công việc'!X470="","",'Bản đồ công việc'!Z470)</f>
        <v/>
      </c>
      <c r="T454" s="389" t="str">
        <f>IF('Bản đồ công việc'!X470="","",'Bản đồ công việc'!AA470)</f>
        <v/>
      </c>
      <c r="U454" s="389" t="str">
        <f>IF('Bản đồ công việc'!X470="","",'Bản đồ công việc'!AE470)</f>
        <v/>
      </c>
      <c r="V454" s="389" t="str">
        <f>IF('Bản đồ công việc'!X470="","",'Bản đồ công việc'!AI470)</f>
        <v/>
      </c>
      <c r="W454" s="389">
        <f t="shared" si="2"/>
        <v>0</v>
      </c>
      <c r="X454" s="389" t="str">
        <f t="shared" si="3"/>
        <v/>
      </c>
      <c r="Y454" s="389" t="str">
        <f t="shared" ref="Y454:Z454" si="450">IFERROR(INDEX($O$8:$O$684,MATCH(X454,$N$8:$N$684,0)),"")</f>
        <v/>
      </c>
      <c r="Z454" s="389" t="str">
        <f t="shared" si="450"/>
        <v/>
      </c>
      <c r="AA454" s="389">
        <f t="shared" si="5"/>
        <v>0</v>
      </c>
    </row>
    <row r="455" ht="15.75" customHeight="1">
      <c r="M455" s="389" t="str">
        <f>IF('Bản đồ công việc'!X471="","",'Bản đồ công việc'!W471)</f>
        <v/>
      </c>
      <c r="N455" s="389" t="str">
        <f>IF('Bản đồ công việc'!X471="","",'Bản đồ công việc'!X471)</f>
        <v/>
      </c>
      <c r="O455" s="389" t="str">
        <f>IF('Bản đồ công việc'!X471="","",'Bản đồ công việc'!Y471)</f>
        <v/>
      </c>
      <c r="P455" s="389" t="str">
        <f>IF('Bản đồ công việc'!X471="","",'Bản đồ công việc'!V471)</f>
        <v/>
      </c>
      <c r="Q455" s="389" t="str">
        <f>IF('Bản đồ công việc'!X471="","",'Bản đồ công việc'!AC471)</f>
        <v/>
      </c>
      <c r="R455" s="389" t="str">
        <f>IF('Bản đồ công việc'!X471="","",'Bản đồ công việc'!AD471)</f>
        <v/>
      </c>
      <c r="S455" s="389" t="str">
        <f>IF('Bản đồ công việc'!X471="","",'Bản đồ công việc'!Z471)</f>
        <v/>
      </c>
      <c r="T455" s="389" t="str">
        <f>IF('Bản đồ công việc'!X471="","",'Bản đồ công việc'!AA471)</f>
        <v/>
      </c>
      <c r="U455" s="389" t="str">
        <f>IF('Bản đồ công việc'!X471="","",'Bản đồ công việc'!AE471)</f>
        <v/>
      </c>
      <c r="V455" s="389" t="str">
        <f>IF('Bản đồ công việc'!X471="","",'Bản đồ công việc'!AI471)</f>
        <v/>
      </c>
      <c r="W455" s="389">
        <f t="shared" si="2"/>
        <v>0</v>
      </c>
      <c r="X455" s="389" t="str">
        <f t="shared" si="3"/>
        <v/>
      </c>
      <c r="Y455" s="389" t="str">
        <f t="shared" ref="Y455:Z455" si="451">IFERROR(INDEX($O$8:$O$684,MATCH(X455,$N$8:$N$684,0)),"")</f>
        <v/>
      </c>
      <c r="Z455" s="389" t="str">
        <f t="shared" si="451"/>
        <v/>
      </c>
      <c r="AA455" s="389">
        <f t="shared" si="5"/>
        <v>0</v>
      </c>
    </row>
    <row r="456" ht="15.75" customHeight="1">
      <c r="M456" s="389" t="str">
        <f>IF('Bản đồ công việc'!X472="","",'Bản đồ công việc'!W472)</f>
        <v/>
      </c>
      <c r="N456" s="389" t="str">
        <f>IF('Bản đồ công việc'!X472="","",'Bản đồ công việc'!X472)</f>
        <v/>
      </c>
      <c r="O456" s="389" t="str">
        <f>IF('Bản đồ công việc'!X472="","",'Bản đồ công việc'!Y472)</f>
        <v/>
      </c>
      <c r="P456" s="389" t="str">
        <f>IF('Bản đồ công việc'!X472="","",'Bản đồ công việc'!V472)</f>
        <v/>
      </c>
      <c r="Q456" s="389" t="str">
        <f>IF('Bản đồ công việc'!X472="","",'Bản đồ công việc'!AC472)</f>
        <v/>
      </c>
      <c r="R456" s="389" t="str">
        <f>IF('Bản đồ công việc'!X472="","",'Bản đồ công việc'!AD472)</f>
        <v/>
      </c>
      <c r="S456" s="389" t="str">
        <f>IF('Bản đồ công việc'!X472="","",'Bản đồ công việc'!Z472)</f>
        <v/>
      </c>
      <c r="T456" s="389" t="str">
        <f>IF('Bản đồ công việc'!X472="","",'Bản đồ công việc'!AA472)</f>
        <v/>
      </c>
      <c r="U456" s="389" t="str">
        <f>IF('Bản đồ công việc'!X472="","",'Bản đồ công việc'!AE472)</f>
        <v/>
      </c>
      <c r="V456" s="389" t="str">
        <f>IF('Bản đồ công việc'!X472="","",'Bản đồ công việc'!AI472)</f>
        <v/>
      </c>
      <c r="W456" s="389">
        <f t="shared" si="2"/>
        <v>0</v>
      </c>
      <c r="X456" s="389" t="str">
        <f t="shared" si="3"/>
        <v/>
      </c>
      <c r="Y456" s="389" t="str">
        <f t="shared" ref="Y456:Z456" si="452">IFERROR(INDEX($O$8:$O$684,MATCH(X456,$N$8:$N$684,0)),"")</f>
        <v/>
      </c>
      <c r="Z456" s="389" t="str">
        <f t="shared" si="452"/>
        <v/>
      </c>
      <c r="AA456" s="389">
        <f t="shared" si="5"/>
        <v>0</v>
      </c>
    </row>
    <row r="457" ht="15.75" customHeight="1">
      <c r="M457" s="389" t="str">
        <f>IF('Bản đồ công việc'!X473="","",'Bản đồ công việc'!W473)</f>
        <v/>
      </c>
      <c r="N457" s="389" t="str">
        <f>IF('Bản đồ công việc'!X473="","",'Bản đồ công việc'!X473)</f>
        <v/>
      </c>
      <c r="O457" s="389" t="str">
        <f>IF('Bản đồ công việc'!X473="","",'Bản đồ công việc'!Y473)</f>
        <v/>
      </c>
      <c r="P457" s="389" t="str">
        <f>IF('Bản đồ công việc'!X473="","",'Bản đồ công việc'!V473)</f>
        <v/>
      </c>
      <c r="Q457" s="389" t="str">
        <f>IF('Bản đồ công việc'!X473="","",'Bản đồ công việc'!AC473)</f>
        <v/>
      </c>
      <c r="R457" s="389" t="str">
        <f>IF('Bản đồ công việc'!X473="","",'Bản đồ công việc'!AD473)</f>
        <v/>
      </c>
      <c r="S457" s="389" t="str">
        <f>IF('Bản đồ công việc'!X473="","",'Bản đồ công việc'!Z473)</f>
        <v/>
      </c>
      <c r="T457" s="389" t="str">
        <f>IF('Bản đồ công việc'!X473="","",'Bản đồ công việc'!AA473)</f>
        <v/>
      </c>
      <c r="U457" s="389" t="str">
        <f>IF('Bản đồ công việc'!X473="","",'Bản đồ công việc'!AE473)</f>
        <v/>
      </c>
      <c r="V457" s="389" t="str">
        <f>IF('Bản đồ công việc'!X473="","",'Bản đồ công việc'!AI473)</f>
        <v/>
      </c>
      <c r="W457" s="389">
        <f t="shared" si="2"/>
        <v>0</v>
      </c>
      <c r="X457" s="389" t="str">
        <f t="shared" si="3"/>
        <v/>
      </c>
      <c r="Y457" s="389" t="str">
        <f t="shared" ref="Y457:Z457" si="453">IFERROR(INDEX($O$8:$O$684,MATCH(X457,$N$8:$N$684,0)),"")</f>
        <v/>
      </c>
      <c r="Z457" s="389" t="str">
        <f t="shared" si="453"/>
        <v/>
      </c>
      <c r="AA457" s="389">
        <f t="shared" si="5"/>
        <v>0</v>
      </c>
    </row>
    <row r="458" ht="15.75" customHeight="1">
      <c r="M458" s="389" t="str">
        <f>IF('Bản đồ công việc'!X474="","",'Bản đồ công việc'!W474)</f>
        <v/>
      </c>
      <c r="N458" s="389" t="str">
        <f>IF('Bản đồ công việc'!X474="","",'Bản đồ công việc'!X474)</f>
        <v/>
      </c>
      <c r="O458" s="389" t="str">
        <f>IF('Bản đồ công việc'!X474="","",'Bản đồ công việc'!Y474)</f>
        <v/>
      </c>
      <c r="P458" s="389" t="str">
        <f>IF('Bản đồ công việc'!X474="","",'Bản đồ công việc'!V474)</f>
        <v/>
      </c>
      <c r="Q458" s="389" t="str">
        <f>IF('Bản đồ công việc'!X474="","",'Bản đồ công việc'!AC474)</f>
        <v/>
      </c>
      <c r="R458" s="389" t="str">
        <f>IF('Bản đồ công việc'!X474="","",'Bản đồ công việc'!AD474)</f>
        <v/>
      </c>
      <c r="S458" s="389" t="str">
        <f>IF('Bản đồ công việc'!X474="","",'Bản đồ công việc'!Z474)</f>
        <v/>
      </c>
      <c r="T458" s="389" t="str">
        <f>IF('Bản đồ công việc'!X474="","",'Bản đồ công việc'!AA474)</f>
        <v/>
      </c>
      <c r="U458" s="389" t="str">
        <f>IF('Bản đồ công việc'!X474="","",'Bản đồ công việc'!AE474)</f>
        <v/>
      </c>
      <c r="V458" s="389" t="str">
        <f>IF('Bản đồ công việc'!X474="","",'Bản đồ công việc'!AI474)</f>
        <v/>
      </c>
      <c r="W458" s="389">
        <f t="shared" si="2"/>
        <v>0</v>
      </c>
      <c r="X458" s="389" t="str">
        <f t="shared" si="3"/>
        <v/>
      </c>
      <c r="Y458" s="389" t="str">
        <f t="shared" ref="Y458:Z458" si="454">IFERROR(INDEX($O$8:$O$684,MATCH(X458,$N$8:$N$684,0)),"")</f>
        <v/>
      </c>
      <c r="Z458" s="389" t="str">
        <f t="shared" si="454"/>
        <v/>
      </c>
      <c r="AA458" s="389">
        <f t="shared" si="5"/>
        <v>0</v>
      </c>
    </row>
    <row r="459" ht="15.75" customHeight="1">
      <c r="M459" s="389" t="str">
        <f>IF('Bản đồ công việc'!X475="","",'Bản đồ công việc'!W475)</f>
        <v/>
      </c>
      <c r="N459" s="389" t="str">
        <f>IF('Bản đồ công việc'!X475="","",'Bản đồ công việc'!X475)</f>
        <v/>
      </c>
      <c r="O459" s="389" t="str">
        <f>IF('Bản đồ công việc'!X475="","",'Bản đồ công việc'!Y475)</f>
        <v/>
      </c>
      <c r="P459" s="389" t="str">
        <f>IF('Bản đồ công việc'!X475="","",'Bản đồ công việc'!V475)</f>
        <v/>
      </c>
      <c r="Q459" s="389" t="str">
        <f>IF('Bản đồ công việc'!X475="","",'Bản đồ công việc'!AC475)</f>
        <v/>
      </c>
      <c r="R459" s="389" t="str">
        <f>IF('Bản đồ công việc'!X475="","",'Bản đồ công việc'!AD475)</f>
        <v/>
      </c>
      <c r="S459" s="389" t="str">
        <f>IF('Bản đồ công việc'!X475="","",'Bản đồ công việc'!Z475)</f>
        <v/>
      </c>
      <c r="T459" s="389" t="str">
        <f>IF('Bản đồ công việc'!X475="","",'Bản đồ công việc'!AA475)</f>
        <v/>
      </c>
      <c r="U459" s="389" t="str">
        <f>IF('Bản đồ công việc'!X475="","",'Bản đồ công việc'!AE475)</f>
        <v/>
      </c>
      <c r="V459" s="389" t="str">
        <f>IF('Bản đồ công việc'!X475="","",'Bản đồ công việc'!AI475)</f>
        <v/>
      </c>
      <c r="W459" s="389">
        <f t="shared" si="2"/>
        <v>0</v>
      </c>
      <c r="X459" s="389" t="str">
        <f t="shared" si="3"/>
        <v/>
      </c>
      <c r="Y459" s="389" t="str">
        <f t="shared" ref="Y459:Z459" si="455">IFERROR(INDEX($O$8:$O$684,MATCH(X459,$N$8:$N$684,0)),"")</f>
        <v/>
      </c>
      <c r="Z459" s="389" t="str">
        <f t="shared" si="455"/>
        <v/>
      </c>
      <c r="AA459" s="389">
        <f t="shared" si="5"/>
        <v>0</v>
      </c>
    </row>
    <row r="460" ht="15.75" customHeight="1">
      <c r="M460" s="389" t="str">
        <f>IF('Bản đồ công việc'!X476="","",'Bản đồ công việc'!W476)</f>
        <v/>
      </c>
      <c r="N460" s="389" t="str">
        <f>IF('Bản đồ công việc'!X476="","",'Bản đồ công việc'!X476)</f>
        <v/>
      </c>
      <c r="O460" s="389" t="str">
        <f>IF('Bản đồ công việc'!X476="","",'Bản đồ công việc'!Y476)</f>
        <v/>
      </c>
      <c r="P460" s="389" t="str">
        <f>IF('Bản đồ công việc'!X476="","",'Bản đồ công việc'!V476)</f>
        <v/>
      </c>
      <c r="Q460" s="389" t="str">
        <f>IF('Bản đồ công việc'!X476="","",'Bản đồ công việc'!AC476)</f>
        <v/>
      </c>
      <c r="R460" s="389" t="str">
        <f>IF('Bản đồ công việc'!X476="","",'Bản đồ công việc'!AD476)</f>
        <v/>
      </c>
      <c r="S460" s="389" t="str">
        <f>IF('Bản đồ công việc'!X476="","",'Bản đồ công việc'!Z476)</f>
        <v/>
      </c>
      <c r="T460" s="389" t="str">
        <f>IF('Bản đồ công việc'!X476="","",'Bản đồ công việc'!AA476)</f>
        <v/>
      </c>
      <c r="U460" s="389" t="str">
        <f>IF('Bản đồ công việc'!X476="","",'Bản đồ công việc'!AE476)</f>
        <v/>
      </c>
      <c r="V460" s="389" t="str">
        <f>IF('Bản đồ công việc'!X476="","",'Bản đồ công việc'!AI476)</f>
        <v/>
      </c>
      <c r="W460" s="389">
        <f t="shared" si="2"/>
        <v>0</v>
      </c>
      <c r="X460" s="389" t="str">
        <f t="shared" si="3"/>
        <v/>
      </c>
      <c r="Y460" s="389" t="str">
        <f t="shared" ref="Y460:Z460" si="456">IFERROR(INDEX($O$8:$O$684,MATCH(X460,$N$8:$N$684,0)),"")</f>
        <v/>
      </c>
      <c r="Z460" s="389" t="str">
        <f t="shared" si="456"/>
        <v/>
      </c>
      <c r="AA460" s="389">
        <f t="shared" si="5"/>
        <v>0</v>
      </c>
    </row>
    <row r="461" ht="15.75" customHeight="1">
      <c r="M461" s="389" t="str">
        <f>IF('Bản đồ công việc'!X477="","",'Bản đồ công việc'!W477)</f>
        <v/>
      </c>
      <c r="N461" s="389" t="str">
        <f>IF('Bản đồ công việc'!X477="","",'Bản đồ công việc'!X477)</f>
        <v/>
      </c>
      <c r="O461" s="389" t="str">
        <f>IF('Bản đồ công việc'!X477="","",'Bản đồ công việc'!Y477)</f>
        <v/>
      </c>
      <c r="P461" s="389" t="str">
        <f>IF('Bản đồ công việc'!X477="","",'Bản đồ công việc'!V477)</f>
        <v/>
      </c>
      <c r="Q461" s="389" t="str">
        <f>IF('Bản đồ công việc'!X477="","",'Bản đồ công việc'!AC477)</f>
        <v/>
      </c>
      <c r="R461" s="389" t="str">
        <f>IF('Bản đồ công việc'!X477="","",'Bản đồ công việc'!AD477)</f>
        <v/>
      </c>
      <c r="S461" s="389" t="str">
        <f>IF('Bản đồ công việc'!X477="","",'Bản đồ công việc'!Z477)</f>
        <v/>
      </c>
      <c r="T461" s="389" t="str">
        <f>IF('Bản đồ công việc'!X477="","",'Bản đồ công việc'!AA477)</f>
        <v/>
      </c>
      <c r="U461" s="389" t="str">
        <f>IF('Bản đồ công việc'!X477="","",'Bản đồ công việc'!AE477)</f>
        <v/>
      </c>
      <c r="V461" s="389" t="str">
        <f>IF('Bản đồ công việc'!X477="","",'Bản đồ công việc'!AI477)</f>
        <v/>
      </c>
      <c r="W461" s="389">
        <f t="shared" si="2"/>
        <v>0</v>
      </c>
      <c r="X461" s="389" t="str">
        <f t="shared" si="3"/>
        <v/>
      </c>
      <c r="Y461" s="389" t="str">
        <f t="shared" ref="Y461:Z461" si="457">IFERROR(INDEX($O$8:$O$684,MATCH(X461,$N$8:$N$684,0)),"")</f>
        <v/>
      </c>
      <c r="Z461" s="389" t="str">
        <f t="shared" si="457"/>
        <v/>
      </c>
      <c r="AA461" s="389">
        <f t="shared" si="5"/>
        <v>0</v>
      </c>
    </row>
    <row r="462" ht="15.75" customHeight="1">
      <c r="M462" s="389" t="str">
        <f>IF('Bản đồ công việc'!X478="","",'Bản đồ công việc'!W478)</f>
        <v/>
      </c>
      <c r="N462" s="389" t="str">
        <f>IF('Bản đồ công việc'!X478="","",'Bản đồ công việc'!X478)</f>
        <v/>
      </c>
      <c r="O462" s="389" t="str">
        <f>IF('Bản đồ công việc'!X478="","",'Bản đồ công việc'!Y478)</f>
        <v/>
      </c>
      <c r="P462" s="389" t="str">
        <f>IF('Bản đồ công việc'!X478="","",'Bản đồ công việc'!V478)</f>
        <v/>
      </c>
      <c r="Q462" s="389" t="str">
        <f>IF('Bản đồ công việc'!X478="","",'Bản đồ công việc'!AC478)</f>
        <v/>
      </c>
      <c r="R462" s="389" t="str">
        <f>IF('Bản đồ công việc'!X478="","",'Bản đồ công việc'!AD478)</f>
        <v/>
      </c>
      <c r="S462" s="389" t="str">
        <f>IF('Bản đồ công việc'!X478="","",'Bản đồ công việc'!Z478)</f>
        <v/>
      </c>
      <c r="T462" s="389" t="str">
        <f>IF('Bản đồ công việc'!X478="","",'Bản đồ công việc'!AA478)</f>
        <v/>
      </c>
      <c r="U462" s="389" t="str">
        <f>IF('Bản đồ công việc'!X478="","",'Bản đồ công việc'!AE478)</f>
        <v/>
      </c>
      <c r="V462" s="389" t="str">
        <f>IF('Bản đồ công việc'!X478="","",'Bản đồ công việc'!AI478)</f>
        <v/>
      </c>
      <c r="W462" s="389">
        <f t="shared" si="2"/>
        <v>0</v>
      </c>
      <c r="X462" s="389" t="str">
        <f t="shared" si="3"/>
        <v/>
      </c>
      <c r="Y462" s="389" t="str">
        <f t="shared" ref="Y462:Z462" si="458">IFERROR(INDEX($O$8:$O$684,MATCH(X462,$N$8:$N$684,0)),"")</f>
        <v/>
      </c>
      <c r="Z462" s="389" t="str">
        <f t="shared" si="458"/>
        <v/>
      </c>
      <c r="AA462" s="389">
        <f t="shared" si="5"/>
        <v>0</v>
      </c>
    </row>
    <row r="463" ht="15.75" customHeight="1">
      <c r="M463" s="389" t="str">
        <f>IF('Bản đồ công việc'!X479="","",'Bản đồ công việc'!W479)</f>
        <v/>
      </c>
      <c r="N463" s="389" t="str">
        <f>IF('Bản đồ công việc'!X479="","",'Bản đồ công việc'!X479)</f>
        <v/>
      </c>
      <c r="O463" s="389" t="str">
        <f>IF('Bản đồ công việc'!X479="","",'Bản đồ công việc'!Y479)</f>
        <v/>
      </c>
      <c r="P463" s="389" t="str">
        <f>IF('Bản đồ công việc'!X479="","",'Bản đồ công việc'!V479)</f>
        <v/>
      </c>
      <c r="Q463" s="389" t="str">
        <f>IF('Bản đồ công việc'!X479="","",'Bản đồ công việc'!AC479)</f>
        <v/>
      </c>
      <c r="R463" s="389" t="str">
        <f>IF('Bản đồ công việc'!X479="","",'Bản đồ công việc'!AD479)</f>
        <v/>
      </c>
      <c r="S463" s="389" t="str">
        <f>IF('Bản đồ công việc'!X479="","",'Bản đồ công việc'!Z479)</f>
        <v/>
      </c>
      <c r="T463" s="389" t="str">
        <f>IF('Bản đồ công việc'!X479="","",'Bản đồ công việc'!AA479)</f>
        <v/>
      </c>
      <c r="U463" s="389" t="str">
        <f>IF('Bản đồ công việc'!X479="","",'Bản đồ công việc'!AE479)</f>
        <v/>
      </c>
      <c r="V463" s="389" t="str">
        <f>IF('Bản đồ công việc'!X479="","",'Bản đồ công việc'!AI479)</f>
        <v/>
      </c>
      <c r="W463" s="389">
        <f t="shared" si="2"/>
        <v>0</v>
      </c>
      <c r="X463" s="389" t="str">
        <f t="shared" si="3"/>
        <v/>
      </c>
      <c r="Y463" s="389" t="str">
        <f t="shared" ref="Y463:Z463" si="459">IFERROR(INDEX($O$8:$O$684,MATCH(X463,$N$8:$N$684,0)),"")</f>
        <v/>
      </c>
      <c r="Z463" s="389" t="str">
        <f t="shared" si="459"/>
        <v/>
      </c>
      <c r="AA463" s="389">
        <f t="shared" si="5"/>
        <v>0</v>
      </c>
    </row>
    <row r="464" ht="15.75" customHeight="1">
      <c r="M464" s="389" t="str">
        <f>IF('Bản đồ công việc'!X480="","",'Bản đồ công việc'!W480)</f>
        <v/>
      </c>
      <c r="N464" s="389" t="str">
        <f>IF('Bản đồ công việc'!X480="","",'Bản đồ công việc'!X480)</f>
        <v/>
      </c>
      <c r="O464" s="389" t="str">
        <f>IF('Bản đồ công việc'!X480="","",'Bản đồ công việc'!Y480)</f>
        <v/>
      </c>
      <c r="P464" s="389" t="str">
        <f>IF('Bản đồ công việc'!X480="","",'Bản đồ công việc'!V480)</f>
        <v/>
      </c>
      <c r="Q464" s="389" t="str">
        <f>IF('Bản đồ công việc'!X480="","",'Bản đồ công việc'!AC480)</f>
        <v/>
      </c>
      <c r="R464" s="389" t="str">
        <f>IF('Bản đồ công việc'!X480="","",'Bản đồ công việc'!AD480)</f>
        <v/>
      </c>
      <c r="S464" s="389" t="str">
        <f>IF('Bản đồ công việc'!X480="","",'Bản đồ công việc'!Z480)</f>
        <v/>
      </c>
      <c r="T464" s="389" t="str">
        <f>IF('Bản đồ công việc'!X480="","",'Bản đồ công việc'!AA480)</f>
        <v/>
      </c>
      <c r="U464" s="389" t="str">
        <f>IF('Bản đồ công việc'!X480="","",'Bản đồ công việc'!AE480)</f>
        <v/>
      </c>
      <c r="V464" s="389" t="str">
        <f>IF('Bản đồ công việc'!X480="","",'Bản đồ công việc'!AI480)</f>
        <v/>
      </c>
      <c r="W464" s="389">
        <f t="shared" si="2"/>
        <v>0</v>
      </c>
      <c r="X464" s="389" t="str">
        <f t="shared" si="3"/>
        <v/>
      </c>
      <c r="Y464" s="389" t="str">
        <f t="shared" ref="Y464:Z464" si="460">IFERROR(INDEX($O$8:$O$684,MATCH(X464,$N$8:$N$684,0)),"")</f>
        <v/>
      </c>
      <c r="Z464" s="389" t="str">
        <f t="shared" si="460"/>
        <v/>
      </c>
      <c r="AA464" s="389">
        <f t="shared" si="5"/>
        <v>0</v>
      </c>
    </row>
    <row r="465" ht="15.75" customHeight="1">
      <c r="M465" s="389" t="str">
        <f>IF('Bản đồ công việc'!X481="","",'Bản đồ công việc'!W481)</f>
        <v/>
      </c>
      <c r="N465" s="389" t="str">
        <f>IF('Bản đồ công việc'!X481="","",'Bản đồ công việc'!X481)</f>
        <v/>
      </c>
      <c r="O465" s="389" t="str">
        <f>IF('Bản đồ công việc'!X481="","",'Bản đồ công việc'!Y481)</f>
        <v/>
      </c>
      <c r="P465" s="389" t="str">
        <f>IF('Bản đồ công việc'!X481="","",'Bản đồ công việc'!V481)</f>
        <v/>
      </c>
      <c r="Q465" s="389" t="str">
        <f>IF('Bản đồ công việc'!X481="","",'Bản đồ công việc'!AC481)</f>
        <v/>
      </c>
      <c r="R465" s="389" t="str">
        <f>IF('Bản đồ công việc'!X481="","",'Bản đồ công việc'!AD481)</f>
        <v/>
      </c>
      <c r="S465" s="389" t="str">
        <f>IF('Bản đồ công việc'!X481="","",'Bản đồ công việc'!Z481)</f>
        <v/>
      </c>
      <c r="T465" s="389" t="str">
        <f>IF('Bản đồ công việc'!X481="","",'Bản đồ công việc'!AA481)</f>
        <v/>
      </c>
      <c r="U465" s="389" t="str">
        <f>IF('Bản đồ công việc'!X481="","",'Bản đồ công việc'!AE481)</f>
        <v/>
      </c>
      <c r="V465" s="389" t="str">
        <f>IF('Bản đồ công việc'!X481="","",'Bản đồ công việc'!AI481)</f>
        <v/>
      </c>
      <c r="W465" s="389">
        <f t="shared" si="2"/>
        <v>0</v>
      </c>
      <c r="X465" s="389" t="str">
        <f t="shared" si="3"/>
        <v/>
      </c>
      <c r="Y465" s="389" t="str">
        <f t="shared" ref="Y465:Z465" si="461">IFERROR(INDEX($O$8:$O$684,MATCH(X465,$N$8:$N$684,0)),"")</f>
        <v/>
      </c>
      <c r="Z465" s="389" t="str">
        <f t="shared" si="461"/>
        <v/>
      </c>
      <c r="AA465" s="389">
        <f t="shared" si="5"/>
        <v>0</v>
      </c>
    </row>
    <row r="466" ht="15.75" customHeight="1">
      <c r="M466" s="389" t="str">
        <f>IF('Bản đồ công việc'!X482="","",'Bản đồ công việc'!W482)</f>
        <v/>
      </c>
      <c r="N466" s="389" t="str">
        <f>IF('Bản đồ công việc'!X482="","",'Bản đồ công việc'!X482)</f>
        <v/>
      </c>
      <c r="O466" s="389" t="str">
        <f>IF('Bản đồ công việc'!X482="","",'Bản đồ công việc'!Y482)</f>
        <v/>
      </c>
      <c r="P466" s="389" t="str">
        <f>IF('Bản đồ công việc'!X482="","",'Bản đồ công việc'!V482)</f>
        <v/>
      </c>
      <c r="Q466" s="389" t="str">
        <f>IF('Bản đồ công việc'!X482="","",'Bản đồ công việc'!AC482)</f>
        <v/>
      </c>
      <c r="R466" s="389" t="str">
        <f>IF('Bản đồ công việc'!X482="","",'Bản đồ công việc'!AD482)</f>
        <v/>
      </c>
      <c r="S466" s="389" t="str">
        <f>IF('Bản đồ công việc'!X482="","",'Bản đồ công việc'!Z482)</f>
        <v/>
      </c>
      <c r="T466" s="389" t="str">
        <f>IF('Bản đồ công việc'!X482="","",'Bản đồ công việc'!AA482)</f>
        <v/>
      </c>
      <c r="U466" s="389" t="str">
        <f>IF('Bản đồ công việc'!X482="","",'Bản đồ công việc'!AE482)</f>
        <v/>
      </c>
      <c r="V466" s="389" t="str">
        <f>IF('Bản đồ công việc'!X482="","",'Bản đồ công việc'!AI482)</f>
        <v/>
      </c>
      <c r="W466" s="389">
        <f t="shared" si="2"/>
        <v>0</v>
      </c>
      <c r="X466" s="389" t="str">
        <f t="shared" si="3"/>
        <v/>
      </c>
      <c r="Y466" s="389" t="str">
        <f t="shared" ref="Y466:Z466" si="462">IFERROR(INDEX($O$8:$O$684,MATCH(X466,$N$8:$N$684,0)),"")</f>
        <v/>
      </c>
      <c r="Z466" s="389" t="str">
        <f t="shared" si="462"/>
        <v/>
      </c>
      <c r="AA466" s="389">
        <f t="shared" si="5"/>
        <v>0</v>
      </c>
    </row>
    <row r="467" ht="15.75" customHeight="1">
      <c r="M467" s="389" t="str">
        <f>IF('Bản đồ công việc'!X483="","",'Bản đồ công việc'!W483)</f>
        <v/>
      </c>
      <c r="N467" s="389" t="str">
        <f>IF('Bản đồ công việc'!X483="","",'Bản đồ công việc'!X483)</f>
        <v/>
      </c>
      <c r="O467" s="389" t="str">
        <f>IF('Bản đồ công việc'!X483="","",'Bản đồ công việc'!Y483)</f>
        <v/>
      </c>
      <c r="P467" s="389" t="str">
        <f>IF('Bản đồ công việc'!X483="","",'Bản đồ công việc'!V483)</f>
        <v/>
      </c>
      <c r="Q467" s="389" t="str">
        <f>IF('Bản đồ công việc'!X483="","",'Bản đồ công việc'!AC483)</f>
        <v/>
      </c>
      <c r="R467" s="389" t="str">
        <f>IF('Bản đồ công việc'!X483="","",'Bản đồ công việc'!AD483)</f>
        <v/>
      </c>
      <c r="S467" s="389" t="str">
        <f>IF('Bản đồ công việc'!X483="","",'Bản đồ công việc'!Z483)</f>
        <v/>
      </c>
      <c r="T467" s="389" t="str">
        <f>IF('Bản đồ công việc'!X483="","",'Bản đồ công việc'!AA483)</f>
        <v/>
      </c>
      <c r="U467" s="389" t="str">
        <f>IF('Bản đồ công việc'!X483="","",'Bản đồ công việc'!AE483)</f>
        <v/>
      </c>
      <c r="V467" s="389" t="str">
        <f>IF('Bản đồ công việc'!X483="","",'Bản đồ công việc'!AI483)</f>
        <v/>
      </c>
      <c r="W467" s="389">
        <f t="shared" si="2"/>
        <v>0</v>
      </c>
      <c r="X467" s="389" t="str">
        <f t="shared" si="3"/>
        <v/>
      </c>
      <c r="Y467" s="389" t="str">
        <f t="shared" ref="Y467:Z467" si="463">IFERROR(INDEX($O$8:$O$684,MATCH(X467,$N$8:$N$684,0)),"")</f>
        <v/>
      </c>
      <c r="Z467" s="389" t="str">
        <f t="shared" si="463"/>
        <v/>
      </c>
      <c r="AA467" s="389">
        <f t="shared" si="5"/>
        <v>0</v>
      </c>
    </row>
    <row r="468" ht="15.75" customHeight="1">
      <c r="M468" s="389" t="str">
        <f>IF('Bản đồ công việc'!X484="","",'Bản đồ công việc'!W484)</f>
        <v/>
      </c>
      <c r="N468" s="389" t="str">
        <f>IF('Bản đồ công việc'!X484="","",'Bản đồ công việc'!X484)</f>
        <v/>
      </c>
      <c r="O468" s="389" t="str">
        <f>IF('Bản đồ công việc'!X484="","",'Bản đồ công việc'!Y484)</f>
        <v/>
      </c>
      <c r="P468" s="389" t="str">
        <f>IF('Bản đồ công việc'!X484="","",'Bản đồ công việc'!V484)</f>
        <v/>
      </c>
      <c r="Q468" s="389" t="str">
        <f>IF('Bản đồ công việc'!X484="","",'Bản đồ công việc'!AC484)</f>
        <v/>
      </c>
      <c r="R468" s="389" t="str">
        <f>IF('Bản đồ công việc'!X484="","",'Bản đồ công việc'!AD484)</f>
        <v/>
      </c>
      <c r="S468" s="389" t="str">
        <f>IF('Bản đồ công việc'!X484="","",'Bản đồ công việc'!Z484)</f>
        <v/>
      </c>
      <c r="T468" s="389" t="str">
        <f>IF('Bản đồ công việc'!X484="","",'Bản đồ công việc'!AA484)</f>
        <v/>
      </c>
      <c r="U468" s="389" t="str">
        <f>IF('Bản đồ công việc'!X484="","",'Bản đồ công việc'!AE484)</f>
        <v/>
      </c>
      <c r="V468" s="389" t="str">
        <f>IF('Bản đồ công việc'!X484="","",'Bản đồ công việc'!AI484)</f>
        <v/>
      </c>
      <c r="W468" s="389">
        <f t="shared" si="2"/>
        <v>0</v>
      </c>
      <c r="X468" s="389" t="str">
        <f t="shared" si="3"/>
        <v/>
      </c>
      <c r="Y468" s="389" t="str">
        <f t="shared" ref="Y468:Z468" si="464">IFERROR(INDEX($O$8:$O$684,MATCH(X468,$N$8:$N$684,0)),"")</f>
        <v/>
      </c>
      <c r="Z468" s="389" t="str">
        <f t="shared" si="464"/>
        <v/>
      </c>
      <c r="AA468" s="389">
        <f t="shared" si="5"/>
        <v>0</v>
      </c>
    </row>
    <row r="469" ht="15.75" customHeight="1">
      <c r="M469" s="389" t="str">
        <f>IF('Bản đồ công việc'!X485="","",'Bản đồ công việc'!W485)</f>
        <v/>
      </c>
      <c r="N469" s="389" t="str">
        <f>IF('Bản đồ công việc'!X485="","",'Bản đồ công việc'!X485)</f>
        <v/>
      </c>
      <c r="O469" s="389" t="str">
        <f>IF('Bản đồ công việc'!X485="","",'Bản đồ công việc'!Y485)</f>
        <v/>
      </c>
      <c r="P469" s="389" t="str">
        <f>IF('Bản đồ công việc'!X485="","",'Bản đồ công việc'!V485)</f>
        <v/>
      </c>
      <c r="Q469" s="389" t="str">
        <f>IF('Bản đồ công việc'!X485="","",'Bản đồ công việc'!AC485)</f>
        <v/>
      </c>
      <c r="R469" s="389" t="str">
        <f>IF('Bản đồ công việc'!X485="","",'Bản đồ công việc'!AD485)</f>
        <v/>
      </c>
      <c r="S469" s="389" t="str">
        <f>IF('Bản đồ công việc'!X485="","",'Bản đồ công việc'!Z485)</f>
        <v/>
      </c>
      <c r="T469" s="389" t="str">
        <f>IF('Bản đồ công việc'!X485="","",'Bản đồ công việc'!AA485)</f>
        <v/>
      </c>
      <c r="U469" s="389" t="str">
        <f>IF('Bản đồ công việc'!X485="","",'Bản đồ công việc'!AE485)</f>
        <v/>
      </c>
      <c r="V469" s="389" t="str">
        <f>IF('Bản đồ công việc'!X485="","",'Bản đồ công việc'!AI485)</f>
        <v/>
      </c>
      <c r="W469" s="389">
        <f t="shared" si="2"/>
        <v>0</v>
      </c>
      <c r="X469" s="389" t="str">
        <f t="shared" si="3"/>
        <v/>
      </c>
      <c r="Y469" s="389" t="str">
        <f t="shared" ref="Y469:Z469" si="465">IFERROR(INDEX($O$8:$O$684,MATCH(X469,$N$8:$N$684,0)),"")</f>
        <v/>
      </c>
      <c r="Z469" s="389" t="str">
        <f t="shared" si="465"/>
        <v/>
      </c>
      <c r="AA469" s="389">
        <f t="shared" si="5"/>
        <v>0</v>
      </c>
    </row>
    <row r="470" ht="15.75" customHeight="1">
      <c r="M470" s="389" t="str">
        <f>IF('Bản đồ công việc'!X486="","",'Bản đồ công việc'!W486)</f>
        <v/>
      </c>
      <c r="N470" s="389" t="str">
        <f>IF('Bản đồ công việc'!X486="","",'Bản đồ công việc'!X486)</f>
        <v/>
      </c>
      <c r="O470" s="389" t="str">
        <f>IF('Bản đồ công việc'!X486="","",'Bản đồ công việc'!Y486)</f>
        <v/>
      </c>
      <c r="P470" s="389" t="str">
        <f>IF('Bản đồ công việc'!X486="","",'Bản đồ công việc'!V486)</f>
        <v/>
      </c>
      <c r="Q470" s="389" t="str">
        <f>IF('Bản đồ công việc'!X486="","",'Bản đồ công việc'!AC486)</f>
        <v/>
      </c>
      <c r="R470" s="389" t="str">
        <f>IF('Bản đồ công việc'!X486="","",'Bản đồ công việc'!AD486)</f>
        <v/>
      </c>
      <c r="S470" s="389" t="str">
        <f>IF('Bản đồ công việc'!X486="","",'Bản đồ công việc'!Z486)</f>
        <v/>
      </c>
      <c r="T470" s="389" t="str">
        <f>IF('Bản đồ công việc'!X486="","",'Bản đồ công việc'!AA486)</f>
        <v/>
      </c>
      <c r="U470" s="389" t="str">
        <f>IF('Bản đồ công việc'!X486="","",'Bản đồ công việc'!AE486)</f>
        <v/>
      </c>
      <c r="V470" s="389" t="str">
        <f>IF('Bản đồ công việc'!X486="","",'Bản đồ công việc'!AI486)</f>
        <v/>
      </c>
      <c r="W470" s="389">
        <f t="shared" si="2"/>
        <v>0</v>
      </c>
      <c r="X470" s="389" t="str">
        <f t="shared" si="3"/>
        <v/>
      </c>
      <c r="Y470" s="389" t="str">
        <f t="shared" ref="Y470:Z470" si="466">IFERROR(INDEX($O$8:$O$684,MATCH(X470,$N$8:$N$684,0)),"")</f>
        <v/>
      </c>
      <c r="Z470" s="389" t="str">
        <f t="shared" si="466"/>
        <v/>
      </c>
      <c r="AA470" s="389">
        <f t="shared" si="5"/>
        <v>0</v>
      </c>
    </row>
    <row r="471" ht="15.75" customHeight="1">
      <c r="M471" s="389" t="str">
        <f>IF('Bản đồ công việc'!X487="","",'Bản đồ công việc'!W487)</f>
        <v/>
      </c>
      <c r="N471" s="389" t="str">
        <f>IF('Bản đồ công việc'!X487="","",'Bản đồ công việc'!X487)</f>
        <v/>
      </c>
      <c r="O471" s="389" t="str">
        <f>IF('Bản đồ công việc'!X487="","",'Bản đồ công việc'!Y487)</f>
        <v/>
      </c>
      <c r="P471" s="389" t="str">
        <f>IF('Bản đồ công việc'!X487="","",'Bản đồ công việc'!V487)</f>
        <v/>
      </c>
      <c r="Q471" s="389" t="str">
        <f>IF('Bản đồ công việc'!X487="","",'Bản đồ công việc'!AC487)</f>
        <v/>
      </c>
      <c r="R471" s="389" t="str">
        <f>IF('Bản đồ công việc'!X487="","",'Bản đồ công việc'!AD487)</f>
        <v/>
      </c>
      <c r="S471" s="389" t="str">
        <f>IF('Bản đồ công việc'!X487="","",'Bản đồ công việc'!Z487)</f>
        <v/>
      </c>
      <c r="T471" s="389" t="str">
        <f>IF('Bản đồ công việc'!X487="","",'Bản đồ công việc'!AA487)</f>
        <v/>
      </c>
      <c r="U471" s="389" t="str">
        <f>IF('Bản đồ công việc'!X487="","",'Bản đồ công việc'!AE487)</f>
        <v/>
      </c>
      <c r="V471" s="389" t="str">
        <f>IF('Bản đồ công việc'!X487="","",'Bản đồ công việc'!AI487)</f>
        <v/>
      </c>
      <c r="W471" s="389">
        <f t="shared" si="2"/>
        <v>0</v>
      </c>
      <c r="X471" s="389" t="str">
        <f t="shared" si="3"/>
        <v/>
      </c>
      <c r="Y471" s="389" t="str">
        <f t="shared" ref="Y471:Z471" si="467">IFERROR(INDEX($O$8:$O$684,MATCH(X471,$N$8:$N$684,0)),"")</f>
        <v/>
      </c>
      <c r="Z471" s="389" t="str">
        <f t="shared" si="467"/>
        <v/>
      </c>
      <c r="AA471" s="389">
        <f t="shared" si="5"/>
        <v>0</v>
      </c>
    </row>
    <row r="472" ht="15.75" customHeight="1">
      <c r="M472" s="389" t="str">
        <f>IF('Bản đồ công việc'!X488="","",'Bản đồ công việc'!W488)</f>
        <v/>
      </c>
      <c r="N472" s="389" t="str">
        <f>IF('Bản đồ công việc'!X488="","",'Bản đồ công việc'!X488)</f>
        <v/>
      </c>
      <c r="O472" s="389" t="str">
        <f>IF('Bản đồ công việc'!X488="","",'Bản đồ công việc'!Y488)</f>
        <v/>
      </c>
      <c r="P472" s="389" t="str">
        <f>IF('Bản đồ công việc'!X488="","",'Bản đồ công việc'!V488)</f>
        <v/>
      </c>
      <c r="Q472" s="389" t="str">
        <f>IF('Bản đồ công việc'!X488="","",'Bản đồ công việc'!AC488)</f>
        <v/>
      </c>
      <c r="R472" s="389" t="str">
        <f>IF('Bản đồ công việc'!X488="","",'Bản đồ công việc'!AD488)</f>
        <v/>
      </c>
      <c r="S472" s="389" t="str">
        <f>IF('Bản đồ công việc'!X488="","",'Bản đồ công việc'!Z488)</f>
        <v/>
      </c>
      <c r="T472" s="389" t="str">
        <f>IF('Bản đồ công việc'!X488="","",'Bản đồ công việc'!AA488)</f>
        <v/>
      </c>
      <c r="U472" s="389" t="str">
        <f>IF('Bản đồ công việc'!X488="","",'Bản đồ công việc'!AE488)</f>
        <v/>
      </c>
      <c r="V472" s="389" t="str">
        <f>IF('Bản đồ công việc'!X488="","",'Bản đồ công việc'!AI488)</f>
        <v/>
      </c>
      <c r="W472" s="389">
        <f t="shared" si="2"/>
        <v>0</v>
      </c>
      <c r="X472" s="389" t="str">
        <f t="shared" si="3"/>
        <v/>
      </c>
      <c r="Y472" s="389" t="str">
        <f t="shared" ref="Y472:Z472" si="468">IFERROR(INDEX($O$8:$O$684,MATCH(X472,$N$8:$N$684,0)),"")</f>
        <v/>
      </c>
      <c r="Z472" s="389" t="str">
        <f t="shared" si="468"/>
        <v/>
      </c>
      <c r="AA472" s="389">
        <f t="shared" si="5"/>
        <v>0</v>
      </c>
    </row>
    <row r="473" ht="15.75" customHeight="1">
      <c r="M473" s="389" t="str">
        <f>IF('Bản đồ công việc'!X489="","",'Bản đồ công việc'!W489)</f>
        <v/>
      </c>
      <c r="N473" s="389" t="str">
        <f>IF('Bản đồ công việc'!X489="","",'Bản đồ công việc'!X489)</f>
        <v/>
      </c>
      <c r="O473" s="389" t="str">
        <f>IF('Bản đồ công việc'!X489="","",'Bản đồ công việc'!Y489)</f>
        <v/>
      </c>
      <c r="P473" s="389" t="str">
        <f>IF('Bản đồ công việc'!X489="","",'Bản đồ công việc'!V489)</f>
        <v/>
      </c>
      <c r="Q473" s="389" t="str">
        <f>IF('Bản đồ công việc'!X489="","",'Bản đồ công việc'!AC489)</f>
        <v/>
      </c>
      <c r="R473" s="389" t="str">
        <f>IF('Bản đồ công việc'!X489="","",'Bản đồ công việc'!AD489)</f>
        <v/>
      </c>
      <c r="S473" s="389" t="str">
        <f>IF('Bản đồ công việc'!X489="","",'Bản đồ công việc'!Z489)</f>
        <v/>
      </c>
      <c r="T473" s="389" t="str">
        <f>IF('Bản đồ công việc'!X489="","",'Bản đồ công việc'!AA489)</f>
        <v/>
      </c>
      <c r="U473" s="389" t="str">
        <f>IF('Bản đồ công việc'!X489="","",'Bản đồ công việc'!AE489)</f>
        <v/>
      </c>
      <c r="V473" s="389" t="str">
        <f>IF('Bản đồ công việc'!X489="","",'Bản đồ công việc'!AI489)</f>
        <v/>
      </c>
      <c r="W473" s="389">
        <f t="shared" si="2"/>
        <v>0</v>
      </c>
      <c r="X473" s="389" t="str">
        <f t="shared" si="3"/>
        <v/>
      </c>
      <c r="Y473" s="389" t="str">
        <f t="shared" ref="Y473:Z473" si="469">IFERROR(INDEX($O$8:$O$684,MATCH(X473,$N$8:$N$684,0)),"")</f>
        <v/>
      </c>
      <c r="Z473" s="389" t="str">
        <f t="shared" si="469"/>
        <v/>
      </c>
      <c r="AA473" s="389">
        <f t="shared" si="5"/>
        <v>0</v>
      </c>
    </row>
    <row r="474" ht="15.75" customHeight="1">
      <c r="M474" s="389" t="str">
        <f>IF('Bản đồ công việc'!X490="","",'Bản đồ công việc'!W490)</f>
        <v/>
      </c>
      <c r="N474" s="389" t="str">
        <f>IF('Bản đồ công việc'!X490="","",'Bản đồ công việc'!X490)</f>
        <v/>
      </c>
      <c r="O474" s="389" t="str">
        <f>IF('Bản đồ công việc'!X490="","",'Bản đồ công việc'!Y490)</f>
        <v/>
      </c>
      <c r="P474" s="389" t="str">
        <f>IF('Bản đồ công việc'!X490="","",'Bản đồ công việc'!V490)</f>
        <v/>
      </c>
      <c r="Q474" s="389" t="str">
        <f>IF('Bản đồ công việc'!X490="","",'Bản đồ công việc'!AC490)</f>
        <v/>
      </c>
      <c r="R474" s="389" t="str">
        <f>IF('Bản đồ công việc'!X490="","",'Bản đồ công việc'!AD490)</f>
        <v/>
      </c>
      <c r="S474" s="389" t="str">
        <f>IF('Bản đồ công việc'!X490="","",'Bản đồ công việc'!Z490)</f>
        <v/>
      </c>
      <c r="T474" s="389" t="str">
        <f>IF('Bản đồ công việc'!X490="","",'Bản đồ công việc'!AA490)</f>
        <v/>
      </c>
      <c r="U474" s="389" t="str">
        <f>IF('Bản đồ công việc'!X490="","",'Bản đồ công việc'!AE490)</f>
        <v/>
      </c>
      <c r="V474" s="389" t="str">
        <f>IF('Bản đồ công việc'!X490="","",'Bản đồ công việc'!AI490)</f>
        <v/>
      </c>
      <c r="W474" s="389">
        <f t="shared" si="2"/>
        <v>0</v>
      </c>
      <c r="X474" s="389" t="str">
        <f t="shared" si="3"/>
        <v/>
      </c>
      <c r="Y474" s="389" t="str">
        <f t="shared" ref="Y474:Z474" si="470">IFERROR(INDEX($O$8:$O$684,MATCH(X474,$N$8:$N$684,0)),"")</f>
        <v/>
      </c>
      <c r="Z474" s="389" t="str">
        <f t="shared" si="470"/>
        <v/>
      </c>
      <c r="AA474" s="389">
        <f t="shared" si="5"/>
        <v>0</v>
      </c>
    </row>
    <row r="475" ht="15.75" customHeight="1">
      <c r="M475" s="389" t="str">
        <f>IF('Bản đồ công việc'!X491="","",'Bản đồ công việc'!W491)</f>
        <v/>
      </c>
      <c r="N475" s="389" t="str">
        <f>IF('Bản đồ công việc'!X491="","",'Bản đồ công việc'!X491)</f>
        <v/>
      </c>
      <c r="O475" s="389" t="str">
        <f>IF('Bản đồ công việc'!X491="","",'Bản đồ công việc'!Y491)</f>
        <v/>
      </c>
      <c r="P475" s="389" t="str">
        <f>IF('Bản đồ công việc'!X491="","",'Bản đồ công việc'!V491)</f>
        <v/>
      </c>
      <c r="Q475" s="389" t="str">
        <f>IF('Bản đồ công việc'!X491="","",'Bản đồ công việc'!AC491)</f>
        <v/>
      </c>
      <c r="R475" s="389" t="str">
        <f>IF('Bản đồ công việc'!X491="","",'Bản đồ công việc'!AD491)</f>
        <v/>
      </c>
      <c r="S475" s="389" t="str">
        <f>IF('Bản đồ công việc'!X491="","",'Bản đồ công việc'!Z491)</f>
        <v/>
      </c>
      <c r="T475" s="389" t="str">
        <f>IF('Bản đồ công việc'!X491="","",'Bản đồ công việc'!AA491)</f>
        <v/>
      </c>
      <c r="U475" s="389" t="str">
        <f>IF('Bản đồ công việc'!X491="","",'Bản đồ công việc'!AE491)</f>
        <v/>
      </c>
      <c r="V475" s="389" t="str">
        <f>IF('Bản đồ công việc'!X491="","",'Bản đồ công việc'!AI491)</f>
        <v/>
      </c>
      <c r="W475" s="389">
        <f t="shared" si="2"/>
        <v>0</v>
      </c>
      <c r="X475" s="389" t="str">
        <f t="shared" si="3"/>
        <v/>
      </c>
      <c r="Y475" s="389" t="str">
        <f t="shared" ref="Y475:Z475" si="471">IFERROR(INDEX($O$8:$O$684,MATCH(X475,$N$8:$N$684,0)),"")</f>
        <v/>
      </c>
      <c r="Z475" s="389" t="str">
        <f t="shared" si="471"/>
        <v/>
      </c>
      <c r="AA475" s="389">
        <f t="shared" si="5"/>
        <v>0</v>
      </c>
    </row>
    <row r="476" ht="15.75" customHeight="1">
      <c r="M476" s="389" t="str">
        <f>IF('Bản đồ công việc'!X492="","",'Bản đồ công việc'!W492)</f>
        <v/>
      </c>
      <c r="N476" s="389" t="str">
        <f>IF('Bản đồ công việc'!X492="","",'Bản đồ công việc'!X492)</f>
        <v/>
      </c>
      <c r="O476" s="389" t="str">
        <f>IF('Bản đồ công việc'!X492="","",'Bản đồ công việc'!Y492)</f>
        <v/>
      </c>
      <c r="P476" s="389" t="str">
        <f>IF('Bản đồ công việc'!X492="","",'Bản đồ công việc'!V492)</f>
        <v/>
      </c>
      <c r="Q476" s="389" t="str">
        <f>IF('Bản đồ công việc'!X492="","",'Bản đồ công việc'!AC492)</f>
        <v/>
      </c>
      <c r="R476" s="389" t="str">
        <f>IF('Bản đồ công việc'!X492="","",'Bản đồ công việc'!AD492)</f>
        <v/>
      </c>
      <c r="S476" s="389" t="str">
        <f>IF('Bản đồ công việc'!X492="","",'Bản đồ công việc'!Z492)</f>
        <v/>
      </c>
      <c r="T476" s="389" t="str">
        <f>IF('Bản đồ công việc'!X492="","",'Bản đồ công việc'!AA492)</f>
        <v/>
      </c>
      <c r="U476" s="389" t="str">
        <f>IF('Bản đồ công việc'!X492="","",'Bản đồ công việc'!AE492)</f>
        <v/>
      </c>
      <c r="V476" s="389" t="str">
        <f>IF('Bản đồ công việc'!X492="","",'Bản đồ công việc'!AI492)</f>
        <v/>
      </c>
      <c r="W476" s="389">
        <f t="shared" si="2"/>
        <v>0</v>
      </c>
      <c r="X476" s="389" t="str">
        <f t="shared" si="3"/>
        <v/>
      </c>
      <c r="Y476" s="389" t="str">
        <f t="shared" ref="Y476:Z476" si="472">IFERROR(INDEX($O$8:$O$684,MATCH(X476,$N$8:$N$684,0)),"")</f>
        <v/>
      </c>
      <c r="Z476" s="389" t="str">
        <f t="shared" si="472"/>
        <v/>
      </c>
      <c r="AA476" s="389">
        <f t="shared" si="5"/>
        <v>0</v>
      </c>
    </row>
    <row r="477" ht="15.75" customHeight="1">
      <c r="M477" s="389" t="str">
        <f>IF('Bản đồ công việc'!X493="","",'Bản đồ công việc'!W493)</f>
        <v/>
      </c>
      <c r="N477" s="389" t="str">
        <f>IF('Bản đồ công việc'!X493="","",'Bản đồ công việc'!X493)</f>
        <v/>
      </c>
      <c r="O477" s="389" t="str">
        <f>IF('Bản đồ công việc'!X493="","",'Bản đồ công việc'!Y493)</f>
        <v/>
      </c>
      <c r="P477" s="389" t="str">
        <f>IF('Bản đồ công việc'!X493="","",'Bản đồ công việc'!V493)</f>
        <v/>
      </c>
      <c r="Q477" s="389" t="str">
        <f>IF('Bản đồ công việc'!X493="","",'Bản đồ công việc'!AC493)</f>
        <v/>
      </c>
      <c r="R477" s="389" t="str">
        <f>IF('Bản đồ công việc'!X493="","",'Bản đồ công việc'!AD493)</f>
        <v/>
      </c>
      <c r="S477" s="389" t="str">
        <f>IF('Bản đồ công việc'!X493="","",'Bản đồ công việc'!Z493)</f>
        <v/>
      </c>
      <c r="T477" s="389" t="str">
        <f>IF('Bản đồ công việc'!X493="","",'Bản đồ công việc'!AA493)</f>
        <v/>
      </c>
      <c r="U477" s="389" t="str">
        <f>IF('Bản đồ công việc'!X493="","",'Bản đồ công việc'!AE493)</f>
        <v/>
      </c>
      <c r="V477" s="389" t="str">
        <f>IF('Bản đồ công việc'!X493="","",'Bản đồ công việc'!AI493)</f>
        <v/>
      </c>
      <c r="W477" s="389">
        <f t="shared" si="2"/>
        <v>0</v>
      </c>
      <c r="X477" s="389" t="str">
        <f t="shared" si="3"/>
        <v/>
      </c>
      <c r="Y477" s="389" t="str">
        <f t="shared" ref="Y477:Z477" si="473">IFERROR(INDEX($O$8:$O$684,MATCH(X477,$N$8:$N$684,0)),"")</f>
        <v/>
      </c>
      <c r="Z477" s="389" t="str">
        <f t="shared" si="473"/>
        <v/>
      </c>
      <c r="AA477" s="389">
        <f t="shared" si="5"/>
        <v>0</v>
      </c>
    </row>
    <row r="478" ht="15.75" customHeight="1">
      <c r="M478" s="389" t="str">
        <f>IF('Bản đồ công việc'!X494="","",'Bản đồ công việc'!W494)</f>
        <v/>
      </c>
      <c r="N478" s="389" t="str">
        <f>IF('Bản đồ công việc'!X494="","",'Bản đồ công việc'!X494)</f>
        <v/>
      </c>
      <c r="O478" s="389" t="str">
        <f>IF('Bản đồ công việc'!X494="","",'Bản đồ công việc'!Y494)</f>
        <v/>
      </c>
      <c r="P478" s="389" t="str">
        <f>IF('Bản đồ công việc'!X494="","",'Bản đồ công việc'!V494)</f>
        <v/>
      </c>
      <c r="Q478" s="389" t="str">
        <f>IF('Bản đồ công việc'!X494="","",'Bản đồ công việc'!AC494)</f>
        <v/>
      </c>
      <c r="R478" s="389" t="str">
        <f>IF('Bản đồ công việc'!X494="","",'Bản đồ công việc'!AD494)</f>
        <v/>
      </c>
      <c r="S478" s="389" t="str">
        <f>IF('Bản đồ công việc'!X494="","",'Bản đồ công việc'!Z494)</f>
        <v/>
      </c>
      <c r="T478" s="389" t="str">
        <f>IF('Bản đồ công việc'!X494="","",'Bản đồ công việc'!AA494)</f>
        <v/>
      </c>
      <c r="U478" s="389" t="str">
        <f>IF('Bản đồ công việc'!X494="","",'Bản đồ công việc'!AE494)</f>
        <v/>
      </c>
      <c r="V478" s="389" t="str">
        <f>IF('Bản đồ công việc'!X494="","",'Bản đồ công việc'!AI494)</f>
        <v/>
      </c>
      <c r="W478" s="389">
        <f t="shared" si="2"/>
        <v>0</v>
      </c>
      <c r="X478" s="389" t="str">
        <f t="shared" si="3"/>
        <v/>
      </c>
      <c r="Y478" s="389" t="str">
        <f t="shared" ref="Y478:Z478" si="474">IFERROR(INDEX($O$8:$O$684,MATCH(X478,$N$8:$N$684,0)),"")</f>
        <v/>
      </c>
      <c r="Z478" s="389" t="str">
        <f t="shared" si="474"/>
        <v/>
      </c>
      <c r="AA478" s="389">
        <f t="shared" si="5"/>
        <v>0</v>
      </c>
    </row>
    <row r="479" ht="15.75" customHeight="1">
      <c r="M479" s="389" t="str">
        <f>IF('Bản đồ công việc'!X495="","",'Bản đồ công việc'!W495)</f>
        <v/>
      </c>
      <c r="N479" s="389" t="str">
        <f>IF('Bản đồ công việc'!X495="","",'Bản đồ công việc'!X495)</f>
        <v/>
      </c>
      <c r="O479" s="389" t="str">
        <f>IF('Bản đồ công việc'!X495="","",'Bản đồ công việc'!Y495)</f>
        <v/>
      </c>
      <c r="P479" s="389" t="str">
        <f>IF('Bản đồ công việc'!X495="","",'Bản đồ công việc'!V495)</f>
        <v/>
      </c>
      <c r="Q479" s="389" t="str">
        <f>IF('Bản đồ công việc'!X495="","",'Bản đồ công việc'!AC495)</f>
        <v/>
      </c>
      <c r="R479" s="389" t="str">
        <f>IF('Bản đồ công việc'!X495="","",'Bản đồ công việc'!AD495)</f>
        <v/>
      </c>
      <c r="S479" s="389" t="str">
        <f>IF('Bản đồ công việc'!X495="","",'Bản đồ công việc'!Z495)</f>
        <v/>
      </c>
      <c r="T479" s="389" t="str">
        <f>IF('Bản đồ công việc'!X495="","",'Bản đồ công việc'!AA495)</f>
        <v/>
      </c>
      <c r="U479" s="389" t="str">
        <f>IF('Bản đồ công việc'!X495="","",'Bản đồ công việc'!AE495)</f>
        <v/>
      </c>
      <c r="V479" s="389" t="str">
        <f>IF('Bản đồ công việc'!X495="","",'Bản đồ công việc'!AI495)</f>
        <v/>
      </c>
      <c r="W479" s="389">
        <f t="shared" si="2"/>
        <v>0</v>
      </c>
      <c r="X479" s="389" t="str">
        <f t="shared" si="3"/>
        <v/>
      </c>
      <c r="Y479" s="389" t="str">
        <f t="shared" ref="Y479:Z479" si="475">IFERROR(INDEX($O$8:$O$684,MATCH(X479,$N$8:$N$684,0)),"")</f>
        <v/>
      </c>
      <c r="Z479" s="389" t="str">
        <f t="shared" si="475"/>
        <v/>
      </c>
      <c r="AA479" s="389">
        <f t="shared" si="5"/>
        <v>0</v>
      </c>
    </row>
    <row r="480" ht="15.75" customHeight="1">
      <c r="M480" s="389" t="str">
        <f>IF('Bản đồ công việc'!X496="","",'Bản đồ công việc'!W496)</f>
        <v/>
      </c>
      <c r="N480" s="389" t="str">
        <f>IF('Bản đồ công việc'!X496="","",'Bản đồ công việc'!X496)</f>
        <v/>
      </c>
      <c r="O480" s="389" t="str">
        <f>IF('Bản đồ công việc'!X496="","",'Bản đồ công việc'!Y496)</f>
        <v/>
      </c>
      <c r="P480" s="389" t="str">
        <f>IF('Bản đồ công việc'!X496="","",'Bản đồ công việc'!V496)</f>
        <v/>
      </c>
      <c r="Q480" s="389" t="str">
        <f>IF('Bản đồ công việc'!X496="","",'Bản đồ công việc'!AC496)</f>
        <v/>
      </c>
      <c r="R480" s="389" t="str">
        <f>IF('Bản đồ công việc'!X496="","",'Bản đồ công việc'!AD496)</f>
        <v/>
      </c>
      <c r="S480" s="389" t="str">
        <f>IF('Bản đồ công việc'!X496="","",'Bản đồ công việc'!Z496)</f>
        <v/>
      </c>
      <c r="T480" s="389" t="str">
        <f>IF('Bản đồ công việc'!X496="","",'Bản đồ công việc'!AA496)</f>
        <v/>
      </c>
      <c r="U480" s="389" t="str">
        <f>IF('Bản đồ công việc'!X496="","",'Bản đồ công việc'!AE496)</f>
        <v/>
      </c>
      <c r="V480" s="389" t="str">
        <f>IF('Bản đồ công việc'!X496="","",'Bản đồ công việc'!AI496)</f>
        <v/>
      </c>
      <c r="W480" s="389">
        <f t="shared" si="2"/>
        <v>0</v>
      </c>
      <c r="X480" s="389" t="str">
        <f t="shared" si="3"/>
        <v/>
      </c>
      <c r="Y480" s="389" t="str">
        <f t="shared" ref="Y480:Z480" si="476">IFERROR(INDEX($O$8:$O$684,MATCH(X480,$N$8:$N$684,0)),"")</f>
        <v/>
      </c>
      <c r="Z480" s="389" t="str">
        <f t="shared" si="476"/>
        <v/>
      </c>
      <c r="AA480" s="389">
        <f t="shared" si="5"/>
        <v>0</v>
      </c>
    </row>
    <row r="481" ht="15.75" customHeight="1">
      <c r="M481" s="389" t="str">
        <f>IF('Bản đồ công việc'!X497="","",'Bản đồ công việc'!W497)</f>
        <v/>
      </c>
      <c r="N481" s="389" t="str">
        <f>IF('Bản đồ công việc'!X497="","",'Bản đồ công việc'!X497)</f>
        <v/>
      </c>
      <c r="O481" s="389" t="str">
        <f>IF('Bản đồ công việc'!X497="","",'Bản đồ công việc'!Y497)</f>
        <v/>
      </c>
      <c r="P481" s="389" t="str">
        <f>IF('Bản đồ công việc'!X497="","",'Bản đồ công việc'!V497)</f>
        <v/>
      </c>
      <c r="Q481" s="389" t="str">
        <f>IF('Bản đồ công việc'!X497="","",'Bản đồ công việc'!AC497)</f>
        <v/>
      </c>
      <c r="R481" s="389" t="str">
        <f>IF('Bản đồ công việc'!X497="","",'Bản đồ công việc'!AD497)</f>
        <v/>
      </c>
      <c r="S481" s="389" t="str">
        <f>IF('Bản đồ công việc'!X497="","",'Bản đồ công việc'!Z497)</f>
        <v/>
      </c>
      <c r="T481" s="389" t="str">
        <f>IF('Bản đồ công việc'!X497="","",'Bản đồ công việc'!AA497)</f>
        <v/>
      </c>
      <c r="U481" s="389" t="str">
        <f>IF('Bản đồ công việc'!X497="","",'Bản đồ công việc'!AE497)</f>
        <v/>
      </c>
      <c r="V481" s="389" t="str">
        <f>IF('Bản đồ công việc'!X497="","",'Bản đồ công việc'!AI497)</f>
        <v/>
      </c>
      <c r="W481" s="389">
        <f t="shared" si="2"/>
        <v>0</v>
      </c>
      <c r="X481" s="389" t="str">
        <f t="shared" si="3"/>
        <v/>
      </c>
      <c r="Y481" s="389" t="str">
        <f t="shared" ref="Y481:Z481" si="477">IFERROR(INDEX($O$8:$O$684,MATCH(X481,$N$8:$N$684,0)),"")</f>
        <v/>
      </c>
      <c r="Z481" s="389" t="str">
        <f t="shared" si="477"/>
        <v/>
      </c>
      <c r="AA481" s="389">
        <f t="shared" si="5"/>
        <v>0</v>
      </c>
    </row>
    <row r="482" ht="15.75" customHeight="1">
      <c r="M482" s="389" t="str">
        <f>IF('Bản đồ công việc'!X498="","",'Bản đồ công việc'!W498)</f>
        <v/>
      </c>
      <c r="N482" s="389" t="str">
        <f>IF('Bản đồ công việc'!X498="","",'Bản đồ công việc'!X498)</f>
        <v/>
      </c>
      <c r="O482" s="389" t="str">
        <f>IF('Bản đồ công việc'!X498="","",'Bản đồ công việc'!Y498)</f>
        <v/>
      </c>
      <c r="P482" s="389" t="str">
        <f>IF('Bản đồ công việc'!X498="","",'Bản đồ công việc'!V498)</f>
        <v/>
      </c>
      <c r="Q482" s="389" t="str">
        <f>IF('Bản đồ công việc'!X498="","",'Bản đồ công việc'!AC498)</f>
        <v/>
      </c>
      <c r="R482" s="389" t="str">
        <f>IF('Bản đồ công việc'!X498="","",'Bản đồ công việc'!AD498)</f>
        <v/>
      </c>
      <c r="S482" s="389" t="str">
        <f>IF('Bản đồ công việc'!X498="","",'Bản đồ công việc'!Z498)</f>
        <v/>
      </c>
      <c r="T482" s="389" t="str">
        <f>IF('Bản đồ công việc'!X498="","",'Bản đồ công việc'!AA498)</f>
        <v/>
      </c>
      <c r="U482" s="389" t="str">
        <f>IF('Bản đồ công việc'!X498="","",'Bản đồ công việc'!AE498)</f>
        <v/>
      </c>
      <c r="V482" s="389" t="str">
        <f>IF('Bản đồ công việc'!X498="","",'Bản đồ công việc'!AI498)</f>
        <v/>
      </c>
      <c r="W482" s="389">
        <f t="shared" si="2"/>
        <v>0</v>
      </c>
      <c r="X482" s="389" t="str">
        <f t="shared" si="3"/>
        <v/>
      </c>
      <c r="Y482" s="389" t="str">
        <f t="shared" ref="Y482:Z482" si="478">IFERROR(INDEX($O$8:$O$684,MATCH(X482,$N$8:$N$684,0)),"")</f>
        <v/>
      </c>
      <c r="Z482" s="389" t="str">
        <f t="shared" si="478"/>
        <v/>
      </c>
      <c r="AA482" s="389">
        <f t="shared" si="5"/>
        <v>0</v>
      </c>
    </row>
    <row r="483" ht="15.75" customHeight="1">
      <c r="M483" s="389" t="str">
        <f>IF('Bản đồ công việc'!X499="","",'Bản đồ công việc'!W499)</f>
        <v/>
      </c>
      <c r="N483" s="389" t="str">
        <f>IF('Bản đồ công việc'!X499="","",'Bản đồ công việc'!X499)</f>
        <v/>
      </c>
      <c r="O483" s="389" t="str">
        <f>IF('Bản đồ công việc'!X499="","",'Bản đồ công việc'!Y499)</f>
        <v/>
      </c>
      <c r="P483" s="389" t="str">
        <f>IF('Bản đồ công việc'!X499="","",'Bản đồ công việc'!V499)</f>
        <v/>
      </c>
      <c r="Q483" s="389" t="str">
        <f>IF('Bản đồ công việc'!X499="","",'Bản đồ công việc'!AC499)</f>
        <v/>
      </c>
      <c r="R483" s="389" t="str">
        <f>IF('Bản đồ công việc'!X499="","",'Bản đồ công việc'!AD499)</f>
        <v/>
      </c>
      <c r="S483" s="389" t="str">
        <f>IF('Bản đồ công việc'!X499="","",'Bản đồ công việc'!Z499)</f>
        <v/>
      </c>
      <c r="T483" s="389" t="str">
        <f>IF('Bản đồ công việc'!X499="","",'Bản đồ công việc'!AA499)</f>
        <v/>
      </c>
      <c r="U483" s="389" t="str">
        <f>IF('Bản đồ công việc'!X499="","",'Bản đồ công việc'!AE499)</f>
        <v/>
      </c>
      <c r="V483" s="389" t="str">
        <f>IF('Bản đồ công việc'!X499="","",'Bản đồ công việc'!AI499)</f>
        <v/>
      </c>
      <c r="W483" s="389">
        <f t="shared" si="2"/>
        <v>0</v>
      </c>
      <c r="X483" s="389" t="str">
        <f t="shared" si="3"/>
        <v/>
      </c>
      <c r="Y483" s="389" t="str">
        <f t="shared" ref="Y483:Z483" si="479">IFERROR(INDEX($O$8:$O$684,MATCH(X483,$N$8:$N$684,0)),"")</f>
        <v/>
      </c>
      <c r="Z483" s="389" t="str">
        <f t="shared" si="479"/>
        <v/>
      </c>
      <c r="AA483" s="389">
        <f t="shared" si="5"/>
        <v>0</v>
      </c>
    </row>
    <row r="484" ht="15.75" customHeight="1">
      <c r="M484" s="389" t="str">
        <f>IF('Bản đồ công việc'!X500="","",'Bản đồ công việc'!W500)</f>
        <v/>
      </c>
      <c r="N484" s="389" t="str">
        <f>IF('Bản đồ công việc'!X500="","",'Bản đồ công việc'!X500)</f>
        <v/>
      </c>
      <c r="O484" s="389" t="str">
        <f>IF('Bản đồ công việc'!X500="","",'Bản đồ công việc'!Y500)</f>
        <v/>
      </c>
      <c r="P484" s="389" t="str">
        <f>IF('Bản đồ công việc'!X500="","",'Bản đồ công việc'!V500)</f>
        <v/>
      </c>
      <c r="Q484" s="389" t="str">
        <f>IF('Bản đồ công việc'!X500="","",'Bản đồ công việc'!AC500)</f>
        <v/>
      </c>
      <c r="R484" s="389" t="str">
        <f>IF('Bản đồ công việc'!X500="","",'Bản đồ công việc'!AD500)</f>
        <v/>
      </c>
      <c r="S484" s="389" t="str">
        <f>IF('Bản đồ công việc'!X500="","",'Bản đồ công việc'!Z500)</f>
        <v/>
      </c>
      <c r="T484" s="389" t="str">
        <f>IF('Bản đồ công việc'!X500="","",'Bản đồ công việc'!AA500)</f>
        <v/>
      </c>
      <c r="U484" s="389" t="str">
        <f>IF('Bản đồ công việc'!X500="","",'Bản đồ công việc'!AE500)</f>
        <v/>
      </c>
      <c r="V484" s="389" t="str">
        <f>IF('Bản đồ công việc'!X500="","",'Bản đồ công việc'!AI500)</f>
        <v/>
      </c>
      <c r="W484" s="389">
        <f t="shared" si="2"/>
        <v>0</v>
      </c>
      <c r="X484" s="389" t="str">
        <f t="shared" si="3"/>
        <v/>
      </c>
      <c r="Y484" s="389" t="str">
        <f t="shared" ref="Y484:Z484" si="480">IFERROR(INDEX($O$8:$O$684,MATCH(X484,$N$8:$N$684,0)),"")</f>
        <v/>
      </c>
      <c r="Z484" s="389" t="str">
        <f t="shared" si="480"/>
        <v/>
      </c>
      <c r="AA484" s="389">
        <f t="shared" si="5"/>
        <v>0</v>
      </c>
    </row>
    <row r="485" ht="15.75" customHeight="1">
      <c r="M485" s="389" t="str">
        <f>IF('Bản đồ công việc'!X501="","",'Bản đồ công việc'!W501)</f>
        <v/>
      </c>
      <c r="N485" s="389" t="str">
        <f>IF('Bản đồ công việc'!X501="","",'Bản đồ công việc'!X501)</f>
        <v/>
      </c>
      <c r="O485" s="389" t="str">
        <f>IF('Bản đồ công việc'!X501="","",'Bản đồ công việc'!Y501)</f>
        <v/>
      </c>
      <c r="P485" s="389" t="str">
        <f>IF('Bản đồ công việc'!X501="","",'Bản đồ công việc'!V501)</f>
        <v/>
      </c>
      <c r="Q485" s="389" t="str">
        <f>IF('Bản đồ công việc'!X501="","",'Bản đồ công việc'!AC501)</f>
        <v/>
      </c>
      <c r="R485" s="389" t="str">
        <f>IF('Bản đồ công việc'!X501="","",'Bản đồ công việc'!AD501)</f>
        <v/>
      </c>
      <c r="S485" s="389" t="str">
        <f>IF('Bản đồ công việc'!X501="","",'Bản đồ công việc'!Z501)</f>
        <v/>
      </c>
      <c r="T485" s="389" t="str">
        <f>IF('Bản đồ công việc'!X501="","",'Bản đồ công việc'!AA501)</f>
        <v/>
      </c>
      <c r="U485" s="389" t="str">
        <f>IF('Bản đồ công việc'!X501="","",'Bản đồ công việc'!AE501)</f>
        <v/>
      </c>
      <c r="V485" s="389" t="str">
        <f>IF('Bản đồ công việc'!X501="","",'Bản đồ công việc'!AI501)</f>
        <v/>
      </c>
      <c r="W485" s="389">
        <f t="shared" si="2"/>
        <v>0</v>
      </c>
      <c r="X485" s="389" t="str">
        <f t="shared" si="3"/>
        <v/>
      </c>
      <c r="Y485" s="389" t="str">
        <f t="shared" ref="Y485:Z485" si="481">IFERROR(INDEX($O$8:$O$684,MATCH(X485,$N$8:$N$684,0)),"")</f>
        <v/>
      </c>
      <c r="Z485" s="389" t="str">
        <f t="shared" si="481"/>
        <v/>
      </c>
      <c r="AA485" s="389">
        <f t="shared" si="5"/>
        <v>0</v>
      </c>
    </row>
    <row r="486" ht="15.75" customHeight="1">
      <c r="M486" s="389" t="str">
        <f>IF('Bản đồ công việc'!X502="","",'Bản đồ công việc'!W502)</f>
        <v/>
      </c>
      <c r="N486" s="389" t="str">
        <f>IF('Bản đồ công việc'!X502="","",'Bản đồ công việc'!X502)</f>
        <v/>
      </c>
      <c r="O486" s="389" t="str">
        <f>IF('Bản đồ công việc'!X502="","",'Bản đồ công việc'!Y502)</f>
        <v/>
      </c>
      <c r="P486" s="389" t="str">
        <f>IF('Bản đồ công việc'!X502="","",'Bản đồ công việc'!V502)</f>
        <v/>
      </c>
      <c r="Q486" s="389" t="str">
        <f>IF('Bản đồ công việc'!X502="","",'Bản đồ công việc'!AC502)</f>
        <v/>
      </c>
      <c r="R486" s="389" t="str">
        <f>IF('Bản đồ công việc'!X502="","",'Bản đồ công việc'!AD502)</f>
        <v/>
      </c>
      <c r="S486" s="389" t="str">
        <f>IF('Bản đồ công việc'!X502="","",'Bản đồ công việc'!Z502)</f>
        <v/>
      </c>
      <c r="T486" s="389" t="str">
        <f>IF('Bản đồ công việc'!X502="","",'Bản đồ công việc'!AA502)</f>
        <v/>
      </c>
      <c r="U486" s="389" t="str">
        <f>IF('Bản đồ công việc'!X502="","",'Bản đồ công việc'!AE502)</f>
        <v/>
      </c>
      <c r="V486" s="389" t="str">
        <f>IF('Bản đồ công việc'!X502="","",'Bản đồ công việc'!AI502)</f>
        <v/>
      </c>
      <c r="W486" s="389">
        <f t="shared" si="2"/>
        <v>0</v>
      </c>
      <c r="X486" s="389" t="str">
        <f t="shared" si="3"/>
        <v/>
      </c>
      <c r="Y486" s="389" t="str">
        <f t="shared" ref="Y486:Z486" si="482">IFERROR(INDEX($O$8:$O$684,MATCH(X486,$N$8:$N$684,0)),"")</f>
        <v/>
      </c>
      <c r="Z486" s="389" t="str">
        <f t="shared" si="482"/>
        <v/>
      </c>
      <c r="AA486" s="389">
        <f t="shared" si="5"/>
        <v>0</v>
      </c>
    </row>
    <row r="487" ht="15.75" customHeight="1">
      <c r="M487" s="389" t="str">
        <f>IF('Bản đồ công việc'!X503="","",'Bản đồ công việc'!W503)</f>
        <v/>
      </c>
      <c r="N487" s="389" t="str">
        <f>IF('Bản đồ công việc'!X503="","",'Bản đồ công việc'!X503)</f>
        <v/>
      </c>
      <c r="O487" s="389" t="str">
        <f>IF('Bản đồ công việc'!X503="","",'Bản đồ công việc'!Y503)</f>
        <v/>
      </c>
      <c r="P487" s="389" t="str">
        <f>IF('Bản đồ công việc'!X503="","",'Bản đồ công việc'!V503)</f>
        <v/>
      </c>
      <c r="Q487" s="389" t="str">
        <f>IF('Bản đồ công việc'!X503="","",'Bản đồ công việc'!AC503)</f>
        <v/>
      </c>
      <c r="R487" s="389" t="str">
        <f>IF('Bản đồ công việc'!X503="","",'Bản đồ công việc'!AD503)</f>
        <v/>
      </c>
      <c r="S487" s="389" t="str">
        <f>IF('Bản đồ công việc'!X503="","",'Bản đồ công việc'!Z503)</f>
        <v/>
      </c>
      <c r="T487" s="389" t="str">
        <f>IF('Bản đồ công việc'!X503="","",'Bản đồ công việc'!AA503)</f>
        <v/>
      </c>
      <c r="U487" s="389" t="str">
        <f>IF('Bản đồ công việc'!X503="","",'Bản đồ công việc'!AE503)</f>
        <v/>
      </c>
      <c r="V487" s="389" t="str">
        <f>IF('Bản đồ công việc'!X503="","",'Bản đồ công việc'!AI503)</f>
        <v/>
      </c>
      <c r="W487" s="389">
        <f t="shared" si="2"/>
        <v>0</v>
      </c>
      <c r="X487" s="389" t="str">
        <f t="shared" si="3"/>
        <v/>
      </c>
      <c r="Y487" s="389" t="str">
        <f t="shared" ref="Y487:Z487" si="483">IFERROR(INDEX($O$8:$O$684,MATCH(X487,$N$8:$N$684,0)),"")</f>
        <v/>
      </c>
      <c r="Z487" s="389" t="str">
        <f t="shared" si="483"/>
        <v/>
      </c>
      <c r="AA487" s="389">
        <f t="shared" si="5"/>
        <v>0</v>
      </c>
    </row>
    <row r="488" ht="15.75" customHeight="1">
      <c r="M488" s="389" t="str">
        <f>IF('Bản đồ công việc'!X504="","",'Bản đồ công việc'!W504)</f>
        <v/>
      </c>
      <c r="N488" s="389" t="str">
        <f>IF('Bản đồ công việc'!X504="","",'Bản đồ công việc'!X504)</f>
        <v/>
      </c>
      <c r="O488" s="389" t="str">
        <f>IF('Bản đồ công việc'!X504="","",'Bản đồ công việc'!Y504)</f>
        <v/>
      </c>
      <c r="P488" s="389" t="str">
        <f>IF('Bản đồ công việc'!X504="","",'Bản đồ công việc'!V504)</f>
        <v/>
      </c>
      <c r="Q488" s="389" t="str">
        <f>IF('Bản đồ công việc'!X504="","",'Bản đồ công việc'!AC504)</f>
        <v/>
      </c>
      <c r="R488" s="389" t="str">
        <f>IF('Bản đồ công việc'!X504="","",'Bản đồ công việc'!AD504)</f>
        <v/>
      </c>
      <c r="S488" s="389" t="str">
        <f>IF('Bản đồ công việc'!X504="","",'Bản đồ công việc'!Z504)</f>
        <v/>
      </c>
      <c r="T488" s="389" t="str">
        <f>IF('Bản đồ công việc'!X504="","",'Bản đồ công việc'!AA504)</f>
        <v/>
      </c>
      <c r="U488" s="389" t="str">
        <f>IF('Bản đồ công việc'!X504="","",'Bản đồ công việc'!AE504)</f>
        <v/>
      </c>
      <c r="V488" s="389" t="str">
        <f>IF('Bản đồ công việc'!X504="","",'Bản đồ công việc'!AI504)</f>
        <v/>
      </c>
      <c r="W488" s="389">
        <f t="shared" si="2"/>
        <v>0</v>
      </c>
      <c r="X488" s="389" t="str">
        <f t="shared" si="3"/>
        <v/>
      </c>
      <c r="Y488" s="389" t="str">
        <f t="shared" ref="Y488:Z488" si="484">IFERROR(INDEX($O$8:$O$684,MATCH(X488,$N$8:$N$684,0)),"")</f>
        <v/>
      </c>
      <c r="Z488" s="389" t="str">
        <f t="shared" si="484"/>
        <v/>
      </c>
      <c r="AA488" s="389">
        <f t="shared" si="5"/>
        <v>0</v>
      </c>
    </row>
    <row r="489" ht="15.75" customHeight="1">
      <c r="M489" s="389" t="str">
        <f>IF('Bản đồ công việc'!X505="","",'Bản đồ công việc'!W505)</f>
        <v/>
      </c>
      <c r="N489" s="389" t="str">
        <f>IF('Bản đồ công việc'!X505="","",'Bản đồ công việc'!X505)</f>
        <v/>
      </c>
      <c r="O489" s="389" t="str">
        <f>IF('Bản đồ công việc'!X505="","",'Bản đồ công việc'!Y505)</f>
        <v/>
      </c>
      <c r="P489" s="389" t="str">
        <f>IF('Bản đồ công việc'!X505="","",'Bản đồ công việc'!V505)</f>
        <v/>
      </c>
      <c r="Q489" s="389" t="str">
        <f>IF('Bản đồ công việc'!X505="","",'Bản đồ công việc'!AC505)</f>
        <v/>
      </c>
      <c r="R489" s="389" t="str">
        <f>IF('Bản đồ công việc'!X505="","",'Bản đồ công việc'!AD505)</f>
        <v/>
      </c>
      <c r="S489" s="389" t="str">
        <f>IF('Bản đồ công việc'!X505="","",'Bản đồ công việc'!Z505)</f>
        <v/>
      </c>
      <c r="T489" s="389" t="str">
        <f>IF('Bản đồ công việc'!X505="","",'Bản đồ công việc'!AA505)</f>
        <v/>
      </c>
      <c r="U489" s="389" t="str">
        <f>IF('Bản đồ công việc'!X505="","",'Bản đồ công việc'!AE505)</f>
        <v/>
      </c>
      <c r="V489" s="389" t="str">
        <f>IF('Bản đồ công việc'!X505="","",'Bản đồ công việc'!AI505)</f>
        <v/>
      </c>
      <c r="W489" s="389">
        <f t="shared" si="2"/>
        <v>0</v>
      </c>
      <c r="X489" s="389" t="str">
        <f t="shared" si="3"/>
        <v/>
      </c>
      <c r="Y489" s="389" t="str">
        <f t="shared" ref="Y489:Z489" si="485">IFERROR(INDEX($O$8:$O$684,MATCH(X489,$N$8:$N$684,0)),"")</f>
        <v/>
      </c>
      <c r="Z489" s="389" t="str">
        <f t="shared" si="485"/>
        <v/>
      </c>
      <c r="AA489" s="389">
        <f t="shared" si="5"/>
        <v>0</v>
      </c>
    </row>
    <row r="490" ht="15.75" customHeight="1">
      <c r="M490" s="389" t="str">
        <f>IF('Bản đồ công việc'!X506="","",'Bản đồ công việc'!W506)</f>
        <v/>
      </c>
      <c r="N490" s="389" t="str">
        <f>IF('Bản đồ công việc'!X506="","",'Bản đồ công việc'!X506)</f>
        <v/>
      </c>
      <c r="O490" s="389" t="str">
        <f>IF('Bản đồ công việc'!X506="","",'Bản đồ công việc'!Y506)</f>
        <v/>
      </c>
      <c r="P490" s="389" t="str">
        <f>IF('Bản đồ công việc'!X506="","",'Bản đồ công việc'!V506)</f>
        <v/>
      </c>
      <c r="Q490" s="389" t="str">
        <f>IF('Bản đồ công việc'!X506="","",'Bản đồ công việc'!AC506)</f>
        <v/>
      </c>
      <c r="R490" s="389" t="str">
        <f>IF('Bản đồ công việc'!X506="","",'Bản đồ công việc'!AD506)</f>
        <v/>
      </c>
      <c r="S490" s="389" t="str">
        <f>IF('Bản đồ công việc'!X506="","",'Bản đồ công việc'!Z506)</f>
        <v/>
      </c>
      <c r="T490" s="389" t="str">
        <f>IF('Bản đồ công việc'!X506="","",'Bản đồ công việc'!AA506)</f>
        <v/>
      </c>
      <c r="U490" s="389" t="str">
        <f>IF('Bản đồ công việc'!X506="","",'Bản đồ công việc'!AE506)</f>
        <v/>
      </c>
      <c r="V490" s="389" t="str">
        <f>IF('Bản đồ công việc'!X506="","",'Bản đồ công việc'!AI506)</f>
        <v/>
      </c>
      <c r="W490" s="389">
        <f t="shared" si="2"/>
        <v>0</v>
      </c>
      <c r="X490" s="389" t="str">
        <f t="shared" si="3"/>
        <v/>
      </c>
      <c r="Y490" s="389" t="str">
        <f t="shared" ref="Y490:Z490" si="486">IFERROR(INDEX($O$8:$O$684,MATCH(X490,$N$8:$N$684,0)),"")</f>
        <v/>
      </c>
      <c r="Z490" s="389" t="str">
        <f t="shared" si="486"/>
        <v/>
      </c>
      <c r="AA490" s="389">
        <f t="shared" si="5"/>
        <v>0</v>
      </c>
    </row>
    <row r="491" ht="15.75" customHeight="1">
      <c r="M491" s="389" t="str">
        <f>IF('Bản đồ công việc'!X507="","",'Bản đồ công việc'!W507)</f>
        <v/>
      </c>
      <c r="N491" s="389" t="str">
        <f>IF('Bản đồ công việc'!X507="","",'Bản đồ công việc'!X507)</f>
        <v/>
      </c>
      <c r="O491" s="389" t="str">
        <f>IF('Bản đồ công việc'!X507="","",'Bản đồ công việc'!Y507)</f>
        <v/>
      </c>
      <c r="P491" s="389" t="str">
        <f>IF('Bản đồ công việc'!X507="","",'Bản đồ công việc'!V507)</f>
        <v/>
      </c>
      <c r="Q491" s="389" t="str">
        <f>IF('Bản đồ công việc'!X507="","",'Bản đồ công việc'!AC507)</f>
        <v/>
      </c>
      <c r="R491" s="389" t="str">
        <f>IF('Bản đồ công việc'!X507="","",'Bản đồ công việc'!AD507)</f>
        <v/>
      </c>
      <c r="S491" s="389" t="str">
        <f>IF('Bản đồ công việc'!X507="","",'Bản đồ công việc'!Z507)</f>
        <v/>
      </c>
      <c r="T491" s="389" t="str">
        <f>IF('Bản đồ công việc'!X507="","",'Bản đồ công việc'!AA507)</f>
        <v/>
      </c>
      <c r="U491" s="389" t="str">
        <f>IF('Bản đồ công việc'!X507="","",'Bản đồ công việc'!AE507)</f>
        <v/>
      </c>
      <c r="V491" s="389" t="str">
        <f>IF('Bản đồ công việc'!X507="","",'Bản đồ công việc'!AI507)</f>
        <v/>
      </c>
      <c r="W491" s="389">
        <f t="shared" si="2"/>
        <v>0</v>
      </c>
      <c r="X491" s="389" t="str">
        <f t="shared" si="3"/>
        <v/>
      </c>
      <c r="Y491" s="389" t="str">
        <f t="shared" ref="Y491:Z491" si="487">IFERROR(INDEX($O$8:$O$684,MATCH(X491,$N$8:$N$684,0)),"")</f>
        <v/>
      </c>
      <c r="Z491" s="389" t="str">
        <f t="shared" si="487"/>
        <v/>
      </c>
      <c r="AA491" s="389">
        <f t="shared" si="5"/>
        <v>0</v>
      </c>
    </row>
    <row r="492" ht="15.75" customHeight="1">
      <c r="M492" s="389" t="str">
        <f>IF('Bản đồ công việc'!X508="","",'Bản đồ công việc'!W508)</f>
        <v/>
      </c>
      <c r="N492" s="389" t="str">
        <f>IF('Bản đồ công việc'!X508="","",'Bản đồ công việc'!X508)</f>
        <v/>
      </c>
      <c r="O492" s="389" t="str">
        <f>IF('Bản đồ công việc'!X508="","",'Bản đồ công việc'!Y508)</f>
        <v/>
      </c>
      <c r="P492" s="389" t="str">
        <f>IF('Bản đồ công việc'!X508="","",'Bản đồ công việc'!V508)</f>
        <v/>
      </c>
      <c r="Q492" s="389" t="str">
        <f>IF('Bản đồ công việc'!X508="","",'Bản đồ công việc'!AC508)</f>
        <v/>
      </c>
      <c r="R492" s="389" t="str">
        <f>IF('Bản đồ công việc'!X508="","",'Bản đồ công việc'!AD508)</f>
        <v/>
      </c>
      <c r="S492" s="389" t="str">
        <f>IF('Bản đồ công việc'!X508="","",'Bản đồ công việc'!Z508)</f>
        <v/>
      </c>
      <c r="T492" s="389" t="str">
        <f>IF('Bản đồ công việc'!X508="","",'Bản đồ công việc'!AA508)</f>
        <v/>
      </c>
      <c r="U492" s="389" t="str">
        <f>IF('Bản đồ công việc'!X508="","",'Bản đồ công việc'!AE508)</f>
        <v/>
      </c>
      <c r="V492" s="389" t="str">
        <f>IF('Bản đồ công việc'!X508="","",'Bản đồ công việc'!AI508)</f>
        <v/>
      </c>
      <c r="W492" s="389">
        <f t="shared" si="2"/>
        <v>0</v>
      </c>
      <c r="X492" s="389" t="str">
        <f t="shared" si="3"/>
        <v/>
      </c>
      <c r="Y492" s="389" t="str">
        <f t="shared" ref="Y492:Z492" si="488">IFERROR(INDEX($O$8:$O$684,MATCH(X492,$N$8:$N$684,0)),"")</f>
        <v/>
      </c>
      <c r="Z492" s="389" t="str">
        <f t="shared" si="488"/>
        <v/>
      </c>
      <c r="AA492" s="389">
        <f t="shared" si="5"/>
        <v>0</v>
      </c>
    </row>
    <row r="493" ht="15.75" customHeight="1">
      <c r="M493" s="389" t="str">
        <f>IF('Bản đồ công việc'!X509="","",'Bản đồ công việc'!W509)</f>
        <v/>
      </c>
      <c r="N493" s="389" t="str">
        <f>IF('Bản đồ công việc'!X509="","",'Bản đồ công việc'!X509)</f>
        <v/>
      </c>
      <c r="O493" s="389" t="str">
        <f>IF('Bản đồ công việc'!X509="","",'Bản đồ công việc'!Y509)</f>
        <v/>
      </c>
      <c r="P493" s="389" t="str">
        <f>IF('Bản đồ công việc'!X509="","",'Bản đồ công việc'!V509)</f>
        <v/>
      </c>
      <c r="Q493" s="389" t="str">
        <f>IF('Bản đồ công việc'!X509="","",'Bản đồ công việc'!AC509)</f>
        <v/>
      </c>
      <c r="R493" s="389" t="str">
        <f>IF('Bản đồ công việc'!X509="","",'Bản đồ công việc'!AD509)</f>
        <v/>
      </c>
      <c r="S493" s="389" t="str">
        <f>IF('Bản đồ công việc'!X509="","",'Bản đồ công việc'!Z509)</f>
        <v/>
      </c>
      <c r="T493" s="389" t="str">
        <f>IF('Bản đồ công việc'!X509="","",'Bản đồ công việc'!AA509)</f>
        <v/>
      </c>
      <c r="U493" s="389" t="str">
        <f>IF('Bản đồ công việc'!X509="","",'Bản đồ công việc'!AE509)</f>
        <v/>
      </c>
      <c r="V493" s="389" t="str">
        <f>IF('Bản đồ công việc'!X509="","",'Bản đồ công việc'!AI509)</f>
        <v/>
      </c>
      <c r="W493" s="389">
        <f t="shared" si="2"/>
        <v>0</v>
      </c>
      <c r="X493" s="389" t="str">
        <f t="shared" si="3"/>
        <v/>
      </c>
      <c r="Y493" s="389" t="str">
        <f t="shared" ref="Y493:Z493" si="489">IFERROR(INDEX($O$8:$O$684,MATCH(X493,$N$8:$N$684,0)),"")</f>
        <v/>
      </c>
      <c r="Z493" s="389" t="str">
        <f t="shared" si="489"/>
        <v/>
      </c>
      <c r="AA493" s="389">
        <f t="shared" si="5"/>
        <v>0</v>
      </c>
    </row>
    <row r="494" ht="15.75" customHeight="1">
      <c r="M494" s="389" t="str">
        <f>IF('Bản đồ công việc'!X510="","",'Bản đồ công việc'!W510)</f>
        <v/>
      </c>
      <c r="N494" s="389" t="str">
        <f>IF('Bản đồ công việc'!X510="","",'Bản đồ công việc'!X510)</f>
        <v/>
      </c>
      <c r="O494" s="389" t="str">
        <f>IF('Bản đồ công việc'!X510="","",'Bản đồ công việc'!Y510)</f>
        <v/>
      </c>
      <c r="P494" s="389" t="str">
        <f>IF('Bản đồ công việc'!X510="","",'Bản đồ công việc'!V510)</f>
        <v/>
      </c>
      <c r="Q494" s="389" t="str">
        <f>IF('Bản đồ công việc'!X510="","",'Bản đồ công việc'!AC510)</f>
        <v/>
      </c>
      <c r="R494" s="389" t="str">
        <f>IF('Bản đồ công việc'!X510="","",'Bản đồ công việc'!AD510)</f>
        <v/>
      </c>
      <c r="S494" s="389" t="str">
        <f>IF('Bản đồ công việc'!X510="","",'Bản đồ công việc'!Z510)</f>
        <v/>
      </c>
      <c r="T494" s="389" t="str">
        <f>IF('Bản đồ công việc'!X510="","",'Bản đồ công việc'!AA510)</f>
        <v/>
      </c>
      <c r="U494" s="389" t="str">
        <f>IF('Bản đồ công việc'!X510="","",'Bản đồ công việc'!AE510)</f>
        <v/>
      </c>
      <c r="V494" s="389" t="str">
        <f>IF('Bản đồ công việc'!X510="","",'Bản đồ công việc'!AI510)</f>
        <v/>
      </c>
      <c r="W494" s="389">
        <f t="shared" si="2"/>
        <v>0</v>
      </c>
      <c r="X494" s="389" t="str">
        <f t="shared" si="3"/>
        <v/>
      </c>
      <c r="Y494" s="389" t="str">
        <f t="shared" ref="Y494:Z494" si="490">IFERROR(INDEX($O$8:$O$684,MATCH(X494,$N$8:$N$684,0)),"")</f>
        <v/>
      </c>
      <c r="Z494" s="389" t="str">
        <f t="shared" si="490"/>
        <v/>
      </c>
      <c r="AA494" s="389">
        <f t="shared" si="5"/>
        <v>0</v>
      </c>
    </row>
    <row r="495" ht="15.75" customHeight="1">
      <c r="M495" s="389" t="str">
        <f>IF('Bản đồ công việc'!X511="","",'Bản đồ công việc'!W511)</f>
        <v/>
      </c>
      <c r="N495" s="389" t="str">
        <f>IF('Bản đồ công việc'!X511="","",'Bản đồ công việc'!X511)</f>
        <v/>
      </c>
      <c r="O495" s="389" t="str">
        <f>IF('Bản đồ công việc'!X511="","",'Bản đồ công việc'!Y511)</f>
        <v/>
      </c>
      <c r="P495" s="389" t="str">
        <f>IF('Bản đồ công việc'!X511="","",'Bản đồ công việc'!V511)</f>
        <v/>
      </c>
      <c r="Q495" s="389" t="str">
        <f>IF('Bản đồ công việc'!X511="","",'Bản đồ công việc'!AC511)</f>
        <v/>
      </c>
      <c r="R495" s="389" t="str">
        <f>IF('Bản đồ công việc'!X511="","",'Bản đồ công việc'!AD511)</f>
        <v/>
      </c>
      <c r="S495" s="389" t="str">
        <f>IF('Bản đồ công việc'!X511="","",'Bản đồ công việc'!Z511)</f>
        <v/>
      </c>
      <c r="T495" s="389" t="str">
        <f>IF('Bản đồ công việc'!X511="","",'Bản đồ công việc'!AA511)</f>
        <v/>
      </c>
      <c r="U495" s="389" t="str">
        <f>IF('Bản đồ công việc'!X511="","",'Bản đồ công việc'!AE511)</f>
        <v/>
      </c>
      <c r="V495" s="389" t="str">
        <f>IF('Bản đồ công việc'!X511="","",'Bản đồ công việc'!AI511)</f>
        <v/>
      </c>
      <c r="W495" s="389">
        <f t="shared" si="2"/>
        <v>0</v>
      </c>
      <c r="X495" s="389" t="str">
        <f t="shared" si="3"/>
        <v/>
      </c>
      <c r="Y495" s="389" t="str">
        <f t="shared" ref="Y495:Z495" si="491">IFERROR(INDEX($O$8:$O$684,MATCH(X495,$N$8:$N$684,0)),"")</f>
        <v/>
      </c>
      <c r="Z495" s="389" t="str">
        <f t="shared" si="491"/>
        <v/>
      </c>
      <c r="AA495" s="389">
        <f t="shared" si="5"/>
        <v>0</v>
      </c>
    </row>
    <row r="496" ht="15.75" customHeight="1">
      <c r="M496" s="389" t="str">
        <f>IF('Bản đồ công việc'!X512="","",'Bản đồ công việc'!W512)</f>
        <v/>
      </c>
      <c r="N496" s="389" t="str">
        <f>IF('Bản đồ công việc'!X512="","",'Bản đồ công việc'!X512)</f>
        <v/>
      </c>
      <c r="O496" s="389" t="str">
        <f>IF('Bản đồ công việc'!X512="","",'Bản đồ công việc'!Y512)</f>
        <v/>
      </c>
      <c r="P496" s="389" t="str">
        <f>IF('Bản đồ công việc'!X512="","",'Bản đồ công việc'!V512)</f>
        <v/>
      </c>
      <c r="Q496" s="389" t="str">
        <f>IF('Bản đồ công việc'!X512="","",'Bản đồ công việc'!AC512)</f>
        <v/>
      </c>
      <c r="R496" s="389" t="str">
        <f>IF('Bản đồ công việc'!X512="","",'Bản đồ công việc'!AD512)</f>
        <v/>
      </c>
      <c r="S496" s="389" t="str">
        <f>IF('Bản đồ công việc'!X512="","",'Bản đồ công việc'!Z512)</f>
        <v/>
      </c>
      <c r="T496" s="389" t="str">
        <f>IF('Bản đồ công việc'!X512="","",'Bản đồ công việc'!AA512)</f>
        <v/>
      </c>
      <c r="U496" s="389" t="str">
        <f>IF('Bản đồ công việc'!X512="","",'Bản đồ công việc'!AE512)</f>
        <v/>
      </c>
      <c r="V496" s="389" t="str">
        <f>IF('Bản đồ công việc'!X512="","",'Bản đồ công việc'!AI512)</f>
        <v/>
      </c>
      <c r="W496" s="389">
        <f t="shared" si="2"/>
        <v>0</v>
      </c>
      <c r="X496" s="389" t="str">
        <f t="shared" si="3"/>
        <v/>
      </c>
      <c r="Y496" s="389" t="str">
        <f t="shared" ref="Y496:Z496" si="492">IFERROR(INDEX($O$8:$O$684,MATCH(X496,$N$8:$N$684,0)),"")</f>
        <v/>
      </c>
      <c r="Z496" s="389" t="str">
        <f t="shared" si="492"/>
        <v/>
      </c>
      <c r="AA496" s="389">
        <f t="shared" si="5"/>
        <v>0</v>
      </c>
    </row>
    <row r="497" ht="15.75" customHeight="1">
      <c r="M497" s="389" t="str">
        <f>IF('Bản đồ công việc'!X513="","",'Bản đồ công việc'!W513)</f>
        <v/>
      </c>
      <c r="N497" s="389" t="str">
        <f>IF('Bản đồ công việc'!X513="","",'Bản đồ công việc'!X513)</f>
        <v/>
      </c>
      <c r="O497" s="389" t="str">
        <f>IF('Bản đồ công việc'!X513="","",'Bản đồ công việc'!Y513)</f>
        <v/>
      </c>
      <c r="P497" s="389" t="str">
        <f>IF('Bản đồ công việc'!X513="","",'Bản đồ công việc'!V513)</f>
        <v/>
      </c>
      <c r="Q497" s="389" t="str">
        <f>IF('Bản đồ công việc'!X513="","",'Bản đồ công việc'!AC513)</f>
        <v/>
      </c>
      <c r="R497" s="389" t="str">
        <f>IF('Bản đồ công việc'!X513="","",'Bản đồ công việc'!AD513)</f>
        <v/>
      </c>
      <c r="S497" s="389" t="str">
        <f>IF('Bản đồ công việc'!X513="","",'Bản đồ công việc'!Z513)</f>
        <v/>
      </c>
      <c r="T497" s="389" t="str">
        <f>IF('Bản đồ công việc'!X513="","",'Bản đồ công việc'!AA513)</f>
        <v/>
      </c>
      <c r="U497" s="389" t="str">
        <f>IF('Bản đồ công việc'!X513="","",'Bản đồ công việc'!AE513)</f>
        <v/>
      </c>
      <c r="V497" s="389" t="str">
        <f>IF('Bản đồ công việc'!X513="","",'Bản đồ công việc'!AI513)</f>
        <v/>
      </c>
      <c r="W497" s="389">
        <f t="shared" si="2"/>
        <v>0</v>
      </c>
      <c r="X497" s="389" t="str">
        <f t="shared" si="3"/>
        <v/>
      </c>
      <c r="Y497" s="389" t="str">
        <f t="shared" ref="Y497:Z497" si="493">IFERROR(INDEX($O$8:$O$684,MATCH(X497,$N$8:$N$684,0)),"")</f>
        <v/>
      </c>
      <c r="Z497" s="389" t="str">
        <f t="shared" si="493"/>
        <v/>
      </c>
      <c r="AA497" s="389">
        <f t="shared" si="5"/>
        <v>0</v>
      </c>
    </row>
    <row r="498" ht="15.75" customHeight="1">
      <c r="M498" s="389" t="str">
        <f>IF('Bản đồ công việc'!X514="","",'Bản đồ công việc'!W514)</f>
        <v/>
      </c>
      <c r="N498" s="389" t="str">
        <f>IF('Bản đồ công việc'!X514="","",'Bản đồ công việc'!X514)</f>
        <v/>
      </c>
      <c r="O498" s="389" t="str">
        <f>IF('Bản đồ công việc'!X514="","",'Bản đồ công việc'!Y514)</f>
        <v/>
      </c>
      <c r="P498" s="389" t="str">
        <f>IF('Bản đồ công việc'!X514="","",'Bản đồ công việc'!V514)</f>
        <v/>
      </c>
      <c r="Q498" s="389" t="str">
        <f>IF('Bản đồ công việc'!X514="","",'Bản đồ công việc'!AC514)</f>
        <v/>
      </c>
      <c r="R498" s="389" t="str">
        <f>IF('Bản đồ công việc'!X514="","",'Bản đồ công việc'!AD514)</f>
        <v/>
      </c>
      <c r="S498" s="389" t="str">
        <f>IF('Bản đồ công việc'!X514="","",'Bản đồ công việc'!Z514)</f>
        <v/>
      </c>
      <c r="T498" s="389" t="str">
        <f>IF('Bản đồ công việc'!X514="","",'Bản đồ công việc'!AA514)</f>
        <v/>
      </c>
      <c r="U498" s="389" t="str">
        <f>IF('Bản đồ công việc'!X514="","",'Bản đồ công việc'!AE514)</f>
        <v/>
      </c>
      <c r="V498" s="389" t="str">
        <f>IF('Bản đồ công việc'!X514="","",'Bản đồ công việc'!AI514)</f>
        <v/>
      </c>
      <c r="W498" s="389">
        <f t="shared" si="2"/>
        <v>0</v>
      </c>
      <c r="X498" s="389" t="str">
        <f t="shared" si="3"/>
        <v/>
      </c>
      <c r="Y498" s="389" t="str">
        <f t="shared" ref="Y498:Z498" si="494">IFERROR(INDEX($O$8:$O$684,MATCH(X498,$N$8:$N$684,0)),"")</f>
        <v/>
      </c>
      <c r="Z498" s="389" t="str">
        <f t="shared" si="494"/>
        <v/>
      </c>
      <c r="AA498" s="389">
        <f t="shared" si="5"/>
        <v>0</v>
      </c>
    </row>
    <row r="499" ht="15.75" customHeight="1">
      <c r="M499" s="389" t="str">
        <f>IF('Bản đồ công việc'!X515="","",'Bản đồ công việc'!W515)</f>
        <v/>
      </c>
      <c r="N499" s="389" t="str">
        <f>IF('Bản đồ công việc'!X515="","",'Bản đồ công việc'!X515)</f>
        <v/>
      </c>
      <c r="O499" s="389" t="str">
        <f>IF('Bản đồ công việc'!X515="","",'Bản đồ công việc'!Y515)</f>
        <v/>
      </c>
      <c r="P499" s="389" t="str">
        <f>IF('Bản đồ công việc'!X515="","",'Bản đồ công việc'!V515)</f>
        <v/>
      </c>
      <c r="Q499" s="389" t="str">
        <f>IF('Bản đồ công việc'!X515="","",'Bản đồ công việc'!AC515)</f>
        <v/>
      </c>
      <c r="R499" s="389" t="str">
        <f>IF('Bản đồ công việc'!X515="","",'Bản đồ công việc'!AD515)</f>
        <v/>
      </c>
      <c r="S499" s="389" t="str">
        <f>IF('Bản đồ công việc'!X515="","",'Bản đồ công việc'!Z515)</f>
        <v/>
      </c>
      <c r="T499" s="389" t="str">
        <f>IF('Bản đồ công việc'!X515="","",'Bản đồ công việc'!AA515)</f>
        <v/>
      </c>
      <c r="U499" s="389" t="str">
        <f>IF('Bản đồ công việc'!X515="","",'Bản đồ công việc'!AE515)</f>
        <v/>
      </c>
      <c r="V499" s="389" t="str">
        <f>IF('Bản đồ công việc'!X515="","",'Bản đồ công việc'!AI515)</f>
        <v/>
      </c>
      <c r="W499" s="389">
        <f t="shared" si="2"/>
        <v>0</v>
      </c>
      <c r="X499" s="389" t="str">
        <f t="shared" si="3"/>
        <v/>
      </c>
      <c r="Y499" s="389" t="str">
        <f t="shared" ref="Y499:Z499" si="495">IFERROR(INDEX($O$8:$O$684,MATCH(X499,$N$8:$N$684,0)),"")</f>
        <v/>
      </c>
      <c r="Z499" s="389" t="str">
        <f t="shared" si="495"/>
        <v/>
      </c>
      <c r="AA499" s="389">
        <f t="shared" si="5"/>
        <v>0</v>
      </c>
    </row>
    <row r="500" ht="15.75" customHeight="1">
      <c r="M500" s="389" t="str">
        <f>IF('Bản đồ công việc'!X516="","",'Bản đồ công việc'!W516)</f>
        <v/>
      </c>
      <c r="N500" s="389" t="str">
        <f>IF('Bản đồ công việc'!X516="","",'Bản đồ công việc'!X516)</f>
        <v/>
      </c>
      <c r="O500" s="389" t="str">
        <f>IF('Bản đồ công việc'!X516="","",'Bản đồ công việc'!Y516)</f>
        <v/>
      </c>
      <c r="P500" s="389" t="str">
        <f>IF('Bản đồ công việc'!X516="","",'Bản đồ công việc'!V516)</f>
        <v/>
      </c>
      <c r="Q500" s="389" t="str">
        <f>IF('Bản đồ công việc'!X516="","",'Bản đồ công việc'!AC516)</f>
        <v/>
      </c>
      <c r="R500" s="389" t="str">
        <f>IF('Bản đồ công việc'!X516="","",'Bản đồ công việc'!AD516)</f>
        <v/>
      </c>
      <c r="S500" s="389" t="str">
        <f>IF('Bản đồ công việc'!X516="","",'Bản đồ công việc'!Z516)</f>
        <v/>
      </c>
      <c r="T500" s="389" t="str">
        <f>IF('Bản đồ công việc'!X516="","",'Bản đồ công việc'!AA516)</f>
        <v/>
      </c>
      <c r="U500" s="389" t="str">
        <f>IF('Bản đồ công việc'!X516="","",'Bản đồ công việc'!AE516)</f>
        <v/>
      </c>
      <c r="V500" s="389" t="str">
        <f>IF('Bản đồ công việc'!X516="","",'Bản đồ công việc'!AI516)</f>
        <v/>
      </c>
      <c r="W500" s="389">
        <f t="shared" si="2"/>
        <v>0</v>
      </c>
      <c r="X500" s="389" t="str">
        <f t="shared" si="3"/>
        <v/>
      </c>
      <c r="Y500" s="389" t="str">
        <f t="shared" ref="Y500:Z500" si="496">IFERROR(INDEX($O$8:$O$684,MATCH(X500,$N$8:$N$684,0)),"")</f>
        <v/>
      </c>
      <c r="Z500" s="389" t="str">
        <f t="shared" si="496"/>
        <v/>
      </c>
      <c r="AA500" s="389">
        <f t="shared" si="5"/>
        <v>0</v>
      </c>
    </row>
    <row r="501" ht="15.75" customHeight="1">
      <c r="M501" s="389" t="str">
        <f>IF('Bản đồ công việc'!X517="","",'Bản đồ công việc'!W517)</f>
        <v/>
      </c>
      <c r="N501" s="389" t="str">
        <f>IF('Bản đồ công việc'!X517="","",'Bản đồ công việc'!X517)</f>
        <v/>
      </c>
      <c r="O501" s="389" t="str">
        <f>IF('Bản đồ công việc'!X517="","",'Bản đồ công việc'!Y517)</f>
        <v/>
      </c>
      <c r="P501" s="389" t="str">
        <f>IF('Bản đồ công việc'!X517="","",'Bản đồ công việc'!V517)</f>
        <v/>
      </c>
      <c r="Q501" s="389" t="str">
        <f>IF('Bản đồ công việc'!X517="","",'Bản đồ công việc'!AC517)</f>
        <v/>
      </c>
      <c r="R501" s="389" t="str">
        <f>IF('Bản đồ công việc'!X517="","",'Bản đồ công việc'!AD517)</f>
        <v/>
      </c>
      <c r="S501" s="389" t="str">
        <f>IF('Bản đồ công việc'!X517="","",'Bản đồ công việc'!Z517)</f>
        <v/>
      </c>
      <c r="T501" s="389" t="str">
        <f>IF('Bản đồ công việc'!X517="","",'Bản đồ công việc'!AA517)</f>
        <v/>
      </c>
      <c r="U501" s="389" t="str">
        <f>IF('Bản đồ công việc'!X517="","",'Bản đồ công việc'!AE517)</f>
        <v/>
      </c>
      <c r="V501" s="389" t="str">
        <f>IF('Bản đồ công việc'!X517="","",'Bản đồ công việc'!AI517)</f>
        <v/>
      </c>
      <c r="W501" s="389">
        <f t="shared" si="2"/>
        <v>0</v>
      </c>
      <c r="X501" s="389" t="str">
        <f t="shared" si="3"/>
        <v/>
      </c>
      <c r="Y501" s="389" t="str">
        <f t="shared" ref="Y501:Z501" si="497">IFERROR(INDEX($O$8:$O$684,MATCH(X501,$N$8:$N$684,0)),"")</f>
        <v/>
      </c>
      <c r="Z501" s="389" t="str">
        <f t="shared" si="497"/>
        <v/>
      </c>
      <c r="AA501" s="389">
        <f t="shared" si="5"/>
        <v>0</v>
      </c>
    </row>
    <row r="502" ht="15.75" customHeight="1">
      <c r="M502" s="389" t="str">
        <f>IF('Bản đồ công việc'!X518="","",'Bản đồ công việc'!W518)</f>
        <v/>
      </c>
      <c r="N502" s="389" t="str">
        <f>IF('Bản đồ công việc'!X518="","",'Bản đồ công việc'!X518)</f>
        <v/>
      </c>
      <c r="O502" s="389" t="str">
        <f>IF('Bản đồ công việc'!X518="","",'Bản đồ công việc'!Y518)</f>
        <v/>
      </c>
      <c r="P502" s="389" t="str">
        <f>IF('Bản đồ công việc'!X518="","",'Bản đồ công việc'!V518)</f>
        <v/>
      </c>
      <c r="Q502" s="389" t="str">
        <f>IF('Bản đồ công việc'!X518="","",'Bản đồ công việc'!AC518)</f>
        <v/>
      </c>
      <c r="R502" s="389" t="str">
        <f>IF('Bản đồ công việc'!X518="","",'Bản đồ công việc'!AD518)</f>
        <v/>
      </c>
      <c r="S502" s="389" t="str">
        <f>IF('Bản đồ công việc'!X518="","",'Bản đồ công việc'!Z518)</f>
        <v/>
      </c>
      <c r="T502" s="389" t="str">
        <f>IF('Bản đồ công việc'!X518="","",'Bản đồ công việc'!AA518)</f>
        <v/>
      </c>
      <c r="U502" s="389" t="str">
        <f>IF('Bản đồ công việc'!X518="","",'Bản đồ công việc'!AE518)</f>
        <v/>
      </c>
      <c r="V502" s="389" t="str">
        <f>IF('Bản đồ công việc'!X518="","",'Bản đồ công việc'!AI518)</f>
        <v/>
      </c>
      <c r="W502" s="389">
        <f t="shared" si="2"/>
        <v>0</v>
      </c>
      <c r="X502" s="389" t="str">
        <f t="shared" si="3"/>
        <v/>
      </c>
      <c r="Y502" s="389" t="str">
        <f t="shared" ref="Y502:Z502" si="498">IFERROR(INDEX($O$8:$O$684,MATCH(X502,$N$8:$N$684,0)),"")</f>
        <v/>
      </c>
      <c r="Z502" s="389" t="str">
        <f t="shared" si="498"/>
        <v/>
      </c>
      <c r="AA502" s="389">
        <f t="shared" si="5"/>
        <v>0</v>
      </c>
    </row>
    <row r="503" ht="15.75" customHeight="1">
      <c r="M503" s="389" t="str">
        <f>IF('Bản đồ công việc'!X519="","",'Bản đồ công việc'!W519)</f>
        <v/>
      </c>
      <c r="N503" s="389" t="str">
        <f>IF('Bản đồ công việc'!X519="","",'Bản đồ công việc'!X519)</f>
        <v/>
      </c>
      <c r="O503" s="389" t="str">
        <f>IF('Bản đồ công việc'!X519="","",'Bản đồ công việc'!Y519)</f>
        <v/>
      </c>
      <c r="P503" s="389" t="str">
        <f>IF('Bản đồ công việc'!X519="","",'Bản đồ công việc'!V519)</f>
        <v/>
      </c>
      <c r="Q503" s="389" t="str">
        <f>IF('Bản đồ công việc'!X519="","",'Bản đồ công việc'!AC519)</f>
        <v/>
      </c>
      <c r="R503" s="389" t="str">
        <f>IF('Bản đồ công việc'!X519="","",'Bản đồ công việc'!AD519)</f>
        <v/>
      </c>
      <c r="S503" s="389" t="str">
        <f>IF('Bản đồ công việc'!X519="","",'Bản đồ công việc'!Z519)</f>
        <v/>
      </c>
      <c r="T503" s="389" t="str">
        <f>IF('Bản đồ công việc'!X519="","",'Bản đồ công việc'!AA519)</f>
        <v/>
      </c>
      <c r="U503" s="389" t="str">
        <f>IF('Bản đồ công việc'!X519="","",'Bản đồ công việc'!AE519)</f>
        <v/>
      </c>
      <c r="V503" s="389" t="str">
        <f>IF('Bản đồ công việc'!X519="","",'Bản đồ công việc'!AI519)</f>
        <v/>
      </c>
      <c r="W503" s="389">
        <f t="shared" si="2"/>
        <v>0</v>
      </c>
      <c r="X503" s="389" t="str">
        <f t="shared" si="3"/>
        <v/>
      </c>
      <c r="Y503" s="389" t="str">
        <f t="shared" ref="Y503:Z503" si="499">IFERROR(INDEX($O$8:$O$684,MATCH(X503,$N$8:$N$684,0)),"")</f>
        <v/>
      </c>
      <c r="Z503" s="389" t="str">
        <f t="shared" si="499"/>
        <v/>
      </c>
      <c r="AA503" s="389">
        <f t="shared" si="5"/>
        <v>0</v>
      </c>
    </row>
    <row r="504" ht="15.75" customHeight="1">
      <c r="M504" s="389" t="str">
        <f>IF('Bản đồ công việc'!X520="","",'Bản đồ công việc'!W520)</f>
        <v/>
      </c>
      <c r="N504" s="389" t="str">
        <f>IF('Bản đồ công việc'!X520="","",'Bản đồ công việc'!X520)</f>
        <v/>
      </c>
      <c r="O504" s="389" t="str">
        <f>IF('Bản đồ công việc'!X520="","",'Bản đồ công việc'!Y520)</f>
        <v/>
      </c>
      <c r="P504" s="389" t="str">
        <f>IF('Bản đồ công việc'!X520="","",'Bản đồ công việc'!V520)</f>
        <v/>
      </c>
      <c r="Q504" s="389" t="str">
        <f>IF('Bản đồ công việc'!X520="","",'Bản đồ công việc'!AC520)</f>
        <v/>
      </c>
      <c r="R504" s="389" t="str">
        <f>IF('Bản đồ công việc'!X520="","",'Bản đồ công việc'!AD520)</f>
        <v/>
      </c>
      <c r="S504" s="389" t="str">
        <f>IF('Bản đồ công việc'!X520="","",'Bản đồ công việc'!Z520)</f>
        <v/>
      </c>
      <c r="T504" s="389" t="str">
        <f>IF('Bản đồ công việc'!X520="","",'Bản đồ công việc'!AA520)</f>
        <v/>
      </c>
      <c r="U504" s="389" t="str">
        <f>IF('Bản đồ công việc'!X520="","",'Bản đồ công việc'!AE520)</f>
        <v/>
      </c>
      <c r="V504" s="389" t="str">
        <f>IF('Bản đồ công việc'!X520="","",'Bản đồ công việc'!AI520)</f>
        <v/>
      </c>
      <c r="W504" s="389">
        <f t="shared" si="2"/>
        <v>0</v>
      </c>
      <c r="X504" s="389" t="str">
        <f t="shared" si="3"/>
        <v/>
      </c>
      <c r="Y504" s="389" t="str">
        <f t="shared" ref="Y504:Z504" si="500">IFERROR(INDEX($O$8:$O$684,MATCH(X504,$N$8:$N$684,0)),"")</f>
        <v/>
      </c>
      <c r="Z504" s="389" t="str">
        <f t="shared" si="500"/>
        <v/>
      </c>
      <c r="AA504" s="389">
        <f t="shared" si="5"/>
        <v>0</v>
      </c>
    </row>
    <row r="505" ht="15.75" customHeight="1">
      <c r="M505" s="389" t="str">
        <f>IF('Bản đồ công việc'!X521="","",'Bản đồ công việc'!W521)</f>
        <v/>
      </c>
      <c r="N505" s="389" t="str">
        <f>IF('Bản đồ công việc'!X521="","",'Bản đồ công việc'!X521)</f>
        <v/>
      </c>
      <c r="O505" s="389" t="str">
        <f>IF('Bản đồ công việc'!X521="","",'Bản đồ công việc'!Y521)</f>
        <v/>
      </c>
      <c r="P505" s="389" t="str">
        <f>IF('Bản đồ công việc'!X521="","",'Bản đồ công việc'!V521)</f>
        <v/>
      </c>
      <c r="Q505" s="389" t="str">
        <f>IF('Bản đồ công việc'!X521="","",'Bản đồ công việc'!AC521)</f>
        <v/>
      </c>
      <c r="R505" s="389" t="str">
        <f>IF('Bản đồ công việc'!X521="","",'Bản đồ công việc'!AD521)</f>
        <v/>
      </c>
      <c r="S505" s="389" t="str">
        <f>IF('Bản đồ công việc'!X521="","",'Bản đồ công việc'!Z521)</f>
        <v/>
      </c>
      <c r="T505" s="389" t="str">
        <f>IF('Bản đồ công việc'!X521="","",'Bản đồ công việc'!AA521)</f>
        <v/>
      </c>
      <c r="U505" s="389" t="str">
        <f>IF('Bản đồ công việc'!X521="","",'Bản đồ công việc'!AE521)</f>
        <v/>
      </c>
      <c r="V505" s="389" t="str">
        <f>IF('Bản đồ công việc'!X521="","",'Bản đồ công việc'!AI521)</f>
        <v/>
      </c>
      <c r="W505" s="389">
        <f t="shared" si="2"/>
        <v>0</v>
      </c>
      <c r="X505" s="389" t="str">
        <f t="shared" si="3"/>
        <v/>
      </c>
      <c r="Y505" s="389" t="str">
        <f t="shared" ref="Y505:Z505" si="501">IFERROR(INDEX($O$8:$O$684,MATCH(X505,$N$8:$N$684,0)),"")</f>
        <v/>
      </c>
      <c r="Z505" s="389" t="str">
        <f t="shared" si="501"/>
        <v/>
      </c>
      <c r="AA505" s="389">
        <f t="shared" si="5"/>
        <v>0</v>
      </c>
    </row>
    <row r="506" ht="15.75" customHeight="1">
      <c r="M506" s="389" t="str">
        <f>IF('Bản đồ công việc'!X522="","",'Bản đồ công việc'!W522)</f>
        <v/>
      </c>
      <c r="N506" s="389" t="str">
        <f>IF('Bản đồ công việc'!X522="","",'Bản đồ công việc'!X522)</f>
        <v/>
      </c>
      <c r="O506" s="389" t="str">
        <f>IF('Bản đồ công việc'!X522="","",'Bản đồ công việc'!Y522)</f>
        <v/>
      </c>
      <c r="P506" s="389" t="str">
        <f>IF('Bản đồ công việc'!X522="","",'Bản đồ công việc'!V522)</f>
        <v/>
      </c>
      <c r="Q506" s="389" t="str">
        <f>IF('Bản đồ công việc'!X522="","",'Bản đồ công việc'!AC522)</f>
        <v/>
      </c>
      <c r="R506" s="389" t="str">
        <f>IF('Bản đồ công việc'!X522="","",'Bản đồ công việc'!AD522)</f>
        <v/>
      </c>
      <c r="S506" s="389" t="str">
        <f>IF('Bản đồ công việc'!X522="","",'Bản đồ công việc'!Z522)</f>
        <v/>
      </c>
      <c r="T506" s="389" t="str">
        <f>IF('Bản đồ công việc'!X522="","",'Bản đồ công việc'!AA522)</f>
        <v/>
      </c>
      <c r="U506" s="389" t="str">
        <f>IF('Bản đồ công việc'!X522="","",'Bản đồ công việc'!AE522)</f>
        <v/>
      </c>
      <c r="V506" s="389" t="str">
        <f>IF('Bản đồ công việc'!X522="","",'Bản đồ công việc'!AI522)</f>
        <v/>
      </c>
      <c r="W506" s="389">
        <f t="shared" si="2"/>
        <v>0</v>
      </c>
      <c r="X506" s="389" t="str">
        <f t="shared" si="3"/>
        <v/>
      </c>
      <c r="Y506" s="389" t="str">
        <f t="shared" ref="Y506:Z506" si="502">IFERROR(INDEX($O$8:$O$684,MATCH(X506,$N$8:$N$684,0)),"")</f>
        <v/>
      </c>
      <c r="Z506" s="389" t="str">
        <f t="shared" si="502"/>
        <v/>
      </c>
      <c r="AA506" s="389">
        <f t="shared" si="5"/>
        <v>0</v>
      </c>
    </row>
    <row r="507" ht="15.75" customHeight="1">
      <c r="M507" s="389" t="str">
        <f>IF('Bản đồ công việc'!X523="","",'Bản đồ công việc'!W523)</f>
        <v/>
      </c>
      <c r="N507" s="389" t="str">
        <f>IF('Bản đồ công việc'!X523="","",'Bản đồ công việc'!X523)</f>
        <v/>
      </c>
      <c r="O507" s="389" t="str">
        <f>IF('Bản đồ công việc'!X523="","",'Bản đồ công việc'!Y523)</f>
        <v/>
      </c>
      <c r="P507" s="389" t="str">
        <f>IF('Bản đồ công việc'!X523="","",'Bản đồ công việc'!V523)</f>
        <v/>
      </c>
      <c r="Q507" s="389" t="str">
        <f>IF('Bản đồ công việc'!X523="","",'Bản đồ công việc'!AC523)</f>
        <v/>
      </c>
      <c r="R507" s="389" t="str">
        <f>IF('Bản đồ công việc'!X523="","",'Bản đồ công việc'!AD523)</f>
        <v/>
      </c>
      <c r="S507" s="389" t="str">
        <f>IF('Bản đồ công việc'!X523="","",'Bản đồ công việc'!Z523)</f>
        <v/>
      </c>
      <c r="T507" s="389" t="str">
        <f>IF('Bản đồ công việc'!X523="","",'Bản đồ công việc'!AA523)</f>
        <v/>
      </c>
      <c r="U507" s="389" t="str">
        <f>IF('Bản đồ công việc'!X523="","",'Bản đồ công việc'!AE523)</f>
        <v/>
      </c>
      <c r="V507" s="389" t="str">
        <f>IF('Bản đồ công việc'!X523="","",'Bản đồ công việc'!AI523)</f>
        <v/>
      </c>
      <c r="W507" s="389">
        <f t="shared" si="2"/>
        <v>0</v>
      </c>
      <c r="X507" s="389" t="str">
        <f t="shared" si="3"/>
        <v/>
      </c>
      <c r="Y507" s="389" t="str">
        <f t="shared" ref="Y507:Z507" si="503">IFERROR(INDEX($O$8:$O$684,MATCH(X507,$N$8:$N$684,0)),"")</f>
        <v/>
      </c>
      <c r="Z507" s="389" t="str">
        <f t="shared" si="503"/>
        <v/>
      </c>
      <c r="AA507" s="389">
        <f t="shared" si="5"/>
        <v>0</v>
      </c>
    </row>
    <row r="508" ht="15.75" customHeight="1">
      <c r="M508" s="389" t="str">
        <f>IF('Bản đồ công việc'!X524="","",'Bản đồ công việc'!W524)</f>
        <v/>
      </c>
      <c r="N508" s="389" t="str">
        <f>IF('Bản đồ công việc'!X524="","",'Bản đồ công việc'!X524)</f>
        <v/>
      </c>
      <c r="O508" s="389" t="str">
        <f>IF('Bản đồ công việc'!X524="","",'Bản đồ công việc'!Y524)</f>
        <v/>
      </c>
      <c r="P508" s="389" t="str">
        <f>IF('Bản đồ công việc'!X524="","",'Bản đồ công việc'!V524)</f>
        <v/>
      </c>
      <c r="Q508" s="389" t="str">
        <f>IF('Bản đồ công việc'!X524="","",'Bản đồ công việc'!AC524)</f>
        <v/>
      </c>
      <c r="R508" s="389" t="str">
        <f>IF('Bản đồ công việc'!X524="","",'Bản đồ công việc'!AD524)</f>
        <v/>
      </c>
      <c r="S508" s="389" t="str">
        <f>IF('Bản đồ công việc'!X524="","",'Bản đồ công việc'!Z524)</f>
        <v/>
      </c>
      <c r="T508" s="389" t="str">
        <f>IF('Bản đồ công việc'!X524="","",'Bản đồ công việc'!AA524)</f>
        <v/>
      </c>
      <c r="U508" s="389" t="str">
        <f>IF('Bản đồ công việc'!X524="","",'Bản đồ công việc'!AE524)</f>
        <v/>
      </c>
      <c r="V508" s="389" t="str">
        <f>IF('Bản đồ công việc'!X524="","",'Bản đồ công việc'!AI524)</f>
        <v/>
      </c>
      <c r="W508" s="389">
        <f t="shared" si="2"/>
        <v>0</v>
      </c>
      <c r="X508" s="389" t="str">
        <f t="shared" si="3"/>
        <v/>
      </c>
      <c r="Y508" s="389" t="str">
        <f t="shared" ref="Y508:Z508" si="504">IFERROR(INDEX($O$8:$O$684,MATCH(X508,$N$8:$N$684,0)),"")</f>
        <v/>
      </c>
      <c r="Z508" s="389" t="str">
        <f t="shared" si="504"/>
        <v/>
      </c>
      <c r="AA508" s="389">
        <f t="shared" si="5"/>
        <v>0</v>
      </c>
    </row>
    <row r="509" ht="15.75" customHeight="1">
      <c r="M509" s="389" t="str">
        <f>IF('Bản đồ công việc'!X525="","",'Bản đồ công việc'!W525)</f>
        <v/>
      </c>
      <c r="N509" s="389" t="str">
        <f>IF('Bản đồ công việc'!X525="","",'Bản đồ công việc'!X525)</f>
        <v/>
      </c>
      <c r="O509" s="389" t="str">
        <f>IF('Bản đồ công việc'!X525="","",'Bản đồ công việc'!Y525)</f>
        <v/>
      </c>
      <c r="P509" s="389" t="str">
        <f>IF('Bản đồ công việc'!X525="","",'Bản đồ công việc'!V525)</f>
        <v/>
      </c>
      <c r="Q509" s="389" t="str">
        <f>IF('Bản đồ công việc'!X525="","",'Bản đồ công việc'!AC525)</f>
        <v/>
      </c>
      <c r="R509" s="389" t="str">
        <f>IF('Bản đồ công việc'!X525="","",'Bản đồ công việc'!AD525)</f>
        <v/>
      </c>
      <c r="S509" s="389" t="str">
        <f>IF('Bản đồ công việc'!X525="","",'Bản đồ công việc'!Z525)</f>
        <v/>
      </c>
      <c r="T509" s="389" t="str">
        <f>IF('Bản đồ công việc'!X525="","",'Bản đồ công việc'!AA525)</f>
        <v/>
      </c>
      <c r="U509" s="389" t="str">
        <f>IF('Bản đồ công việc'!X525="","",'Bản đồ công việc'!AE525)</f>
        <v/>
      </c>
      <c r="V509" s="389" t="str">
        <f>IF('Bản đồ công việc'!X525="","",'Bản đồ công việc'!AI525)</f>
        <v/>
      </c>
      <c r="W509" s="389">
        <f t="shared" si="2"/>
        <v>0</v>
      </c>
      <c r="X509" s="389" t="str">
        <f t="shared" si="3"/>
        <v/>
      </c>
      <c r="Y509" s="389" t="str">
        <f t="shared" ref="Y509:Z509" si="505">IFERROR(INDEX($O$8:$O$684,MATCH(X509,$N$8:$N$684,0)),"")</f>
        <v/>
      </c>
      <c r="Z509" s="389" t="str">
        <f t="shared" si="505"/>
        <v/>
      </c>
      <c r="AA509" s="389">
        <f t="shared" si="5"/>
        <v>0</v>
      </c>
    </row>
    <row r="510" ht="15.75" customHeight="1">
      <c r="M510" s="389" t="str">
        <f>IF('Bản đồ công việc'!X526="","",'Bản đồ công việc'!W526)</f>
        <v/>
      </c>
      <c r="N510" s="389" t="str">
        <f>IF('Bản đồ công việc'!X526="","",'Bản đồ công việc'!X526)</f>
        <v/>
      </c>
      <c r="O510" s="389" t="str">
        <f>IF('Bản đồ công việc'!X526="","",'Bản đồ công việc'!Y526)</f>
        <v/>
      </c>
      <c r="P510" s="389" t="str">
        <f>IF('Bản đồ công việc'!X526="","",'Bản đồ công việc'!V526)</f>
        <v/>
      </c>
      <c r="Q510" s="389" t="str">
        <f>IF('Bản đồ công việc'!X526="","",'Bản đồ công việc'!AC526)</f>
        <v/>
      </c>
      <c r="R510" s="389" t="str">
        <f>IF('Bản đồ công việc'!X526="","",'Bản đồ công việc'!AD526)</f>
        <v/>
      </c>
      <c r="S510" s="389" t="str">
        <f>IF('Bản đồ công việc'!X526="","",'Bản đồ công việc'!Z526)</f>
        <v/>
      </c>
      <c r="T510" s="389" t="str">
        <f>IF('Bản đồ công việc'!X526="","",'Bản đồ công việc'!AA526)</f>
        <v/>
      </c>
      <c r="U510" s="389" t="str">
        <f>IF('Bản đồ công việc'!X526="","",'Bản đồ công việc'!AE526)</f>
        <v/>
      </c>
      <c r="V510" s="389" t="str">
        <f>IF('Bản đồ công việc'!X526="","",'Bản đồ công việc'!AI526)</f>
        <v/>
      </c>
      <c r="W510" s="389">
        <f t="shared" si="2"/>
        <v>0</v>
      </c>
      <c r="X510" s="389" t="str">
        <f t="shared" si="3"/>
        <v/>
      </c>
      <c r="Y510" s="389" t="str">
        <f t="shared" ref="Y510:Z510" si="506">IFERROR(INDEX($O$8:$O$684,MATCH(X510,$N$8:$N$684,0)),"")</f>
        <v/>
      </c>
      <c r="Z510" s="389" t="str">
        <f t="shared" si="506"/>
        <v/>
      </c>
      <c r="AA510" s="389">
        <f t="shared" si="5"/>
        <v>0</v>
      </c>
    </row>
    <row r="511" ht="15.75" customHeight="1">
      <c r="M511" s="389" t="str">
        <f>IF('Bản đồ công việc'!X527="","",'Bản đồ công việc'!W527)</f>
        <v/>
      </c>
      <c r="N511" s="389" t="str">
        <f>IF('Bản đồ công việc'!X527="","",'Bản đồ công việc'!X527)</f>
        <v/>
      </c>
      <c r="O511" s="389" t="str">
        <f>IF('Bản đồ công việc'!X527="","",'Bản đồ công việc'!Y527)</f>
        <v/>
      </c>
      <c r="P511" s="389" t="str">
        <f>IF('Bản đồ công việc'!X527="","",'Bản đồ công việc'!V527)</f>
        <v/>
      </c>
      <c r="Q511" s="389" t="str">
        <f>IF('Bản đồ công việc'!X527="","",'Bản đồ công việc'!AC527)</f>
        <v/>
      </c>
      <c r="R511" s="389" t="str">
        <f>IF('Bản đồ công việc'!X527="","",'Bản đồ công việc'!AD527)</f>
        <v/>
      </c>
      <c r="S511" s="389" t="str">
        <f>IF('Bản đồ công việc'!X527="","",'Bản đồ công việc'!Z527)</f>
        <v/>
      </c>
      <c r="T511" s="389" t="str">
        <f>IF('Bản đồ công việc'!X527="","",'Bản đồ công việc'!AA527)</f>
        <v/>
      </c>
      <c r="U511" s="389" t="str">
        <f>IF('Bản đồ công việc'!X527="","",'Bản đồ công việc'!AE527)</f>
        <v/>
      </c>
      <c r="V511" s="389" t="str">
        <f>IF('Bản đồ công việc'!X527="","",'Bản đồ công việc'!AI527)</f>
        <v/>
      </c>
      <c r="W511" s="389">
        <f t="shared" si="2"/>
        <v>0</v>
      </c>
      <c r="X511" s="389" t="str">
        <f t="shared" si="3"/>
        <v/>
      </c>
      <c r="Y511" s="389" t="str">
        <f t="shared" ref="Y511:Z511" si="507">IFERROR(INDEX($O$8:$O$684,MATCH(X511,$N$8:$N$684,0)),"")</f>
        <v/>
      </c>
      <c r="Z511" s="389" t="str">
        <f t="shared" si="507"/>
        <v/>
      </c>
      <c r="AA511" s="389">
        <f t="shared" si="5"/>
        <v>0</v>
      </c>
    </row>
    <row r="512" ht="15.75" customHeight="1">
      <c r="M512" s="389" t="str">
        <f>IF('Bản đồ công việc'!X528="","",'Bản đồ công việc'!W528)</f>
        <v/>
      </c>
      <c r="N512" s="389" t="str">
        <f>IF('Bản đồ công việc'!X528="","",'Bản đồ công việc'!X528)</f>
        <v/>
      </c>
      <c r="O512" s="389" t="str">
        <f>IF('Bản đồ công việc'!X528="","",'Bản đồ công việc'!Y528)</f>
        <v/>
      </c>
      <c r="P512" s="389" t="str">
        <f>IF('Bản đồ công việc'!X528="","",'Bản đồ công việc'!V528)</f>
        <v/>
      </c>
      <c r="Q512" s="389" t="str">
        <f>IF('Bản đồ công việc'!X528="","",'Bản đồ công việc'!AC528)</f>
        <v/>
      </c>
      <c r="R512" s="389" t="str">
        <f>IF('Bản đồ công việc'!X528="","",'Bản đồ công việc'!AD528)</f>
        <v/>
      </c>
      <c r="S512" s="389" t="str">
        <f>IF('Bản đồ công việc'!X528="","",'Bản đồ công việc'!Z528)</f>
        <v/>
      </c>
      <c r="T512" s="389" t="str">
        <f>IF('Bản đồ công việc'!X528="","",'Bản đồ công việc'!AA528)</f>
        <v/>
      </c>
      <c r="U512" s="389" t="str">
        <f>IF('Bản đồ công việc'!X528="","",'Bản đồ công việc'!AE528)</f>
        <v/>
      </c>
      <c r="V512" s="389" t="str">
        <f>IF('Bản đồ công việc'!X528="","",'Bản đồ công việc'!AI528)</f>
        <v/>
      </c>
      <c r="W512" s="389">
        <f t="shared" si="2"/>
        <v>0</v>
      </c>
      <c r="X512" s="389" t="str">
        <f t="shared" si="3"/>
        <v/>
      </c>
      <c r="Y512" s="389" t="str">
        <f t="shared" ref="Y512:Z512" si="508">IFERROR(INDEX($O$8:$O$684,MATCH(X512,$N$8:$N$684,0)),"")</f>
        <v/>
      </c>
      <c r="Z512" s="389" t="str">
        <f t="shared" si="508"/>
        <v/>
      </c>
      <c r="AA512" s="389">
        <f t="shared" si="5"/>
        <v>0</v>
      </c>
    </row>
    <row r="513" ht="15.75" customHeight="1">
      <c r="M513" s="389" t="str">
        <f>IF('Bản đồ công việc'!X529="","",'Bản đồ công việc'!W529)</f>
        <v/>
      </c>
      <c r="N513" s="389" t="str">
        <f>IF('Bản đồ công việc'!X529="","",'Bản đồ công việc'!X529)</f>
        <v/>
      </c>
      <c r="O513" s="389" t="str">
        <f>IF('Bản đồ công việc'!X529="","",'Bản đồ công việc'!Y529)</f>
        <v/>
      </c>
      <c r="P513" s="389" t="str">
        <f>IF('Bản đồ công việc'!X529="","",'Bản đồ công việc'!V529)</f>
        <v/>
      </c>
      <c r="Q513" s="389" t="str">
        <f>IF('Bản đồ công việc'!X529="","",'Bản đồ công việc'!AC529)</f>
        <v/>
      </c>
      <c r="R513" s="389" t="str">
        <f>IF('Bản đồ công việc'!X529="","",'Bản đồ công việc'!AD529)</f>
        <v/>
      </c>
      <c r="S513" s="389" t="str">
        <f>IF('Bản đồ công việc'!X529="","",'Bản đồ công việc'!Z529)</f>
        <v/>
      </c>
      <c r="T513" s="389" t="str">
        <f>IF('Bản đồ công việc'!X529="","",'Bản đồ công việc'!AA529)</f>
        <v/>
      </c>
      <c r="U513" s="389" t="str">
        <f>IF('Bản đồ công việc'!X529="","",'Bản đồ công việc'!AE529)</f>
        <v/>
      </c>
      <c r="V513" s="389" t="str">
        <f>IF('Bản đồ công việc'!X529="","",'Bản đồ công việc'!AI529)</f>
        <v/>
      </c>
      <c r="W513" s="389">
        <f t="shared" si="2"/>
        <v>0</v>
      </c>
      <c r="X513" s="389" t="str">
        <f t="shared" si="3"/>
        <v/>
      </c>
      <c r="Y513" s="389" t="str">
        <f t="shared" ref="Y513:Z513" si="509">IFERROR(INDEX($O$8:$O$684,MATCH(X513,$N$8:$N$684,0)),"")</f>
        <v/>
      </c>
      <c r="Z513" s="389" t="str">
        <f t="shared" si="509"/>
        <v/>
      </c>
      <c r="AA513" s="389">
        <f t="shared" si="5"/>
        <v>0</v>
      </c>
    </row>
    <row r="514" ht="15.75" customHeight="1">
      <c r="M514" s="389" t="str">
        <f>IF('Bản đồ công việc'!X530="","",'Bản đồ công việc'!W530)</f>
        <v/>
      </c>
      <c r="N514" s="389" t="str">
        <f>IF('Bản đồ công việc'!X530="","",'Bản đồ công việc'!X530)</f>
        <v/>
      </c>
      <c r="O514" s="389" t="str">
        <f>IF('Bản đồ công việc'!X530="","",'Bản đồ công việc'!Y530)</f>
        <v/>
      </c>
      <c r="P514" s="389" t="str">
        <f>IF('Bản đồ công việc'!X530="","",'Bản đồ công việc'!V530)</f>
        <v/>
      </c>
      <c r="Q514" s="389" t="str">
        <f>IF('Bản đồ công việc'!X530="","",'Bản đồ công việc'!AC530)</f>
        <v/>
      </c>
      <c r="R514" s="389" t="str">
        <f>IF('Bản đồ công việc'!X530="","",'Bản đồ công việc'!AD530)</f>
        <v/>
      </c>
      <c r="S514" s="389" t="str">
        <f>IF('Bản đồ công việc'!X530="","",'Bản đồ công việc'!Z530)</f>
        <v/>
      </c>
      <c r="T514" s="389" t="str">
        <f>IF('Bản đồ công việc'!X530="","",'Bản đồ công việc'!AA530)</f>
        <v/>
      </c>
      <c r="U514" s="389" t="str">
        <f>IF('Bản đồ công việc'!X530="","",'Bản đồ công việc'!AE530)</f>
        <v/>
      </c>
      <c r="V514" s="389" t="str">
        <f>IF('Bản đồ công việc'!X530="","",'Bản đồ công việc'!AI530)</f>
        <v/>
      </c>
      <c r="W514" s="389">
        <f t="shared" si="2"/>
        <v>0</v>
      </c>
      <c r="X514" s="389" t="str">
        <f t="shared" si="3"/>
        <v/>
      </c>
      <c r="Y514" s="389" t="str">
        <f t="shared" ref="Y514:Z514" si="510">IFERROR(INDEX($O$8:$O$684,MATCH(X514,$N$8:$N$684,0)),"")</f>
        <v/>
      </c>
      <c r="Z514" s="389" t="str">
        <f t="shared" si="510"/>
        <v/>
      </c>
      <c r="AA514" s="389">
        <f t="shared" si="5"/>
        <v>0</v>
      </c>
    </row>
    <row r="515" ht="15.75" customHeight="1">
      <c r="M515" s="389" t="str">
        <f>IF('Bản đồ công việc'!X531="","",'Bản đồ công việc'!W531)</f>
        <v/>
      </c>
      <c r="N515" s="389" t="str">
        <f>IF('Bản đồ công việc'!X531="","",'Bản đồ công việc'!X531)</f>
        <v/>
      </c>
      <c r="O515" s="389" t="str">
        <f>IF('Bản đồ công việc'!X531="","",'Bản đồ công việc'!Y531)</f>
        <v/>
      </c>
      <c r="P515" s="389" t="str">
        <f>IF('Bản đồ công việc'!X531="","",'Bản đồ công việc'!V531)</f>
        <v/>
      </c>
      <c r="Q515" s="389" t="str">
        <f>IF('Bản đồ công việc'!X531="","",'Bản đồ công việc'!AC531)</f>
        <v/>
      </c>
      <c r="R515" s="389" t="str">
        <f>IF('Bản đồ công việc'!X531="","",'Bản đồ công việc'!AD531)</f>
        <v/>
      </c>
      <c r="S515" s="389" t="str">
        <f>IF('Bản đồ công việc'!X531="","",'Bản đồ công việc'!Z531)</f>
        <v/>
      </c>
      <c r="T515" s="389" t="str">
        <f>IF('Bản đồ công việc'!X531="","",'Bản đồ công việc'!AA531)</f>
        <v/>
      </c>
      <c r="U515" s="389" t="str">
        <f>IF('Bản đồ công việc'!X531="","",'Bản đồ công việc'!AE531)</f>
        <v/>
      </c>
      <c r="V515" s="389" t="str">
        <f>IF('Bản đồ công việc'!X531="","",'Bản đồ công việc'!AI531)</f>
        <v/>
      </c>
      <c r="W515" s="389">
        <f t="shared" si="2"/>
        <v>0</v>
      </c>
      <c r="X515" s="389" t="str">
        <f t="shared" si="3"/>
        <v/>
      </c>
      <c r="Y515" s="389" t="str">
        <f t="shared" ref="Y515:Z515" si="511">IFERROR(INDEX($O$8:$O$684,MATCH(X515,$N$8:$N$684,0)),"")</f>
        <v/>
      </c>
      <c r="Z515" s="389" t="str">
        <f t="shared" si="511"/>
        <v/>
      </c>
      <c r="AA515" s="389">
        <f t="shared" si="5"/>
        <v>0</v>
      </c>
    </row>
    <row r="516" ht="15.75" customHeight="1">
      <c r="M516" s="389" t="str">
        <f>IF('Bản đồ công việc'!X532="","",'Bản đồ công việc'!W532)</f>
        <v/>
      </c>
      <c r="N516" s="389" t="str">
        <f>IF('Bản đồ công việc'!X532="","",'Bản đồ công việc'!X532)</f>
        <v/>
      </c>
      <c r="O516" s="389" t="str">
        <f>IF('Bản đồ công việc'!X532="","",'Bản đồ công việc'!Y532)</f>
        <v/>
      </c>
      <c r="P516" s="389" t="str">
        <f>IF('Bản đồ công việc'!X532="","",'Bản đồ công việc'!V532)</f>
        <v/>
      </c>
      <c r="Q516" s="389" t="str">
        <f>IF('Bản đồ công việc'!X532="","",'Bản đồ công việc'!AC532)</f>
        <v/>
      </c>
      <c r="R516" s="389" t="str">
        <f>IF('Bản đồ công việc'!X532="","",'Bản đồ công việc'!AD532)</f>
        <v/>
      </c>
      <c r="S516" s="389" t="str">
        <f>IF('Bản đồ công việc'!X532="","",'Bản đồ công việc'!Z532)</f>
        <v/>
      </c>
      <c r="T516" s="389" t="str">
        <f>IF('Bản đồ công việc'!X532="","",'Bản đồ công việc'!AA532)</f>
        <v/>
      </c>
      <c r="U516" s="389" t="str">
        <f>IF('Bản đồ công việc'!X532="","",'Bản đồ công việc'!AE532)</f>
        <v/>
      </c>
      <c r="V516" s="389" t="str">
        <f>IF('Bản đồ công việc'!X532="","",'Bản đồ công việc'!AI532)</f>
        <v/>
      </c>
      <c r="W516" s="389">
        <f t="shared" si="2"/>
        <v>0</v>
      </c>
      <c r="X516" s="389" t="str">
        <f t="shared" si="3"/>
        <v/>
      </c>
      <c r="Y516" s="389" t="str">
        <f t="shared" ref="Y516:Z516" si="512">IFERROR(INDEX($O$8:$O$684,MATCH(X516,$N$8:$N$684,0)),"")</f>
        <v/>
      </c>
      <c r="Z516" s="389" t="str">
        <f t="shared" si="512"/>
        <v/>
      </c>
      <c r="AA516" s="389">
        <f t="shared" si="5"/>
        <v>0</v>
      </c>
    </row>
    <row r="517" ht="15.75" customHeight="1">
      <c r="M517" s="389" t="str">
        <f>IF('Bản đồ công việc'!X533="","",'Bản đồ công việc'!W533)</f>
        <v/>
      </c>
      <c r="N517" s="389" t="str">
        <f>IF('Bản đồ công việc'!X533="","",'Bản đồ công việc'!X533)</f>
        <v/>
      </c>
      <c r="O517" s="389" t="str">
        <f>IF('Bản đồ công việc'!X533="","",'Bản đồ công việc'!Y533)</f>
        <v/>
      </c>
      <c r="P517" s="389" t="str">
        <f>IF('Bản đồ công việc'!X533="","",'Bản đồ công việc'!V533)</f>
        <v/>
      </c>
      <c r="Q517" s="389" t="str">
        <f>IF('Bản đồ công việc'!X533="","",'Bản đồ công việc'!AC533)</f>
        <v/>
      </c>
      <c r="R517" s="389" t="str">
        <f>IF('Bản đồ công việc'!X533="","",'Bản đồ công việc'!AD533)</f>
        <v/>
      </c>
      <c r="S517" s="389" t="str">
        <f>IF('Bản đồ công việc'!X533="","",'Bản đồ công việc'!Z533)</f>
        <v/>
      </c>
      <c r="T517" s="389" t="str">
        <f>IF('Bản đồ công việc'!X533="","",'Bản đồ công việc'!AA533)</f>
        <v/>
      </c>
      <c r="U517" s="389" t="str">
        <f>IF('Bản đồ công việc'!X533="","",'Bản đồ công việc'!AE533)</f>
        <v/>
      </c>
      <c r="V517" s="389" t="str">
        <f>IF('Bản đồ công việc'!X533="","",'Bản đồ công việc'!AI533)</f>
        <v/>
      </c>
      <c r="W517" s="389">
        <f t="shared" si="2"/>
        <v>0</v>
      </c>
      <c r="X517" s="389" t="str">
        <f t="shared" si="3"/>
        <v/>
      </c>
      <c r="Y517" s="389" t="str">
        <f t="shared" ref="Y517:Z517" si="513">IFERROR(INDEX($O$8:$O$684,MATCH(X517,$N$8:$N$684,0)),"")</f>
        <v/>
      </c>
      <c r="Z517" s="389" t="str">
        <f t="shared" si="513"/>
        <v/>
      </c>
      <c r="AA517" s="389">
        <f t="shared" si="5"/>
        <v>0</v>
      </c>
    </row>
    <row r="518" ht="15.75" customHeight="1">
      <c r="M518" s="389" t="str">
        <f>IF('Bản đồ công việc'!X534="","",'Bản đồ công việc'!W534)</f>
        <v/>
      </c>
      <c r="N518" s="389" t="str">
        <f>IF('Bản đồ công việc'!X534="","",'Bản đồ công việc'!X534)</f>
        <v/>
      </c>
      <c r="O518" s="389" t="str">
        <f>IF('Bản đồ công việc'!X534="","",'Bản đồ công việc'!Y534)</f>
        <v/>
      </c>
      <c r="P518" s="389" t="str">
        <f>IF('Bản đồ công việc'!X534="","",'Bản đồ công việc'!V534)</f>
        <v/>
      </c>
      <c r="Q518" s="389" t="str">
        <f>IF('Bản đồ công việc'!X534="","",'Bản đồ công việc'!AC534)</f>
        <v/>
      </c>
      <c r="R518" s="389" t="str">
        <f>IF('Bản đồ công việc'!X534="","",'Bản đồ công việc'!AD534)</f>
        <v/>
      </c>
      <c r="S518" s="389" t="str">
        <f>IF('Bản đồ công việc'!X534="","",'Bản đồ công việc'!Z534)</f>
        <v/>
      </c>
      <c r="T518" s="389" t="str">
        <f>IF('Bản đồ công việc'!X534="","",'Bản đồ công việc'!AA534)</f>
        <v/>
      </c>
      <c r="U518" s="389" t="str">
        <f>IF('Bản đồ công việc'!X534="","",'Bản đồ công việc'!AE534)</f>
        <v/>
      </c>
      <c r="V518" s="389" t="str">
        <f>IF('Bản đồ công việc'!X534="","",'Bản đồ công việc'!AI534)</f>
        <v/>
      </c>
      <c r="W518" s="389">
        <f t="shared" si="2"/>
        <v>0</v>
      </c>
      <c r="X518" s="389" t="str">
        <f t="shared" si="3"/>
        <v/>
      </c>
      <c r="Y518" s="389" t="str">
        <f t="shared" ref="Y518:Z518" si="514">IFERROR(INDEX($O$8:$O$684,MATCH(X518,$N$8:$N$684,0)),"")</f>
        <v/>
      </c>
      <c r="Z518" s="389" t="str">
        <f t="shared" si="514"/>
        <v/>
      </c>
      <c r="AA518" s="389">
        <f t="shared" si="5"/>
        <v>0</v>
      </c>
    </row>
    <row r="519" ht="15.75" customHeight="1">
      <c r="M519" s="389" t="str">
        <f>IF('Bản đồ công việc'!X535="","",'Bản đồ công việc'!W535)</f>
        <v/>
      </c>
      <c r="N519" s="389" t="str">
        <f>IF('Bản đồ công việc'!X535="","",'Bản đồ công việc'!X535)</f>
        <v/>
      </c>
      <c r="O519" s="389" t="str">
        <f>IF('Bản đồ công việc'!X535="","",'Bản đồ công việc'!Y535)</f>
        <v/>
      </c>
      <c r="P519" s="389" t="str">
        <f>IF('Bản đồ công việc'!X535="","",'Bản đồ công việc'!V535)</f>
        <v/>
      </c>
      <c r="Q519" s="389" t="str">
        <f>IF('Bản đồ công việc'!X535="","",'Bản đồ công việc'!AC535)</f>
        <v/>
      </c>
      <c r="R519" s="389" t="str">
        <f>IF('Bản đồ công việc'!X535="","",'Bản đồ công việc'!AD535)</f>
        <v/>
      </c>
      <c r="S519" s="389" t="str">
        <f>IF('Bản đồ công việc'!X535="","",'Bản đồ công việc'!Z535)</f>
        <v/>
      </c>
      <c r="T519" s="389" t="str">
        <f>IF('Bản đồ công việc'!X535="","",'Bản đồ công việc'!AA535)</f>
        <v/>
      </c>
      <c r="U519" s="389" t="str">
        <f>IF('Bản đồ công việc'!X535="","",'Bản đồ công việc'!AE535)</f>
        <v/>
      </c>
      <c r="V519" s="389" t="str">
        <f>IF('Bản đồ công việc'!X535="","",'Bản đồ công việc'!AI535)</f>
        <v/>
      </c>
      <c r="W519" s="389">
        <f t="shared" si="2"/>
        <v>0</v>
      </c>
      <c r="X519" s="389" t="str">
        <f t="shared" si="3"/>
        <v/>
      </c>
      <c r="Y519" s="389" t="str">
        <f t="shared" ref="Y519:Z519" si="515">IFERROR(INDEX($O$8:$O$684,MATCH(X519,$N$8:$N$684,0)),"")</f>
        <v/>
      </c>
      <c r="Z519" s="389" t="str">
        <f t="shared" si="515"/>
        <v/>
      </c>
      <c r="AA519" s="389">
        <f t="shared" si="5"/>
        <v>0</v>
      </c>
    </row>
    <row r="520" ht="15.75" customHeight="1">
      <c r="M520" s="389" t="str">
        <f>IF('Bản đồ công việc'!X536="","",'Bản đồ công việc'!W536)</f>
        <v/>
      </c>
      <c r="N520" s="389" t="str">
        <f>IF('Bản đồ công việc'!X536="","",'Bản đồ công việc'!X536)</f>
        <v/>
      </c>
      <c r="O520" s="389" t="str">
        <f>IF('Bản đồ công việc'!X536="","",'Bản đồ công việc'!Y536)</f>
        <v/>
      </c>
      <c r="P520" s="389" t="str">
        <f>IF('Bản đồ công việc'!X536="","",'Bản đồ công việc'!V536)</f>
        <v/>
      </c>
      <c r="Q520" s="389" t="str">
        <f>IF('Bản đồ công việc'!X536="","",'Bản đồ công việc'!AC536)</f>
        <v/>
      </c>
      <c r="R520" s="389" t="str">
        <f>IF('Bản đồ công việc'!X536="","",'Bản đồ công việc'!AD536)</f>
        <v/>
      </c>
      <c r="S520" s="389" t="str">
        <f>IF('Bản đồ công việc'!X536="","",'Bản đồ công việc'!Z536)</f>
        <v/>
      </c>
      <c r="T520" s="389" t="str">
        <f>IF('Bản đồ công việc'!X536="","",'Bản đồ công việc'!AA536)</f>
        <v/>
      </c>
      <c r="U520" s="389" t="str">
        <f>IF('Bản đồ công việc'!X536="","",'Bản đồ công việc'!AE536)</f>
        <v/>
      </c>
      <c r="V520" s="389" t="str">
        <f>IF('Bản đồ công việc'!X536="","",'Bản đồ công việc'!AI536)</f>
        <v/>
      </c>
      <c r="W520" s="389">
        <f t="shared" si="2"/>
        <v>0</v>
      </c>
      <c r="X520" s="389" t="str">
        <f t="shared" si="3"/>
        <v/>
      </c>
      <c r="Y520" s="389" t="str">
        <f t="shared" ref="Y520:Z520" si="516">IFERROR(INDEX($O$8:$O$684,MATCH(X520,$N$8:$N$684,0)),"")</f>
        <v/>
      </c>
      <c r="Z520" s="389" t="str">
        <f t="shared" si="516"/>
        <v/>
      </c>
      <c r="AA520" s="389">
        <f t="shared" si="5"/>
        <v>0</v>
      </c>
    </row>
    <row r="521" ht="15.75" customHeight="1">
      <c r="M521" s="389" t="str">
        <f>IF('Bản đồ công việc'!X537="","",'Bản đồ công việc'!W537)</f>
        <v/>
      </c>
      <c r="N521" s="389" t="str">
        <f>IF('Bản đồ công việc'!X537="","",'Bản đồ công việc'!X537)</f>
        <v/>
      </c>
      <c r="O521" s="389" t="str">
        <f>IF('Bản đồ công việc'!X537="","",'Bản đồ công việc'!Y537)</f>
        <v/>
      </c>
      <c r="P521" s="389" t="str">
        <f>IF('Bản đồ công việc'!X537="","",'Bản đồ công việc'!V537)</f>
        <v/>
      </c>
      <c r="Q521" s="389" t="str">
        <f>IF('Bản đồ công việc'!X537="","",'Bản đồ công việc'!AC537)</f>
        <v/>
      </c>
      <c r="R521" s="389" t="str">
        <f>IF('Bản đồ công việc'!X537="","",'Bản đồ công việc'!AD537)</f>
        <v/>
      </c>
      <c r="S521" s="389" t="str">
        <f>IF('Bản đồ công việc'!X537="","",'Bản đồ công việc'!Z537)</f>
        <v/>
      </c>
      <c r="T521" s="389" t="str">
        <f>IF('Bản đồ công việc'!X537="","",'Bản đồ công việc'!AA537)</f>
        <v/>
      </c>
      <c r="U521" s="389" t="str">
        <f>IF('Bản đồ công việc'!X537="","",'Bản đồ công việc'!AE537)</f>
        <v/>
      </c>
      <c r="V521" s="389" t="str">
        <f>IF('Bản đồ công việc'!X537="","",'Bản đồ công việc'!AI537)</f>
        <v/>
      </c>
      <c r="W521" s="389">
        <f t="shared" si="2"/>
        <v>0</v>
      </c>
      <c r="X521" s="389" t="str">
        <f t="shared" si="3"/>
        <v/>
      </c>
      <c r="Y521" s="389" t="str">
        <f t="shared" ref="Y521:Z521" si="517">IFERROR(INDEX($O$8:$O$684,MATCH(X521,$N$8:$N$684,0)),"")</f>
        <v/>
      </c>
      <c r="Z521" s="389" t="str">
        <f t="shared" si="517"/>
        <v/>
      </c>
      <c r="AA521" s="389">
        <f t="shared" si="5"/>
        <v>0</v>
      </c>
    </row>
    <row r="522" ht="15.75" customHeight="1">
      <c r="M522" s="389" t="str">
        <f>IF('Bản đồ công việc'!X538="","",'Bản đồ công việc'!W538)</f>
        <v/>
      </c>
      <c r="N522" s="389" t="str">
        <f>IF('Bản đồ công việc'!X538="","",'Bản đồ công việc'!X538)</f>
        <v/>
      </c>
      <c r="O522" s="389" t="str">
        <f>IF('Bản đồ công việc'!X538="","",'Bản đồ công việc'!Y538)</f>
        <v/>
      </c>
      <c r="P522" s="389" t="str">
        <f>IF('Bản đồ công việc'!X538="","",'Bản đồ công việc'!V538)</f>
        <v/>
      </c>
      <c r="Q522" s="389" t="str">
        <f>IF('Bản đồ công việc'!X538="","",'Bản đồ công việc'!AC538)</f>
        <v/>
      </c>
      <c r="R522" s="389" t="str">
        <f>IF('Bản đồ công việc'!X538="","",'Bản đồ công việc'!AD538)</f>
        <v/>
      </c>
      <c r="S522" s="389" t="str">
        <f>IF('Bản đồ công việc'!X538="","",'Bản đồ công việc'!Z538)</f>
        <v/>
      </c>
      <c r="T522" s="389" t="str">
        <f>IF('Bản đồ công việc'!X538="","",'Bản đồ công việc'!AA538)</f>
        <v/>
      </c>
      <c r="U522" s="389" t="str">
        <f>IF('Bản đồ công việc'!X538="","",'Bản đồ công việc'!AE538)</f>
        <v/>
      </c>
      <c r="V522" s="389" t="str">
        <f>IF('Bản đồ công việc'!X538="","",'Bản đồ công việc'!AI538)</f>
        <v/>
      </c>
      <c r="W522" s="389">
        <f t="shared" si="2"/>
        <v>0</v>
      </c>
      <c r="X522" s="389" t="str">
        <f t="shared" si="3"/>
        <v/>
      </c>
      <c r="Y522" s="389" t="str">
        <f t="shared" ref="Y522:Z522" si="518">IFERROR(INDEX($O$8:$O$684,MATCH(X522,$N$8:$N$684,0)),"")</f>
        <v/>
      </c>
      <c r="Z522" s="389" t="str">
        <f t="shared" si="518"/>
        <v/>
      </c>
      <c r="AA522" s="389">
        <f t="shared" si="5"/>
        <v>0</v>
      </c>
    </row>
    <row r="523" ht="15.75" customHeight="1">
      <c r="M523" s="389" t="str">
        <f>IF('Bản đồ công việc'!X539="","",'Bản đồ công việc'!W539)</f>
        <v/>
      </c>
      <c r="N523" s="389" t="str">
        <f>IF('Bản đồ công việc'!X539="","",'Bản đồ công việc'!X539)</f>
        <v/>
      </c>
      <c r="O523" s="389" t="str">
        <f>IF('Bản đồ công việc'!X539="","",'Bản đồ công việc'!Y539)</f>
        <v/>
      </c>
      <c r="P523" s="389" t="str">
        <f>IF('Bản đồ công việc'!X539="","",'Bản đồ công việc'!V539)</f>
        <v/>
      </c>
      <c r="Q523" s="389" t="str">
        <f>IF('Bản đồ công việc'!X539="","",'Bản đồ công việc'!AC539)</f>
        <v/>
      </c>
      <c r="R523" s="389" t="str">
        <f>IF('Bản đồ công việc'!X539="","",'Bản đồ công việc'!AD539)</f>
        <v/>
      </c>
      <c r="S523" s="389" t="str">
        <f>IF('Bản đồ công việc'!X539="","",'Bản đồ công việc'!Z539)</f>
        <v/>
      </c>
      <c r="T523" s="389" t="str">
        <f>IF('Bản đồ công việc'!X539="","",'Bản đồ công việc'!AA539)</f>
        <v/>
      </c>
      <c r="U523" s="389" t="str">
        <f>IF('Bản đồ công việc'!X539="","",'Bản đồ công việc'!AE539)</f>
        <v/>
      </c>
      <c r="V523" s="389" t="str">
        <f>IF('Bản đồ công việc'!X539="","",'Bản đồ công việc'!AI539)</f>
        <v/>
      </c>
      <c r="W523" s="389">
        <f t="shared" si="2"/>
        <v>0</v>
      </c>
      <c r="X523" s="389" t="str">
        <f t="shared" si="3"/>
        <v/>
      </c>
      <c r="Y523" s="389" t="str">
        <f t="shared" ref="Y523:Z523" si="519">IFERROR(INDEX($O$8:$O$684,MATCH(X523,$N$8:$N$684,0)),"")</f>
        <v/>
      </c>
      <c r="Z523" s="389" t="str">
        <f t="shared" si="519"/>
        <v/>
      </c>
      <c r="AA523" s="389">
        <f t="shared" si="5"/>
        <v>0</v>
      </c>
    </row>
    <row r="524" ht="15.75" customHeight="1">
      <c r="M524" s="389" t="str">
        <f>IF('Bản đồ công việc'!X540="","",'Bản đồ công việc'!W540)</f>
        <v/>
      </c>
      <c r="N524" s="389" t="str">
        <f>IF('Bản đồ công việc'!X540="","",'Bản đồ công việc'!X540)</f>
        <v/>
      </c>
      <c r="O524" s="389" t="str">
        <f>IF('Bản đồ công việc'!X540="","",'Bản đồ công việc'!Y540)</f>
        <v/>
      </c>
      <c r="P524" s="389" t="str">
        <f>IF('Bản đồ công việc'!X540="","",'Bản đồ công việc'!V540)</f>
        <v/>
      </c>
      <c r="Q524" s="389" t="str">
        <f>IF('Bản đồ công việc'!X540="","",'Bản đồ công việc'!AC540)</f>
        <v/>
      </c>
      <c r="R524" s="389" t="str">
        <f>IF('Bản đồ công việc'!X540="","",'Bản đồ công việc'!AD540)</f>
        <v/>
      </c>
      <c r="S524" s="389" t="str">
        <f>IF('Bản đồ công việc'!X540="","",'Bản đồ công việc'!Z540)</f>
        <v/>
      </c>
      <c r="T524" s="389" t="str">
        <f>IF('Bản đồ công việc'!X540="","",'Bản đồ công việc'!AA540)</f>
        <v/>
      </c>
      <c r="U524" s="389" t="str">
        <f>IF('Bản đồ công việc'!X540="","",'Bản đồ công việc'!AE540)</f>
        <v/>
      </c>
      <c r="V524" s="389" t="str">
        <f>IF('Bản đồ công việc'!X540="","",'Bản đồ công việc'!AI540)</f>
        <v/>
      </c>
      <c r="W524" s="389">
        <f t="shared" si="2"/>
        <v>0</v>
      </c>
      <c r="X524" s="389" t="str">
        <f t="shared" si="3"/>
        <v/>
      </c>
      <c r="Y524" s="389" t="str">
        <f t="shared" ref="Y524:Z524" si="520">IFERROR(INDEX($O$8:$O$684,MATCH(X524,$N$8:$N$684,0)),"")</f>
        <v/>
      </c>
      <c r="Z524" s="389" t="str">
        <f t="shared" si="520"/>
        <v/>
      </c>
      <c r="AA524" s="389">
        <f t="shared" si="5"/>
        <v>0</v>
      </c>
    </row>
    <row r="525" ht="15.75" customHeight="1">
      <c r="M525" s="389" t="str">
        <f>IF('Bản đồ công việc'!X541="","",'Bản đồ công việc'!W541)</f>
        <v/>
      </c>
      <c r="N525" s="389" t="str">
        <f>IF('Bản đồ công việc'!X541="","",'Bản đồ công việc'!X541)</f>
        <v/>
      </c>
      <c r="O525" s="389" t="str">
        <f>IF('Bản đồ công việc'!X541="","",'Bản đồ công việc'!Y541)</f>
        <v/>
      </c>
      <c r="P525" s="389" t="str">
        <f>IF('Bản đồ công việc'!X541="","",'Bản đồ công việc'!V541)</f>
        <v/>
      </c>
      <c r="Q525" s="389" t="str">
        <f>IF('Bản đồ công việc'!X541="","",'Bản đồ công việc'!AC541)</f>
        <v/>
      </c>
      <c r="R525" s="389" t="str">
        <f>IF('Bản đồ công việc'!X541="","",'Bản đồ công việc'!AD541)</f>
        <v/>
      </c>
      <c r="S525" s="389" t="str">
        <f>IF('Bản đồ công việc'!X541="","",'Bản đồ công việc'!Z541)</f>
        <v/>
      </c>
      <c r="T525" s="389" t="str">
        <f>IF('Bản đồ công việc'!X541="","",'Bản đồ công việc'!AA541)</f>
        <v/>
      </c>
      <c r="U525" s="389" t="str">
        <f>IF('Bản đồ công việc'!X541="","",'Bản đồ công việc'!AE541)</f>
        <v/>
      </c>
      <c r="V525" s="389" t="str">
        <f>IF('Bản đồ công việc'!X541="","",'Bản đồ công việc'!AI541)</f>
        <v/>
      </c>
      <c r="W525" s="389">
        <f t="shared" si="2"/>
        <v>0</v>
      </c>
      <c r="X525" s="389" t="str">
        <f t="shared" si="3"/>
        <v/>
      </c>
      <c r="Y525" s="389" t="str">
        <f t="shared" ref="Y525:Z525" si="521">IFERROR(INDEX($O$8:$O$684,MATCH(X525,$N$8:$N$684,0)),"")</f>
        <v/>
      </c>
      <c r="Z525" s="389" t="str">
        <f t="shared" si="521"/>
        <v/>
      </c>
      <c r="AA525" s="389">
        <f t="shared" si="5"/>
        <v>0</v>
      </c>
    </row>
    <row r="526" ht="15.75" customHeight="1">
      <c r="M526" s="389" t="str">
        <f>IF('Bản đồ công việc'!X542="","",'Bản đồ công việc'!W542)</f>
        <v/>
      </c>
      <c r="N526" s="389" t="str">
        <f>IF('Bản đồ công việc'!X542="","",'Bản đồ công việc'!X542)</f>
        <v/>
      </c>
      <c r="O526" s="389" t="str">
        <f>IF('Bản đồ công việc'!X542="","",'Bản đồ công việc'!Y542)</f>
        <v/>
      </c>
      <c r="P526" s="389" t="str">
        <f>IF('Bản đồ công việc'!X542="","",'Bản đồ công việc'!V542)</f>
        <v/>
      </c>
      <c r="Q526" s="389" t="str">
        <f>IF('Bản đồ công việc'!X542="","",'Bản đồ công việc'!AC542)</f>
        <v/>
      </c>
      <c r="R526" s="389" t="str">
        <f>IF('Bản đồ công việc'!X542="","",'Bản đồ công việc'!AD542)</f>
        <v/>
      </c>
      <c r="S526" s="389" t="str">
        <f>IF('Bản đồ công việc'!X542="","",'Bản đồ công việc'!Z542)</f>
        <v/>
      </c>
      <c r="T526" s="389" t="str">
        <f>IF('Bản đồ công việc'!X542="","",'Bản đồ công việc'!AA542)</f>
        <v/>
      </c>
      <c r="U526" s="389" t="str">
        <f>IF('Bản đồ công việc'!X542="","",'Bản đồ công việc'!AE542)</f>
        <v/>
      </c>
      <c r="V526" s="389" t="str">
        <f>IF('Bản đồ công việc'!X542="","",'Bản đồ công việc'!AI542)</f>
        <v/>
      </c>
      <c r="W526" s="389">
        <f t="shared" si="2"/>
        <v>0</v>
      </c>
      <c r="X526" s="389" t="str">
        <f t="shared" si="3"/>
        <v/>
      </c>
      <c r="Y526" s="389" t="str">
        <f t="shared" ref="Y526:Z526" si="522">IFERROR(INDEX($O$8:$O$684,MATCH(X526,$N$8:$N$684,0)),"")</f>
        <v/>
      </c>
      <c r="Z526" s="389" t="str">
        <f t="shared" si="522"/>
        <v/>
      </c>
      <c r="AA526" s="389">
        <f t="shared" si="5"/>
        <v>0</v>
      </c>
    </row>
    <row r="527" ht="15.75" customHeight="1">
      <c r="M527" s="389" t="str">
        <f>IF('Bản đồ công việc'!X543="","",'Bản đồ công việc'!W543)</f>
        <v/>
      </c>
      <c r="N527" s="389" t="str">
        <f>IF('Bản đồ công việc'!X543="","",'Bản đồ công việc'!X543)</f>
        <v/>
      </c>
      <c r="O527" s="389" t="str">
        <f>IF('Bản đồ công việc'!X543="","",'Bản đồ công việc'!Y543)</f>
        <v/>
      </c>
      <c r="P527" s="389" t="str">
        <f>IF('Bản đồ công việc'!X543="","",'Bản đồ công việc'!V543)</f>
        <v/>
      </c>
      <c r="Q527" s="389" t="str">
        <f>IF('Bản đồ công việc'!X543="","",'Bản đồ công việc'!AC543)</f>
        <v/>
      </c>
      <c r="R527" s="389" t="str">
        <f>IF('Bản đồ công việc'!X543="","",'Bản đồ công việc'!AD543)</f>
        <v/>
      </c>
      <c r="S527" s="389" t="str">
        <f>IF('Bản đồ công việc'!X543="","",'Bản đồ công việc'!Z543)</f>
        <v/>
      </c>
      <c r="T527" s="389" t="str">
        <f>IF('Bản đồ công việc'!X543="","",'Bản đồ công việc'!AA543)</f>
        <v/>
      </c>
      <c r="U527" s="389" t="str">
        <f>IF('Bản đồ công việc'!X543="","",'Bản đồ công việc'!AE543)</f>
        <v/>
      </c>
      <c r="V527" s="389" t="str">
        <f>IF('Bản đồ công việc'!X543="","",'Bản đồ công việc'!AI543)</f>
        <v/>
      </c>
      <c r="W527" s="389">
        <f t="shared" si="2"/>
        <v>0</v>
      </c>
      <c r="X527" s="389" t="str">
        <f t="shared" si="3"/>
        <v/>
      </c>
      <c r="Y527" s="389" t="str">
        <f t="shared" ref="Y527:Z527" si="523">IFERROR(INDEX($O$8:$O$684,MATCH(X527,$N$8:$N$684,0)),"")</f>
        <v/>
      </c>
      <c r="Z527" s="389" t="str">
        <f t="shared" si="523"/>
        <v/>
      </c>
      <c r="AA527" s="389">
        <f t="shared" si="5"/>
        <v>0</v>
      </c>
    </row>
    <row r="528" ht="15.75" customHeight="1">
      <c r="M528" s="389" t="str">
        <f>IF('Bản đồ công việc'!X544="","",'Bản đồ công việc'!W544)</f>
        <v/>
      </c>
      <c r="N528" s="389" t="str">
        <f>IF('Bản đồ công việc'!X544="","",'Bản đồ công việc'!X544)</f>
        <v/>
      </c>
      <c r="O528" s="389" t="str">
        <f>IF('Bản đồ công việc'!X544="","",'Bản đồ công việc'!Y544)</f>
        <v/>
      </c>
      <c r="P528" s="389" t="str">
        <f>IF('Bản đồ công việc'!X544="","",'Bản đồ công việc'!V544)</f>
        <v/>
      </c>
      <c r="Q528" s="389" t="str">
        <f>IF('Bản đồ công việc'!X544="","",'Bản đồ công việc'!AC544)</f>
        <v/>
      </c>
      <c r="R528" s="389" t="str">
        <f>IF('Bản đồ công việc'!X544="","",'Bản đồ công việc'!AD544)</f>
        <v/>
      </c>
      <c r="S528" s="389" t="str">
        <f>IF('Bản đồ công việc'!X544="","",'Bản đồ công việc'!Z544)</f>
        <v/>
      </c>
      <c r="T528" s="389" t="str">
        <f>IF('Bản đồ công việc'!X544="","",'Bản đồ công việc'!AA544)</f>
        <v/>
      </c>
      <c r="U528" s="389" t="str">
        <f>IF('Bản đồ công việc'!X544="","",'Bản đồ công việc'!AE544)</f>
        <v/>
      </c>
      <c r="V528" s="389" t="str">
        <f>IF('Bản đồ công việc'!X544="","",'Bản đồ công việc'!AI544)</f>
        <v/>
      </c>
      <c r="W528" s="389">
        <f t="shared" si="2"/>
        <v>0</v>
      </c>
      <c r="X528" s="389" t="str">
        <f t="shared" si="3"/>
        <v/>
      </c>
      <c r="Y528" s="389" t="str">
        <f t="shared" ref="Y528:Z528" si="524">IFERROR(INDEX($O$8:$O$684,MATCH(X528,$N$8:$N$684,0)),"")</f>
        <v/>
      </c>
      <c r="Z528" s="389" t="str">
        <f t="shared" si="524"/>
        <v/>
      </c>
      <c r="AA528" s="389">
        <f t="shared" si="5"/>
        <v>0</v>
      </c>
    </row>
    <row r="529" ht="15.75" customHeight="1">
      <c r="M529" s="389" t="str">
        <f>IF('Bản đồ công việc'!X545="","",'Bản đồ công việc'!W545)</f>
        <v/>
      </c>
      <c r="N529" s="389" t="str">
        <f>IF('Bản đồ công việc'!X545="","",'Bản đồ công việc'!X545)</f>
        <v/>
      </c>
      <c r="O529" s="389" t="str">
        <f>IF('Bản đồ công việc'!X545="","",'Bản đồ công việc'!Y545)</f>
        <v/>
      </c>
      <c r="P529" s="389" t="str">
        <f>IF('Bản đồ công việc'!X545="","",'Bản đồ công việc'!V545)</f>
        <v/>
      </c>
      <c r="Q529" s="389" t="str">
        <f>IF('Bản đồ công việc'!X545="","",'Bản đồ công việc'!AC545)</f>
        <v/>
      </c>
      <c r="R529" s="389" t="str">
        <f>IF('Bản đồ công việc'!X545="","",'Bản đồ công việc'!AD545)</f>
        <v/>
      </c>
      <c r="S529" s="389" t="str">
        <f>IF('Bản đồ công việc'!X545="","",'Bản đồ công việc'!Z545)</f>
        <v/>
      </c>
      <c r="T529" s="389" t="str">
        <f>IF('Bản đồ công việc'!X545="","",'Bản đồ công việc'!AA545)</f>
        <v/>
      </c>
      <c r="U529" s="389" t="str">
        <f>IF('Bản đồ công việc'!X545="","",'Bản đồ công việc'!AE545)</f>
        <v/>
      </c>
      <c r="V529" s="389" t="str">
        <f>IF('Bản đồ công việc'!X545="","",'Bản đồ công việc'!AI545)</f>
        <v/>
      </c>
      <c r="W529" s="389">
        <f t="shared" si="2"/>
        <v>0</v>
      </c>
      <c r="X529" s="389" t="str">
        <f t="shared" si="3"/>
        <v/>
      </c>
      <c r="Y529" s="389" t="str">
        <f t="shared" ref="Y529:Z529" si="525">IFERROR(INDEX($O$8:$O$684,MATCH(X529,$N$8:$N$684,0)),"")</f>
        <v/>
      </c>
      <c r="Z529" s="389" t="str">
        <f t="shared" si="525"/>
        <v/>
      </c>
      <c r="AA529" s="389">
        <f t="shared" si="5"/>
        <v>0</v>
      </c>
    </row>
    <row r="530" ht="15.75" customHeight="1">
      <c r="M530" s="389" t="str">
        <f>IF('Bản đồ công việc'!X546="","",'Bản đồ công việc'!W546)</f>
        <v/>
      </c>
      <c r="N530" s="389" t="str">
        <f>IF('Bản đồ công việc'!X546="","",'Bản đồ công việc'!X546)</f>
        <v/>
      </c>
      <c r="O530" s="389" t="str">
        <f>IF('Bản đồ công việc'!X546="","",'Bản đồ công việc'!Y546)</f>
        <v/>
      </c>
      <c r="P530" s="389" t="str">
        <f>IF('Bản đồ công việc'!X546="","",'Bản đồ công việc'!V546)</f>
        <v/>
      </c>
      <c r="Q530" s="389" t="str">
        <f>IF('Bản đồ công việc'!X546="","",'Bản đồ công việc'!AC546)</f>
        <v/>
      </c>
      <c r="R530" s="389" t="str">
        <f>IF('Bản đồ công việc'!X546="","",'Bản đồ công việc'!AD546)</f>
        <v/>
      </c>
      <c r="S530" s="389" t="str">
        <f>IF('Bản đồ công việc'!X546="","",'Bản đồ công việc'!Z546)</f>
        <v/>
      </c>
      <c r="T530" s="389" t="str">
        <f>IF('Bản đồ công việc'!X546="","",'Bản đồ công việc'!AA546)</f>
        <v/>
      </c>
      <c r="U530" s="389" t="str">
        <f>IF('Bản đồ công việc'!X546="","",'Bản đồ công việc'!AE546)</f>
        <v/>
      </c>
      <c r="V530" s="389" t="str">
        <f>IF('Bản đồ công việc'!X546="","",'Bản đồ công việc'!AI546)</f>
        <v/>
      </c>
      <c r="W530" s="389">
        <f t="shared" si="2"/>
        <v>0</v>
      </c>
      <c r="X530" s="389" t="str">
        <f t="shared" si="3"/>
        <v/>
      </c>
      <c r="Y530" s="389" t="str">
        <f t="shared" ref="Y530:Z530" si="526">IFERROR(INDEX($O$8:$O$684,MATCH(X530,$N$8:$N$684,0)),"")</f>
        <v/>
      </c>
      <c r="Z530" s="389" t="str">
        <f t="shared" si="526"/>
        <v/>
      </c>
      <c r="AA530" s="389">
        <f t="shared" si="5"/>
        <v>0</v>
      </c>
    </row>
    <row r="531" ht="15.75" customHeight="1">
      <c r="M531" s="389" t="str">
        <f>IF('Bản đồ công việc'!X547="","",'Bản đồ công việc'!W547)</f>
        <v/>
      </c>
      <c r="N531" s="389" t="str">
        <f>IF('Bản đồ công việc'!X547="","",'Bản đồ công việc'!X547)</f>
        <v/>
      </c>
      <c r="O531" s="389" t="str">
        <f>IF('Bản đồ công việc'!X547="","",'Bản đồ công việc'!Y547)</f>
        <v/>
      </c>
      <c r="P531" s="389" t="str">
        <f>IF('Bản đồ công việc'!X547="","",'Bản đồ công việc'!V547)</f>
        <v/>
      </c>
      <c r="Q531" s="389" t="str">
        <f>IF('Bản đồ công việc'!X547="","",'Bản đồ công việc'!AC547)</f>
        <v/>
      </c>
      <c r="R531" s="389" t="str">
        <f>IF('Bản đồ công việc'!X547="","",'Bản đồ công việc'!AD547)</f>
        <v/>
      </c>
      <c r="S531" s="389" t="str">
        <f>IF('Bản đồ công việc'!X547="","",'Bản đồ công việc'!Z547)</f>
        <v/>
      </c>
      <c r="T531" s="389" t="str">
        <f>IF('Bản đồ công việc'!X547="","",'Bản đồ công việc'!AA547)</f>
        <v/>
      </c>
      <c r="U531" s="389" t="str">
        <f>IF('Bản đồ công việc'!X547="","",'Bản đồ công việc'!AE547)</f>
        <v/>
      </c>
      <c r="V531" s="389" t="str">
        <f>IF('Bản đồ công việc'!X547="","",'Bản đồ công việc'!AI547)</f>
        <v/>
      </c>
      <c r="W531" s="389">
        <f t="shared" si="2"/>
        <v>0</v>
      </c>
      <c r="X531" s="389" t="str">
        <f t="shared" si="3"/>
        <v/>
      </c>
      <c r="Y531" s="389" t="str">
        <f t="shared" ref="Y531:Z531" si="527">IFERROR(INDEX($O$8:$O$684,MATCH(X531,$N$8:$N$684,0)),"")</f>
        <v/>
      </c>
      <c r="Z531" s="389" t="str">
        <f t="shared" si="527"/>
        <v/>
      </c>
      <c r="AA531" s="389">
        <f t="shared" si="5"/>
        <v>0</v>
      </c>
    </row>
    <row r="532" ht="15.75" customHeight="1">
      <c r="M532" s="389" t="str">
        <f>IF('Bản đồ công việc'!X548="","",'Bản đồ công việc'!W548)</f>
        <v/>
      </c>
      <c r="N532" s="389" t="str">
        <f>IF('Bản đồ công việc'!X548="","",'Bản đồ công việc'!X548)</f>
        <v/>
      </c>
      <c r="O532" s="389" t="str">
        <f>IF('Bản đồ công việc'!X548="","",'Bản đồ công việc'!Y548)</f>
        <v/>
      </c>
      <c r="P532" s="389" t="str">
        <f>IF('Bản đồ công việc'!X548="","",'Bản đồ công việc'!V548)</f>
        <v/>
      </c>
      <c r="Q532" s="389" t="str">
        <f>IF('Bản đồ công việc'!X548="","",'Bản đồ công việc'!AC548)</f>
        <v/>
      </c>
      <c r="R532" s="389" t="str">
        <f>IF('Bản đồ công việc'!X548="","",'Bản đồ công việc'!AD548)</f>
        <v/>
      </c>
      <c r="S532" s="389" t="str">
        <f>IF('Bản đồ công việc'!X548="","",'Bản đồ công việc'!Z548)</f>
        <v/>
      </c>
      <c r="T532" s="389" t="str">
        <f>IF('Bản đồ công việc'!X548="","",'Bản đồ công việc'!AA548)</f>
        <v/>
      </c>
      <c r="U532" s="389" t="str">
        <f>IF('Bản đồ công việc'!X548="","",'Bản đồ công việc'!AE548)</f>
        <v/>
      </c>
      <c r="V532" s="389" t="str">
        <f>IF('Bản đồ công việc'!X548="","",'Bản đồ công việc'!AI548)</f>
        <v/>
      </c>
      <c r="W532" s="389">
        <f t="shared" si="2"/>
        <v>0</v>
      </c>
      <c r="X532" s="389" t="str">
        <f t="shared" si="3"/>
        <v/>
      </c>
      <c r="Y532" s="389" t="str">
        <f t="shared" ref="Y532:Z532" si="528">IFERROR(INDEX($O$8:$O$684,MATCH(X532,$N$8:$N$684,0)),"")</f>
        <v/>
      </c>
      <c r="Z532" s="389" t="str">
        <f t="shared" si="528"/>
        <v/>
      </c>
      <c r="AA532" s="389">
        <f t="shared" si="5"/>
        <v>0</v>
      </c>
    </row>
    <row r="533" ht="15.75" customHeight="1">
      <c r="M533" s="389" t="str">
        <f>IF('Bản đồ công việc'!X549="","",'Bản đồ công việc'!W549)</f>
        <v/>
      </c>
      <c r="N533" s="389" t="str">
        <f>IF('Bản đồ công việc'!X549="","",'Bản đồ công việc'!X549)</f>
        <v/>
      </c>
      <c r="O533" s="389" t="str">
        <f>IF('Bản đồ công việc'!X549="","",'Bản đồ công việc'!Y549)</f>
        <v/>
      </c>
      <c r="P533" s="389" t="str">
        <f>IF('Bản đồ công việc'!X549="","",'Bản đồ công việc'!V549)</f>
        <v/>
      </c>
      <c r="Q533" s="389" t="str">
        <f>IF('Bản đồ công việc'!X549="","",'Bản đồ công việc'!AC549)</f>
        <v/>
      </c>
      <c r="R533" s="389" t="str">
        <f>IF('Bản đồ công việc'!X549="","",'Bản đồ công việc'!AD549)</f>
        <v/>
      </c>
      <c r="S533" s="389" t="str">
        <f>IF('Bản đồ công việc'!X549="","",'Bản đồ công việc'!Z549)</f>
        <v/>
      </c>
      <c r="T533" s="389" t="str">
        <f>IF('Bản đồ công việc'!X549="","",'Bản đồ công việc'!AA549)</f>
        <v/>
      </c>
      <c r="U533" s="389" t="str">
        <f>IF('Bản đồ công việc'!X549="","",'Bản đồ công việc'!AE549)</f>
        <v/>
      </c>
      <c r="V533" s="389" t="str">
        <f>IF('Bản đồ công việc'!X549="","",'Bản đồ công việc'!AI549)</f>
        <v/>
      </c>
      <c r="W533" s="389">
        <f t="shared" si="2"/>
        <v>0</v>
      </c>
      <c r="X533" s="389" t="str">
        <f t="shared" si="3"/>
        <v/>
      </c>
      <c r="Y533" s="389" t="str">
        <f t="shared" ref="Y533:Z533" si="529">IFERROR(INDEX($O$8:$O$684,MATCH(X533,$N$8:$N$684,0)),"")</f>
        <v/>
      </c>
      <c r="Z533" s="389" t="str">
        <f t="shared" si="529"/>
        <v/>
      </c>
      <c r="AA533" s="389">
        <f t="shared" si="5"/>
        <v>0</v>
      </c>
    </row>
    <row r="534" ht="15.75" customHeight="1">
      <c r="M534" s="389" t="str">
        <f>IF('Bản đồ công việc'!X550="","",'Bản đồ công việc'!W550)</f>
        <v/>
      </c>
      <c r="N534" s="389" t="str">
        <f>IF('Bản đồ công việc'!X550="","",'Bản đồ công việc'!X550)</f>
        <v/>
      </c>
      <c r="O534" s="389" t="str">
        <f>IF('Bản đồ công việc'!X550="","",'Bản đồ công việc'!Y550)</f>
        <v/>
      </c>
      <c r="P534" s="389" t="str">
        <f>IF('Bản đồ công việc'!X550="","",'Bản đồ công việc'!V550)</f>
        <v/>
      </c>
      <c r="Q534" s="389" t="str">
        <f>IF('Bản đồ công việc'!X550="","",'Bản đồ công việc'!AC550)</f>
        <v/>
      </c>
      <c r="R534" s="389" t="str">
        <f>IF('Bản đồ công việc'!X550="","",'Bản đồ công việc'!AD550)</f>
        <v/>
      </c>
      <c r="S534" s="389" t="str">
        <f>IF('Bản đồ công việc'!X550="","",'Bản đồ công việc'!Z550)</f>
        <v/>
      </c>
      <c r="T534" s="389" t="str">
        <f>IF('Bản đồ công việc'!X550="","",'Bản đồ công việc'!AA550)</f>
        <v/>
      </c>
      <c r="U534" s="389" t="str">
        <f>IF('Bản đồ công việc'!X550="","",'Bản đồ công việc'!AE550)</f>
        <v/>
      </c>
      <c r="V534" s="389" t="str">
        <f>IF('Bản đồ công việc'!X550="","",'Bản đồ công việc'!AI550)</f>
        <v/>
      </c>
      <c r="W534" s="389">
        <f t="shared" si="2"/>
        <v>0</v>
      </c>
      <c r="X534" s="389" t="str">
        <f t="shared" si="3"/>
        <v/>
      </c>
      <c r="Y534" s="389" t="str">
        <f t="shared" ref="Y534:Z534" si="530">IFERROR(INDEX($O$8:$O$684,MATCH(X534,$N$8:$N$684,0)),"")</f>
        <v/>
      </c>
      <c r="Z534" s="389" t="str">
        <f t="shared" si="530"/>
        <v/>
      </c>
      <c r="AA534" s="389">
        <f t="shared" si="5"/>
        <v>0</v>
      </c>
    </row>
    <row r="535" ht="15.75" customHeight="1">
      <c r="M535" s="389" t="str">
        <f>IF('Bản đồ công việc'!X551="","",'Bản đồ công việc'!W551)</f>
        <v/>
      </c>
      <c r="N535" s="389" t="str">
        <f>IF('Bản đồ công việc'!X551="","",'Bản đồ công việc'!X551)</f>
        <v/>
      </c>
      <c r="O535" s="389" t="str">
        <f>IF('Bản đồ công việc'!X551="","",'Bản đồ công việc'!Y551)</f>
        <v/>
      </c>
      <c r="P535" s="389" t="str">
        <f>IF('Bản đồ công việc'!X551="","",'Bản đồ công việc'!V551)</f>
        <v/>
      </c>
      <c r="Q535" s="389" t="str">
        <f>IF('Bản đồ công việc'!X551="","",'Bản đồ công việc'!AC551)</f>
        <v/>
      </c>
      <c r="R535" s="389" t="str">
        <f>IF('Bản đồ công việc'!X551="","",'Bản đồ công việc'!AD551)</f>
        <v/>
      </c>
      <c r="S535" s="389" t="str">
        <f>IF('Bản đồ công việc'!X551="","",'Bản đồ công việc'!Z551)</f>
        <v/>
      </c>
      <c r="T535" s="389" t="str">
        <f>IF('Bản đồ công việc'!X551="","",'Bản đồ công việc'!AA551)</f>
        <v/>
      </c>
      <c r="U535" s="389" t="str">
        <f>IF('Bản đồ công việc'!X551="","",'Bản đồ công việc'!AE551)</f>
        <v/>
      </c>
      <c r="V535" s="389" t="str">
        <f>IF('Bản đồ công việc'!X551="","",'Bản đồ công việc'!AI551)</f>
        <v/>
      </c>
      <c r="W535" s="389">
        <f t="shared" si="2"/>
        <v>0</v>
      </c>
      <c r="X535" s="389" t="str">
        <f t="shared" si="3"/>
        <v/>
      </c>
      <c r="Y535" s="389" t="str">
        <f t="shared" ref="Y535:Z535" si="531">IFERROR(INDEX($O$8:$O$684,MATCH(X535,$N$8:$N$684,0)),"")</f>
        <v/>
      </c>
      <c r="Z535" s="389" t="str">
        <f t="shared" si="531"/>
        <v/>
      </c>
      <c r="AA535" s="389">
        <f t="shared" si="5"/>
        <v>0</v>
      </c>
    </row>
    <row r="536" ht="15.75" customHeight="1">
      <c r="M536" s="389" t="str">
        <f>IF('Bản đồ công việc'!X552="","",'Bản đồ công việc'!W552)</f>
        <v/>
      </c>
      <c r="N536" s="389" t="str">
        <f>IF('Bản đồ công việc'!X552="","",'Bản đồ công việc'!X552)</f>
        <v/>
      </c>
      <c r="O536" s="389" t="str">
        <f>IF('Bản đồ công việc'!X552="","",'Bản đồ công việc'!Y552)</f>
        <v/>
      </c>
      <c r="P536" s="389" t="str">
        <f>IF('Bản đồ công việc'!X552="","",'Bản đồ công việc'!V552)</f>
        <v/>
      </c>
      <c r="Q536" s="389" t="str">
        <f>IF('Bản đồ công việc'!X552="","",'Bản đồ công việc'!AC552)</f>
        <v/>
      </c>
      <c r="R536" s="389" t="str">
        <f>IF('Bản đồ công việc'!X552="","",'Bản đồ công việc'!AD552)</f>
        <v/>
      </c>
      <c r="S536" s="389" t="str">
        <f>IF('Bản đồ công việc'!X552="","",'Bản đồ công việc'!Z552)</f>
        <v/>
      </c>
      <c r="T536" s="389" t="str">
        <f>IF('Bản đồ công việc'!X552="","",'Bản đồ công việc'!AA552)</f>
        <v/>
      </c>
      <c r="U536" s="389" t="str">
        <f>IF('Bản đồ công việc'!X552="","",'Bản đồ công việc'!AE552)</f>
        <v/>
      </c>
      <c r="V536" s="389" t="str">
        <f>IF('Bản đồ công việc'!X552="","",'Bản đồ công việc'!AI552)</f>
        <v/>
      </c>
      <c r="W536" s="389">
        <f t="shared" si="2"/>
        <v>0</v>
      </c>
      <c r="X536" s="389" t="str">
        <f t="shared" si="3"/>
        <v/>
      </c>
      <c r="Y536" s="389" t="str">
        <f t="shared" ref="Y536:Z536" si="532">IFERROR(INDEX($O$8:$O$684,MATCH(X536,$N$8:$N$684,0)),"")</f>
        <v/>
      </c>
      <c r="Z536" s="389" t="str">
        <f t="shared" si="532"/>
        <v/>
      </c>
      <c r="AA536" s="389">
        <f t="shared" si="5"/>
        <v>0</v>
      </c>
    </row>
    <row r="537" ht="15.75" customHeight="1">
      <c r="M537" s="389" t="str">
        <f>IF('Bản đồ công việc'!X553="","",'Bản đồ công việc'!W553)</f>
        <v/>
      </c>
      <c r="N537" s="389" t="str">
        <f>IF('Bản đồ công việc'!X553="","",'Bản đồ công việc'!X553)</f>
        <v/>
      </c>
      <c r="O537" s="389" t="str">
        <f>IF('Bản đồ công việc'!X553="","",'Bản đồ công việc'!Y553)</f>
        <v/>
      </c>
      <c r="P537" s="389" t="str">
        <f>IF('Bản đồ công việc'!X553="","",'Bản đồ công việc'!V553)</f>
        <v/>
      </c>
      <c r="Q537" s="389" t="str">
        <f>IF('Bản đồ công việc'!X553="","",'Bản đồ công việc'!AC553)</f>
        <v/>
      </c>
      <c r="R537" s="389" t="str">
        <f>IF('Bản đồ công việc'!X553="","",'Bản đồ công việc'!AD553)</f>
        <v/>
      </c>
      <c r="S537" s="389" t="str">
        <f>IF('Bản đồ công việc'!X553="","",'Bản đồ công việc'!Z553)</f>
        <v/>
      </c>
      <c r="T537" s="389" t="str">
        <f>IF('Bản đồ công việc'!X553="","",'Bản đồ công việc'!AA553)</f>
        <v/>
      </c>
      <c r="U537" s="389" t="str">
        <f>IF('Bản đồ công việc'!X553="","",'Bản đồ công việc'!AE553)</f>
        <v/>
      </c>
      <c r="V537" s="389" t="str">
        <f>IF('Bản đồ công việc'!X553="","",'Bản đồ công việc'!AI553)</f>
        <v/>
      </c>
      <c r="W537" s="389">
        <f t="shared" si="2"/>
        <v>0</v>
      </c>
      <c r="X537" s="389" t="str">
        <f t="shared" si="3"/>
        <v/>
      </c>
      <c r="Y537" s="389" t="str">
        <f t="shared" ref="Y537:Z537" si="533">IFERROR(INDEX($O$8:$O$684,MATCH(X537,$N$8:$N$684,0)),"")</f>
        <v/>
      </c>
      <c r="Z537" s="389" t="str">
        <f t="shared" si="533"/>
        <v/>
      </c>
      <c r="AA537" s="389">
        <f t="shared" si="5"/>
        <v>0</v>
      </c>
    </row>
    <row r="538" ht="15.75" customHeight="1">
      <c r="M538" s="389" t="str">
        <f>IF('Bản đồ công việc'!X554="","",'Bản đồ công việc'!W554)</f>
        <v/>
      </c>
      <c r="N538" s="389" t="str">
        <f>IF('Bản đồ công việc'!X554="","",'Bản đồ công việc'!X554)</f>
        <v/>
      </c>
      <c r="O538" s="389" t="str">
        <f>IF('Bản đồ công việc'!X554="","",'Bản đồ công việc'!Y554)</f>
        <v/>
      </c>
      <c r="P538" s="389" t="str">
        <f>IF('Bản đồ công việc'!X554="","",'Bản đồ công việc'!V554)</f>
        <v/>
      </c>
      <c r="Q538" s="389" t="str">
        <f>IF('Bản đồ công việc'!X554="","",'Bản đồ công việc'!AC554)</f>
        <v/>
      </c>
      <c r="R538" s="389" t="str">
        <f>IF('Bản đồ công việc'!X554="","",'Bản đồ công việc'!AD554)</f>
        <v/>
      </c>
      <c r="S538" s="389" t="str">
        <f>IF('Bản đồ công việc'!X554="","",'Bản đồ công việc'!Z554)</f>
        <v/>
      </c>
      <c r="T538" s="389" t="str">
        <f>IF('Bản đồ công việc'!X554="","",'Bản đồ công việc'!AA554)</f>
        <v/>
      </c>
      <c r="U538" s="389" t="str">
        <f>IF('Bản đồ công việc'!X554="","",'Bản đồ công việc'!AE554)</f>
        <v/>
      </c>
      <c r="V538" s="389" t="str">
        <f>IF('Bản đồ công việc'!X554="","",'Bản đồ công việc'!AI554)</f>
        <v/>
      </c>
      <c r="W538" s="389">
        <f t="shared" si="2"/>
        <v>0</v>
      </c>
      <c r="X538" s="389" t="str">
        <f t="shared" si="3"/>
        <v/>
      </c>
      <c r="Y538" s="389" t="str">
        <f t="shared" ref="Y538:Z538" si="534">IFERROR(INDEX($O$8:$O$684,MATCH(X538,$N$8:$N$684,0)),"")</f>
        <v/>
      </c>
      <c r="Z538" s="389" t="str">
        <f t="shared" si="534"/>
        <v/>
      </c>
      <c r="AA538" s="389">
        <f t="shared" si="5"/>
        <v>0</v>
      </c>
    </row>
    <row r="539" ht="15.75" customHeight="1">
      <c r="M539" s="389" t="str">
        <f>IF('Bản đồ công việc'!X555="","",'Bản đồ công việc'!W555)</f>
        <v/>
      </c>
      <c r="N539" s="389" t="str">
        <f>IF('Bản đồ công việc'!X555="","",'Bản đồ công việc'!X555)</f>
        <v/>
      </c>
      <c r="O539" s="389" t="str">
        <f>IF('Bản đồ công việc'!X555="","",'Bản đồ công việc'!Y555)</f>
        <v/>
      </c>
      <c r="P539" s="389" t="str">
        <f>IF('Bản đồ công việc'!X555="","",'Bản đồ công việc'!V555)</f>
        <v/>
      </c>
      <c r="Q539" s="389" t="str">
        <f>IF('Bản đồ công việc'!X555="","",'Bản đồ công việc'!AC555)</f>
        <v/>
      </c>
      <c r="R539" s="389" t="str">
        <f>IF('Bản đồ công việc'!X555="","",'Bản đồ công việc'!AD555)</f>
        <v/>
      </c>
      <c r="S539" s="389" t="str">
        <f>IF('Bản đồ công việc'!X555="","",'Bản đồ công việc'!Z555)</f>
        <v/>
      </c>
      <c r="T539" s="389" t="str">
        <f>IF('Bản đồ công việc'!X555="","",'Bản đồ công việc'!AA555)</f>
        <v/>
      </c>
      <c r="U539" s="389" t="str">
        <f>IF('Bản đồ công việc'!X555="","",'Bản đồ công việc'!AE555)</f>
        <v/>
      </c>
      <c r="V539" s="389" t="str">
        <f>IF('Bản đồ công việc'!X555="","",'Bản đồ công việc'!AI555)</f>
        <v/>
      </c>
      <c r="W539" s="389">
        <f t="shared" si="2"/>
        <v>0</v>
      </c>
      <c r="X539" s="389" t="str">
        <f t="shared" si="3"/>
        <v/>
      </c>
      <c r="Y539" s="389" t="str">
        <f t="shared" ref="Y539:Z539" si="535">IFERROR(INDEX($O$8:$O$684,MATCH(X539,$N$8:$N$684,0)),"")</f>
        <v/>
      </c>
      <c r="Z539" s="389" t="str">
        <f t="shared" si="535"/>
        <v/>
      </c>
      <c r="AA539" s="389">
        <f t="shared" si="5"/>
        <v>0</v>
      </c>
    </row>
    <row r="540" ht="15.75" customHeight="1">
      <c r="M540" s="389" t="str">
        <f>IF('Bản đồ công việc'!X556="","",'Bản đồ công việc'!W556)</f>
        <v/>
      </c>
      <c r="N540" s="389" t="str">
        <f>IF('Bản đồ công việc'!X556="","",'Bản đồ công việc'!X556)</f>
        <v/>
      </c>
      <c r="O540" s="389" t="str">
        <f>IF('Bản đồ công việc'!X556="","",'Bản đồ công việc'!Y556)</f>
        <v/>
      </c>
      <c r="P540" s="389" t="str">
        <f>IF('Bản đồ công việc'!X556="","",'Bản đồ công việc'!V556)</f>
        <v/>
      </c>
      <c r="Q540" s="389" t="str">
        <f>IF('Bản đồ công việc'!X556="","",'Bản đồ công việc'!AC556)</f>
        <v/>
      </c>
      <c r="R540" s="389" t="str">
        <f>IF('Bản đồ công việc'!X556="","",'Bản đồ công việc'!AD556)</f>
        <v/>
      </c>
      <c r="S540" s="389" t="str">
        <f>IF('Bản đồ công việc'!X556="","",'Bản đồ công việc'!Z556)</f>
        <v/>
      </c>
      <c r="T540" s="389" t="str">
        <f>IF('Bản đồ công việc'!X556="","",'Bản đồ công việc'!AA556)</f>
        <v/>
      </c>
      <c r="U540" s="389" t="str">
        <f>IF('Bản đồ công việc'!X556="","",'Bản đồ công việc'!AE556)</f>
        <v/>
      </c>
      <c r="V540" s="389" t="str">
        <f>IF('Bản đồ công việc'!X556="","",'Bản đồ công việc'!AI556)</f>
        <v/>
      </c>
      <c r="W540" s="389">
        <f t="shared" si="2"/>
        <v>0</v>
      </c>
      <c r="X540" s="389" t="str">
        <f t="shared" si="3"/>
        <v/>
      </c>
      <c r="Y540" s="389" t="str">
        <f t="shared" ref="Y540:Z540" si="536">IFERROR(INDEX($O$8:$O$684,MATCH(X540,$N$8:$N$684,0)),"")</f>
        <v/>
      </c>
      <c r="Z540" s="389" t="str">
        <f t="shared" si="536"/>
        <v/>
      </c>
      <c r="AA540" s="389">
        <f t="shared" si="5"/>
        <v>0</v>
      </c>
    </row>
    <row r="541" ht="15.75" customHeight="1">
      <c r="M541" s="389" t="str">
        <f>IF('Bản đồ công việc'!X557="","",'Bản đồ công việc'!W557)</f>
        <v/>
      </c>
      <c r="N541" s="389" t="str">
        <f>IF('Bản đồ công việc'!X557="","",'Bản đồ công việc'!X557)</f>
        <v/>
      </c>
      <c r="O541" s="389" t="str">
        <f>IF('Bản đồ công việc'!X557="","",'Bản đồ công việc'!Y557)</f>
        <v/>
      </c>
      <c r="P541" s="389" t="str">
        <f>IF('Bản đồ công việc'!X557="","",'Bản đồ công việc'!V557)</f>
        <v/>
      </c>
      <c r="Q541" s="389" t="str">
        <f>IF('Bản đồ công việc'!X557="","",'Bản đồ công việc'!AC557)</f>
        <v/>
      </c>
      <c r="R541" s="389" t="str">
        <f>IF('Bản đồ công việc'!X557="","",'Bản đồ công việc'!AD557)</f>
        <v/>
      </c>
      <c r="S541" s="389" t="str">
        <f>IF('Bản đồ công việc'!X557="","",'Bản đồ công việc'!Z557)</f>
        <v/>
      </c>
      <c r="T541" s="389" t="str">
        <f>IF('Bản đồ công việc'!X557="","",'Bản đồ công việc'!AA557)</f>
        <v/>
      </c>
      <c r="U541" s="389" t="str">
        <f>IF('Bản đồ công việc'!X557="","",'Bản đồ công việc'!AE557)</f>
        <v/>
      </c>
      <c r="V541" s="389" t="str">
        <f>IF('Bản đồ công việc'!X557="","",'Bản đồ công việc'!AI557)</f>
        <v/>
      </c>
      <c r="W541" s="389">
        <f t="shared" si="2"/>
        <v>0</v>
      </c>
      <c r="X541" s="389" t="str">
        <f t="shared" si="3"/>
        <v/>
      </c>
      <c r="Y541" s="389" t="str">
        <f t="shared" ref="Y541:Z541" si="537">IFERROR(INDEX($O$8:$O$684,MATCH(X541,$N$8:$N$684,0)),"")</f>
        <v/>
      </c>
      <c r="Z541" s="389" t="str">
        <f t="shared" si="537"/>
        <v/>
      </c>
      <c r="AA541" s="389">
        <f t="shared" si="5"/>
        <v>0</v>
      </c>
    </row>
    <row r="542" ht="15.75" customHeight="1">
      <c r="M542" s="389" t="str">
        <f>IF('Bản đồ công việc'!X558="","",'Bản đồ công việc'!W558)</f>
        <v/>
      </c>
      <c r="N542" s="389" t="str">
        <f>IF('Bản đồ công việc'!X558="","",'Bản đồ công việc'!X558)</f>
        <v/>
      </c>
      <c r="O542" s="389" t="str">
        <f>IF('Bản đồ công việc'!X558="","",'Bản đồ công việc'!Y558)</f>
        <v/>
      </c>
      <c r="P542" s="389" t="str">
        <f>IF('Bản đồ công việc'!X558="","",'Bản đồ công việc'!V558)</f>
        <v/>
      </c>
      <c r="Q542" s="389" t="str">
        <f>IF('Bản đồ công việc'!X558="","",'Bản đồ công việc'!AC558)</f>
        <v/>
      </c>
      <c r="R542" s="389" t="str">
        <f>IF('Bản đồ công việc'!X558="","",'Bản đồ công việc'!AD558)</f>
        <v/>
      </c>
      <c r="S542" s="389" t="str">
        <f>IF('Bản đồ công việc'!X558="","",'Bản đồ công việc'!Z558)</f>
        <v/>
      </c>
      <c r="T542" s="389" t="str">
        <f>IF('Bản đồ công việc'!X558="","",'Bản đồ công việc'!AA558)</f>
        <v/>
      </c>
      <c r="U542" s="389" t="str">
        <f>IF('Bản đồ công việc'!X558="","",'Bản đồ công việc'!AE558)</f>
        <v/>
      </c>
      <c r="V542" s="389" t="str">
        <f>IF('Bản đồ công việc'!X558="","",'Bản đồ công việc'!AI558)</f>
        <v/>
      </c>
      <c r="W542" s="389">
        <f t="shared" si="2"/>
        <v>0</v>
      </c>
      <c r="X542" s="389" t="str">
        <f t="shared" si="3"/>
        <v/>
      </c>
      <c r="Y542" s="389" t="str">
        <f t="shared" ref="Y542:Z542" si="538">IFERROR(INDEX($O$8:$O$684,MATCH(X542,$N$8:$N$684,0)),"")</f>
        <v/>
      </c>
      <c r="Z542" s="389" t="str">
        <f t="shared" si="538"/>
        <v/>
      </c>
      <c r="AA542" s="389">
        <f t="shared" si="5"/>
        <v>0</v>
      </c>
    </row>
    <row r="543" ht="15.75" customHeight="1">
      <c r="M543" s="389" t="str">
        <f>IF('Bản đồ công việc'!X559="","",'Bản đồ công việc'!W559)</f>
        <v/>
      </c>
      <c r="N543" s="389" t="str">
        <f>IF('Bản đồ công việc'!X559="","",'Bản đồ công việc'!X559)</f>
        <v/>
      </c>
      <c r="O543" s="389" t="str">
        <f>IF('Bản đồ công việc'!X559="","",'Bản đồ công việc'!Y559)</f>
        <v/>
      </c>
      <c r="P543" s="389" t="str">
        <f>IF('Bản đồ công việc'!X559="","",'Bản đồ công việc'!V559)</f>
        <v/>
      </c>
      <c r="Q543" s="389" t="str">
        <f>IF('Bản đồ công việc'!X559="","",'Bản đồ công việc'!AC559)</f>
        <v/>
      </c>
      <c r="R543" s="389" t="str">
        <f>IF('Bản đồ công việc'!X559="","",'Bản đồ công việc'!AD559)</f>
        <v/>
      </c>
      <c r="S543" s="389" t="str">
        <f>IF('Bản đồ công việc'!X559="","",'Bản đồ công việc'!Z559)</f>
        <v/>
      </c>
      <c r="T543" s="389" t="str">
        <f>IF('Bản đồ công việc'!X559="","",'Bản đồ công việc'!AA559)</f>
        <v/>
      </c>
      <c r="U543" s="389" t="str">
        <f>IF('Bản đồ công việc'!X559="","",'Bản đồ công việc'!AE559)</f>
        <v/>
      </c>
      <c r="V543" s="389" t="str">
        <f>IF('Bản đồ công việc'!X559="","",'Bản đồ công việc'!AI559)</f>
        <v/>
      </c>
      <c r="W543" s="389">
        <f t="shared" si="2"/>
        <v>0</v>
      </c>
      <c r="X543" s="389" t="str">
        <f t="shared" si="3"/>
        <v/>
      </c>
      <c r="Y543" s="389" t="str">
        <f t="shared" ref="Y543:Z543" si="539">IFERROR(INDEX($O$8:$O$684,MATCH(X543,$N$8:$N$684,0)),"")</f>
        <v/>
      </c>
      <c r="Z543" s="389" t="str">
        <f t="shared" si="539"/>
        <v/>
      </c>
      <c r="AA543" s="389">
        <f t="shared" si="5"/>
        <v>0</v>
      </c>
    </row>
    <row r="544" ht="15.75" customHeight="1">
      <c r="M544" s="389" t="str">
        <f>IF('Bản đồ công việc'!X560="","",'Bản đồ công việc'!W560)</f>
        <v/>
      </c>
      <c r="N544" s="389" t="str">
        <f>IF('Bản đồ công việc'!X560="","",'Bản đồ công việc'!X560)</f>
        <v/>
      </c>
      <c r="O544" s="389" t="str">
        <f>IF('Bản đồ công việc'!X560="","",'Bản đồ công việc'!Y560)</f>
        <v/>
      </c>
      <c r="P544" s="389" t="str">
        <f>IF('Bản đồ công việc'!X560="","",'Bản đồ công việc'!V560)</f>
        <v/>
      </c>
      <c r="Q544" s="389" t="str">
        <f>IF('Bản đồ công việc'!X560="","",'Bản đồ công việc'!AC560)</f>
        <v/>
      </c>
      <c r="R544" s="389" t="str">
        <f>IF('Bản đồ công việc'!X560="","",'Bản đồ công việc'!AD560)</f>
        <v/>
      </c>
      <c r="S544" s="389" t="str">
        <f>IF('Bản đồ công việc'!X560="","",'Bản đồ công việc'!Z560)</f>
        <v/>
      </c>
      <c r="T544" s="389" t="str">
        <f>IF('Bản đồ công việc'!X560="","",'Bản đồ công việc'!AA560)</f>
        <v/>
      </c>
      <c r="U544" s="389" t="str">
        <f>IF('Bản đồ công việc'!X560="","",'Bản đồ công việc'!AE560)</f>
        <v/>
      </c>
      <c r="V544" s="389" t="str">
        <f>IF('Bản đồ công việc'!X560="","",'Bản đồ công việc'!AI560)</f>
        <v/>
      </c>
      <c r="W544" s="389">
        <f t="shared" si="2"/>
        <v>0</v>
      </c>
      <c r="X544" s="389" t="str">
        <f t="shared" si="3"/>
        <v/>
      </c>
      <c r="Y544" s="389" t="str">
        <f t="shared" ref="Y544:Z544" si="540">IFERROR(INDEX($O$8:$O$684,MATCH(X544,$N$8:$N$684,0)),"")</f>
        <v/>
      </c>
      <c r="Z544" s="389" t="str">
        <f t="shared" si="540"/>
        <v/>
      </c>
      <c r="AA544" s="389">
        <f t="shared" si="5"/>
        <v>0</v>
      </c>
    </row>
    <row r="545" ht="15.75" customHeight="1">
      <c r="M545" s="389" t="str">
        <f>IF('Bản đồ công việc'!X561="","",'Bản đồ công việc'!W561)</f>
        <v/>
      </c>
      <c r="N545" s="389" t="str">
        <f>IF('Bản đồ công việc'!X561="","",'Bản đồ công việc'!X561)</f>
        <v/>
      </c>
      <c r="O545" s="389" t="str">
        <f>IF('Bản đồ công việc'!X561="","",'Bản đồ công việc'!Y561)</f>
        <v/>
      </c>
      <c r="P545" s="389" t="str">
        <f>IF('Bản đồ công việc'!X561="","",'Bản đồ công việc'!V561)</f>
        <v/>
      </c>
      <c r="Q545" s="389" t="str">
        <f>IF('Bản đồ công việc'!X561="","",'Bản đồ công việc'!AC561)</f>
        <v/>
      </c>
      <c r="R545" s="389" t="str">
        <f>IF('Bản đồ công việc'!X561="","",'Bản đồ công việc'!AD561)</f>
        <v/>
      </c>
      <c r="S545" s="389" t="str">
        <f>IF('Bản đồ công việc'!X561="","",'Bản đồ công việc'!Z561)</f>
        <v/>
      </c>
      <c r="T545" s="389" t="str">
        <f>IF('Bản đồ công việc'!X561="","",'Bản đồ công việc'!AA561)</f>
        <v/>
      </c>
      <c r="U545" s="389" t="str">
        <f>IF('Bản đồ công việc'!X561="","",'Bản đồ công việc'!AE561)</f>
        <v/>
      </c>
      <c r="V545" s="389" t="str">
        <f>IF('Bản đồ công việc'!X561="","",'Bản đồ công việc'!AI561)</f>
        <v/>
      </c>
      <c r="W545" s="389">
        <f t="shared" si="2"/>
        <v>0</v>
      </c>
      <c r="X545" s="389" t="str">
        <f t="shared" si="3"/>
        <v/>
      </c>
      <c r="Y545" s="389" t="str">
        <f t="shared" ref="Y545:Z545" si="541">IFERROR(INDEX($O$8:$O$684,MATCH(X545,$N$8:$N$684,0)),"")</f>
        <v/>
      </c>
      <c r="Z545" s="389" t="str">
        <f t="shared" si="541"/>
        <v/>
      </c>
      <c r="AA545" s="389">
        <f t="shared" si="5"/>
        <v>0</v>
      </c>
    </row>
    <row r="546" ht="15.75" customHeight="1">
      <c r="M546" s="389" t="str">
        <f>IF('Bản đồ công việc'!X562="","",'Bản đồ công việc'!W562)</f>
        <v/>
      </c>
      <c r="N546" s="389" t="str">
        <f>IF('Bản đồ công việc'!X562="","",'Bản đồ công việc'!X562)</f>
        <v/>
      </c>
      <c r="O546" s="389" t="str">
        <f>IF('Bản đồ công việc'!X562="","",'Bản đồ công việc'!Y562)</f>
        <v/>
      </c>
      <c r="P546" s="389" t="str">
        <f>IF('Bản đồ công việc'!X562="","",'Bản đồ công việc'!V562)</f>
        <v/>
      </c>
      <c r="Q546" s="389" t="str">
        <f>IF('Bản đồ công việc'!X562="","",'Bản đồ công việc'!AC562)</f>
        <v/>
      </c>
      <c r="R546" s="389" t="str">
        <f>IF('Bản đồ công việc'!X562="","",'Bản đồ công việc'!AD562)</f>
        <v/>
      </c>
      <c r="S546" s="389" t="str">
        <f>IF('Bản đồ công việc'!X562="","",'Bản đồ công việc'!Z562)</f>
        <v/>
      </c>
      <c r="T546" s="389" t="str">
        <f>IF('Bản đồ công việc'!X562="","",'Bản đồ công việc'!AA562)</f>
        <v/>
      </c>
      <c r="U546" s="389" t="str">
        <f>IF('Bản đồ công việc'!X562="","",'Bản đồ công việc'!AE562)</f>
        <v/>
      </c>
      <c r="V546" s="389" t="str">
        <f>IF('Bản đồ công việc'!X562="","",'Bản đồ công việc'!AI562)</f>
        <v/>
      </c>
      <c r="W546" s="389">
        <f t="shared" si="2"/>
        <v>0</v>
      </c>
      <c r="X546" s="389" t="str">
        <f t="shared" si="3"/>
        <v/>
      </c>
      <c r="Y546" s="389" t="str">
        <f t="shared" ref="Y546:Z546" si="542">IFERROR(INDEX($O$8:$O$684,MATCH(X546,$N$8:$N$684,0)),"")</f>
        <v/>
      </c>
      <c r="Z546" s="389" t="str">
        <f t="shared" si="542"/>
        <v/>
      </c>
      <c r="AA546" s="389">
        <f t="shared" si="5"/>
        <v>0</v>
      </c>
    </row>
    <row r="547" ht="15.75" customHeight="1">
      <c r="M547" s="389" t="str">
        <f>IF('Bản đồ công việc'!X563="","",'Bản đồ công việc'!W563)</f>
        <v/>
      </c>
      <c r="N547" s="389" t="str">
        <f>IF('Bản đồ công việc'!X563="","",'Bản đồ công việc'!X563)</f>
        <v/>
      </c>
      <c r="O547" s="389" t="str">
        <f>IF('Bản đồ công việc'!X563="","",'Bản đồ công việc'!Y563)</f>
        <v/>
      </c>
      <c r="P547" s="389" t="str">
        <f>IF('Bản đồ công việc'!X563="","",'Bản đồ công việc'!V563)</f>
        <v/>
      </c>
      <c r="Q547" s="389" t="str">
        <f>IF('Bản đồ công việc'!X563="","",'Bản đồ công việc'!AC563)</f>
        <v/>
      </c>
      <c r="R547" s="389" t="str">
        <f>IF('Bản đồ công việc'!X563="","",'Bản đồ công việc'!AD563)</f>
        <v/>
      </c>
      <c r="S547" s="389" t="str">
        <f>IF('Bản đồ công việc'!X563="","",'Bản đồ công việc'!Z563)</f>
        <v/>
      </c>
      <c r="T547" s="389" t="str">
        <f>IF('Bản đồ công việc'!X563="","",'Bản đồ công việc'!AA563)</f>
        <v/>
      </c>
      <c r="U547" s="389" t="str">
        <f>IF('Bản đồ công việc'!X563="","",'Bản đồ công việc'!AE563)</f>
        <v/>
      </c>
      <c r="V547" s="389" t="str">
        <f>IF('Bản đồ công việc'!X563="","",'Bản đồ công việc'!AI563)</f>
        <v/>
      </c>
      <c r="W547" s="389">
        <f t="shared" si="2"/>
        <v>0</v>
      </c>
      <c r="X547" s="389" t="str">
        <f t="shared" si="3"/>
        <v/>
      </c>
      <c r="Y547" s="389" t="str">
        <f t="shared" ref="Y547:Z547" si="543">IFERROR(INDEX($O$8:$O$684,MATCH(X547,$N$8:$N$684,0)),"")</f>
        <v/>
      </c>
      <c r="Z547" s="389" t="str">
        <f t="shared" si="543"/>
        <v/>
      </c>
      <c r="AA547" s="389">
        <f t="shared" si="5"/>
        <v>0</v>
      </c>
    </row>
    <row r="548" ht="15.75" customHeight="1">
      <c r="M548" s="389" t="str">
        <f>IF('Bản đồ công việc'!X564="","",'Bản đồ công việc'!W564)</f>
        <v/>
      </c>
      <c r="N548" s="389" t="str">
        <f>IF('Bản đồ công việc'!X564="","",'Bản đồ công việc'!X564)</f>
        <v/>
      </c>
      <c r="O548" s="389" t="str">
        <f>IF('Bản đồ công việc'!X564="","",'Bản đồ công việc'!Y564)</f>
        <v/>
      </c>
      <c r="P548" s="389" t="str">
        <f>IF('Bản đồ công việc'!X564="","",'Bản đồ công việc'!V564)</f>
        <v/>
      </c>
      <c r="Q548" s="389" t="str">
        <f>IF('Bản đồ công việc'!X564="","",'Bản đồ công việc'!AC564)</f>
        <v/>
      </c>
      <c r="R548" s="389" t="str">
        <f>IF('Bản đồ công việc'!X564="","",'Bản đồ công việc'!AD564)</f>
        <v/>
      </c>
      <c r="S548" s="389" t="str">
        <f>IF('Bản đồ công việc'!X564="","",'Bản đồ công việc'!Z564)</f>
        <v/>
      </c>
      <c r="T548" s="389" t="str">
        <f>IF('Bản đồ công việc'!X564="","",'Bản đồ công việc'!AA564)</f>
        <v/>
      </c>
      <c r="U548" s="389" t="str">
        <f>IF('Bản đồ công việc'!X564="","",'Bản đồ công việc'!AE564)</f>
        <v/>
      </c>
      <c r="V548" s="389" t="str">
        <f>IF('Bản đồ công việc'!X564="","",'Bản đồ công việc'!AI564)</f>
        <v/>
      </c>
      <c r="W548" s="389">
        <f t="shared" si="2"/>
        <v>0</v>
      </c>
      <c r="X548" s="389" t="str">
        <f t="shared" si="3"/>
        <v/>
      </c>
      <c r="Y548" s="389" t="str">
        <f t="shared" ref="Y548:Z548" si="544">IFERROR(INDEX($O$8:$O$684,MATCH(X548,$N$8:$N$684,0)),"")</f>
        <v/>
      </c>
      <c r="Z548" s="389" t="str">
        <f t="shared" si="544"/>
        <v/>
      </c>
      <c r="AA548" s="389">
        <f t="shared" si="5"/>
        <v>0</v>
      </c>
    </row>
    <row r="549" ht="15.75" customHeight="1">
      <c r="M549" s="389" t="str">
        <f>IF('Bản đồ công việc'!X565="","",'Bản đồ công việc'!W565)</f>
        <v/>
      </c>
      <c r="N549" s="389" t="str">
        <f>IF('Bản đồ công việc'!X565="","",'Bản đồ công việc'!X565)</f>
        <v/>
      </c>
      <c r="O549" s="389" t="str">
        <f>IF('Bản đồ công việc'!X565="","",'Bản đồ công việc'!Y565)</f>
        <v/>
      </c>
      <c r="P549" s="389" t="str">
        <f>IF('Bản đồ công việc'!X565="","",'Bản đồ công việc'!V565)</f>
        <v/>
      </c>
      <c r="Q549" s="389" t="str">
        <f>IF('Bản đồ công việc'!X565="","",'Bản đồ công việc'!AC565)</f>
        <v/>
      </c>
      <c r="R549" s="389" t="str">
        <f>IF('Bản đồ công việc'!X565="","",'Bản đồ công việc'!AD565)</f>
        <v/>
      </c>
      <c r="S549" s="389" t="str">
        <f>IF('Bản đồ công việc'!X565="","",'Bản đồ công việc'!Z565)</f>
        <v/>
      </c>
      <c r="T549" s="389" t="str">
        <f>IF('Bản đồ công việc'!X565="","",'Bản đồ công việc'!AA565)</f>
        <v/>
      </c>
      <c r="U549" s="389" t="str">
        <f>IF('Bản đồ công việc'!X565="","",'Bản đồ công việc'!AE565)</f>
        <v/>
      </c>
      <c r="V549" s="389" t="str">
        <f>IF('Bản đồ công việc'!X565="","",'Bản đồ công việc'!AI565)</f>
        <v/>
      </c>
      <c r="W549" s="389">
        <f t="shared" si="2"/>
        <v>0</v>
      </c>
      <c r="X549" s="389" t="str">
        <f t="shared" si="3"/>
        <v/>
      </c>
      <c r="Y549" s="389" t="str">
        <f t="shared" ref="Y549:Z549" si="545">IFERROR(INDEX($O$8:$O$684,MATCH(X549,$N$8:$N$684,0)),"")</f>
        <v/>
      </c>
      <c r="Z549" s="389" t="str">
        <f t="shared" si="545"/>
        <v/>
      </c>
      <c r="AA549" s="389">
        <f t="shared" si="5"/>
        <v>0</v>
      </c>
    </row>
    <row r="550" ht="15.75" customHeight="1">
      <c r="M550" s="389" t="str">
        <f>IF('Bản đồ công việc'!X566="","",'Bản đồ công việc'!W566)</f>
        <v/>
      </c>
      <c r="N550" s="389" t="str">
        <f>IF('Bản đồ công việc'!X566="","",'Bản đồ công việc'!X566)</f>
        <v/>
      </c>
      <c r="O550" s="389" t="str">
        <f>IF('Bản đồ công việc'!X566="","",'Bản đồ công việc'!Y566)</f>
        <v/>
      </c>
      <c r="P550" s="389" t="str">
        <f>IF('Bản đồ công việc'!X566="","",'Bản đồ công việc'!V566)</f>
        <v/>
      </c>
      <c r="Q550" s="389" t="str">
        <f>IF('Bản đồ công việc'!X566="","",'Bản đồ công việc'!AC566)</f>
        <v/>
      </c>
      <c r="R550" s="389" t="str">
        <f>IF('Bản đồ công việc'!X566="","",'Bản đồ công việc'!AD566)</f>
        <v/>
      </c>
      <c r="S550" s="389" t="str">
        <f>IF('Bản đồ công việc'!X566="","",'Bản đồ công việc'!Z566)</f>
        <v/>
      </c>
      <c r="T550" s="389" t="str">
        <f>IF('Bản đồ công việc'!X566="","",'Bản đồ công việc'!AA566)</f>
        <v/>
      </c>
      <c r="U550" s="389" t="str">
        <f>IF('Bản đồ công việc'!X566="","",'Bản đồ công việc'!AE566)</f>
        <v/>
      </c>
      <c r="V550" s="389" t="str">
        <f>IF('Bản đồ công việc'!X566="","",'Bản đồ công việc'!AI566)</f>
        <v/>
      </c>
      <c r="W550" s="389">
        <f t="shared" si="2"/>
        <v>0</v>
      </c>
      <c r="X550" s="389" t="str">
        <f t="shared" si="3"/>
        <v/>
      </c>
      <c r="Y550" s="389" t="str">
        <f t="shared" ref="Y550:Z550" si="546">IFERROR(INDEX($O$8:$O$684,MATCH(X550,$N$8:$N$684,0)),"")</f>
        <v/>
      </c>
      <c r="Z550" s="389" t="str">
        <f t="shared" si="546"/>
        <v/>
      </c>
      <c r="AA550" s="389">
        <f t="shared" si="5"/>
        <v>0</v>
      </c>
    </row>
    <row r="551" ht="15.75" customHeight="1">
      <c r="M551" s="389" t="str">
        <f>IF('Bản đồ công việc'!X567="","",'Bản đồ công việc'!W567)</f>
        <v/>
      </c>
      <c r="N551" s="389" t="str">
        <f>IF('Bản đồ công việc'!X567="","",'Bản đồ công việc'!X567)</f>
        <v/>
      </c>
      <c r="O551" s="389" t="str">
        <f>IF('Bản đồ công việc'!X567="","",'Bản đồ công việc'!Y567)</f>
        <v/>
      </c>
      <c r="P551" s="389" t="str">
        <f>IF('Bản đồ công việc'!X567="","",'Bản đồ công việc'!V567)</f>
        <v/>
      </c>
      <c r="Q551" s="389" t="str">
        <f>IF('Bản đồ công việc'!X567="","",'Bản đồ công việc'!AC567)</f>
        <v/>
      </c>
      <c r="R551" s="389" t="str">
        <f>IF('Bản đồ công việc'!X567="","",'Bản đồ công việc'!AD567)</f>
        <v/>
      </c>
      <c r="S551" s="389" t="str">
        <f>IF('Bản đồ công việc'!X567="","",'Bản đồ công việc'!Z567)</f>
        <v/>
      </c>
      <c r="T551" s="389" t="str">
        <f>IF('Bản đồ công việc'!X567="","",'Bản đồ công việc'!AA567)</f>
        <v/>
      </c>
      <c r="U551" s="389" t="str">
        <f>IF('Bản đồ công việc'!X567="","",'Bản đồ công việc'!AE567)</f>
        <v/>
      </c>
      <c r="V551" s="389" t="str">
        <f>IF('Bản đồ công việc'!X567="","",'Bản đồ công việc'!AI567)</f>
        <v/>
      </c>
      <c r="W551" s="389">
        <f t="shared" si="2"/>
        <v>0</v>
      </c>
      <c r="X551" s="389" t="str">
        <f t="shared" si="3"/>
        <v/>
      </c>
      <c r="Y551" s="389" t="str">
        <f t="shared" ref="Y551:Z551" si="547">IFERROR(INDEX($O$8:$O$684,MATCH(X551,$N$8:$N$684,0)),"")</f>
        <v/>
      </c>
      <c r="Z551" s="389" t="str">
        <f t="shared" si="547"/>
        <v/>
      </c>
      <c r="AA551" s="389">
        <f t="shared" si="5"/>
        <v>0</v>
      </c>
    </row>
    <row r="552" ht="15.75" customHeight="1">
      <c r="M552" s="389" t="str">
        <f>IF('Bản đồ công việc'!X568="","",'Bản đồ công việc'!W568)</f>
        <v/>
      </c>
      <c r="N552" s="389" t="str">
        <f>IF('Bản đồ công việc'!X568="","",'Bản đồ công việc'!X568)</f>
        <v/>
      </c>
      <c r="O552" s="389" t="str">
        <f>IF('Bản đồ công việc'!X568="","",'Bản đồ công việc'!Y568)</f>
        <v/>
      </c>
      <c r="P552" s="389" t="str">
        <f>IF('Bản đồ công việc'!X568="","",'Bản đồ công việc'!V568)</f>
        <v/>
      </c>
      <c r="Q552" s="389" t="str">
        <f>IF('Bản đồ công việc'!X568="","",'Bản đồ công việc'!AC568)</f>
        <v/>
      </c>
      <c r="R552" s="389" t="str">
        <f>IF('Bản đồ công việc'!X568="","",'Bản đồ công việc'!AD568)</f>
        <v/>
      </c>
      <c r="S552" s="389" t="str">
        <f>IF('Bản đồ công việc'!X568="","",'Bản đồ công việc'!Z568)</f>
        <v/>
      </c>
      <c r="T552" s="389" t="str">
        <f>IF('Bản đồ công việc'!X568="","",'Bản đồ công việc'!AA568)</f>
        <v/>
      </c>
      <c r="U552" s="389" t="str">
        <f>IF('Bản đồ công việc'!X568="","",'Bản đồ công việc'!AE568)</f>
        <v/>
      </c>
      <c r="V552" s="389" t="str">
        <f>IF('Bản đồ công việc'!X568="","",'Bản đồ công việc'!AI568)</f>
        <v/>
      </c>
      <c r="W552" s="389">
        <f t="shared" si="2"/>
        <v>0</v>
      </c>
      <c r="X552" s="389" t="str">
        <f t="shared" si="3"/>
        <v/>
      </c>
      <c r="Y552" s="389" t="str">
        <f t="shared" ref="Y552:Z552" si="548">IFERROR(INDEX($O$8:$O$684,MATCH(X552,$N$8:$N$684,0)),"")</f>
        <v/>
      </c>
      <c r="Z552" s="389" t="str">
        <f t="shared" si="548"/>
        <v/>
      </c>
      <c r="AA552" s="389">
        <f t="shared" si="5"/>
        <v>0</v>
      </c>
    </row>
    <row r="553" ht="15.75" customHeight="1">
      <c r="M553" s="389" t="str">
        <f>IF('Bản đồ công việc'!X569="","",'Bản đồ công việc'!W569)</f>
        <v/>
      </c>
      <c r="N553" s="389" t="str">
        <f>IF('Bản đồ công việc'!X569="","",'Bản đồ công việc'!X569)</f>
        <v/>
      </c>
      <c r="O553" s="389" t="str">
        <f>IF('Bản đồ công việc'!X569="","",'Bản đồ công việc'!Y569)</f>
        <v/>
      </c>
      <c r="P553" s="389" t="str">
        <f>IF('Bản đồ công việc'!X569="","",'Bản đồ công việc'!V569)</f>
        <v/>
      </c>
      <c r="Q553" s="389" t="str">
        <f>IF('Bản đồ công việc'!X569="","",'Bản đồ công việc'!AC569)</f>
        <v/>
      </c>
      <c r="R553" s="389" t="str">
        <f>IF('Bản đồ công việc'!X569="","",'Bản đồ công việc'!AD569)</f>
        <v/>
      </c>
      <c r="S553" s="389" t="str">
        <f>IF('Bản đồ công việc'!X569="","",'Bản đồ công việc'!Z569)</f>
        <v/>
      </c>
      <c r="T553" s="389" t="str">
        <f>IF('Bản đồ công việc'!X569="","",'Bản đồ công việc'!AA569)</f>
        <v/>
      </c>
      <c r="U553" s="389" t="str">
        <f>IF('Bản đồ công việc'!X569="","",'Bản đồ công việc'!AE569)</f>
        <v/>
      </c>
      <c r="V553" s="389" t="str">
        <f>IF('Bản đồ công việc'!X569="","",'Bản đồ công việc'!AI569)</f>
        <v/>
      </c>
      <c r="W553" s="389">
        <f t="shared" si="2"/>
        <v>0</v>
      </c>
      <c r="X553" s="389" t="str">
        <f t="shared" si="3"/>
        <v/>
      </c>
      <c r="Y553" s="389" t="str">
        <f t="shared" ref="Y553:Z553" si="549">IFERROR(INDEX($O$8:$O$684,MATCH(X553,$N$8:$N$684,0)),"")</f>
        <v/>
      </c>
      <c r="Z553" s="389" t="str">
        <f t="shared" si="549"/>
        <v/>
      </c>
      <c r="AA553" s="389">
        <f t="shared" si="5"/>
        <v>0</v>
      </c>
    </row>
    <row r="554" ht="15.75" customHeight="1">
      <c r="M554" s="389" t="str">
        <f>IF('Bản đồ công việc'!X570="","",'Bản đồ công việc'!W570)</f>
        <v/>
      </c>
      <c r="N554" s="389" t="str">
        <f>IF('Bản đồ công việc'!X570="","",'Bản đồ công việc'!X570)</f>
        <v/>
      </c>
      <c r="O554" s="389" t="str">
        <f>IF('Bản đồ công việc'!X570="","",'Bản đồ công việc'!Y570)</f>
        <v/>
      </c>
      <c r="P554" s="389" t="str">
        <f>IF('Bản đồ công việc'!X570="","",'Bản đồ công việc'!V570)</f>
        <v/>
      </c>
      <c r="Q554" s="389" t="str">
        <f>IF('Bản đồ công việc'!X570="","",'Bản đồ công việc'!AC570)</f>
        <v/>
      </c>
      <c r="R554" s="389" t="str">
        <f>IF('Bản đồ công việc'!X570="","",'Bản đồ công việc'!AD570)</f>
        <v/>
      </c>
      <c r="S554" s="389" t="str">
        <f>IF('Bản đồ công việc'!X570="","",'Bản đồ công việc'!Z570)</f>
        <v/>
      </c>
      <c r="T554" s="389" t="str">
        <f>IF('Bản đồ công việc'!X570="","",'Bản đồ công việc'!AA570)</f>
        <v/>
      </c>
      <c r="U554" s="389" t="str">
        <f>IF('Bản đồ công việc'!X570="","",'Bản đồ công việc'!AE570)</f>
        <v/>
      </c>
      <c r="V554" s="389" t="str">
        <f>IF('Bản đồ công việc'!X570="","",'Bản đồ công việc'!AI570)</f>
        <v/>
      </c>
      <c r="W554" s="389">
        <f t="shared" si="2"/>
        <v>0</v>
      </c>
      <c r="X554" s="389" t="str">
        <f t="shared" si="3"/>
        <v/>
      </c>
      <c r="Y554" s="389" t="str">
        <f t="shared" ref="Y554:Z554" si="550">IFERROR(INDEX($O$8:$O$684,MATCH(X554,$N$8:$N$684,0)),"")</f>
        <v/>
      </c>
      <c r="Z554" s="389" t="str">
        <f t="shared" si="550"/>
        <v/>
      </c>
      <c r="AA554" s="389">
        <f t="shared" si="5"/>
        <v>0</v>
      </c>
    </row>
    <row r="555" ht="15.75" customHeight="1">
      <c r="M555" s="389" t="str">
        <f>IF('Bản đồ công việc'!X571="","",'Bản đồ công việc'!W571)</f>
        <v/>
      </c>
      <c r="N555" s="389" t="str">
        <f>IF('Bản đồ công việc'!X571="","",'Bản đồ công việc'!X571)</f>
        <v/>
      </c>
      <c r="O555" s="389" t="str">
        <f>IF('Bản đồ công việc'!X571="","",'Bản đồ công việc'!Y571)</f>
        <v/>
      </c>
      <c r="P555" s="389" t="str">
        <f>IF('Bản đồ công việc'!X571="","",'Bản đồ công việc'!V571)</f>
        <v/>
      </c>
      <c r="Q555" s="389" t="str">
        <f>IF('Bản đồ công việc'!X571="","",'Bản đồ công việc'!AC571)</f>
        <v/>
      </c>
      <c r="R555" s="389" t="str">
        <f>IF('Bản đồ công việc'!X571="","",'Bản đồ công việc'!AD571)</f>
        <v/>
      </c>
      <c r="S555" s="389" t="str">
        <f>IF('Bản đồ công việc'!X571="","",'Bản đồ công việc'!Z571)</f>
        <v/>
      </c>
      <c r="T555" s="389" t="str">
        <f>IF('Bản đồ công việc'!X571="","",'Bản đồ công việc'!AA571)</f>
        <v/>
      </c>
      <c r="U555" s="389" t="str">
        <f>IF('Bản đồ công việc'!X571="","",'Bản đồ công việc'!AE571)</f>
        <v/>
      </c>
      <c r="V555" s="389" t="str">
        <f>IF('Bản đồ công việc'!X571="","",'Bản đồ công việc'!AI571)</f>
        <v/>
      </c>
      <c r="W555" s="389">
        <f t="shared" si="2"/>
        <v>0</v>
      </c>
      <c r="X555" s="389" t="str">
        <f t="shared" si="3"/>
        <v/>
      </c>
      <c r="Y555" s="389" t="str">
        <f t="shared" ref="Y555:Z555" si="551">IFERROR(INDEX($O$8:$O$684,MATCH(X555,$N$8:$N$684,0)),"")</f>
        <v/>
      </c>
      <c r="Z555" s="389" t="str">
        <f t="shared" si="551"/>
        <v/>
      </c>
      <c r="AA555" s="389">
        <f t="shared" si="5"/>
        <v>0</v>
      </c>
    </row>
    <row r="556" ht="15.75" customHeight="1">
      <c r="M556" s="389" t="str">
        <f>IF('Bản đồ công việc'!X572="","",'Bản đồ công việc'!W572)</f>
        <v/>
      </c>
      <c r="N556" s="389" t="str">
        <f>IF('Bản đồ công việc'!X572="","",'Bản đồ công việc'!X572)</f>
        <v/>
      </c>
      <c r="O556" s="389" t="str">
        <f>IF('Bản đồ công việc'!X572="","",'Bản đồ công việc'!Y572)</f>
        <v/>
      </c>
      <c r="P556" s="389" t="str">
        <f>IF('Bản đồ công việc'!X572="","",'Bản đồ công việc'!V572)</f>
        <v/>
      </c>
      <c r="Q556" s="389" t="str">
        <f>IF('Bản đồ công việc'!X572="","",'Bản đồ công việc'!AC572)</f>
        <v/>
      </c>
      <c r="R556" s="389" t="str">
        <f>IF('Bản đồ công việc'!X572="","",'Bản đồ công việc'!AD572)</f>
        <v/>
      </c>
      <c r="S556" s="389" t="str">
        <f>IF('Bản đồ công việc'!X572="","",'Bản đồ công việc'!Z572)</f>
        <v/>
      </c>
      <c r="T556" s="389" t="str">
        <f>IF('Bản đồ công việc'!X572="","",'Bản đồ công việc'!AA572)</f>
        <v/>
      </c>
      <c r="U556" s="389" t="str">
        <f>IF('Bản đồ công việc'!X572="","",'Bản đồ công việc'!AE572)</f>
        <v/>
      </c>
      <c r="V556" s="389" t="str">
        <f>IF('Bản đồ công việc'!X572="","",'Bản đồ công việc'!AI572)</f>
        <v/>
      </c>
      <c r="W556" s="389">
        <f t="shared" si="2"/>
        <v>0</v>
      </c>
      <c r="X556" s="389" t="str">
        <f t="shared" si="3"/>
        <v/>
      </c>
      <c r="Y556" s="389" t="str">
        <f t="shared" ref="Y556:Z556" si="552">IFERROR(INDEX($O$8:$O$684,MATCH(X556,$N$8:$N$684,0)),"")</f>
        <v/>
      </c>
      <c r="Z556" s="389" t="str">
        <f t="shared" si="552"/>
        <v/>
      </c>
      <c r="AA556" s="389">
        <f t="shared" si="5"/>
        <v>0</v>
      </c>
    </row>
    <row r="557" ht="15.75" customHeight="1">
      <c r="M557" s="389" t="str">
        <f>IF('Bản đồ công việc'!X573="","",'Bản đồ công việc'!W573)</f>
        <v/>
      </c>
      <c r="N557" s="389" t="str">
        <f>IF('Bản đồ công việc'!X573="","",'Bản đồ công việc'!X573)</f>
        <v/>
      </c>
      <c r="O557" s="389" t="str">
        <f>IF('Bản đồ công việc'!X573="","",'Bản đồ công việc'!Y573)</f>
        <v/>
      </c>
      <c r="P557" s="389" t="str">
        <f>IF('Bản đồ công việc'!X573="","",'Bản đồ công việc'!V573)</f>
        <v/>
      </c>
      <c r="Q557" s="389" t="str">
        <f>IF('Bản đồ công việc'!X573="","",'Bản đồ công việc'!AC573)</f>
        <v/>
      </c>
      <c r="R557" s="389" t="str">
        <f>IF('Bản đồ công việc'!X573="","",'Bản đồ công việc'!AD573)</f>
        <v/>
      </c>
      <c r="S557" s="389" t="str">
        <f>IF('Bản đồ công việc'!X573="","",'Bản đồ công việc'!Z573)</f>
        <v/>
      </c>
      <c r="T557" s="389" t="str">
        <f>IF('Bản đồ công việc'!X573="","",'Bản đồ công việc'!AA573)</f>
        <v/>
      </c>
      <c r="U557" s="389" t="str">
        <f>IF('Bản đồ công việc'!X573="","",'Bản đồ công việc'!AE573)</f>
        <v/>
      </c>
      <c r="V557" s="389" t="str">
        <f>IF('Bản đồ công việc'!X573="","",'Bản đồ công việc'!AI573)</f>
        <v/>
      </c>
      <c r="W557" s="389">
        <f t="shared" si="2"/>
        <v>0</v>
      </c>
      <c r="X557" s="389" t="str">
        <f t="shared" si="3"/>
        <v/>
      </c>
      <c r="Y557" s="389" t="str">
        <f t="shared" ref="Y557:Z557" si="553">IFERROR(INDEX($O$8:$O$684,MATCH(X557,$N$8:$N$684,0)),"")</f>
        <v/>
      </c>
      <c r="Z557" s="389" t="str">
        <f t="shared" si="553"/>
        <v/>
      </c>
      <c r="AA557" s="389">
        <f t="shared" si="5"/>
        <v>0</v>
      </c>
    </row>
    <row r="558" ht="15.75" customHeight="1">
      <c r="M558" s="389" t="str">
        <f>IF('Bản đồ công việc'!X574="","",'Bản đồ công việc'!W574)</f>
        <v/>
      </c>
      <c r="N558" s="389" t="str">
        <f>IF('Bản đồ công việc'!X574="","",'Bản đồ công việc'!X574)</f>
        <v/>
      </c>
      <c r="O558" s="389" t="str">
        <f>IF('Bản đồ công việc'!X574="","",'Bản đồ công việc'!Y574)</f>
        <v/>
      </c>
      <c r="P558" s="389" t="str">
        <f>IF('Bản đồ công việc'!X574="","",'Bản đồ công việc'!V574)</f>
        <v/>
      </c>
      <c r="Q558" s="389" t="str">
        <f>IF('Bản đồ công việc'!X574="","",'Bản đồ công việc'!AC574)</f>
        <v/>
      </c>
      <c r="R558" s="389" t="str">
        <f>IF('Bản đồ công việc'!X574="","",'Bản đồ công việc'!AD574)</f>
        <v/>
      </c>
      <c r="S558" s="389" t="str">
        <f>IF('Bản đồ công việc'!X574="","",'Bản đồ công việc'!Z574)</f>
        <v/>
      </c>
      <c r="T558" s="389" t="str">
        <f>IF('Bản đồ công việc'!X574="","",'Bản đồ công việc'!AA574)</f>
        <v/>
      </c>
      <c r="U558" s="389" t="str">
        <f>IF('Bản đồ công việc'!X574="","",'Bản đồ công việc'!AE574)</f>
        <v/>
      </c>
      <c r="V558" s="389" t="str">
        <f>IF('Bản đồ công việc'!X574="","",'Bản đồ công việc'!AI574)</f>
        <v/>
      </c>
      <c r="W558" s="389">
        <f t="shared" si="2"/>
        <v>0</v>
      </c>
      <c r="X558" s="389" t="str">
        <f t="shared" si="3"/>
        <v/>
      </c>
      <c r="Y558" s="389" t="str">
        <f t="shared" ref="Y558:Z558" si="554">IFERROR(INDEX($O$8:$O$684,MATCH(X558,$N$8:$N$684,0)),"")</f>
        <v/>
      </c>
      <c r="Z558" s="389" t="str">
        <f t="shared" si="554"/>
        <v/>
      </c>
      <c r="AA558" s="389">
        <f t="shared" si="5"/>
        <v>0</v>
      </c>
    </row>
    <row r="559" ht="15.75" customHeight="1">
      <c r="M559" s="389" t="str">
        <f>IF('Bản đồ công việc'!X575="","",'Bản đồ công việc'!W575)</f>
        <v/>
      </c>
      <c r="N559" s="389" t="str">
        <f>IF('Bản đồ công việc'!X575="","",'Bản đồ công việc'!X575)</f>
        <v/>
      </c>
      <c r="O559" s="389" t="str">
        <f>IF('Bản đồ công việc'!X575="","",'Bản đồ công việc'!Y575)</f>
        <v/>
      </c>
      <c r="P559" s="389" t="str">
        <f>IF('Bản đồ công việc'!X575="","",'Bản đồ công việc'!V575)</f>
        <v/>
      </c>
      <c r="Q559" s="389" t="str">
        <f>IF('Bản đồ công việc'!X575="","",'Bản đồ công việc'!AC575)</f>
        <v/>
      </c>
      <c r="R559" s="389" t="str">
        <f>IF('Bản đồ công việc'!X575="","",'Bản đồ công việc'!AD575)</f>
        <v/>
      </c>
      <c r="S559" s="389" t="str">
        <f>IF('Bản đồ công việc'!X575="","",'Bản đồ công việc'!Z575)</f>
        <v/>
      </c>
      <c r="T559" s="389" t="str">
        <f>IF('Bản đồ công việc'!X575="","",'Bản đồ công việc'!AA575)</f>
        <v/>
      </c>
      <c r="U559" s="389" t="str">
        <f>IF('Bản đồ công việc'!X575="","",'Bản đồ công việc'!AE575)</f>
        <v/>
      </c>
      <c r="V559" s="389" t="str">
        <f>IF('Bản đồ công việc'!X575="","",'Bản đồ công việc'!AI575)</f>
        <v/>
      </c>
      <c r="W559" s="389">
        <f t="shared" si="2"/>
        <v>0</v>
      </c>
      <c r="X559" s="389" t="str">
        <f t="shared" si="3"/>
        <v/>
      </c>
      <c r="Y559" s="389" t="str">
        <f t="shared" ref="Y559:Z559" si="555">IFERROR(INDEX($O$8:$O$684,MATCH(X559,$N$8:$N$684,0)),"")</f>
        <v/>
      </c>
      <c r="Z559" s="389" t="str">
        <f t="shared" si="555"/>
        <v/>
      </c>
      <c r="AA559" s="389">
        <f t="shared" si="5"/>
        <v>0</v>
      </c>
    </row>
    <row r="560" ht="15.75" customHeight="1">
      <c r="M560" s="389" t="str">
        <f>IF('Bản đồ công việc'!X576="","",'Bản đồ công việc'!W576)</f>
        <v/>
      </c>
      <c r="N560" s="389" t="str">
        <f>IF('Bản đồ công việc'!X576="","",'Bản đồ công việc'!X576)</f>
        <v/>
      </c>
      <c r="O560" s="389" t="str">
        <f>IF('Bản đồ công việc'!X576="","",'Bản đồ công việc'!Y576)</f>
        <v/>
      </c>
      <c r="P560" s="389" t="str">
        <f>IF('Bản đồ công việc'!X576="","",'Bản đồ công việc'!V576)</f>
        <v/>
      </c>
      <c r="Q560" s="389" t="str">
        <f>IF('Bản đồ công việc'!X576="","",'Bản đồ công việc'!AC576)</f>
        <v/>
      </c>
      <c r="R560" s="389" t="str">
        <f>IF('Bản đồ công việc'!X576="","",'Bản đồ công việc'!AD576)</f>
        <v/>
      </c>
      <c r="S560" s="389" t="str">
        <f>IF('Bản đồ công việc'!X576="","",'Bản đồ công việc'!Z576)</f>
        <v/>
      </c>
      <c r="T560" s="389" t="str">
        <f>IF('Bản đồ công việc'!X576="","",'Bản đồ công việc'!AA576)</f>
        <v/>
      </c>
      <c r="U560" s="389" t="str">
        <f>IF('Bản đồ công việc'!X576="","",'Bản đồ công việc'!AE576)</f>
        <v/>
      </c>
      <c r="V560" s="389" t="str">
        <f>IF('Bản đồ công việc'!X576="","",'Bản đồ công việc'!AI576)</f>
        <v/>
      </c>
      <c r="W560" s="389">
        <f t="shared" si="2"/>
        <v>0</v>
      </c>
      <c r="X560" s="389" t="str">
        <f t="shared" si="3"/>
        <v/>
      </c>
      <c r="Y560" s="389" t="str">
        <f t="shared" ref="Y560:Z560" si="556">IFERROR(INDEX($O$8:$O$684,MATCH(X560,$N$8:$N$684,0)),"")</f>
        <v/>
      </c>
      <c r="Z560" s="389" t="str">
        <f t="shared" si="556"/>
        <v/>
      </c>
      <c r="AA560" s="389">
        <f t="shared" si="5"/>
        <v>0</v>
      </c>
    </row>
    <row r="561" ht="15.75" customHeight="1">
      <c r="M561" s="389" t="str">
        <f>IF('Bản đồ công việc'!X577="","",'Bản đồ công việc'!W577)</f>
        <v/>
      </c>
      <c r="N561" s="389" t="str">
        <f>IF('Bản đồ công việc'!X577="","",'Bản đồ công việc'!X577)</f>
        <v/>
      </c>
      <c r="O561" s="389" t="str">
        <f>IF('Bản đồ công việc'!X577="","",'Bản đồ công việc'!Y577)</f>
        <v/>
      </c>
      <c r="P561" s="389" t="str">
        <f>IF('Bản đồ công việc'!X577="","",'Bản đồ công việc'!V577)</f>
        <v/>
      </c>
      <c r="Q561" s="389" t="str">
        <f>IF('Bản đồ công việc'!X577="","",'Bản đồ công việc'!AC577)</f>
        <v/>
      </c>
      <c r="R561" s="389" t="str">
        <f>IF('Bản đồ công việc'!X577="","",'Bản đồ công việc'!AD577)</f>
        <v/>
      </c>
      <c r="S561" s="389" t="str">
        <f>IF('Bản đồ công việc'!X577="","",'Bản đồ công việc'!Z577)</f>
        <v/>
      </c>
      <c r="T561" s="389" t="str">
        <f>IF('Bản đồ công việc'!X577="","",'Bản đồ công việc'!AA577)</f>
        <v/>
      </c>
      <c r="U561" s="389" t="str">
        <f>IF('Bản đồ công việc'!X577="","",'Bản đồ công việc'!AE577)</f>
        <v/>
      </c>
      <c r="V561" s="389" t="str">
        <f>IF('Bản đồ công việc'!X577="","",'Bản đồ công việc'!AI577)</f>
        <v/>
      </c>
      <c r="W561" s="389">
        <f t="shared" si="2"/>
        <v>0</v>
      </c>
      <c r="X561" s="389" t="str">
        <f t="shared" si="3"/>
        <v/>
      </c>
      <c r="Y561" s="389" t="str">
        <f t="shared" ref="Y561:Z561" si="557">IFERROR(INDEX($O$8:$O$684,MATCH(X561,$N$8:$N$684,0)),"")</f>
        <v/>
      </c>
      <c r="Z561" s="389" t="str">
        <f t="shared" si="557"/>
        <v/>
      </c>
      <c r="AA561" s="389">
        <f t="shared" si="5"/>
        <v>0</v>
      </c>
    </row>
    <row r="562" ht="15.75" customHeight="1">
      <c r="M562" s="389" t="str">
        <f>IF('Bản đồ công việc'!X578="","",'Bản đồ công việc'!W578)</f>
        <v/>
      </c>
      <c r="N562" s="389" t="str">
        <f>IF('Bản đồ công việc'!X578="","",'Bản đồ công việc'!X578)</f>
        <v/>
      </c>
      <c r="O562" s="389" t="str">
        <f>IF('Bản đồ công việc'!X578="","",'Bản đồ công việc'!Y578)</f>
        <v/>
      </c>
      <c r="P562" s="389" t="str">
        <f>IF('Bản đồ công việc'!X578="","",'Bản đồ công việc'!V578)</f>
        <v/>
      </c>
      <c r="Q562" s="389" t="str">
        <f>IF('Bản đồ công việc'!X578="","",'Bản đồ công việc'!AC578)</f>
        <v/>
      </c>
      <c r="R562" s="389" t="str">
        <f>IF('Bản đồ công việc'!X578="","",'Bản đồ công việc'!AD578)</f>
        <v/>
      </c>
      <c r="S562" s="389" t="str">
        <f>IF('Bản đồ công việc'!X578="","",'Bản đồ công việc'!Z578)</f>
        <v/>
      </c>
      <c r="T562" s="389" t="str">
        <f>IF('Bản đồ công việc'!X578="","",'Bản đồ công việc'!AA578)</f>
        <v/>
      </c>
      <c r="U562" s="389" t="str">
        <f>IF('Bản đồ công việc'!X578="","",'Bản đồ công việc'!AE578)</f>
        <v/>
      </c>
      <c r="V562" s="389" t="str">
        <f>IF('Bản đồ công việc'!X578="","",'Bản đồ công việc'!AI578)</f>
        <v/>
      </c>
      <c r="W562" s="389">
        <f t="shared" si="2"/>
        <v>0</v>
      </c>
      <c r="X562" s="389" t="str">
        <f t="shared" si="3"/>
        <v/>
      </c>
      <c r="Y562" s="389" t="str">
        <f t="shared" ref="Y562:Z562" si="558">IFERROR(INDEX($O$8:$O$684,MATCH(X562,$N$8:$N$684,0)),"")</f>
        <v/>
      </c>
      <c r="Z562" s="389" t="str">
        <f t="shared" si="558"/>
        <v/>
      </c>
      <c r="AA562" s="389">
        <f t="shared" si="5"/>
        <v>0</v>
      </c>
    </row>
    <row r="563" ht="15.75" customHeight="1">
      <c r="M563" s="389" t="str">
        <f>IF('Bản đồ công việc'!X579="","",'Bản đồ công việc'!W579)</f>
        <v/>
      </c>
      <c r="N563" s="389" t="str">
        <f>IF('Bản đồ công việc'!X579="","",'Bản đồ công việc'!X579)</f>
        <v/>
      </c>
      <c r="O563" s="389" t="str">
        <f>IF('Bản đồ công việc'!X579="","",'Bản đồ công việc'!Y579)</f>
        <v/>
      </c>
      <c r="P563" s="389" t="str">
        <f>IF('Bản đồ công việc'!X579="","",'Bản đồ công việc'!V579)</f>
        <v/>
      </c>
      <c r="Q563" s="389" t="str">
        <f>IF('Bản đồ công việc'!X579="","",'Bản đồ công việc'!AC579)</f>
        <v/>
      </c>
      <c r="R563" s="389" t="str">
        <f>IF('Bản đồ công việc'!X579="","",'Bản đồ công việc'!AD579)</f>
        <v/>
      </c>
      <c r="S563" s="389" t="str">
        <f>IF('Bản đồ công việc'!X579="","",'Bản đồ công việc'!Z579)</f>
        <v/>
      </c>
      <c r="T563" s="389" t="str">
        <f>IF('Bản đồ công việc'!X579="","",'Bản đồ công việc'!AA579)</f>
        <v/>
      </c>
      <c r="U563" s="389" t="str">
        <f>IF('Bản đồ công việc'!X579="","",'Bản đồ công việc'!AE579)</f>
        <v/>
      </c>
      <c r="V563" s="389" t="str">
        <f>IF('Bản đồ công việc'!X579="","",'Bản đồ công việc'!AI579)</f>
        <v/>
      </c>
      <c r="W563" s="389">
        <f t="shared" si="2"/>
        <v>0</v>
      </c>
      <c r="X563" s="389" t="str">
        <f t="shared" si="3"/>
        <v/>
      </c>
      <c r="Y563" s="389" t="str">
        <f t="shared" ref="Y563:Z563" si="559">IFERROR(INDEX($O$8:$O$684,MATCH(X563,$N$8:$N$684,0)),"")</f>
        <v/>
      </c>
      <c r="Z563" s="389" t="str">
        <f t="shared" si="559"/>
        <v/>
      </c>
      <c r="AA563" s="389">
        <f t="shared" si="5"/>
        <v>0</v>
      </c>
    </row>
    <row r="564" ht="15.75" customHeight="1">
      <c r="M564" s="389" t="str">
        <f>IF('Bản đồ công việc'!X580="","",'Bản đồ công việc'!W580)</f>
        <v/>
      </c>
      <c r="N564" s="389" t="str">
        <f>IF('Bản đồ công việc'!X580="","",'Bản đồ công việc'!X580)</f>
        <v/>
      </c>
      <c r="O564" s="389" t="str">
        <f>IF('Bản đồ công việc'!X580="","",'Bản đồ công việc'!Y580)</f>
        <v/>
      </c>
      <c r="P564" s="389" t="str">
        <f>IF('Bản đồ công việc'!X580="","",'Bản đồ công việc'!V580)</f>
        <v/>
      </c>
      <c r="Q564" s="389" t="str">
        <f>IF('Bản đồ công việc'!X580="","",'Bản đồ công việc'!AC580)</f>
        <v/>
      </c>
      <c r="R564" s="389" t="str">
        <f>IF('Bản đồ công việc'!X580="","",'Bản đồ công việc'!AD580)</f>
        <v/>
      </c>
      <c r="S564" s="389" t="str">
        <f>IF('Bản đồ công việc'!X580="","",'Bản đồ công việc'!Z580)</f>
        <v/>
      </c>
      <c r="T564" s="389" t="str">
        <f>IF('Bản đồ công việc'!X580="","",'Bản đồ công việc'!AA580)</f>
        <v/>
      </c>
      <c r="U564" s="389" t="str">
        <f>IF('Bản đồ công việc'!X580="","",'Bản đồ công việc'!AE580)</f>
        <v/>
      </c>
      <c r="V564" s="389" t="str">
        <f>IF('Bản đồ công việc'!X580="","",'Bản đồ công việc'!AI580)</f>
        <v/>
      </c>
      <c r="W564" s="389">
        <f t="shared" si="2"/>
        <v>0</v>
      </c>
      <c r="X564" s="389" t="str">
        <f t="shared" si="3"/>
        <v/>
      </c>
      <c r="Y564" s="389" t="str">
        <f t="shared" ref="Y564:Z564" si="560">IFERROR(INDEX($O$8:$O$684,MATCH(X564,$N$8:$N$684,0)),"")</f>
        <v/>
      </c>
      <c r="Z564" s="389" t="str">
        <f t="shared" si="560"/>
        <v/>
      </c>
      <c r="AA564" s="389">
        <f t="shared" si="5"/>
        <v>0</v>
      </c>
    </row>
    <row r="565" ht="15.75" customHeight="1">
      <c r="M565" s="389" t="str">
        <f>IF('Bản đồ công việc'!X581="","",'Bản đồ công việc'!W581)</f>
        <v/>
      </c>
      <c r="N565" s="389" t="str">
        <f>IF('Bản đồ công việc'!X581="","",'Bản đồ công việc'!X581)</f>
        <v/>
      </c>
      <c r="O565" s="389" t="str">
        <f>IF('Bản đồ công việc'!X581="","",'Bản đồ công việc'!Y581)</f>
        <v/>
      </c>
      <c r="P565" s="389" t="str">
        <f>IF('Bản đồ công việc'!X581="","",'Bản đồ công việc'!V581)</f>
        <v/>
      </c>
      <c r="Q565" s="389" t="str">
        <f>IF('Bản đồ công việc'!X581="","",'Bản đồ công việc'!AC581)</f>
        <v/>
      </c>
      <c r="R565" s="389" t="str">
        <f>IF('Bản đồ công việc'!X581="","",'Bản đồ công việc'!AD581)</f>
        <v/>
      </c>
      <c r="S565" s="389" t="str">
        <f>IF('Bản đồ công việc'!X581="","",'Bản đồ công việc'!Z581)</f>
        <v/>
      </c>
      <c r="T565" s="389" t="str">
        <f>IF('Bản đồ công việc'!X581="","",'Bản đồ công việc'!AA581)</f>
        <v/>
      </c>
      <c r="U565" s="389" t="str">
        <f>IF('Bản đồ công việc'!X581="","",'Bản đồ công việc'!AE581)</f>
        <v/>
      </c>
      <c r="V565" s="389" t="str">
        <f>IF('Bản đồ công việc'!X581="","",'Bản đồ công việc'!AI581)</f>
        <v/>
      </c>
      <c r="W565" s="389">
        <f t="shared" si="2"/>
        <v>0</v>
      </c>
      <c r="X565" s="389" t="str">
        <f t="shared" si="3"/>
        <v/>
      </c>
      <c r="Y565" s="389" t="str">
        <f t="shared" ref="Y565:Z565" si="561">IFERROR(INDEX($O$8:$O$684,MATCH(X565,$N$8:$N$684,0)),"")</f>
        <v/>
      </c>
      <c r="Z565" s="389" t="str">
        <f t="shared" si="561"/>
        <v/>
      </c>
      <c r="AA565" s="389">
        <f t="shared" si="5"/>
        <v>0</v>
      </c>
    </row>
    <row r="566" ht="15.75" customHeight="1">
      <c r="M566" s="389" t="str">
        <f>IF('Bản đồ công việc'!X582="","",'Bản đồ công việc'!W582)</f>
        <v/>
      </c>
      <c r="N566" s="389" t="str">
        <f>IF('Bản đồ công việc'!X582="","",'Bản đồ công việc'!X582)</f>
        <v/>
      </c>
      <c r="O566" s="389" t="str">
        <f>IF('Bản đồ công việc'!X582="","",'Bản đồ công việc'!Y582)</f>
        <v/>
      </c>
      <c r="P566" s="389" t="str">
        <f>IF('Bản đồ công việc'!X582="","",'Bản đồ công việc'!V582)</f>
        <v/>
      </c>
      <c r="Q566" s="389" t="str">
        <f>IF('Bản đồ công việc'!X582="","",'Bản đồ công việc'!AC582)</f>
        <v/>
      </c>
      <c r="R566" s="389" t="str">
        <f>IF('Bản đồ công việc'!X582="","",'Bản đồ công việc'!AD582)</f>
        <v/>
      </c>
      <c r="S566" s="389" t="str">
        <f>IF('Bản đồ công việc'!X582="","",'Bản đồ công việc'!Z582)</f>
        <v/>
      </c>
      <c r="T566" s="389" t="str">
        <f>IF('Bản đồ công việc'!X582="","",'Bản đồ công việc'!AA582)</f>
        <v/>
      </c>
      <c r="U566" s="389" t="str">
        <f>IF('Bản đồ công việc'!X582="","",'Bản đồ công việc'!AE582)</f>
        <v/>
      </c>
      <c r="V566" s="389" t="str">
        <f>IF('Bản đồ công việc'!X582="","",'Bản đồ công việc'!AI582)</f>
        <v/>
      </c>
      <c r="W566" s="389">
        <f t="shared" si="2"/>
        <v>0</v>
      </c>
      <c r="X566" s="389" t="str">
        <f t="shared" si="3"/>
        <v/>
      </c>
      <c r="Y566" s="389" t="str">
        <f t="shared" ref="Y566:Z566" si="562">IFERROR(INDEX($O$8:$O$684,MATCH(X566,$N$8:$N$684,0)),"")</f>
        <v/>
      </c>
      <c r="Z566" s="389" t="str">
        <f t="shared" si="562"/>
        <v/>
      </c>
      <c r="AA566" s="389">
        <f t="shared" si="5"/>
        <v>0</v>
      </c>
    </row>
    <row r="567" ht="15.75" customHeight="1">
      <c r="M567" s="389" t="str">
        <f>IF('Bản đồ công việc'!X583="","",'Bản đồ công việc'!W583)</f>
        <v/>
      </c>
      <c r="N567" s="389" t="str">
        <f>IF('Bản đồ công việc'!X583="","",'Bản đồ công việc'!X583)</f>
        <v/>
      </c>
      <c r="O567" s="389" t="str">
        <f>IF('Bản đồ công việc'!X583="","",'Bản đồ công việc'!Y583)</f>
        <v/>
      </c>
      <c r="P567" s="389" t="str">
        <f>IF('Bản đồ công việc'!X583="","",'Bản đồ công việc'!V583)</f>
        <v/>
      </c>
      <c r="Q567" s="389" t="str">
        <f>IF('Bản đồ công việc'!X583="","",'Bản đồ công việc'!AC583)</f>
        <v/>
      </c>
      <c r="R567" s="389" t="str">
        <f>IF('Bản đồ công việc'!X583="","",'Bản đồ công việc'!AD583)</f>
        <v/>
      </c>
      <c r="S567" s="389" t="str">
        <f>IF('Bản đồ công việc'!X583="","",'Bản đồ công việc'!Z583)</f>
        <v/>
      </c>
      <c r="T567" s="389" t="str">
        <f>IF('Bản đồ công việc'!X583="","",'Bản đồ công việc'!AA583)</f>
        <v/>
      </c>
      <c r="U567" s="389" t="str">
        <f>IF('Bản đồ công việc'!X583="","",'Bản đồ công việc'!AE583)</f>
        <v/>
      </c>
      <c r="V567" s="389" t="str">
        <f>IF('Bản đồ công việc'!X583="","",'Bản đồ công việc'!AI583)</f>
        <v/>
      </c>
      <c r="W567" s="389">
        <f t="shared" si="2"/>
        <v>0</v>
      </c>
      <c r="X567" s="389" t="str">
        <f t="shared" si="3"/>
        <v/>
      </c>
      <c r="Y567" s="389" t="str">
        <f t="shared" ref="Y567:Z567" si="563">IFERROR(INDEX($O$8:$O$684,MATCH(X567,$N$8:$N$684,0)),"")</f>
        <v/>
      </c>
      <c r="Z567" s="389" t="str">
        <f t="shared" si="563"/>
        <v/>
      </c>
      <c r="AA567" s="389">
        <f t="shared" si="5"/>
        <v>0</v>
      </c>
    </row>
    <row r="568" ht="15.75" customHeight="1">
      <c r="M568" s="389" t="str">
        <f>IF('Bản đồ công việc'!X584="","",'Bản đồ công việc'!W584)</f>
        <v/>
      </c>
      <c r="N568" s="389" t="str">
        <f>IF('Bản đồ công việc'!X584="","",'Bản đồ công việc'!X584)</f>
        <v/>
      </c>
      <c r="O568" s="389" t="str">
        <f>IF('Bản đồ công việc'!X584="","",'Bản đồ công việc'!Y584)</f>
        <v/>
      </c>
      <c r="P568" s="389" t="str">
        <f>IF('Bản đồ công việc'!X584="","",'Bản đồ công việc'!V584)</f>
        <v/>
      </c>
      <c r="Q568" s="389" t="str">
        <f>IF('Bản đồ công việc'!X584="","",'Bản đồ công việc'!AC584)</f>
        <v/>
      </c>
      <c r="R568" s="389" t="str">
        <f>IF('Bản đồ công việc'!X584="","",'Bản đồ công việc'!AD584)</f>
        <v/>
      </c>
      <c r="S568" s="389" t="str">
        <f>IF('Bản đồ công việc'!X584="","",'Bản đồ công việc'!Z584)</f>
        <v/>
      </c>
      <c r="T568" s="389" t="str">
        <f>IF('Bản đồ công việc'!X584="","",'Bản đồ công việc'!AA584)</f>
        <v/>
      </c>
      <c r="U568" s="389" t="str">
        <f>IF('Bản đồ công việc'!X584="","",'Bản đồ công việc'!AE584)</f>
        <v/>
      </c>
      <c r="V568" s="389" t="str">
        <f>IF('Bản đồ công việc'!X584="","",'Bản đồ công việc'!AI584)</f>
        <v/>
      </c>
      <c r="W568" s="389">
        <f t="shared" si="2"/>
        <v>0</v>
      </c>
      <c r="X568" s="389" t="str">
        <f t="shared" si="3"/>
        <v/>
      </c>
      <c r="Y568" s="389" t="str">
        <f t="shared" ref="Y568:Z568" si="564">IFERROR(INDEX($O$8:$O$684,MATCH(X568,$N$8:$N$684,0)),"")</f>
        <v/>
      </c>
      <c r="Z568" s="389" t="str">
        <f t="shared" si="564"/>
        <v/>
      </c>
      <c r="AA568" s="389">
        <f t="shared" si="5"/>
        <v>0</v>
      </c>
    </row>
    <row r="569" ht="15.75" customHeight="1">
      <c r="M569" s="389" t="str">
        <f>IF('Bản đồ công việc'!X585="","",'Bản đồ công việc'!W585)</f>
        <v/>
      </c>
      <c r="N569" s="389" t="str">
        <f>IF('Bản đồ công việc'!X585="","",'Bản đồ công việc'!X585)</f>
        <v/>
      </c>
      <c r="O569" s="389" t="str">
        <f>IF('Bản đồ công việc'!X585="","",'Bản đồ công việc'!Y585)</f>
        <v/>
      </c>
      <c r="P569" s="389" t="str">
        <f>IF('Bản đồ công việc'!X585="","",'Bản đồ công việc'!V585)</f>
        <v/>
      </c>
      <c r="Q569" s="389" t="str">
        <f>IF('Bản đồ công việc'!X585="","",'Bản đồ công việc'!AC585)</f>
        <v/>
      </c>
      <c r="R569" s="389" t="str">
        <f>IF('Bản đồ công việc'!X585="","",'Bản đồ công việc'!AD585)</f>
        <v/>
      </c>
      <c r="S569" s="389" t="str">
        <f>IF('Bản đồ công việc'!X585="","",'Bản đồ công việc'!Z585)</f>
        <v/>
      </c>
      <c r="T569" s="389" t="str">
        <f>IF('Bản đồ công việc'!X585="","",'Bản đồ công việc'!AA585)</f>
        <v/>
      </c>
      <c r="U569" s="389" t="str">
        <f>IF('Bản đồ công việc'!X585="","",'Bản đồ công việc'!AE585)</f>
        <v/>
      </c>
      <c r="V569" s="389" t="str">
        <f>IF('Bản đồ công việc'!X585="","",'Bản đồ công việc'!AI585)</f>
        <v/>
      </c>
      <c r="W569" s="389">
        <f t="shared" si="2"/>
        <v>0</v>
      </c>
      <c r="X569" s="389" t="str">
        <f t="shared" si="3"/>
        <v/>
      </c>
      <c r="Y569" s="389" t="str">
        <f t="shared" ref="Y569:Z569" si="565">IFERROR(INDEX($O$8:$O$684,MATCH(X569,$N$8:$N$684,0)),"")</f>
        <v/>
      </c>
      <c r="Z569" s="389" t="str">
        <f t="shared" si="565"/>
        <v/>
      </c>
      <c r="AA569" s="389">
        <f t="shared" si="5"/>
        <v>0</v>
      </c>
    </row>
    <row r="570" ht="15.75" customHeight="1">
      <c r="M570" s="389" t="str">
        <f>IF('Bản đồ công việc'!X586="","",'Bản đồ công việc'!W586)</f>
        <v/>
      </c>
      <c r="N570" s="389" t="str">
        <f>IF('Bản đồ công việc'!X586="","",'Bản đồ công việc'!X586)</f>
        <v/>
      </c>
      <c r="O570" s="389" t="str">
        <f>IF('Bản đồ công việc'!X586="","",'Bản đồ công việc'!Y586)</f>
        <v/>
      </c>
      <c r="P570" s="389" t="str">
        <f>IF('Bản đồ công việc'!X586="","",'Bản đồ công việc'!V586)</f>
        <v/>
      </c>
      <c r="Q570" s="389" t="str">
        <f>IF('Bản đồ công việc'!X586="","",'Bản đồ công việc'!AC586)</f>
        <v/>
      </c>
      <c r="R570" s="389" t="str">
        <f>IF('Bản đồ công việc'!X586="","",'Bản đồ công việc'!AD586)</f>
        <v/>
      </c>
      <c r="S570" s="389" t="str">
        <f>IF('Bản đồ công việc'!X586="","",'Bản đồ công việc'!Z586)</f>
        <v/>
      </c>
      <c r="T570" s="389" t="str">
        <f>IF('Bản đồ công việc'!X586="","",'Bản đồ công việc'!AA586)</f>
        <v/>
      </c>
      <c r="U570" s="389" t="str">
        <f>IF('Bản đồ công việc'!X586="","",'Bản đồ công việc'!AE586)</f>
        <v/>
      </c>
      <c r="V570" s="389" t="str">
        <f>IF('Bản đồ công việc'!X586="","",'Bản đồ công việc'!AI586)</f>
        <v/>
      </c>
      <c r="W570" s="389">
        <f t="shared" si="2"/>
        <v>0</v>
      </c>
      <c r="X570" s="389" t="str">
        <f t="shared" si="3"/>
        <v/>
      </c>
      <c r="Y570" s="389" t="str">
        <f t="shared" ref="Y570:Z570" si="566">IFERROR(INDEX($O$8:$O$684,MATCH(X570,$N$8:$N$684,0)),"")</f>
        <v/>
      </c>
      <c r="Z570" s="389" t="str">
        <f t="shared" si="566"/>
        <v/>
      </c>
      <c r="AA570" s="389">
        <f t="shared" si="5"/>
        <v>0</v>
      </c>
    </row>
    <row r="571" ht="15.75" customHeight="1">
      <c r="M571" s="389" t="str">
        <f>IF('Bản đồ công việc'!X587="","",'Bản đồ công việc'!W587)</f>
        <v/>
      </c>
      <c r="N571" s="389" t="str">
        <f>IF('Bản đồ công việc'!X587="","",'Bản đồ công việc'!X587)</f>
        <v/>
      </c>
      <c r="O571" s="389" t="str">
        <f>IF('Bản đồ công việc'!X587="","",'Bản đồ công việc'!Y587)</f>
        <v/>
      </c>
      <c r="P571" s="389" t="str">
        <f>IF('Bản đồ công việc'!X587="","",'Bản đồ công việc'!V587)</f>
        <v/>
      </c>
      <c r="Q571" s="389" t="str">
        <f>IF('Bản đồ công việc'!X587="","",'Bản đồ công việc'!AC587)</f>
        <v/>
      </c>
      <c r="R571" s="389" t="str">
        <f>IF('Bản đồ công việc'!X587="","",'Bản đồ công việc'!AD587)</f>
        <v/>
      </c>
      <c r="S571" s="389" t="str">
        <f>IF('Bản đồ công việc'!X587="","",'Bản đồ công việc'!Z587)</f>
        <v/>
      </c>
      <c r="T571" s="389" t="str">
        <f>IF('Bản đồ công việc'!X587="","",'Bản đồ công việc'!AA587)</f>
        <v/>
      </c>
      <c r="U571" s="389" t="str">
        <f>IF('Bản đồ công việc'!X587="","",'Bản đồ công việc'!AE587)</f>
        <v/>
      </c>
      <c r="V571" s="389" t="str">
        <f>IF('Bản đồ công việc'!X587="","",'Bản đồ công việc'!AI587)</f>
        <v/>
      </c>
      <c r="W571" s="389">
        <f t="shared" si="2"/>
        <v>0</v>
      </c>
      <c r="X571" s="389" t="str">
        <f t="shared" si="3"/>
        <v/>
      </c>
      <c r="Y571" s="389" t="str">
        <f t="shared" ref="Y571:Z571" si="567">IFERROR(INDEX($O$8:$O$684,MATCH(X571,$N$8:$N$684,0)),"")</f>
        <v/>
      </c>
      <c r="Z571" s="389" t="str">
        <f t="shared" si="567"/>
        <v/>
      </c>
      <c r="AA571" s="389">
        <f t="shared" si="5"/>
        <v>0</v>
      </c>
    </row>
    <row r="572" ht="15.75" customHeight="1">
      <c r="M572" s="389" t="str">
        <f>IF('Bản đồ công việc'!X588="","",'Bản đồ công việc'!W588)</f>
        <v/>
      </c>
      <c r="N572" s="389" t="str">
        <f>IF('Bản đồ công việc'!X588="","",'Bản đồ công việc'!X588)</f>
        <v/>
      </c>
      <c r="O572" s="389" t="str">
        <f>IF('Bản đồ công việc'!X588="","",'Bản đồ công việc'!Y588)</f>
        <v/>
      </c>
      <c r="P572" s="389" t="str">
        <f>IF('Bản đồ công việc'!X588="","",'Bản đồ công việc'!V588)</f>
        <v/>
      </c>
      <c r="Q572" s="389" t="str">
        <f>IF('Bản đồ công việc'!X588="","",'Bản đồ công việc'!AC588)</f>
        <v/>
      </c>
      <c r="R572" s="389" t="str">
        <f>IF('Bản đồ công việc'!X588="","",'Bản đồ công việc'!AD588)</f>
        <v/>
      </c>
      <c r="S572" s="389" t="str">
        <f>IF('Bản đồ công việc'!X588="","",'Bản đồ công việc'!Z588)</f>
        <v/>
      </c>
      <c r="T572" s="389" t="str">
        <f>IF('Bản đồ công việc'!X588="","",'Bản đồ công việc'!AA588)</f>
        <v/>
      </c>
      <c r="U572" s="389" t="str">
        <f>IF('Bản đồ công việc'!X588="","",'Bản đồ công việc'!AE588)</f>
        <v/>
      </c>
      <c r="V572" s="389" t="str">
        <f>IF('Bản đồ công việc'!X588="","",'Bản đồ công việc'!AI588)</f>
        <v/>
      </c>
      <c r="W572" s="389">
        <f t="shared" si="2"/>
        <v>0</v>
      </c>
      <c r="X572" s="389" t="str">
        <f t="shared" si="3"/>
        <v/>
      </c>
      <c r="Y572" s="389" t="str">
        <f t="shared" ref="Y572:Z572" si="568">IFERROR(INDEX($O$8:$O$684,MATCH(X572,$N$8:$N$684,0)),"")</f>
        <v/>
      </c>
      <c r="Z572" s="389" t="str">
        <f t="shared" si="568"/>
        <v/>
      </c>
      <c r="AA572" s="389">
        <f t="shared" si="5"/>
        <v>0</v>
      </c>
    </row>
    <row r="573" ht="15.75" customHeight="1">
      <c r="M573" s="389" t="str">
        <f>IF('Bản đồ công việc'!X589="","",'Bản đồ công việc'!W589)</f>
        <v/>
      </c>
      <c r="N573" s="389" t="str">
        <f>IF('Bản đồ công việc'!X589="","",'Bản đồ công việc'!X589)</f>
        <v/>
      </c>
      <c r="O573" s="389" t="str">
        <f>IF('Bản đồ công việc'!X589="","",'Bản đồ công việc'!Y589)</f>
        <v/>
      </c>
      <c r="P573" s="389" t="str">
        <f>IF('Bản đồ công việc'!X589="","",'Bản đồ công việc'!V589)</f>
        <v/>
      </c>
      <c r="Q573" s="389" t="str">
        <f>IF('Bản đồ công việc'!X589="","",'Bản đồ công việc'!AC589)</f>
        <v/>
      </c>
      <c r="R573" s="389" t="str">
        <f>IF('Bản đồ công việc'!X589="","",'Bản đồ công việc'!AD589)</f>
        <v/>
      </c>
      <c r="S573" s="389" t="str">
        <f>IF('Bản đồ công việc'!X589="","",'Bản đồ công việc'!Z589)</f>
        <v/>
      </c>
      <c r="T573" s="389" t="str">
        <f>IF('Bản đồ công việc'!X589="","",'Bản đồ công việc'!AA589)</f>
        <v/>
      </c>
      <c r="U573" s="389" t="str">
        <f>IF('Bản đồ công việc'!X589="","",'Bản đồ công việc'!AE589)</f>
        <v/>
      </c>
      <c r="V573" s="389" t="str">
        <f>IF('Bản đồ công việc'!X589="","",'Bản đồ công việc'!AI589)</f>
        <v/>
      </c>
      <c r="W573" s="389">
        <f t="shared" si="2"/>
        <v>0</v>
      </c>
      <c r="X573" s="389" t="str">
        <f t="shared" si="3"/>
        <v/>
      </c>
      <c r="Y573" s="389" t="str">
        <f t="shared" ref="Y573:Z573" si="569">IFERROR(INDEX($O$8:$O$684,MATCH(X573,$N$8:$N$684,0)),"")</f>
        <v/>
      </c>
      <c r="Z573" s="389" t="str">
        <f t="shared" si="569"/>
        <v/>
      </c>
      <c r="AA573" s="389">
        <f t="shared" si="5"/>
        <v>0</v>
      </c>
    </row>
    <row r="574" ht="15.75" customHeight="1">
      <c r="M574" s="389" t="str">
        <f>IF('Bản đồ công việc'!X590="","",'Bản đồ công việc'!W590)</f>
        <v/>
      </c>
      <c r="N574" s="389" t="str">
        <f>IF('Bản đồ công việc'!X590="","",'Bản đồ công việc'!X590)</f>
        <v/>
      </c>
      <c r="O574" s="389" t="str">
        <f>IF('Bản đồ công việc'!X590="","",'Bản đồ công việc'!Y590)</f>
        <v/>
      </c>
      <c r="P574" s="389" t="str">
        <f>IF('Bản đồ công việc'!X590="","",'Bản đồ công việc'!V590)</f>
        <v/>
      </c>
      <c r="Q574" s="389" t="str">
        <f>IF('Bản đồ công việc'!X590="","",'Bản đồ công việc'!AC590)</f>
        <v/>
      </c>
      <c r="R574" s="389" t="str">
        <f>IF('Bản đồ công việc'!X590="","",'Bản đồ công việc'!AD590)</f>
        <v/>
      </c>
      <c r="S574" s="389" t="str">
        <f>IF('Bản đồ công việc'!X590="","",'Bản đồ công việc'!Z590)</f>
        <v/>
      </c>
      <c r="T574" s="389" t="str">
        <f>IF('Bản đồ công việc'!X590="","",'Bản đồ công việc'!AA590)</f>
        <v/>
      </c>
      <c r="U574" s="389" t="str">
        <f>IF('Bản đồ công việc'!X590="","",'Bản đồ công việc'!AE590)</f>
        <v/>
      </c>
      <c r="V574" s="389" t="str">
        <f>IF('Bản đồ công việc'!X590="","",'Bản đồ công việc'!AI590)</f>
        <v/>
      </c>
      <c r="W574" s="389">
        <f t="shared" si="2"/>
        <v>0</v>
      </c>
      <c r="X574" s="389" t="str">
        <f t="shared" si="3"/>
        <v/>
      </c>
      <c r="Y574" s="389" t="str">
        <f t="shared" ref="Y574:Z574" si="570">IFERROR(INDEX($O$8:$O$684,MATCH(X574,$N$8:$N$684,0)),"")</f>
        <v/>
      </c>
      <c r="Z574" s="389" t="str">
        <f t="shared" si="570"/>
        <v/>
      </c>
      <c r="AA574" s="389">
        <f t="shared" si="5"/>
        <v>0</v>
      </c>
    </row>
    <row r="575" ht="15.75" customHeight="1">
      <c r="M575" s="389" t="str">
        <f>IF('Bản đồ công việc'!X591="","",'Bản đồ công việc'!W591)</f>
        <v/>
      </c>
      <c r="N575" s="389" t="str">
        <f>IF('Bản đồ công việc'!X591="","",'Bản đồ công việc'!X591)</f>
        <v/>
      </c>
      <c r="O575" s="389" t="str">
        <f>IF('Bản đồ công việc'!X591="","",'Bản đồ công việc'!Y591)</f>
        <v/>
      </c>
      <c r="P575" s="389" t="str">
        <f>IF('Bản đồ công việc'!X591="","",'Bản đồ công việc'!V591)</f>
        <v/>
      </c>
      <c r="Q575" s="389" t="str">
        <f>IF('Bản đồ công việc'!X591="","",'Bản đồ công việc'!AC591)</f>
        <v/>
      </c>
      <c r="R575" s="389" t="str">
        <f>IF('Bản đồ công việc'!X591="","",'Bản đồ công việc'!AD591)</f>
        <v/>
      </c>
      <c r="S575" s="389" t="str">
        <f>IF('Bản đồ công việc'!X591="","",'Bản đồ công việc'!Z591)</f>
        <v/>
      </c>
      <c r="T575" s="389" t="str">
        <f>IF('Bản đồ công việc'!X591="","",'Bản đồ công việc'!AA591)</f>
        <v/>
      </c>
      <c r="U575" s="389" t="str">
        <f>IF('Bản đồ công việc'!X591="","",'Bản đồ công việc'!AE591)</f>
        <v/>
      </c>
      <c r="V575" s="389" t="str">
        <f>IF('Bản đồ công việc'!X591="","",'Bản đồ công việc'!AI591)</f>
        <v/>
      </c>
      <c r="W575" s="389">
        <f t="shared" si="2"/>
        <v>0</v>
      </c>
      <c r="X575" s="389" t="str">
        <f t="shared" si="3"/>
        <v/>
      </c>
      <c r="Y575" s="389" t="str">
        <f t="shared" ref="Y575:Z575" si="571">IFERROR(INDEX($O$8:$O$684,MATCH(X575,$N$8:$N$684,0)),"")</f>
        <v/>
      </c>
      <c r="Z575" s="389" t="str">
        <f t="shared" si="571"/>
        <v/>
      </c>
      <c r="AA575" s="389">
        <f t="shared" si="5"/>
        <v>0</v>
      </c>
    </row>
    <row r="576" ht="15.75" customHeight="1">
      <c r="M576" s="389" t="str">
        <f>IF('Bản đồ công việc'!X592="","",'Bản đồ công việc'!W592)</f>
        <v/>
      </c>
      <c r="N576" s="389" t="str">
        <f>IF('Bản đồ công việc'!X592="","",'Bản đồ công việc'!X592)</f>
        <v/>
      </c>
      <c r="O576" s="389" t="str">
        <f>IF('Bản đồ công việc'!X592="","",'Bản đồ công việc'!Y592)</f>
        <v/>
      </c>
      <c r="P576" s="389" t="str">
        <f>IF('Bản đồ công việc'!X592="","",'Bản đồ công việc'!V592)</f>
        <v/>
      </c>
      <c r="Q576" s="389" t="str">
        <f>IF('Bản đồ công việc'!X592="","",'Bản đồ công việc'!AC592)</f>
        <v/>
      </c>
      <c r="R576" s="389" t="str">
        <f>IF('Bản đồ công việc'!X592="","",'Bản đồ công việc'!AD592)</f>
        <v/>
      </c>
      <c r="S576" s="389" t="str">
        <f>IF('Bản đồ công việc'!X592="","",'Bản đồ công việc'!Z592)</f>
        <v/>
      </c>
      <c r="T576" s="389" t="str">
        <f>IF('Bản đồ công việc'!X592="","",'Bản đồ công việc'!AA592)</f>
        <v/>
      </c>
      <c r="U576" s="389" t="str">
        <f>IF('Bản đồ công việc'!X592="","",'Bản đồ công việc'!AE592)</f>
        <v/>
      </c>
      <c r="V576" s="389" t="str">
        <f>IF('Bản đồ công việc'!X592="","",'Bản đồ công việc'!AI592)</f>
        <v/>
      </c>
      <c r="W576" s="389">
        <f t="shared" si="2"/>
        <v>0</v>
      </c>
      <c r="X576" s="389" t="str">
        <f t="shared" si="3"/>
        <v/>
      </c>
      <c r="Y576" s="389" t="str">
        <f t="shared" ref="Y576:Z576" si="572">IFERROR(INDEX($O$8:$O$684,MATCH(X576,$N$8:$N$684,0)),"")</f>
        <v/>
      </c>
      <c r="Z576" s="389" t="str">
        <f t="shared" si="572"/>
        <v/>
      </c>
      <c r="AA576" s="389">
        <f t="shared" si="5"/>
        <v>0</v>
      </c>
    </row>
    <row r="577" ht="15.75" customHeight="1">
      <c r="M577" s="389" t="str">
        <f>IF('Bản đồ công việc'!X593="","",'Bản đồ công việc'!W593)</f>
        <v/>
      </c>
      <c r="N577" s="389" t="str">
        <f>IF('Bản đồ công việc'!X593="","",'Bản đồ công việc'!X593)</f>
        <v/>
      </c>
      <c r="O577" s="389" t="str">
        <f>IF('Bản đồ công việc'!X593="","",'Bản đồ công việc'!Y593)</f>
        <v/>
      </c>
      <c r="P577" s="389" t="str">
        <f>IF('Bản đồ công việc'!X593="","",'Bản đồ công việc'!V593)</f>
        <v/>
      </c>
      <c r="Q577" s="389" t="str">
        <f>IF('Bản đồ công việc'!X593="","",'Bản đồ công việc'!AC593)</f>
        <v/>
      </c>
      <c r="R577" s="389" t="str">
        <f>IF('Bản đồ công việc'!X593="","",'Bản đồ công việc'!AD593)</f>
        <v/>
      </c>
      <c r="S577" s="389" t="str">
        <f>IF('Bản đồ công việc'!X593="","",'Bản đồ công việc'!Z593)</f>
        <v/>
      </c>
      <c r="T577" s="389" t="str">
        <f>IF('Bản đồ công việc'!X593="","",'Bản đồ công việc'!AA593)</f>
        <v/>
      </c>
      <c r="U577" s="389" t="str">
        <f>IF('Bản đồ công việc'!X593="","",'Bản đồ công việc'!AE593)</f>
        <v/>
      </c>
      <c r="V577" s="389" t="str">
        <f>IF('Bản đồ công việc'!X593="","",'Bản đồ công việc'!AI593)</f>
        <v/>
      </c>
      <c r="W577" s="389">
        <f t="shared" si="2"/>
        <v>0</v>
      </c>
      <c r="X577" s="389" t="str">
        <f t="shared" si="3"/>
        <v/>
      </c>
      <c r="Y577" s="389" t="str">
        <f t="shared" ref="Y577:Z577" si="573">IFERROR(INDEX($O$8:$O$684,MATCH(X577,$N$8:$N$684,0)),"")</f>
        <v/>
      </c>
      <c r="Z577" s="389" t="str">
        <f t="shared" si="573"/>
        <v/>
      </c>
      <c r="AA577" s="389">
        <f t="shared" si="5"/>
        <v>0</v>
      </c>
    </row>
    <row r="578" ht="15.75" customHeight="1">
      <c r="M578" s="389" t="str">
        <f>IF('Bản đồ công việc'!X594="","",'Bản đồ công việc'!W594)</f>
        <v/>
      </c>
      <c r="N578" s="389" t="str">
        <f>IF('Bản đồ công việc'!X594="","",'Bản đồ công việc'!X594)</f>
        <v/>
      </c>
      <c r="O578" s="389" t="str">
        <f>IF('Bản đồ công việc'!X594="","",'Bản đồ công việc'!Y594)</f>
        <v/>
      </c>
      <c r="P578" s="389" t="str">
        <f>IF('Bản đồ công việc'!X594="","",'Bản đồ công việc'!V594)</f>
        <v/>
      </c>
      <c r="Q578" s="389" t="str">
        <f>IF('Bản đồ công việc'!X594="","",'Bản đồ công việc'!AC594)</f>
        <v/>
      </c>
      <c r="R578" s="389" t="str">
        <f>IF('Bản đồ công việc'!X594="","",'Bản đồ công việc'!AD594)</f>
        <v/>
      </c>
      <c r="S578" s="389" t="str">
        <f>IF('Bản đồ công việc'!X594="","",'Bản đồ công việc'!Z594)</f>
        <v/>
      </c>
      <c r="T578" s="389" t="str">
        <f>IF('Bản đồ công việc'!X594="","",'Bản đồ công việc'!AA594)</f>
        <v/>
      </c>
      <c r="U578" s="389" t="str">
        <f>IF('Bản đồ công việc'!X594="","",'Bản đồ công việc'!AE594)</f>
        <v/>
      </c>
      <c r="V578" s="389" t="str">
        <f>IF('Bản đồ công việc'!X594="","",'Bản đồ công việc'!AI594)</f>
        <v/>
      </c>
      <c r="W578" s="389">
        <f t="shared" si="2"/>
        <v>0</v>
      </c>
      <c r="X578" s="389" t="str">
        <f t="shared" si="3"/>
        <v/>
      </c>
      <c r="Y578" s="389" t="str">
        <f t="shared" ref="Y578:Z578" si="574">IFERROR(INDEX($O$8:$O$684,MATCH(X578,$N$8:$N$684,0)),"")</f>
        <v/>
      </c>
      <c r="Z578" s="389" t="str">
        <f t="shared" si="574"/>
        <v/>
      </c>
      <c r="AA578" s="389">
        <f t="shared" si="5"/>
        <v>0</v>
      </c>
    </row>
    <row r="579" ht="15.75" customHeight="1">
      <c r="M579" s="389" t="str">
        <f>IF('Bản đồ công việc'!X595="","",'Bản đồ công việc'!W595)</f>
        <v/>
      </c>
      <c r="N579" s="389" t="str">
        <f>IF('Bản đồ công việc'!X595="","",'Bản đồ công việc'!X595)</f>
        <v/>
      </c>
      <c r="O579" s="389" t="str">
        <f>IF('Bản đồ công việc'!X595="","",'Bản đồ công việc'!Y595)</f>
        <v/>
      </c>
      <c r="P579" s="389" t="str">
        <f>IF('Bản đồ công việc'!X595="","",'Bản đồ công việc'!V595)</f>
        <v/>
      </c>
      <c r="Q579" s="389" t="str">
        <f>IF('Bản đồ công việc'!X595="","",'Bản đồ công việc'!AC595)</f>
        <v/>
      </c>
      <c r="R579" s="389" t="str">
        <f>IF('Bản đồ công việc'!X595="","",'Bản đồ công việc'!AD595)</f>
        <v/>
      </c>
      <c r="S579" s="389" t="str">
        <f>IF('Bản đồ công việc'!X595="","",'Bản đồ công việc'!Z595)</f>
        <v/>
      </c>
      <c r="T579" s="389" t="str">
        <f>IF('Bản đồ công việc'!X595="","",'Bản đồ công việc'!AA595)</f>
        <v/>
      </c>
      <c r="U579" s="389" t="str">
        <f>IF('Bản đồ công việc'!X595="","",'Bản đồ công việc'!AE595)</f>
        <v/>
      </c>
      <c r="V579" s="389" t="str">
        <f>IF('Bản đồ công việc'!X595="","",'Bản đồ công việc'!AI595)</f>
        <v/>
      </c>
      <c r="W579" s="389">
        <f t="shared" si="2"/>
        <v>0</v>
      </c>
      <c r="X579" s="389" t="str">
        <f t="shared" si="3"/>
        <v/>
      </c>
      <c r="Y579" s="389" t="str">
        <f t="shared" ref="Y579:Z579" si="575">IFERROR(INDEX($O$8:$O$684,MATCH(X579,$N$8:$N$684,0)),"")</f>
        <v/>
      </c>
      <c r="Z579" s="389" t="str">
        <f t="shared" si="575"/>
        <v/>
      </c>
      <c r="AA579" s="389">
        <f t="shared" si="5"/>
        <v>0</v>
      </c>
    </row>
    <row r="580" ht="15.75" customHeight="1">
      <c r="M580" s="389" t="str">
        <f>IF('Bản đồ công việc'!X596="","",'Bản đồ công việc'!W596)</f>
        <v/>
      </c>
      <c r="N580" s="389" t="str">
        <f>IF('Bản đồ công việc'!X596="","",'Bản đồ công việc'!X596)</f>
        <v/>
      </c>
      <c r="O580" s="389" t="str">
        <f>IF('Bản đồ công việc'!X596="","",'Bản đồ công việc'!Y596)</f>
        <v/>
      </c>
      <c r="P580" s="389" t="str">
        <f>IF('Bản đồ công việc'!X596="","",'Bản đồ công việc'!V596)</f>
        <v/>
      </c>
      <c r="Q580" s="389" t="str">
        <f>IF('Bản đồ công việc'!X596="","",'Bản đồ công việc'!AC596)</f>
        <v/>
      </c>
      <c r="R580" s="389" t="str">
        <f>IF('Bản đồ công việc'!X596="","",'Bản đồ công việc'!AD596)</f>
        <v/>
      </c>
      <c r="S580" s="389" t="str">
        <f>IF('Bản đồ công việc'!X596="","",'Bản đồ công việc'!Z596)</f>
        <v/>
      </c>
      <c r="T580" s="389" t="str">
        <f>IF('Bản đồ công việc'!X596="","",'Bản đồ công việc'!AA596)</f>
        <v/>
      </c>
      <c r="U580" s="389" t="str">
        <f>IF('Bản đồ công việc'!X596="","",'Bản đồ công việc'!AE596)</f>
        <v/>
      </c>
      <c r="V580" s="389" t="str">
        <f>IF('Bản đồ công việc'!X596="","",'Bản đồ công việc'!AI596)</f>
        <v/>
      </c>
      <c r="W580" s="389">
        <f t="shared" si="2"/>
        <v>0</v>
      </c>
      <c r="X580" s="389" t="str">
        <f t="shared" si="3"/>
        <v/>
      </c>
      <c r="Y580" s="389" t="str">
        <f t="shared" ref="Y580:Z580" si="576">IFERROR(INDEX($O$8:$O$684,MATCH(X580,$N$8:$N$684,0)),"")</f>
        <v/>
      </c>
      <c r="Z580" s="389" t="str">
        <f t="shared" si="576"/>
        <v/>
      </c>
      <c r="AA580" s="389">
        <f t="shared" si="5"/>
        <v>0</v>
      </c>
    </row>
    <row r="581" ht="15.75" customHeight="1">
      <c r="M581" s="389" t="str">
        <f>IF('Bản đồ công việc'!X597="","",'Bản đồ công việc'!W597)</f>
        <v/>
      </c>
      <c r="N581" s="389" t="str">
        <f>IF('Bản đồ công việc'!X597="","",'Bản đồ công việc'!X597)</f>
        <v/>
      </c>
      <c r="O581" s="389" t="str">
        <f>IF('Bản đồ công việc'!X597="","",'Bản đồ công việc'!Y597)</f>
        <v/>
      </c>
      <c r="P581" s="389" t="str">
        <f>IF('Bản đồ công việc'!X597="","",'Bản đồ công việc'!V597)</f>
        <v/>
      </c>
      <c r="Q581" s="389" t="str">
        <f>IF('Bản đồ công việc'!X597="","",'Bản đồ công việc'!AC597)</f>
        <v/>
      </c>
      <c r="R581" s="389" t="str">
        <f>IF('Bản đồ công việc'!X597="","",'Bản đồ công việc'!AD597)</f>
        <v/>
      </c>
      <c r="S581" s="389" t="str">
        <f>IF('Bản đồ công việc'!X597="","",'Bản đồ công việc'!Z597)</f>
        <v/>
      </c>
      <c r="T581" s="389" t="str">
        <f>IF('Bản đồ công việc'!X597="","",'Bản đồ công việc'!AA597)</f>
        <v/>
      </c>
      <c r="U581" s="389" t="str">
        <f>IF('Bản đồ công việc'!X597="","",'Bản đồ công việc'!AE597)</f>
        <v/>
      </c>
      <c r="V581" s="389" t="str">
        <f>IF('Bản đồ công việc'!X597="","",'Bản đồ công việc'!AI597)</f>
        <v/>
      </c>
      <c r="W581" s="389">
        <f t="shared" si="2"/>
        <v>0</v>
      </c>
      <c r="X581" s="389" t="str">
        <f t="shared" si="3"/>
        <v/>
      </c>
      <c r="Y581" s="389" t="str">
        <f t="shared" ref="Y581:Z581" si="577">IFERROR(INDEX($O$8:$O$684,MATCH(X581,$N$8:$N$684,0)),"")</f>
        <v/>
      </c>
      <c r="Z581" s="389" t="str">
        <f t="shared" si="577"/>
        <v/>
      </c>
      <c r="AA581" s="389">
        <f t="shared" si="5"/>
        <v>0</v>
      </c>
    </row>
    <row r="582" ht="15.75" customHeight="1">
      <c r="M582" s="389" t="str">
        <f>IF('Bản đồ công việc'!X598="","",'Bản đồ công việc'!W598)</f>
        <v/>
      </c>
      <c r="N582" s="389" t="str">
        <f>IF('Bản đồ công việc'!X598="","",'Bản đồ công việc'!X598)</f>
        <v/>
      </c>
      <c r="O582" s="389" t="str">
        <f>IF('Bản đồ công việc'!X598="","",'Bản đồ công việc'!Y598)</f>
        <v/>
      </c>
      <c r="P582" s="389" t="str">
        <f>IF('Bản đồ công việc'!X598="","",'Bản đồ công việc'!V598)</f>
        <v/>
      </c>
      <c r="Q582" s="389" t="str">
        <f>IF('Bản đồ công việc'!X598="","",'Bản đồ công việc'!AC598)</f>
        <v/>
      </c>
      <c r="R582" s="389" t="str">
        <f>IF('Bản đồ công việc'!X598="","",'Bản đồ công việc'!AD598)</f>
        <v/>
      </c>
      <c r="S582" s="389" t="str">
        <f>IF('Bản đồ công việc'!X598="","",'Bản đồ công việc'!Z598)</f>
        <v/>
      </c>
      <c r="T582" s="389" t="str">
        <f>IF('Bản đồ công việc'!X598="","",'Bản đồ công việc'!AA598)</f>
        <v/>
      </c>
      <c r="U582" s="389" t="str">
        <f>IF('Bản đồ công việc'!X598="","",'Bản đồ công việc'!AE598)</f>
        <v/>
      </c>
      <c r="V582" s="389" t="str">
        <f>IF('Bản đồ công việc'!X598="","",'Bản đồ công việc'!AI598)</f>
        <v/>
      </c>
      <c r="W582" s="389">
        <f t="shared" si="2"/>
        <v>0</v>
      </c>
      <c r="X582" s="389" t="str">
        <f t="shared" si="3"/>
        <v/>
      </c>
      <c r="Y582" s="389" t="str">
        <f t="shared" ref="Y582:Z582" si="578">IFERROR(INDEX($O$8:$O$684,MATCH(X582,$N$8:$N$684,0)),"")</f>
        <v/>
      </c>
      <c r="Z582" s="389" t="str">
        <f t="shared" si="578"/>
        <v/>
      </c>
      <c r="AA582" s="389">
        <f t="shared" si="5"/>
        <v>0</v>
      </c>
    </row>
    <row r="583" ht="15.75" customHeight="1">
      <c r="M583" s="389" t="str">
        <f>IF('Bản đồ công việc'!X599="","",'Bản đồ công việc'!W599)</f>
        <v/>
      </c>
      <c r="N583" s="389" t="str">
        <f>IF('Bản đồ công việc'!X599="","",'Bản đồ công việc'!X599)</f>
        <v/>
      </c>
      <c r="O583" s="389" t="str">
        <f>IF('Bản đồ công việc'!X599="","",'Bản đồ công việc'!Y599)</f>
        <v/>
      </c>
      <c r="P583" s="389" t="str">
        <f>IF('Bản đồ công việc'!X599="","",'Bản đồ công việc'!V599)</f>
        <v/>
      </c>
      <c r="Q583" s="389" t="str">
        <f>IF('Bản đồ công việc'!X599="","",'Bản đồ công việc'!AC599)</f>
        <v/>
      </c>
      <c r="R583" s="389" t="str">
        <f>IF('Bản đồ công việc'!X599="","",'Bản đồ công việc'!AD599)</f>
        <v/>
      </c>
      <c r="S583" s="389" t="str">
        <f>IF('Bản đồ công việc'!X599="","",'Bản đồ công việc'!Z599)</f>
        <v/>
      </c>
      <c r="T583" s="389" t="str">
        <f>IF('Bản đồ công việc'!X599="","",'Bản đồ công việc'!AA599)</f>
        <v/>
      </c>
      <c r="U583" s="389" t="str">
        <f>IF('Bản đồ công việc'!X599="","",'Bản đồ công việc'!AE599)</f>
        <v/>
      </c>
      <c r="V583" s="389" t="str">
        <f>IF('Bản đồ công việc'!X599="","",'Bản đồ công việc'!AI599)</f>
        <v/>
      </c>
      <c r="W583" s="389">
        <f t="shared" si="2"/>
        <v>0</v>
      </c>
      <c r="X583" s="389" t="str">
        <f t="shared" si="3"/>
        <v/>
      </c>
      <c r="Y583" s="389" t="str">
        <f t="shared" ref="Y583:Z583" si="579">IFERROR(INDEX($O$8:$O$684,MATCH(X583,$N$8:$N$684,0)),"")</f>
        <v/>
      </c>
      <c r="Z583" s="389" t="str">
        <f t="shared" si="579"/>
        <v/>
      </c>
      <c r="AA583" s="389">
        <f t="shared" si="5"/>
        <v>0</v>
      </c>
    </row>
    <row r="584" ht="15.75" customHeight="1">
      <c r="M584" s="389" t="str">
        <f>IF('Bản đồ công việc'!X600="","",'Bản đồ công việc'!W600)</f>
        <v/>
      </c>
      <c r="N584" s="389" t="str">
        <f>IF('Bản đồ công việc'!X600="","",'Bản đồ công việc'!X600)</f>
        <v/>
      </c>
      <c r="O584" s="389" t="str">
        <f>IF('Bản đồ công việc'!X600="","",'Bản đồ công việc'!Y600)</f>
        <v/>
      </c>
      <c r="P584" s="389" t="str">
        <f>IF('Bản đồ công việc'!X600="","",'Bản đồ công việc'!V600)</f>
        <v/>
      </c>
      <c r="Q584" s="389" t="str">
        <f>IF('Bản đồ công việc'!X600="","",'Bản đồ công việc'!AC600)</f>
        <v/>
      </c>
      <c r="R584" s="389" t="str">
        <f>IF('Bản đồ công việc'!X600="","",'Bản đồ công việc'!AD600)</f>
        <v/>
      </c>
      <c r="S584" s="389" t="str">
        <f>IF('Bản đồ công việc'!X600="","",'Bản đồ công việc'!Z600)</f>
        <v/>
      </c>
      <c r="T584" s="389" t="str">
        <f>IF('Bản đồ công việc'!X600="","",'Bản đồ công việc'!AA600)</f>
        <v/>
      </c>
      <c r="U584" s="389" t="str">
        <f>IF('Bản đồ công việc'!X600="","",'Bản đồ công việc'!AE600)</f>
        <v/>
      </c>
      <c r="V584" s="389" t="str">
        <f>IF('Bản đồ công việc'!X600="","",'Bản đồ công việc'!AI600)</f>
        <v/>
      </c>
      <c r="W584" s="389">
        <f t="shared" si="2"/>
        <v>0</v>
      </c>
      <c r="X584" s="389" t="str">
        <f t="shared" si="3"/>
        <v/>
      </c>
      <c r="Y584" s="389" t="str">
        <f t="shared" ref="Y584:Z584" si="580">IFERROR(INDEX($O$8:$O$684,MATCH(X584,$N$8:$N$684,0)),"")</f>
        <v/>
      </c>
      <c r="Z584" s="389" t="str">
        <f t="shared" si="580"/>
        <v/>
      </c>
      <c r="AA584" s="389">
        <f t="shared" si="5"/>
        <v>0</v>
      </c>
    </row>
    <row r="585" ht="15.75" customHeight="1">
      <c r="M585" s="389" t="str">
        <f>IF('Bản đồ công việc'!X601="","",'Bản đồ công việc'!W601)</f>
        <v/>
      </c>
      <c r="N585" s="389" t="str">
        <f>IF('Bản đồ công việc'!X601="","",'Bản đồ công việc'!X601)</f>
        <v/>
      </c>
      <c r="O585" s="389" t="str">
        <f>IF('Bản đồ công việc'!X601="","",'Bản đồ công việc'!Y601)</f>
        <v/>
      </c>
      <c r="P585" s="389" t="str">
        <f>IF('Bản đồ công việc'!X601="","",'Bản đồ công việc'!V601)</f>
        <v/>
      </c>
      <c r="Q585" s="389" t="str">
        <f>IF('Bản đồ công việc'!X601="","",'Bản đồ công việc'!AC601)</f>
        <v/>
      </c>
      <c r="R585" s="389" t="str">
        <f>IF('Bản đồ công việc'!X601="","",'Bản đồ công việc'!AD601)</f>
        <v/>
      </c>
      <c r="S585" s="389" t="str">
        <f>IF('Bản đồ công việc'!X601="","",'Bản đồ công việc'!Z601)</f>
        <v/>
      </c>
      <c r="T585" s="389" t="str">
        <f>IF('Bản đồ công việc'!X601="","",'Bản đồ công việc'!AA601)</f>
        <v/>
      </c>
      <c r="U585" s="389" t="str">
        <f>IF('Bản đồ công việc'!X601="","",'Bản đồ công việc'!AE601)</f>
        <v/>
      </c>
      <c r="V585" s="389" t="str">
        <f>IF('Bản đồ công việc'!X601="","",'Bản đồ công việc'!AI601)</f>
        <v/>
      </c>
      <c r="W585" s="389">
        <f t="shared" si="2"/>
        <v>0</v>
      </c>
      <c r="X585" s="389" t="str">
        <f t="shared" si="3"/>
        <v/>
      </c>
      <c r="Y585" s="389" t="str">
        <f t="shared" ref="Y585:Z585" si="581">IFERROR(INDEX($O$8:$O$684,MATCH(X585,$N$8:$N$684,0)),"")</f>
        <v/>
      </c>
      <c r="Z585" s="389" t="str">
        <f t="shared" si="581"/>
        <v/>
      </c>
      <c r="AA585" s="389">
        <f t="shared" si="5"/>
        <v>0</v>
      </c>
    </row>
    <row r="586" ht="15.75" customHeight="1">
      <c r="M586" s="389" t="str">
        <f>IF('Bản đồ công việc'!X602="","",'Bản đồ công việc'!W602)</f>
        <v/>
      </c>
      <c r="N586" s="389" t="str">
        <f>IF('Bản đồ công việc'!X602="","",'Bản đồ công việc'!X602)</f>
        <v/>
      </c>
      <c r="O586" s="389" t="str">
        <f>IF('Bản đồ công việc'!X602="","",'Bản đồ công việc'!Y602)</f>
        <v/>
      </c>
      <c r="P586" s="389" t="str">
        <f>IF('Bản đồ công việc'!X602="","",'Bản đồ công việc'!V602)</f>
        <v/>
      </c>
      <c r="Q586" s="389" t="str">
        <f>IF('Bản đồ công việc'!X602="","",'Bản đồ công việc'!AC602)</f>
        <v/>
      </c>
      <c r="R586" s="389" t="str">
        <f>IF('Bản đồ công việc'!X602="","",'Bản đồ công việc'!AD602)</f>
        <v/>
      </c>
      <c r="S586" s="389" t="str">
        <f>IF('Bản đồ công việc'!X602="","",'Bản đồ công việc'!Z602)</f>
        <v/>
      </c>
      <c r="T586" s="389" t="str">
        <f>IF('Bản đồ công việc'!X602="","",'Bản đồ công việc'!AA602)</f>
        <v/>
      </c>
      <c r="U586" s="389" t="str">
        <f>IF('Bản đồ công việc'!X602="","",'Bản đồ công việc'!AE602)</f>
        <v/>
      </c>
      <c r="V586" s="389" t="str">
        <f>IF('Bản đồ công việc'!X602="","",'Bản đồ công việc'!AI602)</f>
        <v/>
      </c>
      <c r="W586" s="389">
        <f t="shared" si="2"/>
        <v>0</v>
      </c>
      <c r="X586" s="389" t="str">
        <f t="shared" si="3"/>
        <v/>
      </c>
      <c r="Y586" s="389" t="str">
        <f t="shared" ref="Y586:Z586" si="582">IFERROR(INDEX($O$8:$O$684,MATCH(X586,$N$8:$N$684,0)),"")</f>
        <v/>
      </c>
      <c r="Z586" s="389" t="str">
        <f t="shared" si="582"/>
        <v/>
      </c>
      <c r="AA586" s="389">
        <f t="shared" si="5"/>
        <v>0</v>
      </c>
    </row>
    <row r="587" ht="15.75" customHeight="1">
      <c r="M587" s="389" t="str">
        <f>IF('Bản đồ công việc'!X603="","",'Bản đồ công việc'!W603)</f>
        <v/>
      </c>
      <c r="N587" s="389" t="str">
        <f>IF('Bản đồ công việc'!X603="","",'Bản đồ công việc'!X603)</f>
        <v/>
      </c>
      <c r="O587" s="389" t="str">
        <f>IF('Bản đồ công việc'!X603="","",'Bản đồ công việc'!Y603)</f>
        <v/>
      </c>
      <c r="P587" s="389" t="str">
        <f>IF('Bản đồ công việc'!X603="","",'Bản đồ công việc'!V603)</f>
        <v/>
      </c>
      <c r="Q587" s="389" t="str">
        <f>IF('Bản đồ công việc'!X603="","",'Bản đồ công việc'!AC603)</f>
        <v/>
      </c>
      <c r="R587" s="389" t="str">
        <f>IF('Bản đồ công việc'!X603="","",'Bản đồ công việc'!AD603)</f>
        <v/>
      </c>
      <c r="S587" s="389" t="str">
        <f>IF('Bản đồ công việc'!X603="","",'Bản đồ công việc'!Z603)</f>
        <v/>
      </c>
      <c r="T587" s="389" t="str">
        <f>IF('Bản đồ công việc'!X603="","",'Bản đồ công việc'!AA603)</f>
        <v/>
      </c>
      <c r="U587" s="389" t="str">
        <f>IF('Bản đồ công việc'!X603="","",'Bản đồ công việc'!AE603)</f>
        <v/>
      </c>
      <c r="V587" s="389" t="str">
        <f>IF('Bản đồ công việc'!X603="","",'Bản đồ công việc'!AI603)</f>
        <v/>
      </c>
      <c r="W587" s="389">
        <f t="shared" si="2"/>
        <v>0</v>
      </c>
      <c r="X587" s="389" t="str">
        <f t="shared" si="3"/>
        <v/>
      </c>
      <c r="Y587" s="389" t="str">
        <f t="shared" ref="Y587:Z587" si="583">IFERROR(INDEX($O$8:$O$684,MATCH(X587,$N$8:$N$684,0)),"")</f>
        <v/>
      </c>
      <c r="Z587" s="389" t="str">
        <f t="shared" si="583"/>
        <v/>
      </c>
      <c r="AA587" s="389">
        <f t="shared" si="5"/>
        <v>0</v>
      </c>
    </row>
    <row r="588" ht="15.75" customHeight="1">
      <c r="M588" s="389" t="str">
        <f>IF('Bản đồ công việc'!X604="","",'Bản đồ công việc'!W604)</f>
        <v/>
      </c>
      <c r="N588" s="389" t="str">
        <f>IF('Bản đồ công việc'!X604="","",'Bản đồ công việc'!X604)</f>
        <v/>
      </c>
      <c r="O588" s="389" t="str">
        <f>IF('Bản đồ công việc'!X604="","",'Bản đồ công việc'!Y604)</f>
        <v/>
      </c>
      <c r="P588" s="389" t="str">
        <f>IF('Bản đồ công việc'!X604="","",'Bản đồ công việc'!V604)</f>
        <v/>
      </c>
      <c r="Q588" s="389" t="str">
        <f>IF('Bản đồ công việc'!X604="","",'Bản đồ công việc'!AC604)</f>
        <v/>
      </c>
      <c r="R588" s="389" t="str">
        <f>IF('Bản đồ công việc'!X604="","",'Bản đồ công việc'!AD604)</f>
        <v/>
      </c>
      <c r="S588" s="389" t="str">
        <f>IF('Bản đồ công việc'!X604="","",'Bản đồ công việc'!Z604)</f>
        <v/>
      </c>
      <c r="T588" s="389" t="str">
        <f>IF('Bản đồ công việc'!X604="","",'Bản đồ công việc'!AA604)</f>
        <v/>
      </c>
      <c r="U588" s="389" t="str">
        <f>IF('Bản đồ công việc'!X604="","",'Bản đồ công việc'!AE604)</f>
        <v/>
      </c>
      <c r="V588" s="389" t="str">
        <f>IF('Bản đồ công việc'!X604="","",'Bản đồ công việc'!AI604)</f>
        <v/>
      </c>
      <c r="W588" s="389">
        <f t="shared" si="2"/>
        <v>0</v>
      </c>
      <c r="X588" s="389" t="str">
        <f t="shared" si="3"/>
        <v/>
      </c>
      <c r="Y588" s="389" t="str">
        <f t="shared" ref="Y588:Z588" si="584">IFERROR(INDEX($O$8:$O$684,MATCH(X588,$N$8:$N$684,0)),"")</f>
        <v/>
      </c>
      <c r="Z588" s="389" t="str">
        <f t="shared" si="584"/>
        <v/>
      </c>
      <c r="AA588" s="389">
        <f t="shared" si="5"/>
        <v>0</v>
      </c>
    </row>
    <row r="589" ht="15.75" customHeight="1">
      <c r="M589" s="389" t="str">
        <f>IF('Bản đồ công việc'!X605="","",'Bản đồ công việc'!W605)</f>
        <v/>
      </c>
      <c r="N589" s="389" t="str">
        <f>IF('Bản đồ công việc'!X605="","",'Bản đồ công việc'!X605)</f>
        <v/>
      </c>
      <c r="O589" s="389" t="str">
        <f>IF('Bản đồ công việc'!X605="","",'Bản đồ công việc'!Y605)</f>
        <v/>
      </c>
      <c r="P589" s="389" t="str">
        <f>IF('Bản đồ công việc'!X605="","",'Bản đồ công việc'!V605)</f>
        <v/>
      </c>
      <c r="Q589" s="389" t="str">
        <f>IF('Bản đồ công việc'!X605="","",'Bản đồ công việc'!AC605)</f>
        <v/>
      </c>
      <c r="R589" s="389" t="str">
        <f>IF('Bản đồ công việc'!X605="","",'Bản đồ công việc'!AD605)</f>
        <v/>
      </c>
      <c r="S589" s="389" t="str">
        <f>IF('Bản đồ công việc'!X605="","",'Bản đồ công việc'!Z605)</f>
        <v/>
      </c>
      <c r="T589" s="389" t="str">
        <f>IF('Bản đồ công việc'!X605="","",'Bản đồ công việc'!AA605)</f>
        <v/>
      </c>
      <c r="U589" s="389" t="str">
        <f>IF('Bản đồ công việc'!X605="","",'Bản đồ công việc'!AE605)</f>
        <v/>
      </c>
      <c r="V589" s="389" t="str">
        <f>IF('Bản đồ công việc'!X605="","",'Bản đồ công việc'!AI605)</f>
        <v/>
      </c>
      <c r="W589" s="389">
        <f t="shared" si="2"/>
        <v>0</v>
      </c>
      <c r="X589" s="389" t="str">
        <f t="shared" si="3"/>
        <v/>
      </c>
      <c r="Y589" s="389" t="str">
        <f t="shared" ref="Y589:Z589" si="585">IFERROR(INDEX($O$8:$O$684,MATCH(X589,$N$8:$N$684,0)),"")</f>
        <v/>
      </c>
      <c r="Z589" s="389" t="str">
        <f t="shared" si="585"/>
        <v/>
      </c>
      <c r="AA589" s="389">
        <f t="shared" si="5"/>
        <v>0</v>
      </c>
    </row>
    <row r="590" ht="15.75" customHeight="1">
      <c r="M590" s="389" t="str">
        <f>IF('Bản đồ công việc'!X606="","",'Bản đồ công việc'!W606)</f>
        <v/>
      </c>
      <c r="N590" s="389" t="str">
        <f>IF('Bản đồ công việc'!X606="","",'Bản đồ công việc'!X606)</f>
        <v/>
      </c>
      <c r="O590" s="389" t="str">
        <f>IF('Bản đồ công việc'!X606="","",'Bản đồ công việc'!Y606)</f>
        <v/>
      </c>
      <c r="P590" s="389" t="str">
        <f>IF('Bản đồ công việc'!X606="","",'Bản đồ công việc'!V606)</f>
        <v/>
      </c>
      <c r="Q590" s="389" t="str">
        <f>IF('Bản đồ công việc'!X606="","",'Bản đồ công việc'!AC606)</f>
        <v/>
      </c>
      <c r="R590" s="389" t="str">
        <f>IF('Bản đồ công việc'!X606="","",'Bản đồ công việc'!AD606)</f>
        <v/>
      </c>
      <c r="S590" s="389" t="str">
        <f>IF('Bản đồ công việc'!X606="","",'Bản đồ công việc'!Z606)</f>
        <v/>
      </c>
      <c r="T590" s="389" t="str">
        <f>IF('Bản đồ công việc'!X606="","",'Bản đồ công việc'!AA606)</f>
        <v/>
      </c>
      <c r="U590" s="389" t="str">
        <f>IF('Bản đồ công việc'!X606="","",'Bản đồ công việc'!AE606)</f>
        <v/>
      </c>
      <c r="V590" s="389" t="str">
        <f>IF('Bản đồ công việc'!X606="","",'Bản đồ công việc'!AI606)</f>
        <v/>
      </c>
      <c r="W590" s="389">
        <f t="shared" si="2"/>
        <v>0</v>
      </c>
      <c r="X590" s="389" t="str">
        <f t="shared" si="3"/>
        <v/>
      </c>
      <c r="Y590" s="389" t="str">
        <f t="shared" ref="Y590:Z590" si="586">IFERROR(INDEX($O$8:$O$684,MATCH(X590,$N$8:$N$684,0)),"")</f>
        <v/>
      </c>
      <c r="Z590" s="389" t="str">
        <f t="shared" si="586"/>
        <v/>
      </c>
      <c r="AA590" s="389">
        <f t="shared" si="5"/>
        <v>0</v>
      </c>
    </row>
    <row r="591" ht="15.75" customHeight="1">
      <c r="M591" s="389" t="str">
        <f>IF('Bản đồ công việc'!X607="","",'Bản đồ công việc'!W607)</f>
        <v/>
      </c>
      <c r="N591" s="389" t="str">
        <f>IF('Bản đồ công việc'!X607="","",'Bản đồ công việc'!X607)</f>
        <v/>
      </c>
      <c r="O591" s="389" t="str">
        <f>IF('Bản đồ công việc'!X607="","",'Bản đồ công việc'!Y607)</f>
        <v/>
      </c>
      <c r="P591" s="389" t="str">
        <f>IF('Bản đồ công việc'!X607="","",'Bản đồ công việc'!V607)</f>
        <v/>
      </c>
      <c r="Q591" s="389" t="str">
        <f>IF('Bản đồ công việc'!X607="","",'Bản đồ công việc'!AC607)</f>
        <v/>
      </c>
      <c r="R591" s="389" t="str">
        <f>IF('Bản đồ công việc'!X607="","",'Bản đồ công việc'!AD607)</f>
        <v/>
      </c>
      <c r="S591" s="389" t="str">
        <f>IF('Bản đồ công việc'!X607="","",'Bản đồ công việc'!Z607)</f>
        <v/>
      </c>
      <c r="T591" s="389" t="str">
        <f>IF('Bản đồ công việc'!X607="","",'Bản đồ công việc'!AA607)</f>
        <v/>
      </c>
      <c r="U591" s="389" t="str">
        <f>IF('Bản đồ công việc'!X607="","",'Bản đồ công việc'!AE607)</f>
        <v/>
      </c>
      <c r="V591" s="389" t="str">
        <f>IF('Bản đồ công việc'!X607="","",'Bản đồ công việc'!AI607)</f>
        <v/>
      </c>
      <c r="W591" s="389">
        <f t="shared" si="2"/>
        <v>0</v>
      </c>
      <c r="X591" s="389" t="str">
        <f t="shared" si="3"/>
        <v/>
      </c>
      <c r="Y591" s="389" t="str">
        <f t="shared" ref="Y591:Z591" si="587">IFERROR(INDEX($O$8:$O$684,MATCH(X591,$N$8:$N$684,0)),"")</f>
        <v/>
      </c>
      <c r="Z591" s="389" t="str">
        <f t="shared" si="587"/>
        <v/>
      </c>
      <c r="AA591" s="389">
        <f t="shared" si="5"/>
        <v>0</v>
      </c>
    </row>
    <row r="592" ht="15.75" customHeight="1">
      <c r="M592" s="389" t="str">
        <f>IF('Bản đồ công việc'!X608="","",'Bản đồ công việc'!W608)</f>
        <v/>
      </c>
      <c r="N592" s="389" t="str">
        <f>IF('Bản đồ công việc'!X608="","",'Bản đồ công việc'!X608)</f>
        <v/>
      </c>
      <c r="O592" s="389" t="str">
        <f>IF('Bản đồ công việc'!X608="","",'Bản đồ công việc'!Y608)</f>
        <v/>
      </c>
      <c r="P592" s="389" t="str">
        <f>IF('Bản đồ công việc'!X608="","",'Bản đồ công việc'!V608)</f>
        <v/>
      </c>
      <c r="Q592" s="389" t="str">
        <f>IF('Bản đồ công việc'!X608="","",'Bản đồ công việc'!AC608)</f>
        <v/>
      </c>
      <c r="R592" s="389" t="str">
        <f>IF('Bản đồ công việc'!X608="","",'Bản đồ công việc'!AD608)</f>
        <v/>
      </c>
      <c r="S592" s="389" t="str">
        <f>IF('Bản đồ công việc'!X608="","",'Bản đồ công việc'!Z608)</f>
        <v/>
      </c>
      <c r="T592" s="389" t="str">
        <f>IF('Bản đồ công việc'!X608="","",'Bản đồ công việc'!AA608)</f>
        <v/>
      </c>
      <c r="U592" s="389" t="str">
        <f>IF('Bản đồ công việc'!X608="","",'Bản đồ công việc'!AE608)</f>
        <v/>
      </c>
      <c r="V592" s="389" t="str">
        <f>IF('Bản đồ công việc'!X608="","",'Bản đồ công việc'!AI608)</f>
        <v/>
      </c>
      <c r="W592" s="389">
        <f t="shared" si="2"/>
        <v>0</v>
      </c>
      <c r="X592" s="389" t="str">
        <f t="shared" si="3"/>
        <v/>
      </c>
      <c r="Y592" s="389" t="str">
        <f t="shared" ref="Y592:Z592" si="588">IFERROR(INDEX($O$8:$O$684,MATCH(X592,$N$8:$N$684,0)),"")</f>
        <v/>
      </c>
      <c r="Z592" s="389" t="str">
        <f t="shared" si="588"/>
        <v/>
      </c>
      <c r="AA592" s="389">
        <f t="shared" si="5"/>
        <v>0</v>
      </c>
    </row>
    <row r="593" ht="15.75" customHeight="1">
      <c r="M593" s="389" t="str">
        <f>IF('Bản đồ công việc'!X609="","",'Bản đồ công việc'!W609)</f>
        <v/>
      </c>
      <c r="N593" s="389" t="str">
        <f>IF('Bản đồ công việc'!X609="","",'Bản đồ công việc'!X609)</f>
        <v/>
      </c>
      <c r="O593" s="389" t="str">
        <f>IF('Bản đồ công việc'!X609="","",'Bản đồ công việc'!Y609)</f>
        <v/>
      </c>
      <c r="P593" s="389" t="str">
        <f>IF('Bản đồ công việc'!X609="","",'Bản đồ công việc'!V609)</f>
        <v/>
      </c>
      <c r="Q593" s="389" t="str">
        <f>IF('Bản đồ công việc'!X609="","",'Bản đồ công việc'!AC609)</f>
        <v/>
      </c>
      <c r="R593" s="389" t="str">
        <f>IF('Bản đồ công việc'!X609="","",'Bản đồ công việc'!AD609)</f>
        <v/>
      </c>
      <c r="S593" s="389" t="str">
        <f>IF('Bản đồ công việc'!X609="","",'Bản đồ công việc'!Z609)</f>
        <v/>
      </c>
      <c r="T593" s="389" t="str">
        <f>IF('Bản đồ công việc'!X609="","",'Bản đồ công việc'!AA609)</f>
        <v/>
      </c>
      <c r="U593" s="389" t="str">
        <f>IF('Bản đồ công việc'!X609="","",'Bản đồ công việc'!AE609)</f>
        <v/>
      </c>
      <c r="V593" s="389" t="str">
        <f>IF('Bản đồ công việc'!X609="","",'Bản đồ công việc'!AI609)</f>
        <v/>
      </c>
      <c r="W593" s="389">
        <f t="shared" si="2"/>
        <v>0</v>
      </c>
      <c r="X593" s="389" t="str">
        <f t="shared" si="3"/>
        <v/>
      </c>
      <c r="Y593" s="389" t="str">
        <f t="shared" ref="Y593:Z593" si="589">IFERROR(INDEX($O$8:$O$684,MATCH(X593,$N$8:$N$684,0)),"")</f>
        <v/>
      </c>
      <c r="Z593" s="389" t="str">
        <f t="shared" si="589"/>
        <v/>
      </c>
      <c r="AA593" s="389">
        <f t="shared" si="5"/>
        <v>0</v>
      </c>
    </row>
    <row r="594" ht="15.75" customHeight="1">
      <c r="M594" s="389" t="str">
        <f>IF('Bản đồ công việc'!X610="","",'Bản đồ công việc'!W610)</f>
        <v/>
      </c>
      <c r="N594" s="389" t="str">
        <f>IF('Bản đồ công việc'!X610="","",'Bản đồ công việc'!X610)</f>
        <v/>
      </c>
      <c r="O594" s="389" t="str">
        <f>IF('Bản đồ công việc'!X610="","",'Bản đồ công việc'!Y610)</f>
        <v/>
      </c>
      <c r="P594" s="389" t="str">
        <f>IF('Bản đồ công việc'!X610="","",'Bản đồ công việc'!V610)</f>
        <v/>
      </c>
      <c r="Q594" s="389" t="str">
        <f>IF('Bản đồ công việc'!X610="","",'Bản đồ công việc'!AC610)</f>
        <v/>
      </c>
      <c r="R594" s="389" t="str">
        <f>IF('Bản đồ công việc'!X610="","",'Bản đồ công việc'!AD610)</f>
        <v/>
      </c>
      <c r="S594" s="389" t="str">
        <f>IF('Bản đồ công việc'!X610="","",'Bản đồ công việc'!Z610)</f>
        <v/>
      </c>
      <c r="T594" s="389" t="str">
        <f>IF('Bản đồ công việc'!X610="","",'Bản đồ công việc'!AA610)</f>
        <v/>
      </c>
      <c r="U594" s="389" t="str">
        <f>IF('Bản đồ công việc'!X610="","",'Bản đồ công việc'!AE610)</f>
        <v/>
      </c>
      <c r="V594" s="389" t="str">
        <f>IF('Bản đồ công việc'!X610="","",'Bản đồ công việc'!AI610)</f>
        <v/>
      </c>
      <c r="W594" s="389">
        <f t="shared" si="2"/>
        <v>0</v>
      </c>
      <c r="X594" s="389" t="str">
        <f t="shared" si="3"/>
        <v/>
      </c>
      <c r="Y594" s="389" t="str">
        <f t="shared" ref="Y594:Z594" si="590">IFERROR(INDEX($O$8:$O$684,MATCH(X594,$N$8:$N$684,0)),"")</f>
        <v/>
      </c>
      <c r="Z594" s="389" t="str">
        <f t="shared" si="590"/>
        <v/>
      </c>
      <c r="AA594" s="389">
        <f t="shared" si="5"/>
        <v>0</v>
      </c>
    </row>
    <row r="595" ht="15.75" customHeight="1">
      <c r="M595" s="389" t="str">
        <f>IF('Bản đồ công việc'!X611="","",'Bản đồ công việc'!W611)</f>
        <v/>
      </c>
      <c r="N595" s="389" t="str">
        <f>IF('Bản đồ công việc'!X611="","",'Bản đồ công việc'!X611)</f>
        <v/>
      </c>
      <c r="O595" s="389" t="str">
        <f>IF('Bản đồ công việc'!X611="","",'Bản đồ công việc'!Y611)</f>
        <v/>
      </c>
      <c r="P595" s="389" t="str">
        <f>IF('Bản đồ công việc'!X611="","",'Bản đồ công việc'!V611)</f>
        <v/>
      </c>
      <c r="Q595" s="389" t="str">
        <f>IF('Bản đồ công việc'!X611="","",'Bản đồ công việc'!AC611)</f>
        <v/>
      </c>
      <c r="R595" s="389" t="str">
        <f>IF('Bản đồ công việc'!X611="","",'Bản đồ công việc'!AD611)</f>
        <v/>
      </c>
      <c r="S595" s="389" t="str">
        <f>IF('Bản đồ công việc'!X611="","",'Bản đồ công việc'!Z611)</f>
        <v/>
      </c>
      <c r="T595" s="389" t="str">
        <f>IF('Bản đồ công việc'!X611="","",'Bản đồ công việc'!AA611)</f>
        <v/>
      </c>
      <c r="U595" s="389" t="str">
        <f>IF('Bản đồ công việc'!X611="","",'Bản đồ công việc'!AE611)</f>
        <v/>
      </c>
      <c r="V595" s="389" t="str">
        <f>IF('Bản đồ công việc'!X611="","",'Bản đồ công việc'!AI611)</f>
        <v/>
      </c>
      <c r="W595" s="389">
        <f t="shared" si="2"/>
        <v>0</v>
      </c>
      <c r="X595" s="389" t="str">
        <f t="shared" si="3"/>
        <v/>
      </c>
      <c r="Y595" s="389" t="str">
        <f t="shared" ref="Y595:Z595" si="591">IFERROR(INDEX($O$8:$O$684,MATCH(X595,$N$8:$N$684,0)),"")</f>
        <v/>
      </c>
      <c r="Z595" s="389" t="str">
        <f t="shared" si="591"/>
        <v/>
      </c>
      <c r="AA595" s="389">
        <f t="shared" si="5"/>
        <v>0</v>
      </c>
    </row>
    <row r="596" ht="15.75" customHeight="1">
      <c r="M596" s="389" t="str">
        <f>IF('Bản đồ công việc'!X612="","",'Bản đồ công việc'!W612)</f>
        <v/>
      </c>
      <c r="N596" s="389" t="str">
        <f>IF('Bản đồ công việc'!X612="","",'Bản đồ công việc'!X612)</f>
        <v/>
      </c>
      <c r="O596" s="389" t="str">
        <f>IF('Bản đồ công việc'!X612="","",'Bản đồ công việc'!Y612)</f>
        <v/>
      </c>
      <c r="P596" s="389" t="str">
        <f>IF('Bản đồ công việc'!X612="","",'Bản đồ công việc'!V612)</f>
        <v/>
      </c>
      <c r="Q596" s="389" t="str">
        <f>IF('Bản đồ công việc'!X612="","",'Bản đồ công việc'!AC612)</f>
        <v/>
      </c>
      <c r="R596" s="389" t="str">
        <f>IF('Bản đồ công việc'!X612="","",'Bản đồ công việc'!AD612)</f>
        <v/>
      </c>
      <c r="S596" s="389" t="str">
        <f>IF('Bản đồ công việc'!X612="","",'Bản đồ công việc'!Z612)</f>
        <v/>
      </c>
      <c r="T596" s="389" t="str">
        <f>IF('Bản đồ công việc'!X612="","",'Bản đồ công việc'!AA612)</f>
        <v/>
      </c>
      <c r="U596" s="389" t="str">
        <f>IF('Bản đồ công việc'!X612="","",'Bản đồ công việc'!AE612)</f>
        <v/>
      </c>
      <c r="V596" s="389" t="str">
        <f>IF('Bản đồ công việc'!X612="","",'Bản đồ công việc'!AI612)</f>
        <v/>
      </c>
      <c r="W596" s="389">
        <f t="shared" si="2"/>
        <v>0</v>
      </c>
      <c r="X596" s="389" t="str">
        <f t="shared" si="3"/>
        <v/>
      </c>
      <c r="Y596" s="389" t="str">
        <f t="shared" ref="Y596:Z596" si="592">IFERROR(INDEX($O$8:$O$684,MATCH(X596,$N$8:$N$684,0)),"")</f>
        <v/>
      </c>
      <c r="Z596" s="389" t="str">
        <f t="shared" si="592"/>
        <v/>
      </c>
      <c r="AA596" s="389">
        <f t="shared" si="5"/>
        <v>0</v>
      </c>
    </row>
    <row r="597" ht="15.75" customHeight="1">
      <c r="M597" s="389" t="str">
        <f>IF('Bản đồ công việc'!X613="","",'Bản đồ công việc'!W613)</f>
        <v/>
      </c>
      <c r="N597" s="389" t="str">
        <f>IF('Bản đồ công việc'!X613="","",'Bản đồ công việc'!X613)</f>
        <v/>
      </c>
      <c r="O597" s="389" t="str">
        <f>IF('Bản đồ công việc'!X613="","",'Bản đồ công việc'!Y613)</f>
        <v/>
      </c>
      <c r="P597" s="389" t="str">
        <f>IF('Bản đồ công việc'!X613="","",'Bản đồ công việc'!V613)</f>
        <v/>
      </c>
      <c r="Q597" s="389" t="str">
        <f>IF('Bản đồ công việc'!X613="","",'Bản đồ công việc'!AC613)</f>
        <v/>
      </c>
      <c r="R597" s="389" t="str">
        <f>IF('Bản đồ công việc'!X613="","",'Bản đồ công việc'!AD613)</f>
        <v/>
      </c>
      <c r="S597" s="389" t="str">
        <f>IF('Bản đồ công việc'!X613="","",'Bản đồ công việc'!Z613)</f>
        <v/>
      </c>
      <c r="T597" s="389" t="str">
        <f>IF('Bản đồ công việc'!X613="","",'Bản đồ công việc'!AA613)</f>
        <v/>
      </c>
      <c r="U597" s="389" t="str">
        <f>IF('Bản đồ công việc'!X613="","",'Bản đồ công việc'!AE613)</f>
        <v/>
      </c>
      <c r="V597" s="389" t="str">
        <f>IF('Bản đồ công việc'!X613="","",'Bản đồ công việc'!AI613)</f>
        <v/>
      </c>
      <c r="W597" s="389">
        <f t="shared" si="2"/>
        <v>0</v>
      </c>
      <c r="X597" s="389" t="str">
        <f t="shared" si="3"/>
        <v/>
      </c>
      <c r="Y597" s="389" t="str">
        <f t="shared" ref="Y597:Z597" si="593">IFERROR(INDEX($O$8:$O$684,MATCH(X597,$N$8:$N$684,0)),"")</f>
        <v/>
      </c>
      <c r="Z597" s="389" t="str">
        <f t="shared" si="593"/>
        <v/>
      </c>
      <c r="AA597" s="389">
        <f t="shared" si="5"/>
        <v>0</v>
      </c>
    </row>
    <row r="598" ht="15.75" customHeight="1">
      <c r="M598" s="389" t="str">
        <f>IF('Bản đồ công việc'!X614="","",'Bản đồ công việc'!W614)</f>
        <v/>
      </c>
      <c r="N598" s="389" t="str">
        <f>IF('Bản đồ công việc'!X614="","",'Bản đồ công việc'!X614)</f>
        <v/>
      </c>
      <c r="O598" s="389" t="str">
        <f>IF('Bản đồ công việc'!X614="","",'Bản đồ công việc'!Y614)</f>
        <v/>
      </c>
      <c r="P598" s="389" t="str">
        <f>IF('Bản đồ công việc'!X614="","",'Bản đồ công việc'!V614)</f>
        <v/>
      </c>
      <c r="Q598" s="389" t="str">
        <f>IF('Bản đồ công việc'!X614="","",'Bản đồ công việc'!AC614)</f>
        <v/>
      </c>
      <c r="R598" s="389" t="str">
        <f>IF('Bản đồ công việc'!X614="","",'Bản đồ công việc'!AD614)</f>
        <v/>
      </c>
      <c r="S598" s="389" t="str">
        <f>IF('Bản đồ công việc'!X614="","",'Bản đồ công việc'!Z614)</f>
        <v/>
      </c>
      <c r="T598" s="389" t="str">
        <f>IF('Bản đồ công việc'!X614="","",'Bản đồ công việc'!AA614)</f>
        <v/>
      </c>
      <c r="U598" s="389" t="str">
        <f>IF('Bản đồ công việc'!X614="","",'Bản đồ công việc'!AE614)</f>
        <v/>
      </c>
      <c r="V598" s="389" t="str">
        <f>IF('Bản đồ công việc'!X614="","",'Bản đồ công việc'!AI614)</f>
        <v/>
      </c>
      <c r="W598" s="389">
        <f t="shared" si="2"/>
        <v>0</v>
      </c>
      <c r="X598" s="389" t="str">
        <f t="shared" si="3"/>
        <v/>
      </c>
      <c r="Y598" s="389" t="str">
        <f t="shared" ref="Y598:Z598" si="594">IFERROR(INDEX($O$8:$O$684,MATCH(X598,$N$8:$N$684,0)),"")</f>
        <v/>
      </c>
      <c r="Z598" s="389" t="str">
        <f t="shared" si="594"/>
        <v/>
      </c>
      <c r="AA598" s="389">
        <f t="shared" si="5"/>
        <v>0</v>
      </c>
    </row>
    <row r="599" ht="15.75" customHeight="1">
      <c r="M599" s="389" t="str">
        <f>IF('Bản đồ công việc'!X615="","",'Bản đồ công việc'!W615)</f>
        <v/>
      </c>
      <c r="N599" s="389" t="str">
        <f>IF('Bản đồ công việc'!X615="","",'Bản đồ công việc'!X615)</f>
        <v/>
      </c>
      <c r="O599" s="389" t="str">
        <f>IF('Bản đồ công việc'!X615="","",'Bản đồ công việc'!Y615)</f>
        <v/>
      </c>
      <c r="P599" s="389" t="str">
        <f>IF('Bản đồ công việc'!X615="","",'Bản đồ công việc'!V615)</f>
        <v/>
      </c>
      <c r="Q599" s="389" t="str">
        <f>IF('Bản đồ công việc'!X615="","",'Bản đồ công việc'!AC615)</f>
        <v/>
      </c>
      <c r="R599" s="389" t="str">
        <f>IF('Bản đồ công việc'!X615="","",'Bản đồ công việc'!AD615)</f>
        <v/>
      </c>
      <c r="S599" s="389" t="str">
        <f>IF('Bản đồ công việc'!X615="","",'Bản đồ công việc'!Z615)</f>
        <v/>
      </c>
      <c r="T599" s="389" t="str">
        <f>IF('Bản đồ công việc'!X615="","",'Bản đồ công việc'!AA615)</f>
        <v/>
      </c>
      <c r="U599" s="389" t="str">
        <f>IF('Bản đồ công việc'!X615="","",'Bản đồ công việc'!AE615)</f>
        <v/>
      </c>
      <c r="V599" s="389" t="str">
        <f>IF('Bản đồ công việc'!X615="","",'Bản đồ công việc'!AI615)</f>
        <v/>
      </c>
      <c r="W599" s="389">
        <f t="shared" si="2"/>
        <v>0</v>
      </c>
      <c r="X599" s="389" t="str">
        <f t="shared" si="3"/>
        <v/>
      </c>
      <c r="Y599" s="389" t="str">
        <f t="shared" ref="Y599:Z599" si="595">IFERROR(INDEX($O$8:$O$684,MATCH(X599,$N$8:$N$684,0)),"")</f>
        <v/>
      </c>
      <c r="Z599" s="389" t="str">
        <f t="shared" si="595"/>
        <v/>
      </c>
      <c r="AA599" s="389">
        <f t="shared" si="5"/>
        <v>0</v>
      </c>
    </row>
    <row r="600" ht="15.75" customHeight="1">
      <c r="M600" s="389" t="str">
        <f>IF('Bản đồ công việc'!X616="","",'Bản đồ công việc'!W616)</f>
        <v/>
      </c>
      <c r="N600" s="389" t="str">
        <f>IF('Bản đồ công việc'!X616="","",'Bản đồ công việc'!X616)</f>
        <v/>
      </c>
      <c r="O600" s="389" t="str">
        <f>IF('Bản đồ công việc'!X616="","",'Bản đồ công việc'!Y616)</f>
        <v/>
      </c>
      <c r="P600" s="389" t="str">
        <f>IF('Bản đồ công việc'!X616="","",'Bản đồ công việc'!V616)</f>
        <v/>
      </c>
      <c r="Q600" s="389" t="str">
        <f>IF('Bản đồ công việc'!X616="","",'Bản đồ công việc'!AC616)</f>
        <v/>
      </c>
      <c r="R600" s="389" t="str">
        <f>IF('Bản đồ công việc'!X616="","",'Bản đồ công việc'!AD616)</f>
        <v/>
      </c>
      <c r="S600" s="389" t="str">
        <f>IF('Bản đồ công việc'!X616="","",'Bản đồ công việc'!Z616)</f>
        <v/>
      </c>
      <c r="T600" s="389" t="str">
        <f>IF('Bản đồ công việc'!X616="","",'Bản đồ công việc'!AA616)</f>
        <v/>
      </c>
      <c r="U600" s="389" t="str">
        <f>IF('Bản đồ công việc'!X616="","",'Bản đồ công việc'!AE616)</f>
        <v/>
      </c>
      <c r="V600" s="389" t="str">
        <f>IF('Bản đồ công việc'!X616="","",'Bản đồ công việc'!AI616)</f>
        <v/>
      </c>
      <c r="W600" s="389">
        <f t="shared" si="2"/>
        <v>0</v>
      </c>
      <c r="X600" s="389" t="str">
        <f t="shared" si="3"/>
        <v/>
      </c>
      <c r="Y600" s="389" t="str">
        <f t="shared" ref="Y600:Z600" si="596">IFERROR(INDEX($O$8:$O$684,MATCH(X600,$N$8:$N$684,0)),"")</f>
        <v/>
      </c>
      <c r="Z600" s="389" t="str">
        <f t="shared" si="596"/>
        <v/>
      </c>
      <c r="AA600" s="389">
        <f t="shared" si="5"/>
        <v>0</v>
      </c>
    </row>
    <row r="601" ht="15.75" customHeight="1">
      <c r="M601" s="389" t="str">
        <f>IF('Bản đồ công việc'!X617="","",'Bản đồ công việc'!W617)</f>
        <v/>
      </c>
      <c r="N601" s="389" t="str">
        <f>IF('Bản đồ công việc'!X617="","",'Bản đồ công việc'!X617)</f>
        <v/>
      </c>
      <c r="O601" s="389" t="str">
        <f>IF('Bản đồ công việc'!X617="","",'Bản đồ công việc'!Y617)</f>
        <v/>
      </c>
      <c r="P601" s="389" t="str">
        <f>IF('Bản đồ công việc'!X617="","",'Bản đồ công việc'!V617)</f>
        <v/>
      </c>
      <c r="Q601" s="389" t="str">
        <f>IF('Bản đồ công việc'!X617="","",'Bản đồ công việc'!AC617)</f>
        <v/>
      </c>
      <c r="R601" s="389" t="str">
        <f>IF('Bản đồ công việc'!X617="","",'Bản đồ công việc'!AD617)</f>
        <v/>
      </c>
      <c r="S601" s="389" t="str">
        <f>IF('Bản đồ công việc'!X617="","",'Bản đồ công việc'!Z617)</f>
        <v/>
      </c>
      <c r="T601" s="389" t="str">
        <f>IF('Bản đồ công việc'!X617="","",'Bản đồ công việc'!AA617)</f>
        <v/>
      </c>
      <c r="U601" s="389" t="str">
        <f>IF('Bản đồ công việc'!X617="","",'Bản đồ công việc'!AE617)</f>
        <v/>
      </c>
      <c r="V601" s="389" t="str">
        <f>IF('Bản đồ công việc'!X617="","",'Bản đồ công việc'!AI617)</f>
        <v/>
      </c>
      <c r="W601" s="389">
        <f t="shared" si="2"/>
        <v>0</v>
      </c>
      <c r="X601" s="389" t="str">
        <f t="shared" si="3"/>
        <v/>
      </c>
      <c r="Y601" s="389" t="str">
        <f t="shared" ref="Y601:Z601" si="597">IFERROR(INDEX($O$8:$O$684,MATCH(X601,$N$8:$N$684,0)),"")</f>
        <v/>
      </c>
      <c r="Z601" s="389" t="str">
        <f t="shared" si="597"/>
        <v/>
      </c>
      <c r="AA601" s="389">
        <f t="shared" si="5"/>
        <v>0</v>
      </c>
    </row>
    <row r="602" ht="15.75" customHeight="1">
      <c r="M602" s="389" t="str">
        <f>IF('Bản đồ công việc'!X618="","",'Bản đồ công việc'!W618)</f>
        <v/>
      </c>
      <c r="N602" s="389" t="str">
        <f>IF('Bản đồ công việc'!X618="","",'Bản đồ công việc'!X618)</f>
        <v/>
      </c>
      <c r="O602" s="389" t="str">
        <f>IF('Bản đồ công việc'!X618="","",'Bản đồ công việc'!Y618)</f>
        <v/>
      </c>
      <c r="P602" s="389" t="str">
        <f>IF('Bản đồ công việc'!X618="","",'Bản đồ công việc'!V618)</f>
        <v/>
      </c>
      <c r="Q602" s="389" t="str">
        <f>IF('Bản đồ công việc'!X618="","",'Bản đồ công việc'!AC618)</f>
        <v/>
      </c>
      <c r="R602" s="389" t="str">
        <f>IF('Bản đồ công việc'!X618="","",'Bản đồ công việc'!AD618)</f>
        <v/>
      </c>
      <c r="S602" s="389" t="str">
        <f>IF('Bản đồ công việc'!X618="","",'Bản đồ công việc'!Z618)</f>
        <v/>
      </c>
      <c r="T602" s="389" t="str">
        <f>IF('Bản đồ công việc'!X618="","",'Bản đồ công việc'!AA618)</f>
        <v/>
      </c>
      <c r="U602" s="389" t="str">
        <f>IF('Bản đồ công việc'!X618="","",'Bản đồ công việc'!AE618)</f>
        <v/>
      </c>
      <c r="V602" s="389" t="str">
        <f>IF('Bản đồ công việc'!X618="","",'Bản đồ công việc'!AI618)</f>
        <v/>
      </c>
      <c r="W602" s="389">
        <f t="shared" si="2"/>
        <v>0</v>
      </c>
      <c r="X602" s="389" t="str">
        <f t="shared" si="3"/>
        <v/>
      </c>
      <c r="Y602" s="389" t="str">
        <f t="shared" ref="Y602:Z602" si="598">IFERROR(INDEX($O$8:$O$684,MATCH(X602,$N$8:$N$684,0)),"")</f>
        <v/>
      </c>
      <c r="Z602" s="389" t="str">
        <f t="shared" si="598"/>
        <v/>
      </c>
      <c r="AA602" s="389">
        <f t="shared" si="5"/>
        <v>0</v>
      </c>
    </row>
    <row r="603" ht="15.75" customHeight="1">
      <c r="M603" s="389" t="str">
        <f>IF('Bản đồ công việc'!X619="","",'Bản đồ công việc'!W619)</f>
        <v/>
      </c>
      <c r="N603" s="389" t="str">
        <f>IF('Bản đồ công việc'!X619="","",'Bản đồ công việc'!X619)</f>
        <v/>
      </c>
      <c r="O603" s="389" t="str">
        <f>IF('Bản đồ công việc'!X619="","",'Bản đồ công việc'!Y619)</f>
        <v/>
      </c>
      <c r="P603" s="389" t="str">
        <f>IF('Bản đồ công việc'!X619="","",'Bản đồ công việc'!V619)</f>
        <v/>
      </c>
      <c r="Q603" s="389" t="str">
        <f>IF('Bản đồ công việc'!X619="","",'Bản đồ công việc'!AC619)</f>
        <v/>
      </c>
      <c r="R603" s="389" t="str">
        <f>IF('Bản đồ công việc'!X619="","",'Bản đồ công việc'!AD619)</f>
        <v/>
      </c>
      <c r="S603" s="389" t="str">
        <f>IF('Bản đồ công việc'!X619="","",'Bản đồ công việc'!Z619)</f>
        <v/>
      </c>
      <c r="T603" s="389" t="str">
        <f>IF('Bản đồ công việc'!X619="","",'Bản đồ công việc'!AA619)</f>
        <v/>
      </c>
      <c r="U603" s="389" t="str">
        <f>IF('Bản đồ công việc'!X619="","",'Bản đồ công việc'!AE619)</f>
        <v/>
      </c>
      <c r="V603" s="389" t="str">
        <f>IF('Bản đồ công việc'!X619="","",'Bản đồ công việc'!AI619)</f>
        <v/>
      </c>
      <c r="W603" s="389">
        <f t="shared" si="2"/>
        <v>0</v>
      </c>
      <c r="X603" s="389" t="str">
        <f t="shared" si="3"/>
        <v/>
      </c>
      <c r="Y603" s="389" t="str">
        <f t="shared" ref="Y603:Z603" si="599">IFERROR(INDEX($O$8:$O$684,MATCH(X603,$N$8:$N$684,0)),"")</f>
        <v/>
      </c>
      <c r="Z603" s="389" t="str">
        <f t="shared" si="599"/>
        <v/>
      </c>
      <c r="AA603" s="389">
        <f t="shared" si="5"/>
        <v>0</v>
      </c>
    </row>
    <row r="604" ht="15.75" customHeight="1">
      <c r="M604" s="389" t="str">
        <f>IF('Bản đồ công việc'!X620="","",'Bản đồ công việc'!W620)</f>
        <v/>
      </c>
      <c r="N604" s="389" t="str">
        <f>IF('Bản đồ công việc'!X620="","",'Bản đồ công việc'!X620)</f>
        <v/>
      </c>
      <c r="O604" s="389" t="str">
        <f>IF('Bản đồ công việc'!X620="","",'Bản đồ công việc'!Y620)</f>
        <v/>
      </c>
      <c r="P604" s="389" t="str">
        <f>IF('Bản đồ công việc'!X620="","",'Bản đồ công việc'!V620)</f>
        <v/>
      </c>
      <c r="Q604" s="389" t="str">
        <f>IF('Bản đồ công việc'!X620="","",'Bản đồ công việc'!AC620)</f>
        <v/>
      </c>
      <c r="R604" s="389" t="str">
        <f>IF('Bản đồ công việc'!X620="","",'Bản đồ công việc'!AD620)</f>
        <v/>
      </c>
      <c r="S604" s="389" t="str">
        <f>IF('Bản đồ công việc'!X620="","",'Bản đồ công việc'!Z620)</f>
        <v/>
      </c>
      <c r="T604" s="389" t="str">
        <f>IF('Bản đồ công việc'!X620="","",'Bản đồ công việc'!AA620)</f>
        <v/>
      </c>
      <c r="U604" s="389" t="str">
        <f>IF('Bản đồ công việc'!X620="","",'Bản đồ công việc'!AE620)</f>
        <v/>
      </c>
      <c r="V604" s="389" t="str">
        <f>IF('Bản đồ công việc'!X620="","",'Bản đồ công việc'!AI620)</f>
        <v/>
      </c>
      <c r="W604" s="389">
        <f t="shared" si="2"/>
        <v>0</v>
      </c>
      <c r="X604" s="389" t="str">
        <f t="shared" si="3"/>
        <v/>
      </c>
      <c r="Y604" s="389" t="str">
        <f t="shared" ref="Y604:Z604" si="600">IFERROR(INDEX($O$8:$O$684,MATCH(X604,$N$8:$N$684,0)),"")</f>
        <v/>
      </c>
      <c r="Z604" s="389" t="str">
        <f t="shared" si="600"/>
        <v/>
      </c>
      <c r="AA604" s="389">
        <f t="shared" si="5"/>
        <v>0</v>
      </c>
    </row>
    <row r="605" ht="15.75" customHeight="1">
      <c r="M605" s="389" t="str">
        <f>IF('Bản đồ công việc'!X621="","",'Bản đồ công việc'!W621)</f>
        <v/>
      </c>
      <c r="N605" s="389" t="str">
        <f>IF('Bản đồ công việc'!X621="","",'Bản đồ công việc'!X621)</f>
        <v/>
      </c>
      <c r="O605" s="389" t="str">
        <f>IF('Bản đồ công việc'!X621="","",'Bản đồ công việc'!Y621)</f>
        <v/>
      </c>
      <c r="P605" s="389" t="str">
        <f>IF('Bản đồ công việc'!X621="","",'Bản đồ công việc'!V621)</f>
        <v/>
      </c>
      <c r="Q605" s="389" t="str">
        <f>IF('Bản đồ công việc'!X621="","",'Bản đồ công việc'!AC621)</f>
        <v/>
      </c>
      <c r="R605" s="389" t="str">
        <f>IF('Bản đồ công việc'!X621="","",'Bản đồ công việc'!AD621)</f>
        <v/>
      </c>
      <c r="S605" s="389" t="str">
        <f>IF('Bản đồ công việc'!X621="","",'Bản đồ công việc'!Z621)</f>
        <v/>
      </c>
      <c r="T605" s="389" t="str">
        <f>IF('Bản đồ công việc'!X621="","",'Bản đồ công việc'!AA621)</f>
        <v/>
      </c>
      <c r="U605" s="389" t="str">
        <f>IF('Bản đồ công việc'!X621="","",'Bản đồ công việc'!AE621)</f>
        <v/>
      </c>
      <c r="V605" s="389" t="str">
        <f>IF('Bản đồ công việc'!X621="","",'Bản đồ công việc'!AI621)</f>
        <v/>
      </c>
      <c r="W605" s="389">
        <f t="shared" si="2"/>
        <v>0</v>
      </c>
      <c r="X605" s="389" t="str">
        <f t="shared" si="3"/>
        <v/>
      </c>
      <c r="Y605" s="389" t="str">
        <f t="shared" ref="Y605:Z605" si="601">IFERROR(INDEX($O$8:$O$684,MATCH(X605,$N$8:$N$684,0)),"")</f>
        <v/>
      </c>
      <c r="Z605" s="389" t="str">
        <f t="shared" si="601"/>
        <v/>
      </c>
      <c r="AA605" s="389">
        <f t="shared" si="5"/>
        <v>0</v>
      </c>
    </row>
    <row r="606" ht="15.75" customHeight="1">
      <c r="M606" s="389" t="str">
        <f>IF('Bản đồ công việc'!X622="","",'Bản đồ công việc'!W622)</f>
        <v/>
      </c>
      <c r="N606" s="389" t="str">
        <f>IF('Bản đồ công việc'!X622="","",'Bản đồ công việc'!X622)</f>
        <v/>
      </c>
      <c r="O606" s="389" t="str">
        <f>IF('Bản đồ công việc'!X622="","",'Bản đồ công việc'!Y622)</f>
        <v/>
      </c>
      <c r="P606" s="389" t="str">
        <f>IF('Bản đồ công việc'!X622="","",'Bản đồ công việc'!V622)</f>
        <v/>
      </c>
      <c r="Q606" s="389" t="str">
        <f>IF('Bản đồ công việc'!X622="","",'Bản đồ công việc'!AC622)</f>
        <v/>
      </c>
      <c r="R606" s="389" t="str">
        <f>IF('Bản đồ công việc'!X622="","",'Bản đồ công việc'!AD622)</f>
        <v/>
      </c>
      <c r="S606" s="389" t="str">
        <f>IF('Bản đồ công việc'!X622="","",'Bản đồ công việc'!Z622)</f>
        <v/>
      </c>
      <c r="T606" s="389" t="str">
        <f>IF('Bản đồ công việc'!X622="","",'Bản đồ công việc'!AA622)</f>
        <v/>
      </c>
      <c r="U606" s="389" t="str">
        <f>IF('Bản đồ công việc'!X622="","",'Bản đồ công việc'!AE622)</f>
        <v/>
      </c>
      <c r="V606" s="389" t="str">
        <f>IF('Bản đồ công việc'!X622="","",'Bản đồ công việc'!AI622)</f>
        <v/>
      </c>
      <c r="W606" s="389">
        <f t="shared" si="2"/>
        <v>0</v>
      </c>
      <c r="X606" s="389" t="str">
        <f t="shared" si="3"/>
        <v/>
      </c>
      <c r="Y606" s="389" t="str">
        <f t="shared" ref="Y606:Z606" si="602">IFERROR(INDEX($O$8:$O$684,MATCH(X606,$N$8:$N$684,0)),"")</f>
        <v/>
      </c>
      <c r="Z606" s="389" t="str">
        <f t="shared" si="602"/>
        <v/>
      </c>
      <c r="AA606" s="389">
        <f t="shared" si="5"/>
        <v>0</v>
      </c>
    </row>
    <row r="607" ht="15.75" customHeight="1">
      <c r="M607" s="389" t="str">
        <f>IF('Bản đồ công việc'!X623="","",'Bản đồ công việc'!W623)</f>
        <v/>
      </c>
      <c r="N607" s="389" t="str">
        <f>IF('Bản đồ công việc'!X623="","",'Bản đồ công việc'!X623)</f>
        <v/>
      </c>
      <c r="O607" s="389" t="str">
        <f>IF('Bản đồ công việc'!X623="","",'Bản đồ công việc'!Y623)</f>
        <v/>
      </c>
      <c r="P607" s="389" t="str">
        <f>IF('Bản đồ công việc'!X623="","",'Bản đồ công việc'!V623)</f>
        <v/>
      </c>
      <c r="Q607" s="389" t="str">
        <f>IF('Bản đồ công việc'!X623="","",'Bản đồ công việc'!AC623)</f>
        <v/>
      </c>
      <c r="R607" s="389" t="str">
        <f>IF('Bản đồ công việc'!X623="","",'Bản đồ công việc'!AD623)</f>
        <v/>
      </c>
      <c r="S607" s="389" t="str">
        <f>IF('Bản đồ công việc'!X623="","",'Bản đồ công việc'!Z623)</f>
        <v/>
      </c>
      <c r="T607" s="389" t="str">
        <f>IF('Bản đồ công việc'!X623="","",'Bản đồ công việc'!AA623)</f>
        <v/>
      </c>
      <c r="U607" s="389" t="str">
        <f>IF('Bản đồ công việc'!X623="","",'Bản đồ công việc'!AE623)</f>
        <v/>
      </c>
      <c r="V607" s="389" t="str">
        <f>IF('Bản đồ công việc'!X623="","",'Bản đồ công việc'!AI623)</f>
        <v/>
      </c>
      <c r="W607" s="389">
        <f t="shared" si="2"/>
        <v>0</v>
      </c>
      <c r="X607" s="389" t="str">
        <f t="shared" si="3"/>
        <v/>
      </c>
      <c r="Y607" s="389" t="str">
        <f t="shared" ref="Y607:Z607" si="603">IFERROR(INDEX($O$8:$O$684,MATCH(X607,$N$8:$N$684,0)),"")</f>
        <v/>
      </c>
      <c r="Z607" s="389" t="str">
        <f t="shared" si="603"/>
        <v/>
      </c>
      <c r="AA607" s="389">
        <f t="shared" si="5"/>
        <v>0</v>
      </c>
    </row>
    <row r="608" ht="15.75" customHeight="1">
      <c r="M608" s="389" t="str">
        <f>IF('Bản đồ công việc'!X624="","",'Bản đồ công việc'!W624)</f>
        <v/>
      </c>
      <c r="N608" s="389" t="str">
        <f>IF('Bản đồ công việc'!X624="","",'Bản đồ công việc'!X624)</f>
        <v/>
      </c>
      <c r="O608" s="389" t="str">
        <f>IF('Bản đồ công việc'!X624="","",'Bản đồ công việc'!Y624)</f>
        <v/>
      </c>
      <c r="P608" s="389" t="str">
        <f>IF('Bản đồ công việc'!X624="","",'Bản đồ công việc'!V624)</f>
        <v/>
      </c>
      <c r="Q608" s="389" t="str">
        <f>IF('Bản đồ công việc'!X624="","",'Bản đồ công việc'!AC624)</f>
        <v/>
      </c>
      <c r="R608" s="389" t="str">
        <f>IF('Bản đồ công việc'!X624="","",'Bản đồ công việc'!AD624)</f>
        <v/>
      </c>
      <c r="S608" s="389" t="str">
        <f>IF('Bản đồ công việc'!X624="","",'Bản đồ công việc'!Z624)</f>
        <v/>
      </c>
      <c r="T608" s="389" t="str">
        <f>IF('Bản đồ công việc'!X624="","",'Bản đồ công việc'!AA624)</f>
        <v/>
      </c>
      <c r="U608" s="389" t="str">
        <f>IF('Bản đồ công việc'!X624="","",'Bản đồ công việc'!AE624)</f>
        <v/>
      </c>
      <c r="V608" s="389" t="str">
        <f>IF('Bản đồ công việc'!X624="","",'Bản đồ công việc'!AI624)</f>
        <v/>
      </c>
      <c r="W608" s="389">
        <f t="shared" si="2"/>
        <v>0</v>
      </c>
      <c r="X608" s="389" t="str">
        <f t="shared" si="3"/>
        <v/>
      </c>
      <c r="Y608" s="389" t="str">
        <f t="shared" ref="Y608:Z608" si="604">IFERROR(INDEX($O$8:$O$684,MATCH(X608,$N$8:$N$684,0)),"")</f>
        <v/>
      </c>
      <c r="Z608" s="389" t="str">
        <f t="shared" si="604"/>
        <v/>
      </c>
      <c r="AA608" s="389">
        <f t="shared" si="5"/>
        <v>0</v>
      </c>
    </row>
    <row r="609" ht="15.75" customHeight="1">
      <c r="M609" s="389" t="str">
        <f>IF('Bản đồ công việc'!X625="","",'Bản đồ công việc'!W625)</f>
        <v/>
      </c>
      <c r="N609" s="389" t="str">
        <f>IF('Bản đồ công việc'!X625="","",'Bản đồ công việc'!X625)</f>
        <v/>
      </c>
      <c r="O609" s="389" t="str">
        <f>IF('Bản đồ công việc'!X625="","",'Bản đồ công việc'!Y625)</f>
        <v/>
      </c>
      <c r="P609" s="389" t="str">
        <f>IF('Bản đồ công việc'!X625="","",'Bản đồ công việc'!V625)</f>
        <v/>
      </c>
      <c r="Q609" s="389" t="str">
        <f>IF('Bản đồ công việc'!X625="","",'Bản đồ công việc'!AC625)</f>
        <v/>
      </c>
      <c r="R609" s="389" t="str">
        <f>IF('Bản đồ công việc'!X625="","",'Bản đồ công việc'!AD625)</f>
        <v/>
      </c>
      <c r="S609" s="389" t="str">
        <f>IF('Bản đồ công việc'!X625="","",'Bản đồ công việc'!Z625)</f>
        <v/>
      </c>
      <c r="T609" s="389" t="str">
        <f>IF('Bản đồ công việc'!X625="","",'Bản đồ công việc'!AA625)</f>
        <v/>
      </c>
      <c r="U609" s="389" t="str">
        <f>IF('Bản đồ công việc'!X625="","",'Bản đồ công việc'!AE625)</f>
        <v/>
      </c>
      <c r="V609" s="389" t="str">
        <f>IF('Bản đồ công việc'!X625="","",'Bản đồ công việc'!AI625)</f>
        <v/>
      </c>
      <c r="W609" s="389">
        <f t="shared" si="2"/>
        <v>0</v>
      </c>
      <c r="X609" s="389" t="str">
        <f t="shared" si="3"/>
        <v/>
      </c>
      <c r="Y609" s="389" t="str">
        <f t="shared" ref="Y609:Z609" si="605">IFERROR(INDEX($O$8:$O$684,MATCH(X609,$N$8:$N$684,0)),"")</f>
        <v/>
      </c>
      <c r="Z609" s="389" t="str">
        <f t="shared" si="605"/>
        <v/>
      </c>
      <c r="AA609" s="389">
        <f t="shared" si="5"/>
        <v>0</v>
      </c>
    </row>
    <row r="610" ht="15.75" customHeight="1">
      <c r="M610" s="389" t="str">
        <f>IF('Bản đồ công việc'!X626="","",'Bản đồ công việc'!W626)</f>
        <v/>
      </c>
      <c r="N610" s="389" t="str">
        <f>IF('Bản đồ công việc'!X626="","",'Bản đồ công việc'!X626)</f>
        <v/>
      </c>
      <c r="O610" s="389" t="str">
        <f>IF('Bản đồ công việc'!X626="","",'Bản đồ công việc'!Y626)</f>
        <v/>
      </c>
      <c r="P610" s="389" t="str">
        <f>IF('Bản đồ công việc'!X626="","",'Bản đồ công việc'!V626)</f>
        <v/>
      </c>
      <c r="Q610" s="389" t="str">
        <f>IF('Bản đồ công việc'!X626="","",'Bản đồ công việc'!AC626)</f>
        <v/>
      </c>
      <c r="R610" s="389" t="str">
        <f>IF('Bản đồ công việc'!X626="","",'Bản đồ công việc'!AD626)</f>
        <v/>
      </c>
      <c r="S610" s="389" t="str">
        <f>IF('Bản đồ công việc'!X626="","",'Bản đồ công việc'!Z626)</f>
        <v/>
      </c>
      <c r="T610" s="389" t="str">
        <f>IF('Bản đồ công việc'!X626="","",'Bản đồ công việc'!AA626)</f>
        <v/>
      </c>
      <c r="U610" s="389" t="str">
        <f>IF('Bản đồ công việc'!X626="","",'Bản đồ công việc'!AE626)</f>
        <v/>
      </c>
      <c r="V610" s="389" t="str">
        <f>IF('Bản đồ công việc'!X626="","",'Bản đồ công việc'!AI626)</f>
        <v/>
      </c>
      <c r="W610" s="389">
        <f t="shared" si="2"/>
        <v>0</v>
      </c>
      <c r="X610" s="389" t="str">
        <f t="shared" si="3"/>
        <v/>
      </c>
      <c r="Y610" s="389" t="str">
        <f t="shared" ref="Y610:Z610" si="606">IFERROR(INDEX($O$8:$O$684,MATCH(X610,$N$8:$N$684,0)),"")</f>
        <v/>
      </c>
      <c r="Z610" s="389" t="str">
        <f t="shared" si="606"/>
        <v/>
      </c>
      <c r="AA610" s="389">
        <f t="shared" si="5"/>
        <v>0</v>
      </c>
    </row>
    <row r="611" ht="15.75" customHeight="1">
      <c r="M611" s="389" t="str">
        <f>IF('Bản đồ công việc'!X627="","",'Bản đồ công việc'!W627)</f>
        <v/>
      </c>
      <c r="N611" s="389" t="str">
        <f>IF('Bản đồ công việc'!X627="","",'Bản đồ công việc'!X627)</f>
        <v/>
      </c>
      <c r="O611" s="389" t="str">
        <f>IF('Bản đồ công việc'!X627="","",'Bản đồ công việc'!Y627)</f>
        <v/>
      </c>
      <c r="P611" s="389" t="str">
        <f>IF('Bản đồ công việc'!X627="","",'Bản đồ công việc'!V627)</f>
        <v/>
      </c>
      <c r="Q611" s="389" t="str">
        <f>IF('Bản đồ công việc'!X627="","",'Bản đồ công việc'!AC627)</f>
        <v/>
      </c>
      <c r="R611" s="389" t="str">
        <f>IF('Bản đồ công việc'!X627="","",'Bản đồ công việc'!AD627)</f>
        <v/>
      </c>
      <c r="S611" s="389" t="str">
        <f>IF('Bản đồ công việc'!X627="","",'Bản đồ công việc'!Z627)</f>
        <v/>
      </c>
      <c r="T611" s="389" t="str">
        <f>IF('Bản đồ công việc'!X627="","",'Bản đồ công việc'!AA627)</f>
        <v/>
      </c>
      <c r="U611" s="389" t="str">
        <f>IF('Bản đồ công việc'!X627="","",'Bản đồ công việc'!AE627)</f>
        <v/>
      </c>
      <c r="V611" s="389" t="str">
        <f>IF('Bản đồ công việc'!X627="","",'Bản đồ công việc'!AI627)</f>
        <v/>
      </c>
      <c r="W611" s="389">
        <f t="shared" si="2"/>
        <v>0</v>
      </c>
      <c r="X611" s="389" t="str">
        <f t="shared" si="3"/>
        <v/>
      </c>
      <c r="Y611" s="389" t="str">
        <f t="shared" ref="Y611:Z611" si="607">IFERROR(INDEX($O$8:$O$684,MATCH(X611,$N$8:$N$684,0)),"")</f>
        <v/>
      </c>
      <c r="Z611" s="389" t="str">
        <f t="shared" si="607"/>
        <v/>
      </c>
      <c r="AA611" s="389">
        <f t="shared" si="5"/>
        <v>0</v>
      </c>
    </row>
    <row r="612" ht="15.75" customHeight="1">
      <c r="M612" s="389" t="str">
        <f>IF('Bản đồ công việc'!X628="","",'Bản đồ công việc'!W628)</f>
        <v/>
      </c>
      <c r="N612" s="389" t="str">
        <f>IF('Bản đồ công việc'!X628="","",'Bản đồ công việc'!X628)</f>
        <v/>
      </c>
      <c r="O612" s="389" t="str">
        <f>IF('Bản đồ công việc'!X628="","",'Bản đồ công việc'!Y628)</f>
        <v/>
      </c>
      <c r="P612" s="389" t="str">
        <f>IF('Bản đồ công việc'!X628="","",'Bản đồ công việc'!V628)</f>
        <v/>
      </c>
      <c r="Q612" s="389" t="str">
        <f>IF('Bản đồ công việc'!X628="","",'Bản đồ công việc'!AC628)</f>
        <v/>
      </c>
      <c r="R612" s="389" t="str">
        <f>IF('Bản đồ công việc'!X628="","",'Bản đồ công việc'!AD628)</f>
        <v/>
      </c>
      <c r="S612" s="389" t="str">
        <f>IF('Bản đồ công việc'!X628="","",'Bản đồ công việc'!Z628)</f>
        <v/>
      </c>
      <c r="T612" s="389" t="str">
        <f>IF('Bản đồ công việc'!X628="","",'Bản đồ công việc'!AA628)</f>
        <v/>
      </c>
      <c r="U612" s="389" t="str">
        <f>IF('Bản đồ công việc'!X628="","",'Bản đồ công việc'!AE628)</f>
        <v/>
      </c>
      <c r="V612" s="389" t="str">
        <f>IF('Bản đồ công việc'!X628="","",'Bản đồ công việc'!AI628)</f>
        <v/>
      </c>
      <c r="W612" s="389">
        <f t="shared" si="2"/>
        <v>0</v>
      </c>
      <c r="X612" s="389" t="str">
        <f t="shared" si="3"/>
        <v/>
      </c>
      <c r="Y612" s="389" t="str">
        <f t="shared" ref="Y612:Z612" si="608">IFERROR(INDEX($O$8:$O$684,MATCH(X612,$N$8:$N$684,0)),"")</f>
        <v/>
      </c>
      <c r="Z612" s="389" t="str">
        <f t="shared" si="608"/>
        <v/>
      </c>
      <c r="AA612" s="389">
        <f t="shared" si="5"/>
        <v>0</v>
      </c>
    </row>
    <row r="613" ht="15.75" customHeight="1">
      <c r="M613" s="389" t="str">
        <f>IF('Bản đồ công việc'!X629="","",'Bản đồ công việc'!W629)</f>
        <v/>
      </c>
      <c r="N613" s="389" t="str">
        <f>IF('Bản đồ công việc'!X629="","",'Bản đồ công việc'!X629)</f>
        <v/>
      </c>
      <c r="O613" s="389" t="str">
        <f>IF('Bản đồ công việc'!X629="","",'Bản đồ công việc'!Y629)</f>
        <v/>
      </c>
      <c r="P613" s="389" t="str">
        <f>IF('Bản đồ công việc'!X629="","",'Bản đồ công việc'!V629)</f>
        <v/>
      </c>
      <c r="Q613" s="389" t="str">
        <f>IF('Bản đồ công việc'!X629="","",'Bản đồ công việc'!AC629)</f>
        <v/>
      </c>
      <c r="R613" s="389" t="str">
        <f>IF('Bản đồ công việc'!X629="","",'Bản đồ công việc'!AD629)</f>
        <v/>
      </c>
      <c r="S613" s="389" t="str">
        <f>IF('Bản đồ công việc'!X629="","",'Bản đồ công việc'!Z629)</f>
        <v/>
      </c>
      <c r="T613" s="389" t="str">
        <f>IF('Bản đồ công việc'!X629="","",'Bản đồ công việc'!AA629)</f>
        <v/>
      </c>
      <c r="U613" s="389" t="str">
        <f>IF('Bản đồ công việc'!X629="","",'Bản đồ công việc'!AE629)</f>
        <v/>
      </c>
      <c r="V613" s="389" t="str">
        <f>IF('Bản đồ công việc'!X629="","",'Bản đồ công việc'!AI629)</f>
        <v/>
      </c>
      <c r="W613" s="389">
        <f t="shared" si="2"/>
        <v>0</v>
      </c>
      <c r="X613" s="389" t="str">
        <f t="shared" si="3"/>
        <v/>
      </c>
      <c r="Y613" s="389" t="str">
        <f t="shared" ref="Y613:Z613" si="609">IFERROR(INDEX($O$8:$O$684,MATCH(X613,$N$8:$N$684,0)),"")</f>
        <v/>
      </c>
      <c r="Z613" s="389" t="str">
        <f t="shared" si="609"/>
        <v/>
      </c>
      <c r="AA613" s="389">
        <f t="shared" si="5"/>
        <v>0</v>
      </c>
    </row>
    <row r="614" ht="15.75" customHeight="1">
      <c r="M614" s="389" t="str">
        <f>IF('Bản đồ công việc'!X630="","",'Bản đồ công việc'!W630)</f>
        <v/>
      </c>
      <c r="N614" s="389" t="str">
        <f>IF('Bản đồ công việc'!X630="","",'Bản đồ công việc'!X630)</f>
        <v/>
      </c>
      <c r="O614" s="389" t="str">
        <f>IF('Bản đồ công việc'!X630="","",'Bản đồ công việc'!Y630)</f>
        <v/>
      </c>
      <c r="P614" s="389" t="str">
        <f>IF('Bản đồ công việc'!X630="","",'Bản đồ công việc'!V630)</f>
        <v/>
      </c>
      <c r="Q614" s="389" t="str">
        <f>IF('Bản đồ công việc'!X630="","",'Bản đồ công việc'!AC630)</f>
        <v/>
      </c>
      <c r="R614" s="389" t="str">
        <f>IF('Bản đồ công việc'!X630="","",'Bản đồ công việc'!AD630)</f>
        <v/>
      </c>
      <c r="S614" s="389" t="str">
        <f>IF('Bản đồ công việc'!X630="","",'Bản đồ công việc'!Z630)</f>
        <v/>
      </c>
      <c r="T614" s="389" t="str">
        <f>IF('Bản đồ công việc'!X630="","",'Bản đồ công việc'!AA630)</f>
        <v/>
      </c>
      <c r="U614" s="389" t="str">
        <f>IF('Bản đồ công việc'!X630="","",'Bản đồ công việc'!AE630)</f>
        <v/>
      </c>
      <c r="V614" s="389" t="str">
        <f>IF('Bản đồ công việc'!X630="","",'Bản đồ công việc'!AI630)</f>
        <v/>
      </c>
      <c r="W614" s="389">
        <f t="shared" si="2"/>
        <v>0</v>
      </c>
      <c r="X614" s="389" t="str">
        <f t="shared" si="3"/>
        <v/>
      </c>
      <c r="Y614" s="389" t="str">
        <f t="shared" ref="Y614:Z614" si="610">IFERROR(INDEX($O$8:$O$684,MATCH(X614,$N$8:$N$684,0)),"")</f>
        <v/>
      </c>
      <c r="Z614" s="389" t="str">
        <f t="shared" si="610"/>
        <v/>
      </c>
      <c r="AA614" s="389">
        <f t="shared" si="5"/>
        <v>0</v>
      </c>
    </row>
    <row r="615" ht="15.75" customHeight="1">
      <c r="M615" s="389" t="str">
        <f>IF('Bản đồ công việc'!X631="","",'Bản đồ công việc'!W631)</f>
        <v/>
      </c>
      <c r="N615" s="389" t="str">
        <f>IF('Bản đồ công việc'!X631="","",'Bản đồ công việc'!X631)</f>
        <v/>
      </c>
      <c r="O615" s="389" t="str">
        <f>IF('Bản đồ công việc'!X631="","",'Bản đồ công việc'!Y631)</f>
        <v/>
      </c>
      <c r="P615" s="389" t="str">
        <f>IF('Bản đồ công việc'!X631="","",'Bản đồ công việc'!V631)</f>
        <v/>
      </c>
      <c r="Q615" s="389" t="str">
        <f>IF('Bản đồ công việc'!X631="","",'Bản đồ công việc'!AC631)</f>
        <v/>
      </c>
      <c r="R615" s="389" t="str">
        <f>IF('Bản đồ công việc'!X631="","",'Bản đồ công việc'!AD631)</f>
        <v/>
      </c>
      <c r="S615" s="389" t="str">
        <f>IF('Bản đồ công việc'!X631="","",'Bản đồ công việc'!Z631)</f>
        <v/>
      </c>
      <c r="T615" s="389" t="str">
        <f>IF('Bản đồ công việc'!X631="","",'Bản đồ công việc'!AA631)</f>
        <v/>
      </c>
      <c r="U615" s="389" t="str">
        <f>IF('Bản đồ công việc'!X631="","",'Bản đồ công việc'!AE631)</f>
        <v/>
      </c>
      <c r="V615" s="389" t="str">
        <f>IF('Bản đồ công việc'!X631="","",'Bản đồ công việc'!AI631)</f>
        <v/>
      </c>
      <c r="W615" s="389">
        <f t="shared" si="2"/>
        <v>0</v>
      </c>
      <c r="X615" s="389" t="str">
        <f t="shared" si="3"/>
        <v/>
      </c>
      <c r="Y615" s="389" t="str">
        <f t="shared" ref="Y615:Z615" si="611">IFERROR(INDEX($O$8:$O$684,MATCH(X615,$N$8:$N$684,0)),"")</f>
        <v/>
      </c>
      <c r="Z615" s="389" t="str">
        <f t="shared" si="611"/>
        <v/>
      </c>
      <c r="AA615" s="389">
        <f t="shared" si="5"/>
        <v>0</v>
      </c>
    </row>
    <row r="616" ht="15.75" customHeight="1">
      <c r="M616" s="389" t="str">
        <f>IF('Bản đồ công việc'!X632="","",'Bản đồ công việc'!W632)</f>
        <v/>
      </c>
      <c r="N616" s="389" t="str">
        <f>IF('Bản đồ công việc'!X632="","",'Bản đồ công việc'!X632)</f>
        <v/>
      </c>
      <c r="O616" s="389" t="str">
        <f>IF('Bản đồ công việc'!X632="","",'Bản đồ công việc'!Y632)</f>
        <v/>
      </c>
      <c r="P616" s="389" t="str">
        <f>IF('Bản đồ công việc'!X632="","",'Bản đồ công việc'!V632)</f>
        <v/>
      </c>
      <c r="Q616" s="389" t="str">
        <f>IF('Bản đồ công việc'!X632="","",'Bản đồ công việc'!AC632)</f>
        <v/>
      </c>
      <c r="R616" s="389" t="str">
        <f>IF('Bản đồ công việc'!X632="","",'Bản đồ công việc'!AD632)</f>
        <v/>
      </c>
      <c r="S616" s="389" t="str">
        <f>IF('Bản đồ công việc'!X632="","",'Bản đồ công việc'!Z632)</f>
        <v/>
      </c>
      <c r="T616" s="389" t="str">
        <f>IF('Bản đồ công việc'!X632="","",'Bản đồ công việc'!AA632)</f>
        <v/>
      </c>
      <c r="U616" s="389" t="str">
        <f>IF('Bản đồ công việc'!X632="","",'Bản đồ công việc'!AE632)</f>
        <v/>
      </c>
      <c r="V616" s="389" t="str">
        <f>IF('Bản đồ công việc'!X632="","",'Bản đồ công việc'!AI632)</f>
        <v/>
      </c>
      <c r="W616" s="389">
        <f t="shared" si="2"/>
        <v>0</v>
      </c>
      <c r="X616" s="389" t="str">
        <f t="shared" si="3"/>
        <v/>
      </c>
      <c r="Y616" s="389" t="str">
        <f t="shared" ref="Y616:Z616" si="612">IFERROR(INDEX($O$8:$O$684,MATCH(X616,$N$8:$N$684,0)),"")</f>
        <v/>
      </c>
      <c r="Z616" s="389" t="str">
        <f t="shared" si="612"/>
        <v/>
      </c>
      <c r="AA616" s="389">
        <f t="shared" si="5"/>
        <v>0</v>
      </c>
    </row>
    <row r="617" ht="15.75" customHeight="1">
      <c r="M617" s="389" t="str">
        <f>IF('Bản đồ công việc'!X633="","",'Bản đồ công việc'!W633)</f>
        <v/>
      </c>
      <c r="N617" s="389" t="str">
        <f>IF('Bản đồ công việc'!X633="","",'Bản đồ công việc'!X633)</f>
        <v/>
      </c>
      <c r="O617" s="389" t="str">
        <f>IF('Bản đồ công việc'!X633="","",'Bản đồ công việc'!Y633)</f>
        <v/>
      </c>
      <c r="P617" s="389" t="str">
        <f>IF('Bản đồ công việc'!X633="","",'Bản đồ công việc'!V633)</f>
        <v/>
      </c>
      <c r="Q617" s="389" t="str">
        <f>IF('Bản đồ công việc'!X633="","",'Bản đồ công việc'!AC633)</f>
        <v/>
      </c>
      <c r="R617" s="389" t="str">
        <f>IF('Bản đồ công việc'!X633="","",'Bản đồ công việc'!AD633)</f>
        <v/>
      </c>
      <c r="S617" s="389" t="str">
        <f>IF('Bản đồ công việc'!X633="","",'Bản đồ công việc'!Z633)</f>
        <v/>
      </c>
      <c r="T617" s="389" t="str">
        <f>IF('Bản đồ công việc'!X633="","",'Bản đồ công việc'!AA633)</f>
        <v/>
      </c>
      <c r="U617" s="389" t="str">
        <f>IF('Bản đồ công việc'!X633="","",'Bản đồ công việc'!AE633)</f>
        <v/>
      </c>
      <c r="V617" s="389" t="str">
        <f>IF('Bản đồ công việc'!X633="","",'Bản đồ công việc'!AI633)</f>
        <v/>
      </c>
      <c r="W617" s="389">
        <f t="shared" si="2"/>
        <v>0</v>
      </c>
      <c r="X617" s="389" t="str">
        <f t="shared" si="3"/>
        <v/>
      </c>
      <c r="Y617" s="389" t="str">
        <f t="shared" ref="Y617:Z617" si="613">IFERROR(INDEX($O$8:$O$684,MATCH(X617,$N$8:$N$684,0)),"")</f>
        <v/>
      </c>
      <c r="Z617" s="389" t="str">
        <f t="shared" si="613"/>
        <v/>
      </c>
      <c r="AA617" s="389">
        <f t="shared" si="5"/>
        <v>0</v>
      </c>
    </row>
    <row r="618" ht="15.75" customHeight="1">
      <c r="M618" s="389" t="str">
        <f>IF('Bản đồ công việc'!X634="","",'Bản đồ công việc'!W634)</f>
        <v/>
      </c>
      <c r="N618" s="389" t="str">
        <f>IF('Bản đồ công việc'!X634="","",'Bản đồ công việc'!X634)</f>
        <v/>
      </c>
      <c r="O618" s="389" t="str">
        <f>IF('Bản đồ công việc'!X634="","",'Bản đồ công việc'!Y634)</f>
        <v/>
      </c>
      <c r="P618" s="389" t="str">
        <f>IF('Bản đồ công việc'!X634="","",'Bản đồ công việc'!V634)</f>
        <v/>
      </c>
      <c r="Q618" s="389" t="str">
        <f>IF('Bản đồ công việc'!X634="","",'Bản đồ công việc'!AC634)</f>
        <v/>
      </c>
      <c r="R618" s="389" t="str">
        <f>IF('Bản đồ công việc'!X634="","",'Bản đồ công việc'!AD634)</f>
        <v/>
      </c>
      <c r="S618" s="389" t="str">
        <f>IF('Bản đồ công việc'!X634="","",'Bản đồ công việc'!Z634)</f>
        <v/>
      </c>
      <c r="T618" s="389" t="str">
        <f>IF('Bản đồ công việc'!X634="","",'Bản đồ công việc'!AA634)</f>
        <v/>
      </c>
      <c r="U618" s="389" t="str">
        <f>IF('Bản đồ công việc'!X634="","",'Bản đồ công việc'!AE634)</f>
        <v/>
      </c>
      <c r="V618" s="389" t="str">
        <f>IF('Bản đồ công việc'!X634="","",'Bản đồ công việc'!AI634)</f>
        <v/>
      </c>
      <c r="W618" s="389">
        <f t="shared" si="2"/>
        <v>0</v>
      </c>
      <c r="X618" s="389" t="str">
        <f t="shared" si="3"/>
        <v/>
      </c>
      <c r="Y618" s="389" t="str">
        <f t="shared" ref="Y618:Z618" si="614">IFERROR(INDEX($O$8:$O$684,MATCH(X618,$N$8:$N$684,0)),"")</f>
        <v/>
      </c>
      <c r="Z618" s="389" t="str">
        <f t="shared" si="614"/>
        <v/>
      </c>
      <c r="AA618" s="389">
        <f t="shared" si="5"/>
        <v>0</v>
      </c>
    </row>
    <row r="619" ht="15.75" customHeight="1">
      <c r="M619" s="389" t="str">
        <f>IF('Bản đồ công việc'!X635="","",'Bản đồ công việc'!W635)</f>
        <v/>
      </c>
      <c r="N619" s="389" t="str">
        <f>IF('Bản đồ công việc'!X635="","",'Bản đồ công việc'!X635)</f>
        <v/>
      </c>
      <c r="O619" s="389" t="str">
        <f>IF('Bản đồ công việc'!X635="","",'Bản đồ công việc'!Y635)</f>
        <v/>
      </c>
      <c r="P619" s="389" t="str">
        <f>IF('Bản đồ công việc'!X635="","",'Bản đồ công việc'!V635)</f>
        <v/>
      </c>
      <c r="Q619" s="389" t="str">
        <f>IF('Bản đồ công việc'!X635="","",'Bản đồ công việc'!AC635)</f>
        <v/>
      </c>
      <c r="R619" s="389" t="str">
        <f>IF('Bản đồ công việc'!X635="","",'Bản đồ công việc'!AD635)</f>
        <v/>
      </c>
      <c r="S619" s="389" t="str">
        <f>IF('Bản đồ công việc'!X635="","",'Bản đồ công việc'!Z635)</f>
        <v/>
      </c>
      <c r="T619" s="389" t="str">
        <f>IF('Bản đồ công việc'!X635="","",'Bản đồ công việc'!AA635)</f>
        <v/>
      </c>
      <c r="U619" s="389" t="str">
        <f>IF('Bản đồ công việc'!X635="","",'Bản đồ công việc'!AE635)</f>
        <v/>
      </c>
      <c r="V619" s="389" t="str">
        <f>IF('Bản đồ công việc'!X635="","",'Bản đồ công việc'!AI635)</f>
        <v/>
      </c>
      <c r="W619" s="389">
        <f t="shared" si="2"/>
        <v>0</v>
      </c>
      <c r="X619" s="389" t="str">
        <f t="shared" si="3"/>
        <v/>
      </c>
      <c r="Y619" s="389" t="str">
        <f t="shared" ref="Y619:Z619" si="615">IFERROR(INDEX($O$8:$O$684,MATCH(X619,$N$8:$N$684,0)),"")</f>
        <v/>
      </c>
      <c r="Z619" s="389" t="str">
        <f t="shared" si="615"/>
        <v/>
      </c>
      <c r="AA619" s="389">
        <f t="shared" si="5"/>
        <v>0</v>
      </c>
    </row>
    <row r="620" ht="15.75" customHeight="1">
      <c r="M620" s="389" t="str">
        <f>IF('Bản đồ công việc'!X636="","",'Bản đồ công việc'!W636)</f>
        <v/>
      </c>
      <c r="N620" s="389" t="str">
        <f>IF('Bản đồ công việc'!X636="","",'Bản đồ công việc'!X636)</f>
        <v/>
      </c>
      <c r="O620" s="389" t="str">
        <f>IF('Bản đồ công việc'!X636="","",'Bản đồ công việc'!Y636)</f>
        <v/>
      </c>
      <c r="P620" s="389" t="str">
        <f>IF('Bản đồ công việc'!X636="","",'Bản đồ công việc'!V636)</f>
        <v/>
      </c>
      <c r="Q620" s="389" t="str">
        <f>IF('Bản đồ công việc'!X636="","",'Bản đồ công việc'!AC636)</f>
        <v/>
      </c>
      <c r="R620" s="389" t="str">
        <f>IF('Bản đồ công việc'!X636="","",'Bản đồ công việc'!AD636)</f>
        <v/>
      </c>
      <c r="S620" s="389" t="str">
        <f>IF('Bản đồ công việc'!X636="","",'Bản đồ công việc'!Z636)</f>
        <v/>
      </c>
      <c r="T620" s="389" t="str">
        <f>IF('Bản đồ công việc'!X636="","",'Bản đồ công việc'!AA636)</f>
        <v/>
      </c>
      <c r="U620" s="389" t="str">
        <f>IF('Bản đồ công việc'!X636="","",'Bản đồ công việc'!AE636)</f>
        <v/>
      </c>
      <c r="V620" s="389" t="str">
        <f>IF('Bản đồ công việc'!X636="","",'Bản đồ công việc'!AI636)</f>
        <v/>
      </c>
      <c r="W620" s="389">
        <f t="shared" si="2"/>
        <v>0</v>
      </c>
      <c r="X620" s="389" t="str">
        <f t="shared" si="3"/>
        <v/>
      </c>
      <c r="Y620" s="389" t="str">
        <f t="shared" ref="Y620:Z620" si="616">IFERROR(INDEX($O$8:$O$684,MATCH(X620,$N$8:$N$684,0)),"")</f>
        <v/>
      </c>
      <c r="Z620" s="389" t="str">
        <f t="shared" si="616"/>
        <v/>
      </c>
      <c r="AA620" s="389">
        <f t="shared" si="5"/>
        <v>0</v>
      </c>
    </row>
    <row r="621" ht="15.75" customHeight="1">
      <c r="M621" s="389" t="str">
        <f>IF('Bản đồ công việc'!X637="","",'Bản đồ công việc'!W637)</f>
        <v/>
      </c>
      <c r="N621" s="389" t="str">
        <f>IF('Bản đồ công việc'!X637="","",'Bản đồ công việc'!X637)</f>
        <v/>
      </c>
      <c r="O621" s="389" t="str">
        <f>IF('Bản đồ công việc'!X637="","",'Bản đồ công việc'!Y637)</f>
        <v/>
      </c>
      <c r="P621" s="389" t="str">
        <f>IF('Bản đồ công việc'!X637="","",'Bản đồ công việc'!V637)</f>
        <v/>
      </c>
      <c r="Q621" s="389" t="str">
        <f>IF('Bản đồ công việc'!X637="","",'Bản đồ công việc'!AC637)</f>
        <v/>
      </c>
      <c r="R621" s="389" t="str">
        <f>IF('Bản đồ công việc'!X637="","",'Bản đồ công việc'!AD637)</f>
        <v/>
      </c>
      <c r="S621" s="389" t="str">
        <f>IF('Bản đồ công việc'!X637="","",'Bản đồ công việc'!Z637)</f>
        <v/>
      </c>
      <c r="T621" s="389" t="str">
        <f>IF('Bản đồ công việc'!X637="","",'Bản đồ công việc'!AA637)</f>
        <v/>
      </c>
      <c r="U621" s="389" t="str">
        <f>IF('Bản đồ công việc'!X637="","",'Bản đồ công việc'!AE637)</f>
        <v/>
      </c>
      <c r="V621" s="389" t="str">
        <f>IF('Bản đồ công việc'!X637="","",'Bản đồ công việc'!AI637)</f>
        <v/>
      </c>
      <c r="W621" s="389">
        <f t="shared" si="2"/>
        <v>0</v>
      </c>
      <c r="X621" s="389" t="str">
        <f t="shared" si="3"/>
        <v/>
      </c>
      <c r="Y621" s="389" t="str">
        <f t="shared" ref="Y621:Z621" si="617">IFERROR(INDEX($O$8:$O$684,MATCH(X621,$N$8:$N$684,0)),"")</f>
        <v/>
      </c>
      <c r="Z621" s="389" t="str">
        <f t="shared" si="617"/>
        <v/>
      </c>
      <c r="AA621" s="389">
        <f t="shared" si="5"/>
        <v>0</v>
      </c>
    </row>
    <row r="622" ht="15.75" customHeight="1">
      <c r="M622" s="389" t="str">
        <f>IF('Bản đồ công việc'!X638="","",'Bản đồ công việc'!W638)</f>
        <v/>
      </c>
      <c r="N622" s="389" t="str">
        <f>IF('Bản đồ công việc'!X638="","",'Bản đồ công việc'!X638)</f>
        <v/>
      </c>
      <c r="O622" s="389" t="str">
        <f>IF('Bản đồ công việc'!X638="","",'Bản đồ công việc'!Y638)</f>
        <v/>
      </c>
      <c r="P622" s="389" t="str">
        <f>IF('Bản đồ công việc'!X638="","",'Bản đồ công việc'!V638)</f>
        <v/>
      </c>
      <c r="Q622" s="389" t="str">
        <f>IF('Bản đồ công việc'!X638="","",'Bản đồ công việc'!AC638)</f>
        <v/>
      </c>
      <c r="R622" s="389" t="str">
        <f>IF('Bản đồ công việc'!X638="","",'Bản đồ công việc'!AD638)</f>
        <v/>
      </c>
      <c r="S622" s="389" t="str">
        <f>IF('Bản đồ công việc'!X638="","",'Bản đồ công việc'!Z638)</f>
        <v/>
      </c>
      <c r="T622" s="389" t="str">
        <f>IF('Bản đồ công việc'!X638="","",'Bản đồ công việc'!AA638)</f>
        <v/>
      </c>
      <c r="U622" s="389" t="str">
        <f>IF('Bản đồ công việc'!X638="","",'Bản đồ công việc'!AE638)</f>
        <v/>
      </c>
      <c r="V622" s="389" t="str">
        <f>IF('Bản đồ công việc'!X638="","",'Bản đồ công việc'!AI638)</f>
        <v/>
      </c>
      <c r="W622" s="389">
        <f t="shared" si="2"/>
        <v>0</v>
      </c>
      <c r="X622" s="389" t="str">
        <f t="shared" si="3"/>
        <v/>
      </c>
      <c r="Y622" s="389" t="str">
        <f t="shared" ref="Y622:Z622" si="618">IFERROR(INDEX($O$8:$O$684,MATCH(X622,$N$8:$N$684,0)),"")</f>
        <v/>
      </c>
      <c r="Z622" s="389" t="str">
        <f t="shared" si="618"/>
        <v/>
      </c>
      <c r="AA622" s="389">
        <f t="shared" si="5"/>
        <v>0</v>
      </c>
    </row>
    <row r="623" ht="15.75" customHeight="1">
      <c r="M623" s="389" t="str">
        <f>IF('Bản đồ công việc'!X639="","",'Bản đồ công việc'!W639)</f>
        <v/>
      </c>
      <c r="N623" s="389" t="str">
        <f>IF('Bản đồ công việc'!X639="","",'Bản đồ công việc'!X639)</f>
        <v/>
      </c>
      <c r="O623" s="389" t="str">
        <f>IF('Bản đồ công việc'!X639="","",'Bản đồ công việc'!Y639)</f>
        <v/>
      </c>
      <c r="P623" s="389" t="str">
        <f>IF('Bản đồ công việc'!X639="","",'Bản đồ công việc'!V639)</f>
        <v/>
      </c>
      <c r="Q623" s="389" t="str">
        <f>IF('Bản đồ công việc'!X639="","",'Bản đồ công việc'!AC639)</f>
        <v/>
      </c>
      <c r="R623" s="389" t="str">
        <f>IF('Bản đồ công việc'!X639="","",'Bản đồ công việc'!AD639)</f>
        <v/>
      </c>
      <c r="S623" s="389" t="str">
        <f>IF('Bản đồ công việc'!X639="","",'Bản đồ công việc'!Z639)</f>
        <v/>
      </c>
      <c r="T623" s="389" t="str">
        <f>IF('Bản đồ công việc'!X639="","",'Bản đồ công việc'!AA639)</f>
        <v/>
      </c>
      <c r="U623" s="389" t="str">
        <f>IF('Bản đồ công việc'!X639="","",'Bản đồ công việc'!AE639)</f>
        <v/>
      </c>
      <c r="V623" s="389" t="str">
        <f>IF('Bản đồ công việc'!X639="","",'Bản đồ công việc'!AI639)</f>
        <v/>
      </c>
      <c r="W623" s="389">
        <f t="shared" si="2"/>
        <v>0</v>
      </c>
      <c r="X623" s="389" t="str">
        <f t="shared" si="3"/>
        <v/>
      </c>
      <c r="Y623" s="389" t="str">
        <f t="shared" ref="Y623:Z623" si="619">IFERROR(INDEX($O$8:$O$684,MATCH(X623,$N$8:$N$684,0)),"")</f>
        <v/>
      </c>
      <c r="Z623" s="389" t="str">
        <f t="shared" si="619"/>
        <v/>
      </c>
      <c r="AA623" s="389">
        <f t="shared" si="5"/>
        <v>0</v>
      </c>
    </row>
    <row r="624" ht="15.75" customHeight="1">
      <c r="M624" s="389" t="str">
        <f>IF('Bản đồ công việc'!X640="","",'Bản đồ công việc'!W640)</f>
        <v/>
      </c>
      <c r="N624" s="389" t="str">
        <f>IF('Bản đồ công việc'!X640="","",'Bản đồ công việc'!X640)</f>
        <v/>
      </c>
      <c r="O624" s="389" t="str">
        <f>IF('Bản đồ công việc'!X640="","",'Bản đồ công việc'!Y640)</f>
        <v/>
      </c>
      <c r="P624" s="389" t="str">
        <f>IF('Bản đồ công việc'!X640="","",'Bản đồ công việc'!V640)</f>
        <v/>
      </c>
      <c r="Q624" s="389" t="str">
        <f>IF('Bản đồ công việc'!X640="","",'Bản đồ công việc'!AC640)</f>
        <v/>
      </c>
      <c r="R624" s="389" t="str">
        <f>IF('Bản đồ công việc'!X640="","",'Bản đồ công việc'!AD640)</f>
        <v/>
      </c>
      <c r="S624" s="389" t="str">
        <f>IF('Bản đồ công việc'!X640="","",'Bản đồ công việc'!Z640)</f>
        <v/>
      </c>
      <c r="T624" s="389" t="str">
        <f>IF('Bản đồ công việc'!X640="","",'Bản đồ công việc'!AA640)</f>
        <v/>
      </c>
      <c r="U624" s="389" t="str">
        <f>IF('Bản đồ công việc'!X640="","",'Bản đồ công việc'!AE640)</f>
        <v/>
      </c>
      <c r="V624" s="389" t="str">
        <f>IF('Bản đồ công việc'!X640="","",'Bản đồ công việc'!AI640)</f>
        <v/>
      </c>
      <c r="W624" s="389">
        <f t="shared" si="2"/>
        <v>0</v>
      </c>
      <c r="X624" s="389" t="str">
        <f t="shared" si="3"/>
        <v/>
      </c>
      <c r="Y624" s="389" t="str">
        <f t="shared" ref="Y624:Z624" si="620">IFERROR(INDEX($O$8:$O$684,MATCH(X624,$N$8:$N$684,0)),"")</f>
        <v/>
      </c>
      <c r="Z624" s="389" t="str">
        <f t="shared" si="620"/>
        <v/>
      </c>
      <c r="AA624" s="389">
        <f t="shared" si="5"/>
        <v>0</v>
      </c>
    </row>
    <row r="625" ht="15.75" customHeight="1">
      <c r="M625" s="389" t="str">
        <f>IF('Bản đồ công việc'!X641="","",'Bản đồ công việc'!W641)</f>
        <v/>
      </c>
      <c r="N625" s="389" t="str">
        <f>IF('Bản đồ công việc'!X641="","",'Bản đồ công việc'!X641)</f>
        <v/>
      </c>
      <c r="O625" s="389" t="str">
        <f>IF('Bản đồ công việc'!X641="","",'Bản đồ công việc'!Y641)</f>
        <v/>
      </c>
      <c r="P625" s="389" t="str">
        <f>IF('Bản đồ công việc'!X641="","",'Bản đồ công việc'!V641)</f>
        <v/>
      </c>
      <c r="Q625" s="389" t="str">
        <f>IF('Bản đồ công việc'!X641="","",'Bản đồ công việc'!AC641)</f>
        <v/>
      </c>
      <c r="R625" s="389" t="str">
        <f>IF('Bản đồ công việc'!X641="","",'Bản đồ công việc'!AD641)</f>
        <v/>
      </c>
      <c r="S625" s="389" t="str">
        <f>IF('Bản đồ công việc'!X641="","",'Bản đồ công việc'!Z641)</f>
        <v/>
      </c>
      <c r="T625" s="389" t="str">
        <f>IF('Bản đồ công việc'!X641="","",'Bản đồ công việc'!AA641)</f>
        <v/>
      </c>
      <c r="U625" s="389" t="str">
        <f>IF('Bản đồ công việc'!X641="","",'Bản đồ công việc'!AE641)</f>
        <v/>
      </c>
      <c r="V625" s="389" t="str">
        <f>IF('Bản đồ công việc'!X641="","",'Bản đồ công việc'!AI641)</f>
        <v/>
      </c>
      <c r="W625" s="389">
        <f t="shared" si="2"/>
        <v>0</v>
      </c>
      <c r="X625" s="389" t="str">
        <f t="shared" si="3"/>
        <v/>
      </c>
      <c r="Y625" s="389" t="str">
        <f t="shared" ref="Y625:Z625" si="621">IFERROR(INDEX($O$8:$O$684,MATCH(X625,$N$8:$N$684,0)),"")</f>
        <v/>
      </c>
      <c r="Z625" s="389" t="str">
        <f t="shared" si="621"/>
        <v/>
      </c>
      <c r="AA625" s="389">
        <f t="shared" si="5"/>
        <v>0</v>
      </c>
    </row>
    <row r="626" ht="15.75" customHeight="1">
      <c r="M626" s="389" t="str">
        <f>IF('Bản đồ công việc'!X642="","",'Bản đồ công việc'!W642)</f>
        <v/>
      </c>
      <c r="N626" s="389" t="str">
        <f>IF('Bản đồ công việc'!X642="","",'Bản đồ công việc'!X642)</f>
        <v/>
      </c>
      <c r="O626" s="389" t="str">
        <f>IF('Bản đồ công việc'!X642="","",'Bản đồ công việc'!Y642)</f>
        <v/>
      </c>
      <c r="P626" s="389" t="str">
        <f>IF('Bản đồ công việc'!X642="","",'Bản đồ công việc'!V642)</f>
        <v/>
      </c>
      <c r="Q626" s="389" t="str">
        <f>IF('Bản đồ công việc'!X642="","",'Bản đồ công việc'!AC642)</f>
        <v/>
      </c>
      <c r="R626" s="389" t="str">
        <f>IF('Bản đồ công việc'!X642="","",'Bản đồ công việc'!AD642)</f>
        <v/>
      </c>
      <c r="S626" s="389" t="str">
        <f>IF('Bản đồ công việc'!X642="","",'Bản đồ công việc'!Z642)</f>
        <v/>
      </c>
      <c r="T626" s="389" t="str">
        <f>IF('Bản đồ công việc'!X642="","",'Bản đồ công việc'!AA642)</f>
        <v/>
      </c>
      <c r="U626" s="389" t="str">
        <f>IF('Bản đồ công việc'!X642="","",'Bản đồ công việc'!AE642)</f>
        <v/>
      </c>
      <c r="V626" s="389" t="str">
        <f>IF('Bản đồ công việc'!X642="","",'Bản đồ công việc'!AI642)</f>
        <v/>
      </c>
      <c r="W626" s="389">
        <f t="shared" si="2"/>
        <v>0</v>
      </c>
      <c r="X626" s="389" t="str">
        <f t="shared" si="3"/>
        <v/>
      </c>
      <c r="Y626" s="389" t="str">
        <f t="shared" ref="Y626:Z626" si="622">IFERROR(INDEX($O$8:$O$684,MATCH(X626,$N$8:$N$684,0)),"")</f>
        <v/>
      </c>
      <c r="Z626" s="389" t="str">
        <f t="shared" si="622"/>
        <v/>
      </c>
      <c r="AA626" s="389">
        <f t="shared" si="5"/>
        <v>0</v>
      </c>
    </row>
    <row r="627" ht="15.75" customHeight="1">
      <c r="M627" s="389" t="str">
        <f>IF('Bản đồ công việc'!X643="","",'Bản đồ công việc'!W643)</f>
        <v/>
      </c>
      <c r="N627" s="389" t="str">
        <f>IF('Bản đồ công việc'!X643="","",'Bản đồ công việc'!X643)</f>
        <v/>
      </c>
      <c r="O627" s="389" t="str">
        <f>IF('Bản đồ công việc'!X643="","",'Bản đồ công việc'!Y643)</f>
        <v/>
      </c>
      <c r="P627" s="389" t="str">
        <f>IF('Bản đồ công việc'!X643="","",'Bản đồ công việc'!V643)</f>
        <v/>
      </c>
      <c r="Q627" s="389" t="str">
        <f>IF('Bản đồ công việc'!X643="","",'Bản đồ công việc'!AC643)</f>
        <v/>
      </c>
      <c r="R627" s="389" t="str">
        <f>IF('Bản đồ công việc'!X643="","",'Bản đồ công việc'!AD643)</f>
        <v/>
      </c>
      <c r="S627" s="389" t="str">
        <f>IF('Bản đồ công việc'!X643="","",'Bản đồ công việc'!Z643)</f>
        <v/>
      </c>
      <c r="T627" s="389" t="str">
        <f>IF('Bản đồ công việc'!X643="","",'Bản đồ công việc'!AA643)</f>
        <v/>
      </c>
      <c r="U627" s="389" t="str">
        <f>IF('Bản đồ công việc'!X643="","",'Bản đồ công việc'!AE643)</f>
        <v/>
      </c>
      <c r="V627" s="389" t="str">
        <f>IF('Bản đồ công việc'!X643="","",'Bản đồ công việc'!AI643)</f>
        <v/>
      </c>
      <c r="W627" s="389">
        <f t="shared" si="2"/>
        <v>0</v>
      </c>
      <c r="X627" s="389" t="str">
        <f t="shared" si="3"/>
        <v/>
      </c>
      <c r="Y627" s="389" t="str">
        <f t="shared" ref="Y627:Z627" si="623">IFERROR(INDEX($O$8:$O$684,MATCH(X627,$N$8:$N$684,0)),"")</f>
        <v/>
      </c>
      <c r="Z627" s="389" t="str">
        <f t="shared" si="623"/>
        <v/>
      </c>
      <c r="AA627" s="389">
        <f t="shared" si="5"/>
        <v>0</v>
      </c>
    </row>
    <row r="628" ht="15.75" customHeight="1">
      <c r="M628" s="389" t="str">
        <f>IF('Bản đồ công việc'!X644="","",'Bản đồ công việc'!W644)</f>
        <v/>
      </c>
      <c r="N628" s="389" t="str">
        <f>IF('Bản đồ công việc'!X644="","",'Bản đồ công việc'!X644)</f>
        <v/>
      </c>
      <c r="O628" s="389" t="str">
        <f>IF('Bản đồ công việc'!X644="","",'Bản đồ công việc'!Y644)</f>
        <v/>
      </c>
      <c r="P628" s="389" t="str">
        <f>IF('Bản đồ công việc'!X644="","",'Bản đồ công việc'!V644)</f>
        <v/>
      </c>
      <c r="Q628" s="389" t="str">
        <f>IF('Bản đồ công việc'!X644="","",'Bản đồ công việc'!AC644)</f>
        <v/>
      </c>
      <c r="R628" s="389" t="str">
        <f>IF('Bản đồ công việc'!X644="","",'Bản đồ công việc'!AD644)</f>
        <v/>
      </c>
      <c r="S628" s="389" t="str">
        <f>IF('Bản đồ công việc'!X644="","",'Bản đồ công việc'!Z644)</f>
        <v/>
      </c>
      <c r="T628" s="389" t="str">
        <f>IF('Bản đồ công việc'!X644="","",'Bản đồ công việc'!AA644)</f>
        <v/>
      </c>
      <c r="U628" s="389" t="str">
        <f>IF('Bản đồ công việc'!X644="","",'Bản đồ công việc'!AE644)</f>
        <v/>
      </c>
      <c r="V628" s="389" t="str">
        <f>IF('Bản đồ công việc'!X644="","",'Bản đồ công việc'!AI644)</f>
        <v/>
      </c>
      <c r="W628" s="389">
        <f t="shared" si="2"/>
        <v>0</v>
      </c>
      <c r="X628" s="389" t="str">
        <f t="shared" si="3"/>
        <v/>
      </c>
      <c r="Y628" s="389" t="str">
        <f t="shared" ref="Y628:Z628" si="624">IFERROR(INDEX($O$8:$O$684,MATCH(X628,$N$8:$N$684,0)),"")</f>
        <v/>
      </c>
      <c r="Z628" s="389" t="str">
        <f t="shared" si="624"/>
        <v/>
      </c>
      <c r="AA628" s="389">
        <f t="shared" si="5"/>
        <v>0</v>
      </c>
    </row>
    <row r="629" ht="15.75" customHeight="1">
      <c r="M629" s="389" t="str">
        <f>IF('Bản đồ công việc'!X645="","",'Bản đồ công việc'!W645)</f>
        <v/>
      </c>
      <c r="N629" s="389" t="str">
        <f>IF('Bản đồ công việc'!X645="","",'Bản đồ công việc'!X645)</f>
        <v/>
      </c>
      <c r="O629" s="389" t="str">
        <f>IF('Bản đồ công việc'!X645="","",'Bản đồ công việc'!Y645)</f>
        <v/>
      </c>
      <c r="P629" s="389" t="str">
        <f>IF('Bản đồ công việc'!X645="","",'Bản đồ công việc'!V645)</f>
        <v/>
      </c>
      <c r="Q629" s="389" t="str">
        <f>IF('Bản đồ công việc'!X645="","",'Bản đồ công việc'!AC645)</f>
        <v/>
      </c>
      <c r="R629" s="389" t="str">
        <f>IF('Bản đồ công việc'!X645="","",'Bản đồ công việc'!AD645)</f>
        <v/>
      </c>
      <c r="S629" s="389" t="str">
        <f>IF('Bản đồ công việc'!X645="","",'Bản đồ công việc'!Z645)</f>
        <v/>
      </c>
      <c r="T629" s="389" t="str">
        <f>IF('Bản đồ công việc'!X645="","",'Bản đồ công việc'!AA645)</f>
        <v/>
      </c>
      <c r="U629" s="389" t="str">
        <f>IF('Bản đồ công việc'!X645="","",'Bản đồ công việc'!AE645)</f>
        <v/>
      </c>
      <c r="V629" s="389" t="str">
        <f>IF('Bản đồ công việc'!X645="","",'Bản đồ công việc'!AI645)</f>
        <v/>
      </c>
      <c r="W629" s="389">
        <f t="shared" si="2"/>
        <v>0</v>
      </c>
      <c r="X629" s="389" t="str">
        <f t="shared" si="3"/>
        <v/>
      </c>
      <c r="Y629" s="389" t="str">
        <f t="shared" ref="Y629:Z629" si="625">IFERROR(INDEX($O$8:$O$684,MATCH(X629,$N$8:$N$684,0)),"")</f>
        <v/>
      </c>
      <c r="Z629" s="389" t="str">
        <f t="shared" si="625"/>
        <v/>
      </c>
      <c r="AA629" s="389">
        <f t="shared" si="5"/>
        <v>0</v>
      </c>
    </row>
    <row r="630" ht="15.75" customHeight="1">
      <c r="M630" s="389" t="str">
        <f>IF('Bản đồ công việc'!X646="","",'Bản đồ công việc'!W646)</f>
        <v/>
      </c>
      <c r="N630" s="389" t="str">
        <f>IF('Bản đồ công việc'!X646="","",'Bản đồ công việc'!X646)</f>
        <v/>
      </c>
      <c r="O630" s="389" t="str">
        <f>IF('Bản đồ công việc'!X646="","",'Bản đồ công việc'!Y646)</f>
        <v/>
      </c>
      <c r="P630" s="389" t="str">
        <f>IF('Bản đồ công việc'!X646="","",'Bản đồ công việc'!V646)</f>
        <v/>
      </c>
      <c r="Q630" s="389" t="str">
        <f>IF('Bản đồ công việc'!X646="","",'Bản đồ công việc'!AC646)</f>
        <v/>
      </c>
      <c r="R630" s="389" t="str">
        <f>IF('Bản đồ công việc'!X646="","",'Bản đồ công việc'!AD646)</f>
        <v/>
      </c>
      <c r="S630" s="389" t="str">
        <f>IF('Bản đồ công việc'!X646="","",'Bản đồ công việc'!Z646)</f>
        <v/>
      </c>
      <c r="T630" s="389" t="str">
        <f>IF('Bản đồ công việc'!X646="","",'Bản đồ công việc'!AA646)</f>
        <v/>
      </c>
      <c r="U630" s="389" t="str">
        <f>IF('Bản đồ công việc'!X646="","",'Bản đồ công việc'!AE646)</f>
        <v/>
      </c>
      <c r="V630" s="389" t="str">
        <f>IF('Bản đồ công việc'!X646="","",'Bản đồ công việc'!AI646)</f>
        <v/>
      </c>
      <c r="W630" s="389">
        <f t="shared" si="2"/>
        <v>0</v>
      </c>
      <c r="X630" s="389" t="str">
        <f t="shared" si="3"/>
        <v/>
      </c>
      <c r="Y630" s="389" t="str">
        <f t="shared" ref="Y630:Z630" si="626">IFERROR(INDEX($O$8:$O$684,MATCH(X630,$N$8:$N$684,0)),"")</f>
        <v/>
      </c>
      <c r="Z630" s="389" t="str">
        <f t="shared" si="626"/>
        <v/>
      </c>
      <c r="AA630" s="389">
        <f t="shared" si="5"/>
        <v>0</v>
      </c>
    </row>
    <row r="631" ht="15.75" customHeight="1">
      <c r="M631" s="389" t="str">
        <f>IF('Bản đồ công việc'!X647="","",'Bản đồ công việc'!W647)</f>
        <v/>
      </c>
      <c r="N631" s="389" t="str">
        <f>IF('Bản đồ công việc'!X647="","",'Bản đồ công việc'!X647)</f>
        <v/>
      </c>
      <c r="O631" s="389" t="str">
        <f>IF('Bản đồ công việc'!X647="","",'Bản đồ công việc'!Y647)</f>
        <v/>
      </c>
      <c r="P631" s="389" t="str">
        <f>IF('Bản đồ công việc'!X647="","",'Bản đồ công việc'!V647)</f>
        <v/>
      </c>
      <c r="Q631" s="389" t="str">
        <f>IF('Bản đồ công việc'!X647="","",'Bản đồ công việc'!AC647)</f>
        <v/>
      </c>
      <c r="R631" s="389" t="str">
        <f>IF('Bản đồ công việc'!X647="","",'Bản đồ công việc'!AD647)</f>
        <v/>
      </c>
      <c r="S631" s="389" t="str">
        <f>IF('Bản đồ công việc'!X647="","",'Bản đồ công việc'!Z647)</f>
        <v/>
      </c>
      <c r="T631" s="389" t="str">
        <f>IF('Bản đồ công việc'!X647="","",'Bản đồ công việc'!AA647)</f>
        <v/>
      </c>
      <c r="U631" s="389" t="str">
        <f>IF('Bản đồ công việc'!X647="","",'Bản đồ công việc'!AE647)</f>
        <v/>
      </c>
      <c r="V631" s="389" t="str">
        <f>IF('Bản đồ công việc'!X647="","",'Bản đồ công việc'!AI647)</f>
        <v/>
      </c>
      <c r="W631" s="389">
        <f t="shared" si="2"/>
        <v>0</v>
      </c>
      <c r="X631" s="389" t="str">
        <f t="shared" si="3"/>
        <v/>
      </c>
      <c r="Y631" s="389" t="str">
        <f t="shared" ref="Y631:Z631" si="627">IFERROR(INDEX($O$8:$O$684,MATCH(X631,$N$8:$N$684,0)),"")</f>
        <v/>
      </c>
      <c r="Z631" s="389" t="str">
        <f t="shared" si="627"/>
        <v/>
      </c>
      <c r="AA631" s="389">
        <f t="shared" si="5"/>
        <v>0</v>
      </c>
    </row>
    <row r="632" ht="15.75" customHeight="1">
      <c r="M632" s="389" t="str">
        <f>IF('Bản đồ công việc'!X648="","",'Bản đồ công việc'!W648)</f>
        <v/>
      </c>
      <c r="N632" s="389" t="str">
        <f>IF('Bản đồ công việc'!X648="","",'Bản đồ công việc'!X648)</f>
        <v/>
      </c>
      <c r="O632" s="389" t="str">
        <f>IF('Bản đồ công việc'!X648="","",'Bản đồ công việc'!Y648)</f>
        <v/>
      </c>
      <c r="P632" s="389" t="str">
        <f>IF('Bản đồ công việc'!X648="","",'Bản đồ công việc'!V648)</f>
        <v/>
      </c>
      <c r="Q632" s="389" t="str">
        <f>IF('Bản đồ công việc'!X648="","",'Bản đồ công việc'!AC648)</f>
        <v/>
      </c>
      <c r="R632" s="389" t="str">
        <f>IF('Bản đồ công việc'!X648="","",'Bản đồ công việc'!AD648)</f>
        <v/>
      </c>
      <c r="S632" s="389" t="str">
        <f>IF('Bản đồ công việc'!X648="","",'Bản đồ công việc'!Z648)</f>
        <v/>
      </c>
      <c r="T632" s="389" t="str">
        <f>IF('Bản đồ công việc'!X648="","",'Bản đồ công việc'!AA648)</f>
        <v/>
      </c>
      <c r="U632" s="389" t="str">
        <f>IF('Bản đồ công việc'!X648="","",'Bản đồ công việc'!AE648)</f>
        <v/>
      </c>
      <c r="V632" s="389" t="str">
        <f>IF('Bản đồ công việc'!X648="","",'Bản đồ công việc'!AI648)</f>
        <v/>
      </c>
      <c r="W632" s="389">
        <f t="shared" si="2"/>
        <v>0</v>
      </c>
      <c r="X632" s="389" t="str">
        <f t="shared" si="3"/>
        <v/>
      </c>
      <c r="Y632" s="389" t="str">
        <f t="shared" ref="Y632:Z632" si="628">IFERROR(INDEX($O$8:$O$684,MATCH(X632,$N$8:$N$684,0)),"")</f>
        <v/>
      </c>
      <c r="Z632" s="389" t="str">
        <f t="shared" si="628"/>
        <v/>
      </c>
      <c r="AA632" s="389">
        <f t="shared" si="5"/>
        <v>0</v>
      </c>
    </row>
    <row r="633" ht="15.75" customHeight="1">
      <c r="M633" s="389" t="str">
        <f>IF('Bản đồ công việc'!X649="","",'Bản đồ công việc'!W649)</f>
        <v/>
      </c>
      <c r="N633" s="389" t="str">
        <f>IF('Bản đồ công việc'!X649="","",'Bản đồ công việc'!X649)</f>
        <v/>
      </c>
      <c r="O633" s="389" t="str">
        <f>IF('Bản đồ công việc'!X649="","",'Bản đồ công việc'!Y649)</f>
        <v/>
      </c>
      <c r="P633" s="389" t="str">
        <f>IF('Bản đồ công việc'!X649="","",'Bản đồ công việc'!V649)</f>
        <v/>
      </c>
      <c r="Q633" s="389" t="str">
        <f>IF('Bản đồ công việc'!X649="","",'Bản đồ công việc'!AC649)</f>
        <v/>
      </c>
      <c r="R633" s="389" t="str">
        <f>IF('Bản đồ công việc'!X649="","",'Bản đồ công việc'!AD649)</f>
        <v/>
      </c>
      <c r="S633" s="389" t="str">
        <f>IF('Bản đồ công việc'!X649="","",'Bản đồ công việc'!Z649)</f>
        <v/>
      </c>
      <c r="T633" s="389" t="str">
        <f>IF('Bản đồ công việc'!X649="","",'Bản đồ công việc'!AA649)</f>
        <v/>
      </c>
      <c r="U633" s="389" t="str">
        <f>IF('Bản đồ công việc'!X649="","",'Bản đồ công việc'!AE649)</f>
        <v/>
      </c>
      <c r="V633" s="389" t="str">
        <f>IF('Bản đồ công việc'!X649="","",'Bản đồ công việc'!AI649)</f>
        <v/>
      </c>
      <c r="W633" s="389">
        <f t="shared" si="2"/>
        <v>0</v>
      </c>
      <c r="X633" s="389" t="str">
        <f t="shared" si="3"/>
        <v/>
      </c>
      <c r="Y633" s="389" t="str">
        <f t="shared" ref="Y633:Z633" si="629">IFERROR(INDEX($O$8:$O$684,MATCH(X633,$N$8:$N$684,0)),"")</f>
        <v/>
      </c>
      <c r="Z633" s="389" t="str">
        <f t="shared" si="629"/>
        <v/>
      </c>
      <c r="AA633" s="389">
        <f t="shared" si="5"/>
        <v>0</v>
      </c>
    </row>
    <row r="634" ht="15.75" customHeight="1">
      <c r="M634" s="389" t="str">
        <f>IF('Bản đồ công việc'!X650="","",'Bản đồ công việc'!W650)</f>
        <v/>
      </c>
      <c r="N634" s="389" t="str">
        <f>IF('Bản đồ công việc'!X650="","",'Bản đồ công việc'!X650)</f>
        <v/>
      </c>
      <c r="O634" s="389" t="str">
        <f>IF('Bản đồ công việc'!X650="","",'Bản đồ công việc'!Y650)</f>
        <v/>
      </c>
      <c r="P634" s="389" t="str">
        <f>IF('Bản đồ công việc'!X650="","",'Bản đồ công việc'!V650)</f>
        <v/>
      </c>
      <c r="Q634" s="389" t="str">
        <f>IF('Bản đồ công việc'!X650="","",'Bản đồ công việc'!AC650)</f>
        <v/>
      </c>
      <c r="R634" s="389" t="str">
        <f>IF('Bản đồ công việc'!X650="","",'Bản đồ công việc'!AD650)</f>
        <v/>
      </c>
      <c r="S634" s="389" t="str">
        <f>IF('Bản đồ công việc'!X650="","",'Bản đồ công việc'!Z650)</f>
        <v/>
      </c>
      <c r="T634" s="389" t="str">
        <f>IF('Bản đồ công việc'!X650="","",'Bản đồ công việc'!AA650)</f>
        <v/>
      </c>
      <c r="U634" s="389" t="str">
        <f>IF('Bản đồ công việc'!X650="","",'Bản đồ công việc'!AE650)</f>
        <v/>
      </c>
      <c r="V634" s="389" t="str">
        <f>IF('Bản đồ công việc'!X650="","",'Bản đồ công việc'!AI650)</f>
        <v/>
      </c>
      <c r="W634" s="389">
        <f t="shared" si="2"/>
        <v>0</v>
      </c>
      <c r="X634" s="389" t="str">
        <f t="shared" si="3"/>
        <v/>
      </c>
      <c r="Y634" s="389" t="str">
        <f t="shared" ref="Y634:Z634" si="630">IFERROR(INDEX($O$8:$O$684,MATCH(X634,$N$8:$N$684,0)),"")</f>
        <v/>
      </c>
      <c r="Z634" s="389" t="str">
        <f t="shared" si="630"/>
        <v/>
      </c>
      <c r="AA634" s="389">
        <f t="shared" si="5"/>
        <v>0</v>
      </c>
    </row>
    <row r="635" ht="15.75" customHeight="1">
      <c r="M635" s="389" t="str">
        <f>IF('Bản đồ công việc'!X651="","",'Bản đồ công việc'!W651)</f>
        <v/>
      </c>
      <c r="N635" s="389" t="str">
        <f>IF('Bản đồ công việc'!X651="","",'Bản đồ công việc'!X651)</f>
        <v/>
      </c>
      <c r="O635" s="389" t="str">
        <f>IF('Bản đồ công việc'!X651="","",'Bản đồ công việc'!Y651)</f>
        <v/>
      </c>
      <c r="P635" s="389" t="str">
        <f>IF('Bản đồ công việc'!X651="","",'Bản đồ công việc'!V651)</f>
        <v/>
      </c>
      <c r="Q635" s="389" t="str">
        <f>IF('Bản đồ công việc'!X651="","",'Bản đồ công việc'!AC651)</f>
        <v/>
      </c>
      <c r="R635" s="389" t="str">
        <f>IF('Bản đồ công việc'!X651="","",'Bản đồ công việc'!AD651)</f>
        <v/>
      </c>
      <c r="S635" s="389" t="str">
        <f>IF('Bản đồ công việc'!X651="","",'Bản đồ công việc'!Z651)</f>
        <v/>
      </c>
      <c r="T635" s="389" t="str">
        <f>IF('Bản đồ công việc'!X651="","",'Bản đồ công việc'!AA651)</f>
        <v/>
      </c>
      <c r="U635" s="389" t="str">
        <f>IF('Bản đồ công việc'!X651="","",'Bản đồ công việc'!AE651)</f>
        <v/>
      </c>
      <c r="V635" s="389" t="str">
        <f>IF('Bản đồ công việc'!X651="","",'Bản đồ công việc'!AI651)</f>
        <v/>
      </c>
      <c r="W635" s="389">
        <f t="shared" si="2"/>
        <v>0</v>
      </c>
      <c r="X635" s="389" t="str">
        <f t="shared" si="3"/>
        <v/>
      </c>
      <c r="Y635" s="389" t="str">
        <f t="shared" ref="Y635:Z635" si="631">IFERROR(INDEX($O$8:$O$684,MATCH(X635,$N$8:$N$684,0)),"")</f>
        <v/>
      </c>
      <c r="Z635" s="389" t="str">
        <f t="shared" si="631"/>
        <v/>
      </c>
      <c r="AA635" s="389">
        <f t="shared" si="5"/>
        <v>0</v>
      </c>
    </row>
    <row r="636" ht="15.75" customHeight="1">
      <c r="M636" s="389" t="str">
        <f>IF('Bản đồ công việc'!X652="","",'Bản đồ công việc'!W652)</f>
        <v/>
      </c>
      <c r="N636" s="389" t="str">
        <f>IF('Bản đồ công việc'!X652="","",'Bản đồ công việc'!X652)</f>
        <v/>
      </c>
      <c r="O636" s="389" t="str">
        <f>IF('Bản đồ công việc'!X652="","",'Bản đồ công việc'!Y652)</f>
        <v/>
      </c>
      <c r="P636" s="389" t="str">
        <f>IF('Bản đồ công việc'!X652="","",'Bản đồ công việc'!V652)</f>
        <v/>
      </c>
      <c r="Q636" s="389" t="str">
        <f>IF('Bản đồ công việc'!X652="","",'Bản đồ công việc'!AC652)</f>
        <v/>
      </c>
      <c r="R636" s="389" t="str">
        <f>IF('Bản đồ công việc'!X652="","",'Bản đồ công việc'!AD652)</f>
        <v/>
      </c>
      <c r="S636" s="389" t="str">
        <f>IF('Bản đồ công việc'!X652="","",'Bản đồ công việc'!Z652)</f>
        <v/>
      </c>
      <c r="T636" s="389" t="str">
        <f>IF('Bản đồ công việc'!X652="","",'Bản đồ công việc'!AA652)</f>
        <v/>
      </c>
      <c r="U636" s="389" t="str">
        <f>IF('Bản đồ công việc'!X652="","",'Bản đồ công việc'!AE652)</f>
        <v/>
      </c>
      <c r="V636" s="389" t="str">
        <f>IF('Bản đồ công việc'!X652="","",'Bản đồ công việc'!AI652)</f>
        <v/>
      </c>
      <c r="W636" s="389">
        <f t="shared" si="2"/>
        <v>0</v>
      </c>
      <c r="X636" s="389" t="str">
        <f t="shared" si="3"/>
        <v/>
      </c>
      <c r="Y636" s="389" t="str">
        <f t="shared" ref="Y636:Z636" si="632">IFERROR(INDEX($O$8:$O$684,MATCH(X636,$N$8:$N$684,0)),"")</f>
        <v/>
      </c>
      <c r="Z636" s="389" t="str">
        <f t="shared" si="632"/>
        <v/>
      </c>
      <c r="AA636" s="389">
        <f t="shared" si="5"/>
        <v>0</v>
      </c>
    </row>
    <row r="637" ht="15.75" customHeight="1">
      <c r="M637" s="389" t="str">
        <f>IF('Bản đồ công việc'!X653="","",'Bản đồ công việc'!W653)</f>
        <v/>
      </c>
      <c r="N637" s="389" t="str">
        <f>IF('Bản đồ công việc'!X653="","",'Bản đồ công việc'!X653)</f>
        <v/>
      </c>
      <c r="O637" s="389" t="str">
        <f>IF('Bản đồ công việc'!X653="","",'Bản đồ công việc'!Y653)</f>
        <v/>
      </c>
      <c r="P637" s="389" t="str">
        <f>IF('Bản đồ công việc'!X653="","",'Bản đồ công việc'!V653)</f>
        <v/>
      </c>
      <c r="Q637" s="389" t="str">
        <f>IF('Bản đồ công việc'!X653="","",'Bản đồ công việc'!AC653)</f>
        <v/>
      </c>
      <c r="R637" s="389" t="str">
        <f>IF('Bản đồ công việc'!X653="","",'Bản đồ công việc'!AD653)</f>
        <v/>
      </c>
      <c r="S637" s="389" t="str">
        <f>IF('Bản đồ công việc'!X653="","",'Bản đồ công việc'!Z653)</f>
        <v/>
      </c>
      <c r="T637" s="389" t="str">
        <f>IF('Bản đồ công việc'!X653="","",'Bản đồ công việc'!AA653)</f>
        <v/>
      </c>
      <c r="U637" s="389" t="str">
        <f>IF('Bản đồ công việc'!X653="","",'Bản đồ công việc'!AE653)</f>
        <v/>
      </c>
      <c r="V637" s="389" t="str">
        <f>IF('Bản đồ công việc'!X653="","",'Bản đồ công việc'!AI653)</f>
        <v/>
      </c>
      <c r="W637" s="389">
        <f t="shared" si="2"/>
        <v>0</v>
      </c>
      <c r="X637" s="389" t="str">
        <f t="shared" si="3"/>
        <v/>
      </c>
      <c r="Y637" s="389" t="str">
        <f t="shared" ref="Y637:Z637" si="633">IFERROR(INDEX($O$8:$O$684,MATCH(X637,$N$8:$N$684,0)),"")</f>
        <v/>
      </c>
      <c r="Z637" s="389" t="str">
        <f t="shared" si="633"/>
        <v/>
      </c>
      <c r="AA637" s="389">
        <f t="shared" si="5"/>
        <v>0</v>
      </c>
    </row>
    <row r="638" ht="15.75" customHeight="1">
      <c r="M638" s="389" t="str">
        <f>IF('Bản đồ công việc'!X654="","",'Bản đồ công việc'!W654)</f>
        <v/>
      </c>
      <c r="N638" s="389" t="str">
        <f>IF('Bản đồ công việc'!X654="","",'Bản đồ công việc'!X654)</f>
        <v/>
      </c>
      <c r="O638" s="389" t="str">
        <f>IF('Bản đồ công việc'!X654="","",'Bản đồ công việc'!Y654)</f>
        <v/>
      </c>
      <c r="P638" s="389" t="str">
        <f>IF('Bản đồ công việc'!X654="","",'Bản đồ công việc'!V654)</f>
        <v/>
      </c>
      <c r="Q638" s="389" t="str">
        <f>IF('Bản đồ công việc'!X654="","",'Bản đồ công việc'!AC654)</f>
        <v/>
      </c>
      <c r="R638" s="389" t="str">
        <f>IF('Bản đồ công việc'!X654="","",'Bản đồ công việc'!AD654)</f>
        <v/>
      </c>
      <c r="S638" s="389" t="str">
        <f>IF('Bản đồ công việc'!X654="","",'Bản đồ công việc'!Z654)</f>
        <v/>
      </c>
      <c r="T638" s="389" t="str">
        <f>IF('Bản đồ công việc'!X654="","",'Bản đồ công việc'!AA654)</f>
        <v/>
      </c>
      <c r="U638" s="389" t="str">
        <f>IF('Bản đồ công việc'!X654="","",'Bản đồ công việc'!AE654)</f>
        <v/>
      </c>
      <c r="V638" s="389" t="str">
        <f>IF('Bản đồ công việc'!X654="","",'Bản đồ công việc'!AI654)</f>
        <v/>
      </c>
      <c r="W638" s="389">
        <f t="shared" si="2"/>
        <v>0</v>
      </c>
      <c r="X638" s="389" t="str">
        <f t="shared" si="3"/>
        <v/>
      </c>
      <c r="Y638" s="389" t="str">
        <f t="shared" ref="Y638:Z638" si="634">IFERROR(INDEX($O$8:$O$684,MATCH(X638,$N$8:$N$684,0)),"")</f>
        <v/>
      </c>
      <c r="Z638" s="389" t="str">
        <f t="shared" si="634"/>
        <v/>
      </c>
      <c r="AA638" s="389">
        <f t="shared" si="5"/>
        <v>0</v>
      </c>
    </row>
    <row r="639" ht="15.75" customHeight="1">
      <c r="M639" s="389" t="str">
        <f>IF('Bản đồ công việc'!X655="","",'Bản đồ công việc'!W655)</f>
        <v/>
      </c>
      <c r="N639" s="389" t="str">
        <f>IF('Bản đồ công việc'!X655="","",'Bản đồ công việc'!X655)</f>
        <v/>
      </c>
      <c r="O639" s="389" t="str">
        <f>IF('Bản đồ công việc'!X655="","",'Bản đồ công việc'!Y655)</f>
        <v/>
      </c>
      <c r="P639" s="389" t="str">
        <f>IF('Bản đồ công việc'!X655="","",'Bản đồ công việc'!V655)</f>
        <v/>
      </c>
      <c r="Q639" s="389" t="str">
        <f>IF('Bản đồ công việc'!X655="","",'Bản đồ công việc'!AC655)</f>
        <v/>
      </c>
      <c r="R639" s="389" t="str">
        <f>IF('Bản đồ công việc'!X655="","",'Bản đồ công việc'!AD655)</f>
        <v/>
      </c>
      <c r="S639" s="389" t="str">
        <f>IF('Bản đồ công việc'!X655="","",'Bản đồ công việc'!Z655)</f>
        <v/>
      </c>
      <c r="T639" s="389" t="str">
        <f>IF('Bản đồ công việc'!X655="","",'Bản đồ công việc'!AA655)</f>
        <v/>
      </c>
      <c r="U639" s="389" t="str">
        <f>IF('Bản đồ công việc'!X655="","",'Bản đồ công việc'!AE655)</f>
        <v/>
      </c>
      <c r="V639" s="389" t="str">
        <f>IF('Bản đồ công việc'!X655="","",'Bản đồ công việc'!AI655)</f>
        <v/>
      </c>
      <c r="W639" s="389">
        <f t="shared" si="2"/>
        <v>0</v>
      </c>
      <c r="X639" s="389" t="str">
        <f t="shared" si="3"/>
        <v/>
      </c>
      <c r="Y639" s="389" t="str">
        <f t="shared" ref="Y639:Z639" si="635">IFERROR(INDEX($O$8:$O$684,MATCH(X639,$N$8:$N$684,0)),"")</f>
        <v/>
      </c>
      <c r="Z639" s="389" t="str">
        <f t="shared" si="635"/>
        <v/>
      </c>
      <c r="AA639" s="389">
        <f t="shared" si="5"/>
        <v>0</v>
      </c>
    </row>
    <row r="640" ht="15.75" customHeight="1">
      <c r="M640" s="389" t="str">
        <f>IF('Bản đồ công việc'!X656="","",'Bản đồ công việc'!W656)</f>
        <v/>
      </c>
      <c r="N640" s="389" t="str">
        <f>IF('Bản đồ công việc'!X656="","",'Bản đồ công việc'!X656)</f>
        <v/>
      </c>
      <c r="O640" s="389" t="str">
        <f>IF('Bản đồ công việc'!X656="","",'Bản đồ công việc'!Y656)</f>
        <v/>
      </c>
      <c r="P640" s="389" t="str">
        <f>IF('Bản đồ công việc'!X656="","",'Bản đồ công việc'!V656)</f>
        <v/>
      </c>
      <c r="Q640" s="389" t="str">
        <f>IF('Bản đồ công việc'!X656="","",'Bản đồ công việc'!AC656)</f>
        <v/>
      </c>
      <c r="R640" s="389" t="str">
        <f>IF('Bản đồ công việc'!X656="","",'Bản đồ công việc'!AD656)</f>
        <v/>
      </c>
      <c r="S640" s="389" t="str">
        <f>IF('Bản đồ công việc'!X656="","",'Bản đồ công việc'!Z656)</f>
        <v/>
      </c>
      <c r="T640" s="389" t="str">
        <f>IF('Bản đồ công việc'!X656="","",'Bản đồ công việc'!AA656)</f>
        <v/>
      </c>
      <c r="U640" s="389" t="str">
        <f>IF('Bản đồ công việc'!X656="","",'Bản đồ công việc'!AE656)</f>
        <v/>
      </c>
      <c r="V640" s="389" t="str">
        <f>IF('Bản đồ công việc'!X656="","",'Bản đồ công việc'!AI656)</f>
        <v/>
      </c>
      <c r="W640" s="389">
        <f t="shared" si="2"/>
        <v>0</v>
      </c>
      <c r="X640" s="389" t="str">
        <f t="shared" si="3"/>
        <v/>
      </c>
      <c r="Y640" s="389" t="str">
        <f t="shared" ref="Y640:Z640" si="636">IFERROR(INDEX($O$8:$O$684,MATCH(X640,$N$8:$N$684,0)),"")</f>
        <v/>
      </c>
      <c r="Z640" s="389" t="str">
        <f t="shared" si="636"/>
        <v/>
      </c>
      <c r="AA640" s="389">
        <f t="shared" si="5"/>
        <v>0</v>
      </c>
    </row>
    <row r="641" ht="15.75" customHeight="1">
      <c r="M641" s="389" t="str">
        <f>IF('Bản đồ công việc'!X657="","",'Bản đồ công việc'!W657)</f>
        <v/>
      </c>
      <c r="N641" s="389" t="str">
        <f>IF('Bản đồ công việc'!X657="","",'Bản đồ công việc'!X657)</f>
        <v/>
      </c>
      <c r="O641" s="389" t="str">
        <f>IF('Bản đồ công việc'!X657="","",'Bản đồ công việc'!Y657)</f>
        <v/>
      </c>
      <c r="P641" s="389" t="str">
        <f>IF('Bản đồ công việc'!X657="","",'Bản đồ công việc'!V657)</f>
        <v/>
      </c>
      <c r="Q641" s="389" t="str">
        <f>IF('Bản đồ công việc'!X657="","",'Bản đồ công việc'!AC657)</f>
        <v/>
      </c>
      <c r="R641" s="389" t="str">
        <f>IF('Bản đồ công việc'!X657="","",'Bản đồ công việc'!AD657)</f>
        <v/>
      </c>
      <c r="S641" s="389" t="str">
        <f>IF('Bản đồ công việc'!X657="","",'Bản đồ công việc'!Z657)</f>
        <v/>
      </c>
      <c r="T641" s="389" t="str">
        <f>IF('Bản đồ công việc'!X657="","",'Bản đồ công việc'!AA657)</f>
        <v/>
      </c>
      <c r="U641" s="389" t="str">
        <f>IF('Bản đồ công việc'!X657="","",'Bản đồ công việc'!AE657)</f>
        <v/>
      </c>
      <c r="V641" s="389" t="str">
        <f>IF('Bản đồ công việc'!X657="","",'Bản đồ công việc'!AI657)</f>
        <v/>
      </c>
      <c r="W641" s="389">
        <f t="shared" si="2"/>
        <v>0</v>
      </c>
      <c r="X641" s="389" t="str">
        <f t="shared" si="3"/>
        <v/>
      </c>
      <c r="Y641" s="389" t="str">
        <f t="shared" ref="Y641:Z641" si="637">IFERROR(INDEX($O$8:$O$684,MATCH(X641,$N$8:$N$684,0)),"")</f>
        <v/>
      </c>
      <c r="Z641" s="389" t="str">
        <f t="shared" si="637"/>
        <v/>
      </c>
      <c r="AA641" s="389">
        <f t="shared" si="5"/>
        <v>0</v>
      </c>
    </row>
    <row r="642" ht="15.75" customHeight="1">
      <c r="M642" s="389" t="str">
        <f>IF('Bản đồ công việc'!X658="","",'Bản đồ công việc'!W658)</f>
        <v/>
      </c>
      <c r="N642" s="389" t="str">
        <f>IF('Bản đồ công việc'!X658="","",'Bản đồ công việc'!X658)</f>
        <v/>
      </c>
      <c r="O642" s="389" t="str">
        <f>IF('Bản đồ công việc'!X658="","",'Bản đồ công việc'!Y658)</f>
        <v/>
      </c>
      <c r="P642" s="389" t="str">
        <f>IF('Bản đồ công việc'!X658="","",'Bản đồ công việc'!V658)</f>
        <v/>
      </c>
      <c r="Q642" s="389" t="str">
        <f>IF('Bản đồ công việc'!X658="","",'Bản đồ công việc'!AC658)</f>
        <v/>
      </c>
      <c r="R642" s="389" t="str">
        <f>IF('Bản đồ công việc'!X658="","",'Bản đồ công việc'!AD658)</f>
        <v/>
      </c>
      <c r="S642" s="389" t="str">
        <f>IF('Bản đồ công việc'!X658="","",'Bản đồ công việc'!Z658)</f>
        <v/>
      </c>
      <c r="T642" s="389" t="str">
        <f>IF('Bản đồ công việc'!X658="","",'Bản đồ công việc'!AA658)</f>
        <v/>
      </c>
      <c r="U642" s="389" t="str">
        <f>IF('Bản đồ công việc'!X658="","",'Bản đồ công việc'!AE658)</f>
        <v/>
      </c>
      <c r="V642" s="389" t="str">
        <f>IF('Bản đồ công việc'!X658="","",'Bản đồ công việc'!AI658)</f>
        <v/>
      </c>
      <c r="W642" s="389">
        <f t="shared" si="2"/>
        <v>0</v>
      </c>
      <c r="X642" s="389" t="str">
        <f t="shared" si="3"/>
        <v/>
      </c>
      <c r="Y642" s="389" t="str">
        <f t="shared" ref="Y642:Z642" si="638">IFERROR(INDEX($O$8:$O$684,MATCH(X642,$N$8:$N$684,0)),"")</f>
        <v/>
      </c>
      <c r="Z642" s="389" t="str">
        <f t="shared" si="638"/>
        <v/>
      </c>
      <c r="AA642" s="389">
        <f t="shared" si="5"/>
        <v>0</v>
      </c>
    </row>
    <row r="643" ht="15.75" customHeight="1">
      <c r="M643" s="389" t="str">
        <f>IF('Bản đồ công việc'!X659="","",'Bản đồ công việc'!W659)</f>
        <v/>
      </c>
      <c r="N643" s="389" t="str">
        <f>IF('Bản đồ công việc'!X659="","",'Bản đồ công việc'!X659)</f>
        <v/>
      </c>
      <c r="O643" s="389" t="str">
        <f>IF('Bản đồ công việc'!X659="","",'Bản đồ công việc'!Y659)</f>
        <v/>
      </c>
      <c r="P643" s="389" t="str">
        <f>IF('Bản đồ công việc'!X659="","",'Bản đồ công việc'!V659)</f>
        <v/>
      </c>
      <c r="Q643" s="389" t="str">
        <f>IF('Bản đồ công việc'!X659="","",'Bản đồ công việc'!AC659)</f>
        <v/>
      </c>
      <c r="R643" s="389" t="str">
        <f>IF('Bản đồ công việc'!X659="","",'Bản đồ công việc'!AD659)</f>
        <v/>
      </c>
      <c r="S643" s="389" t="str">
        <f>IF('Bản đồ công việc'!X659="","",'Bản đồ công việc'!Z659)</f>
        <v/>
      </c>
      <c r="T643" s="389" t="str">
        <f>IF('Bản đồ công việc'!X659="","",'Bản đồ công việc'!AA659)</f>
        <v/>
      </c>
      <c r="U643" s="389" t="str">
        <f>IF('Bản đồ công việc'!X659="","",'Bản đồ công việc'!AE659)</f>
        <v/>
      </c>
      <c r="V643" s="389" t="str">
        <f>IF('Bản đồ công việc'!X659="","",'Bản đồ công việc'!AI659)</f>
        <v/>
      </c>
      <c r="W643" s="389">
        <f t="shared" si="2"/>
        <v>0</v>
      </c>
      <c r="X643" s="389" t="str">
        <f t="shared" si="3"/>
        <v/>
      </c>
      <c r="Y643" s="389" t="str">
        <f t="shared" ref="Y643:Z643" si="639">IFERROR(INDEX($O$8:$O$684,MATCH(X643,$N$8:$N$684,0)),"")</f>
        <v/>
      </c>
      <c r="Z643" s="389" t="str">
        <f t="shared" si="639"/>
        <v/>
      </c>
      <c r="AA643" s="389">
        <f t="shared" si="5"/>
        <v>0</v>
      </c>
    </row>
    <row r="644" ht="15.75" customHeight="1">
      <c r="M644" s="389" t="str">
        <f>IF('Bản đồ công việc'!X660="","",'Bản đồ công việc'!W660)</f>
        <v/>
      </c>
      <c r="N644" s="389" t="str">
        <f>IF('Bản đồ công việc'!X660="","",'Bản đồ công việc'!X660)</f>
        <v/>
      </c>
      <c r="O644" s="389" t="str">
        <f>IF('Bản đồ công việc'!X660="","",'Bản đồ công việc'!Y660)</f>
        <v/>
      </c>
      <c r="P644" s="389" t="str">
        <f>IF('Bản đồ công việc'!X660="","",'Bản đồ công việc'!V660)</f>
        <v/>
      </c>
      <c r="Q644" s="389" t="str">
        <f>IF('Bản đồ công việc'!X660="","",'Bản đồ công việc'!AC660)</f>
        <v/>
      </c>
      <c r="R644" s="389" t="str">
        <f>IF('Bản đồ công việc'!X660="","",'Bản đồ công việc'!AD660)</f>
        <v/>
      </c>
      <c r="S644" s="389" t="str">
        <f>IF('Bản đồ công việc'!X660="","",'Bản đồ công việc'!Z660)</f>
        <v/>
      </c>
      <c r="T644" s="389" t="str">
        <f>IF('Bản đồ công việc'!X660="","",'Bản đồ công việc'!AA660)</f>
        <v/>
      </c>
      <c r="U644" s="389" t="str">
        <f>IF('Bản đồ công việc'!X660="","",'Bản đồ công việc'!AE660)</f>
        <v/>
      </c>
      <c r="V644" s="389" t="str">
        <f>IF('Bản đồ công việc'!X660="","",'Bản đồ công việc'!AI660)</f>
        <v/>
      </c>
      <c r="W644" s="389">
        <f t="shared" si="2"/>
        <v>0</v>
      </c>
      <c r="X644" s="389" t="str">
        <f t="shared" si="3"/>
        <v/>
      </c>
      <c r="Y644" s="389" t="str">
        <f t="shared" ref="Y644:Z644" si="640">IFERROR(INDEX($O$8:$O$684,MATCH(X644,$N$8:$N$684,0)),"")</f>
        <v/>
      </c>
      <c r="Z644" s="389" t="str">
        <f t="shared" si="640"/>
        <v/>
      </c>
      <c r="AA644" s="389">
        <f t="shared" si="5"/>
        <v>0</v>
      </c>
    </row>
    <row r="645" ht="15.75" customHeight="1">
      <c r="M645" s="389" t="str">
        <f>IF('Bản đồ công việc'!X661="","",'Bản đồ công việc'!W661)</f>
        <v/>
      </c>
      <c r="N645" s="389" t="str">
        <f>IF('Bản đồ công việc'!X661="","",'Bản đồ công việc'!X661)</f>
        <v/>
      </c>
      <c r="O645" s="389" t="str">
        <f>IF('Bản đồ công việc'!X661="","",'Bản đồ công việc'!Y661)</f>
        <v/>
      </c>
      <c r="P645" s="389" t="str">
        <f>IF('Bản đồ công việc'!X661="","",'Bản đồ công việc'!V661)</f>
        <v/>
      </c>
      <c r="Q645" s="389" t="str">
        <f>IF('Bản đồ công việc'!X661="","",'Bản đồ công việc'!AC661)</f>
        <v/>
      </c>
      <c r="R645" s="389" t="str">
        <f>IF('Bản đồ công việc'!X661="","",'Bản đồ công việc'!AD661)</f>
        <v/>
      </c>
      <c r="S645" s="389" t="str">
        <f>IF('Bản đồ công việc'!X661="","",'Bản đồ công việc'!Z661)</f>
        <v/>
      </c>
      <c r="T645" s="389" t="str">
        <f>IF('Bản đồ công việc'!X661="","",'Bản đồ công việc'!AA661)</f>
        <v/>
      </c>
      <c r="U645" s="389" t="str">
        <f>IF('Bản đồ công việc'!X661="","",'Bản đồ công việc'!AE661)</f>
        <v/>
      </c>
      <c r="V645" s="389" t="str">
        <f>IF('Bản đồ công việc'!X661="","",'Bản đồ công việc'!AI661)</f>
        <v/>
      </c>
      <c r="W645" s="389">
        <f t="shared" si="2"/>
        <v>0</v>
      </c>
      <c r="X645" s="389" t="str">
        <f t="shared" si="3"/>
        <v/>
      </c>
      <c r="Y645" s="389" t="str">
        <f t="shared" ref="Y645:Z645" si="641">IFERROR(INDEX($O$8:$O$684,MATCH(X645,$N$8:$N$684,0)),"")</f>
        <v/>
      </c>
      <c r="Z645" s="389" t="str">
        <f t="shared" si="641"/>
        <v/>
      </c>
      <c r="AA645" s="389">
        <f t="shared" si="5"/>
        <v>0</v>
      </c>
    </row>
    <row r="646" ht="15.75" customHeight="1">
      <c r="M646" s="389" t="str">
        <f>IF('Bản đồ công việc'!X662="","",'Bản đồ công việc'!W662)</f>
        <v/>
      </c>
      <c r="N646" s="389" t="str">
        <f>IF('Bản đồ công việc'!X662="","",'Bản đồ công việc'!X662)</f>
        <v/>
      </c>
      <c r="O646" s="389" t="str">
        <f>IF('Bản đồ công việc'!X662="","",'Bản đồ công việc'!Y662)</f>
        <v/>
      </c>
      <c r="P646" s="389" t="str">
        <f>IF('Bản đồ công việc'!X662="","",'Bản đồ công việc'!V662)</f>
        <v/>
      </c>
      <c r="Q646" s="389" t="str">
        <f>IF('Bản đồ công việc'!X662="","",'Bản đồ công việc'!AC662)</f>
        <v/>
      </c>
      <c r="R646" s="389" t="str">
        <f>IF('Bản đồ công việc'!X662="","",'Bản đồ công việc'!AD662)</f>
        <v/>
      </c>
      <c r="S646" s="389" t="str">
        <f>IF('Bản đồ công việc'!X662="","",'Bản đồ công việc'!Z662)</f>
        <v/>
      </c>
      <c r="T646" s="389" t="str">
        <f>IF('Bản đồ công việc'!X662="","",'Bản đồ công việc'!AA662)</f>
        <v/>
      </c>
      <c r="U646" s="389" t="str">
        <f>IF('Bản đồ công việc'!X662="","",'Bản đồ công việc'!AE662)</f>
        <v/>
      </c>
      <c r="V646" s="389" t="str">
        <f>IF('Bản đồ công việc'!X662="","",'Bản đồ công việc'!AI662)</f>
        <v/>
      </c>
      <c r="W646" s="389">
        <f t="shared" si="2"/>
        <v>0</v>
      </c>
      <c r="X646" s="389" t="str">
        <f t="shared" si="3"/>
        <v/>
      </c>
      <c r="Y646" s="389" t="str">
        <f t="shared" ref="Y646:Z646" si="642">IFERROR(INDEX($O$8:$O$684,MATCH(X646,$N$8:$N$684,0)),"")</f>
        <v/>
      </c>
      <c r="Z646" s="389" t="str">
        <f t="shared" si="642"/>
        <v/>
      </c>
      <c r="AA646" s="389">
        <f t="shared" si="5"/>
        <v>0</v>
      </c>
    </row>
    <row r="647" ht="15.75" customHeight="1">
      <c r="M647" s="389" t="str">
        <f>IF('Bản đồ công việc'!X663="","",'Bản đồ công việc'!W663)</f>
        <v/>
      </c>
      <c r="N647" s="389" t="str">
        <f>IF('Bản đồ công việc'!X663="","",'Bản đồ công việc'!X663)</f>
        <v/>
      </c>
      <c r="O647" s="389" t="str">
        <f>IF('Bản đồ công việc'!X663="","",'Bản đồ công việc'!Y663)</f>
        <v/>
      </c>
      <c r="P647" s="389" t="str">
        <f>IF('Bản đồ công việc'!X663="","",'Bản đồ công việc'!V663)</f>
        <v/>
      </c>
      <c r="Q647" s="389" t="str">
        <f>IF('Bản đồ công việc'!X663="","",'Bản đồ công việc'!AC663)</f>
        <v/>
      </c>
      <c r="R647" s="389" t="str">
        <f>IF('Bản đồ công việc'!X663="","",'Bản đồ công việc'!AD663)</f>
        <v/>
      </c>
      <c r="S647" s="389" t="str">
        <f>IF('Bản đồ công việc'!X663="","",'Bản đồ công việc'!Z663)</f>
        <v/>
      </c>
      <c r="T647" s="389" t="str">
        <f>IF('Bản đồ công việc'!X663="","",'Bản đồ công việc'!AA663)</f>
        <v/>
      </c>
      <c r="U647" s="389" t="str">
        <f>IF('Bản đồ công việc'!X663="","",'Bản đồ công việc'!AE663)</f>
        <v/>
      </c>
      <c r="V647" s="389" t="str">
        <f>IF('Bản đồ công việc'!X663="","",'Bản đồ công việc'!AI663)</f>
        <v/>
      </c>
      <c r="W647" s="389">
        <f t="shared" si="2"/>
        <v>0</v>
      </c>
      <c r="X647" s="389" t="str">
        <f t="shared" si="3"/>
        <v/>
      </c>
      <c r="Y647" s="389" t="str">
        <f t="shared" ref="Y647:Z647" si="643">IFERROR(INDEX($O$8:$O$684,MATCH(X647,$N$8:$N$684,0)),"")</f>
        <v/>
      </c>
      <c r="Z647" s="389" t="str">
        <f t="shared" si="643"/>
        <v/>
      </c>
      <c r="AA647" s="389">
        <f t="shared" si="5"/>
        <v>0</v>
      </c>
    </row>
    <row r="648" ht="15.75" customHeight="1">
      <c r="M648" s="389" t="str">
        <f>IF('Bản đồ công việc'!X664="","",'Bản đồ công việc'!W664)</f>
        <v/>
      </c>
      <c r="N648" s="389" t="str">
        <f>IF('Bản đồ công việc'!X664="","",'Bản đồ công việc'!X664)</f>
        <v/>
      </c>
      <c r="O648" s="389" t="str">
        <f>IF('Bản đồ công việc'!X664="","",'Bản đồ công việc'!Y664)</f>
        <v/>
      </c>
      <c r="P648" s="389" t="str">
        <f>IF('Bản đồ công việc'!X664="","",'Bản đồ công việc'!V664)</f>
        <v/>
      </c>
      <c r="Q648" s="389" t="str">
        <f>IF('Bản đồ công việc'!X664="","",'Bản đồ công việc'!AC664)</f>
        <v/>
      </c>
      <c r="R648" s="389" t="str">
        <f>IF('Bản đồ công việc'!X664="","",'Bản đồ công việc'!AD664)</f>
        <v/>
      </c>
      <c r="S648" s="389" t="str">
        <f>IF('Bản đồ công việc'!X664="","",'Bản đồ công việc'!Z664)</f>
        <v/>
      </c>
      <c r="T648" s="389" t="str">
        <f>IF('Bản đồ công việc'!X664="","",'Bản đồ công việc'!AA664)</f>
        <v/>
      </c>
      <c r="U648" s="389" t="str">
        <f>IF('Bản đồ công việc'!X664="","",'Bản đồ công việc'!AE664)</f>
        <v/>
      </c>
      <c r="V648" s="389" t="str">
        <f>IF('Bản đồ công việc'!X664="","",'Bản đồ công việc'!AI664)</f>
        <v/>
      </c>
      <c r="W648" s="389">
        <f t="shared" si="2"/>
        <v>0</v>
      </c>
      <c r="X648" s="389" t="str">
        <f t="shared" si="3"/>
        <v/>
      </c>
      <c r="Y648" s="389" t="str">
        <f t="shared" ref="Y648:Z648" si="644">IFERROR(INDEX($O$8:$O$684,MATCH(X648,$N$8:$N$684,0)),"")</f>
        <v/>
      </c>
      <c r="Z648" s="389" t="str">
        <f t="shared" si="644"/>
        <v/>
      </c>
      <c r="AA648" s="389">
        <f t="shared" si="5"/>
        <v>0</v>
      </c>
    </row>
    <row r="649" ht="15.75" customHeight="1">
      <c r="M649" s="389" t="str">
        <f>IF('Bản đồ công việc'!X665="","",'Bản đồ công việc'!W665)</f>
        <v/>
      </c>
      <c r="N649" s="389" t="str">
        <f>IF('Bản đồ công việc'!X665="","",'Bản đồ công việc'!X665)</f>
        <v/>
      </c>
      <c r="O649" s="389" t="str">
        <f>IF('Bản đồ công việc'!X665="","",'Bản đồ công việc'!Y665)</f>
        <v/>
      </c>
      <c r="P649" s="389" t="str">
        <f>IF('Bản đồ công việc'!X665="","",'Bản đồ công việc'!V665)</f>
        <v/>
      </c>
      <c r="Q649" s="389" t="str">
        <f>IF('Bản đồ công việc'!X665="","",'Bản đồ công việc'!AC665)</f>
        <v/>
      </c>
      <c r="R649" s="389" t="str">
        <f>IF('Bản đồ công việc'!X665="","",'Bản đồ công việc'!AD665)</f>
        <v/>
      </c>
      <c r="S649" s="389" t="str">
        <f>IF('Bản đồ công việc'!X665="","",'Bản đồ công việc'!Z665)</f>
        <v/>
      </c>
      <c r="T649" s="389" t="str">
        <f>IF('Bản đồ công việc'!X665="","",'Bản đồ công việc'!AA665)</f>
        <v/>
      </c>
      <c r="U649" s="389" t="str">
        <f>IF('Bản đồ công việc'!X665="","",'Bản đồ công việc'!AE665)</f>
        <v/>
      </c>
      <c r="V649" s="389" t="str">
        <f>IF('Bản đồ công việc'!X665="","",'Bản đồ công việc'!AI665)</f>
        <v/>
      </c>
      <c r="W649" s="389">
        <f t="shared" si="2"/>
        <v>0</v>
      </c>
      <c r="X649" s="389" t="str">
        <f t="shared" si="3"/>
        <v/>
      </c>
      <c r="Y649" s="389" t="str">
        <f t="shared" ref="Y649:Z649" si="645">IFERROR(INDEX($O$8:$O$684,MATCH(X649,$N$8:$N$684,0)),"")</f>
        <v/>
      </c>
      <c r="Z649" s="389" t="str">
        <f t="shared" si="645"/>
        <v/>
      </c>
      <c r="AA649" s="389">
        <f t="shared" si="5"/>
        <v>0</v>
      </c>
    </row>
    <row r="650" ht="15.75" customHeight="1">
      <c r="M650" s="389" t="str">
        <f>IF('Bản đồ công việc'!X666="","",'Bản đồ công việc'!W666)</f>
        <v/>
      </c>
      <c r="N650" s="389" t="str">
        <f>IF('Bản đồ công việc'!X666="","",'Bản đồ công việc'!X666)</f>
        <v/>
      </c>
      <c r="O650" s="389" t="str">
        <f>IF('Bản đồ công việc'!X666="","",'Bản đồ công việc'!Y666)</f>
        <v/>
      </c>
      <c r="P650" s="389" t="str">
        <f>IF('Bản đồ công việc'!X666="","",'Bản đồ công việc'!V666)</f>
        <v/>
      </c>
      <c r="Q650" s="389" t="str">
        <f>IF('Bản đồ công việc'!X666="","",'Bản đồ công việc'!AC666)</f>
        <v/>
      </c>
      <c r="R650" s="389" t="str">
        <f>IF('Bản đồ công việc'!X666="","",'Bản đồ công việc'!AD666)</f>
        <v/>
      </c>
      <c r="S650" s="389" t="str">
        <f>IF('Bản đồ công việc'!X666="","",'Bản đồ công việc'!Z666)</f>
        <v/>
      </c>
      <c r="T650" s="389" t="str">
        <f>IF('Bản đồ công việc'!X666="","",'Bản đồ công việc'!AA666)</f>
        <v/>
      </c>
      <c r="U650" s="389" t="str">
        <f>IF('Bản đồ công việc'!X666="","",'Bản đồ công việc'!AE666)</f>
        <v/>
      </c>
      <c r="V650" s="389" t="str">
        <f>IF('Bản đồ công việc'!X666="","",'Bản đồ công việc'!AI666)</f>
        <v/>
      </c>
      <c r="W650" s="389">
        <f t="shared" si="2"/>
        <v>0</v>
      </c>
      <c r="X650" s="389" t="str">
        <f t="shared" si="3"/>
        <v/>
      </c>
      <c r="Y650" s="389" t="str">
        <f t="shared" ref="Y650:Z650" si="646">IFERROR(INDEX($O$8:$O$684,MATCH(X650,$N$8:$N$684,0)),"")</f>
        <v/>
      </c>
      <c r="Z650" s="389" t="str">
        <f t="shared" si="646"/>
        <v/>
      </c>
      <c r="AA650" s="389">
        <f t="shared" si="5"/>
        <v>0</v>
      </c>
    </row>
    <row r="651" ht="15.75" customHeight="1">
      <c r="M651" s="389" t="str">
        <f>IF('Bản đồ công việc'!X667="","",'Bản đồ công việc'!W667)</f>
        <v/>
      </c>
      <c r="N651" s="389" t="str">
        <f>IF('Bản đồ công việc'!X667="","",'Bản đồ công việc'!X667)</f>
        <v/>
      </c>
      <c r="O651" s="389" t="str">
        <f>IF('Bản đồ công việc'!X667="","",'Bản đồ công việc'!Y667)</f>
        <v/>
      </c>
      <c r="P651" s="389" t="str">
        <f>IF('Bản đồ công việc'!X667="","",'Bản đồ công việc'!V667)</f>
        <v/>
      </c>
      <c r="Q651" s="389" t="str">
        <f>IF('Bản đồ công việc'!X667="","",'Bản đồ công việc'!AC667)</f>
        <v/>
      </c>
      <c r="R651" s="389" t="str">
        <f>IF('Bản đồ công việc'!X667="","",'Bản đồ công việc'!AD667)</f>
        <v/>
      </c>
      <c r="S651" s="389" t="str">
        <f>IF('Bản đồ công việc'!X667="","",'Bản đồ công việc'!Z667)</f>
        <v/>
      </c>
      <c r="T651" s="389" t="str">
        <f>IF('Bản đồ công việc'!X667="","",'Bản đồ công việc'!AA667)</f>
        <v/>
      </c>
      <c r="U651" s="389" t="str">
        <f>IF('Bản đồ công việc'!X667="","",'Bản đồ công việc'!AE667)</f>
        <v/>
      </c>
      <c r="V651" s="389" t="str">
        <f>IF('Bản đồ công việc'!X667="","",'Bản đồ công việc'!AI667)</f>
        <v/>
      </c>
      <c r="W651" s="389">
        <f t="shared" si="2"/>
        <v>0</v>
      </c>
      <c r="X651" s="389" t="str">
        <f t="shared" si="3"/>
        <v/>
      </c>
      <c r="Y651" s="389" t="str">
        <f t="shared" ref="Y651:Z651" si="647">IFERROR(INDEX($O$8:$O$684,MATCH(X651,$N$8:$N$684,0)),"")</f>
        <v/>
      </c>
      <c r="Z651" s="389" t="str">
        <f t="shared" si="647"/>
        <v/>
      </c>
      <c r="AA651" s="389">
        <f t="shared" si="5"/>
        <v>0</v>
      </c>
    </row>
    <row r="652" ht="15.75" customHeight="1">
      <c r="M652" s="389" t="str">
        <f>IF('Bản đồ công việc'!X668="","",'Bản đồ công việc'!W668)</f>
        <v/>
      </c>
      <c r="N652" s="389" t="str">
        <f>IF('Bản đồ công việc'!X668="","",'Bản đồ công việc'!X668)</f>
        <v/>
      </c>
      <c r="O652" s="389" t="str">
        <f>IF('Bản đồ công việc'!X668="","",'Bản đồ công việc'!Y668)</f>
        <v/>
      </c>
      <c r="P652" s="389" t="str">
        <f>IF('Bản đồ công việc'!X668="","",'Bản đồ công việc'!V668)</f>
        <v/>
      </c>
      <c r="Q652" s="389" t="str">
        <f>IF('Bản đồ công việc'!X668="","",'Bản đồ công việc'!AC668)</f>
        <v/>
      </c>
      <c r="R652" s="389" t="str">
        <f>IF('Bản đồ công việc'!X668="","",'Bản đồ công việc'!AD668)</f>
        <v/>
      </c>
      <c r="S652" s="389" t="str">
        <f>IF('Bản đồ công việc'!X668="","",'Bản đồ công việc'!Z668)</f>
        <v/>
      </c>
      <c r="T652" s="389" t="str">
        <f>IF('Bản đồ công việc'!X668="","",'Bản đồ công việc'!AA668)</f>
        <v/>
      </c>
      <c r="U652" s="389" t="str">
        <f>IF('Bản đồ công việc'!X668="","",'Bản đồ công việc'!AE668)</f>
        <v/>
      </c>
      <c r="V652" s="389" t="str">
        <f>IF('Bản đồ công việc'!X668="","",'Bản đồ công việc'!AI668)</f>
        <v/>
      </c>
      <c r="W652" s="389">
        <f t="shared" si="2"/>
        <v>0</v>
      </c>
      <c r="X652" s="389" t="str">
        <f t="shared" si="3"/>
        <v/>
      </c>
      <c r="Y652" s="389" t="str">
        <f t="shared" ref="Y652:Z652" si="648">IFERROR(INDEX($O$8:$O$684,MATCH(X652,$N$8:$N$684,0)),"")</f>
        <v/>
      </c>
      <c r="Z652" s="389" t="str">
        <f t="shared" si="648"/>
        <v/>
      </c>
      <c r="AA652" s="389">
        <f t="shared" si="5"/>
        <v>0</v>
      </c>
    </row>
    <row r="653" ht="15.75" customHeight="1">
      <c r="M653" s="389" t="str">
        <f>IF('Bản đồ công việc'!X669="","",'Bản đồ công việc'!W669)</f>
        <v/>
      </c>
      <c r="N653" s="389" t="str">
        <f>IF('Bản đồ công việc'!X669="","",'Bản đồ công việc'!X669)</f>
        <v/>
      </c>
      <c r="O653" s="389" t="str">
        <f>IF('Bản đồ công việc'!X669="","",'Bản đồ công việc'!Y669)</f>
        <v/>
      </c>
      <c r="P653" s="389" t="str">
        <f>IF('Bản đồ công việc'!X669="","",'Bản đồ công việc'!V669)</f>
        <v/>
      </c>
      <c r="Q653" s="389" t="str">
        <f>IF('Bản đồ công việc'!X669="","",'Bản đồ công việc'!AC669)</f>
        <v/>
      </c>
      <c r="R653" s="389" t="str">
        <f>IF('Bản đồ công việc'!X669="","",'Bản đồ công việc'!AD669)</f>
        <v/>
      </c>
      <c r="S653" s="389" t="str">
        <f>IF('Bản đồ công việc'!X669="","",'Bản đồ công việc'!Z669)</f>
        <v/>
      </c>
      <c r="T653" s="389" t="str">
        <f>IF('Bản đồ công việc'!X669="","",'Bản đồ công việc'!AA669)</f>
        <v/>
      </c>
      <c r="U653" s="389" t="str">
        <f>IF('Bản đồ công việc'!X669="","",'Bản đồ công việc'!AE669)</f>
        <v/>
      </c>
      <c r="V653" s="389" t="str">
        <f>IF('Bản đồ công việc'!X669="","",'Bản đồ công việc'!AI669)</f>
        <v/>
      </c>
      <c r="W653" s="389">
        <f t="shared" si="2"/>
        <v>0</v>
      </c>
      <c r="X653" s="389" t="str">
        <f t="shared" si="3"/>
        <v/>
      </c>
      <c r="Y653" s="389" t="str">
        <f t="shared" ref="Y653:Z653" si="649">IFERROR(INDEX($O$8:$O$684,MATCH(X653,$N$8:$N$684,0)),"")</f>
        <v/>
      </c>
      <c r="Z653" s="389" t="str">
        <f t="shared" si="649"/>
        <v/>
      </c>
      <c r="AA653" s="389">
        <f t="shared" si="5"/>
        <v>0</v>
      </c>
    </row>
    <row r="654" ht="15.75" customHeight="1">
      <c r="M654" s="389" t="str">
        <f>IF('Bản đồ công việc'!X670="","",'Bản đồ công việc'!W670)</f>
        <v/>
      </c>
      <c r="N654" s="389" t="str">
        <f>IF('Bản đồ công việc'!X670="","",'Bản đồ công việc'!X670)</f>
        <v/>
      </c>
      <c r="O654" s="389" t="str">
        <f>IF('Bản đồ công việc'!X670="","",'Bản đồ công việc'!Y670)</f>
        <v/>
      </c>
      <c r="P654" s="389" t="str">
        <f>IF('Bản đồ công việc'!X670="","",'Bản đồ công việc'!V670)</f>
        <v/>
      </c>
      <c r="Q654" s="389" t="str">
        <f>IF('Bản đồ công việc'!X670="","",'Bản đồ công việc'!AC670)</f>
        <v/>
      </c>
      <c r="R654" s="389" t="str">
        <f>IF('Bản đồ công việc'!X670="","",'Bản đồ công việc'!AD670)</f>
        <v/>
      </c>
      <c r="S654" s="389" t="str">
        <f>IF('Bản đồ công việc'!X670="","",'Bản đồ công việc'!Z670)</f>
        <v/>
      </c>
      <c r="T654" s="389" t="str">
        <f>IF('Bản đồ công việc'!X670="","",'Bản đồ công việc'!AA670)</f>
        <v/>
      </c>
      <c r="U654" s="389" t="str">
        <f>IF('Bản đồ công việc'!X670="","",'Bản đồ công việc'!AE670)</f>
        <v/>
      </c>
      <c r="V654" s="389" t="str">
        <f>IF('Bản đồ công việc'!X670="","",'Bản đồ công việc'!AI670)</f>
        <v/>
      </c>
      <c r="W654" s="389">
        <f t="shared" si="2"/>
        <v>0</v>
      </c>
      <c r="X654" s="389" t="str">
        <f t="shared" si="3"/>
        <v/>
      </c>
      <c r="Y654" s="389" t="str">
        <f t="shared" ref="Y654:Z654" si="650">IFERROR(INDEX($O$8:$O$684,MATCH(X654,$N$8:$N$684,0)),"")</f>
        <v/>
      </c>
      <c r="Z654" s="389" t="str">
        <f t="shared" si="650"/>
        <v/>
      </c>
      <c r="AA654" s="389">
        <f t="shared" si="5"/>
        <v>0</v>
      </c>
    </row>
    <row r="655" ht="15.75" customHeight="1">
      <c r="M655" s="389" t="str">
        <f>IF('Bản đồ công việc'!X671="","",'Bản đồ công việc'!W671)</f>
        <v/>
      </c>
      <c r="N655" s="389" t="str">
        <f>IF('Bản đồ công việc'!X671="","",'Bản đồ công việc'!X671)</f>
        <v/>
      </c>
      <c r="O655" s="389" t="str">
        <f>IF('Bản đồ công việc'!X671="","",'Bản đồ công việc'!Y671)</f>
        <v/>
      </c>
      <c r="P655" s="389" t="str">
        <f>IF('Bản đồ công việc'!X671="","",'Bản đồ công việc'!V671)</f>
        <v/>
      </c>
      <c r="Q655" s="389" t="str">
        <f>IF('Bản đồ công việc'!X671="","",'Bản đồ công việc'!AC671)</f>
        <v/>
      </c>
      <c r="R655" s="389" t="str">
        <f>IF('Bản đồ công việc'!X671="","",'Bản đồ công việc'!AD671)</f>
        <v/>
      </c>
      <c r="S655" s="389" t="str">
        <f>IF('Bản đồ công việc'!X671="","",'Bản đồ công việc'!Z671)</f>
        <v/>
      </c>
      <c r="T655" s="389" t="str">
        <f>IF('Bản đồ công việc'!X671="","",'Bản đồ công việc'!AA671)</f>
        <v/>
      </c>
      <c r="U655" s="389" t="str">
        <f>IF('Bản đồ công việc'!X671="","",'Bản đồ công việc'!AE671)</f>
        <v/>
      </c>
      <c r="V655" s="389" t="str">
        <f>IF('Bản đồ công việc'!X671="","",'Bản đồ công việc'!AI671)</f>
        <v/>
      </c>
      <c r="W655" s="389">
        <f t="shared" si="2"/>
        <v>0</v>
      </c>
      <c r="X655" s="389" t="str">
        <f t="shared" si="3"/>
        <v/>
      </c>
      <c r="Y655" s="389" t="str">
        <f t="shared" ref="Y655:Z655" si="651">IFERROR(INDEX($O$8:$O$684,MATCH(X655,$N$8:$N$684,0)),"")</f>
        <v/>
      </c>
      <c r="Z655" s="389" t="str">
        <f t="shared" si="651"/>
        <v/>
      </c>
      <c r="AA655" s="389">
        <f t="shared" si="5"/>
        <v>0</v>
      </c>
    </row>
    <row r="656" ht="15.75" customHeight="1">
      <c r="M656" s="389" t="str">
        <f>IF('Bản đồ công việc'!X672="","",'Bản đồ công việc'!W672)</f>
        <v/>
      </c>
      <c r="N656" s="389" t="str">
        <f>IF('Bản đồ công việc'!X672="","",'Bản đồ công việc'!X672)</f>
        <v/>
      </c>
      <c r="O656" s="389" t="str">
        <f>IF('Bản đồ công việc'!X672="","",'Bản đồ công việc'!Y672)</f>
        <v/>
      </c>
      <c r="P656" s="389" t="str">
        <f>IF('Bản đồ công việc'!X672="","",'Bản đồ công việc'!V672)</f>
        <v/>
      </c>
      <c r="Q656" s="389" t="str">
        <f>IF('Bản đồ công việc'!X672="","",'Bản đồ công việc'!AC672)</f>
        <v/>
      </c>
      <c r="R656" s="389" t="str">
        <f>IF('Bản đồ công việc'!X672="","",'Bản đồ công việc'!AD672)</f>
        <v/>
      </c>
      <c r="S656" s="389" t="str">
        <f>IF('Bản đồ công việc'!X672="","",'Bản đồ công việc'!Z672)</f>
        <v/>
      </c>
      <c r="T656" s="389" t="str">
        <f>IF('Bản đồ công việc'!X672="","",'Bản đồ công việc'!AA672)</f>
        <v/>
      </c>
      <c r="U656" s="389" t="str">
        <f>IF('Bản đồ công việc'!X672="","",'Bản đồ công việc'!AE672)</f>
        <v/>
      </c>
      <c r="V656" s="389" t="str">
        <f>IF('Bản đồ công việc'!X672="","",'Bản đồ công việc'!AI672)</f>
        <v/>
      </c>
      <c r="W656" s="389">
        <f t="shared" si="2"/>
        <v>0</v>
      </c>
      <c r="X656" s="389" t="str">
        <f t="shared" si="3"/>
        <v/>
      </c>
      <c r="Y656" s="389" t="str">
        <f t="shared" ref="Y656:Z656" si="652">IFERROR(INDEX($O$8:$O$684,MATCH(X656,$N$8:$N$684,0)),"")</f>
        <v/>
      </c>
      <c r="Z656" s="389" t="str">
        <f t="shared" si="652"/>
        <v/>
      </c>
      <c r="AA656" s="389">
        <f t="shared" si="5"/>
        <v>0</v>
      </c>
    </row>
    <row r="657" ht="15.75" customHeight="1">
      <c r="M657" s="389" t="str">
        <f>IF('Bản đồ công việc'!X673="","",'Bản đồ công việc'!W673)</f>
        <v/>
      </c>
      <c r="N657" s="389" t="str">
        <f>IF('Bản đồ công việc'!X673="","",'Bản đồ công việc'!X673)</f>
        <v/>
      </c>
      <c r="O657" s="389" t="str">
        <f>IF('Bản đồ công việc'!X673="","",'Bản đồ công việc'!Y673)</f>
        <v/>
      </c>
      <c r="P657" s="389" t="str">
        <f>IF('Bản đồ công việc'!X673="","",'Bản đồ công việc'!V673)</f>
        <v/>
      </c>
      <c r="Q657" s="389" t="str">
        <f>IF('Bản đồ công việc'!X673="","",'Bản đồ công việc'!AC673)</f>
        <v/>
      </c>
      <c r="R657" s="389" t="str">
        <f>IF('Bản đồ công việc'!X673="","",'Bản đồ công việc'!AD673)</f>
        <v/>
      </c>
      <c r="S657" s="389" t="str">
        <f>IF('Bản đồ công việc'!X673="","",'Bản đồ công việc'!Z673)</f>
        <v/>
      </c>
      <c r="T657" s="389" t="str">
        <f>IF('Bản đồ công việc'!X673="","",'Bản đồ công việc'!AA673)</f>
        <v/>
      </c>
      <c r="U657" s="389" t="str">
        <f>IF('Bản đồ công việc'!X673="","",'Bản đồ công việc'!AE673)</f>
        <v/>
      </c>
      <c r="V657" s="389" t="str">
        <f>IF('Bản đồ công việc'!X673="","",'Bản đồ công việc'!AI673)</f>
        <v/>
      </c>
      <c r="W657" s="389">
        <f t="shared" si="2"/>
        <v>0</v>
      </c>
      <c r="X657" s="389" t="str">
        <f t="shared" si="3"/>
        <v/>
      </c>
      <c r="Y657" s="389" t="str">
        <f t="shared" ref="Y657:Z657" si="653">IFERROR(INDEX($O$8:$O$684,MATCH(X657,$N$8:$N$684,0)),"")</f>
        <v/>
      </c>
      <c r="Z657" s="389" t="str">
        <f t="shared" si="653"/>
        <v/>
      </c>
      <c r="AA657" s="389">
        <f t="shared" si="5"/>
        <v>0</v>
      </c>
    </row>
    <row r="658" ht="15.75" customHeight="1">
      <c r="M658" s="389" t="str">
        <f>IF('Bản đồ công việc'!X674="","",'Bản đồ công việc'!W674)</f>
        <v/>
      </c>
      <c r="N658" s="389" t="str">
        <f>IF('Bản đồ công việc'!X674="","",'Bản đồ công việc'!X674)</f>
        <v/>
      </c>
      <c r="O658" s="389" t="str">
        <f>IF('Bản đồ công việc'!X674="","",'Bản đồ công việc'!Y674)</f>
        <v/>
      </c>
      <c r="P658" s="389" t="str">
        <f>IF('Bản đồ công việc'!X674="","",'Bản đồ công việc'!V674)</f>
        <v/>
      </c>
      <c r="Q658" s="389" t="str">
        <f>IF('Bản đồ công việc'!X674="","",'Bản đồ công việc'!AC674)</f>
        <v/>
      </c>
      <c r="R658" s="389" t="str">
        <f>IF('Bản đồ công việc'!X674="","",'Bản đồ công việc'!AD674)</f>
        <v/>
      </c>
      <c r="S658" s="389" t="str">
        <f>IF('Bản đồ công việc'!X674="","",'Bản đồ công việc'!Z674)</f>
        <v/>
      </c>
      <c r="T658" s="389" t="str">
        <f>IF('Bản đồ công việc'!X674="","",'Bản đồ công việc'!AA674)</f>
        <v/>
      </c>
      <c r="U658" s="389" t="str">
        <f>IF('Bản đồ công việc'!X674="","",'Bản đồ công việc'!AE674)</f>
        <v/>
      </c>
      <c r="V658" s="389" t="str">
        <f>IF('Bản đồ công việc'!X674="","",'Bản đồ công việc'!AI674)</f>
        <v/>
      </c>
      <c r="W658" s="389">
        <f t="shared" si="2"/>
        <v>0</v>
      </c>
      <c r="X658" s="389" t="str">
        <f t="shared" si="3"/>
        <v/>
      </c>
      <c r="Y658" s="389" t="str">
        <f t="shared" ref="Y658:Z658" si="654">IFERROR(INDEX($O$8:$O$684,MATCH(X658,$N$8:$N$684,0)),"")</f>
        <v/>
      </c>
      <c r="Z658" s="389" t="str">
        <f t="shared" si="654"/>
        <v/>
      </c>
      <c r="AA658" s="389">
        <f t="shared" si="5"/>
        <v>0</v>
      </c>
    </row>
    <row r="659" ht="15.75" customHeight="1">
      <c r="M659" s="389" t="str">
        <f>IF('Bản đồ công việc'!X675="","",'Bản đồ công việc'!W675)</f>
        <v/>
      </c>
      <c r="N659" s="389" t="str">
        <f>IF('Bản đồ công việc'!X675="","",'Bản đồ công việc'!X675)</f>
        <v/>
      </c>
      <c r="O659" s="389" t="str">
        <f>IF('Bản đồ công việc'!X675="","",'Bản đồ công việc'!Y675)</f>
        <v/>
      </c>
      <c r="P659" s="389" t="str">
        <f>IF('Bản đồ công việc'!X675="","",'Bản đồ công việc'!V675)</f>
        <v/>
      </c>
      <c r="Q659" s="389" t="str">
        <f>IF('Bản đồ công việc'!X675="","",'Bản đồ công việc'!AC675)</f>
        <v/>
      </c>
      <c r="R659" s="389" t="str">
        <f>IF('Bản đồ công việc'!X675="","",'Bản đồ công việc'!AD675)</f>
        <v/>
      </c>
      <c r="S659" s="389" t="str">
        <f>IF('Bản đồ công việc'!X675="","",'Bản đồ công việc'!Z675)</f>
        <v/>
      </c>
      <c r="T659" s="389" t="str">
        <f>IF('Bản đồ công việc'!X675="","",'Bản đồ công việc'!AA675)</f>
        <v/>
      </c>
      <c r="U659" s="389" t="str">
        <f>IF('Bản đồ công việc'!X675="","",'Bản đồ công việc'!AE675)</f>
        <v/>
      </c>
      <c r="V659" s="389" t="str">
        <f>IF('Bản đồ công việc'!X675="","",'Bản đồ công việc'!AI675)</f>
        <v/>
      </c>
      <c r="W659" s="389">
        <f t="shared" si="2"/>
        <v>0</v>
      </c>
      <c r="X659" s="389" t="str">
        <f t="shared" si="3"/>
        <v/>
      </c>
      <c r="Y659" s="389" t="str">
        <f t="shared" ref="Y659:Z659" si="655">IFERROR(INDEX($O$8:$O$684,MATCH(X659,$N$8:$N$684,0)),"")</f>
        <v/>
      </c>
      <c r="Z659" s="389" t="str">
        <f t="shared" si="655"/>
        <v/>
      </c>
      <c r="AA659" s="389">
        <f t="shared" si="5"/>
        <v>0</v>
      </c>
    </row>
    <row r="660" ht="15.75" customHeight="1">
      <c r="M660" s="389" t="str">
        <f>IF('Bản đồ công việc'!X676="","",'Bản đồ công việc'!W676)</f>
        <v/>
      </c>
      <c r="N660" s="389" t="str">
        <f>IF('Bản đồ công việc'!X676="","",'Bản đồ công việc'!X676)</f>
        <v/>
      </c>
      <c r="O660" s="389" t="str">
        <f>IF('Bản đồ công việc'!X676="","",'Bản đồ công việc'!Y676)</f>
        <v/>
      </c>
      <c r="P660" s="389" t="str">
        <f>IF('Bản đồ công việc'!X676="","",'Bản đồ công việc'!V676)</f>
        <v/>
      </c>
      <c r="Q660" s="389" t="str">
        <f>IF('Bản đồ công việc'!X676="","",'Bản đồ công việc'!AC676)</f>
        <v/>
      </c>
      <c r="R660" s="389" t="str">
        <f>IF('Bản đồ công việc'!X676="","",'Bản đồ công việc'!AD676)</f>
        <v/>
      </c>
      <c r="S660" s="389" t="str">
        <f>IF('Bản đồ công việc'!X676="","",'Bản đồ công việc'!Z676)</f>
        <v/>
      </c>
      <c r="T660" s="389" t="str">
        <f>IF('Bản đồ công việc'!X676="","",'Bản đồ công việc'!AA676)</f>
        <v/>
      </c>
      <c r="U660" s="389" t="str">
        <f>IF('Bản đồ công việc'!X676="","",'Bản đồ công việc'!AE676)</f>
        <v/>
      </c>
      <c r="V660" s="389" t="str">
        <f>IF('Bản đồ công việc'!X676="","",'Bản đồ công việc'!AI676)</f>
        <v/>
      </c>
      <c r="W660" s="389">
        <f t="shared" si="2"/>
        <v>0</v>
      </c>
      <c r="X660" s="389" t="str">
        <f t="shared" si="3"/>
        <v/>
      </c>
      <c r="Y660" s="389" t="str">
        <f t="shared" ref="Y660:Z660" si="656">IFERROR(INDEX($O$8:$O$684,MATCH(X660,$N$8:$N$684,0)),"")</f>
        <v/>
      </c>
      <c r="Z660" s="389" t="str">
        <f t="shared" si="656"/>
        <v/>
      </c>
      <c r="AA660" s="389">
        <f t="shared" si="5"/>
        <v>0</v>
      </c>
    </row>
    <row r="661" ht="15.75" customHeight="1">
      <c r="M661" s="389" t="str">
        <f>IF('Bản đồ công việc'!X677="","",'Bản đồ công việc'!W677)</f>
        <v/>
      </c>
      <c r="N661" s="389" t="str">
        <f>IF('Bản đồ công việc'!X677="","",'Bản đồ công việc'!X677)</f>
        <v/>
      </c>
      <c r="O661" s="389" t="str">
        <f>IF('Bản đồ công việc'!X677="","",'Bản đồ công việc'!Y677)</f>
        <v/>
      </c>
      <c r="P661" s="389" t="str">
        <f>IF('Bản đồ công việc'!X677="","",'Bản đồ công việc'!V677)</f>
        <v/>
      </c>
      <c r="Q661" s="389" t="str">
        <f>IF('Bản đồ công việc'!X677="","",'Bản đồ công việc'!AC677)</f>
        <v/>
      </c>
      <c r="R661" s="389" t="str">
        <f>IF('Bản đồ công việc'!X677="","",'Bản đồ công việc'!AD677)</f>
        <v/>
      </c>
      <c r="S661" s="389" t="str">
        <f>IF('Bản đồ công việc'!X677="","",'Bản đồ công việc'!Z677)</f>
        <v/>
      </c>
      <c r="T661" s="389" t="str">
        <f>IF('Bản đồ công việc'!X677="","",'Bản đồ công việc'!AA677)</f>
        <v/>
      </c>
      <c r="U661" s="389" t="str">
        <f>IF('Bản đồ công việc'!X677="","",'Bản đồ công việc'!AE677)</f>
        <v/>
      </c>
      <c r="V661" s="389" t="str">
        <f>IF('Bản đồ công việc'!X677="","",'Bản đồ công việc'!AI677)</f>
        <v/>
      </c>
      <c r="W661" s="389">
        <f t="shared" si="2"/>
        <v>0</v>
      </c>
      <c r="X661" s="389" t="str">
        <f t="shared" si="3"/>
        <v/>
      </c>
      <c r="Y661" s="389" t="str">
        <f t="shared" ref="Y661:Z661" si="657">IFERROR(INDEX($O$8:$O$684,MATCH(X661,$N$8:$N$684,0)),"")</f>
        <v/>
      </c>
      <c r="Z661" s="389" t="str">
        <f t="shared" si="657"/>
        <v/>
      </c>
      <c r="AA661" s="389">
        <f t="shared" si="5"/>
        <v>0</v>
      </c>
    </row>
    <row r="662" ht="15.75" customHeight="1">
      <c r="M662" s="389" t="str">
        <f>IF('Bản đồ công việc'!X678="","",'Bản đồ công việc'!W678)</f>
        <v/>
      </c>
      <c r="N662" s="389" t="str">
        <f>IF('Bản đồ công việc'!X678="","",'Bản đồ công việc'!X678)</f>
        <v/>
      </c>
      <c r="O662" s="389" t="str">
        <f>IF('Bản đồ công việc'!X678="","",'Bản đồ công việc'!Y678)</f>
        <v/>
      </c>
      <c r="P662" s="389" t="str">
        <f>IF('Bản đồ công việc'!X678="","",'Bản đồ công việc'!V678)</f>
        <v/>
      </c>
      <c r="Q662" s="389" t="str">
        <f>IF('Bản đồ công việc'!X678="","",'Bản đồ công việc'!AC678)</f>
        <v/>
      </c>
      <c r="R662" s="389" t="str">
        <f>IF('Bản đồ công việc'!X678="","",'Bản đồ công việc'!AD678)</f>
        <v/>
      </c>
      <c r="S662" s="389" t="str">
        <f>IF('Bản đồ công việc'!X678="","",'Bản đồ công việc'!Z678)</f>
        <v/>
      </c>
      <c r="T662" s="389" t="str">
        <f>IF('Bản đồ công việc'!X678="","",'Bản đồ công việc'!AA678)</f>
        <v/>
      </c>
      <c r="U662" s="389" t="str">
        <f>IF('Bản đồ công việc'!X678="","",'Bản đồ công việc'!AE678)</f>
        <v/>
      </c>
      <c r="V662" s="389" t="str">
        <f>IF('Bản đồ công việc'!X678="","",'Bản đồ công việc'!AI678)</f>
        <v/>
      </c>
      <c r="W662" s="389">
        <f t="shared" si="2"/>
        <v>0</v>
      </c>
      <c r="X662" s="389" t="str">
        <f t="shared" si="3"/>
        <v/>
      </c>
      <c r="Y662" s="389" t="str">
        <f t="shared" ref="Y662:Z662" si="658">IFERROR(INDEX($O$8:$O$684,MATCH(X662,$N$8:$N$684,0)),"")</f>
        <v/>
      </c>
      <c r="Z662" s="389" t="str">
        <f t="shared" si="658"/>
        <v/>
      </c>
      <c r="AA662" s="389">
        <f t="shared" si="5"/>
        <v>0</v>
      </c>
    </row>
    <row r="663" ht="15.75" customHeight="1">
      <c r="M663" s="389" t="str">
        <f>IF('Bản đồ công việc'!X679="","",'Bản đồ công việc'!W679)</f>
        <v/>
      </c>
      <c r="N663" s="389" t="str">
        <f>IF('Bản đồ công việc'!X679="","",'Bản đồ công việc'!X679)</f>
        <v/>
      </c>
      <c r="O663" s="389" t="str">
        <f>IF('Bản đồ công việc'!X679="","",'Bản đồ công việc'!Y679)</f>
        <v/>
      </c>
      <c r="P663" s="389" t="str">
        <f>IF('Bản đồ công việc'!X679="","",'Bản đồ công việc'!V679)</f>
        <v/>
      </c>
      <c r="Q663" s="389" t="str">
        <f>IF('Bản đồ công việc'!X679="","",'Bản đồ công việc'!AC679)</f>
        <v/>
      </c>
      <c r="R663" s="389" t="str">
        <f>IF('Bản đồ công việc'!X679="","",'Bản đồ công việc'!AD679)</f>
        <v/>
      </c>
      <c r="S663" s="389" t="str">
        <f>IF('Bản đồ công việc'!X679="","",'Bản đồ công việc'!Z679)</f>
        <v/>
      </c>
      <c r="T663" s="389" t="str">
        <f>IF('Bản đồ công việc'!X679="","",'Bản đồ công việc'!AA679)</f>
        <v/>
      </c>
      <c r="U663" s="389" t="str">
        <f>IF('Bản đồ công việc'!X679="","",'Bản đồ công việc'!AE679)</f>
        <v/>
      </c>
      <c r="V663" s="389" t="str">
        <f>IF('Bản đồ công việc'!X679="","",'Bản đồ công việc'!AI679)</f>
        <v/>
      </c>
      <c r="W663" s="389">
        <f t="shared" si="2"/>
        <v>0</v>
      </c>
      <c r="X663" s="389" t="str">
        <f t="shared" si="3"/>
        <v/>
      </c>
      <c r="Y663" s="389" t="str">
        <f t="shared" ref="Y663:Z663" si="659">IFERROR(INDEX($O$8:$O$684,MATCH(X663,$N$8:$N$684,0)),"")</f>
        <v/>
      </c>
      <c r="Z663" s="389" t="str">
        <f t="shared" si="659"/>
        <v/>
      </c>
      <c r="AA663" s="389">
        <f t="shared" si="5"/>
        <v>0</v>
      </c>
    </row>
    <row r="664" ht="15.75" customHeight="1">
      <c r="M664" s="389" t="str">
        <f>IF('Bản đồ công việc'!X680="","",'Bản đồ công việc'!W680)</f>
        <v/>
      </c>
      <c r="N664" s="389" t="str">
        <f>IF('Bản đồ công việc'!X680="","",'Bản đồ công việc'!X680)</f>
        <v/>
      </c>
      <c r="O664" s="389" t="str">
        <f>IF('Bản đồ công việc'!X680="","",'Bản đồ công việc'!Y680)</f>
        <v/>
      </c>
      <c r="P664" s="389" t="str">
        <f>IF('Bản đồ công việc'!X680="","",'Bản đồ công việc'!V680)</f>
        <v/>
      </c>
      <c r="Q664" s="389" t="str">
        <f>IF('Bản đồ công việc'!X680="","",'Bản đồ công việc'!AC680)</f>
        <v/>
      </c>
      <c r="R664" s="389" t="str">
        <f>IF('Bản đồ công việc'!X680="","",'Bản đồ công việc'!AD680)</f>
        <v/>
      </c>
      <c r="S664" s="389" t="str">
        <f>IF('Bản đồ công việc'!X680="","",'Bản đồ công việc'!Z680)</f>
        <v/>
      </c>
      <c r="T664" s="389" t="str">
        <f>IF('Bản đồ công việc'!X680="","",'Bản đồ công việc'!AA680)</f>
        <v/>
      </c>
      <c r="U664" s="389" t="str">
        <f>IF('Bản đồ công việc'!X680="","",'Bản đồ công việc'!AE680)</f>
        <v/>
      </c>
      <c r="V664" s="389" t="str">
        <f>IF('Bản đồ công việc'!X680="","",'Bản đồ công việc'!AI680)</f>
        <v/>
      </c>
      <c r="W664" s="389">
        <f t="shared" si="2"/>
        <v>0</v>
      </c>
      <c r="X664" s="389" t="str">
        <f t="shared" si="3"/>
        <v/>
      </c>
      <c r="Y664" s="389" t="str">
        <f t="shared" ref="Y664:Z664" si="660">IFERROR(INDEX($O$8:$O$684,MATCH(X664,$N$8:$N$684,0)),"")</f>
        <v/>
      </c>
      <c r="Z664" s="389" t="str">
        <f t="shared" si="660"/>
        <v/>
      </c>
      <c r="AA664" s="389">
        <f t="shared" si="5"/>
        <v>0</v>
      </c>
    </row>
    <row r="665" ht="15.75" customHeight="1">
      <c r="M665" s="389" t="str">
        <f>IF('Bản đồ công việc'!X681="","",'Bản đồ công việc'!W681)</f>
        <v/>
      </c>
      <c r="N665" s="389" t="str">
        <f>IF('Bản đồ công việc'!X681="","",'Bản đồ công việc'!X681)</f>
        <v/>
      </c>
      <c r="O665" s="389" t="str">
        <f>IF('Bản đồ công việc'!X681="","",'Bản đồ công việc'!Y681)</f>
        <v/>
      </c>
      <c r="P665" s="389" t="str">
        <f>IF('Bản đồ công việc'!X681="","",'Bản đồ công việc'!V681)</f>
        <v/>
      </c>
      <c r="Q665" s="389" t="str">
        <f>IF('Bản đồ công việc'!X681="","",'Bản đồ công việc'!AC681)</f>
        <v/>
      </c>
      <c r="R665" s="389" t="str">
        <f>IF('Bản đồ công việc'!X681="","",'Bản đồ công việc'!AD681)</f>
        <v/>
      </c>
      <c r="S665" s="389" t="str">
        <f>IF('Bản đồ công việc'!X681="","",'Bản đồ công việc'!Z681)</f>
        <v/>
      </c>
      <c r="T665" s="389" t="str">
        <f>IF('Bản đồ công việc'!X681="","",'Bản đồ công việc'!AA681)</f>
        <v/>
      </c>
      <c r="U665" s="389" t="str">
        <f>IF('Bản đồ công việc'!X681="","",'Bản đồ công việc'!AE681)</f>
        <v/>
      </c>
      <c r="V665" s="389" t="str">
        <f>IF('Bản đồ công việc'!X681="","",'Bản đồ công việc'!AI681)</f>
        <v/>
      </c>
      <c r="W665" s="389">
        <f t="shared" si="2"/>
        <v>0</v>
      </c>
      <c r="X665" s="389" t="str">
        <f t="shared" si="3"/>
        <v/>
      </c>
      <c r="Y665" s="389" t="str">
        <f t="shared" ref="Y665:Z665" si="661">IFERROR(INDEX($O$8:$O$684,MATCH(X665,$N$8:$N$684,0)),"")</f>
        <v/>
      </c>
      <c r="Z665" s="389" t="str">
        <f t="shared" si="661"/>
        <v/>
      </c>
      <c r="AA665" s="389">
        <f t="shared" si="5"/>
        <v>0</v>
      </c>
    </row>
    <row r="666" ht="15.75" customHeight="1">
      <c r="M666" s="389" t="str">
        <f>IF('Bản đồ công việc'!X682="","",'Bản đồ công việc'!W682)</f>
        <v/>
      </c>
      <c r="N666" s="389" t="str">
        <f>IF('Bản đồ công việc'!X682="","",'Bản đồ công việc'!X682)</f>
        <v/>
      </c>
      <c r="O666" s="389" t="str">
        <f>IF('Bản đồ công việc'!X682="","",'Bản đồ công việc'!Y682)</f>
        <v/>
      </c>
      <c r="P666" s="389" t="str">
        <f>IF('Bản đồ công việc'!X682="","",'Bản đồ công việc'!V682)</f>
        <v/>
      </c>
      <c r="Q666" s="389" t="str">
        <f>IF('Bản đồ công việc'!X682="","",'Bản đồ công việc'!AC682)</f>
        <v/>
      </c>
      <c r="R666" s="389" t="str">
        <f>IF('Bản đồ công việc'!X682="","",'Bản đồ công việc'!AD682)</f>
        <v/>
      </c>
      <c r="S666" s="389" t="str">
        <f>IF('Bản đồ công việc'!X682="","",'Bản đồ công việc'!Z682)</f>
        <v/>
      </c>
      <c r="T666" s="389" t="str">
        <f>IF('Bản đồ công việc'!X682="","",'Bản đồ công việc'!AA682)</f>
        <v/>
      </c>
      <c r="U666" s="389" t="str">
        <f>IF('Bản đồ công việc'!X682="","",'Bản đồ công việc'!AE682)</f>
        <v/>
      </c>
      <c r="V666" s="389" t="str">
        <f>IF('Bản đồ công việc'!X682="","",'Bản đồ công việc'!AI682)</f>
        <v/>
      </c>
      <c r="W666" s="389">
        <f t="shared" si="2"/>
        <v>0</v>
      </c>
      <c r="X666" s="389" t="str">
        <f t="shared" si="3"/>
        <v/>
      </c>
      <c r="Y666" s="389" t="str">
        <f t="shared" ref="Y666:Z666" si="662">IFERROR(INDEX($O$8:$O$684,MATCH(X666,$N$8:$N$684,0)),"")</f>
        <v/>
      </c>
      <c r="Z666" s="389" t="str">
        <f t="shared" si="662"/>
        <v/>
      </c>
      <c r="AA666" s="389">
        <f t="shared" si="5"/>
        <v>0</v>
      </c>
    </row>
    <row r="667" ht="15.75" customHeight="1">
      <c r="M667" s="389" t="str">
        <f>IF('Bản đồ công việc'!X683="","",'Bản đồ công việc'!W683)</f>
        <v/>
      </c>
      <c r="N667" s="389" t="str">
        <f>IF('Bản đồ công việc'!X683="","",'Bản đồ công việc'!X683)</f>
        <v/>
      </c>
      <c r="O667" s="389" t="str">
        <f>IF('Bản đồ công việc'!X683="","",'Bản đồ công việc'!Y683)</f>
        <v/>
      </c>
      <c r="P667" s="389" t="str">
        <f>IF('Bản đồ công việc'!X683="","",'Bản đồ công việc'!V683)</f>
        <v/>
      </c>
      <c r="Q667" s="389" t="str">
        <f>IF('Bản đồ công việc'!X683="","",'Bản đồ công việc'!AC683)</f>
        <v/>
      </c>
      <c r="R667" s="389" t="str">
        <f>IF('Bản đồ công việc'!X683="","",'Bản đồ công việc'!AD683)</f>
        <v/>
      </c>
      <c r="S667" s="389" t="str">
        <f>IF('Bản đồ công việc'!X683="","",'Bản đồ công việc'!Z683)</f>
        <v/>
      </c>
      <c r="T667" s="389" t="str">
        <f>IF('Bản đồ công việc'!X683="","",'Bản đồ công việc'!AA683)</f>
        <v/>
      </c>
      <c r="U667" s="389" t="str">
        <f>IF('Bản đồ công việc'!X683="","",'Bản đồ công việc'!AE683)</f>
        <v/>
      </c>
      <c r="V667" s="389" t="str">
        <f>IF('Bản đồ công việc'!X683="","",'Bản đồ công việc'!AI683)</f>
        <v/>
      </c>
      <c r="W667" s="389">
        <f t="shared" si="2"/>
        <v>0</v>
      </c>
      <c r="X667" s="389" t="str">
        <f t="shared" si="3"/>
        <v/>
      </c>
      <c r="Y667" s="389" t="str">
        <f t="shared" ref="Y667:Z667" si="663">IFERROR(INDEX($O$8:$O$684,MATCH(X667,$N$8:$N$684,0)),"")</f>
        <v/>
      </c>
      <c r="Z667" s="389" t="str">
        <f t="shared" si="663"/>
        <v/>
      </c>
      <c r="AA667" s="389">
        <f t="shared" si="5"/>
        <v>0</v>
      </c>
    </row>
    <row r="668" ht="15.75" customHeight="1">
      <c r="M668" s="389" t="str">
        <f>IF('Bản đồ công việc'!X684="","",'Bản đồ công việc'!W684)</f>
        <v/>
      </c>
      <c r="N668" s="389" t="str">
        <f>IF('Bản đồ công việc'!X684="","",'Bản đồ công việc'!X684)</f>
        <v/>
      </c>
      <c r="O668" s="389" t="str">
        <f>IF('Bản đồ công việc'!X684="","",'Bản đồ công việc'!Y684)</f>
        <v/>
      </c>
      <c r="P668" s="389" t="str">
        <f>IF('Bản đồ công việc'!X684="","",'Bản đồ công việc'!V684)</f>
        <v/>
      </c>
      <c r="Q668" s="389" t="str">
        <f>IF('Bản đồ công việc'!X684="","",'Bản đồ công việc'!AC684)</f>
        <v/>
      </c>
      <c r="R668" s="389" t="str">
        <f>IF('Bản đồ công việc'!X684="","",'Bản đồ công việc'!AD684)</f>
        <v/>
      </c>
      <c r="S668" s="389" t="str">
        <f>IF('Bản đồ công việc'!X684="","",'Bản đồ công việc'!Z684)</f>
        <v/>
      </c>
      <c r="T668" s="389" t="str">
        <f>IF('Bản đồ công việc'!X684="","",'Bản đồ công việc'!AA684)</f>
        <v/>
      </c>
      <c r="U668" s="389" t="str">
        <f>IF('Bản đồ công việc'!X684="","",'Bản đồ công việc'!AE684)</f>
        <v/>
      </c>
      <c r="V668" s="389" t="str">
        <f>IF('Bản đồ công việc'!X684="","",'Bản đồ công việc'!AI684)</f>
        <v/>
      </c>
      <c r="W668" s="389">
        <f t="shared" si="2"/>
        <v>0</v>
      </c>
      <c r="X668" s="389" t="str">
        <f t="shared" si="3"/>
        <v/>
      </c>
      <c r="Y668" s="389" t="str">
        <f t="shared" ref="Y668:Z668" si="664">IFERROR(INDEX($O$8:$O$684,MATCH(X668,$N$8:$N$684,0)),"")</f>
        <v/>
      </c>
      <c r="Z668" s="389" t="str">
        <f t="shared" si="664"/>
        <v/>
      </c>
      <c r="AA668" s="389">
        <f t="shared" si="5"/>
        <v>0</v>
      </c>
    </row>
    <row r="669" ht="15.75" customHeight="1">
      <c r="M669" s="389" t="str">
        <f>IF('Bản đồ công việc'!X685="","",'Bản đồ công việc'!W685)</f>
        <v/>
      </c>
      <c r="N669" s="389" t="str">
        <f>IF('Bản đồ công việc'!X685="","",'Bản đồ công việc'!X685)</f>
        <v/>
      </c>
      <c r="O669" s="389" t="str">
        <f>IF('Bản đồ công việc'!X685="","",'Bản đồ công việc'!Y685)</f>
        <v/>
      </c>
      <c r="P669" s="389" t="str">
        <f>IF('Bản đồ công việc'!X685="","",'Bản đồ công việc'!V685)</f>
        <v/>
      </c>
      <c r="Q669" s="389" t="str">
        <f>IF('Bản đồ công việc'!X685="","",'Bản đồ công việc'!AC685)</f>
        <v/>
      </c>
      <c r="R669" s="389" t="str">
        <f>IF('Bản đồ công việc'!X685="","",'Bản đồ công việc'!AD685)</f>
        <v/>
      </c>
      <c r="S669" s="389" t="str">
        <f>IF('Bản đồ công việc'!X685="","",'Bản đồ công việc'!Z685)</f>
        <v/>
      </c>
      <c r="T669" s="389" t="str">
        <f>IF('Bản đồ công việc'!X685="","",'Bản đồ công việc'!AA685)</f>
        <v/>
      </c>
      <c r="U669" s="389" t="str">
        <f>IF('Bản đồ công việc'!X685="","",'Bản đồ công việc'!AE685)</f>
        <v/>
      </c>
      <c r="V669" s="389" t="str">
        <f>IF('Bản đồ công việc'!X685="","",'Bản đồ công việc'!AI685)</f>
        <v/>
      </c>
      <c r="W669" s="389">
        <f t="shared" si="2"/>
        <v>0</v>
      </c>
      <c r="X669" s="389" t="str">
        <f t="shared" si="3"/>
        <v/>
      </c>
      <c r="Y669" s="389" t="str">
        <f t="shared" ref="Y669:Z669" si="665">IFERROR(INDEX($O$8:$O$684,MATCH(X669,$N$8:$N$684,0)),"")</f>
        <v/>
      </c>
      <c r="Z669" s="389" t="str">
        <f t="shared" si="665"/>
        <v/>
      </c>
      <c r="AA669" s="389">
        <f t="shared" si="5"/>
        <v>0</v>
      </c>
    </row>
    <row r="670" ht="15.75" customHeight="1">
      <c r="M670" s="389" t="str">
        <f>IF('Bản đồ công việc'!X686="","",'Bản đồ công việc'!W686)</f>
        <v/>
      </c>
      <c r="N670" s="389" t="str">
        <f>IF('Bản đồ công việc'!X686="","",'Bản đồ công việc'!X686)</f>
        <v/>
      </c>
      <c r="O670" s="389" t="str">
        <f>IF('Bản đồ công việc'!X686="","",'Bản đồ công việc'!Y686)</f>
        <v/>
      </c>
      <c r="P670" s="389" t="str">
        <f>IF('Bản đồ công việc'!X686="","",'Bản đồ công việc'!V686)</f>
        <v/>
      </c>
      <c r="Q670" s="389" t="str">
        <f>IF('Bản đồ công việc'!X686="","",'Bản đồ công việc'!AC686)</f>
        <v/>
      </c>
      <c r="R670" s="389" t="str">
        <f>IF('Bản đồ công việc'!X686="","",'Bản đồ công việc'!AD686)</f>
        <v/>
      </c>
      <c r="S670" s="389" t="str">
        <f>IF('Bản đồ công việc'!X686="","",'Bản đồ công việc'!Z686)</f>
        <v/>
      </c>
      <c r="T670" s="389" t="str">
        <f>IF('Bản đồ công việc'!X686="","",'Bản đồ công việc'!AA686)</f>
        <v/>
      </c>
      <c r="U670" s="389" t="str">
        <f>IF('Bản đồ công việc'!X686="","",'Bản đồ công việc'!AE686)</f>
        <v/>
      </c>
      <c r="V670" s="389" t="str">
        <f>IF('Bản đồ công việc'!X686="","",'Bản đồ công việc'!AI686)</f>
        <v/>
      </c>
      <c r="W670" s="389">
        <f t="shared" si="2"/>
        <v>0</v>
      </c>
      <c r="X670" s="389" t="str">
        <f t="shared" si="3"/>
        <v/>
      </c>
      <c r="Y670" s="389" t="str">
        <f t="shared" ref="Y670:Z670" si="666">IFERROR(INDEX($O$8:$O$684,MATCH(X670,$N$8:$N$684,0)),"")</f>
        <v/>
      </c>
      <c r="Z670" s="389" t="str">
        <f t="shared" si="666"/>
        <v/>
      </c>
      <c r="AA670" s="389">
        <f t="shared" si="5"/>
        <v>0</v>
      </c>
    </row>
    <row r="671" ht="15.75" customHeight="1">
      <c r="M671" s="389" t="str">
        <f>IF('Bản đồ công việc'!X687="","",'Bản đồ công việc'!W687)</f>
        <v/>
      </c>
      <c r="N671" s="389" t="str">
        <f>IF('Bản đồ công việc'!X687="","",'Bản đồ công việc'!X687)</f>
        <v/>
      </c>
      <c r="O671" s="389" t="str">
        <f>IF('Bản đồ công việc'!X687="","",'Bản đồ công việc'!Y687)</f>
        <v/>
      </c>
      <c r="P671" s="389" t="str">
        <f>IF('Bản đồ công việc'!X687="","",'Bản đồ công việc'!V687)</f>
        <v/>
      </c>
      <c r="Q671" s="389" t="str">
        <f>IF('Bản đồ công việc'!X687="","",'Bản đồ công việc'!AC687)</f>
        <v/>
      </c>
      <c r="R671" s="389" t="str">
        <f>IF('Bản đồ công việc'!X687="","",'Bản đồ công việc'!AD687)</f>
        <v/>
      </c>
      <c r="S671" s="389" t="str">
        <f>IF('Bản đồ công việc'!X687="","",'Bản đồ công việc'!Z687)</f>
        <v/>
      </c>
      <c r="T671" s="389" t="str">
        <f>IF('Bản đồ công việc'!X687="","",'Bản đồ công việc'!AA687)</f>
        <v/>
      </c>
      <c r="U671" s="389" t="str">
        <f>IF('Bản đồ công việc'!X687="","",'Bản đồ công việc'!AE687)</f>
        <v/>
      </c>
      <c r="V671" s="389" t="str">
        <f>IF('Bản đồ công việc'!X687="","",'Bản đồ công việc'!AI687)</f>
        <v/>
      </c>
      <c r="W671" s="389">
        <f t="shared" si="2"/>
        <v>0</v>
      </c>
      <c r="X671" s="389" t="str">
        <f t="shared" si="3"/>
        <v/>
      </c>
      <c r="Y671" s="389" t="str">
        <f t="shared" ref="Y671:Z671" si="667">IFERROR(INDEX($O$8:$O$684,MATCH(X671,$N$8:$N$684,0)),"")</f>
        <v/>
      </c>
      <c r="Z671" s="389" t="str">
        <f t="shared" si="667"/>
        <v/>
      </c>
      <c r="AA671" s="389">
        <f t="shared" si="5"/>
        <v>0</v>
      </c>
    </row>
    <row r="672" ht="15.75" customHeight="1">
      <c r="M672" s="389" t="str">
        <f>IF('Bản đồ công việc'!X688="","",'Bản đồ công việc'!W688)</f>
        <v/>
      </c>
      <c r="N672" s="389" t="str">
        <f>IF('Bản đồ công việc'!X688="","",'Bản đồ công việc'!X688)</f>
        <v/>
      </c>
      <c r="O672" s="389" t="str">
        <f>IF('Bản đồ công việc'!X688="","",'Bản đồ công việc'!Y688)</f>
        <v/>
      </c>
      <c r="P672" s="389" t="str">
        <f>IF('Bản đồ công việc'!X688="","",'Bản đồ công việc'!V688)</f>
        <v/>
      </c>
      <c r="Q672" s="389" t="str">
        <f>IF('Bản đồ công việc'!X688="","",'Bản đồ công việc'!AC688)</f>
        <v/>
      </c>
      <c r="R672" s="389" t="str">
        <f>IF('Bản đồ công việc'!X688="","",'Bản đồ công việc'!AD688)</f>
        <v/>
      </c>
      <c r="S672" s="389" t="str">
        <f>IF('Bản đồ công việc'!X688="","",'Bản đồ công việc'!Z688)</f>
        <v/>
      </c>
      <c r="T672" s="389" t="str">
        <f>IF('Bản đồ công việc'!X688="","",'Bản đồ công việc'!AA688)</f>
        <v/>
      </c>
      <c r="U672" s="389" t="str">
        <f>IF('Bản đồ công việc'!X688="","",'Bản đồ công việc'!AE688)</f>
        <v/>
      </c>
      <c r="V672" s="389" t="str">
        <f>IF('Bản đồ công việc'!X688="","",'Bản đồ công việc'!AI688)</f>
        <v/>
      </c>
      <c r="W672" s="389">
        <f t="shared" si="2"/>
        <v>0</v>
      </c>
      <c r="X672" s="389" t="str">
        <f t="shared" si="3"/>
        <v/>
      </c>
      <c r="Y672" s="389" t="str">
        <f t="shared" ref="Y672:Z672" si="668">IFERROR(INDEX($O$8:$O$684,MATCH(X672,$N$8:$N$684,0)),"")</f>
        <v/>
      </c>
      <c r="Z672" s="389" t="str">
        <f t="shared" si="668"/>
        <v/>
      </c>
      <c r="AA672" s="389">
        <f t="shared" si="5"/>
        <v>0</v>
      </c>
    </row>
    <row r="673" ht="15.75" customHeight="1">
      <c r="M673" s="389" t="str">
        <f>IF('Bản đồ công việc'!X689="","",'Bản đồ công việc'!W689)</f>
        <v/>
      </c>
      <c r="N673" s="389" t="str">
        <f>IF('Bản đồ công việc'!X689="","",'Bản đồ công việc'!X689)</f>
        <v/>
      </c>
      <c r="O673" s="389" t="str">
        <f>IF('Bản đồ công việc'!X689="","",'Bản đồ công việc'!Y689)</f>
        <v/>
      </c>
      <c r="P673" s="389" t="str">
        <f>IF('Bản đồ công việc'!X689="","",'Bản đồ công việc'!V689)</f>
        <v/>
      </c>
      <c r="Q673" s="389" t="str">
        <f>IF('Bản đồ công việc'!X689="","",'Bản đồ công việc'!AC689)</f>
        <v/>
      </c>
      <c r="R673" s="389" t="str">
        <f>IF('Bản đồ công việc'!X689="","",'Bản đồ công việc'!AD689)</f>
        <v/>
      </c>
      <c r="S673" s="389" t="str">
        <f>IF('Bản đồ công việc'!X689="","",'Bản đồ công việc'!Z689)</f>
        <v/>
      </c>
      <c r="T673" s="389" t="str">
        <f>IF('Bản đồ công việc'!X689="","",'Bản đồ công việc'!AA689)</f>
        <v/>
      </c>
      <c r="U673" s="389" t="str">
        <f>IF('Bản đồ công việc'!X689="","",'Bản đồ công việc'!AE689)</f>
        <v/>
      </c>
      <c r="V673" s="389" t="str">
        <f>IF('Bản đồ công việc'!X689="","",'Bản đồ công việc'!AI689)</f>
        <v/>
      </c>
      <c r="W673" s="389">
        <f t="shared" si="2"/>
        <v>0</v>
      </c>
      <c r="X673" s="389" t="str">
        <f t="shared" si="3"/>
        <v/>
      </c>
      <c r="Y673" s="389" t="str">
        <f t="shared" ref="Y673:Z673" si="669">IFERROR(INDEX($O$8:$O$684,MATCH(X673,$N$8:$N$684,0)),"")</f>
        <v/>
      </c>
      <c r="Z673" s="389" t="str">
        <f t="shared" si="669"/>
        <v/>
      </c>
      <c r="AA673" s="389">
        <f t="shared" si="5"/>
        <v>0</v>
      </c>
    </row>
    <row r="674" ht="15.75" customHeight="1">
      <c r="M674" s="389" t="str">
        <f>IF('Bản đồ công việc'!X690="","",'Bản đồ công việc'!W690)</f>
        <v/>
      </c>
      <c r="N674" s="389" t="str">
        <f>IF('Bản đồ công việc'!X690="","",'Bản đồ công việc'!X690)</f>
        <v/>
      </c>
      <c r="O674" s="389" t="str">
        <f>IF('Bản đồ công việc'!X690="","",'Bản đồ công việc'!Y690)</f>
        <v/>
      </c>
      <c r="P674" s="389" t="str">
        <f>IF('Bản đồ công việc'!X690="","",'Bản đồ công việc'!V690)</f>
        <v/>
      </c>
      <c r="Q674" s="389" t="str">
        <f>IF('Bản đồ công việc'!X690="","",'Bản đồ công việc'!AC690)</f>
        <v/>
      </c>
      <c r="R674" s="389" t="str">
        <f>IF('Bản đồ công việc'!X690="","",'Bản đồ công việc'!AD690)</f>
        <v/>
      </c>
      <c r="S674" s="389" t="str">
        <f>IF('Bản đồ công việc'!X690="","",'Bản đồ công việc'!Z690)</f>
        <v/>
      </c>
      <c r="T674" s="389" t="str">
        <f>IF('Bản đồ công việc'!X690="","",'Bản đồ công việc'!AA690)</f>
        <v/>
      </c>
      <c r="U674" s="389" t="str">
        <f>IF('Bản đồ công việc'!X690="","",'Bản đồ công việc'!AE690)</f>
        <v/>
      </c>
      <c r="V674" s="389" t="str">
        <f>IF('Bản đồ công việc'!X690="","",'Bản đồ công việc'!AI690)</f>
        <v/>
      </c>
      <c r="W674" s="389">
        <f t="shared" si="2"/>
        <v>0</v>
      </c>
      <c r="X674" s="389" t="str">
        <f t="shared" si="3"/>
        <v/>
      </c>
      <c r="Y674" s="389" t="str">
        <f t="shared" ref="Y674:Z674" si="670">IFERROR(INDEX($O$8:$O$684,MATCH(X674,$N$8:$N$684,0)),"")</f>
        <v/>
      </c>
      <c r="Z674" s="389" t="str">
        <f t="shared" si="670"/>
        <v/>
      </c>
      <c r="AA674" s="389">
        <f t="shared" si="5"/>
        <v>0</v>
      </c>
    </row>
    <row r="675" ht="15.75" customHeight="1">
      <c r="M675" s="389" t="str">
        <f>IF('Bản đồ công việc'!X691="","",'Bản đồ công việc'!W691)</f>
        <v/>
      </c>
      <c r="N675" s="389" t="str">
        <f>IF('Bản đồ công việc'!X691="","",'Bản đồ công việc'!X691)</f>
        <v/>
      </c>
      <c r="O675" s="389" t="str">
        <f>IF('Bản đồ công việc'!X691="","",'Bản đồ công việc'!Y691)</f>
        <v/>
      </c>
      <c r="P675" s="389" t="str">
        <f>IF('Bản đồ công việc'!X691="","",'Bản đồ công việc'!V691)</f>
        <v/>
      </c>
      <c r="Q675" s="389" t="str">
        <f>IF('Bản đồ công việc'!X691="","",'Bản đồ công việc'!AC691)</f>
        <v/>
      </c>
      <c r="R675" s="389" t="str">
        <f>IF('Bản đồ công việc'!X691="","",'Bản đồ công việc'!AD691)</f>
        <v/>
      </c>
      <c r="S675" s="389" t="str">
        <f>IF('Bản đồ công việc'!X691="","",'Bản đồ công việc'!Z691)</f>
        <v/>
      </c>
      <c r="T675" s="389" t="str">
        <f>IF('Bản đồ công việc'!X691="","",'Bản đồ công việc'!AA691)</f>
        <v/>
      </c>
      <c r="U675" s="389" t="str">
        <f>IF('Bản đồ công việc'!X691="","",'Bản đồ công việc'!AE691)</f>
        <v/>
      </c>
      <c r="V675" s="389" t="str">
        <f>IF('Bản đồ công việc'!X691="","",'Bản đồ công việc'!AI691)</f>
        <v/>
      </c>
      <c r="W675" s="389">
        <f t="shared" si="2"/>
        <v>0</v>
      </c>
      <c r="X675" s="389" t="str">
        <f t="shared" si="3"/>
        <v/>
      </c>
      <c r="Y675" s="389" t="str">
        <f t="shared" ref="Y675:Z675" si="671">IFERROR(INDEX($O$8:$O$684,MATCH(X675,$N$8:$N$684,0)),"")</f>
        <v/>
      </c>
      <c r="Z675" s="389" t="str">
        <f t="shared" si="671"/>
        <v/>
      </c>
      <c r="AA675" s="389">
        <f t="shared" si="5"/>
        <v>0</v>
      </c>
    </row>
    <row r="676" ht="15.75" customHeight="1">
      <c r="M676" s="389" t="str">
        <f>IF('Bản đồ công việc'!X692="","",'Bản đồ công việc'!W692)</f>
        <v/>
      </c>
      <c r="N676" s="389" t="str">
        <f>IF('Bản đồ công việc'!X692="","",'Bản đồ công việc'!X692)</f>
        <v/>
      </c>
      <c r="O676" s="389" t="str">
        <f>IF('Bản đồ công việc'!X692="","",'Bản đồ công việc'!Y692)</f>
        <v/>
      </c>
      <c r="P676" s="389" t="str">
        <f>IF('Bản đồ công việc'!X692="","",'Bản đồ công việc'!V692)</f>
        <v/>
      </c>
      <c r="Q676" s="389" t="str">
        <f>IF('Bản đồ công việc'!X692="","",'Bản đồ công việc'!AC692)</f>
        <v/>
      </c>
      <c r="R676" s="389" t="str">
        <f>IF('Bản đồ công việc'!X692="","",'Bản đồ công việc'!AD692)</f>
        <v/>
      </c>
      <c r="S676" s="389" t="str">
        <f>IF('Bản đồ công việc'!X692="","",'Bản đồ công việc'!Z692)</f>
        <v/>
      </c>
      <c r="T676" s="389" t="str">
        <f>IF('Bản đồ công việc'!X692="","",'Bản đồ công việc'!AA692)</f>
        <v/>
      </c>
      <c r="U676" s="389" t="str">
        <f>IF('Bản đồ công việc'!X692="","",'Bản đồ công việc'!AE692)</f>
        <v/>
      </c>
      <c r="V676" s="389" t="str">
        <f>IF('Bản đồ công việc'!X692="","",'Bản đồ công việc'!AI692)</f>
        <v/>
      </c>
      <c r="W676" s="389">
        <f t="shared" si="2"/>
        <v>0</v>
      </c>
      <c r="X676" s="389" t="str">
        <f t="shared" si="3"/>
        <v/>
      </c>
      <c r="Y676" s="389" t="str">
        <f t="shared" ref="Y676:Z676" si="672">IFERROR(INDEX($O$8:$O$684,MATCH(X676,$N$8:$N$684,0)),"")</f>
        <v/>
      </c>
      <c r="Z676" s="389" t="str">
        <f t="shared" si="672"/>
        <v/>
      </c>
      <c r="AA676" s="389">
        <f t="shared" si="5"/>
        <v>0</v>
      </c>
    </row>
    <row r="677" ht="15.75" customHeight="1">
      <c r="M677" s="389" t="str">
        <f>IF('Bản đồ công việc'!X693="","",'Bản đồ công việc'!W693)</f>
        <v/>
      </c>
      <c r="N677" s="389" t="str">
        <f>IF('Bản đồ công việc'!X693="","",'Bản đồ công việc'!X693)</f>
        <v/>
      </c>
      <c r="O677" s="389" t="str">
        <f>IF('Bản đồ công việc'!X693="","",'Bản đồ công việc'!Y693)</f>
        <v/>
      </c>
      <c r="P677" s="389" t="str">
        <f>IF('Bản đồ công việc'!X693="","",'Bản đồ công việc'!V693)</f>
        <v/>
      </c>
      <c r="Q677" s="389" t="str">
        <f>IF('Bản đồ công việc'!X693="","",'Bản đồ công việc'!AC693)</f>
        <v/>
      </c>
      <c r="R677" s="389" t="str">
        <f>IF('Bản đồ công việc'!X693="","",'Bản đồ công việc'!AD693)</f>
        <v/>
      </c>
      <c r="S677" s="389" t="str">
        <f>IF('Bản đồ công việc'!X693="","",'Bản đồ công việc'!Z693)</f>
        <v/>
      </c>
      <c r="T677" s="389" t="str">
        <f>IF('Bản đồ công việc'!X693="","",'Bản đồ công việc'!AA693)</f>
        <v/>
      </c>
      <c r="U677" s="389" t="str">
        <f>IF('Bản đồ công việc'!X693="","",'Bản đồ công việc'!AE693)</f>
        <v/>
      </c>
      <c r="V677" s="389" t="str">
        <f>IF('Bản đồ công việc'!X693="","",'Bản đồ công việc'!AI693)</f>
        <v/>
      </c>
      <c r="W677" s="389">
        <f t="shared" si="2"/>
        <v>0</v>
      </c>
      <c r="X677" s="389" t="str">
        <f t="shared" si="3"/>
        <v/>
      </c>
      <c r="Y677" s="389" t="str">
        <f t="shared" ref="Y677:Z677" si="673">IFERROR(INDEX($O$8:$O$684,MATCH(X677,$N$8:$N$684,0)),"")</f>
        <v/>
      </c>
      <c r="Z677" s="389" t="str">
        <f t="shared" si="673"/>
        <v/>
      </c>
      <c r="AA677" s="389">
        <f t="shared" si="5"/>
        <v>0</v>
      </c>
    </row>
    <row r="678" ht="15.75" customHeight="1">
      <c r="M678" s="389" t="str">
        <f>IF('Bản đồ công việc'!X694="","",'Bản đồ công việc'!W694)</f>
        <v/>
      </c>
      <c r="N678" s="389" t="str">
        <f>IF('Bản đồ công việc'!X694="","",'Bản đồ công việc'!X694)</f>
        <v/>
      </c>
      <c r="O678" s="389" t="str">
        <f>IF('Bản đồ công việc'!X694="","",'Bản đồ công việc'!Y694)</f>
        <v/>
      </c>
      <c r="P678" s="389" t="str">
        <f>IF('Bản đồ công việc'!X694="","",'Bản đồ công việc'!V694)</f>
        <v/>
      </c>
      <c r="Q678" s="389" t="str">
        <f>IF('Bản đồ công việc'!X694="","",'Bản đồ công việc'!AC694)</f>
        <v/>
      </c>
      <c r="R678" s="389" t="str">
        <f>IF('Bản đồ công việc'!X694="","",'Bản đồ công việc'!AD694)</f>
        <v/>
      </c>
      <c r="S678" s="389" t="str">
        <f>IF('Bản đồ công việc'!X694="","",'Bản đồ công việc'!Z694)</f>
        <v/>
      </c>
      <c r="T678" s="389" t="str">
        <f>IF('Bản đồ công việc'!X694="","",'Bản đồ công việc'!AA694)</f>
        <v/>
      </c>
      <c r="U678" s="389" t="str">
        <f>IF('Bản đồ công việc'!X694="","",'Bản đồ công việc'!AE694)</f>
        <v/>
      </c>
      <c r="V678" s="389" t="str">
        <f>IF('Bản đồ công việc'!X694="","",'Bản đồ công việc'!AI694)</f>
        <v/>
      </c>
      <c r="W678" s="389">
        <f t="shared" si="2"/>
        <v>0</v>
      </c>
      <c r="X678" s="389" t="str">
        <f t="shared" si="3"/>
        <v/>
      </c>
      <c r="Y678" s="389" t="str">
        <f t="shared" ref="Y678:Z678" si="674">IFERROR(INDEX($O$8:$O$684,MATCH(X678,$N$8:$N$684,0)),"")</f>
        <v/>
      </c>
      <c r="Z678" s="389" t="str">
        <f t="shared" si="674"/>
        <v/>
      </c>
      <c r="AA678" s="389">
        <f t="shared" si="5"/>
        <v>0</v>
      </c>
    </row>
    <row r="679" ht="15.75" customHeight="1">
      <c r="M679" s="389" t="str">
        <f>IF('Bản đồ công việc'!X695="","",'Bản đồ công việc'!W695)</f>
        <v/>
      </c>
      <c r="N679" s="389" t="str">
        <f>IF('Bản đồ công việc'!X695="","",'Bản đồ công việc'!X695)</f>
        <v/>
      </c>
      <c r="O679" s="389" t="str">
        <f>IF('Bản đồ công việc'!X695="","",'Bản đồ công việc'!Y695)</f>
        <v/>
      </c>
      <c r="P679" s="389" t="str">
        <f>IF('Bản đồ công việc'!X695="","",'Bản đồ công việc'!V695)</f>
        <v/>
      </c>
      <c r="Q679" s="389" t="str">
        <f>IF('Bản đồ công việc'!X695="","",'Bản đồ công việc'!AC695)</f>
        <v/>
      </c>
      <c r="R679" s="389" t="str">
        <f>IF('Bản đồ công việc'!X695="","",'Bản đồ công việc'!AD695)</f>
        <v/>
      </c>
      <c r="S679" s="389" t="str">
        <f>IF('Bản đồ công việc'!X695="","",'Bản đồ công việc'!Z695)</f>
        <v/>
      </c>
      <c r="T679" s="389" t="str">
        <f>IF('Bản đồ công việc'!X695="","",'Bản đồ công việc'!AA695)</f>
        <v/>
      </c>
      <c r="U679" s="389" t="str">
        <f>IF('Bản đồ công việc'!X695="","",'Bản đồ công việc'!AE695)</f>
        <v/>
      </c>
      <c r="V679" s="389" t="str">
        <f>IF('Bản đồ công việc'!X695="","",'Bản đồ công việc'!AI695)</f>
        <v/>
      </c>
      <c r="W679" s="389">
        <f t="shared" si="2"/>
        <v>0</v>
      </c>
      <c r="X679" s="389" t="str">
        <f t="shared" si="3"/>
        <v/>
      </c>
      <c r="Y679" s="389" t="str">
        <f t="shared" ref="Y679:Z679" si="675">IFERROR(INDEX($O$8:$O$684,MATCH(X679,$N$8:$N$684,0)),"")</f>
        <v/>
      </c>
      <c r="Z679" s="389" t="str">
        <f t="shared" si="675"/>
        <v/>
      </c>
      <c r="AA679" s="389">
        <f t="shared" si="5"/>
        <v>0</v>
      </c>
    </row>
    <row r="680" ht="15.75" customHeight="1">
      <c r="M680" s="389" t="str">
        <f>IF('Bản đồ công việc'!X696="","",'Bản đồ công việc'!W696)</f>
        <v/>
      </c>
      <c r="N680" s="389" t="str">
        <f>IF('Bản đồ công việc'!X696="","",'Bản đồ công việc'!X696)</f>
        <v/>
      </c>
      <c r="O680" s="389" t="str">
        <f>IF('Bản đồ công việc'!X696="","",'Bản đồ công việc'!Y696)</f>
        <v/>
      </c>
      <c r="P680" s="389" t="str">
        <f>IF('Bản đồ công việc'!X696="","",'Bản đồ công việc'!V696)</f>
        <v/>
      </c>
      <c r="Q680" s="389" t="str">
        <f>IF('Bản đồ công việc'!X696="","",'Bản đồ công việc'!AC696)</f>
        <v/>
      </c>
      <c r="R680" s="389" t="str">
        <f>IF('Bản đồ công việc'!X696="","",'Bản đồ công việc'!AD696)</f>
        <v/>
      </c>
      <c r="S680" s="389" t="str">
        <f>IF('Bản đồ công việc'!X696="","",'Bản đồ công việc'!Z696)</f>
        <v/>
      </c>
      <c r="T680" s="389" t="str">
        <f>IF('Bản đồ công việc'!X696="","",'Bản đồ công việc'!AA696)</f>
        <v/>
      </c>
      <c r="U680" s="389" t="str">
        <f>IF('Bản đồ công việc'!X696="","",'Bản đồ công việc'!AE696)</f>
        <v/>
      </c>
      <c r="V680" s="389" t="str">
        <f>IF('Bản đồ công việc'!X696="","",'Bản đồ công việc'!AI696)</f>
        <v/>
      </c>
      <c r="W680" s="389">
        <f t="shared" si="2"/>
        <v>0</v>
      </c>
      <c r="X680" s="389" t="str">
        <f t="shared" si="3"/>
        <v/>
      </c>
      <c r="Y680" s="389" t="str">
        <f t="shared" ref="Y680:Z680" si="676">IFERROR(INDEX($O$8:$O$684,MATCH(X680,$N$8:$N$684,0)),"")</f>
        <v/>
      </c>
      <c r="Z680" s="389" t="str">
        <f t="shared" si="676"/>
        <v/>
      </c>
      <c r="AA680" s="389">
        <f t="shared" si="5"/>
        <v>0</v>
      </c>
    </row>
    <row r="681" ht="15.75" customHeight="1">
      <c r="M681" s="389" t="str">
        <f>IF('Bản đồ công việc'!X697="","",'Bản đồ công việc'!W697)</f>
        <v/>
      </c>
      <c r="N681" s="389" t="str">
        <f>IF('Bản đồ công việc'!X697="","",'Bản đồ công việc'!X697)</f>
        <v/>
      </c>
      <c r="O681" s="389" t="str">
        <f>IF('Bản đồ công việc'!X697="","",'Bản đồ công việc'!Y697)</f>
        <v/>
      </c>
      <c r="P681" s="389" t="str">
        <f>IF('Bản đồ công việc'!X697="","",'Bản đồ công việc'!V697)</f>
        <v/>
      </c>
      <c r="Q681" s="389" t="str">
        <f>IF('Bản đồ công việc'!X697="","",'Bản đồ công việc'!AC697)</f>
        <v/>
      </c>
      <c r="R681" s="389" t="str">
        <f>IF('Bản đồ công việc'!X697="","",'Bản đồ công việc'!AD697)</f>
        <v/>
      </c>
      <c r="S681" s="389" t="str">
        <f>IF('Bản đồ công việc'!X697="","",'Bản đồ công việc'!Z697)</f>
        <v/>
      </c>
      <c r="T681" s="389" t="str">
        <f>IF('Bản đồ công việc'!X697="","",'Bản đồ công việc'!AA697)</f>
        <v/>
      </c>
      <c r="U681" s="389" t="str">
        <f>IF('Bản đồ công việc'!X697="","",'Bản đồ công việc'!AE697)</f>
        <v/>
      </c>
      <c r="V681" s="389" t="str">
        <f>IF('Bản đồ công việc'!X697="","",'Bản đồ công việc'!AI697)</f>
        <v/>
      </c>
      <c r="W681" s="389">
        <f t="shared" si="2"/>
        <v>0</v>
      </c>
      <c r="X681" s="389" t="str">
        <f t="shared" si="3"/>
        <v/>
      </c>
      <c r="Y681" s="389" t="str">
        <f t="shared" ref="Y681:Z681" si="677">IFERROR(INDEX($O$8:$O$684,MATCH(X681,$N$8:$N$684,0)),"")</f>
        <v/>
      </c>
      <c r="Z681" s="389" t="str">
        <f t="shared" si="677"/>
        <v/>
      </c>
      <c r="AA681" s="389">
        <f t="shared" si="5"/>
        <v>0</v>
      </c>
    </row>
    <row r="682" ht="15.75" customHeight="1">
      <c r="M682" s="389" t="str">
        <f>IF('Bản đồ công việc'!X698="","",'Bản đồ công việc'!W698)</f>
        <v/>
      </c>
      <c r="N682" s="389" t="str">
        <f>IF('Bản đồ công việc'!X698="","",'Bản đồ công việc'!X698)</f>
        <v/>
      </c>
      <c r="O682" s="389" t="str">
        <f>IF('Bản đồ công việc'!X698="","",'Bản đồ công việc'!Y698)</f>
        <v/>
      </c>
      <c r="P682" s="389" t="str">
        <f>IF('Bản đồ công việc'!X698="","",'Bản đồ công việc'!V698)</f>
        <v/>
      </c>
      <c r="Q682" s="389" t="str">
        <f>IF('Bản đồ công việc'!X698="","",'Bản đồ công việc'!AC698)</f>
        <v/>
      </c>
      <c r="R682" s="389" t="str">
        <f>IF('Bản đồ công việc'!X698="","",'Bản đồ công việc'!AD698)</f>
        <v/>
      </c>
      <c r="S682" s="389" t="str">
        <f>IF('Bản đồ công việc'!X698="","",'Bản đồ công việc'!Z698)</f>
        <v/>
      </c>
      <c r="T682" s="389" t="str">
        <f>IF('Bản đồ công việc'!X698="","",'Bản đồ công việc'!AA698)</f>
        <v/>
      </c>
      <c r="U682" s="389" t="str">
        <f>IF('Bản đồ công việc'!X698="","",'Bản đồ công việc'!AE698)</f>
        <v/>
      </c>
      <c r="V682" s="389" t="str">
        <f>IF('Bản đồ công việc'!X698="","",'Bản đồ công việc'!AI698)</f>
        <v/>
      </c>
      <c r="W682" s="389">
        <f t="shared" si="2"/>
        <v>0</v>
      </c>
      <c r="X682" s="389" t="str">
        <f t="shared" si="3"/>
        <v/>
      </c>
      <c r="Y682" s="389" t="str">
        <f t="shared" ref="Y682:Z682" si="678">IFERROR(INDEX($O$8:$O$684,MATCH(X682,$N$8:$N$684,0)),"")</f>
        <v/>
      </c>
      <c r="Z682" s="389" t="str">
        <f t="shared" si="678"/>
        <v/>
      </c>
      <c r="AA682" s="389">
        <f t="shared" si="5"/>
        <v>0</v>
      </c>
    </row>
    <row r="683" ht="15.75" customHeight="1">
      <c r="M683" s="389" t="str">
        <f>IF('Bản đồ công việc'!X699="","",'Bản đồ công việc'!W699)</f>
        <v/>
      </c>
      <c r="N683" s="389" t="str">
        <f>IF('Bản đồ công việc'!X699="","",'Bản đồ công việc'!X699)</f>
        <v/>
      </c>
      <c r="O683" s="389" t="str">
        <f>IF('Bản đồ công việc'!X699="","",'Bản đồ công việc'!Y699)</f>
        <v/>
      </c>
      <c r="P683" s="389" t="str">
        <f>IF('Bản đồ công việc'!X699="","",'Bản đồ công việc'!V699)</f>
        <v/>
      </c>
      <c r="Q683" s="389" t="str">
        <f>IF('Bản đồ công việc'!X699="","",'Bản đồ công việc'!AC699)</f>
        <v/>
      </c>
      <c r="R683" s="389" t="str">
        <f>IF('Bản đồ công việc'!X699="","",'Bản đồ công việc'!AD699)</f>
        <v/>
      </c>
      <c r="S683" s="389" t="str">
        <f>IF('Bản đồ công việc'!X699="","",'Bản đồ công việc'!Z699)</f>
        <v/>
      </c>
      <c r="T683" s="389" t="str">
        <f>IF('Bản đồ công việc'!X699="","",'Bản đồ công việc'!AA699)</f>
        <v/>
      </c>
      <c r="U683" s="389" t="str">
        <f>IF('Bản đồ công việc'!X699="","",'Bản đồ công việc'!AE699)</f>
        <v/>
      </c>
      <c r="V683" s="389" t="str">
        <f>IF('Bản đồ công việc'!X699="","",'Bản đồ công việc'!AI699)</f>
        <v/>
      </c>
      <c r="W683" s="389">
        <f t="shared" si="2"/>
        <v>0</v>
      </c>
      <c r="X683" s="389" t="str">
        <f t="shared" si="3"/>
        <v/>
      </c>
      <c r="Y683" s="389" t="str">
        <f t="shared" ref="Y683:Z683" si="679">IFERROR(INDEX($O$8:$O$684,MATCH(X683,$N$8:$N$684,0)),"")</f>
        <v/>
      </c>
      <c r="Z683" s="389" t="str">
        <f t="shared" si="679"/>
        <v/>
      </c>
      <c r="AA683" s="389">
        <f t="shared" si="5"/>
        <v>0</v>
      </c>
    </row>
    <row r="684" ht="15.75" customHeight="1">
      <c r="M684" s="389" t="str">
        <f>IF('Bản đồ công việc'!X700="","",'Bản đồ công việc'!W700)</f>
        <v/>
      </c>
      <c r="N684" s="389" t="str">
        <f>IF('Bản đồ công việc'!X700="","",'Bản đồ công việc'!X700)</f>
        <v/>
      </c>
      <c r="O684" s="389" t="str">
        <f>IF('Bản đồ công việc'!X700="","",'Bản đồ công việc'!Y700)</f>
        <v/>
      </c>
      <c r="P684" s="389" t="str">
        <f>IF('Bản đồ công việc'!X700="","",'Bản đồ công việc'!V700)</f>
        <v/>
      </c>
      <c r="Q684" s="389" t="str">
        <f>IF('Bản đồ công việc'!X700="","",'Bản đồ công việc'!AC700)</f>
        <v/>
      </c>
      <c r="R684" s="389" t="str">
        <f>IF('Bản đồ công việc'!X700="","",'Bản đồ công việc'!AD700)</f>
        <v/>
      </c>
      <c r="S684" s="389" t="str">
        <f>IF('Bản đồ công việc'!X700="","",'Bản đồ công việc'!Z700)</f>
        <v/>
      </c>
      <c r="T684" s="389" t="str">
        <f>IF('Bản đồ công việc'!X700="","",'Bản đồ công việc'!AA700)</f>
        <v/>
      </c>
      <c r="U684" s="389" t="str">
        <f>IF('Bản đồ công việc'!X700="","",'Bản đồ công việc'!AE700)</f>
        <v/>
      </c>
      <c r="V684" s="389" t="str">
        <f>IF('Bản đồ công việc'!X700="","",'Bản đồ công việc'!AI700)</f>
        <v/>
      </c>
      <c r="W684" s="389">
        <f t="shared" si="2"/>
        <v>0</v>
      </c>
      <c r="X684" s="389" t="str">
        <f t="shared" si="3"/>
        <v/>
      </c>
      <c r="Y684" s="389" t="str">
        <f t="shared" ref="Y684:Z684" si="680">IFERROR(INDEX($O$8:$O$684,MATCH(X684,$N$8:$N$684,0)),"")</f>
        <v/>
      </c>
      <c r="Z684" s="389" t="str">
        <f t="shared" si="680"/>
        <v/>
      </c>
      <c r="AA684" s="389">
        <f t="shared" si="5"/>
        <v>0</v>
      </c>
    </row>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64" t="s">
        <v>82</v>
      </c>
      <c r="B1" s="364" t="s">
        <v>633</v>
      </c>
      <c r="C1" s="364" t="s">
        <v>190</v>
      </c>
      <c r="D1" s="364" t="s">
        <v>249</v>
      </c>
      <c r="E1" s="364" t="s">
        <v>617</v>
      </c>
      <c r="F1" s="364" t="s">
        <v>603</v>
      </c>
      <c r="G1" s="364" t="s">
        <v>173</v>
      </c>
      <c r="H1" s="364" t="s">
        <v>175</v>
      </c>
      <c r="I1" s="364" t="s">
        <v>58</v>
      </c>
      <c r="J1" s="364" t="s">
        <v>61</v>
      </c>
      <c r="K1" s="364" t="s">
        <v>606</v>
      </c>
      <c r="L1" s="364" t="s">
        <v>184</v>
      </c>
      <c r="M1" s="364" t="s">
        <v>167</v>
      </c>
      <c r="N1" s="364" t="s">
        <v>635</v>
      </c>
      <c r="O1" s="364" t="s">
        <v>636</v>
      </c>
      <c r="P1" s="364" t="s">
        <v>624</v>
      </c>
    </row>
    <row r="2">
      <c r="A2" s="364" t="s">
        <v>258</v>
      </c>
      <c r="B2" s="364" t="s">
        <v>118</v>
      </c>
      <c r="C2" s="364" t="s">
        <v>233</v>
      </c>
      <c r="D2" s="364" t="s">
        <v>358</v>
      </c>
      <c r="E2" s="364" t="s">
        <v>465</v>
      </c>
      <c r="F2" s="364" t="s">
        <v>637</v>
      </c>
      <c r="G2" s="364" t="s">
        <v>322</v>
      </c>
      <c r="H2" s="364" t="s">
        <v>244</v>
      </c>
      <c r="I2" s="364" t="s">
        <v>297</v>
      </c>
      <c r="J2" s="364" t="s">
        <v>167</v>
      </c>
      <c r="K2" s="364" t="s">
        <v>638</v>
      </c>
      <c r="L2" s="364" t="s">
        <v>639</v>
      </c>
      <c r="M2" s="666">
        <v>2026.0</v>
      </c>
      <c r="N2" s="364" t="s">
        <v>67</v>
      </c>
      <c r="O2" s="364" t="s">
        <v>78</v>
      </c>
      <c r="P2" s="389" t="str">
        <f>IFERROR(__xludf.DUMMYFUNCTION("IFERROR(SORT(UNIQUE(FILTER('Lớp 6 - Chi tiết'!$I$14:$I$267,'Lớp 6 - Chi tiết'!$I$14:$I$267&lt;&gt;""""))),"""")"),"HHL5RD05-01.01")</f>
        <v>HHL5RD05-01.01</v>
      </c>
    </row>
    <row r="3">
      <c r="A3" s="364" t="s">
        <v>242</v>
      </c>
      <c r="B3" s="364" t="s">
        <v>122</v>
      </c>
      <c r="C3" s="364" t="s">
        <v>252</v>
      </c>
      <c r="D3" s="364" t="s">
        <v>361</v>
      </c>
      <c r="E3" s="364" t="s">
        <v>468</v>
      </c>
      <c r="F3" s="364" t="s">
        <v>640</v>
      </c>
      <c r="G3" s="364" t="s">
        <v>243</v>
      </c>
      <c r="H3" s="364" t="s">
        <v>254</v>
      </c>
      <c r="I3" s="364" t="s">
        <v>248</v>
      </c>
      <c r="J3" s="364" t="s">
        <v>641</v>
      </c>
      <c r="K3" s="364" t="s">
        <v>642</v>
      </c>
      <c r="L3" s="364" t="s">
        <v>250</v>
      </c>
      <c r="M3" s="666">
        <v>2027.0</v>
      </c>
      <c r="N3" s="364" t="s">
        <v>87</v>
      </c>
      <c r="O3" s="364" t="s">
        <v>92</v>
      </c>
      <c r="P3" s="389" t="str">
        <f>IFERROR(__xludf.DUMMYFUNCTION("""COMPUTED_VALUE"""),"HHL5RD05-01.02")</f>
        <v>HHL5RD05-01.02</v>
      </c>
    </row>
    <row r="4">
      <c r="A4" s="364" t="s">
        <v>262</v>
      </c>
      <c r="B4" s="364" t="s">
        <v>121</v>
      </c>
      <c r="C4" s="364" t="s">
        <v>255</v>
      </c>
      <c r="D4" s="364" t="s">
        <v>364</v>
      </c>
      <c r="E4" s="364" t="s">
        <v>471</v>
      </c>
      <c r="F4" s="364" t="s">
        <v>643</v>
      </c>
      <c r="G4" s="364" t="s">
        <v>296</v>
      </c>
      <c r="H4" s="364" t="s">
        <v>286</v>
      </c>
      <c r="I4" s="364" t="s">
        <v>644</v>
      </c>
      <c r="J4" s="364" t="s">
        <v>645</v>
      </c>
      <c r="K4" s="364" t="s">
        <v>259</v>
      </c>
      <c r="O4" s="364" t="s">
        <v>88</v>
      </c>
      <c r="P4" s="389" t="str">
        <f>IFERROR(__xludf.DUMMYFUNCTION("""COMPUTED_VALUE"""),"HHL5RD05-01.03")</f>
        <v>HHL5RD05-01.03</v>
      </c>
    </row>
    <row r="5">
      <c r="A5" s="364" t="s">
        <v>589</v>
      </c>
      <c r="B5" s="364" t="s">
        <v>123</v>
      </c>
      <c r="C5" s="364" t="s">
        <v>646</v>
      </c>
      <c r="D5" s="364" t="s">
        <v>367</v>
      </c>
      <c r="E5" s="364" t="s">
        <v>474</v>
      </c>
      <c r="F5" s="364" t="s">
        <v>647</v>
      </c>
      <c r="G5" s="364" t="s">
        <v>259</v>
      </c>
      <c r="H5" s="364" t="s">
        <v>346</v>
      </c>
      <c r="I5" s="364" t="s">
        <v>648</v>
      </c>
      <c r="J5" s="364" t="s">
        <v>250</v>
      </c>
      <c r="K5" s="364" t="s">
        <v>595</v>
      </c>
      <c r="O5" s="364" t="s">
        <v>89</v>
      </c>
      <c r="P5" s="389" t="str">
        <f>IFERROR(__xludf.DUMMYFUNCTION("""COMPUTED_VALUE"""),"HHL5RD05-01.04")</f>
        <v>HHL5RD05-01.04</v>
      </c>
    </row>
    <row r="6">
      <c r="A6" s="364" t="s">
        <v>594</v>
      </c>
      <c r="B6" s="364" t="s">
        <v>120</v>
      </c>
      <c r="C6" s="364" t="s">
        <v>293</v>
      </c>
      <c r="D6" s="364" t="s">
        <v>370</v>
      </c>
      <c r="E6" s="364" t="s">
        <v>477</v>
      </c>
      <c r="G6" s="364" t="s">
        <v>649</v>
      </c>
    </row>
    <row r="7">
      <c r="B7" s="364" t="s">
        <v>650</v>
      </c>
      <c r="C7" s="364" t="s">
        <v>298</v>
      </c>
      <c r="D7" s="364" t="s">
        <v>373</v>
      </c>
      <c r="E7" s="364" t="s">
        <v>480</v>
      </c>
      <c r="G7" s="364" t="s">
        <v>595</v>
      </c>
    </row>
    <row r="8">
      <c r="B8" s="364" t="s">
        <v>119</v>
      </c>
      <c r="C8" s="364" t="s">
        <v>651</v>
      </c>
      <c r="D8" s="364" t="s">
        <v>376</v>
      </c>
      <c r="E8" s="364" t="s">
        <v>483</v>
      </c>
      <c r="G8" s="364" t="s">
        <v>652</v>
      </c>
    </row>
    <row r="9">
      <c r="C9" s="364" t="s">
        <v>301</v>
      </c>
      <c r="D9" s="364" t="s">
        <v>430</v>
      </c>
      <c r="E9" s="364" t="s">
        <v>486</v>
      </c>
    </row>
    <row r="10">
      <c r="C10" s="364" t="s">
        <v>304</v>
      </c>
      <c r="D10" s="364" t="s">
        <v>433</v>
      </c>
      <c r="E10" s="364" t="s">
        <v>489</v>
      </c>
    </row>
    <row r="11">
      <c r="C11" s="364" t="s">
        <v>307</v>
      </c>
      <c r="D11" s="364" t="s">
        <v>436</v>
      </c>
      <c r="E11" s="364" t="s">
        <v>492</v>
      </c>
    </row>
    <row r="12">
      <c r="C12" s="364" t="s">
        <v>310</v>
      </c>
      <c r="D12" s="364" t="s">
        <v>439</v>
      </c>
      <c r="E12" s="364" t="s">
        <v>495</v>
      </c>
    </row>
    <row r="13">
      <c r="C13" s="364" t="s">
        <v>313</v>
      </c>
      <c r="D13" s="364" t="s">
        <v>653</v>
      </c>
      <c r="E13" s="364" t="s">
        <v>498</v>
      </c>
    </row>
    <row r="14">
      <c r="C14" s="364" t="s">
        <v>316</v>
      </c>
      <c r="D14" s="364" t="s">
        <v>654</v>
      </c>
      <c r="E14" s="364" t="s">
        <v>501</v>
      </c>
    </row>
    <row r="15">
      <c r="C15" s="364" t="s">
        <v>318</v>
      </c>
      <c r="D15" s="364" t="s">
        <v>442</v>
      </c>
      <c r="E15" s="364" t="s">
        <v>504</v>
      </c>
    </row>
    <row r="16">
      <c r="C16" s="364" t="s">
        <v>260</v>
      </c>
      <c r="D16" s="364" t="s">
        <v>445</v>
      </c>
      <c r="E16" s="364" t="s">
        <v>507</v>
      </c>
    </row>
    <row r="17">
      <c r="C17" s="364" t="s">
        <v>263</v>
      </c>
      <c r="D17" s="364" t="s">
        <v>448</v>
      </c>
      <c r="E17" s="364" t="s">
        <v>510</v>
      </c>
    </row>
    <row r="18">
      <c r="C18" s="364" t="s">
        <v>655</v>
      </c>
      <c r="D18" s="364" t="s">
        <v>656</v>
      </c>
      <c r="E18" s="364" t="s">
        <v>513</v>
      </c>
    </row>
    <row r="19">
      <c r="C19" s="364" t="s">
        <v>265</v>
      </c>
      <c r="D19" s="364" t="s">
        <v>657</v>
      </c>
      <c r="E19" s="364" t="s">
        <v>516</v>
      </c>
    </row>
    <row r="20">
      <c r="C20" s="364" t="s">
        <v>268</v>
      </c>
      <c r="D20" s="364" t="s">
        <v>658</v>
      </c>
      <c r="E20" s="364" t="s">
        <v>519</v>
      </c>
    </row>
    <row r="21">
      <c r="C21" s="364" t="s">
        <v>271</v>
      </c>
      <c r="D21" s="364" t="s">
        <v>659</v>
      </c>
      <c r="E21" s="364" t="s">
        <v>522</v>
      </c>
    </row>
    <row r="22">
      <c r="C22" s="364" t="s">
        <v>274</v>
      </c>
      <c r="D22" s="364" t="s">
        <v>660</v>
      </c>
      <c r="E22" s="364" t="s">
        <v>525</v>
      </c>
    </row>
    <row r="23">
      <c r="C23" s="364" t="s">
        <v>277</v>
      </c>
      <c r="D23" s="364" t="s">
        <v>661</v>
      </c>
      <c r="E23" s="364" t="s">
        <v>528</v>
      </c>
    </row>
    <row r="24">
      <c r="C24" s="364" t="s">
        <v>280</v>
      </c>
      <c r="D24" s="364" t="s">
        <v>662</v>
      </c>
      <c r="E24" s="364" t="s">
        <v>531</v>
      </c>
    </row>
    <row r="25">
      <c r="C25" s="364" t="s">
        <v>283</v>
      </c>
      <c r="D25" s="364" t="s">
        <v>379</v>
      </c>
      <c r="E25" s="364" t="s">
        <v>534</v>
      </c>
    </row>
    <row r="26">
      <c r="C26" s="364" t="s">
        <v>287</v>
      </c>
      <c r="D26" s="364" t="s">
        <v>382</v>
      </c>
      <c r="E26" s="364" t="s">
        <v>537</v>
      </c>
    </row>
    <row r="27">
      <c r="C27" s="364" t="s">
        <v>290</v>
      </c>
      <c r="D27" s="364" t="s">
        <v>385</v>
      </c>
      <c r="E27" s="364" t="s">
        <v>540</v>
      </c>
    </row>
    <row r="28">
      <c r="D28" s="364" t="s">
        <v>388</v>
      </c>
      <c r="E28" s="364" t="s">
        <v>543</v>
      </c>
    </row>
    <row r="29">
      <c r="D29" s="364" t="s">
        <v>391</v>
      </c>
      <c r="E29" s="364" t="s">
        <v>546</v>
      </c>
    </row>
    <row r="30">
      <c r="D30" s="364" t="s">
        <v>394</v>
      </c>
      <c r="E30" s="364" t="s">
        <v>549</v>
      </c>
    </row>
    <row r="31">
      <c r="D31" s="364" t="s">
        <v>397</v>
      </c>
      <c r="E31" s="364" t="s">
        <v>552</v>
      </c>
    </row>
    <row r="32">
      <c r="D32" s="364" t="s">
        <v>400</v>
      </c>
      <c r="E32" s="364" t="s">
        <v>555</v>
      </c>
    </row>
    <row r="33">
      <c r="D33" s="364" t="s">
        <v>403</v>
      </c>
      <c r="E33" s="364" t="s">
        <v>558</v>
      </c>
    </row>
    <row r="34">
      <c r="D34" s="364" t="s">
        <v>406</v>
      </c>
      <c r="E34" s="364" t="s">
        <v>561</v>
      </c>
    </row>
    <row r="35">
      <c r="D35" s="364" t="s">
        <v>409</v>
      </c>
      <c r="E35" s="364" t="s">
        <v>564</v>
      </c>
    </row>
    <row r="36">
      <c r="D36" s="364" t="s">
        <v>412</v>
      </c>
      <c r="E36" s="364" t="s">
        <v>567</v>
      </c>
    </row>
    <row r="37">
      <c r="D37" s="364" t="s">
        <v>415</v>
      </c>
      <c r="E37" s="364" t="s">
        <v>586</v>
      </c>
    </row>
    <row r="38">
      <c r="D38" s="364" t="s">
        <v>418</v>
      </c>
    </row>
    <row r="39">
      <c r="D39" s="364" t="s">
        <v>421</v>
      </c>
    </row>
    <row r="40">
      <c r="D40" s="364" t="s">
        <v>424</v>
      </c>
    </row>
    <row r="41">
      <c r="D41" s="364" t="s">
        <v>427</v>
      </c>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outlinePr summaryBelow="0" summaryRight="0"/>
  </sheetPr>
  <sheetViews>
    <sheetView showGridLines="0" workbookViewId="0">
      <pane ySplit="13.0" topLeftCell="A14" activePane="bottomLeft" state="frozen"/>
      <selection activeCell="B15" sqref="B15" pane="bottomLeft"/>
    </sheetView>
  </sheetViews>
  <sheetFormatPr customHeight="1" defaultColWidth="12.63" defaultRowHeight="15.0"/>
  <cols>
    <col customWidth="1" min="1" max="17" width="12.63"/>
    <col customWidth="1" min="18" max="18" width="53.38"/>
    <col customWidth="1" hidden="1" min="19" max="20" width="12.63"/>
    <col customWidth="1" min="21" max="21" width="16.38"/>
    <col customWidth="1" min="22" max="22" width="12.0"/>
    <col customWidth="1" min="23" max="23" width="10.75"/>
    <col customWidth="1" min="24" max="25" width="13.25"/>
    <col customWidth="1" min="26" max="26" width="11.75"/>
    <col customWidth="1" min="27" max="27" width="13.0"/>
    <col customWidth="1" min="28" max="28" width="17.38"/>
    <col customWidth="1" min="29" max="29" width="19.13"/>
  </cols>
  <sheetData>
    <row r="1" ht="15.75" customHeight="1">
      <c r="A1" s="1" t="s">
        <v>663</v>
      </c>
      <c r="B1" s="3"/>
      <c r="C1" s="3"/>
      <c r="D1" s="3"/>
      <c r="E1" s="3"/>
      <c r="F1" s="3"/>
      <c r="G1" s="3"/>
      <c r="H1" s="3"/>
      <c r="I1" s="3"/>
      <c r="J1" s="3"/>
      <c r="K1" s="3"/>
      <c r="L1" s="3"/>
      <c r="M1" s="3"/>
      <c r="N1" s="3"/>
      <c r="O1" s="1" t="s">
        <v>114</v>
      </c>
      <c r="P1" s="3"/>
      <c r="Q1" s="3"/>
      <c r="R1" s="3"/>
      <c r="S1" s="3"/>
      <c r="T1" s="3"/>
      <c r="U1" s="1" t="s">
        <v>664</v>
      </c>
      <c r="V1" s="3"/>
      <c r="W1" s="3"/>
      <c r="X1" s="3"/>
      <c r="Y1" s="3"/>
      <c r="Z1" s="3"/>
      <c r="AA1" s="3"/>
      <c r="AB1" s="3"/>
      <c r="AC1" s="3"/>
    </row>
    <row r="2" ht="15.75" customHeight="1">
      <c r="A2" s="667" t="s">
        <v>665</v>
      </c>
      <c r="B2" s="668"/>
      <c r="C2" s="668"/>
      <c r="D2" s="668"/>
      <c r="E2" s="669" t="s">
        <v>117</v>
      </c>
      <c r="F2" s="670"/>
      <c r="G2" s="669" t="s">
        <v>643</v>
      </c>
      <c r="H2" s="670"/>
      <c r="I2" s="669" t="s">
        <v>640</v>
      </c>
      <c r="J2" s="670"/>
      <c r="K2" s="669" t="s">
        <v>637</v>
      </c>
      <c r="L2" s="670"/>
      <c r="M2" s="670"/>
      <c r="N2" s="670"/>
      <c r="O2" s="669" t="s">
        <v>666</v>
      </c>
      <c r="P2" s="670"/>
      <c r="Q2" s="670"/>
      <c r="R2" s="670"/>
    </row>
    <row r="3" ht="15.75" customHeight="1">
      <c r="A3" s="671" t="s">
        <v>667</v>
      </c>
      <c r="B3" s="672"/>
      <c r="C3" s="672"/>
      <c r="D3" s="672"/>
      <c r="E3" s="673">
        <f>SUM($E$4:$E$6)</f>
        <v>38</v>
      </c>
      <c r="F3" s="673"/>
      <c r="G3" s="673">
        <f>$E$4</f>
        <v>38</v>
      </c>
      <c r="H3" s="673"/>
      <c r="I3" s="673">
        <f>$E$5</f>
        <v>0</v>
      </c>
      <c r="J3" s="673"/>
      <c r="K3" s="673">
        <f>$E$6</f>
        <v>0</v>
      </c>
      <c r="L3" s="673"/>
      <c r="M3" s="673"/>
      <c r="N3" s="673"/>
      <c r="O3" s="673"/>
      <c r="P3" s="673"/>
      <c r="Q3" s="673"/>
      <c r="R3" s="673"/>
      <c r="U3" s="674" t="s">
        <v>82</v>
      </c>
      <c r="V3" s="675" t="s">
        <v>668</v>
      </c>
      <c r="W3" s="675" t="s">
        <v>669</v>
      </c>
      <c r="X3" s="675" t="s">
        <v>670</v>
      </c>
      <c r="Y3" s="675" t="s">
        <v>671</v>
      </c>
    </row>
    <row r="4" ht="15.75" customHeight="1">
      <c r="A4" s="671" t="s">
        <v>672</v>
      </c>
      <c r="B4" s="671"/>
      <c r="C4" s="671"/>
      <c r="D4" s="671"/>
      <c r="E4" s="676">
        <f>COUNTIF($A$14:$A$441,"Lớp 5")</f>
        <v>38</v>
      </c>
      <c r="F4" s="676"/>
      <c r="G4" s="676"/>
      <c r="H4" s="676"/>
      <c r="I4" s="676"/>
      <c r="J4" s="676"/>
      <c r="K4" s="676"/>
      <c r="L4" s="676"/>
      <c r="M4" s="676"/>
      <c r="N4" s="676"/>
      <c r="O4" s="676"/>
      <c r="P4" s="676"/>
      <c r="Q4" s="676"/>
      <c r="R4" s="676"/>
      <c r="U4" s="677" t="str">
        <f>IFERROR(__xludf.DUMMYFUNCTION("LET(ds,VSTACK(IFERROR(FILTER('Lớp 3 - Công việc chính'!$V$14:$V$73,'Lớp 3 - Công việc chính'!$V$14:$V$73&lt;&gt;""""),""""),IFERROR(FILTER('Lớp 4 - Danh mục'!$Z$14:$Z$132,'Lớp 4 - Danh mục'!$Z$14:$Z$132&lt;&gt;""""),""""),IFERROR(FILTER('Lớp 5 - Phân công'!$AA$14:$AA"&amp;"$262,'Lớp 5 - Phân công'!$AA$14:$AA$262&lt;&gt;""""),""""),IFERROR(FILTER('Lớp 6 - Chi tiết'!$AC$14:$AC$267,'Lớp 6 - Chi tiết'!$AC$14:$AC$267&lt;&gt;""""),"""")),SORT(UNIQUE(FILTER(ds,ds&lt;&gt;""""))))"),"Em Đại")</f>
        <v>Em Đại</v>
      </c>
      <c r="V4" s="678">
        <f>IF(U4="","",SUMIFS('Lớp 3 - Công việc chính'!$AF$14:$AF$73,'Lớp 3 - Công việc chính'!$V$14:$V$73,U4,'Lớp 3 - Công việc chính'!$Z$14:$Z$73,"&lt;="&amp;TODAY(),'Lớp 3 - Công việc chính'!$AA$14:$AA$73,"&gt;="&amp;TODAY())+SUMIFS('Lớp 4 - Danh mục'!$AI$14:$AI$132,'Lớp 4 - Danh mục'!$Z$14:$Z$132,U4,'Lớp 4 - Danh mục'!$AC$14:$AC$132,"&lt;="&amp;TODAY(),'Lớp 4 - Danh mục'!$AD$14:$AD$132,"&gt;="&amp;TODAY())+SUMIFS('Lớp 5 - Phân công'!$AJ$14:$AJ$262,'Lớp 5 - Phân công'!$AA$14:$AA$262,U4,'Lớp 5 - Phân công'!$AD$14:$AD$262,"&lt;="&amp;TODAY(),'Lớp 5 - Phân công'!$AE$14:$AE$262,"&gt;="&amp;TODAY())+SUMIFS('Lớp 6 - Chi tiết'!$AM$14:$AM$267,'Lớp 6 - Chi tiết'!$AC$14:$AC$267,U4,'Lớp 6 - Chi tiết'!$AG$14:$AG$267,"&lt;="&amp;TODAY(),'Lớp 6 - Chi tiết'!$AH$14:$AH$267,"&gt;="&amp;TODAY()))</f>
        <v>0</v>
      </c>
      <c r="W4" s="679">
        <f>IF(V4="","",V4/'Danh mục chọn'!$J$2)</f>
        <v>0</v>
      </c>
      <c r="X4" s="680" t="str">
        <f>IF(V4="","",IF(V4=0,"Chưa có tải tính được",IF(V4&gt;'Danh mục chọn'!$J$2,"Quá tải",IF(V4&gt;='Danh mục chọn'!$J$2*'Danh mục chọn'!$J$3,"Cận tải","Bình thường"))))</f>
        <v>Chưa có tải tính được</v>
      </c>
      <c r="Y4" s="678" t="str">
        <f>IF(U4="","",SUMPRODUCT(('Lớp 3 - Công việc chính'!$V$14:$V$73=U4)*('Lớp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mục'!$Z$14:$Z$132=U4)*('Lớp 4 - Danh mục'!$AD$14:$AD$132&lt;TODAY())*('Lớp 4 - Danh mục'!$AA$14:$AA$132&lt;&gt;"Hoàn thành")*('Lớp 4 - Danh mục'!$AA$14:$AA$132&lt;&gt;"Hủy")*('Lớp 4 - Danh mục'!$AI$14:$AI$132&lt;&gt;"")*IFERROR('Lớp 4 - Danh mục'!$AH$14:$AH$132*(1-'Lớp 4 - Danh mục'!$AF$14:$AF$132),0))+SUMPRODUCT(('Lớp 5 - Phân công'!$AA$14:$AA$262=U4)*('Lớp 5 - Phân công'!$AE$14:$AE$262&lt;TODAY())*('Lớp 5 - Phân công'!$AB$14:$AB$262&lt;&gt;"Hoàn thành")*('Lớp 5 - Phân công'!$AB$14:$AB$262&lt;&gt;"Hủy")*('Lớp 5 - Phân công'!$AJ$14:$AJ$262&lt;&gt;"")*IFERROR('Lớp 5 - Phân công'!$AI$14:$AI$262*(1-'Lớp 5 - Phân công'!$AG$14:$AG$262),0))+SUMPRODUCT(('Lớp 6 - Chi tiết'!$AC$14:$AC$267=U4)*('Lớp 6 - Chi tiết'!$AH$14:$AH$267&lt;TODAY())*('Lớp 6 - Chi tiết'!$AE$14:$AE$267&lt;&gt;"Hoàn thành")*('Lớp 6 - Chi tiết'!$AE$14:$AE$267&lt;&gt;"Hủy")*('Lớp 6 - Chi tiết'!$AM$14:$AM$267&lt;&gt;"")*IFERROR('Lớp 6 - Chi tiết'!$AL$14:$AL$267*(1-'Lớp 6 - Chi tiết'!$AJ$14:$AJ$267),0)))</f>
        <v>#REF!</v>
      </c>
    </row>
    <row r="5" ht="15.75" customHeight="1">
      <c r="A5" s="671" t="s">
        <v>673</v>
      </c>
      <c r="B5" s="671"/>
      <c r="C5" s="671"/>
      <c r="D5" s="671"/>
      <c r="E5" s="676">
        <f>COUNTIF($A$14:$A$441,"Lớp 4")</f>
        <v>0</v>
      </c>
      <c r="F5" s="676"/>
      <c r="G5" s="676"/>
      <c r="H5" s="676"/>
      <c r="I5" s="676"/>
      <c r="J5" s="676"/>
      <c r="K5" s="676"/>
      <c r="L5" s="676"/>
      <c r="M5" s="676"/>
      <c r="N5" s="676"/>
      <c r="O5" s="676"/>
      <c r="P5" s="676"/>
      <c r="Q5" s="676"/>
      <c r="R5" s="676"/>
      <c r="U5" s="677" t="str">
        <f>IFERROR(__xludf.DUMMYFUNCTION("""COMPUTED_VALUE"""),"GĐ BOC")</f>
        <v>GĐ BOC</v>
      </c>
      <c r="V5" s="678">
        <f>IF(U5="","",SUMIFS('Lớp 3 - Công việc chính'!$AF$14:$AF$73,'Lớp 3 - Công việc chính'!$V$14:$V$73,U5,'Lớp 3 - Công việc chính'!$Z$14:$Z$73,"&lt;="&amp;TODAY(),'Lớp 3 - Công việc chính'!$AA$14:$AA$73,"&gt;="&amp;TODAY())+SUMIFS('Lớp 4 - Danh mục'!$AI$14:$AI$132,'Lớp 4 - Danh mục'!$Z$14:$Z$132,U5,'Lớp 4 - Danh mục'!$AC$14:$AC$132,"&lt;="&amp;TODAY(),'Lớp 4 - Danh mục'!$AD$14:$AD$132,"&gt;="&amp;TODAY())+SUMIFS('Lớp 5 - Phân công'!$AJ$14:$AJ$262,'Lớp 5 - Phân công'!$AA$14:$AA$262,U5,'Lớp 5 - Phân công'!$AD$14:$AD$262,"&lt;="&amp;TODAY(),'Lớp 5 - Phân công'!$AE$14:$AE$262,"&gt;="&amp;TODAY())+SUMIFS('Lớp 6 - Chi tiết'!$AM$14:$AM$267,'Lớp 6 - Chi tiết'!$AC$14:$AC$267,U5,'Lớp 6 - Chi tiết'!$AG$14:$AG$267,"&lt;="&amp;TODAY(),'Lớp 6 - Chi tiết'!$AH$14:$AH$267,"&gt;="&amp;TODAY()))</f>
        <v>1.6</v>
      </c>
      <c r="W5" s="679">
        <f>IF(V5="","",V5/'Danh mục chọn'!$J$2)</f>
        <v>0.2</v>
      </c>
      <c r="X5" s="680" t="str">
        <f>IF(V5="","",IF(V5=0,"Chưa có tải tính được",IF(V5&gt;'Danh mục chọn'!$J$2,"Quá tải",IF(V5&gt;='Danh mục chọn'!$J$2*'Danh mục chọn'!$J$3,"Cận tải","Bình thường"))))</f>
        <v>Bình thường</v>
      </c>
      <c r="Y5" s="678" t="str">
        <f>IF(U5="","",SUMPRODUCT(('Lớp 3 - Công việc chính'!$V$14:$V$73=U5)*('Lớp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mục'!$Z$14:$Z$132=U5)*('Lớp 4 - Danh mục'!$AD$14:$AD$132&lt;TODAY())*('Lớp 4 - Danh mục'!$AA$14:$AA$132&lt;&gt;"Hoàn thành")*('Lớp 4 - Danh mục'!$AA$14:$AA$132&lt;&gt;"Hủy")*('Lớp 4 - Danh mục'!$AI$14:$AI$132&lt;&gt;"")*IFERROR('Lớp 4 - Danh mục'!$AH$14:$AH$132*(1-'Lớp 4 - Danh mục'!$AF$14:$AF$132),0))+SUMPRODUCT(('Lớp 5 - Phân công'!$AA$14:$AA$262=U5)*('Lớp 5 - Phân công'!$AE$14:$AE$262&lt;TODAY())*('Lớp 5 - Phân công'!$AB$14:$AB$262&lt;&gt;"Hoàn thành")*('Lớp 5 - Phân công'!$AB$14:$AB$262&lt;&gt;"Hủy")*('Lớp 5 - Phân công'!$AJ$14:$AJ$262&lt;&gt;"")*IFERROR('Lớp 5 - Phân công'!$AI$14:$AI$262*(1-'Lớp 5 - Phân công'!$AG$14:$AG$262),0))+SUMPRODUCT(('Lớp 6 - Chi tiết'!$AC$14:$AC$267=U5)*('Lớp 6 - Chi tiết'!$AH$14:$AH$267&lt;TODAY())*('Lớp 6 - Chi tiết'!$AE$14:$AE$267&lt;&gt;"Hoàn thành")*('Lớp 6 - Chi tiết'!$AE$14:$AE$267&lt;&gt;"Hủy")*('Lớp 6 - Chi tiết'!$AM$14:$AM$267&lt;&gt;"")*IFERROR('Lớp 6 - Chi tiết'!$AL$14:$AL$267*(1-'Lớp 6 - Chi tiết'!$AJ$14:$AJ$267),0)))</f>
        <v>#REF!</v>
      </c>
    </row>
    <row r="6" ht="15.75" customHeight="1">
      <c r="A6" s="671" t="s">
        <v>674</v>
      </c>
      <c r="B6" s="671"/>
      <c r="C6" s="671"/>
      <c r="D6" s="671"/>
      <c r="E6" s="676">
        <f>COUNTIF($A$14:$A$441,"Lớp 3")</f>
        <v>0</v>
      </c>
      <c r="F6" s="676"/>
      <c r="G6" s="676"/>
      <c r="H6" s="676"/>
      <c r="I6" s="676"/>
      <c r="J6" s="676"/>
      <c r="K6" s="676"/>
      <c r="L6" s="676"/>
      <c r="M6" s="676"/>
      <c r="N6" s="676"/>
      <c r="O6" s="676"/>
      <c r="P6" s="676"/>
      <c r="Q6" s="676"/>
      <c r="R6" s="676"/>
      <c r="U6" s="677" t="str">
        <f>IFERROR(__xludf.DUMMYFUNCTION("""COMPUTED_VALUE"""),"Ms Trang")</f>
        <v>Ms Trang</v>
      </c>
      <c r="V6" s="678">
        <f>IF(U6="","",SUMIFS('Lớp 3 - Công việc chính'!$AF$14:$AF$73,'Lớp 3 - Công việc chính'!$V$14:$V$73,U6,'Lớp 3 - Công việc chính'!$Z$14:$Z$73,"&lt;="&amp;TODAY(),'Lớp 3 - Công việc chính'!$AA$14:$AA$73,"&gt;="&amp;TODAY())+SUMIFS('Lớp 4 - Danh mục'!$AI$14:$AI$132,'Lớp 4 - Danh mục'!$Z$14:$Z$132,U6,'Lớp 4 - Danh mục'!$AC$14:$AC$132,"&lt;="&amp;TODAY(),'Lớp 4 - Danh mục'!$AD$14:$AD$132,"&gt;="&amp;TODAY())+SUMIFS('Lớp 5 - Phân công'!$AJ$14:$AJ$262,'Lớp 5 - Phân công'!$AA$14:$AA$262,U6,'Lớp 5 - Phân công'!$AD$14:$AD$262,"&lt;="&amp;TODAY(),'Lớp 5 - Phân công'!$AE$14:$AE$262,"&gt;="&amp;TODAY())+SUMIFS('Lớp 6 - Chi tiết'!$AM$14:$AM$267,'Lớp 6 - Chi tiết'!$AC$14:$AC$267,U6,'Lớp 6 - Chi tiết'!$AG$14:$AG$267,"&lt;="&amp;TODAY(),'Lớp 6 - Chi tiết'!$AH$14:$AH$267,"&gt;="&amp;TODAY()))</f>
        <v>0</v>
      </c>
      <c r="W6" s="679">
        <f>IF(V6="","",V6/'Danh mục chọn'!$J$2)</f>
        <v>0</v>
      </c>
      <c r="X6" s="680" t="str">
        <f>IF(V6="","",IF(V6=0,"Chưa có tải tính được",IF(V6&gt;'Danh mục chọn'!$J$2,"Quá tải",IF(V6&gt;='Danh mục chọn'!$J$2*'Danh mục chọn'!$J$3,"Cận tải","Bình thường"))))</f>
        <v>Chưa có tải tính được</v>
      </c>
      <c r="Y6" s="678" t="str">
        <f>IF(U6="","",SUMPRODUCT(('Lớp 3 - Công việc chính'!$V$14:$V$73=U6)*('Lớp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mục'!$Z$14:$Z$132=U6)*('Lớp 4 - Danh mục'!$AD$14:$AD$132&lt;TODAY())*('Lớp 4 - Danh mục'!$AA$14:$AA$132&lt;&gt;"Hoàn thành")*('Lớp 4 - Danh mục'!$AA$14:$AA$132&lt;&gt;"Hủy")*('Lớp 4 - Danh mục'!$AI$14:$AI$132&lt;&gt;"")*IFERROR('Lớp 4 - Danh mục'!$AH$14:$AH$132*(1-'Lớp 4 - Danh mục'!$AF$14:$AF$132),0))+SUMPRODUCT(('Lớp 5 - Phân công'!$AA$14:$AA$262=U6)*('Lớp 5 - Phân công'!$AE$14:$AE$262&lt;TODAY())*('Lớp 5 - Phân công'!$AB$14:$AB$262&lt;&gt;"Hoàn thành")*('Lớp 5 - Phân công'!$AB$14:$AB$262&lt;&gt;"Hủy")*('Lớp 5 - Phân công'!$AJ$14:$AJ$262&lt;&gt;"")*IFERROR('Lớp 5 - Phân công'!$AI$14:$AI$262*(1-'Lớp 5 - Phân công'!$AG$14:$AG$262),0))+SUMPRODUCT(('Lớp 6 - Chi tiết'!$AC$14:$AC$267=U6)*('Lớp 6 - Chi tiết'!$AH$14:$AH$267&lt;TODAY())*('Lớp 6 - Chi tiết'!$AE$14:$AE$267&lt;&gt;"Hoàn thành")*('Lớp 6 - Chi tiết'!$AE$14:$AE$267&lt;&gt;"Hủy")*('Lớp 6 - Chi tiết'!$AM$14:$AM$267&lt;&gt;"")*IFERROR('Lớp 6 - Chi tiết'!$AL$14:$AL$267*(1-'Lớp 6 - Chi tiết'!$AJ$14:$AJ$267),0)))</f>
        <v>#REF!</v>
      </c>
    </row>
    <row r="7" ht="15.75" customHeight="1">
      <c r="A7" s="671" t="s">
        <v>141</v>
      </c>
      <c r="B7" s="671"/>
      <c r="C7" s="671"/>
      <c r="D7" s="671"/>
      <c r="E7" s="676">
        <f>COUNTIF($P$14:$P$441,"P1")</f>
        <v>10</v>
      </c>
      <c r="F7" s="676"/>
      <c r="G7" s="676"/>
      <c r="H7" s="676"/>
      <c r="I7" s="676"/>
      <c r="J7" s="676"/>
      <c r="K7" s="676"/>
      <c r="L7" s="676"/>
      <c r="M7" s="676"/>
      <c r="N7" s="676"/>
      <c r="O7" s="676"/>
      <c r="P7" s="676"/>
      <c r="Q7" s="676"/>
      <c r="R7" s="676"/>
      <c r="U7" s="677" t="str">
        <f>IFERROR(__xludf.DUMMYFUNCTION("""COMPUTED_VALUE"""),"Team PTSP")</f>
        <v>Team PTSP</v>
      </c>
      <c r="V7" s="678">
        <f>IF(U7="","",SUMIFS('Lớp 3 - Công việc chính'!$AF$14:$AF$73,'Lớp 3 - Công việc chính'!$V$14:$V$73,U7,'Lớp 3 - Công việc chính'!$Z$14:$Z$73,"&lt;="&amp;TODAY(),'Lớp 3 - Công việc chính'!$AA$14:$AA$73,"&gt;="&amp;TODAY())+SUMIFS('Lớp 4 - Danh mục'!$AI$14:$AI$132,'Lớp 4 - Danh mục'!$Z$14:$Z$132,U7,'Lớp 4 - Danh mục'!$AC$14:$AC$132,"&lt;="&amp;TODAY(),'Lớp 4 - Danh mục'!$AD$14:$AD$132,"&gt;="&amp;TODAY())+SUMIFS('Lớp 5 - Phân công'!$AJ$14:$AJ$262,'Lớp 5 - Phân công'!$AA$14:$AA$262,U7,'Lớp 5 - Phân công'!$AD$14:$AD$262,"&lt;="&amp;TODAY(),'Lớp 5 - Phân công'!$AE$14:$AE$262,"&gt;="&amp;TODAY())+SUMIFS('Lớp 6 - Chi tiết'!$AM$14:$AM$267,'Lớp 6 - Chi tiết'!$AC$14:$AC$267,U7,'Lớp 6 - Chi tiết'!$AG$14:$AG$267,"&lt;="&amp;TODAY(),'Lớp 6 - Chi tiết'!$AH$14:$AH$267,"&gt;="&amp;TODAY()))</f>
        <v>0</v>
      </c>
      <c r="W7" s="679">
        <f>IF(V7="","",V7/'Danh mục chọn'!$J$2)</f>
        <v>0</v>
      </c>
      <c r="X7" s="680" t="str">
        <f>IF(V7="","",IF(V7=0,"Chưa có tải tính được",IF(V7&gt;'Danh mục chọn'!$J$2,"Quá tải",IF(V7&gt;='Danh mục chọn'!$J$2*'Danh mục chọn'!$J$3,"Cận tải","Bình thường"))))</f>
        <v>Chưa có tải tính được</v>
      </c>
      <c r="Y7" s="678" t="str">
        <f>IF(U7="","",SUMPRODUCT(('Lớp 3 - Công việc chính'!$V$14:$V$73=U7)*('Lớp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mục'!$Z$14:$Z$132=U7)*('Lớp 4 - Danh mục'!$AD$14:$AD$132&lt;TODAY())*('Lớp 4 - Danh mục'!$AA$14:$AA$132&lt;&gt;"Hoàn thành")*('Lớp 4 - Danh mục'!$AA$14:$AA$132&lt;&gt;"Hủy")*('Lớp 4 - Danh mục'!$AI$14:$AI$132&lt;&gt;"")*IFERROR('Lớp 4 - Danh mục'!$AH$14:$AH$132*(1-'Lớp 4 - Danh mục'!$AF$14:$AF$132),0))+SUMPRODUCT(('Lớp 5 - Phân công'!$AA$14:$AA$262=U7)*('Lớp 5 - Phân công'!$AE$14:$AE$262&lt;TODAY())*('Lớp 5 - Phân công'!$AB$14:$AB$262&lt;&gt;"Hoàn thành")*('Lớp 5 - Phân công'!$AB$14:$AB$262&lt;&gt;"Hủy")*('Lớp 5 - Phân công'!$AJ$14:$AJ$262&lt;&gt;"")*IFERROR('Lớp 5 - Phân công'!$AI$14:$AI$262*(1-'Lớp 5 - Phân công'!$AG$14:$AG$262),0))+SUMPRODUCT(('Lớp 6 - Chi tiết'!$AC$14:$AC$267=U7)*('Lớp 6 - Chi tiết'!$AH$14:$AH$267&lt;TODAY())*('Lớp 6 - Chi tiết'!$AE$14:$AE$267&lt;&gt;"Hoàn thành")*('Lớp 6 - Chi tiết'!$AE$14:$AE$267&lt;&gt;"Hủy")*('Lớp 6 - Chi tiết'!$AM$14:$AM$267&lt;&gt;"")*IFERROR('Lớp 6 - Chi tiết'!$AL$14:$AL$267*(1-'Lớp 6 - Chi tiết'!$AJ$14:$AJ$267),0)))</f>
        <v>#REF!</v>
      </c>
    </row>
    <row r="8" ht="15.75" customHeight="1">
      <c r="A8" s="671" t="s">
        <v>142</v>
      </c>
      <c r="B8" s="671"/>
      <c r="C8" s="671"/>
      <c r="D8" s="671"/>
      <c r="E8" s="676">
        <f>COUNTIF($P$14:$P$441,"P2")</f>
        <v>25</v>
      </c>
      <c r="F8" s="676"/>
      <c r="G8" s="676"/>
      <c r="H8" s="676"/>
      <c r="I8" s="676"/>
      <c r="J8" s="676"/>
      <c r="K8" s="676"/>
      <c r="L8" s="676"/>
      <c r="M8" s="676"/>
      <c r="N8" s="676"/>
      <c r="O8" s="676"/>
      <c r="P8" s="676"/>
      <c r="Q8" s="676"/>
      <c r="R8" s="676"/>
      <c r="U8" s="677" t="str">
        <f>IFERROR(__xludf.DUMMYFUNCTION("""COMPUTED_VALUE"""),"Thu Trang")</f>
        <v>Thu Trang</v>
      </c>
      <c r="V8" s="678">
        <f>IF(U8="","",SUMIFS('Lớp 3 - Công việc chính'!$AF$14:$AF$73,'Lớp 3 - Công việc chính'!$V$14:$V$73,U8,'Lớp 3 - Công việc chính'!$Z$14:$Z$73,"&lt;="&amp;TODAY(),'Lớp 3 - Công việc chính'!$AA$14:$AA$73,"&gt;="&amp;TODAY())+SUMIFS('Lớp 4 - Danh mục'!$AI$14:$AI$132,'Lớp 4 - Danh mục'!$Z$14:$Z$132,U8,'Lớp 4 - Danh mục'!$AC$14:$AC$132,"&lt;="&amp;TODAY(),'Lớp 4 - Danh mục'!$AD$14:$AD$132,"&gt;="&amp;TODAY())+SUMIFS('Lớp 5 - Phân công'!$AJ$14:$AJ$262,'Lớp 5 - Phân công'!$AA$14:$AA$262,U8,'Lớp 5 - Phân công'!$AD$14:$AD$262,"&lt;="&amp;TODAY(),'Lớp 5 - Phân công'!$AE$14:$AE$262,"&gt;="&amp;TODAY())+SUMIFS('Lớp 6 - Chi tiết'!$AM$14:$AM$267,'Lớp 6 - Chi tiết'!$AC$14:$AC$267,U8,'Lớp 6 - Chi tiết'!$AG$14:$AG$267,"&lt;="&amp;TODAY(),'Lớp 6 - Chi tiết'!$AH$14:$AH$267,"&gt;="&amp;TODAY()))</f>
        <v>0</v>
      </c>
      <c r="W8" s="679">
        <f>IF(V8="","",V8/'Danh mục chọn'!$J$2)</f>
        <v>0</v>
      </c>
      <c r="X8" s="680" t="str">
        <f>IF(V8="","",IF(V8=0,"Chưa có tải tính được",IF(V8&gt;'Danh mục chọn'!$J$2,"Quá tải",IF(V8&gt;='Danh mục chọn'!$J$2*'Danh mục chọn'!$J$3,"Cận tải","Bình thường"))))</f>
        <v>Chưa có tải tính được</v>
      </c>
      <c r="Y8" s="678" t="str">
        <f>IF(U8="","",SUMPRODUCT(('Lớp 3 - Công việc chính'!$V$14:$V$73=U8)*('Lớp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mục'!$Z$14:$Z$132=U8)*('Lớp 4 - Danh mục'!$AD$14:$AD$132&lt;TODAY())*('Lớp 4 - Danh mục'!$AA$14:$AA$132&lt;&gt;"Hoàn thành")*('Lớp 4 - Danh mục'!$AA$14:$AA$132&lt;&gt;"Hủy")*('Lớp 4 - Danh mục'!$AI$14:$AI$132&lt;&gt;"")*IFERROR('Lớp 4 - Danh mục'!$AH$14:$AH$132*(1-'Lớp 4 - Danh mục'!$AF$14:$AF$132),0))+SUMPRODUCT(('Lớp 5 - Phân công'!$AA$14:$AA$262=U8)*('Lớp 5 - Phân công'!$AE$14:$AE$262&lt;TODAY())*('Lớp 5 - Phân công'!$AB$14:$AB$262&lt;&gt;"Hoàn thành")*('Lớp 5 - Phân công'!$AB$14:$AB$262&lt;&gt;"Hủy")*('Lớp 5 - Phân công'!$AJ$14:$AJ$262&lt;&gt;"")*IFERROR('Lớp 5 - Phân công'!$AI$14:$AI$262*(1-'Lớp 5 - Phân công'!$AG$14:$AG$262),0))+SUMPRODUCT(('Lớp 6 - Chi tiết'!$AC$14:$AC$267=U8)*('Lớp 6 - Chi tiết'!$AH$14:$AH$267&lt;TODAY())*('Lớp 6 - Chi tiết'!$AE$14:$AE$267&lt;&gt;"Hoàn thành")*('Lớp 6 - Chi tiết'!$AE$14:$AE$267&lt;&gt;"Hủy")*('Lớp 6 - Chi tiết'!$AM$14:$AM$267&lt;&gt;"")*IFERROR('Lớp 6 - Chi tiết'!$AL$14:$AL$267*(1-'Lớp 6 - Chi tiết'!$AJ$14:$AJ$267),0)))</f>
        <v>#REF!</v>
      </c>
    </row>
    <row r="9" ht="15.75" customHeight="1">
      <c r="A9" s="671" t="s">
        <v>143</v>
      </c>
      <c r="B9" s="671"/>
      <c r="C9" s="671"/>
      <c r="D9" s="671"/>
      <c r="E9" s="681" t="str">
        <f>IFERROR(AVERAGEIF($B$14:$B$441,"&lt;&gt;",$Q$14:$Q$441),"")</f>
        <v/>
      </c>
      <c r="F9" s="676"/>
      <c r="G9" s="676"/>
      <c r="H9" s="676"/>
      <c r="I9" s="676"/>
      <c r="J9" s="676"/>
      <c r="K9" s="676"/>
      <c r="L9" s="676"/>
      <c r="M9" s="676"/>
      <c r="N9" s="676"/>
      <c r="O9" s="676"/>
      <c r="P9" s="676"/>
      <c r="Q9" s="676"/>
      <c r="R9" s="676"/>
      <c r="U9" s="677"/>
      <c r="V9" s="678" t="str">
        <f>IF(U9="","",SUMIFS('Lớp 3 - Công việc chính'!$AF$14:$AF$73,'Lớp 3 - Công việc chính'!$V$14:$V$73,U9,'Lớp 3 - Công việc chính'!$Z$14:$Z$73,"&lt;="&amp;TODAY(),'Lớp 3 - Công việc chính'!$AA$14:$AA$73,"&gt;="&amp;TODAY())+SUMIFS('Lớp 4 - Danh mục'!$AI$14:$AI$132,'Lớp 4 - Danh mục'!$Z$14:$Z$132,U9,'Lớp 4 - Danh mục'!$AC$14:$AC$132,"&lt;="&amp;TODAY(),'Lớp 4 - Danh mục'!$AD$14:$AD$132,"&gt;="&amp;TODAY())+SUMIFS('Lớp 5 - Phân công'!$AJ$14:$AJ$262,'Lớp 5 - Phân công'!$AA$14:$AA$262,U9,'Lớp 5 - Phân công'!$AD$14:$AD$262,"&lt;="&amp;TODAY(),'Lớp 5 - Phân công'!$AE$14:$AE$262,"&gt;="&amp;TODAY())+SUMIFS('Lớp 6 - Chi tiết'!$AM$14:$AM$267,'Lớp 6 - Chi tiết'!$AC$14:$AC$267,U9,'Lớp 6 - Chi tiết'!$AG$14:$AG$267,"&lt;="&amp;TODAY(),'Lớp 6 - Chi tiết'!$AH$14:$AH$267,"&gt;="&amp;TODAY()))</f>
        <v/>
      </c>
      <c r="W9" s="679" t="str">
        <f>IF(V9="","",V9/'Danh mục chọn'!$J$2)</f>
        <v/>
      </c>
      <c r="X9" s="680" t="str">
        <f>IF(V9="","",IF(V9=0,"Chưa có tải tính được",IF(V9&gt;'Danh mục chọn'!$J$2,"Quá tải",IF(V9&gt;='Danh mục chọn'!$J$2*'Danh mục chọn'!$J$3,"Cận tải","Bình thường"))))</f>
        <v/>
      </c>
      <c r="Y9" s="678" t="str">
        <f>IF(U9="","",SUMPRODUCT(('Lớp 3 - Công việc chính'!$V$14:$V$73=U9)*('Lớp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mục'!$Z$14:$Z$132=U9)*('Lớp 4 - Danh mục'!$AD$14:$AD$132&lt;TODAY())*('Lớp 4 - Danh mục'!$AA$14:$AA$132&lt;&gt;"Hoàn thành")*('Lớp 4 - Danh mục'!$AA$14:$AA$132&lt;&gt;"Hủy")*('Lớp 4 - Danh mục'!$AI$14:$AI$132&lt;&gt;"")*IFERROR('Lớp 4 - Danh mục'!$AH$14:$AH$132*(1-'Lớp 4 - Danh mục'!$AF$14:$AF$132),0))+SUMPRODUCT(('Lớp 5 - Phân công'!$AA$14:$AA$262=U9)*('Lớp 5 - Phân công'!$AE$14:$AE$262&lt;TODAY())*('Lớp 5 - Phân công'!$AB$14:$AB$262&lt;&gt;"Hoàn thành")*('Lớp 5 - Phân công'!$AB$14:$AB$262&lt;&gt;"Hủy")*('Lớp 5 - Phân công'!$AJ$14:$AJ$262&lt;&gt;"")*IFERROR('Lớp 5 - Phân công'!$AI$14:$AI$262*(1-'Lớp 5 - Phân công'!$AG$14:$AG$262),0))+SUMPRODUCT(('Lớp 6 - Chi tiết'!$AC$14:$AC$267=U9)*('Lớp 6 - Chi tiết'!$AH$14:$AH$267&lt;TODAY())*('Lớp 6 - Chi tiết'!$AE$14:$AE$267&lt;&gt;"Hoàn thành")*('Lớp 6 - Chi tiết'!$AE$14:$AE$267&lt;&gt;"Hủy")*('Lớp 6 - Chi tiết'!$AM$14:$AM$267&lt;&gt;"")*IFERROR('Lớp 6 - Chi tiết'!$AL$14:$AL$267*(1-'Lớp 6 - Chi tiết'!$AJ$14:$AJ$267),0)))</f>
        <v/>
      </c>
    </row>
    <row r="10" ht="15.75" customHeight="1">
      <c r="A10" s="671" t="s">
        <v>144</v>
      </c>
      <c r="B10" s="671"/>
      <c r="C10" s="671"/>
      <c r="D10" s="671"/>
      <c r="E10" s="676">
        <f>COUNTIFS($B$14:$B$441,"&lt;&gt;",$N$14:$N$441,"&lt;"&amp;TODAY(),$O$14:$O$441,"&lt;&gt;Hoàn thành",$O$14:$O$441,"&lt;&gt;Hủy")</f>
        <v>0</v>
      </c>
      <c r="F10" s="676"/>
      <c r="G10" s="676"/>
      <c r="H10" s="676"/>
      <c r="I10" s="676"/>
      <c r="J10" s="676"/>
      <c r="K10" s="676"/>
      <c r="L10" s="676"/>
      <c r="M10" s="676"/>
      <c r="N10" s="676"/>
      <c r="O10" s="676"/>
      <c r="P10" s="676"/>
      <c r="Q10" s="676"/>
      <c r="R10" s="676"/>
      <c r="U10" s="677"/>
      <c r="V10" s="678" t="str">
        <f>IF(U10="","",SUMIFS('Lớp 3 - Công việc chính'!$AF$14:$AF$73,'Lớp 3 - Công việc chính'!$V$14:$V$73,U10,'Lớp 3 - Công việc chính'!$Z$14:$Z$73,"&lt;="&amp;TODAY(),'Lớp 3 - Công việc chính'!$AA$14:$AA$73,"&gt;="&amp;TODAY())+SUMIFS('Lớp 4 - Danh mục'!$AI$14:$AI$132,'Lớp 4 - Danh mục'!$Z$14:$Z$132,U10,'Lớp 4 - Danh mục'!$AC$14:$AC$132,"&lt;="&amp;TODAY(),'Lớp 4 - Danh mục'!$AD$14:$AD$132,"&gt;="&amp;TODAY())+SUMIFS('Lớp 5 - Phân công'!$AJ$14:$AJ$262,'Lớp 5 - Phân công'!$AA$14:$AA$262,U10,'Lớp 5 - Phân công'!$AD$14:$AD$262,"&lt;="&amp;TODAY(),'Lớp 5 - Phân công'!$AE$14:$AE$262,"&gt;="&amp;TODAY())+SUMIFS('Lớp 6 - Chi tiết'!$AM$14:$AM$267,'Lớp 6 - Chi tiết'!$AC$14:$AC$267,U10,'Lớp 6 - Chi tiết'!$AG$14:$AG$267,"&lt;="&amp;TODAY(),'Lớp 6 - Chi tiết'!$AH$14:$AH$267,"&gt;="&amp;TODAY()))</f>
        <v/>
      </c>
      <c r="W10" s="679" t="str">
        <f>IF(V10="","",V10/'Danh mục chọn'!$J$2)</f>
        <v/>
      </c>
      <c r="X10" s="680" t="str">
        <f>IF(V10="","",IF(V10=0,"Chưa có tải tính được",IF(V10&gt;'Danh mục chọn'!$J$2,"Quá tải",IF(V10&gt;='Danh mục chọn'!$J$2*'Danh mục chọn'!$J$3,"Cận tải","Bình thường"))))</f>
        <v/>
      </c>
      <c r="Y10" s="678" t="str">
        <f>IF(U10="","",SUMPRODUCT(('Lớp 3 - Công việc chính'!$V$14:$V$73=U10)*('Lớp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mục'!$Z$14:$Z$132=U10)*('Lớp 4 - Danh mục'!$AD$14:$AD$132&lt;TODAY())*('Lớp 4 - Danh mục'!$AA$14:$AA$132&lt;&gt;"Hoàn thành")*('Lớp 4 - Danh mục'!$AA$14:$AA$132&lt;&gt;"Hủy")*('Lớp 4 - Danh mục'!$AI$14:$AI$132&lt;&gt;"")*IFERROR('Lớp 4 - Danh mục'!$AH$14:$AH$132*(1-'Lớp 4 - Danh mục'!$AF$14:$AF$132),0))+SUMPRODUCT(('Lớp 5 - Phân công'!$AA$14:$AA$262=U10)*('Lớp 5 - Phân công'!$AE$14:$AE$262&lt;TODAY())*('Lớp 5 - Phân công'!$AB$14:$AB$262&lt;&gt;"Hoàn thành")*('Lớp 5 - Phân công'!$AB$14:$AB$262&lt;&gt;"Hủy")*('Lớp 5 - Phân công'!$AJ$14:$AJ$262&lt;&gt;"")*IFERROR('Lớp 5 - Phân công'!$AI$14:$AI$262*(1-'Lớp 5 - Phân công'!$AG$14:$AG$262),0))+SUMPRODUCT(('Lớp 6 - Chi tiết'!$AC$14:$AC$267=U10)*('Lớp 6 - Chi tiết'!$AH$14:$AH$267&lt;TODAY())*('Lớp 6 - Chi tiết'!$AE$14:$AE$267&lt;&gt;"Hoàn thành")*('Lớp 6 - Chi tiết'!$AE$14:$AE$267&lt;&gt;"Hủy")*('Lớp 6 - Chi tiết'!$AM$14:$AM$267&lt;&gt;"")*IFERROR('Lớp 6 - Chi tiết'!$AL$14:$AL$267*(1-'Lớp 6 - Chi tiết'!$AJ$14:$AJ$267),0)))</f>
        <v/>
      </c>
    </row>
    <row r="11" ht="15.75" customHeight="1">
      <c r="A11" s="682" t="s">
        <v>675</v>
      </c>
      <c r="B11" s="682"/>
      <c r="C11" s="682"/>
      <c r="D11" s="682"/>
      <c r="E11" s="682" t="s">
        <v>676</v>
      </c>
      <c r="F11" s="682"/>
      <c r="G11" s="682"/>
      <c r="H11" s="682" t="s">
        <v>677</v>
      </c>
      <c r="I11" s="682"/>
      <c r="J11" s="682"/>
      <c r="K11" s="682" t="s">
        <v>678</v>
      </c>
      <c r="L11" s="682"/>
      <c r="M11" s="682" t="s">
        <v>679</v>
      </c>
      <c r="N11" s="682"/>
      <c r="O11" s="682" t="s">
        <v>151</v>
      </c>
      <c r="P11" s="682"/>
      <c r="Q11" s="682"/>
      <c r="R11" s="682" t="s">
        <v>680</v>
      </c>
      <c r="U11" s="677"/>
      <c r="V11" s="678" t="str">
        <f>IF(U11="","",SUMIFS('Lớp 3 - Công việc chính'!$AF$14:$AF$73,'Lớp 3 - Công việc chính'!$V$14:$V$73,U11,'Lớp 3 - Công việc chính'!$Z$14:$Z$73,"&lt;="&amp;TODAY(),'Lớp 3 - Công việc chính'!$AA$14:$AA$73,"&gt;="&amp;TODAY())+SUMIFS('Lớp 4 - Danh mục'!$AI$14:$AI$132,'Lớp 4 - Danh mục'!$Z$14:$Z$132,U11,'Lớp 4 - Danh mục'!$AC$14:$AC$132,"&lt;="&amp;TODAY(),'Lớp 4 - Danh mục'!$AD$14:$AD$132,"&gt;="&amp;TODAY())+SUMIFS('Lớp 5 - Phân công'!$AJ$14:$AJ$262,'Lớp 5 - Phân công'!$AA$14:$AA$262,U11,'Lớp 5 - Phân công'!$AD$14:$AD$262,"&lt;="&amp;TODAY(),'Lớp 5 - Phân công'!$AE$14:$AE$262,"&gt;="&amp;TODAY())+SUMIFS('Lớp 6 - Chi tiết'!$AM$14:$AM$267,'Lớp 6 - Chi tiết'!$AC$14:$AC$267,U11,'Lớp 6 - Chi tiết'!$AG$14:$AG$267,"&lt;="&amp;TODAY(),'Lớp 6 - Chi tiết'!$AH$14:$AH$267,"&gt;="&amp;TODAY()))</f>
        <v/>
      </c>
      <c r="W11" s="679" t="str">
        <f>IF(V11="","",V11/'Danh mục chọn'!$J$2)</f>
        <v/>
      </c>
      <c r="X11" s="680" t="str">
        <f>IF(V11="","",IF(V11=0,"Chưa có tải tính được",IF(V11&gt;'Danh mục chọn'!$J$2,"Quá tải",IF(V11&gt;='Danh mục chọn'!$J$2*'Danh mục chọn'!$J$3,"Cận tải","Bình thường"))))</f>
        <v/>
      </c>
      <c r="Y11" s="678" t="str">
        <f>IF(U11="","",SUMPRODUCT(('Lớp 3 - Công việc chính'!$V$14:$V$73=U11)*('Lớp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mục'!$Z$14:$Z$132=U11)*('Lớp 4 - Danh mục'!$AD$14:$AD$132&lt;TODAY())*('Lớp 4 - Danh mục'!$AA$14:$AA$132&lt;&gt;"Hoàn thành")*('Lớp 4 - Danh mục'!$AA$14:$AA$132&lt;&gt;"Hủy")*('Lớp 4 - Danh mục'!$AI$14:$AI$132&lt;&gt;"")*IFERROR('Lớp 4 - Danh mục'!$AH$14:$AH$132*(1-'Lớp 4 - Danh mục'!$AF$14:$AF$132),0))+SUMPRODUCT(('Lớp 5 - Phân công'!$AA$14:$AA$262=U11)*('Lớp 5 - Phân công'!$AE$14:$AE$262&lt;TODAY())*('Lớp 5 - Phân công'!$AB$14:$AB$262&lt;&gt;"Hoàn thành")*('Lớp 5 - Phân công'!$AB$14:$AB$262&lt;&gt;"Hủy")*('Lớp 5 - Phân công'!$AJ$14:$AJ$262&lt;&gt;"")*IFERROR('Lớp 5 - Phân công'!$AI$14:$AI$262*(1-'Lớp 5 - Phân công'!$AG$14:$AG$262),0))+SUMPRODUCT(('Lớp 6 - Chi tiết'!$AC$14:$AC$267=U11)*('Lớp 6 - Chi tiết'!$AH$14:$AH$267&lt;TODAY())*('Lớp 6 - Chi tiết'!$AE$14:$AE$267&lt;&gt;"Hoàn thành")*('Lớp 6 - Chi tiết'!$AE$14:$AE$267&lt;&gt;"Hủy")*('Lớp 6 - Chi tiết'!$AM$14:$AM$267&lt;&gt;"")*IFERROR('Lớp 6 - Chi tiết'!$AL$14:$AL$267*(1-'Lớp 6 - Chi tiết'!$AJ$14:$AJ$267),0)))</f>
        <v/>
      </c>
    </row>
    <row r="12" ht="15.75" customHeight="1">
      <c r="A12" s="683"/>
      <c r="B12" s="683"/>
      <c r="C12" s="683"/>
      <c r="D12" s="683"/>
      <c r="E12" s="683"/>
      <c r="F12" s="683"/>
      <c r="G12" s="683"/>
      <c r="H12" s="683"/>
      <c r="I12" s="683"/>
      <c r="J12" s="683"/>
      <c r="K12" s="683"/>
      <c r="L12" s="683"/>
      <c r="M12" s="683"/>
      <c r="N12" s="683"/>
      <c r="O12" s="683"/>
      <c r="P12" s="683"/>
      <c r="Q12" s="683"/>
      <c r="R12" s="683"/>
      <c r="U12" s="677"/>
      <c r="V12" s="678" t="str">
        <f>IF(U12="","",SUMIFS('Lớp 3 - Công việc chính'!$AF$14:$AF$73,'Lớp 3 - Công việc chính'!$V$14:$V$73,U12,'Lớp 3 - Công việc chính'!$Z$14:$Z$73,"&lt;="&amp;TODAY(),'Lớp 3 - Công việc chính'!$AA$14:$AA$73,"&gt;="&amp;TODAY())+SUMIFS('Lớp 4 - Danh mục'!$AI$14:$AI$132,'Lớp 4 - Danh mục'!$Z$14:$Z$132,U12,'Lớp 4 - Danh mục'!$AC$14:$AC$132,"&lt;="&amp;TODAY(),'Lớp 4 - Danh mục'!$AD$14:$AD$132,"&gt;="&amp;TODAY())+SUMIFS('Lớp 5 - Phân công'!$AJ$14:$AJ$262,'Lớp 5 - Phân công'!$AA$14:$AA$262,U12,'Lớp 5 - Phân công'!$AD$14:$AD$262,"&lt;="&amp;TODAY(),'Lớp 5 - Phân công'!$AE$14:$AE$262,"&gt;="&amp;TODAY())+SUMIFS('Lớp 6 - Chi tiết'!$AM$14:$AM$267,'Lớp 6 - Chi tiết'!$AC$14:$AC$267,U12,'Lớp 6 - Chi tiết'!$AG$14:$AG$267,"&lt;="&amp;TODAY(),'Lớp 6 - Chi tiết'!$AH$14:$AH$267,"&gt;="&amp;TODAY()))</f>
        <v/>
      </c>
      <c r="W12" s="679" t="str">
        <f>IF(V12="","",V12/'Danh mục chọn'!$J$2)</f>
        <v/>
      </c>
      <c r="X12" s="680" t="str">
        <f>IF(V12="","",IF(V12=0,"Chưa có tải tính được",IF(V12&gt;'Danh mục chọn'!$J$2,"Quá tải",IF(V12&gt;='Danh mục chọn'!$J$2*'Danh mục chọn'!$J$3,"Cận tải","Bình thường"))))</f>
        <v/>
      </c>
      <c r="Y12" s="678" t="str">
        <f>IF(U12="","",SUMPRODUCT(('Lớp 3 - Công việc chính'!$V$14:$V$73=U12)*('Lớp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mục'!$Z$14:$Z$132=U12)*('Lớp 4 - Danh mục'!$AD$14:$AD$132&lt;TODAY())*('Lớp 4 - Danh mục'!$AA$14:$AA$132&lt;&gt;"Hoàn thành")*('Lớp 4 - Danh mục'!$AA$14:$AA$132&lt;&gt;"Hủy")*('Lớp 4 - Danh mục'!$AI$14:$AI$132&lt;&gt;"")*IFERROR('Lớp 4 - Danh mục'!$AH$14:$AH$132*(1-'Lớp 4 - Danh mục'!$AF$14:$AF$132),0))+SUMPRODUCT(('Lớp 5 - Phân công'!$AA$14:$AA$262=U12)*('Lớp 5 - Phân công'!$AE$14:$AE$262&lt;TODAY())*('Lớp 5 - Phân công'!$AB$14:$AB$262&lt;&gt;"Hoàn thành")*('Lớp 5 - Phân công'!$AB$14:$AB$262&lt;&gt;"Hủy")*('Lớp 5 - Phân công'!$AJ$14:$AJ$262&lt;&gt;"")*IFERROR('Lớp 5 - Phân công'!$AI$14:$AI$262*(1-'Lớp 5 - Phân công'!$AG$14:$AG$262),0))+SUMPRODUCT(('Lớp 6 - Chi tiết'!$AC$14:$AC$267=U12)*('Lớp 6 - Chi tiết'!$AH$14:$AH$267&lt;TODAY())*('Lớp 6 - Chi tiết'!$AE$14:$AE$267&lt;&gt;"Hoàn thành")*('Lớp 6 - Chi tiết'!$AE$14:$AE$267&lt;&gt;"Hủy")*('Lớp 6 - Chi tiết'!$AM$14:$AM$267&lt;&gt;"")*IFERROR('Lớp 6 - Chi tiết'!$AL$14:$AL$267*(1-'Lớp 6 - Chi tiết'!$AJ$14:$AJ$267),0)))</f>
        <v/>
      </c>
    </row>
    <row r="13" ht="15.75" customHeight="1">
      <c r="A13" s="684" t="s">
        <v>681</v>
      </c>
      <c r="B13" s="685" t="s">
        <v>682</v>
      </c>
      <c r="C13" s="685" t="s">
        <v>190</v>
      </c>
      <c r="D13" s="685" t="s">
        <v>249</v>
      </c>
      <c r="E13" s="685" t="s">
        <v>167</v>
      </c>
      <c r="F13" s="685" t="s">
        <v>37</v>
      </c>
      <c r="G13" s="685" t="s">
        <v>45</v>
      </c>
      <c r="H13" s="685" t="s">
        <v>174</v>
      </c>
      <c r="I13" s="685" t="s">
        <v>247</v>
      </c>
      <c r="J13" s="685" t="s">
        <v>616</v>
      </c>
      <c r="K13" s="685" t="s">
        <v>604</v>
      </c>
      <c r="L13" s="685" t="s">
        <v>171</v>
      </c>
      <c r="M13" s="685" t="s">
        <v>180</v>
      </c>
      <c r="N13" s="685" t="s">
        <v>179</v>
      </c>
      <c r="O13" s="685" t="s">
        <v>173</v>
      </c>
      <c r="P13" s="685" t="s">
        <v>175</v>
      </c>
      <c r="Q13" s="685" t="s">
        <v>177</v>
      </c>
      <c r="R13" s="686" t="s">
        <v>169</v>
      </c>
      <c r="S13" s="70"/>
      <c r="T13" s="70"/>
      <c r="U13" s="70"/>
      <c r="V13" s="70" t="str">
        <f>IF(U13="","",SUMIFS('Lớp 3 - Công việc chính'!$AF$14:$AF$73,'Lớp 3 - Công việc chính'!$V$14:$V$73,U13,'Lớp 3 - Công việc chính'!$Z$14:$Z$73,"&lt;="&amp;TODAY(),'Lớp 3 - Công việc chính'!$AA$14:$AA$73,"&gt;="&amp;TODAY())+SUMIFS('Lớp 4 - Danh mục'!$AI$14:$AI$132,'Lớp 4 - Danh mục'!$Z$14:$Z$132,U13,'Lớp 4 - Danh mục'!$AC$14:$AC$132,"&lt;="&amp;TODAY(),'Lớp 4 - Danh mục'!$AD$14:$AD$132,"&gt;="&amp;TODAY())+SUMIFS('Lớp 5 - Phân công'!$AJ$14:$AJ$262,'Lớp 5 - Phân công'!$AA$14:$AA$262,U13,'Lớp 5 - Phân công'!$AD$14:$AD$262,"&lt;="&amp;TODAY(),'Lớp 5 - Phân công'!$AE$14:$AE$262,"&gt;="&amp;TODAY())+SUMIFS('Lớp 6 - Chi tiết'!$AM$14:$AM$267,'Lớp 6 - Chi tiết'!$AC$14:$AC$267,U13,'Lớp 6 - Chi tiết'!$AG$14:$AG$267,"&lt;="&amp;TODAY(),'Lớp 6 - Chi tiết'!$AH$14:$AH$267,"&gt;="&amp;TODAY()))</f>
        <v/>
      </c>
      <c r="W13" s="70" t="str">
        <f>IF(V13="","",V13/'Danh mục chọn'!$J$2)</f>
        <v/>
      </c>
      <c r="X13" s="70" t="str">
        <f>IF(V13="","",IF(V13=0,"Chưa có tải tính được",IF(V13&gt;'Danh mục chọn'!$J$2,"Quá tải",IF(V13&gt;='Danh mục chọn'!$J$2*'Danh mục chọn'!$J$3,"Cận tải","Bình thường"))))</f>
        <v/>
      </c>
      <c r="Y13" s="70" t="str">
        <f>IF(U13="","",SUMPRODUCT(('Lớp 3 - Công việc chính'!$V$14:$V$73=U13)*('Lớp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mục'!$Z$14:$Z$132=U13)*('Lớp 4 - Danh mục'!$AD$14:$AD$132&lt;TODAY())*('Lớp 4 - Danh mục'!$AA$14:$AA$132&lt;&gt;"Hoàn thành")*('Lớp 4 - Danh mục'!$AA$14:$AA$132&lt;&gt;"Hủy")*('Lớp 4 - Danh mục'!$AI$14:$AI$132&lt;&gt;"")*IFERROR('Lớp 4 - Danh mục'!$AH$14:$AH$132*(1-'Lớp 4 - Danh mục'!$AF$14:$AF$132),0))+SUMPRODUCT(('Lớp 5 - Phân công'!$AA$14:$AA$262=U13)*('Lớp 5 - Phân công'!$AE$14:$AE$262&lt;TODAY())*('Lớp 5 - Phân công'!$AB$14:$AB$262&lt;&gt;"Hoàn thành")*('Lớp 5 - Phân công'!$AB$14:$AB$262&lt;&gt;"Hủy")*('Lớp 5 - Phân công'!$AJ$14:$AJ$262&lt;&gt;"")*IFERROR('Lớp 5 - Phân công'!$AI$14:$AI$262*(1-'Lớp 5 - Phân công'!$AG$14:$AG$262),0))+SUMPRODUCT(('Lớp 6 - Chi tiết'!$AC$14:$AC$267=U13)*('Lớp 6 - Chi tiết'!$AH$14:$AH$267&lt;TODAY())*('Lớp 6 - Chi tiết'!$AE$14:$AE$267&lt;&gt;"Hoàn thành")*('Lớp 6 - Chi tiết'!$AE$14:$AE$267&lt;&gt;"Hủy")*('Lớp 6 - Chi tiết'!$AM$14:$AM$267&lt;&gt;"")*IFERROR('Lớp 6 - Chi tiết'!$AL$14:$AL$267*(1-'Lớp 6 - Chi tiết'!$AJ$14:$AJ$267),0)))</f>
        <v/>
      </c>
      <c r="Z13" s="687" t="s">
        <v>184</v>
      </c>
      <c r="AA13" s="688" t="s">
        <v>185</v>
      </c>
      <c r="AB13" s="688" t="s">
        <v>211</v>
      </c>
      <c r="AC13" s="689" t="s">
        <v>241</v>
      </c>
    </row>
    <row r="14" ht="15.75" customHeight="1">
      <c r="A14" s="690" t="str">
        <f t="shared" ref="A14:A441" si="1">$S14</f>
        <v>Lớp 5</v>
      </c>
      <c r="B14" s="690" t="str">
        <f t="array" ref="B14">IF($S14="","",IF($S14="Lớp 5",INDEX('Lớp 5 - Phân công'!$I$14:$I$262,$T14),IF($S14="Lớp 4",INDEX('Lớp 4 - Danh mục'!$I$14:$I$132,$T14),INDEX('Lớp 3 - Công việc chính'!$I$14:$I$73,$T14))))</f>
        <v>HHL5DL01-01</v>
      </c>
      <c r="C14" s="690" t="str">
        <f t="array" ref="C14">IF($S14="","",IF($S14="Lớp 5",INDEX('Lớp 5 - Phân công'!$K$14:$K$262,$T14),IF($S14="Lớp 4",INDEX('Lớp 4 - Danh mục'!$J$14:$J$132,$T14),INDEX('Lớp 3 - Công việc chính'!$I$14:$I$73,$T14))))</f>
        <v>HHL3CT03</v>
      </c>
      <c r="D14" s="690" t="str">
        <f t="array" ref="D14">IF($S14="","",IF($S14="Lớp 5",INDEX('Lớp 5 - Phân công'!$J$14:$J$262,$T14),IF($S14="Lớp 4",INDEX('Lớp 4 - Danh mục'!$I$14:$I$132,$T14),"")))</f>
        <v>HHL4DL01</v>
      </c>
      <c r="E14" s="690">
        <f t="array" ref="E14">IF($S14="","",IF($S14="Lớp 5",INDEX('Lớp 5 - Phân công'!$L$14:$L$262,$T14),IF($S14="Lớp 4",INDEX('Lớp 4 - Danh mục'!$K$14:$K$132,$T14),INDEX('Lớp 3 - Công việc chính'!$J$14:$J$73,$T14))))</f>
        <v>2026</v>
      </c>
      <c r="F14" s="690" t="str">
        <f t="array" ref="F14">IF($S14="","",IF($S14="Lớp 5",INDEX('Lớp 5 - Phân công'!$M$14:$M$262,$T14),IF($S14="Lớp 4",INDEX('Lớp 4 - Danh mục'!$L$14:$L$132,$T14),INDEX('Lớp 3 - Công việc chính'!$K$14:$K$73,$T14))))</f>
        <v>Cấp công ty</v>
      </c>
      <c r="G14" s="691" t="str">
        <f t="array" ref="G14">IF($S14="","",IF($S14="Lớp 5",INDEX('Lớp 5 - Phân công'!$N$14:$N$262,$T14),IF($S14="Lớp 4",INDEX('Lớp 4 - Danh mục'!$M$14:$M$132,$T14),INDEX('Lớp 3 - Công việc chính'!$L$14:$L$73,$T14))))</f>
        <v>Chiến lược/sống còn</v>
      </c>
      <c r="H14" s="692" t="str">
        <f t="array" ref="H14">IF($S14="","",IF($S14="Lớp 5",INDEX('Lớp 5 - Phân công'!$O$14:$O$262,$T14),IF($S14="Lớp 4",INDEX('Lớp 4 - Danh mục'!$N$14:$N$132,$T14),INDEX('Lớp 3 - Công việc chính'!$M$14:$M$73,$T14))))</f>
        <v>KHKD 2027&amp; HT lập KH theo tham số KD (bán tự động)</v>
      </c>
      <c r="I14" s="692" t="str">
        <f t="array" ref="I14">IF($S14="","",IF($S14="Lớp 5",INDEX('Lớp 5 - Phân công'!$P$14:$P$262,$T14),IF($S14="Lớp 4",INDEX('Lớp 4 - Danh mục'!$O$14:$O$132,$T14),"")))</f>
        <v>Xác nhận công thức &amp; tạo HT tham số cho KH GT</v>
      </c>
      <c r="J14" s="693" t="str">
        <f t="array" ref="J14">IF($S14="","",IF($S14="Lớp 5",INDEX('Lớp 5 - Phân công'!$Q$14:$Q$262,$T14),""))</f>
        <v>Liệt kê &amp; giải quyết vấn đề còn tồn tại công thức 2025 (CK/TK/phân biệt NPP) GT</v>
      </c>
      <c r="K14" s="690" t="str">
        <f t="array" ref="K14">IF($S14="","",IF($S14="Lớp 5",INDEX('Lớp 5 - Phân công'!$AA$14:$AA$262,$T14),IF($S14="Lớp 4",INDEX('Lớp 4 - Danh mục'!$Y$14:$Y$132,$T14),INDEX('Lớp 3 - Công việc chính'!$U$14:$U$73,$T14))))</f>
        <v>GĐ BOC</v>
      </c>
      <c r="L14" s="691" t="str">
        <f t="array" ref="L14">IF($S14="","",IF($S14="Lớp 5",INDEX('Lớp 5 - Phân công'!$Z$14:$Z$262,$T14),IF($S14="Lớp 4",INDEX('Lớp 4 - Danh mục'!$X$14:$X$132,$T14),INDEX('Lớp 3 - Công việc chính'!$W$14:$W$73,$T14))))</f>
        <v>Dữ liệu điều hành</v>
      </c>
      <c r="M14" s="694">
        <f t="array" ref="M14">IF($S14="","",IF($S14="Lớp 5",INDEX('Lớp 5 - Phân công'!$AD$14:$AD$262,$T14),IF($S14="Lớp 4",INDEX('Lớp 4 - Danh mục'!$AC$14:$AC$132,$T14),INDEX('Lớp 3 - Công việc chính'!$Z$14:$Z$73,$T14))))</f>
        <v>46237</v>
      </c>
      <c r="N14" s="695">
        <f t="array" ref="N14">IF($S14="","",IF($S14="Lớp 5",INDEX('Lớp 5 - Phân công'!$AE$14:$AE$262,$T14),IF($S14="Lớp 4",INDEX('Lớp 4 - Danh mục'!$AD$14:$AD$132,$T14),INDEX('Lớp 3 - Công việc chính'!$AA$14:$AA$73,$T14))))</f>
        <v>46249</v>
      </c>
      <c r="O14" s="690" t="str">
        <f t="array" ref="O14">IF($S14="","",IF($S14="Lớp 5",INDEX('Lớp 5 - Phân công'!$AB$14:$AB$262,$T14),IF($S14="Lớp 4",INDEX('Lớp 4 - Danh mục'!$AA$14:$AA$132,$T14),INDEX('Lớp 3 - Công việc chính'!$X$14:$X$73,$T14))))</f>
        <v>Chưa bắt đầu</v>
      </c>
      <c r="P14" s="696" t="str">
        <f t="array" ref="P14">IF($S14="","",IF($S14="Lớp 5",INDEX('Lớp 5 - Phân công'!$AC$14:$AC$262,$T14),IF($S14="Lớp 4",INDEX('Lớp 4 - Danh mục'!$AB$14:$AB$132,$T14),INDEX('Lớp 3 - Công việc chính'!$Y$14:$Y$73,$T14))))</f>
        <v>P1</v>
      </c>
      <c r="Q14" s="697">
        <f t="array" ref="Q14">IF($S14="","",IF($S14="Lớp 5",INDEX('Lớp 5 - Phân công'!$AG$14:$AG$262,$T14),IF($S14="Lớp 4",INDEX('Lớp 4 - Danh mục'!$AF$14:$AF$132,$T14),INDEX('Lớp 3 - Công việc chính'!$AC$14:$AC$73,$T14))))</f>
        <v>0</v>
      </c>
      <c r="R14" s="698" t="str">
        <f t="array" ref="R14">IF($S14="","",IF($S14="Lớp 5",INDEX('Lớp 5 - Phân công'!$X$14:$X$262,$T14),IF($S14="Lớp 4",INDEX('Lớp 4 - Danh mục'!$V$14:$V$132,$T14),INDEX('Lớp 3 - Công việc chính'!$T$14:$T$73,$T14))))</f>
        <v> Công thức được TGĐ duyết </v>
      </c>
      <c r="S14" s="699" t="str">
        <f>IF(ROWS($S$14:S14)&lt;=COUNTIF('Lớp 5 - Phân công'!$I$14:$I$262,"&lt;&gt;"),"Lớp 5",IF(ROWS($S$14:S14)&lt;=COUNTIF('Lớp 5 - Phân công'!$I$14:$I$262,"&lt;&gt;")+SUMPRODUCT(--('Lớp 4 - Danh mục'!$I$14:$I$132&lt;&gt;""),--(COUNTIF('Lớp 5 - Phân công'!$J$14:$J$262,'Lớp 4 - Danh mục'!$I$14:$I$132)=0)),"Lớp 4",IF(ROWS($S$14:S14)&lt;=COUNTIF('Lớp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14" s="699">
        <f t="array" ref="T14">IF(S14="","",IF(S14="Lớp 5",IF(S13&lt;&gt;"Lớp 5",MATCH("*",'Lớp 5 - Phân công'!$I$14:$I$262,0),T13+MATCH("*",INDEX('Lớp 5 - Phân công'!$I$14:$I$262,T13+1):'Lớp 5 - Phân công'!$I$262,0)),IF(S14="Lớp 4",IF(S13&lt;&gt;"Lớp 4",MATCH(1,INDEX(('Lớp 4 - Danh mục'!$I$14:$I$132&lt;&gt;"")*(COUNTIF('Lớp 5 - Phân công'!$J$14:$J$262,'Lớp 4 - Danh mục'!$I$14:$I$132)=0),0),0),T13+MATCH(1,INDEX((INDEX('Lớp 4 - Danh mục'!$I$14:$I$132,T13+1):'Lớp 4 - Danh mục'!$I$132&lt;&gt;"")*(COUNTIF('Lớp 5 - Phân công'!$J$14:$J$262,INDEX('Lớp 4 - Danh mục'!$I$14:$I$132,T13+1):'Lớp 4 - Danh mục'!$I$132)=0),0),0)),IF(S13&lt;&gt;"Lớp 3",MATCH(1,INDEX(('Lớp 3 - Công việc chính'!$I$14:$I$73&lt;&gt;"")*(COUNTIF('Lớp 4 - Danh mục'!$J$14:$J$132,'Lớp 3 - Công việc chính'!$I$14:$I$73)=0),0),0),T13+MATCH(1,INDEX((INDEX('Lớp 3 - Công việc chính'!$I$14:$I$73,T13+1):'Lớp 3 - Công việc chính'!$I$73&lt;&gt;"")*(COUNTIF('Lớp 4 - Danh mục'!$J$14:$J$132,INDEX('Lớp 3 - Công việc chính'!$I$14:$I$73,T13+1):'Lớp 3 - Công việc chính'!$I$73)=0),0),0)))))</f>
        <v>1</v>
      </c>
      <c r="U14" s="677"/>
      <c r="V14" s="678" t="str">
        <f>IF(U14="","",SUMIFS('Lớp 3 - Công việc chính'!$AF$14:$AF$73,'Lớp 3 - Công việc chính'!$V$14:$V$73,U14,'Lớp 3 - Công việc chính'!$Z$14:$Z$73,"&lt;="&amp;TODAY(),'Lớp 3 - Công việc chính'!$AA$14:$AA$73,"&gt;="&amp;TODAY())+SUMIFS('Lớp 4 - Danh mục'!$AI$14:$AI$132,'Lớp 4 - Danh mục'!$Z$14:$Z$132,U14,'Lớp 4 - Danh mục'!$AC$14:$AC$132,"&lt;="&amp;TODAY(),'Lớp 4 - Danh mục'!$AD$14:$AD$132,"&gt;="&amp;TODAY())+SUMIFS('Lớp 5 - Phân công'!$AJ$14:$AJ$262,'Lớp 5 - Phân công'!$AA$14:$AA$262,U14,'Lớp 5 - Phân công'!$AD$14:$AD$262,"&lt;="&amp;TODAY(),'Lớp 5 - Phân công'!$AE$14:$AE$262,"&gt;="&amp;TODAY())+SUMIFS('Lớp 6 - Chi tiết'!$AM$14:$AM$267,'Lớp 6 - Chi tiết'!$AC$14:$AC$267,U14,'Lớp 6 - Chi tiết'!$AG$14:$AG$267,"&lt;="&amp;TODAY(),'Lớp 6 - Chi tiết'!$AH$14:$AH$267,"&gt;="&amp;TODAY()))</f>
        <v/>
      </c>
      <c r="W14" s="679" t="str">
        <f>IF(V14="","",V14/'Danh mục chọn'!$J$2)</f>
        <v/>
      </c>
      <c r="X14" s="680" t="str">
        <f>IF(V14="","",IF(V14=0,"Chưa có tải tính được",IF(V14&gt;'Danh mục chọn'!$J$2,"Quá tải",IF(V14&gt;='Danh mục chọn'!$J$2*'Danh mục chọn'!$J$3,"Cận tải","Bình thường"))))</f>
        <v/>
      </c>
      <c r="Y14" s="678" t="str">
        <f>IF(U14="","",SUMPRODUCT(('Lớp 3 - Công việc chính'!$V$14:$V$73=U14)*('Lớp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mục'!$Z$14:$Z$132=U14)*('Lớp 4 - Danh mục'!$AD$14:$AD$132&lt;TODAY())*('Lớp 4 - Danh mục'!$AA$14:$AA$132&lt;&gt;"Hoàn thành")*('Lớp 4 - Danh mục'!$AA$14:$AA$132&lt;&gt;"Hủy")*('Lớp 4 - Danh mục'!$AI$14:$AI$132&lt;&gt;"")*IFERROR('Lớp 4 - Danh mục'!$AH$14:$AH$132*(1-'Lớp 4 - Danh mục'!$AF$14:$AF$132),0))+SUMPRODUCT(('Lớp 5 - Phân công'!$AA$14:$AA$262=U14)*('Lớp 5 - Phân công'!$AE$14:$AE$262&lt;TODAY())*('Lớp 5 - Phân công'!$AB$14:$AB$262&lt;&gt;"Hoàn thành")*('Lớp 5 - Phân công'!$AB$14:$AB$262&lt;&gt;"Hủy")*('Lớp 5 - Phân công'!$AJ$14:$AJ$262&lt;&gt;"")*IFERROR('Lớp 5 - Phân công'!$AI$14:$AI$262*(1-'Lớp 5 - Phân công'!$AG$14:$AG$262),0))+SUMPRODUCT(('Lớp 6 - Chi tiết'!$AC$14:$AC$267=U14)*('Lớp 6 - Chi tiết'!$AH$14:$AH$267&lt;TODAY())*('Lớp 6 - Chi tiết'!$AE$14:$AE$267&lt;&gt;"Hoàn thành")*('Lớp 6 - Chi tiết'!$AE$14:$AE$267&lt;&gt;"Hủy")*('Lớp 6 - Chi tiết'!$AM$14:$AM$267&lt;&gt;"")*IFERROR('Lớp 6 - Chi tiết'!$AL$14:$AL$267*(1-'Lớp 6 - Chi tiết'!$AJ$14:$AJ$267),0)))</f>
        <v/>
      </c>
      <c r="Z14" s="700" t="str">
        <f t="array" ref="Z14">IF($S14="","",IF($S14="Lớp 5",INDEX('Lớp 5 - Phân công'!$AS$14:$AS$262,$T14),IF($S14="Lớp 4",INDEX('Lớp 4 - Danh mục'!$AR$14:$AR$132,$T14),INDEX('Lớp 3 - Công việc chính'!$AO$14:$AO$73,$T14))))</f>
        <v>Tuần</v>
      </c>
      <c r="AA14" s="701">
        <f t="array" ref="AA14">IF($S14="","",IF($S14="Lớp 5",INDEX('Lớp 5 - Phân công'!$AT$14:$AT$262,$T14),IF($S14="Lớp 4",INDEX('Lớp 4 - Danh mục'!$AS$14:$AS$132,$T14),INDEX('Lớp 3 - Công việc chính'!$AP$14:$AP$73,$T14))))</f>
        <v>8</v>
      </c>
      <c r="AB14" s="701">
        <f t="array" ref="AB14">IF($S14="","",IF($S14="Lớp 5",INDEX('Lớp 5 - Phân công'!$AJ$14:$AJ$262,$T14),IF($S14="Lớp 4",INDEX('Lớp 4 - Danh mục'!$AI$14:$AI$132,$T14),INDEX('Lớp 3 - Công việc chính'!$AF$14:$AF$73,$T14))))</f>
        <v>1.6</v>
      </c>
      <c r="AC14" s="702" t="str">
        <f t="array" ref="AC14">IF($S14="","",IF($S14="Lớp 5",INDEX('Lớp 5 - Phân công'!$AV$14:$AV$262,$T14),IF($S14="Lớp 4",INDEX('Lớp 4 - Danh mục'!$AU$14:$AU$132,$T14),INDEX('Lớp 3 - Công việc chính'!$AR$14:$AR$73,$T14))))</f>
        <v>Thiếu 12.0 giờ/tuần</v>
      </c>
    </row>
    <row r="15" ht="15.75" customHeight="1">
      <c r="A15" s="690" t="str">
        <f t="shared" si="1"/>
        <v>Lớp 5</v>
      </c>
      <c r="B15" s="690" t="str">
        <f t="array" ref="B15">IF($S15="","",IF($S15="Lớp 5",INDEX('Lớp 5 - Phân công'!$I$14:$I$262,$T15),IF($S15="Lớp 4",INDEX('Lớp 4 - Danh mục'!$I$14:$I$132,$T15),INDEX('Lớp 3 - Công việc chính'!$I$14:$I$73,$T15))))</f>
        <v>HHL5DL01-02</v>
      </c>
      <c r="C15" s="690" t="str">
        <f t="array" ref="C15">IF($S15="","",IF($S15="Lớp 5",INDEX('Lớp 5 - Phân công'!$K$14:$K$262,$T15),IF($S15="Lớp 4",INDEX('Lớp 4 - Danh mục'!$J$14:$J$132,$T15),INDEX('Lớp 3 - Công việc chính'!$I$14:$I$73,$T15))))</f>
        <v>HHL3CT03</v>
      </c>
      <c r="D15" s="690" t="str">
        <f t="array" ref="D15">IF($S15="","",IF($S15="Lớp 5",INDEX('Lớp 5 - Phân công'!$J$14:$J$262,$T15),IF($S15="Lớp 4",INDEX('Lớp 4 - Danh mục'!$I$14:$I$132,$T15),"")))</f>
        <v>HHL4DL01</v>
      </c>
      <c r="E15" s="690">
        <f t="array" ref="E15">IF($S15="","",IF($S15="Lớp 5",INDEX('Lớp 5 - Phân công'!$L$14:$L$262,$T15),IF($S15="Lớp 4",INDEX('Lớp 4 - Danh mục'!$K$14:$K$132,$T15),INDEX('Lớp 3 - Công việc chính'!$J$14:$J$73,$T15))))</f>
        <v>2026</v>
      </c>
      <c r="F15" s="690" t="str">
        <f t="array" ref="F15">IF($S15="","",IF($S15="Lớp 5",INDEX('Lớp 5 - Phân công'!$M$14:$M$262,$T15),IF($S15="Lớp 4",INDEX('Lớp 4 - Danh mục'!$L$14:$L$132,$T15),INDEX('Lớp 3 - Công việc chính'!$K$14:$K$73,$T15))))</f>
        <v>Cấp công ty</v>
      </c>
      <c r="G15" s="691" t="str">
        <f t="array" ref="G15">IF($S15="","",IF($S15="Lớp 5",INDEX('Lớp 5 - Phân công'!$N$14:$N$262,$T15),IF($S15="Lớp 4",INDEX('Lớp 4 - Danh mục'!$M$14:$M$132,$T15),INDEX('Lớp 3 - Công việc chính'!$L$14:$L$73,$T15))))</f>
        <v>Chiến lược/sống còn</v>
      </c>
      <c r="H15" s="692" t="str">
        <f t="array" ref="H15">IF($S15="","",IF($S15="Lớp 5",INDEX('Lớp 5 - Phân công'!$O$14:$O$262,$T15),IF($S15="Lớp 4",INDEX('Lớp 4 - Danh mục'!$N$14:$N$132,$T15),INDEX('Lớp 3 - Công việc chính'!$M$14:$M$73,$T15))))</f>
        <v>KHKD 2027&amp; HT lập KH theo tham số KD (bán tự động)</v>
      </c>
      <c r="I15" s="692" t="str">
        <f t="array" ref="I15">IF($S15="","",IF($S15="Lớp 5",INDEX('Lớp 5 - Phân công'!$P$14:$P$262,$T15),IF($S15="Lớp 4",INDEX('Lớp 4 - Danh mục'!$O$14:$O$132,$T15),"")))</f>
        <v>Xác nhận công thức &amp; tạo HT tham số cho KH GT</v>
      </c>
      <c r="J15" s="693" t="str">
        <f t="array" ref="J15">IF($S15="","",IF($S15="Lớp 5",INDEX('Lớp 5 - Phân công'!$Q$14:$Q$262,$T15),""))</f>
        <v>Chốt lại đề bài với GĐ BOC &amp; GT</v>
      </c>
      <c r="K15" s="690" t="str">
        <f t="array" ref="K15">IF($S15="","",IF($S15="Lớp 5",INDEX('Lớp 5 - Phân công'!$AA$14:$AA$262,$T15),IF($S15="Lớp 4",INDEX('Lớp 4 - Danh mục'!$Y$14:$Y$132,$T15),INDEX('Lớp 3 - Công việc chính'!$U$14:$U$73,$T15))))</f>
        <v>GĐ BOC</v>
      </c>
      <c r="L15" s="691" t="str">
        <f t="array" ref="L15">IF($S15="","",IF($S15="Lớp 5",INDEX('Lớp 5 - Phân công'!$Z$14:$Z$262,$T15),IF($S15="Lớp 4",INDEX('Lớp 4 - Danh mục'!$X$14:$X$132,$T15),INDEX('Lớp 3 - Công việc chính'!$W$14:$W$73,$T15))))</f>
        <v>Dữ liệu điều hành</v>
      </c>
      <c r="M15" s="694">
        <f t="array" ref="M15">IF($S15="","",IF($S15="Lớp 5",INDEX('Lớp 5 - Phân công'!$AD$14:$AD$262,$T15),IF($S15="Lớp 4",INDEX('Lớp 4 - Danh mục'!$AC$14:$AC$132,$T15),INDEX('Lớp 3 - Công việc chính'!$Z$14:$Z$73,$T15))))</f>
        <v>46250</v>
      </c>
      <c r="N15" s="695">
        <f t="array" ref="N15">IF($S15="","",IF($S15="Lớp 5",INDEX('Lớp 5 - Phân công'!$AE$14:$AE$262,$T15),IF($S15="Lớp 4",INDEX('Lớp 4 - Danh mục'!$AD$14:$AD$132,$T15),INDEX('Lớp 3 - Công việc chính'!$AA$14:$AA$73,$T15))))</f>
        <v>46254</v>
      </c>
      <c r="O15" s="690" t="str">
        <f t="array" ref="O15">IF($S15="","",IF($S15="Lớp 5",INDEX('Lớp 5 - Phân công'!$AB$14:$AB$262,$T15),IF($S15="Lớp 4",INDEX('Lớp 4 - Danh mục'!$AA$14:$AA$132,$T15),INDEX('Lớp 3 - Công việc chính'!$X$14:$X$73,$T15))))</f>
        <v>Chưa bắt đầu</v>
      </c>
      <c r="P15" s="703" t="str">
        <f t="array" ref="P15">IF($S15="","",IF($S15="Lớp 5",INDEX('Lớp 5 - Phân công'!$AC$14:$AC$262,$T15),IF($S15="Lớp 4",INDEX('Lớp 4 - Danh mục'!$AB$14:$AB$132,$T15),INDEX('Lớp 3 - Công việc chính'!$Y$14:$Y$73,$T15))))</f>
        <v>P1</v>
      </c>
      <c r="Q15" s="697">
        <f t="array" ref="Q15">IF($S15="","",IF($S15="Lớp 5",INDEX('Lớp 5 - Phân công'!$AG$14:$AG$262,$T15),IF($S15="Lớp 4",INDEX('Lớp 4 - Danh mục'!$AF$14:$AF$132,$T15),INDEX('Lớp 3 - Công việc chính'!$AC$14:$AC$73,$T15))))</f>
        <v>0</v>
      </c>
      <c r="R15" s="698" t="str">
        <f t="array" ref="R15">IF($S15="","",IF($S15="Lớp 5",INDEX('Lớp 5 - Phân công'!$X$14:$X$262,$T15),IF($S15="Lớp 4",INDEX('Lớp 4 - Danh mục'!$V$14:$V$132,$T15),INDEX('Lớp 3 - Công việc chính'!$T$14:$T$73,$T15))))</f>
        <v>Biên bản đề bài Word </v>
      </c>
      <c r="S15" s="699" t="str">
        <f>IF(ROWS($S$14:S15)&lt;=COUNTIF('Lớp 5 - Phân công'!$I$14:$I$262,"&lt;&gt;"),"Lớp 5",IF(ROWS($S$14:S15)&lt;=COUNTIF('Lớp 5 - Phân công'!$I$14:$I$262,"&lt;&gt;")+SUMPRODUCT(--('Lớp 4 - Danh mục'!$I$14:$I$132&lt;&gt;""),--(COUNTIF('Lớp 5 - Phân công'!$J$14:$J$262,'Lớp 4 - Danh mục'!$I$14:$I$132)=0)),"Lớp 4",IF(ROWS($S$14:S15)&lt;=COUNTIF('Lớp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15" s="699">
        <f t="array" ref="T15">IF(S15="","",IF(S15="Lớp 5",IF(S14&lt;&gt;"Lớp 5",MATCH("*",'Lớp 5 - Phân công'!$I$14:$I$262,0),T14+MATCH("*",INDEX('Lớp 5 - Phân công'!$I$14:$I$262,T14+1):'Lớp 5 - Phân công'!$I$262,0)),IF(S15="Lớp 4",IF(S14&lt;&gt;"Lớp 4",MATCH(1,INDEX(('Lớp 4 - Danh mục'!$I$14:$I$132&lt;&gt;"")*(COUNTIF('Lớp 5 - Phân công'!$J$14:$J$262,'Lớp 4 - Danh mục'!$I$14:$I$132)=0),0),0),T14+MATCH(1,INDEX((INDEX('Lớp 4 - Danh mục'!$I$14:$I$132,T14+1):'Lớp 4 - Danh mục'!$I$132&lt;&gt;"")*(COUNTIF('Lớp 5 - Phân công'!$J$14:$J$262,INDEX('Lớp 4 - Danh mục'!$I$14:$I$132,T14+1):'Lớp 4 - Danh mục'!$I$132)=0),0),0)),IF(S14&lt;&gt;"Lớp 3",MATCH(1,INDEX(('Lớp 3 - Công việc chính'!$I$14:$I$73&lt;&gt;"")*(COUNTIF('Lớp 4 - Danh mục'!$J$14:$J$132,'Lớp 3 - Công việc chính'!$I$14:$I$73)=0),0),0),T14+MATCH(1,INDEX((INDEX('Lớp 3 - Công việc chính'!$I$14:$I$73,T14+1):'Lớp 3 - Công việc chính'!$I$73&lt;&gt;"")*(COUNTIF('Lớp 4 - Danh mục'!$J$14:$J$132,INDEX('Lớp 3 - Công việc chính'!$I$14:$I$73,T14+1):'Lớp 3 - Công việc chính'!$I$73)=0),0),0)))))</f>
        <v>2</v>
      </c>
      <c r="U15" s="677"/>
      <c r="V15" s="678" t="str">
        <f>IF(U15="","",SUMIFS('Lớp 3 - Công việc chính'!$AF$14:$AF$73,'Lớp 3 - Công việc chính'!$V$14:$V$73,U15,'Lớp 3 - Công việc chính'!$Z$14:$Z$73,"&lt;="&amp;TODAY(),'Lớp 3 - Công việc chính'!$AA$14:$AA$73,"&gt;="&amp;TODAY())+SUMIFS('Lớp 4 - Danh mục'!$AI$14:$AI$132,'Lớp 4 - Danh mục'!$Z$14:$Z$132,U15,'Lớp 4 - Danh mục'!$AC$14:$AC$132,"&lt;="&amp;TODAY(),'Lớp 4 - Danh mục'!$AD$14:$AD$132,"&gt;="&amp;TODAY())+SUMIFS('Lớp 5 - Phân công'!$AJ$14:$AJ$262,'Lớp 5 - Phân công'!$AA$14:$AA$262,U15,'Lớp 5 - Phân công'!$AD$14:$AD$262,"&lt;="&amp;TODAY(),'Lớp 5 - Phân công'!$AE$14:$AE$262,"&gt;="&amp;TODAY())+SUMIFS('Lớp 6 - Chi tiết'!$AM$14:$AM$267,'Lớp 6 - Chi tiết'!$AC$14:$AC$267,U15,'Lớp 6 - Chi tiết'!$AG$14:$AG$267,"&lt;="&amp;TODAY(),'Lớp 6 - Chi tiết'!$AH$14:$AH$267,"&gt;="&amp;TODAY()))</f>
        <v/>
      </c>
      <c r="W15" s="679" t="str">
        <f>IF(V15="","",V15/'Danh mục chọn'!$J$2)</f>
        <v/>
      </c>
      <c r="X15" s="680" t="str">
        <f>IF(V15="","",IF(V15=0,"Chưa có tải tính được",IF(V15&gt;'Danh mục chọn'!$J$2,"Quá tải",IF(V15&gt;='Danh mục chọn'!$J$2*'Danh mục chọn'!$J$3,"Cận tải","Bình thường"))))</f>
        <v/>
      </c>
      <c r="Y15" s="678" t="str">
        <f>IF(U15="","",SUMPRODUCT(('Lớp 3 - Công việc chính'!$V$14:$V$73=U15)*('Lớp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mục'!$Z$14:$Z$132=U15)*('Lớp 4 - Danh mục'!$AD$14:$AD$132&lt;TODAY())*('Lớp 4 - Danh mục'!$AA$14:$AA$132&lt;&gt;"Hoàn thành")*('Lớp 4 - Danh mục'!$AA$14:$AA$132&lt;&gt;"Hủy")*('Lớp 4 - Danh mục'!$AI$14:$AI$132&lt;&gt;"")*IFERROR('Lớp 4 - Danh mục'!$AH$14:$AH$132*(1-'Lớp 4 - Danh mục'!$AF$14:$AF$132),0))+SUMPRODUCT(('Lớp 5 - Phân công'!$AA$14:$AA$262=U15)*('Lớp 5 - Phân công'!$AE$14:$AE$262&lt;TODAY())*('Lớp 5 - Phân công'!$AB$14:$AB$262&lt;&gt;"Hoàn thành")*('Lớp 5 - Phân công'!$AB$14:$AB$262&lt;&gt;"Hủy")*('Lớp 5 - Phân công'!$AJ$14:$AJ$262&lt;&gt;"")*IFERROR('Lớp 5 - Phân công'!$AI$14:$AI$262*(1-'Lớp 5 - Phân công'!$AG$14:$AG$262),0))+SUMPRODUCT(('Lớp 6 - Chi tiết'!$AC$14:$AC$267=U15)*('Lớp 6 - Chi tiết'!$AH$14:$AH$267&lt;TODAY())*('Lớp 6 - Chi tiết'!$AE$14:$AE$267&lt;&gt;"Hoàn thành")*('Lớp 6 - Chi tiết'!$AE$14:$AE$267&lt;&gt;"Hủy")*('Lớp 6 - Chi tiết'!$AM$14:$AM$267&lt;&gt;"")*IFERROR('Lớp 6 - Chi tiết'!$AL$14:$AL$267*(1-'Lớp 6 - Chi tiết'!$AJ$14:$AJ$267),0)))</f>
        <v/>
      </c>
      <c r="Z15" s="700" t="str">
        <f t="array" ref="Z15">IF($S15="","",IF($S15="Lớp 5",INDEX('Lớp 5 - Phân công'!$AS$14:$AS$262,$T15),IF($S15="Lớp 4",INDEX('Lớp 4 - Danh mục'!$AR$14:$AR$132,$T15),INDEX('Lớp 3 - Công việc chính'!$AO$14:$AO$73,$T15))))</f>
        <v>Tuần</v>
      </c>
      <c r="AA15" s="701">
        <f t="array" ref="AA15">IF($S15="","",IF($S15="Lớp 5",INDEX('Lớp 5 - Phân công'!$AT$14:$AT$262,$T15),IF($S15="Lớp 4",INDEX('Lớp 4 - Danh mục'!$AS$14:$AS$132,$T15),INDEX('Lớp 3 - Công việc chính'!$AP$14:$AP$73,$T15))))</f>
        <v>4</v>
      </c>
      <c r="AB15" s="701">
        <f t="array" ref="AB15">IF($S15="","",IF($S15="Lớp 5",INDEX('Lớp 5 - Phân công'!$AJ$14:$AJ$262,$T15),IF($S15="Lớp 4",INDEX('Lớp 4 - Danh mục'!$AI$14:$AI$132,$T15),INDEX('Lớp 3 - Công việc chính'!$AF$14:$AF$73,$T15))))</f>
        <v>0.8</v>
      </c>
      <c r="AC15" s="702" t="str">
        <f t="array" ref="AC15">IF($S15="","",IF($S15="Lớp 5",INDEX('Lớp 5 - Phân công'!$AV$14:$AV$262,$T15),IF($S15="Lớp 4",INDEX('Lớp 4 - Danh mục'!$AU$14:$AU$132,$T15),INDEX('Lớp 3 - Công việc chính'!$AR$14:$AR$73,$T15))))</f>
        <v>Thiếu 1.0 giờ/tuần</v>
      </c>
    </row>
    <row r="16" ht="15.75" customHeight="1">
      <c r="A16" s="690" t="str">
        <f t="shared" si="1"/>
        <v>Lớp 5</v>
      </c>
      <c r="B16" s="690" t="str">
        <f t="array" ref="B16">IF($S16="","",IF($S16="Lớp 5",INDEX('Lớp 5 - Phân công'!$I$14:$I$262,$T16),IF($S16="Lớp 4",INDEX('Lớp 4 - Danh mục'!$I$14:$I$132,$T16),INDEX('Lớp 3 - Công việc chính'!$I$14:$I$73,$T16))))</f>
        <v>HHL5DL01-03</v>
      </c>
      <c r="C16" s="690" t="str">
        <f t="array" ref="C16">IF($S16="","",IF($S16="Lớp 5",INDEX('Lớp 5 - Phân công'!$K$14:$K$262,$T16),IF($S16="Lớp 4",INDEX('Lớp 4 - Danh mục'!$J$14:$J$132,$T16),INDEX('Lớp 3 - Công việc chính'!$I$14:$I$73,$T16))))</f>
        <v>HHL3CT03</v>
      </c>
      <c r="D16" s="690" t="str">
        <f t="array" ref="D16">IF($S16="","",IF($S16="Lớp 5",INDEX('Lớp 5 - Phân công'!$J$14:$J$262,$T16),IF($S16="Lớp 4",INDEX('Lớp 4 - Danh mục'!$I$14:$I$132,$T16),"")))</f>
        <v>HHL4DL01</v>
      </c>
      <c r="E16" s="690">
        <f t="array" ref="E16">IF($S16="","",IF($S16="Lớp 5",INDEX('Lớp 5 - Phân công'!$L$14:$L$262,$T16),IF($S16="Lớp 4",INDEX('Lớp 4 - Danh mục'!$K$14:$K$132,$T16),INDEX('Lớp 3 - Công việc chính'!$J$14:$J$73,$T16))))</f>
        <v>2026</v>
      </c>
      <c r="F16" s="690" t="str">
        <f t="array" ref="F16">IF($S16="","",IF($S16="Lớp 5",INDEX('Lớp 5 - Phân công'!$M$14:$M$262,$T16),IF($S16="Lớp 4",INDEX('Lớp 4 - Danh mục'!$L$14:$L$132,$T16),INDEX('Lớp 3 - Công việc chính'!$K$14:$K$73,$T16))))</f>
        <v>Cấp công ty</v>
      </c>
      <c r="G16" s="691" t="str">
        <f t="array" ref="G16">IF($S16="","",IF($S16="Lớp 5",INDEX('Lớp 5 - Phân công'!$N$14:$N$262,$T16),IF($S16="Lớp 4",INDEX('Lớp 4 - Danh mục'!$M$14:$M$132,$T16),INDEX('Lớp 3 - Công việc chính'!$L$14:$L$73,$T16))))</f>
        <v>Chiến lược/sống còn</v>
      </c>
      <c r="H16" s="692" t="str">
        <f t="array" ref="H16">IF($S16="","",IF($S16="Lớp 5",INDEX('Lớp 5 - Phân công'!$O$14:$O$262,$T16),IF($S16="Lớp 4",INDEX('Lớp 4 - Danh mục'!$N$14:$N$132,$T16),INDEX('Lớp 3 - Công việc chính'!$M$14:$M$73,$T16))))</f>
        <v>KHKD 2027&amp; HT lập KH theo tham số KD (bán tự động)</v>
      </c>
      <c r="I16" s="692" t="str">
        <f t="array" ref="I16">IF($S16="","",IF($S16="Lớp 5",INDEX('Lớp 5 - Phân công'!$P$14:$P$262,$T16),IF($S16="Lớp 4",INDEX('Lớp 4 - Danh mục'!$O$14:$O$132,$T16),"")))</f>
        <v>Xác nhận công thức &amp; tạo HT tham số cho KH GT</v>
      </c>
      <c r="J16" s="693" t="str">
        <f t="array" ref="J16">IF($S16="","",IF($S16="Lớp 5",INDEX('Lớp 5 - Phân công'!$Q$14:$Q$262,$T16),""))</f>
        <v>XD bảng Excel &amp; HT phần mềm (chạy demo) &amp;GT</v>
      </c>
      <c r="K16" s="690" t="str">
        <f t="array" ref="K16">IF($S16="","",IF($S16="Lớp 5",INDEX('Lớp 5 - Phân công'!$AA$14:$AA$262,$T16),IF($S16="Lớp 4",INDEX('Lớp 4 - Danh mục'!$Y$14:$Y$132,$T16),INDEX('Lớp 3 - Công việc chính'!$U$14:$U$73,$T16))))</f>
        <v>Em Đại</v>
      </c>
      <c r="L16" s="691" t="str">
        <f t="array" ref="L16">IF($S16="","",IF($S16="Lớp 5",INDEX('Lớp 5 - Phân công'!$Z$14:$Z$262,$T16),IF($S16="Lớp 4",INDEX('Lớp 4 - Danh mục'!$X$14:$X$132,$T16),INDEX('Lớp 3 - Công việc chính'!$W$14:$W$73,$T16))))</f>
        <v>Dữ liệu điều hành</v>
      </c>
      <c r="M16" s="694">
        <f t="array" ref="M16">IF($S16="","",IF($S16="Lớp 5",INDEX('Lớp 5 - Phân công'!$AD$14:$AD$262,$T16),IF($S16="Lớp 4",INDEX('Lớp 4 - Danh mục'!$AC$14:$AC$132,$T16),INDEX('Lớp 3 - Công việc chính'!$Z$14:$Z$73,$T16))))</f>
        <v>46255</v>
      </c>
      <c r="N16" s="695">
        <f t="array" ref="N16">IF($S16="","",IF($S16="Lớp 5",INDEX('Lớp 5 - Phân công'!$AE$14:$AE$262,$T16),IF($S16="Lớp 4",INDEX('Lớp 4 - Danh mục'!$AD$14:$AD$132,$T16),INDEX('Lớp 3 - Công việc chính'!$AA$14:$AA$73,$T16))))</f>
        <v>46264</v>
      </c>
      <c r="O16" s="690" t="str">
        <f t="array" ref="O16">IF($S16="","",IF($S16="Lớp 5",INDEX('Lớp 5 - Phân công'!$AB$14:$AB$262,$T16),IF($S16="Lớp 4",INDEX('Lớp 4 - Danh mục'!$AA$14:$AA$132,$T16),INDEX('Lớp 3 - Công việc chính'!$X$14:$X$73,$T16))))</f>
        <v>Chưa bắt đầu</v>
      </c>
      <c r="P16" s="703" t="str">
        <f t="array" ref="P16">IF($S16="","",IF($S16="Lớp 5",INDEX('Lớp 5 - Phân công'!$AC$14:$AC$262,$T16),IF($S16="Lớp 4",INDEX('Lớp 4 - Danh mục'!$AB$14:$AB$132,$T16),INDEX('Lớp 3 - Công việc chính'!$Y$14:$Y$73,$T16))))</f>
        <v>P1</v>
      </c>
      <c r="Q16" s="697">
        <f t="array" ref="Q16">IF($S16="","",IF($S16="Lớp 5",INDEX('Lớp 5 - Phân công'!$AG$14:$AG$262,$T16),IF($S16="Lớp 4",INDEX('Lớp 4 - Danh mục'!$AF$14:$AF$132,$T16),INDEX('Lớp 3 - Công việc chính'!$AC$14:$AC$73,$T16))))</f>
        <v>0</v>
      </c>
      <c r="R16" s="698" t="str">
        <f t="array" ref="R16">IF($S16="","",IF($S16="Lớp 5",INDEX('Lớp 5 - Phân công'!$X$14:$X$262,$T16),IF($S16="Lớp 4",INDEX('Lớp 4 - Danh mục'!$V$14:$V$132,$T16),INDEX('Lớp 3 - Công việc chính'!$T$14:$T$73,$T16))))</f>
        <v>File Excel HT theo dãy tham số </v>
      </c>
      <c r="S16" s="699" t="str">
        <f>IF(ROWS($S$14:S16)&lt;=COUNTIF('Lớp 5 - Phân công'!$I$14:$I$262,"&lt;&gt;"),"Lớp 5",IF(ROWS($S$14:S16)&lt;=COUNTIF('Lớp 5 - Phân công'!$I$14:$I$262,"&lt;&gt;")+SUMPRODUCT(--('Lớp 4 - Danh mục'!$I$14:$I$132&lt;&gt;""),--(COUNTIF('Lớp 5 - Phân công'!$J$14:$J$262,'Lớp 4 - Danh mục'!$I$14:$I$132)=0)),"Lớp 4",IF(ROWS($S$14:S16)&lt;=COUNTIF('Lớp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16" s="699">
        <f t="array" ref="T16">IF(S16="","",IF(S16="Lớp 5",IF(S15&lt;&gt;"Lớp 5",MATCH("*",'Lớp 5 - Phân công'!$I$14:$I$262,0),T15+MATCH("*",INDEX('Lớp 5 - Phân công'!$I$14:$I$262,T15+1):'Lớp 5 - Phân công'!$I$262,0)),IF(S16="Lớp 4",IF(S15&lt;&gt;"Lớp 4",MATCH(1,INDEX(('Lớp 4 - Danh mục'!$I$14:$I$132&lt;&gt;"")*(COUNTIF('Lớp 5 - Phân công'!$J$14:$J$262,'Lớp 4 - Danh mục'!$I$14:$I$132)=0),0),0),T15+MATCH(1,INDEX((INDEX('Lớp 4 - Danh mục'!$I$14:$I$132,T15+1):'Lớp 4 - Danh mục'!$I$132&lt;&gt;"")*(COUNTIF('Lớp 5 - Phân công'!$J$14:$J$262,INDEX('Lớp 4 - Danh mục'!$I$14:$I$132,T15+1):'Lớp 4 - Danh mục'!$I$132)=0),0),0)),IF(S15&lt;&gt;"Lớp 3",MATCH(1,INDEX(('Lớp 3 - Công việc chính'!$I$14:$I$73&lt;&gt;"")*(COUNTIF('Lớp 4 - Danh mục'!$J$14:$J$132,'Lớp 3 - Công việc chính'!$I$14:$I$73)=0),0),0),T15+MATCH(1,INDEX((INDEX('Lớp 3 - Công việc chính'!$I$14:$I$73,T15+1):'Lớp 3 - Công việc chính'!$I$73&lt;&gt;"")*(COUNTIF('Lớp 4 - Danh mục'!$J$14:$J$132,INDEX('Lớp 3 - Công việc chính'!$I$14:$I$73,T15+1):'Lớp 3 - Công việc chính'!$I$73)=0),0),0)))))</f>
        <v>3</v>
      </c>
      <c r="U16" s="677"/>
      <c r="V16" s="678" t="str">
        <f>IF(U16="","",SUMIFS('Lớp 3 - Công việc chính'!$AF$14:$AF$73,'Lớp 3 - Công việc chính'!$V$14:$V$73,U16,'Lớp 3 - Công việc chính'!$Z$14:$Z$73,"&lt;="&amp;TODAY(),'Lớp 3 - Công việc chính'!$AA$14:$AA$73,"&gt;="&amp;TODAY())+SUMIFS('Lớp 4 - Danh mục'!$AI$14:$AI$132,'Lớp 4 - Danh mục'!$Z$14:$Z$132,U16,'Lớp 4 - Danh mục'!$AC$14:$AC$132,"&lt;="&amp;TODAY(),'Lớp 4 - Danh mục'!$AD$14:$AD$132,"&gt;="&amp;TODAY())+SUMIFS('Lớp 5 - Phân công'!$AJ$14:$AJ$262,'Lớp 5 - Phân công'!$AA$14:$AA$262,U16,'Lớp 5 - Phân công'!$AD$14:$AD$262,"&lt;="&amp;TODAY(),'Lớp 5 - Phân công'!$AE$14:$AE$262,"&gt;="&amp;TODAY())+SUMIFS('Lớp 6 - Chi tiết'!$AM$14:$AM$267,'Lớp 6 - Chi tiết'!$AC$14:$AC$267,U16,'Lớp 6 - Chi tiết'!$AG$14:$AG$267,"&lt;="&amp;TODAY(),'Lớp 6 - Chi tiết'!$AH$14:$AH$267,"&gt;="&amp;TODAY()))</f>
        <v/>
      </c>
      <c r="W16" s="679" t="str">
        <f>IF(V16="","",V16/'Danh mục chọn'!$J$2)</f>
        <v/>
      </c>
      <c r="X16" s="680" t="str">
        <f>IF(V16="","",IF(V16=0,"Chưa có tải tính được",IF(V16&gt;'Danh mục chọn'!$J$2,"Quá tải",IF(V16&gt;='Danh mục chọn'!$J$2*'Danh mục chọn'!$J$3,"Cận tải","Bình thường"))))</f>
        <v/>
      </c>
      <c r="Y16" s="678" t="str">
        <f>IF(U16="","",SUMPRODUCT(('Lớp 3 - Công việc chính'!$V$14:$V$73=U16)*('Lớp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mục'!$Z$14:$Z$132=U16)*('Lớp 4 - Danh mục'!$AD$14:$AD$132&lt;TODAY())*('Lớp 4 - Danh mục'!$AA$14:$AA$132&lt;&gt;"Hoàn thành")*('Lớp 4 - Danh mục'!$AA$14:$AA$132&lt;&gt;"Hủy")*('Lớp 4 - Danh mục'!$AI$14:$AI$132&lt;&gt;"")*IFERROR('Lớp 4 - Danh mục'!$AH$14:$AH$132*(1-'Lớp 4 - Danh mục'!$AF$14:$AF$132),0))+SUMPRODUCT(('Lớp 5 - Phân công'!$AA$14:$AA$262=U16)*('Lớp 5 - Phân công'!$AE$14:$AE$262&lt;TODAY())*('Lớp 5 - Phân công'!$AB$14:$AB$262&lt;&gt;"Hoàn thành")*('Lớp 5 - Phân công'!$AB$14:$AB$262&lt;&gt;"Hủy")*('Lớp 5 - Phân công'!$AJ$14:$AJ$262&lt;&gt;"")*IFERROR('Lớp 5 - Phân công'!$AI$14:$AI$262*(1-'Lớp 5 - Phân công'!$AG$14:$AG$262),0))+SUMPRODUCT(('Lớp 6 - Chi tiết'!$AC$14:$AC$267=U16)*('Lớp 6 - Chi tiết'!$AH$14:$AH$267&lt;TODAY())*('Lớp 6 - Chi tiết'!$AE$14:$AE$267&lt;&gt;"Hoàn thành")*('Lớp 6 - Chi tiết'!$AE$14:$AE$267&lt;&gt;"Hủy")*('Lớp 6 - Chi tiết'!$AM$14:$AM$267&lt;&gt;"")*IFERROR('Lớp 6 - Chi tiết'!$AL$14:$AL$267*(1-'Lớp 6 - Chi tiết'!$AJ$14:$AJ$267),0)))</f>
        <v/>
      </c>
      <c r="Z16" s="700" t="str">
        <f t="array" ref="Z16">IF($S16="","",IF($S16="Lớp 5",INDEX('Lớp 5 - Phân công'!$AS$14:$AS$262,$T16),IF($S16="Lớp 4",INDEX('Lớp 4 - Danh mục'!$AR$14:$AR$132,$T16),INDEX('Lớp 3 - Công việc chính'!$AO$14:$AO$73,$T16))))</f>
        <v>Tuần</v>
      </c>
      <c r="AA16" s="701">
        <f t="array" ref="AA16">IF($S16="","",IF($S16="Lớp 5",INDEX('Lớp 5 - Phân công'!$AT$14:$AT$262,$T16),IF($S16="Lớp 4",INDEX('Lớp 4 - Danh mục'!$AS$14:$AS$132,$T16),INDEX('Lớp 3 - Công việc chính'!$AP$14:$AP$73,$T16))))</f>
        <v>16</v>
      </c>
      <c r="AB16" s="701">
        <f t="array" ref="AB16">IF($S16="","",IF($S16="Lớp 5",INDEX('Lớp 5 - Phân công'!$AJ$14:$AJ$262,$T16),IF($S16="Lớp 4",INDEX('Lớp 4 - Danh mục'!$AI$14:$AI$132,$T16),INDEX('Lớp 3 - Công việc chính'!$AF$14:$AF$73,$T16))))</f>
        <v>3.2</v>
      </c>
      <c r="AC16" s="702" t="str">
        <f t="array" ref="AC16">IF($S16="","",IF($S16="Lớp 5",INDEX('Lớp 5 - Phân công'!$AV$14:$AV$262,$T16),IF($S16="Lớp 4",INDEX('Lớp 4 - Danh mục'!$AU$14:$AU$132,$T16),INDEX('Lớp 3 - Công việc chính'!$AR$14:$AR$73,$T16))))</f>
        <v>Đủ phân bổ theo tuần</v>
      </c>
    </row>
    <row r="17" ht="15.75" customHeight="1">
      <c r="A17" s="690" t="str">
        <f t="shared" si="1"/>
        <v>Lớp 5</v>
      </c>
      <c r="B17" s="690" t="str">
        <f t="array" ref="B17">IF($S17="","",IF($S17="Lớp 5",INDEX('Lớp 5 - Phân công'!$I$14:$I$262,$T17),IF($S17="Lớp 4",INDEX('Lớp 4 - Danh mục'!$I$14:$I$132,$T17),INDEX('Lớp 3 - Công việc chính'!$I$14:$I$73,$T17))))</f>
        <v>HHL5DL01-04</v>
      </c>
      <c r="C17" s="690" t="str">
        <f t="array" ref="C17">IF($S17="","",IF($S17="Lớp 5",INDEX('Lớp 5 - Phân công'!$K$14:$K$262,$T17),IF($S17="Lớp 4",INDEX('Lớp 4 - Danh mục'!$J$14:$J$132,$T17),INDEX('Lớp 3 - Công việc chính'!$I$14:$I$73,$T17))))</f>
        <v>HHL3CT03</v>
      </c>
      <c r="D17" s="690" t="str">
        <f t="array" ref="D17">IF($S17="","",IF($S17="Lớp 5",INDEX('Lớp 5 - Phân công'!$J$14:$J$262,$T17),IF($S17="Lớp 4",INDEX('Lớp 4 - Danh mục'!$I$14:$I$132,$T17),"")))</f>
        <v>HHL4DL01</v>
      </c>
      <c r="E17" s="690">
        <f t="array" ref="E17">IF($S17="","",IF($S17="Lớp 5",INDEX('Lớp 5 - Phân công'!$L$14:$L$262,$T17),IF($S17="Lớp 4",INDEX('Lớp 4 - Danh mục'!$K$14:$K$132,$T17),INDEX('Lớp 3 - Công việc chính'!$J$14:$J$73,$T17))))</f>
        <v>2026</v>
      </c>
      <c r="F17" s="690" t="str">
        <f t="array" ref="F17">IF($S17="","",IF($S17="Lớp 5",INDEX('Lớp 5 - Phân công'!$M$14:$M$262,$T17),IF($S17="Lớp 4",INDEX('Lớp 4 - Danh mục'!$L$14:$L$132,$T17),INDEX('Lớp 3 - Công việc chính'!$K$14:$K$73,$T17))))</f>
        <v>Cấp công ty</v>
      </c>
      <c r="G17" s="691" t="str">
        <f t="array" ref="G17">IF($S17="","",IF($S17="Lớp 5",INDEX('Lớp 5 - Phân công'!$N$14:$N$262,$T17),IF($S17="Lớp 4",INDEX('Lớp 4 - Danh mục'!$M$14:$M$132,$T17),INDEX('Lớp 3 - Công việc chính'!$L$14:$L$73,$T17))))</f>
        <v>Chiến lược/sống còn</v>
      </c>
      <c r="H17" s="692" t="str">
        <f t="array" ref="H17">IF($S17="","",IF($S17="Lớp 5",INDEX('Lớp 5 - Phân công'!$O$14:$O$262,$T17),IF($S17="Lớp 4",INDEX('Lớp 4 - Danh mục'!$N$14:$N$132,$T17),INDEX('Lớp 3 - Công việc chính'!$M$14:$M$73,$T17))))</f>
        <v>KHKD 2027&amp; HT lập KH theo tham số KD (bán tự động)</v>
      </c>
      <c r="I17" s="692" t="str">
        <f t="array" ref="I17">IF($S17="","",IF($S17="Lớp 5",INDEX('Lớp 5 - Phân công'!$P$14:$P$262,$T17),IF($S17="Lớp 4",INDEX('Lớp 4 - Danh mục'!$O$14:$O$132,$T17),"")))</f>
        <v>Xác nhận công thức &amp; tạo HT tham số cho KH GT</v>
      </c>
      <c r="J17" s="693" t="str">
        <f t="array" ref="J17">IF($S17="","",IF($S17="Lớp 5",INDEX('Lớp 5 - Phân công'!$Q$14:$Q$262,$T17),""))</f>
        <v>Chạy tham số Topdown GT</v>
      </c>
      <c r="K17" s="690" t="str">
        <f t="array" ref="K17">IF($S17="","",IF($S17="Lớp 5",INDEX('Lớp 5 - Phân công'!$AA$14:$AA$262,$T17),IF($S17="Lớp 4",INDEX('Lớp 4 - Danh mục'!$Y$14:$Y$132,$T17),INDEX('Lớp 3 - Công việc chính'!$U$14:$U$73,$T17))))</f>
        <v>Em Đại</v>
      </c>
      <c r="L17" s="691" t="str">
        <f t="array" ref="L17">IF($S17="","",IF($S17="Lớp 5",INDEX('Lớp 5 - Phân công'!$Z$14:$Z$262,$T17),IF($S17="Lớp 4",INDEX('Lớp 4 - Danh mục'!$X$14:$X$132,$T17),INDEX('Lớp 3 - Công việc chính'!$W$14:$W$73,$T17))))</f>
        <v>Dữ liệu điều hành</v>
      </c>
      <c r="M17" s="694">
        <f t="array" ref="M17">IF($S17="","",IF($S17="Lớp 5",INDEX('Lớp 5 - Phân công'!$AD$14:$AD$262,$T17),IF($S17="Lớp 4",INDEX('Lớp 4 - Danh mục'!$AC$14:$AC$132,$T17),INDEX('Lớp 3 - Công việc chính'!$Z$14:$Z$73,$T17))))</f>
        <v>46265</v>
      </c>
      <c r="N17" s="695">
        <f t="array" ref="N17">IF($S17="","",IF($S17="Lớp 5",INDEX('Lớp 5 - Phân công'!$AE$14:$AE$262,$T17),IF($S17="Lớp 4",INDEX('Lớp 4 - Danh mục'!$AD$14:$AD$132,$T17),INDEX('Lớp 3 - Công việc chính'!$AA$14:$AA$73,$T17))))</f>
        <v>46270</v>
      </c>
      <c r="O17" s="690" t="str">
        <f t="array" ref="O17">IF($S17="","",IF($S17="Lớp 5",INDEX('Lớp 5 - Phân công'!$AB$14:$AB$262,$T17),IF($S17="Lớp 4",INDEX('Lớp 4 - Danh mục'!$AA$14:$AA$132,$T17),INDEX('Lớp 3 - Công việc chính'!$X$14:$X$73,$T17))))</f>
        <v>Chưa bắt đầu</v>
      </c>
      <c r="P17" s="703" t="str">
        <f t="array" ref="P17">IF($S17="","",IF($S17="Lớp 5",INDEX('Lớp 5 - Phân công'!$AC$14:$AC$262,$T17),IF($S17="Lớp 4",INDEX('Lớp 4 - Danh mục'!$AB$14:$AB$132,$T17),INDEX('Lớp 3 - Công việc chính'!$Y$14:$Y$73,$T17))))</f>
        <v>P1</v>
      </c>
      <c r="Q17" s="697">
        <f t="array" ref="Q17">IF($S17="","",IF($S17="Lớp 5",INDEX('Lớp 5 - Phân công'!$AG$14:$AG$262,$T17),IF($S17="Lớp 4",INDEX('Lớp 4 - Danh mục'!$AF$14:$AF$132,$T17),INDEX('Lớp 3 - Công việc chính'!$AC$14:$AC$73,$T17))))</f>
        <v>0</v>
      </c>
      <c r="R17" s="698" t="str">
        <f t="array" ref="R17">IF($S17="","",IF($S17="Lớp 5",INDEX('Lớp 5 - Phân công'!$X$14:$X$262,$T17),IF($S17="Lớp 4",INDEX('Lớp 4 - Danh mục'!$V$14:$V$132,$T17),INDEX('Lớp 3 - Công việc chính'!$T$14:$T$73,$T17))))</f>
        <v>Kết qủa chạy top-down</v>
      </c>
      <c r="S17" s="699" t="str">
        <f>IF(ROWS($S$14:S17)&lt;=COUNTIF('Lớp 5 - Phân công'!$I$14:$I$262,"&lt;&gt;"),"Lớp 5",IF(ROWS($S$14:S17)&lt;=COUNTIF('Lớp 5 - Phân công'!$I$14:$I$262,"&lt;&gt;")+SUMPRODUCT(--('Lớp 4 - Danh mục'!$I$14:$I$132&lt;&gt;""),--(COUNTIF('Lớp 5 - Phân công'!$J$14:$J$262,'Lớp 4 - Danh mục'!$I$14:$I$132)=0)),"Lớp 4",IF(ROWS($S$14:S17)&lt;=COUNTIF('Lớp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17" s="699">
        <f t="array" ref="T17">IF(S17="","",IF(S17="Lớp 5",IF(S16&lt;&gt;"Lớp 5",MATCH("*",'Lớp 5 - Phân công'!$I$14:$I$262,0),T16+MATCH("*",INDEX('Lớp 5 - Phân công'!$I$14:$I$262,T16+1):'Lớp 5 - Phân công'!$I$262,0)),IF(S17="Lớp 4",IF(S16&lt;&gt;"Lớp 4",MATCH(1,INDEX(('Lớp 4 - Danh mục'!$I$14:$I$132&lt;&gt;"")*(COUNTIF('Lớp 5 - Phân công'!$J$14:$J$262,'Lớp 4 - Danh mục'!$I$14:$I$132)=0),0),0),T16+MATCH(1,INDEX((INDEX('Lớp 4 - Danh mục'!$I$14:$I$132,T16+1):'Lớp 4 - Danh mục'!$I$132&lt;&gt;"")*(COUNTIF('Lớp 5 - Phân công'!$J$14:$J$262,INDEX('Lớp 4 - Danh mục'!$I$14:$I$132,T16+1):'Lớp 4 - Danh mục'!$I$132)=0),0),0)),IF(S16&lt;&gt;"Lớp 3",MATCH(1,INDEX(('Lớp 3 - Công việc chính'!$I$14:$I$73&lt;&gt;"")*(COUNTIF('Lớp 4 - Danh mục'!$J$14:$J$132,'Lớp 3 - Công việc chính'!$I$14:$I$73)=0),0),0),T16+MATCH(1,INDEX((INDEX('Lớp 3 - Công việc chính'!$I$14:$I$73,T16+1):'Lớp 3 - Công việc chính'!$I$73&lt;&gt;"")*(COUNTIF('Lớp 4 - Danh mục'!$J$14:$J$132,INDEX('Lớp 3 - Công việc chính'!$I$14:$I$73,T16+1):'Lớp 3 - Công việc chính'!$I$73)=0),0),0)))))</f>
        <v>4</v>
      </c>
      <c r="U17" s="677"/>
      <c r="V17" s="678" t="str">
        <f>IF(U17="","",SUMIFS('Lớp 3 - Công việc chính'!$AF$14:$AF$73,'Lớp 3 - Công việc chính'!$V$14:$V$73,U17,'Lớp 3 - Công việc chính'!$Z$14:$Z$73,"&lt;="&amp;TODAY(),'Lớp 3 - Công việc chính'!$AA$14:$AA$73,"&gt;="&amp;TODAY())+SUMIFS('Lớp 4 - Danh mục'!$AI$14:$AI$132,'Lớp 4 - Danh mục'!$Z$14:$Z$132,U17,'Lớp 4 - Danh mục'!$AC$14:$AC$132,"&lt;="&amp;TODAY(),'Lớp 4 - Danh mục'!$AD$14:$AD$132,"&gt;="&amp;TODAY())+SUMIFS('Lớp 5 - Phân công'!$AJ$14:$AJ$262,'Lớp 5 - Phân công'!$AA$14:$AA$262,U17,'Lớp 5 - Phân công'!$AD$14:$AD$262,"&lt;="&amp;TODAY(),'Lớp 5 - Phân công'!$AE$14:$AE$262,"&gt;="&amp;TODAY())+SUMIFS('Lớp 6 - Chi tiết'!$AM$14:$AM$267,'Lớp 6 - Chi tiết'!$AC$14:$AC$267,U17,'Lớp 6 - Chi tiết'!$AG$14:$AG$267,"&lt;="&amp;TODAY(),'Lớp 6 - Chi tiết'!$AH$14:$AH$267,"&gt;="&amp;TODAY()))</f>
        <v/>
      </c>
      <c r="W17" s="679" t="str">
        <f>IF(V17="","",V17/'Danh mục chọn'!$J$2)</f>
        <v/>
      </c>
      <c r="X17" s="680" t="str">
        <f>IF(V17="","",IF(V17=0,"Chưa có tải tính được",IF(V17&gt;'Danh mục chọn'!$J$2,"Quá tải",IF(V17&gt;='Danh mục chọn'!$J$2*'Danh mục chọn'!$J$3,"Cận tải","Bình thường"))))</f>
        <v/>
      </c>
      <c r="Y17" s="678" t="str">
        <f>IF(U17="","",SUMPRODUCT(('Lớp 3 - Công việc chính'!$V$14:$V$73=U17)*('Lớp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mục'!$Z$14:$Z$132=U17)*('Lớp 4 - Danh mục'!$AD$14:$AD$132&lt;TODAY())*('Lớp 4 - Danh mục'!$AA$14:$AA$132&lt;&gt;"Hoàn thành")*('Lớp 4 - Danh mục'!$AA$14:$AA$132&lt;&gt;"Hủy")*('Lớp 4 - Danh mục'!$AI$14:$AI$132&lt;&gt;"")*IFERROR('Lớp 4 - Danh mục'!$AH$14:$AH$132*(1-'Lớp 4 - Danh mục'!$AF$14:$AF$132),0))+SUMPRODUCT(('Lớp 5 - Phân công'!$AA$14:$AA$262=U17)*('Lớp 5 - Phân công'!$AE$14:$AE$262&lt;TODAY())*('Lớp 5 - Phân công'!$AB$14:$AB$262&lt;&gt;"Hoàn thành")*('Lớp 5 - Phân công'!$AB$14:$AB$262&lt;&gt;"Hủy")*('Lớp 5 - Phân công'!$AJ$14:$AJ$262&lt;&gt;"")*IFERROR('Lớp 5 - Phân công'!$AI$14:$AI$262*(1-'Lớp 5 - Phân công'!$AG$14:$AG$262),0))+SUMPRODUCT(('Lớp 6 - Chi tiết'!$AC$14:$AC$267=U17)*('Lớp 6 - Chi tiết'!$AH$14:$AH$267&lt;TODAY())*('Lớp 6 - Chi tiết'!$AE$14:$AE$267&lt;&gt;"Hoàn thành")*('Lớp 6 - Chi tiết'!$AE$14:$AE$267&lt;&gt;"Hủy")*('Lớp 6 - Chi tiết'!$AM$14:$AM$267&lt;&gt;"")*IFERROR('Lớp 6 - Chi tiết'!$AL$14:$AL$267*(1-'Lớp 6 - Chi tiết'!$AJ$14:$AJ$267),0)))</f>
        <v/>
      </c>
      <c r="Z17" s="700" t="str">
        <f t="array" ref="Z17">IF($S17="","",IF($S17="Lớp 5",INDEX('Lớp 5 - Phân công'!$AS$14:$AS$262,$T17),IF($S17="Lớp 4",INDEX('Lớp 4 - Danh mục'!$AR$14:$AR$132,$T17),INDEX('Lớp 3 - Công việc chính'!$AO$14:$AO$73,$T17))))</f>
        <v>Tuần</v>
      </c>
      <c r="AA17" s="701">
        <f t="array" ref="AA17">IF($S17="","",IF($S17="Lớp 5",INDEX('Lớp 5 - Phân công'!$AT$14:$AT$262,$T17),IF($S17="Lớp 4",INDEX('Lớp 4 - Danh mục'!$AS$14:$AS$132,$T17),INDEX('Lớp 3 - Công việc chính'!$AP$14:$AP$73,$T17))))</f>
        <v>8</v>
      </c>
      <c r="AB17" s="701">
        <f t="array" ref="AB17">IF($S17="","",IF($S17="Lớp 5",INDEX('Lớp 5 - Phân công'!$AJ$14:$AJ$262,$T17),IF($S17="Lớp 4",INDEX('Lớp 4 - Danh mục'!$AI$14:$AI$132,$T17),INDEX('Lớp 3 - Công việc chính'!$AF$14:$AF$73,$T17))))</f>
        <v>1.6</v>
      </c>
      <c r="AC17" s="702" t="str">
        <f t="array" ref="AC17">IF($S17="","",IF($S17="Lớp 5",INDEX('Lớp 5 - Phân công'!$AV$14:$AV$262,$T17),IF($S17="Lớp 4",INDEX('Lớp 4 - Danh mục'!$AU$14:$AU$132,$T17),INDEX('Lớp 3 - Công việc chính'!$AR$14:$AR$73,$T17))))</f>
        <v>Thiếu 2.0 giờ/tuần</v>
      </c>
    </row>
    <row r="18" ht="15.75" customHeight="1">
      <c r="A18" s="690" t="str">
        <f t="shared" si="1"/>
        <v>Lớp 5</v>
      </c>
      <c r="B18" s="690" t="str">
        <f t="array" ref="B18">IF($S18="","",IF($S18="Lớp 5",INDEX('Lớp 5 - Phân công'!$I$14:$I$262,$T18),IF($S18="Lớp 4",INDEX('Lớp 4 - Danh mục'!$I$14:$I$132,$T18),INDEX('Lớp 3 - Công việc chính'!$I$14:$I$73,$T18))))</f>
        <v>HHL5DL01-05</v>
      </c>
      <c r="C18" s="690" t="str">
        <f t="array" ref="C18">IF($S18="","",IF($S18="Lớp 5",INDEX('Lớp 5 - Phân công'!$K$14:$K$262,$T18),IF($S18="Lớp 4",INDEX('Lớp 4 - Danh mục'!$J$14:$J$132,$T18),INDEX('Lớp 3 - Công việc chính'!$I$14:$I$73,$T18))))</f>
        <v>HHL3CT03</v>
      </c>
      <c r="D18" s="690" t="str">
        <f t="array" ref="D18">IF($S18="","",IF($S18="Lớp 5",INDEX('Lớp 5 - Phân công'!$J$14:$J$262,$T18),IF($S18="Lớp 4",INDEX('Lớp 4 - Danh mục'!$I$14:$I$132,$T18),"")))</f>
        <v>HHL4DL01</v>
      </c>
      <c r="E18" s="690">
        <f t="array" ref="E18">IF($S18="","",IF($S18="Lớp 5",INDEX('Lớp 5 - Phân công'!$L$14:$L$262,$T18),IF($S18="Lớp 4",INDEX('Lớp 4 - Danh mục'!$K$14:$K$132,$T18),INDEX('Lớp 3 - Công việc chính'!$J$14:$J$73,$T18))))</f>
        <v>2026</v>
      </c>
      <c r="F18" s="690" t="str">
        <f t="array" ref="F18">IF($S18="","",IF($S18="Lớp 5",INDEX('Lớp 5 - Phân công'!$M$14:$M$262,$T18),IF($S18="Lớp 4",INDEX('Lớp 4 - Danh mục'!$L$14:$L$132,$T18),INDEX('Lớp 3 - Công việc chính'!$K$14:$K$73,$T18))))</f>
        <v>Cấp công ty</v>
      </c>
      <c r="G18" s="691" t="str">
        <f t="array" ref="G18">IF($S18="","",IF($S18="Lớp 5",INDEX('Lớp 5 - Phân công'!$N$14:$N$262,$T18),IF($S18="Lớp 4",INDEX('Lớp 4 - Danh mục'!$M$14:$M$132,$T18),INDEX('Lớp 3 - Công việc chính'!$L$14:$L$73,$T18))))</f>
        <v>Chiến lược/sống còn</v>
      </c>
      <c r="H18" s="692" t="str">
        <f t="array" ref="H18">IF($S18="","",IF($S18="Lớp 5",INDEX('Lớp 5 - Phân công'!$O$14:$O$262,$T18),IF($S18="Lớp 4",INDEX('Lớp 4 - Danh mục'!$N$14:$N$132,$T18),INDEX('Lớp 3 - Công việc chính'!$M$14:$M$73,$T18))))</f>
        <v>KHKD 2027&amp; HT lập KH theo tham số KD (bán tự động)</v>
      </c>
      <c r="I18" s="692" t="str">
        <f t="array" ref="I18">IF($S18="","",IF($S18="Lớp 5",INDEX('Lớp 5 - Phân công'!$P$14:$P$262,$T18),IF($S18="Lớp 4",INDEX('Lớp 4 - Danh mục'!$O$14:$O$132,$T18),"")))</f>
        <v>Xác nhận công thức &amp; tạo HT tham số cho KH GT</v>
      </c>
      <c r="J18" s="693" t="str">
        <f t="array" ref="J18">IF($S18="","",IF($S18="Lớp 5",INDEX('Lớp 5 - Phân công'!$Q$14:$Q$262,$T18),""))</f>
        <v>Chạy tham số Bottom-up theo khu vực vùng miền GT</v>
      </c>
      <c r="K18" s="690" t="str">
        <f t="array" ref="K18">IF($S18="","",IF($S18="Lớp 5",INDEX('Lớp 5 - Phân công'!$AA$14:$AA$262,$T18),IF($S18="Lớp 4",INDEX('Lớp 4 - Danh mục'!$Y$14:$Y$132,$T18),INDEX('Lớp 3 - Công việc chính'!$U$14:$U$73,$T18))))</f>
        <v>Em Đại</v>
      </c>
      <c r="L18" s="691" t="str">
        <f t="array" ref="L18">IF($S18="","",IF($S18="Lớp 5",INDEX('Lớp 5 - Phân công'!$Z$14:$Z$262,$T18),IF($S18="Lớp 4",INDEX('Lớp 4 - Danh mục'!$X$14:$X$132,$T18),INDEX('Lớp 3 - Công việc chính'!$W$14:$W$73,$T18))))</f>
        <v>Dữ liệu điều hành</v>
      </c>
      <c r="M18" s="694">
        <f t="array" ref="M18">IF($S18="","",IF($S18="Lớp 5",INDEX('Lớp 5 - Phân công'!$AD$14:$AD$262,$T18),IF($S18="Lớp 4",INDEX('Lớp 4 - Danh mục'!$AC$14:$AC$132,$T18),INDEX('Lớp 3 - Công việc chính'!$Z$14:$Z$73,$T18))))</f>
        <v>46271</v>
      </c>
      <c r="N18" s="695">
        <f t="array" ref="N18">IF($S18="","",IF($S18="Lớp 5",INDEX('Lớp 5 - Phân công'!$AE$14:$AE$262,$T18),IF($S18="Lớp 4",INDEX('Lớp 4 - Danh mục'!$AD$14:$AD$132,$T18),INDEX('Lớp 3 - Công việc chính'!$AA$14:$AA$73,$T18))))</f>
        <v>46305</v>
      </c>
      <c r="O18" s="690" t="str">
        <f t="array" ref="O18">IF($S18="","",IF($S18="Lớp 5",INDEX('Lớp 5 - Phân công'!$AB$14:$AB$262,$T18),IF($S18="Lớp 4",INDEX('Lớp 4 - Danh mục'!$AA$14:$AA$132,$T18),INDEX('Lớp 3 - Công việc chính'!$X$14:$X$73,$T18))))</f>
        <v>Đã lên lịch</v>
      </c>
      <c r="P18" s="703" t="str">
        <f t="array" ref="P18">IF($S18="","",IF($S18="Lớp 5",INDEX('Lớp 5 - Phân công'!$AC$14:$AC$262,$T18),IF($S18="Lớp 4",INDEX('Lớp 4 - Danh mục'!$AB$14:$AB$132,$T18),INDEX('Lớp 3 - Công việc chính'!$Y$14:$Y$73,$T18))))</f>
        <v>P1</v>
      </c>
      <c r="Q18" s="697" t="str">
        <f t="array" ref="Q18">IF($S18="","",IF($S18="Lớp 5",INDEX('Lớp 5 - Phân công'!$AG$14:$AG$262,$T18),IF($S18="Lớp 4",INDEX('Lớp 4 - Danh mục'!$AF$14:$AF$132,$T18),INDEX('Lớp 3 - Công việc chính'!$AC$14:$AC$73,$T18))))</f>
        <v/>
      </c>
      <c r="R18" s="698" t="str">
        <f t="array" ref="R18">IF($S18="","",IF($S18="Lớp 5",INDEX('Lớp 5 - Phân công'!$X$14:$X$262,$T18),IF($S18="Lớp 4",INDEX('Lớp 4 - Danh mục'!$V$14:$V$132,$T18),INDEX('Lớp 3 - Công việc chính'!$T$14:$T$73,$T18))))</f>
        <v>Bộ kết quả Bottom-up vòng 1 </v>
      </c>
      <c r="S18" s="699" t="str">
        <f>IF(ROWS($S$14:S18)&lt;=COUNTIF('Lớp 5 - Phân công'!$I$14:$I$262,"&lt;&gt;"),"Lớp 5",IF(ROWS($S$14:S18)&lt;=COUNTIF('Lớp 5 - Phân công'!$I$14:$I$262,"&lt;&gt;")+SUMPRODUCT(--('Lớp 4 - Danh mục'!$I$14:$I$132&lt;&gt;""),--(COUNTIF('Lớp 5 - Phân công'!$J$14:$J$262,'Lớp 4 - Danh mục'!$I$14:$I$132)=0)),"Lớp 4",IF(ROWS($S$14:S18)&lt;=COUNTIF('Lớp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18" s="699">
        <f t="array" ref="T18">IF(S18="","",IF(S18="Lớp 5",IF(S17&lt;&gt;"Lớp 5",MATCH("*",'Lớp 5 - Phân công'!$I$14:$I$262,0),T17+MATCH("*",INDEX('Lớp 5 - Phân công'!$I$14:$I$262,T17+1):'Lớp 5 - Phân công'!$I$262,0)),IF(S18="Lớp 4",IF(S17&lt;&gt;"Lớp 4",MATCH(1,INDEX(('Lớp 4 - Danh mục'!$I$14:$I$132&lt;&gt;"")*(COUNTIF('Lớp 5 - Phân công'!$J$14:$J$262,'Lớp 4 - Danh mục'!$I$14:$I$132)=0),0),0),T17+MATCH(1,INDEX((INDEX('Lớp 4 - Danh mục'!$I$14:$I$132,T17+1):'Lớp 4 - Danh mục'!$I$132&lt;&gt;"")*(COUNTIF('Lớp 5 - Phân công'!$J$14:$J$262,INDEX('Lớp 4 - Danh mục'!$I$14:$I$132,T17+1):'Lớp 4 - Danh mục'!$I$132)=0),0),0)),IF(S17&lt;&gt;"Lớp 3",MATCH(1,INDEX(('Lớp 3 - Công việc chính'!$I$14:$I$73&lt;&gt;"")*(COUNTIF('Lớp 4 - Danh mục'!$J$14:$J$132,'Lớp 3 - Công việc chính'!$I$14:$I$73)=0),0),0),T17+MATCH(1,INDEX((INDEX('Lớp 3 - Công việc chính'!$I$14:$I$73,T17+1):'Lớp 3 - Công việc chính'!$I$73&lt;&gt;"")*(COUNTIF('Lớp 4 - Danh mục'!$J$14:$J$132,INDEX('Lớp 3 - Công việc chính'!$I$14:$I$73,T17+1):'Lớp 3 - Công việc chính'!$I$73)=0),0),0)))))</f>
        <v>5</v>
      </c>
      <c r="U18" s="677"/>
      <c r="V18" s="678" t="str">
        <f>IF(U18="","",SUMIFS('Lớp 3 - Công việc chính'!$AF$14:$AF$73,'Lớp 3 - Công việc chính'!$V$14:$V$73,U18,'Lớp 3 - Công việc chính'!$Z$14:$Z$73,"&lt;="&amp;TODAY(),'Lớp 3 - Công việc chính'!$AA$14:$AA$73,"&gt;="&amp;TODAY())+SUMIFS('Lớp 4 - Danh mục'!$AI$14:$AI$132,'Lớp 4 - Danh mục'!$Z$14:$Z$132,U18,'Lớp 4 - Danh mục'!$AC$14:$AC$132,"&lt;="&amp;TODAY(),'Lớp 4 - Danh mục'!$AD$14:$AD$132,"&gt;="&amp;TODAY())+SUMIFS('Lớp 5 - Phân công'!$AJ$14:$AJ$262,'Lớp 5 - Phân công'!$AA$14:$AA$262,U18,'Lớp 5 - Phân công'!$AD$14:$AD$262,"&lt;="&amp;TODAY(),'Lớp 5 - Phân công'!$AE$14:$AE$262,"&gt;="&amp;TODAY())+SUMIFS('Lớp 6 - Chi tiết'!$AM$14:$AM$267,'Lớp 6 - Chi tiết'!$AC$14:$AC$267,U18,'Lớp 6 - Chi tiết'!$AG$14:$AG$267,"&lt;="&amp;TODAY(),'Lớp 6 - Chi tiết'!$AH$14:$AH$267,"&gt;="&amp;TODAY()))</f>
        <v/>
      </c>
      <c r="W18" s="679" t="str">
        <f>IF(V18="","",V18/'Danh mục chọn'!$J$2)</f>
        <v/>
      </c>
      <c r="X18" s="680" t="str">
        <f>IF(V18="","",IF(V18=0,"Chưa có tải tính được",IF(V18&gt;'Danh mục chọn'!$J$2,"Quá tải",IF(V18&gt;='Danh mục chọn'!$J$2*'Danh mục chọn'!$J$3,"Cận tải","Bình thường"))))</f>
        <v/>
      </c>
      <c r="Y18" s="678" t="str">
        <f>IF(U18="","",SUMPRODUCT(('Lớp 3 - Công việc chính'!$V$14:$V$73=U18)*('Lớp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mục'!$Z$14:$Z$132=U18)*('Lớp 4 - Danh mục'!$AD$14:$AD$132&lt;TODAY())*('Lớp 4 - Danh mục'!$AA$14:$AA$132&lt;&gt;"Hoàn thành")*('Lớp 4 - Danh mục'!$AA$14:$AA$132&lt;&gt;"Hủy")*('Lớp 4 - Danh mục'!$AI$14:$AI$132&lt;&gt;"")*IFERROR('Lớp 4 - Danh mục'!$AH$14:$AH$132*(1-'Lớp 4 - Danh mục'!$AF$14:$AF$132),0))+SUMPRODUCT(('Lớp 5 - Phân công'!$AA$14:$AA$262=U18)*('Lớp 5 - Phân công'!$AE$14:$AE$262&lt;TODAY())*('Lớp 5 - Phân công'!$AB$14:$AB$262&lt;&gt;"Hoàn thành")*('Lớp 5 - Phân công'!$AB$14:$AB$262&lt;&gt;"Hủy")*('Lớp 5 - Phân công'!$AJ$14:$AJ$262&lt;&gt;"")*IFERROR('Lớp 5 - Phân công'!$AI$14:$AI$262*(1-'Lớp 5 - Phân công'!$AG$14:$AG$262),0))+SUMPRODUCT(('Lớp 6 - Chi tiết'!$AC$14:$AC$267=U18)*('Lớp 6 - Chi tiết'!$AH$14:$AH$267&lt;TODAY())*('Lớp 6 - Chi tiết'!$AE$14:$AE$267&lt;&gt;"Hoàn thành")*('Lớp 6 - Chi tiết'!$AE$14:$AE$267&lt;&gt;"Hủy")*('Lớp 6 - Chi tiết'!$AM$14:$AM$267&lt;&gt;"")*IFERROR('Lớp 6 - Chi tiết'!$AL$14:$AL$267*(1-'Lớp 6 - Chi tiết'!$AJ$14:$AJ$267),0)))</f>
        <v/>
      </c>
      <c r="Z18" s="700" t="str">
        <f t="array" ref="Z18">IF($S18="","",IF($S18="Lớp 5",INDEX('Lớp 5 - Phân công'!$AS$14:$AS$262,$T18),IF($S18="Lớp 4",INDEX('Lớp 4 - Danh mục'!$AR$14:$AR$132,$T18),INDEX('Lớp 3 - Công việc chính'!$AO$14:$AO$73,$T18))))</f>
        <v>Tuần</v>
      </c>
      <c r="AA18" s="701">
        <f t="array" ref="AA18">IF($S18="","",IF($S18="Lớp 5",INDEX('Lớp 5 - Phân công'!$AT$14:$AT$262,$T18),IF($S18="Lớp 4",INDEX('Lớp 4 - Danh mục'!$AS$14:$AS$132,$T18),INDEX('Lớp 3 - Công việc chính'!$AP$14:$AP$73,$T18))))</f>
        <v>32</v>
      </c>
      <c r="AB18" s="701">
        <f t="array" ref="AB18">IF($S18="","",IF($S18="Lớp 5",INDEX('Lớp 5 - Phân công'!$AJ$14:$AJ$262,$T18),IF($S18="Lớp 4",INDEX('Lớp 4 - Danh mục'!$AI$14:$AI$132,$T18),INDEX('Lớp 3 - Công việc chính'!$AF$14:$AF$73,$T18))))</f>
        <v>6.4</v>
      </c>
      <c r="AC18" s="702" t="str">
        <f t="array" ref="AC18">IF($S18="","",IF($S18="Lớp 5",INDEX('Lớp 5 - Phân công'!$AV$14:$AV$262,$T18),IF($S18="Lớp 4",INDEX('Lớp 4 - Danh mục'!$AU$14:$AU$132,$T18),INDEX('Lớp 3 - Công việc chính'!$AR$14:$AR$73,$T18))))</f>
        <v>Đủ phân bổ theo tuần</v>
      </c>
    </row>
    <row r="19" ht="15.75" customHeight="1">
      <c r="A19" s="690" t="str">
        <f t="shared" si="1"/>
        <v>Lớp 5</v>
      </c>
      <c r="B19" s="690" t="str">
        <f t="array" ref="B19">IF($S19="","",IF($S19="Lớp 5",INDEX('Lớp 5 - Phân công'!$I$14:$I$262,$T19),IF($S19="Lớp 4",INDEX('Lớp 4 - Danh mục'!$I$14:$I$132,$T19),INDEX('Lớp 3 - Công việc chính'!$I$14:$I$73,$T19))))</f>
        <v>HHL5DL02-01</v>
      </c>
      <c r="C19" s="690" t="str">
        <f t="array" ref="C19">IF($S19="","",IF($S19="Lớp 5",INDEX('Lớp 5 - Phân công'!$K$14:$K$262,$T19),IF($S19="Lớp 4",INDEX('Lớp 4 - Danh mục'!$J$14:$J$132,$T19),INDEX('Lớp 3 - Công việc chính'!$I$14:$I$73,$T19))))</f>
        <v>HHL3CT03</v>
      </c>
      <c r="D19" s="690" t="str">
        <f t="array" ref="D19">IF($S19="","",IF($S19="Lớp 5",INDEX('Lớp 5 - Phân công'!$J$14:$J$262,$T19),IF($S19="Lớp 4",INDEX('Lớp 4 - Danh mục'!$I$14:$I$132,$T19),"")))</f>
        <v>HHL4DL02</v>
      </c>
      <c r="E19" s="690">
        <f t="array" ref="E19">IF($S19="","",IF($S19="Lớp 5",INDEX('Lớp 5 - Phân công'!$L$14:$L$262,$T19),IF($S19="Lớp 4",INDEX('Lớp 4 - Danh mục'!$K$14:$K$132,$T19),INDEX('Lớp 3 - Công việc chính'!$J$14:$J$73,$T19))))</f>
        <v>2026</v>
      </c>
      <c r="F19" s="690" t="str">
        <f t="array" ref="F19">IF($S19="","",IF($S19="Lớp 5",INDEX('Lớp 5 - Phân công'!$M$14:$M$262,$T19),IF($S19="Lớp 4",INDEX('Lớp 4 - Danh mục'!$L$14:$L$132,$T19),INDEX('Lớp 3 - Công việc chính'!$K$14:$K$73,$T19))))</f>
        <v>Cấp công ty</v>
      </c>
      <c r="G19" s="691" t="str">
        <f t="array" ref="G19">IF($S19="","",IF($S19="Lớp 5",INDEX('Lớp 5 - Phân công'!$N$14:$N$262,$T19),IF($S19="Lớp 4",INDEX('Lớp 4 - Danh mục'!$M$14:$M$132,$T19),INDEX('Lớp 3 - Công việc chính'!$L$14:$L$73,$T19))))</f>
        <v>Chiến lược/sống còn</v>
      </c>
      <c r="H19" s="692" t="str">
        <f t="array" ref="H19">IF($S19="","",IF($S19="Lớp 5",INDEX('Lớp 5 - Phân công'!$O$14:$O$262,$T19),IF($S19="Lớp 4",INDEX('Lớp 4 - Danh mục'!$N$14:$N$132,$T19),INDEX('Lớp 3 - Công việc chính'!$M$14:$M$73,$T19))))</f>
        <v>KHKD 2027&amp; HT lập KH theo tham số KD (bán tự động)</v>
      </c>
      <c r="I19" s="692" t="str">
        <f t="array" ref="I19">IF($S19="","",IF($S19="Lớp 5",INDEX('Lớp 5 - Phân công'!$P$14:$P$262,$T19),IF($S19="Lớp 4",INDEX('Lớp 4 - Danh mục'!$O$14:$O$132,$T19),"")))</f>
        <v>Xây dựng công thức &amp; tạo HT tham số cho KH MT</v>
      </c>
      <c r="J19" s="693" t="str">
        <f t="array" ref="J19">IF($S19="","",IF($S19="Lớp 5",INDEX('Lớp 5 - Phân công'!$Q$14:$Q$262,$T19),""))</f>
        <v>XD &amp; phản biện công thức (nội bộ) MT</v>
      </c>
      <c r="K19" s="690" t="str">
        <f t="array" ref="K19">IF($S19="","",IF($S19="Lớp 5",INDEX('Lớp 5 - Phân công'!$AA$14:$AA$262,$T19),IF($S19="Lớp 4",INDEX('Lớp 4 - Danh mục'!$Y$14:$Y$132,$T19),INDEX('Lớp 3 - Công việc chính'!$U$14:$U$73,$T19))))</f>
        <v>Em Đại</v>
      </c>
      <c r="L19" s="691" t="str">
        <f t="array" ref="L19">IF($S19="","",IF($S19="Lớp 5",INDEX('Lớp 5 - Phân công'!$Z$14:$Z$262,$T19),IF($S19="Lớp 4",INDEX('Lớp 4 - Danh mục'!$X$14:$X$132,$T19),INDEX('Lớp 3 - Công việc chính'!$W$14:$W$73,$T19))))</f>
        <v>Dữ liệu điều hành</v>
      </c>
      <c r="M19" s="694">
        <f t="array" ref="M19">IF($S19="","",IF($S19="Lớp 5",INDEX('Lớp 5 - Phân công'!$AD$14:$AD$262,$T19),IF($S19="Lớp 4",INDEX('Lớp 4 - Danh mục'!$AC$14:$AC$132,$T19),INDEX('Lớp 3 - Công việc chính'!$Z$14:$Z$73,$T19))))</f>
        <v>46280</v>
      </c>
      <c r="N19" s="695">
        <f t="array" ref="N19">IF($S19="","",IF($S19="Lớp 5",INDEX('Lớp 5 - Phân công'!$AE$14:$AE$262,$T19),IF($S19="Lớp 4",INDEX('Lớp 4 - Danh mục'!$AD$14:$AD$132,$T19),INDEX('Lớp 3 - Công việc chính'!$AA$14:$AA$73,$T19))))</f>
        <v>46290</v>
      </c>
      <c r="O19" s="690" t="str">
        <f t="array" ref="O19">IF($S19="","",IF($S19="Lớp 5",INDEX('Lớp 5 - Phân công'!$AB$14:$AB$262,$T19),IF($S19="Lớp 4",INDEX('Lớp 4 - Danh mục'!$AA$14:$AA$132,$T19),INDEX('Lớp 3 - Công việc chính'!$X$14:$X$73,$T19))))</f>
        <v>Chưa bắt đầu</v>
      </c>
      <c r="P19" s="703" t="str">
        <f t="array" ref="P19">IF($S19="","",IF($S19="Lớp 5",INDEX('Lớp 5 - Phân công'!$AC$14:$AC$262,$T19),IF($S19="Lớp 4",INDEX('Lớp 4 - Danh mục'!$AB$14:$AB$132,$T19),INDEX('Lớp 3 - Công việc chính'!$Y$14:$Y$73,$T19))))</f>
        <v>P1</v>
      </c>
      <c r="Q19" s="697">
        <f t="array" ref="Q19">IF($S19="","",IF($S19="Lớp 5",INDEX('Lớp 5 - Phân công'!$AG$14:$AG$262,$T19),IF($S19="Lớp 4",INDEX('Lớp 4 - Danh mục'!$AF$14:$AF$132,$T19),INDEX('Lớp 3 - Công việc chính'!$AC$14:$AC$73,$T19))))</f>
        <v>0</v>
      </c>
      <c r="R19" s="698" t="str">
        <f t="array" ref="R19">IF($S19="","",IF($S19="Lớp 5",INDEX('Lớp 5 - Phân công'!$X$14:$X$262,$T19),IF($S19="Lớp 4",INDEX('Lớp 4 - Danh mục'!$V$14:$V$132,$T19),INDEX('Lớp 3 - Công việc chính'!$T$14:$T$73,$T19))))</f>
        <v>Bộ công thức kế hoạch MT </v>
      </c>
      <c r="S19" s="699" t="str">
        <f>IF(ROWS($S$14:S19)&lt;=COUNTIF('Lớp 5 - Phân công'!$I$14:$I$262,"&lt;&gt;"),"Lớp 5",IF(ROWS($S$14:S19)&lt;=COUNTIF('Lớp 5 - Phân công'!$I$14:$I$262,"&lt;&gt;")+SUMPRODUCT(--('Lớp 4 - Danh mục'!$I$14:$I$132&lt;&gt;""),--(COUNTIF('Lớp 5 - Phân công'!$J$14:$J$262,'Lớp 4 - Danh mục'!$I$14:$I$132)=0)),"Lớp 4",IF(ROWS($S$14:S19)&lt;=COUNTIF('Lớp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19" s="699">
        <f t="array" ref="T19">IF(S19="","",IF(S19="Lớp 5",IF(S18&lt;&gt;"Lớp 5",MATCH("*",'Lớp 5 - Phân công'!$I$14:$I$262,0),T18+MATCH("*",INDEX('Lớp 5 - Phân công'!$I$14:$I$262,T18+1):'Lớp 5 - Phân công'!$I$262,0)),IF(S19="Lớp 4",IF(S18&lt;&gt;"Lớp 4",MATCH(1,INDEX(('Lớp 4 - Danh mục'!$I$14:$I$132&lt;&gt;"")*(COUNTIF('Lớp 5 - Phân công'!$J$14:$J$262,'Lớp 4 - Danh mục'!$I$14:$I$132)=0),0),0),T18+MATCH(1,INDEX((INDEX('Lớp 4 - Danh mục'!$I$14:$I$132,T18+1):'Lớp 4 - Danh mục'!$I$132&lt;&gt;"")*(COUNTIF('Lớp 5 - Phân công'!$J$14:$J$262,INDEX('Lớp 4 - Danh mục'!$I$14:$I$132,T18+1):'Lớp 4 - Danh mục'!$I$132)=0),0),0)),IF(S18&lt;&gt;"Lớp 3",MATCH(1,INDEX(('Lớp 3 - Công việc chính'!$I$14:$I$73&lt;&gt;"")*(COUNTIF('Lớp 4 - Danh mục'!$J$14:$J$132,'Lớp 3 - Công việc chính'!$I$14:$I$73)=0),0),0),T18+MATCH(1,INDEX((INDEX('Lớp 3 - Công việc chính'!$I$14:$I$73,T18+1):'Lớp 3 - Công việc chính'!$I$73&lt;&gt;"")*(COUNTIF('Lớp 4 - Danh mục'!$J$14:$J$132,INDEX('Lớp 3 - Công việc chính'!$I$14:$I$73,T18+1):'Lớp 3 - Công việc chính'!$I$73)=0),0),0)))))</f>
        <v>6</v>
      </c>
      <c r="U19" s="677"/>
      <c r="V19" s="678" t="str">
        <f>IF(U19="","",SUMIFS('Lớp 3 - Công việc chính'!$AF$14:$AF$73,'Lớp 3 - Công việc chính'!$V$14:$V$73,U19,'Lớp 3 - Công việc chính'!$Z$14:$Z$73,"&lt;="&amp;TODAY(),'Lớp 3 - Công việc chính'!$AA$14:$AA$73,"&gt;="&amp;TODAY())+SUMIFS('Lớp 4 - Danh mục'!$AI$14:$AI$132,'Lớp 4 - Danh mục'!$Z$14:$Z$132,U19,'Lớp 4 - Danh mục'!$AC$14:$AC$132,"&lt;="&amp;TODAY(),'Lớp 4 - Danh mục'!$AD$14:$AD$132,"&gt;="&amp;TODAY())+SUMIFS('Lớp 5 - Phân công'!$AJ$14:$AJ$262,'Lớp 5 - Phân công'!$AA$14:$AA$262,U19,'Lớp 5 - Phân công'!$AD$14:$AD$262,"&lt;="&amp;TODAY(),'Lớp 5 - Phân công'!$AE$14:$AE$262,"&gt;="&amp;TODAY())+SUMIFS('Lớp 6 - Chi tiết'!$AM$14:$AM$267,'Lớp 6 - Chi tiết'!$AC$14:$AC$267,U19,'Lớp 6 - Chi tiết'!$AG$14:$AG$267,"&lt;="&amp;TODAY(),'Lớp 6 - Chi tiết'!$AH$14:$AH$267,"&gt;="&amp;TODAY()))</f>
        <v/>
      </c>
      <c r="W19" s="679" t="str">
        <f>IF(V19="","",V19/'Danh mục chọn'!$J$2)</f>
        <v/>
      </c>
      <c r="X19" s="680" t="str">
        <f>IF(V19="","",IF(V19=0,"Chưa có tải tính được",IF(V19&gt;'Danh mục chọn'!$J$2,"Quá tải",IF(V19&gt;='Danh mục chọn'!$J$2*'Danh mục chọn'!$J$3,"Cận tải","Bình thường"))))</f>
        <v/>
      </c>
      <c r="Y19" s="678" t="str">
        <f>IF(U19="","",SUMPRODUCT(('Lớp 3 - Công việc chính'!$V$14:$V$73=U19)*('Lớp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mục'!$Z$14:$Z$132=U19)*('Lớp 4 - Danh mục'!$AD$14:$AD$132&lt;TODAY())*('Lớp 4 - Danh mục'!$AA$14:$AA$132&lt;&gt;"Hoàn thành")*('Lớp 4 - Danh mục'!$AA$14:$AA$132&lt;&gt;"Hủy")*('Lớp 4 - Danh mục'!$AI$14:$AI$132&lt;&gt;"")*IFERROR('Lớp 4 - Danh mục'!$AH$14:$AH$132*(1-'Lớp 4 - Danh mục'!$AF$14:$AF$132),0))+SUMPRODUCT(('Lớp 5 - Phân công'!$AA$14:$AA$262=U19)*('Lớp 5 - Phân công'!$AE$14:$AE$262&lt;TODAY())*('Lớp 5 - Phân công'!$AB$14:$AB$262&lt;&gt;"Hoàn thành")*('Lớp 5 - Phân công'!$AB$14:$AB$262&lt;&gt;"Hủy")*('Lớp 5 - Phân công'!$AJ$14:$AJ$262&lt;&gt;"")*IFERROR('Lớp 5 - Phân công'!$AI$14:$AI$262*(1-'Lớp 5 - Phân công'!$AG$14:$AG$262),0))+SUMPRODUCT(('Lớp 6 - Chi tiết'!$AC$14:$AC$267=U19)*('Lớp 6 - Chi tiết'!$AH$14:$AH$267&lt;TODAY())*('Lớp 6 - Chi tiết'!$AE$14:$AE$267&lt;&gt;"Hoàn thành")*('Lớp 6 - Chi tiết'!$AE$14:$AE$267&lt;&gt;"Hủy")*('Lớp 6 - Chi tiết'!$AM$14:$AM$267&lt;&gt;"")*IFERROR('Lớp 6 - Chi tiết'!$AL$14:$AL$267*(1-'Lớp 6 - Chi tiết'!$AJ$14:$AJ$267),0)))</f>
        <v/>
      </c>
      <c r="Z19" s="700" t="str">
        <f t="array" ref="Z19">IF($S19="","",IF($S19="Lớp 5",INDEX('Lớp 5 - Phân công'!$AS$14:$AS$262,$T19),IF($S19="Lớp 4",INDEX('Lớp 4 - Danh mục'!$AR$14:$AR$132,$T19),INDEX('Lớp 3 - Công việc chính'!$AO$14:$AO$73,$T19))))</f>
        <v>Tuần</v>
      </c>
      <c r="AA19" s="701">
        <f t="array" ref="AA19">IF($S19="","",IF($S19="Lớp 5",INDEX('Lớp 5 - Phân công'!$AT$14:$AT$262,$T19),IF($S19="Lớp 4",INDEX('Lớp 4 - Danh mục'!$AS$14:$AS$132,$T19),INDEX('Lớp 3 - Công việc chính'!$AP$14:$AP$73,$T19))))</f>
        <v>4</v>
      </c>
      <c r="AB19" s="701">
        <f t="array" ref="AB19">IF($S19="","",IF($S19="Lớp 5",INDEX('Lớp 5 - Phân công'!$AJ$14:$AJ$262,$T19),IF($S19="Lớp 4",INDEX('Lớp 4 - Danh mục'!$AI$14:$AI$132,$T19),INDEX('Lớp 3 - Công việc chính'!$AF$14:$AF$73,$T19))))</f>
        <v>0.8</v>
      </c>
      <c r="AC19" s="702" t="str">
        <f t="array" ref="AC19">IF($S19="","",IF($S19="Lớp 5",INDEX('Lớp 5 - Phân công'!$AV$14:$AV$262,$T19),IF($S19="Lớp 4",INDEX('Lớp 4 - Danh mục'!$AU$14:$AU$132,$T19),INDEX('Lớp 3 - Công việc chính'!$AR$14:$AR$73,$T19))))</f>
        <v>Thiếu 4.0 giờ/tuần</v>
      </c>
    </row>
    <row r="20" ht="15.75" customHeight="1">
      <c r="A20" s="690" t="str">
        <f t="shared" si="1"/>
        <v>Lớp 5</v>
      </c>
      <c r="B20" s="690" t="str">
        <f t="array" ref="B20">IF($S20="","",IF($S20="Lớp 5",INDEX('Lớp 5 - Phân công'!$I$14:$I$262,$T20),IF($S20="Lớp 4",INDEX('Lớp 4 - Danh mục'!$I$14:$I$132,$T20),INDEX('Lớp 3 - Công việc chính'!$I$14:$I$73,$T20))))</f>
        <v>HHL5DL02-02</v>
      </c>
      <c r="C20" s="690" t="str">
        <f t="array" ref="C20">IF($S20="","",IF($S20="Lớp 5",INDEX('Lớp 5 - Phân công'!$K$14:$K$262,$T20),IF($S20="Lớp 4",INDEX('Lớp 4 - Danh mục'!$J$14:$J$132,$T20),INDEX('Lớp 3 - Công việc chính'!$I$14:$I$73,$T20))))</f>
        <v>HHL3CT03</v>
      </c>
      <c r="D20" s="690" t="str">
        <f t="array" ref="D20">IF($S20="","",IF($S20="Lớp 5",INDEX('Lớp 5 - Phân công'!$J$14:$J$262,$T20),IF($S20="Lớp 4",INDEX('Lớp 4 - Danh mục'!$I$14:$I$132,$T20),"")))</f>
        <v>HHL4DL02</v>
      </c>
      <c r="E20" s="690">
        <f t="array" ref="E20">IF($S20="","",IF($S20="Lớp 5",INDEX('Lớp 5 - Phân công'!$L$14:$L$262,$T20),IF($S20="Lớp 4",INDEX('Lớp 4 - Danh mục'!$K$14:$K$132,$T20),INDEX('Lớp 3 - Công việc chính'!$J$14:$J$73,$T20))))</f>
        <v>2026</v>
      </c>
      <c r="F20" s="690" t="str">
        <f t="array" ref="F20">IF($S20="","",IF($S20="Lớp 5",INDEX('Lớp 5 - Phân công'!$M$14:$M$262,$T20),IF($S20="Lớp 4",INDEX('Lớp 4 - Danh mục'!$L$14:$L$132,$T20),INDEX('Lớp 3 - Công việc chính'!$K$14:$K$73,$T20))))</f>
        <v>Cấp công ty</v>
      </c>
      <c r="G20" s="691" t="str">
        <f t="array" ref="G20">IF($S20="","",IF($S20="Lớp 5",INDEX('Lớp 5 - Phân công'!$N$14:$N$262,$T20),IF($S20="Lớp 4",INDEX('Lớp 4 - Danh mục'!$M$14:$M$132,$T20),INDEX('Lớp 3 - Công việc chính'!$L$14:$L$73,$T20))))</f>
        <v>Chiến lược/sống còn</v>
      </c>
      <c r="H20" s="692" t="str">
        <f t="array" ref="H20">IF($S20="","",IF($S20="Lớp 5",INDEX('Lớp 5 - Phân công'!$O$14:$O$262,$T20),IF($S20="Lớp 4",INDEX('Lớp 4 - Danh mục'!$N$14:$N$132,$T20),INDEX('Lớp 3 - Công việc chính'!$M$14:$M$73,$T20))))</f>
        <v>KHKD 2027&amp; HT lập KH theo tham số KD (bán tự động)</v>
      </c>
      <c r="I20" s="692" t="str">
        <f t="array" ref="I20">IF($S20="","",IF($S20="Lớp 5",INDEX('Lớp 5 - Phân công'!$P$14:$P$262,$T20),IF($S20="Lớp 4",INDEX('Lớp 4 - Danh mục'!$O$14:$O$132,$T20),"")))</f>
        <v>Xây dựng công thức &amp; tạo HT tham số cho KH MT</v>
      </c>
      <c r="J20" s="693" t="str">
        <f t="array" ref="J20">IF($S20="","",IF($S20="Lớp 5",INDEX('Lớp 5 - Phân công'!$Q$14:$Q$262,$T20),""))</f>
        <v>Phản biện với TGĐ &amp; liên PB MT</v>
      </c>
      <c r="K20" s="690" t="str">
        <f t="array" ref="K20">IF($S20="","",IF($S20="Lớp 5",INDEX('Lớp 5 - Phân công'!$AA$14:$AA$262,$T20),IF($S20="Lớp 4",INDEX('Lớp 4 - Danh mục'!$Y$14:$Y$132,$T20),INDEX('Lớp 3 - Công việc chính'!$U$14:$U$73,$T20))))</f>
        <v>Em Đại</v>
      </c>
      <c r="L20" s="691" t="str">
        <f t="array" ref="L20">IF($S20="","",IF($S20="Lớp 5",INDEX('Lớp 5 - Phân công'!$Z$14:$Z$262,$T20),IF($S20="Lớp 4",INDEX('Lớp 4 - Danh mục'!$X$14:$X$132,$T20),INDEX('Lớp 3 - Công việc chính'!$W$14:$W$73,$T20))))</f>
        <v>Dữ liệu điều hành</v>
      </c>
      <c r="M20" s="694">
        <f t="array" ref="M20">IF($S20="","",IF($S20="Lớp 5",INDEX('Lớp 5 - Phân công'!$AD$14:$AD$262,$T20),IF($S20="Lớp 4",INDEX('Lớp 4 - Danh mục'!$AC$14:$AC$132,$T20),INDEX('Lớp 3 - Công việc chính'!$Z$14:$Z$73,$T20))))</f>
        <v>46291</v>
      </c>
      <c r="N20" s="695">
        <f t="array" ref="N20">IF($S20="","",IF($S20="Lớp 5",INDEX('Lớp 5 - Phân công'!$AE$14:$AE$262,$T20),IF($S20="Lớp 4",INDEX('Lớp 4 - Danh mục'!$AD$14:$AD$132,$T20),INDEX('Lớp 3 - Công việc chính'!$AA$14:$AA$73,$T20))))</f>
        <v>46300</v>
      </c>
      <c r="O20" s="690" t="str">
        <f t="array" ref="O20">IF($S20="","",IF($S20="Lớp 5",INDEX('Lớp 5 - Phân công'!$AB$14:$AB$262,$T20),IF($S20="Lớp 4",INDEX('Lớp 4 - Danh mục'!$AA$14:$AA$132,$T20),INDEX('Lớp 3 - Công việc chính'!$X$14:$X$73,$T20))))</f>
        <v>Chưa bắt đầu</v>
      </c>
      <c r="P20" s="703" t="str">
        <f t="array" ref="P20">IF($S20="","",IF($S20="Lớp 5",INDEX('Lớp 5 - Phân công'!$AC$14:$AC$262,$T20),IF($S20="Lớp 4",INDEX('Lớp 4 - Danh mục'!$AB$14:$AB$132,$T20),INDEX('Lớp 3 - Công việc chính'!$Y$14:$Y$73,$T20))))</f>
        <v>P1</v>
      </c>
      <c r="Q20" s="697">
        <f t="array" ref="Q20">IF($S20="","",IF($S20="Lớp 5",INDEX('Lớp 5 - Phân công'!$AG$14:$AG$262,$T20),IF($S20="Lớp 4",INDEX('Lớp 4 - Danh mục'!$AF$14:$AF$132,$T20),INDEX('Lớp 3 - Công việc chính'!$AC$14:$AC$73,$T20))))</f>
        <v>0</v>
      </c>
      <c r="R20" s="698" t="str">
        <f t="array" ref="R20">IF($S20="","",IF($S20="Lớp 5",INDEX('Lớp 5 - Phân công'!$X$14:$X$262,$T20),IF($S20="Lớp 4",INDEX('Lớp 4 - Danh mục'!$V$14:$V$132,$T20),INDEX('Lớp 3 - Công việc chính'!$T$14:$T$73,$T20))))</f>
        <v>Biên bản phản biện công thức MT và danh mục điều chỉnh được thống nhất.</v>
      </c>
      <c r="S20" s="699" t="str">
        <f>IF(ROWS($S$14:S20)&lt;=COUNTIF('Lớp 5 - Phân công'!$I$14:$I$262,"&lt;&gt;"),"Lớp 5",IF(ROWS($S$14:S20)&lt;=COUNTIF('Lớp 5 - Phân công'!$I$14:$I$262,"&lt;&gt;")+SUMPRODUCT(--('Lớp 4 - Danh mục'!$I$14:$I$132&lt;&gt;""),--(COUNTIF('Lớp 5 - Phân công'!$J$14:$J$262,'Lớp 4 - Danh mục'!$I$14:$I$132)=0)),"Lớp 4",IF(ROWS($S$14:S20)&lt;=COUNTIF('Lớp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0" s="699">
        <f t="array" ref="T20">IF(S20="","",IF(S20="Lớp 5",IF(S19&lt;&gt;"Lớp 5",MATCH("*",'Lớp 5 - Phân công'!$I$14:$I$262,0),T19+MATCH("*",INDEX('Lớp 5 - Phân công'!$I$14:$I$262,T19+1):'Lớp 5 - Phân công'!$I$262,0)),IF(S20="Lớp 4",IF(S19&lt;&gt;"Lớp 4",MATCH(1,INDEX(('Lớp 4 - Danh mục'!$I$14:$I$132&lt;&gt;"")*(COUNTIF('Lớp 5 - Phân công'!$J$14:$J$262,'Lớp 4 - Danh mục'!$I$14:$I$132)=0),0),0),T19+MATCH(1,INDEX((INDEX('Lớp 4 - Danh mục'!$I$14:$I$132,T19+1):'Lớp 4 - Danh mục'!$I$132&lt;&gt;"")*(COUNTIF('Lớp 5 - Phân công'!$J$14:$J$262,INDEX('Lớp 4 - Danh mục'!$I$14:$I$132,T19+1):'Lớp 4 - Danh mục'!$I$132)=0),0),0)),IF(S19&lt;&gt;"Lớp 3",MATCH(1,INDEX(('Lớp 3 - Công việc chính'!$I$14:$I$73&lt;&gt;"")*(COUNTIF('Lớp 4 - Danh mục'!$J$14:$J$132,'Lớp 3 - Công việc chính'!$I$14:$I$73)=0),0),0),T19+MATCH(1,INDEX((INDEX('Lớp 3 - Công việc chính'!$I$14:$I$73,T19+1):'Lớp 3 - Công việc chính'!$I$73&lt;&gt;"")*(COUNTIF('Lớp 4 - Danh mục'!$J$14:$J$132,INDEX('Lớp 3 - Công việc chính'!$I$14:$I$73,T19+1):'Lớp 3 - Công việc chính'!$I$73)=0),0),0)))))</f>
        <v>7</v>
      </c>
      <c r="U20" s="677"/>
      <c r="V20" s="678" t="str">
        <f>IF(U20="","",SUMIFS('Lớp 3 - Công việc chính'!$AF$14:$AF$73,'Lớp 3 - Công việc chính'!$V$14:$V$73,U20,'Lớp 3 - Công việc chính'!$Z$14:$Z$73,"&lt;="&amp;TODAY(),'Lớp 3 - Công việc chính'!$AA$14:$AA$73,"&gt;="&amp;TODAY())+SUMIFS('Lớp 4 - Danh mục'!$AI$14:$AI$132,'Lớp 4 - Danh mục'!$Z$14:$Z$132,U20,'Lớp 4 - Danh mục'!$AC$14:$AC$132,"&lt;="&amp;TODAY(),'Lớp 4 - Danh mục'!$AD$14:$AD$132,"&gt;="&amp;TODAY())+SUMIFS('Lớp 5 - Phân công'!$AJ$14:$AJ$262,'Lớp 5 - Phân công'!$AA$14:$AA$262,U20,'Lớp 5 - Phân công'!$AD$14:$AD$262,"&lt;="&amp;TODAY(),'Lớp 5 - Phân công'!$AE$14:$AE$262,"&gt;="&amp;TODAY())+SUMIFS('Lớp 6 - Chi tiết'!$AM$14:$AM$267,'Lớp 6 - Chi tiết'!$AC$14:$AC$267,U20,'Lớp 6 - Chi tiết'!$AG$14:$AG$267,"&lt;="&amp;TODAY(),'Lớp 6 - Chi tiết'!$AH$14:$AH$267,"&gt;="&amp;TODAY()))</f>
        <v/>
      </c>
      <c r="W20" s="679" t="str">
        <f>IF(V20="","",V20/'Danh mục chọn'!$J$2)</f>
        <v/>
      </c>
      <c r="X20" s="680" t="str">
        <f>IF(V20="","",IF(V20=0,"Chưa có tải tính được",IF(V20&gt;'Danh mục chọn'!$J$2,"Quá tải",IF(V20&gt;='Danh mục chọn'!$J$2*'Danh mục chọn'!$J$3,"Cận tải","Bình thường"))))</f>
        <v/>
      </c>
      <c r="Y20" s="678" t="str">
        <f>IF(U20="","",SUMPRODUCT(('Lớp 3 - Công việc chính'!$V$14:$V$73=U20)*('Lớp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mục'!$Z$14:$Z$132=U20)*('Lớp 4 - Danh mục'!$AD$14:$AD$132&lt;TODAY())*('Lớp 4 - Danh mục'!$AA$14:$AA$132&lt;&gt;"Hoàn thành")*('Lớp 4 - Danh mục'!$AA$14:$AA$132&lt;&gt;"Hủy")*('Lớp 4 - Danh mục'!$AI$14:$AI$132&lt;&gt;"")*IFERROR('Lớp 4 - Danh mục'!$AH$14:$AH$132*(1-'Lớp 4 - Danh mục'!$AF$14:$AF$132),0))+SUMPRODUCT(('Lớp 5 - Phân công'!$AA$14:$AA$262=U20)*('Lớp 5 - Phân công'!$AE$14:$AE$262&lt;TODAY())*('Lớp 5 - Phân công'!$AB$14:$AB$262&lt;&gt;"Hoàn thành")*('Lớp 5 - Phân công'!$AB$14:$AB$262&lt;&gt;"Hủy")*('Lớp 5 - Phân công'!$AJ$14:$AJ$262&lt;&gt;"")*IFERROR('Lớp 5 - Phân công'!$AI$14:$AI$262*(1-'Lớp 5 - Phân công'!$AG$14:$AG$262),0))+SUMPRODUCT(('Lớp 6 - Chi tiết'!$AC$14:$AC$267=U20)*('Lớp 6 - Chi tiết'!$AH$14:$AH$267&lt;TODAY())*('Lớp 6 - Chi tiết'!$AE$14:$AE$267&lt;&gt;"Hoàn thành")*('Lớp 6 - Chi tiết'!$AE$14:$AE$267&lt;&gt;"Hủy")*('Lớp 6 - Chi tiết'!$AM$14:$AM$267&lt;&gt;"")*IFERROR('Lớp 6 - Chi tiết'!$AL$14:$AL$267*(1-'Lớp 6 - Chi tiết'!$AJ$14:$AJ$267),0)))</f>
        <v/>
      </c>
      <c r="Z20" s="700" t="str">
        <f t="array" ref="Z20">IF($S20="","",IF($S20="Lớp 5",INDEX('Lớp 5 - Phân công'!$AS$14:$AS$262,$T20),IF($S20="Lớp 4",INDEX('Lớp 4 - Danh mục'!$AR$14:$AR$132,$T20),INDEX('Lớp 3 - Công việc chính'!$AO$14:$AO$73,$T20))))</f>
        <v>Tuần</v>
      </c>
      <c r="AA20" s="701">
        <f t="array" ref="AA20">IF($S20="","",IF($S20="Lớp 5",INDEX('Lớp 5 - Phân công'!$AT$14:$AT$262,$T20),IF($S20="Lớp 4",INDEX('Lớp 4 - Danh mục'!$AS$14:$AS$132,$T20),INDEX('Lớp 3 - Công việc chính'!$AP$14:$AP$73,$T20))))</f>
        <v>4</v>
      </c>
      <c r="AB20" s="701">
        <f t="array" ref="AB20">IF($S20="","",IF($S20="Lớp 5",INDEX('Lớp 5 - Phân công'!$AJ$14:$AJ$262,$T20),IF($S20="Lớp 4",INDEX('Lớp 4 - Danh mục'!$AI$14:$AI$132,$T20),INDEX('Lớp 3 - Công việc chính'!$AF$14:$AF$73,$T20))))</f>
        <v>0.8</v>
      </c>
      <c r="AC20" s="702" t="str">
        <f t="array" ref="AC20">IF($S20="","",IF($S20="Lớp 5",INDEX('Lớp 5 - Phân công'!$AV$14:$AV$262,$T20),IF($S20="Lớp 4",INDEX('Lớp 4 - Danh mục'!$AU$14:$AU$132,$T20),INDEX('Lớp 3 - Công việc chính'!$AR$14:$AR$73,$T20))))</f>
        <v>Thiếu 1.0 giờ/tuần</v>
      </c>
    </row>
    <row r="21" ht="15.75" customHeight="1">
      <c r="A21" s="690" t="str">
        <f t="shared" si="1"/>
        <v>Lớp 5</v>
      </c>
      <c r="B21" s="690" t="str">
        <f t="array" ref="B21">IF($S21="","",IF($S21="Lớp 5",INDEX('Lớp 5 - Phân công'!$I$14:$I$262,$T21),IF($S21="Lớp 4",INDEX('Lớp 4 - Danh mục'!$I$14:$I$132,$T21),INDEX('Lớp 3 - Công việc chính'!$I$14:$I$73,$T21))))</f>
        <v>HHL5DL02-03</v>
      </c>
      <c r="C21" s="690" t="str">
        <f t="array" ref="C21">IF($S21="","",IF($S21="Lớp 5",INDEX('Lớp 5 - Phân công'!$K$14:$K$262,$T21),IF($S21="Lớp 4",INDEX('Lớp 4 - Danh mục'!$J$14:$J$132,$T21),INDEX('Lớp 3 - Công việc chính'!$I$14:$I$73,$T21))))</f>
        <v>HHL3CT03</v>
      </c>
      <c r="D21" s="690" t="str">
        <f t="array" ref="D21">IF($S21="","",IF($S21="Lớp 5",INDEX('Lớp 5 - Phân công'!$J$14:$J$262,$T21),IF($S21="Lớp 4",INDEX('Lớp 4 - Danh mục'!$I$14:$I$132,$T21),"")))</f>
        <v>HHL4DL02</v>
      </c>
      <c r="E21" s="690">
        <f t="array" ref="E21">IF($S21="","",IF($S21="Lớp 5",INDEX('Lớp 5 - Phân công'!$L$14:$L$262,$T21),IF($S21="Lớp 4",INDEX('Lớp 4 - Danh mục'!$K$14:$K$132,$T21),INDEX('Lớp 3 - Công việc chính'!$J$14:$J$73,$T21))))</f>
        <v>2026</v>
      </c>
      <c r="F21" s="690" t="str">
        <f t="array" ref="F21">IF($S21="","",IF($S21="Lớp 5",INDEX('Lớp 5 - Phân công'!$M$14:$M$262,$T21),IF($S21="Lớp 4",INDEX('Lớp 4 - Danh mục'!$L$14:$L$132,$T21),INDEX('Lớp 3 - Công việc chính'!$K$14:$K$73,$T21))))</f>
        <v>Cấp công ty</v>
      </c>
      <c r="G21" s="691" t="str">
        <f t="array" ref="G21">IF($S21="","",IF($S21="Lớp 5",INDEX('Lớp 5 - Phân công'!$N$14:$N$262,$T21),IF($S21="Lớp 4",INDEX('Lớp 4 - Danh mục'!$M$14:$M$132,$T21),INDEX('Lớp 3 - Công việc chính'!$L$14:$L$73,$T21))))</f>
        <v>Chiến lược/sống còn</v>
      </c>
      <c r="H21" s="692" t="str">
        <f t="array" ref="H21">IF($S21="","",IF($S21="Lớp 5",INDEX('Lớp 5 - Phân công'!$O$14:$O$262,$T21),IF($S21="Lớp 4",INDEX('Lớp 4 - Danh mục'!$N$14:$N$132,$T21),INDEX('Lớp 3 - Công việc chính'!$M$14:$M$73,$T21))))</f>
        <v>KHKD 2027&amp; HT lập KH theo tham số KD (bán tự động)</v>
      </c>
      <c r="I21" s="692" t="str">
        <f t="array" ref="I21">IF($S21="","",IF($S21="Lớp 5",INDEX('Lớp 5 - Phân công'!$P$14:$P$262,$T21),IF($S21="Lớp 4",INDEX('Lớp 4 - Danh mục'!$O$14:$O$132,$T21),"")))</f>
        <v>Xây dựng công thức &amp; tạo HT tham số cho KH MT</v>
      </c>
      <c r="J21" s="693" t="str">
        <f t="array" ref="J21">IF($S21="","",IF($S21="Lớp 5",INDEX('Lớp 5 - Phân công'!$Q$14:$Q$262,$T21),""))</f>
        <v>XD bảng Excel &amp; HT phần mềm (chạy demo) MT</v>
      </c>
      <c r="K21" s="690" t="str">
        <f t="array" ref="K21">IF($S21="","",IF($S21="Lớp 5",INDEX('Lớp 5 - Phân công'!$AA$14:$AA$262,$T21),IF($S21="Lớp 4",INDEX('Lớp 4 - Danh mục'!$Y$14:$Y$132,$T21),INDEX('Lớp 3 - Công việc chính'!$U$14:$U$73,$T21))))</f>
        <v>Em Đại</v>
      </c>
      <c r="L21" s="691" t="str">
        <f t="array" ref="L21">IF($S21="","",IF($S21="Lớp 5",INDEX('Lớp 5 - Phân công'!$Z$14:$Z$262,$T21),IF($S21="Lớp 4",INDEX('Lớp 4 - Danh mục'!$X$14:$X$132,$T21),INDEX('Lớp 3 - Công việc chính'!$W$14:$W$73,$T21))))</f>
        <v>Dữ liệu điều hành</v>
      </c>
      <c r="M21" s="694">
        <f t="array" ref="M21">IF($S21="","",IF($S21="Lớp 5",INDEX('Lớp 5 - Phân công'!$AD$14:$AD$262,$T21),IF($S21="Lớp 4",INDEX('Lớp 4 - Danh mục'!$AC$14:$AC$132,$T21),INDEX('Lớp 3 - Công việc chính'!$Z$14:$Z$73,$T21))))</f>
        <v>46291</v>
      </c>
      <c r="N21" s="695">
        <f t="array" ref="N21">IF($S21="","",IF($S21="Lớp 5",INDEX('Lớp 5 - Phân công'!$AE$14:$AE$262,$T21),IF($S21="Lớp 4",INDEX('Lớp 4 - Danh mục'!$AD$14:$AD$132,$T21),INDEX('Lớp 3 - Công việc chính'!$AA$14:$AA$73,$T21))))</f>
        <v>46295</v>
      </c>
      <c r="O21" s="690" t="str">
        <f t="array" ref="O21">IF($S21="","",IF($S21="Lớp 5",INDEX('Lớp 5 - Phân công'!$AB$14:$AB$262,$T21),IF($S21="Lớp 4",INDEX('Lớp 4 - Danh mục'!$AA$14:$AA$132,$T21),INDEX('Lớp 3 - Công việc chính'!$X$14:$X$73,$T21))))</f>
        <v>Chưa bắt đầu</v>
      </c>
      <c r="P21" s="703" t="str">
        <f t="array" ref="P21">IF($S21="","",IF($S21="Lớp 5",INDEX('Lớp 5 - Phân công'!$AC$14:$AC$262,$T21),IF($S21="Lớp 4",INDEX('Lớp 4 - Danh mục'!$AB$14:$AB$132,$T21),INDEX('Lớp 3 - Công việc chính'!$Y$14:$Y$73,$T21))))</f>
        <v>P1</v>
      </c>
      <c r="Q21" s="697">
        <f t="array" ref="Q21">IF($S21="","",IF($S21="Lớp 5",INDEX('Lớp 5 - Phân công'!$AG$14:$AG$262,$T21),IF($S21="Lớp 4",INDEX('Lớp 4 - Danh mục'!$AF$14:$AF$132,$T21),INDEX('Lớp 3 - Công việc chính'!$AC$14:$AC$73,$T21))))</f>
        <v>0</v>
      </c>
      <c r="R21" s="698" t="str">
        <f t="array" ref="R21">IF($S21="","",IF($S21="Lớp 5",INDEX('Lớp 5 - Phân công'!$X$14:$X$262,$T21),IF($S21="Lớp 4",INDEX('Lớp 4 - Danh mục'!$V$14:$V$132,$T21),INDEX('Lớp 3 - Công việc chính'!$T$14:$T$73,$T21))))</f>
        <v>File Excel và bản demo hệ thống kế hoạch MT vận hành đúng công thức.</v>
      </c>
      <c r="S21" s="699" t="str">
        <f>IF(ROWS($S$14:S21)&lt;=COUNTIF('Lớp 5 - Phân công'!$I$14:$I$262,"&lt;&gt;"),"Lớp 5",IF(ROWS($S$14:S21)&lt;=COUNTIF('Lớp 5 - Phân công'!$I$14:$I$262,"&lt;&gt;")+SUMPRODUCT(--('Lớp 4 - Danh mục'!$I$14:$I$132&lt;&gt;""),--(COUNTIF('Lớp 5 - Phân công'!$J$14:$J$262,'Lớp 4 - Danh mục'!$I$14:$I$132)=0)),"Lớp 4",IF(ROWS($S$14:S21)&lt;=COUNTIF('Lớp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1" s="699">
        <f t="array" ref="T21">IF(S21="","",IF(S21="Lớp 5",IF(S20&lt;&gt;"Lớp 5",MATCH("*",'Lớp 5 - Phân công'!$I$14:$I$262,0),T20+MATCH("*",INDEX('Lớp 5 - Phân công'!$I$14:$I$262,T20+1):'Lớp 5 - Phân công'!$I$262,0)),IF(S21="Lớp 4",IF(S20&lt;&gt;"Lớp 4",MATCH(1,INDEX(('Lớp 4 - Danh mục'!$I$14:$I$132&lt;&gt;"")*(COUNTIF('Lớp 5 - Phân công'!$J$14:$J$262,'Lớp 4 - Danh mục'!$I$14:$I$132)=0),0),0),T20+MATCH(1,INDEX((INDEX('Lớp 4 - Danh mục'!$I$14:$I$132,T20+1):'Lớp 4 - Danh mục'!$I$132&lt;&gt;"")*(COUNTIF('Lớp 5 - Phân công'!$J$14:$J$262,INDEX('Lớp 4 - Danh mục'!$I$14:$I$132,T20+1):'Lớp 4 - Danh mục'!$I$132)=0),0),0)),IF(S20&lt;&gt;"Lớp 3",MATCH(1,INDEX(('Lớp 3 - Công việc chính'!$I$14:$I$73&lt;&gt;"")*(COUNTIF('Lớp 4 - Danh mục'!$J$14:$J$132,'Lớp 3 - Công việc chính'!$I$14:$I$73)=0),0),0),T20+MATCH(1,INDEX((INDEX('Lớp 3 - Công việc chính'!$I$14:$I$73,T20+1):'Lớp 3 - Công việc chính'!$I$73&lt;&gt;"")*(COUNTIF('Lớp 4 - Danh mục'!$J$14:$J$132,INDEX('Lớp 3 - Công việc chính'!$I$14:$I$73,T20+1):'Lớp 3 - Công việc chính'!$I$73)=0),0),0)))))</f>
        <v>8</v>
      </c>
      <c r="U21" s="677"/>
      <c r="V21" s="678" t="str">
        <f>IF(U21="","",SUMIFS('Lớp 3 - Công việc chính'!$AF$14:$AF$73,'Lớp 3 - Công việc chính'!$V$14:$V$73,U21,'Lớp 3 - Công việc chính'!$Z$14:$Z$73,"&lt;="&amp;TODAY(),'Lớp 3 - Công việc chính'!$AA$14:$AA$73,"&gt;="&amp;TODAY())+SUMIFS('Lớp 4 - Danh mục'!$AI$14:$AI$132,'Lớp 4 - Danh mục'!$Z$14:$Z$132,U21,'Lớp 4 - Danh mục'!$AC$14:$AC$132,"&lt;="&amp;TODAY(),'Lớp 4 - Danh mục'!$AD$14:$AD$132,"&gt;="&amp;TODAY())+SUMIFS('Lớp 5 - Phân công'!$AJ$14:$AJ$262,'Lớp 5 - Phân công'!$AA$14:$AA$262,U21,'Lớp 5 - Phân công'!$AD$14:$AD$262,"&lt;="&amp;TODAY(),'Lớp 5 - Phân công'!$AE$14:$AE$262,"&gt;="&amp;TODAY())+SUMIFS('Lớp 6 - Chi tiết'!$AM$14:$AM$267,'Lớp 6 - Chi tiết'!$AC$14:$AC$267,U21,'Lớp 6 - Chi tiết'!$AG$14:$AG$267,"&lt;="&amp;TODAY(),'Lớp 6 - Chi tiết'!$AH$14:$AH$267,"&gt;="&amp;TODAY()))</f>
        <v/>
      </c>
      <c r="W21" s="679" t="str">
        <f>IF(V21="","",V21/'Danh mục chọn'!$J$2)</f>
        <v/>
      </c>
      <c r="X21" s="680" t="str">
        <f>IF(V21="","",IF(V21=0,"Chưa có tải tính được",IF(V21&gt;'Danh mục chọn'!$J$2,"Quá tải",IF(V21&gt;='Danh mục chọn'!$J$2*'Danh mục chọn'!$J$3,"Cận tải","Bình thường"))))</f>
        <v/>
      </c>
      <c r="Y21" s="678" t="str">
        <f>IF(U21="","",SUMPRODUCT(('Lớp 3 - Công việc chính'!$V$14:$V$73=U21)*('Lớp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mục'!$Z$14:$Z$132=U21)*('Lớp 4 - Danh mục'!$AD$14:$AD$132&lt;TODAY())*('Lớp 4 - Danh mục'!$AA$14:$AA$132&lt;&gt;"Hoàn thành")*('Lớp 4 - Danh mục'!$AA$14:$AA$132&lt;&gt;"Hủy")*('Lớp 4 - Danh mục'!$AI$14:$AI$132&lt;&gt;"")*IFERROR('Lớp 4 - Danh mục'!$AH$14:$AH$132*(1-'Lớp 4 - Danh mục'!$AF$14:$AF$132),0))+SUMPRODUCT(('Lớp 5 - Phân công'!$AA$14:$AA$262=U21)*('Lớp 5 - Phân công'!$AE$14:$AE$262&lt;TODAY())*('Lớp 5 - Phân công'!$AB$14:$AB$262&lt;&gt;"Hoàn thành")*('Lớp 5 - Phân công'!$AB$14:$AB$262&lt;&gt;"Hủy")*('Lớp 5 - Phân công'!$AJ$14:$AJ$262&lt;&gt;"")*IFERROR('Lớp 5 - Phân công'!$AI$14:$AI$262*(1-'Lớp 5 - Phân công'!$AG$14:$AG$262),0))+SUMPRODUCT(('Lớp 6 - Chi tiết'!$AC$14:$AC$267=U21)*('Lớp 6 - Chi tiết'!$AH$14:$AH$267&lt;TODAY())*('Lớp 6 - Chi tiết'!$AE$14:$AE$267&lt;&gt;"Hoàn thành")*('Lớp 6 - Chi tiết'!$AE$14:$AE$267&lt;&gt;"Hủy")*('Lớp 6 - Chi tiết'!$AM$14:$AM$267&lt;&gt;"")*IFERROR('Lớp 6 - Chi tiết'!$AL$14:$AL$267*(1-'Lớp 6 - Chi tiết'!$AJ$14:$AJ$267),0)))</f>
        <v/>
      </c>
      <c r="Z21" s="700" t="str">
        <f t="array" ref="Z21">IF($S21="","",IF($S21="Lớp 5",INDEX('Lớp 5 - Phân công'!$AS$14:$AS$262,$T21),IF($S21="Lớp 4",INDEX('Lớp 4 - Danh mục'!$AR$14:$AR$132,$T21),INDEX('Lớp 3 - Công việc chính'!$AO$14:$AO$73,$T21))))</f>
        <v>Tuần</v>
      </c>
      <c r="AA21" s="701">
        <f t="array" ref="AA21">IF($S21="","",IF($S21="Lớp 5",INDEX('Lớp 5 - Phân công'!$AT$14:$AT$262,$T21),IF($S21="Lớp 4",INDEX('Lớp 4 - Danh mục'!$AS$14:$AS$132,$T21),INDEX('Lớp 3 - Công việc chính'!$AP$14:$AP$73,$T21))))</f>
        <v>4</v>
      </c>
      <c r="AB21" s="701">
        <f t="array" ref="AB21">IF($S21="","",IF($S21="Lớp 5",INDEX('Lớp 5 - Phân công'!$AJ$14:$AJ$262,$T21),IF($S21="Lớp 4",INDEX('Lớp 4 - Danh mục'!$AI$14:$AI$132,$T21),INDEX('Lớp 3 - Công việc chính'!$AF$14:$AF$73,$T21))))</f>
        <v>0.8</v>
      </c>
      <c r="AC21" s="702" t="str">
        <f t="array" ref="AC21">IF($S21="","",IF($S21="Lớp 5",INDEX('Lớp 5 - Phân công'!$AV$14:$AV$262,$T21),IF($S21="Lớp 4",INDEX('Lớp 4 - Danh mục'!$AU$14:$AU$132,$T21),INDEX('Lớp 3 - Công việc chính'!$AR$14:$AR$73,$T21))))</f>
        <v>Thiếu 26.0 giờ/tuần</v>
      </c>
    </row>
    <row r="22" ht="15.75" customHeight="1">
      <c r="A22" s="690" t="str">
        <f t="shared" si="1"/>
        <v>Lớp 5</v>
      </c>
      <c r="B22" s="690" t="str">
        <f t="array" ref="B22">IF($S22="","",IF($S22="Lớp 5",INDEX('Lớp 5 - Phân công'!$I$14:$I$262,$T22),IF($S22="Lớp 4",INDEX('Lớp 4 - Danh mục'!$I$14:$I$132,$T22),INDEX('Lớp 3 - Công việc chính'!$I$14:$I$73,$T22))))</f>
        <v>HHL5DL02-04</v>
      </c>
      <c r="C22" s="690" t="str">
        <f t="array" ref="C22">IF($S22="","",IF($S22="Lớp 5",INDEX('Lớp 5 - Phân công'!$K$14:$K$262,$T22),IF($S22="Lớp 4",INDEX('Lớp 4 - Danh mục'!$J$14:$J$132,$T22),INDEX('Lớp 3 - Công việc chính'!$I$14:$I$73,$T22))))</f>
        <v>HHL3CT03</v>
      </c>
      <c r="D22" s="690" t="str">
        <f t="array" ref="D22">IF($S22="","",IF($S22="Lớp 5",INDEX('Lớp 5 - Phân công'!$J$14:$J$262,$T22),IF($S22="Lớp 4",INDEX('Lớp 4 - Danh mục'!$I$14:$I$132,$T22),"")))</f>
        <v>HHL4DL02</v>
      </c>
      <c r="E22" s="690">
        <f t="array" ref="E22">IF($S22="","",IF($S22="Lớp 5",INDEX('Lớp 5 - Phân công'!$L$14:$L$262,$T22),IF($S22="Lớp 4",INDEX('Lớp 4 - Danh mục'!$K$14:$K$132,$T22),INDEX('Lớp 3 - Công việc chính'!$J$14:$J$73,$T22))))</f>
        <v>2026</v>
      </c>
      <c r="F22" s="690" t="str">
        <f t="array" ref="F22">IF($S22="","",IF($S22="Lớp 5",INDEX('Lớp 5 - Phân công'!$M$14:$M$262,$T22),IF($S22="Lớp 4",INDEX('Lớp 4 - Danh mục'!$L$14:$L$132,$T22),INDEX('Lớp 3 - Công việc chính'!$K$14:$K$73,$T22))))</f>
        <v>Cấp công ty</v>
      </c>
      <c r="G22" s="691" t="str">
        <f t="array" ref="G22">IF($S22="","",IF($S22="Lớp 5",INDEX('Lớp 5 - Phân công'!$N$14:$N$262,$T22),IF($S22="Lớp 4",INDEX('Lớp 4 - Danh mục'!$M$14:$M$132,$T22),INDEX('Lớp 3 - Công việc chính'!$L$14:$L$73,$T22))))</f>
        <v>Chiến lược/sống còn</v>
      </c>
      <c r="H22" s="692" t="str">
        <f t="array" ref="H22">IF($S22="","",IF($S22="Lớp 5",INDEX('Lớp 5 - Phân công'!$O$14:$O$262,$T22),IF($S22="Lớp 4",INDEX('Lớp 4 - Danh mục'!$N$14:$N$132,$T22),INDEX('Lớp 3 - Công việc chính'!$M$14:$M$73,$T22))))</f>
        <v>KHKD 2027&amp; HT lập KH theo tham số KD (bán tự động)</v>
      </c>
      <c r="I22" s="692" t="str">
        <f t="array" ref="I22">IF($S22="","",IF($S22="Lớp 5",INDEX('Lớp 5 - Phân công'!$P$14:$P$262,$T22),IF($S22="Lớp 4",INDEX('Lớp 4 - Danh mục'!$O$14:$O$132,$T22),"")))</f>
        <v>Xây dựng công thức &amp; tạo HT tham số cho KH MT</v>
      </c>
      <c r="J22" s="693" t="str">
        <f t="array" ref="J22">IF($S22="","",IF($S22="Lớp 5",INDEX('Lớp 5 - Phân công'!$Q$14:$Q$262,$T22),""))</f>
        <v>Chạy tham số Topdown MT</v>
      </c>
      <c r="K22" s="690" t="str">
        <f t="array" ref="K22">IF($S22="","",IF($S22="Lớp 5",INDEX('Lớp 5 - Phân công'!$AA$14:$AA$262,$T22),IF($S22="Lớp 4",INDEX('Lớp 4 - Danh mục'!$Y$14:$Y$132,$T22),INDEX('Lớp 3 - Công việc chính'!$U$14:$U$73,$T22))))</f>
        <v>Em Đại</v>
      </c>
      <c r="L22" s="691" t="str">
        <f t="array" ref="L22">IF($S22="","",IF($S22="Lớp 5",INDEX('Lớp 5 - Phân công'!$Z$14:$Z$262,$T22),IF($S22="Lớp 4",INDEX('Lớp 4 - Danh mục'!$X$14:$X$132,$T22),INDEX('Lớp 3 - Công việc chính'!$W$14:$W$73,$T22))))</f>
        <v>Dữ liệu điều hành</v>
      </c>
      <c r="M22" s="694">
        <f t="array" ref="M22">IF($S22="","",IF($S22="Lớp 5",INDEX('Lớp 5 - Phân công'!$AD$14:$AD$262,$T22),IF($S22="Lớp 4",INDEX('Lớp 4 - Danh mục'!$AC$14:$AC$132,$T22),INDEX('Lớp 3 - Công việc chính'!$Z$14:$Z$73,$T22))))</f>
        <v>46296</v>
      </c>
      <c r="N22" s="695">
        <f t="array" ref="N22">IF($S22="","",IF($S22="Lớp 5",INDEX('Lớp 5 - Phân công'!$AE$14:$AE$262,$T22),IF($S22="Lớp 4",INDEX('Lớp 4 - Danh mục'!$AD$14:$AD$132,$T22),INDEX('Lớp 3 - Công việc chính'!$AA$14:$AA$73,$T22))))</f>
        <v>46297</v>
      </c>
      <c r="O22" s="690" t="str">
        <f t="array" ref="O22">IF($S22="","",IF($S22="Lớp 5",INDEX('Lớp 5 - Phân công'!$AB$14:$AB$262,$T22),IF($S22="Lớp 4",INDEX('Lớp 4 - Danh mục'!$AA$14:$AA$132,$T22),INDEX('Lớp 3 - Công việc chính'!$X$14:$X$73,$T22))))</f>
        <v>Đã lên lịch</v>
      </c>
      <c r="P22" s="703" t="str">
        <f t="array" ref="P22">IF($S22="","",IF($S22="Lớp 5",INDEX('Lớp 5 - Phân công'!$AC$14:$AC$262,$T22),IF($S22="Lớp 4",INDEX('Lớp 4 - Danh mục'!$AB$14:$AB$132,$T22),INDEX('Lớp 3 - Công việc chính'!$Y$14:$Y$73,$T22))))</f>
        <v>P1</v>
      </c>
      <c r="Q22" s="697" t="str">
        <f t="array" ref="Q22">IF($S22="","",IF($S22="Lớp 5",INDEX('Lớp 5 - Phân công'!$AG$14:$AG$262,$T22),IF($S22="Lớp 4",INDEX('Lớp 4 - Danh mục'!$AF$14:$AF$132,$T22),INDEX('Lớp 3 - Công việc chính'!$AC$14:$AC$73,$T22))))</f>
        <v/>
      </c>
      <c r="R22" s="698" t="str">
        <f t="array" ref="R22">IF($S22="","",IF($S22="Lớp 5",INDEX('Lớp 5 - Phân công'!$X$14:$X$262,$T22),IF($S22="Lớp 4",INDEX('Lớp 4 - Danh mục'!$V$14:$V$132,$T22),INDEX('Lớp 3 - Công việc chính'!$T$14:$T$73,$T22))))</f>
        <v>Bộ kết quả tham số Top-down kế hoạch MT được kiểm tra và xác nhận.</v>
      </c>
      <c r="S22" s="699" t="str">
        <f>IF(ROWS($S$14:S22)&lt;=COUNTIF('Lớp 5 - Phân công'!$I$14:$I$262,"&lt;&gt;"),"Lớp 5",IF(ROWS($S$14:S22)&lt;=COUNTIF('Lớp 5 - Phân công'!$I$14:$I$262,"&lt;&gt;")+SUMPRODUCT(--('Lớp 4 - Danh mục'!$I$14:$I$132&lt;&gt;""),--(COUNTIF('Lớp 5 - Phân công'!$J$14:$J$262,'Lớp 4 - Danh mục'!$I$14:$I$132)=0)),"Lớp 4",IF(ROWS($S$14:S22)&lt;=COUNTIF('Lớp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2" s="699">
        <f t="array" ref="T22">IF(S22="","",IF(S22="Lớp 5",IF(S21&lt;&gt;"Lớp 5",MATCH("*",'Lớp 5 - Phân công'!$I$14:$I$262,0),T21+MATCH("*",INDEX('Lớp 5 - Phân công'!$I$14:$I$262,T21+1):'Lớp 5 - Phân công'!$I$262,0)),IF(S22="Lớp 4",IF(S21&lt;&gt;"Lớp 4",MATCH(1,INDEX(('Lớp 4 - Danh mục'!$I$14:$I$132&lt;&gt;"")*(COUNTIF('Lớp 5 - Phân công'!$J$14:$J$262,'Lớp 4 - Danh mục'!$I$14:$I$132)=0),0),0),T21+MATCH(1,INDEX((INDEX('Lớp 4 - Danh mục'!$I$14:$I$132,T21+1):'Lớp 4 - Danh mục'!$I$132&lt;&gt;"")*(COUNTIF('Lớp 5 - Phân công'!$J$14:$J$262,INDEX('Lớp 4 - Danh mục'!$I$14:$I$132,T21+1):'Lớp 4 - Danh mục'!$I$132)=0),0),0)),IF(S21&lt;&gt;"Lớp 3",MATCH(1,INDEX(('Lớp 3 - Công việc chính'!$I$14:$I$73&lt;&gt;"")*(COUNTIF('Lớp 4 - Danh mục'!$J$14:$J$132,'Lớp 3 - Công việc chính'!$I$14:$I$73)=0),0),0),T21+MATCH(1,INDEX((INDEX('Lớp 3 - Công việc chính'!$I$14:$I$73,T21+1):'Lớp 3 - Công việc chính'!$I$73&lt;&gt;"")*(COUNTIF('Lớp 4 - Danh mục'!$J$14:$J$132,INDEX('Lớp 3 - Công việc chính'!$I$14:$I$73,T21+1):'Lớp 3 - Công việc chính'!$I$73)=0),0),0)))))</f>
        <v>9</v>
      </c>
      <c r="U22" s="677"/>
      <c r="V22" s="678" t="str">
        <f>IF(U22="","",SUMIFS('Lớp 3 - Công việc chính'!$AF$14:$AF$73,'Lớp 3 - Công việc chính'!$V$14:$V$73,U22,'Lớp 3 - Công việc chính'!$Z$14:$Z$73,"&lt;="&amp;TODAY(),'Lớp 3 - Công việc chính'!$AA$14:$AA$73,"&gt;="&amp;TODAY())+SUMIFS('Lớp 4 - Danh mục'!$AI$14:$AI$132,'Lớp 4 - Danh mục'!$Z$14:$Z$132,U22,'Lớp 4 - Danh mục'!$AC$14:$AC$132,"&lt;="&amp;TODAY(),'Lớp 4 - Danh mục'!$AD$14:$AD$132,"&gt;="&amp;TODAY())+SUMIFS('Lớp 5 - Phân công'!$AJ$14:$AJ$262,'Lớp 5 - Phân công'!$AA$14:$AA$262,U22,'Lớp 5 - Phân công'!$AD$14:$AD$262,"&lt;="&amp;TODAY(),'Lớp 5 - Phân công'!$AE$14:$AE$262,"&gt;="&amp;TODAY())+SUMIFS('Lớp 6 - Chi tiết'!$AM$14:$AM$267,'Lớp 6 - Chi tiết'!$AC$14:$AC$267,U22,'Lớp 6 - Chi tiết'!$AG$14:$AG$267,"&lt;="&amp;TODAY(),'Lớp 6 - Chi tiết'!$AH$14:$AH$267,"&gt;="&amp;TODAY()))</f>
        <v/>
      </c>
      <c r="W22" s="679" t="str">
        <f>IF(V22="","",V22/'Danh mục chọn'!$J$2)</f>
        <v/>
      </c>
      <c r="X22" s="680" t="str">
        <f>IF(V22="","",IF(V22=0,"Chưa có tải tính được",IF(V22&gt;'Danh mục chọn'!$J$2,"Quá tải",IF(V22&gt;='Danh mục chọn'!$J$2*'Danh mục chọn'!$J$3,"Cận tải","Bình thường"))))</f>
        <v/>
      </c>
      <c r="Y22" s="678" t="str">
        <f>IF(U22="","",SUMPRODUCT(('Lớp 3 - Công việc chính'!$V$14:$V$73=U22)*('Lớp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mục'!$Z$14:$Z$132=U22)*('Lớp 4 - Danh mục'!$AD$14:$AD$132&lt;TODAY())*('Lớp 4 - Danh mục'!$AA$14:$AA$132&lt;&gt;"Hoàn thành")*('Lớp 4 - Danh mục'!$AA$14:$AA$132&lt;&gt;"Hủy")*('Lớp 4 - Danh mục'!$AI$14:$AI$132&lt;&gt;"")*IFERROR('Lớp 4 - Danh mục'!$AH$14:$AH$132*(1-'Lớp 4 - Danh mục'!$AF$14:$AF$132),0))+SUMPRODUCT(('Lớp 5 - Phân công'!$AA$14:$AA$262=U22)*('Lớp 5 - Phân công'!$AE$14:$AE$262&lt;TODAY())*('Lớp 5 - Phân công'!$AB$14:$AB$262&lt;&gt;"Hoàn thành")*('Lớp 5 - Phân công'!$AB$14:$AB$262&lt;&gt;"Hủy")*('Lớp 5 - Phân công'!$AJ$14:$AJ$262&lt;&gt;"")*IFERROR('Lớp 5 - Phân công'!$AI$14:$AI$262*(1-'Lớp 5 - Phân công'!$AG$14:$AG$262),0))+SUMPRODUCT(('Lớp 6 - Chi tiết'!$AC$14:$AC$267=U22)*('Lớp 6 - Chi tiết'!$AH$14:$AH$267&lt;TODAY())*('Lớp 6 - Chi tiết'!$AE$14:$AE$267&lt;&gt;"Hoàn thành")*('Lớp 6 - Chi tiết'!$AE$14:$AE$267&lt;&gt;"Hủy")*('Lớp 6 - Chi tiết'!$AM$14:$AM$267&lt;&gt;"")*IFERROR('Lớp 6 - Chi tiết'!$AL$14:$AL$267*(1-'Lớp 6 - Chi tiết'!$AJ$14:$AJ$267),0)))</f>
        <v/>
      </c>
      <c r="Z22" s="700" t="str">
        <f t="array" ref="Z22">IF($S22="","",IF($S22="Lớp 5",INDEX('Lớp 5 - Phân công'!$AS$14:$AS$262,$T22),IF($S22="Lớp 4",INDEX('Lớp 4 - Danh mục'!$AR$14:$AR$132,$T22),INDEX('Lớp 3 - Công việc chính'!$AO$14:$AO$73,$T22))))</f>
        <v>Tuần</v>
      </c>
      <c r="AA22" s="701">
        <f t="array" ref="AA22">IF($S22="","",IF($S22="Lớp 5",INDEX('Lớp 5 - Phân công'!$AT$14:$AT$262,$T22),IF($S22="Lớp 4",INDEX('Lớp 4 - Danh mục'!$AS$14:$AS$132,$T22),INDEX('Lớp 3 - Công việc chính'!$AP$14:$AP$73,$T22))))</f>
        <v>4</v>
      </c>
      <c r="AB22" s="701">
        <f t="array" ref="AB22">IF($S22="","",IF($S22="Lớp 5",INDEX('Lớp 5 - Phân công'!$AJ$14:$AJ$262,$T22),IF($S22="Lớp 4",INDEX('Lớp 4 - Danh mục'!$AI$14:$AI$132,$T22),INDEX('Lớp 3 - Công việc chính'!$AF$14:$AF$73,$T22))))</f>
        <v>0.8</v>
      </c>
      <c r="AC22" s="702" t="str">
        <f t="array" ref="AC22">IF($S22="","",IF($S22="Lớp 5",INDEX('Lớp 5 - Phân công'!$AV$14:$AV$262,$T22),IF($S22="Lớp 4",INDEX('Lớp 4 - Danh mục'!$AU$14:$AU$132,$T22),INDEX('Lớp 3 - Công việc chính'!$AR$14:$AR$73,$T22))))</f>
        <v>Thiếu 36.0 giờ/tuần</v>
      </c>
    </row>
    <row r="23" ht="15.75" customHeight="1">
      <c r="A23" s="690" t="str">
        <f t="shared" si="1"/>
        <v>Lớp 5</v>
      </c>
      <c r="B23" s="690" t="str">
        <f t="array" ref="B23">IF($S23="","",IF($S23="Lớp 5",INDEX('Lớp 5 - Phân công'!$I$14:$I$262,$T23),IF($S23="Lớp 4",INDEX('Lớp 4 - Danh mục'!$I$14:$I$132,$T23),INDEX('Lớp 3 - Công việc chính'!$I$14:$I$73,$T23))))</f>
        <v>HHL5DL02-05</v>
      </c>
      <c r="C23" s="690" t="str">
        <f t="array" ref="C23">IF($S23="","",IF($S23="Lớp 5",INDEX('Lớp 5 - Phân công'!$K$14:$K$262,$T23),IF($S23="Lớp 4",INDEX('Lớp 4 - Danh mục'!$J$14:$J$132,$T23),INDEX('Lớp 3 - Công việc chính'!$I$14:$I$73,$T23))))</f>
        <v>HHL3CT03</v>
      </c>
      <c r="D23" s="690" t="str">
        <f t="array" ref="D23">IF($S23="","",IF($S23="Lớp 5",INDEX('Lớp 5 - Phân công'!$J$14:$J$262,$T23),IF($S23="Lớp 4",INDEX('Lớp 4 - Danh mục'!$I$14:$I$132,$T23),"")))</f>
        <v>HHL4DL02</v>
      </c>
      <c r="E23" s="690">
        <f t="array" ref="E23">IF($S23="","",IF($S23="Lớp 5",INDEX('Lớp 5 - Phân công'!$L$14:$L$262,$T23),IF($S23="Lớp 4",INDEX('Lớp 4 - Danh mục'!$K$14:$K$132,$T23),INDEX('Lớp 3 - Công việc chính'!$J$14:$J$73,$T23))))</f>
        <v>2026</v>
      </c>
      <c r="F23" s="690" t="str">
        <f t="array" ref="F23">IF($S23="","",IF($S23="Lớp 5",INDEX('Lớp 5 - Phân công'!$M$14:$M$262,$T23),IF($S23="Lớp 4",INDEX('Lớp 4 - Danh mục'!$L$14:$L$132,$T23),INDEX('Lớp 3 - Công việc chính'!$K$14:$K$73,$T23))))</f>
        <v>Cấp công ty</v>
      </c>
      <c r="G23" s="691" t="str">
        <f t="array" ref="G23">IF($S23="","",IF($S23="Lớp 5",INDEX('Lớp 5 - Phân công'!$N$14:$N$262,$T23),IF($S23="Lớp 4",INDEX('Lớp 4 - Danh mục'!$M$14:$M$132,$T23),INDEX('Lớp 3 - Công việc chính'!$L$14:$L$73,$T23))))</f>
        <v>Chiến lược/sống còn</v>
      </c>
      <c r="H23" s="692" t="str">
        <f t="array" ref="H23">IF($S23="","",IF($S23="Lớp 5",INDEX('Lớp 5 - Phân công'!$O$14:$O$262,$T23),IF($S23="Lớp 4",INDEX('Lớp 4 - Danh mục'!$N$14:$N$132,$T23),INDEX('Lớp 3 - Công việc chính'!$M$14:$M$73,$T23))))</f>
        <v>KHKD 2027&amp; HT lập KH theo tham số KD (bán tự động)</v>
      </c>
      <c r="I23" s="692" t="str">
        <f t="array" ref="I23">IF($S23="","",IF($S23="Lớp 5",INDEX('Lớp 5 - Phân công'!$P$14:$P$262,$T23),IF($S23="Lớp 4",INDEX('Lớp 4 - Danh mục'!$O$14:$O$132,$T23),"")))</f>
        <v>Xây dựng công thức &amp; tạo HT tham số cho KH MT</v>
      </c>
      <c r="J23" s="693" t="str">
        <f t="array" ref="J23">IF($S23="","",IF($S23="Lớp 5",INDEX('Lớp 5 - Phân công'!$Q$14:$Q$262,$T23),""))</f>
        <v>Chạy tham số Bottom-up MT</v>
      </c>
      <c r="K23" s="690" t="str">
        <f t="array" ref="K23">IF($S23="","",IF($S23="Lớp 5",INDEX('Lớp 5 - Phân công'!$AA$14:$AA$262,$T23),IF($S23="Lớp 4",INDEX('Lớp 4 - Danh mục'!$Y$14:$Y$132,$T23),INDEX('Lớp 3 - Công việc chính'!$U$14:$U$73,$T23))))</f>
        <v>Em Đại</v>
      </c>
      <c r="L23" s="691" t="str">
        <f t="array" ref="L23">IF($S23="","",IF($S23="Lớp 5",INDEX('Lớp 5 - Phân công'!$Z$14:$Z$262,$T23),IF($S23="Lớp 4",INDEX('Lớp 4 - Danh mục'!$X$14:$X$132,$T23),INDEX('Lớp 3 - Công việc chính'!$W$14:$W$73,$T23))))</f>
        <v>Dữ liệu điều hành</v>
      </c>
      <c r="M23" s="694">
        <f t="array" ref="M23">IF($S23="","",IF($S23="Lớp 5",INDEX('Lớp 5 - Phân công'!$AD$14:$AD$262,$T23),IF($S23="Lớp 4",INDEX('Lớp 4 - Danh mục'!$AC$14:$AC$132,$T23),INDEX('Lớp 3 - Công việc chính'!$Z$14:$Z$73,$T23))))</f>
        <v>46298</v>
      </c>
      <c r="N23" s="695">
        <f t="array" ref="N23">IF($S23="","",IF($S23="Lớp 5",INDEX('Lớp 5 - Phân công'!$AE$14:$AE$262,$T23),IF($S23="Lớp 4",INDEX('Lớp 4 - Danh mục'!$AD$14:$AD$132,$T23),INDEX('Lớp 3 - Công việc chính'!$AA$14:$AA$73,$T23))))</f>
        <v>46310</v>
      </c>
      <c r="O23" s="690" t="str">
        <f t="array" ref="O23">IF($S23="","",IF($S23="Lớp 5",INDEX('Lớp 5 - Phân công'!$AB$14:$AB$262,$T23),IF($S23="Lớp 4",INDEX('Lớp 4 - Danh mục'!$AA$14:$AA$132,$T23),INDEX('Lớp 3 - Công việc chính'!$X$14:$X$73,$T23))))</f>
        <v>Đã lên lịch</v>
      </c>
      <c r="P23" s="703" t="str">
        <f t="array" ref="P23">IF($S23="","",IF($S23="Lớp 5",INDEX('Lớp 5 - Phân công'!$AC$14:$AC$262,$T23),IF($S23="Lớp 4",INDEX('Lớp 4 - Danh mục'!$AB$14:$AB$132,$T23),INDEX('Lớp 3 - Công việc chính'!$Y$14:$Y$73,$T23))))</f>
        <v>P1</v>
      </c>
      <c r="Q23" s="697" t="str">
        <f t="array" ref="Q23">IF($S23="","",IF($S23="Lớp 5",INDEX('Lớp 5 - Phân công'!$AG$14:$AG$262,$T23),IF($S23="Lớp 4",INDEX('Lớp 4 - Danh mục'!$AF$14:$AF$132,$T23),INDEX('Lớp 3 - Công việc chính'!$AC$14:$AC$73,$T23))))</f>
        <v/>
      </c>
      <c r="R23" s="698" t="str">
        <f t="array" ref="R23">IF($S23="","",IF($S23="Lớp 5",INDEX('Lớp 5 - Phân công'!$X$14:$X$262,$T23),IF($S23="Lớp 4",INDEX('Lớp 4 - Danh mục'!$V$14:$V$132,$T23),INDEX('Lớp 3 - Công việc chính'!$T$14:$T$73,$T23))))</f>
        <v>Bộ kết quả Bottom-up kế hoạch MT theo khu vực và khách hàng được xác nhận.</v>
      </c>
      <c r="S23" s="699" t="str">
        <f>IF(ROWS($S$14:S23)&lt;=COUNTIF('Lớp 5 - Phân công'!$I$14:$I$262,"&lt;&gt;"),"Lớp 5",IF(ROWS($S$14:S23)&lt;=COUNTIF('Lớp 5 - Phân công'!$I$14:$I$262,"&lt;&gt;")+SUMPRODUCT(--('Lớp 4 - Danh mục'!$I$14:$I$132&lt;&gt;""),--(COUNTIF('Lớp 5 - Phân công'!$J$14:$J$262,'Lớp 4 - Danh mục'!$I$14:$I$132)=0)),"Lớp 4",IF(ROWS($S$14:S23)&lt;=COUNTIF('Lớp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3" s="699">
        <f t="array" ref="T23">IF(S23="","",IF(S23="Lớp 5",IF(S22&lt;&gt;"Lớp 5",MATCH("*",'Lớp 5 - Phân công'!$I$14:$I$262,0),T22+MATCH("*",INDEX('Lớp 5 - Phân công'!$I$14:$I$262,T22+1):'Lớp 5 - Phân công'!$I$262,0)),IF(S23="Lớp 4",IF(S22&lt;&gt;"Lớp 4",MATCH(1,INDEX(('Lớp 4 - Danh mục'!$I$14:$I$132&lt;&gt;"")*(COUNTIF('Lớp 5 - Phân công'!$J$14:$J$262,'Lớp 4 - Danh mục'!$I$14:$I$132)=0),0),0),T22+MATCH(1,INDEX((INDEX('Lớp 4 - Danh mục'!$I$14:$I$132,T22+1):'Lớp 4 - Danh mục'!$I$132&lt;&gt;"")*(COUNTIF('Lớp 5 - Phân công'!$J$14:$J$262,INDEX('Lớp 4 - Danh mục'!$I$14:$I$132,T22+1):'Lớp 4 - Danh mục'!$I$132)=0),0),0)),IF(S22&lt;&gt;"Lớp 3",MATCH(1,INDEX(('Lớp 3 - Công việc chính'!$I$14:$I$73&lt;&gt;"")*(COUNTIF('Lớp 4 - Danh mục'!$J$14:$J$132,'Lớp 3 - Công việc chính'!$I$14:$I$73)=0),0),0),T22+MATCH(1,INDEX((INDEX('Lớp 3 - Công việc chính'!$I$14:$I$73,T22+1):'Lớp 3 - Công việc chính'!$I$73&lt;&gt;"")*(COUNTIF('Lớp 4 - Danh mục'!$J$14:$J$132,INDEX('Lớp 3 - Công việc chính'!$I$14:$I$73,T22+1):'Lớp 3 - Công việc chính'!$I$73)=0),0),0)))))</f>
        <v>10</v>
      </c>
      <c r="U23" s="677"/>
      <c r="V23" s="678" t="str">
        <f>IF(U23="","",SUMIFS('Lớp 3 - Công việc chính'!$AF$14:$AF$73,'Lớp 3 - Công việc chính'!$V$14:$V$73,U23,'Lớp 3 - Công việc chính'!$Z$14:$Z$73,"&lt;="&amp;TODAY(),'Lớp 3 - Công việc chính'!$AA$14:$AA$73,"&gt;="&amp;TODAY())+SUMIFS('Lớp 4 - Danh mục'!$AI$14:$AI$132,'Lớp 4 - Danh mục'!$Z$14:$Z$132,U23,'Lớp 4 - Danh mục'!$AC$14:$AC$132,"&lt;="&amp;TODAY(),'Lớp 4 - Danh mục'!$AD$14:$AD$132,"&gt;="&amp;TODAY())+SUMIFS('Lớp 5 - Phân công'!$AJ$14:$AJ$262,'Lớp 5 - Phân công'!$AA$14:$AA$262,U23,'Lớp 5 - Phân công'!$AD$14:$AD$262,"&lt;="&amp;TODAY(),'Lớp 5 - Phân công'!$AE$14:$AE$262,"&gt;="&amp;TODAY())+SUMIFS('Lớp 6 - Chi tiết'!$AM$14:$AM$267,'Lớp 6 - Chi tiết'!$AC$14:$AC$267,U23,'Lớp 6 - Chi tiết'!$AG$14:$AG$267,"&lt;="&amp;TODAY(),'Lớp 6 - Chi tiết'!$AH$14:$AH$267,"&gt;="&amp;TODAY()))</f>
        <v/>
      </c>
      <c r="W23" s="679" t="str">
        <f>IF(V23="","",V23/'Danh mục chọn'!$J$2)</f>
        <v/>
      </c>
      <c r="X23" s="680" t="str">
        <f>IF(V23="","",IF(V23=0,"Chưa có tải tính được",IF(V23&gt;'Danh mục chọn'!$J$2,"Quá tải",IF(V23&gt;='Danh mục chọn'!$J$2*'Danh mục chọn'!$J$3,"Cận tải","Bình thường"))))</f>
        <v/>
      </c>
      <c r="Y23" s="678" t="str">
        <f>IF(U23="","",SUMPRODUCT(('Lớp 3 - Công việc chính'!$V$14:$V$73=U23)*('Lớp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mục'!$Z$14:$Z$132=U23)*('Lớp 4 - Danh mục'!$AD$14:$AD$132&lt;TODAY())*('Lớp 4 - Danh mục'!$AA$14:$AA$132&lt;&gt;"Hoàn thành")*('Lớp 4 - Danh mục'!$AA$14:$AA$132&lt;&gt;"Hủy")*('Lớp 4 - Danh mục'!$AI$14:$AI$132&lt;&gt;"")*IFERROR('Lớp 4 - Danh mục'!$AH$14:$AH$132*(1-'Lớp 4 - Danh mục'!$AF$14:$AF$132),0))+SUMPRODUCT(('Lớp 5 - Phân công'!$AA$14:$AA$262=U23)*('Lớp 5 - Phân công'!$AE$14:$AE$262&lt;TODAY())*('Lớp 5 - Phân công'!$AB$14:$AB$262&lt;&gt;"Hoàn thành")*('Lớp 5 - Phân công'!$AB$14:$AB$262&lt;&gt;"Hủy")*('Lớp 5 - Phân công'!$AJ$14:$AJ$262&lt;&gt;"")*IFERROR('Lớp 5 - Phân công'!$AI$14:$AI$262*(1-'Lớp 5 - Phân công'!$AG$14:$AG$262),0))+SUMPRODUCT(('Lớp 6 - Chi tiết'!$AC$14:$AC$267=U23)*('Lớp 6 - Chi tiết'!$AH$14:$AH$267&lt;TODAY())*('Lớp 6 - Chi tiết'!$AE$14:$AE$267&lt;&gt;"Hoàn thành")*('Lớp 6 - Chi tiết'!$AE$14:$AE$267&lt;&gt;"Hủy")*('Lớp 6 - Chi tiết'!$AM$14:$AM$267&lt;&gt;"")*IFERROR('Lớp 6 - Chi tiết'!$AL$14:$AL$267*(1-'Lớp 6 - Chi tiết'!$AJ$14:$AJ$267),0)))</f>
        <v/>
      </c>
      <c r="Z23" s="700" t="str">
        <f t="array" ref="Z23">IF($S23="","",IF($S23="Lớp 5",INDEX('Lớp 5 - Phân công'!$AS$14:$AS$262,$T23),IF($S23="Lớp 4",INDEX('Lớp 4 - Danh mục'!$AR$14:$AR$132,$T23),INDEX('Lớp 3 - Công việc chính'!$AO$14:$AO$73,$T23))))</f>
        <v>Tuần</v>
      </c>
      <c r="AA23" s="701">
        <f t="array" ref="AA23">IF($S23="","",IF($S23="Lớp 5",INDEX('Lớp 5 - Phân công'!$AT$14:$AT$262,$T23),IF($S23="Lớp 4",INDEX('Lớp 4 - Danh mục'!$AS$14:$AS$132,$T23),INDEX('Lớp 3 - Công việc chính'!$AP$14:$AP$73,$T23))))</f>
        <v>4</v>
      </c>
      <c r="AB23" s="701">
        <f t="array" ref="AB23">IF($S23="","",IF($S23="Lớp 5",INDEX('Lớp 5 - Phân công'!$AJ$14:$AJ$262,$T23),IF($S23="Lớp 4",INDEX('Lớp 4 - Danh mục'!$AI$14:$AI$132,$T23),INDEX('Lớp 3 - Công việc chính'!$AF$14:$AF$73,$T23))))</f>
        <v>0.8</v>
      </c>
      <c r="AC23" s="702" t="str">
        <f t="array" ref="AC23">IF($S23="","",IF($S23="Lớp 5",INDEX('Lớp 5 - Phân công'!$AV$14:$AV$262,$T23),IF($S23="Lớp 4",INDEX('Lớp 4 - Danh mục'!$AU$14:$AU$132,$T23),INDEX('Lớp 3 - Công việc chính'!$AR$14:$AR$73,$T23))))</f>
        <v>Thiếu 3.3 giờ/tuần</v>
      </c>
    </row>
    <row r="24" ht="15.75" customHeight="1">
      <c r="A24" s="690" t="str">
        <f t="shared" si="1"/>
        <v>Lớp 5</v>
      </c>
      <c r="B24" s="690" t="str">
        <f t="array" ref="B24">IF($S24="","",IF($S24="Lớp 5",INDEX('Lớp 5 - Phân công'!$I$14:$I$262,$T24),IF($S24="Lớp 4",INDEX('Lớp 4 - Danh mục'!$I$14:$I$132,$T24),INDEX('Lớp 3 - Công việc chính'!$I$14:$I$73,$T24))))</f>
        <v>HHL5DL03-01</v>
      </c>
      <c r="C24" s="690" t="str">
        <f t="array" ref="C24">IF($S24="","",IF($S24="Lớp 5",INDEX('Lớp 5 - Phân công'!$K$14:$K$262,$T24),IF($S24="Lớp 4",INDEX('Lớp 4 - Danh mục'!$J$14:$J$132,$T24),INDEX('Lớp 3 - Công việc chính'!$I$14:$I$73,$T24))))</f>
        <v>HHL3CT03</v>
      </c>
      <c r="D24" s="690" t="str">
        <f t="array" ref="D24">IF($S24="","",IF($S24="Lớp 5",INDEX('Lớp 5 - Phân công'!$J$14:$J$262,$T24),IF($S24="Lớp 4",INDEX('Lớp 4 - Danh mục'!$I$14:$I$132,$T24),"")))</f>
        <v>HHL4DL03</v>
      </c>
      <c r="E24" s="690">
        <f t="array" ref="E24">IF($S24="","",IF($S24="Lớp 5",INDEX('Lớp 5 - Phân công'!$L$14:$L$262,$T24),IF($S24="Lớp 4",INDEX('Lớp 4 - Danh mục'!$K$14:$K$132,$T24),INDEX('Lớp 3 - Công việc chính'!$J$14:$J$73,$T24))))</f>
        <v>2026</v>
      </c>
      <c r="F24" s="690" t="str">
        <f t="array" ref="F24">IF($S24="","",IF($S24="Lớp 5",INDEX('Lớp 5 - Phân công'!$M$14:$M$262,$T24),IF($S24="Lớp 4",INDEX('Lớp 4 - Danh mục'!$L$14:$L$132,$T24),INDEX('Lớp 3 - Công việc chính'!$K$14:$K$73,$T24))))</f>
        <v>Cấp công ty</v>
      </c>
      <c r="G24" s="691" t="str">
        <f t="array" ref="G24">IF($S24="","",IF($S24="Lớp 5",INDEX('Lớp 5 - Phân công'!$N$14:$N$262,$T24),IF($S24="Lớp 4",INDEX('Lớp 4 - Danh mục'!$M$14:$M$132,$T24),INDEX('Lớp 3 - Công việc chính'!$L$14:$L$73,$T24))))</f>
        <v>Chiến lược/sống còn</v>
      </c>
      <c r="H24" s="692" t="str">
        <f t="array" ref="H24">IF($S24="","",IF($S24="Lớp 5",INDEX('Lớp 5 - Phân công'!$O$14:$O$262,$T24),IF($S24="Lớp 4",INDEX('Lớp 4 - Danh mục'!$N$14:$N$132,$T24),INDEX('Lớp 3 - Công việc chính'!$M$14:$M$73,$T24))))</f>
        <v>KHKD 2027&amp; HT lập KH theo tham số KD (bán tự động)</v>
      </c>
      <c r="I24" s="692" t="str">
        <f t="array" ref="I24">IF($S24="","",IF($S24="Lớp 5",INDEX('Lớp 5 - Phân công'!$P$14:$P$262,$T24),IF($S24="Lớp 4",INDEX('Lớp 4 - Danh mục'!$O$14:$O$132,$T24),"")))</f>
        <v>Xây dựng công thức &amp; tạo HT tham số cho KH B2B</v>
      </c>
      <c r="J24" s="693" t="str">
        <f t="array" ref="J24">IF($S24="","",IF($S24="Lớp 5",INDEX('Lớp 5 - Phân công'!$Q$14:$Q$262,$T24),""))</f>
        <v>XD &amp; phản biện công thức (nội bộ) B2B</v>
      </c>
      <c r="K24" s="690" t="str">
        <f t="array" ref="K24">IF($S24="","",IF($S24="Lớp 5",INDEX('Lớp 5 - Phân công'!$AA$14:$AA$262,$T24),IF($S24="Lớp 4",INDEX('Lớp 4 - Danh mục'!$Y$14:$Y$132,$T24),INDEX('Lớp 3 - Công việc chính'!$U$14:$U$73,$T24))))</f>
        <v>Em Đại</v>
      </c>
      <c r="L24" s="691" t="str">
        <f t="array" ref="L24">IF($S24="","",IF($S24="Lớp 5",INDEX('Lớp 5 - Phân công'!$Z$14:$Z$262,$T24),IF($S24="Lớp 4",INDEX('Lớp 4 - Danh mục'!$X$14:$X$132,$T24),INDEX('Lớp 3 - Công việc chính'!$W$14:$W$73,$T24))))</f>
        <v>Dữ liệu điều hành</v>
      </c>
      <c r="M24" s="694">
        <f t="array" ref="M24">IF($S24="","",IF($S24="Lớp 5",INDEX('Lớp 5 - Phân công'!$AD$14:$AD$262,$T24),IF($S24="Lớp 4",INDEX('Lớp 4 - Danh mục'!$AC$14:$AC$132,$T24),INDEX('Lớp 3 - Công việc chính'!$Z$14:$Z$73,$T24))))</f>
        <v>46290</v>
      </c>
      <c r="N24" s="695">
        <f t="array" ref="N24">IF($S24="","",IF($S24="Lớp 5",INDEX('Lớp 5 - Phân công'!$AE$14:$AE$262,$T24),IF($S24="Lớp 4",INDEX('Lớp 4 - Danh mục'!$AD$14:$AD$132,$T24),INDEX('Lớp 3 - Công việc chính'!$AA$14:$AA$73,$T24))))</f>
        <v>46300</v>
      </c>
      <c r="O24" s="690" t="str">
        <f t="array" ref="O24">IF($S24="","",IF($S24="Lớp 5",INDEX('Lớp 5 - Phân công'!$AB$14:$AB$262,$T24),IF($S24="Lớp 4",INDEX('Lớp 4 - Danh mục'!$AA$14:$AA$132,$T24),INDEX('Lớp 3 - Công việc chính'!$X$14:$X$73,$T24))))</f>
        <v>Chưa bắt đầu</v>
      </c>
      <c r="P24" s="703" t="str">
        <f t="array" ref="P24">IF($S24="","",IF($S24="Lớp 5",INDEX('Lớp 5 - Phân công'!$AC$14:$AC$262,$T24),IF($S24="Lớp 4",INDEX('Lớp 4 - Danh mục'!$AB$14:$AB$132,$T24),INDEX('Lớp 3 - Công việc chính'!$Y$14:$Y$73,$T24))))</f>
        <v>P2</v>
      </c>
      <c r="Q24" s="697">
        <f t="array" ref="Q24">IF($S24="","",IF($S24="Lớp 5",INDEX('Lớp 5 - Phân công'!$AG$14:$AG$262,$T24),IF($S24="Lớp 4",INDEX('Lớp 4 - Danh mục'!$AF$14:$AF$132,$T24),INDEX('Lớp 3 - Công việc chính'!$AC$14:$AC$73,$T24))))</f>
        <v>0</v>
      </c>
      <c r="R24" s="698" t="str">
        <f t="array" ref="R24">IF($S24="","",IF($S24="Lớp 5",INDEX('Lớp 5 - Phân công'!$X$14:$X$262,$T24),IF($S24="Lớp 4",INDEX('Lớp 4 - Danh mục'!$V$14:$V$132,$T24),INDEX('Lớp 3 - Công việc chính'!$T$14:$T$73,$T24))))</f>
        <v>Bộ công thức kế hoạch B2B được xây dựng, phản biện nội bộ và chốt phiên bản.</v>
      </c>
      <c r="S24" s="699" t="str">
        <f>IF(ROWS($S$14:S24)&lt;=COUNTIF('Lớp 5 - Phân công'!$I$14:$I$262,"&lt;&gt;"),"Lớp 5",IF(ROWS($S$14:S24)&lt;=COUNTIF('Lớp 5 - Phân công'!$I$14:$I$262,"&lt;&gt;")+SUMPRODUCT(--('Lớp 4 - Danh mục'!$I$14:$I$132&lt;&gt;""),--(COUNTIF('Lớp 5 - Phân công'!$J$14:$J$262,'Lớp 4 - Danh mục'!$I$14:$I$132)=0)),"Lớp 4",IF(ROWS($S$14:S24)&lt;=COUNTIF('Lớp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4" s="699">
        <f t="array" ref="T24">IF(S24="","",IF(S24="Lớp 5",IF(S23&lt;&gt;"Lớp 5",MATCH("*",'Lớp 5 - Phân công'!$I$14:$I$262,0),T23+MATCH("*",INDEX('Lớp 5 - Phân công'!$I$14:$I$262,T23+1):'Lớp 5 - Phân công'!$I$262,0)),IF(S24="Lớp 4",IF(S23&lt;&gt;"Lớp 4",MATCH(1,INDEX(('Lớp 4 - Danh mục'!$I$14:$I$132&lt;&gt;"")*(COUNTIF('Lớp 5 - Phân công'!$J$14:$J$262,'Lớp 4 - Danh mục'!$I$14:$I$132)=0),0),0),T23+MATCH(1,INDEX((INDEX('Lớp 4 - Danh mục'!$I$14:$I$132,T23+1):'Lớp 4 - Danh mục'!$I$132&lt;&gt;"")*(COUNTIF('Lớp 5 - Phân công'!$J$14:$J$262,INDEX('Lớp 4 - Danh mục'!$I$14:$I$132,T23+1):'Lớp 4 - Danh mục'!$I$132)=0),0),0)),IF(S23&lt;&gt;"Lớp 3",MATCH(1,INDEX(('Lớp 3 - Công việc chính'!$I$14:$I$73&lt;&gt;"")*(COUNTIF('Lớp 4 - Danh mục'!$J$14:$J$132,'Lớp 3 - Công việc chính'!$I$14:$I$73)=0),0),0),T23+MATCH(1,INDEX((INDEX('Lớp 3 - Công việc chính'!$I$14:$I$73,T23+1):'Lớp 3 - Công việc chính'!$I$73&lt;&gt;"")*(COUNTIF('Lớp 4 - Danh mục'!$J$14:$J$132,INDEX('Lớp 3 - Công việc chính'!$I$14:$I$73,T23+1):'Lớp 3 - Công việc chính'!$I$73)=0),0),0)))))</f>
        <v>11</v>
      </c>
      <c r="U24" s="677"/>
      <c r="V24" s="678" t="str">
        <f>IF(U24="","",SUMIFS('Lớp 3 - Công việc chính'!$AF$14:$AF$73,'Lớp 3 - Công việc chính'!$V$14:$V$73,U24,'Lớp 3 - Công việc chính'!$Z$14:$Z$73,"&lt;="&amp;TODAY(),'Lớp 3 - Công việc chính'!$AA$14:$AA$73,"&gt;="&amp;TODAY())+SUMIFS('Lớp 4 - Danh mục'!$AI$14:$AI$132,'Lớp 4 - Danh mục'!$Z$14:$Z$132,U24,'Lớp 4 - Danh mục'!$AC$14:$AC$132,"&lt;="&amp;TODAY(),'Lớp 4 - Danh mục'!$AD$14:$AD$132,"&gt;="&amp;TODAY())+SUMIFS('Lớp 5 - Phân công'!$AJ$14:$AJ$262,'Lớp 5 - Phân công'!$AA$14:$AA$262,U24,'Lớp 5 - Phân công'!$AD$14:$AD$262,"&lt;="&amp;TODAY(),'Lớp 5 - Phân công'!$AE$14:$AE$262,"&gt;="&amp;TODAY())+SUMIFS('Lớp 6 - Chi tiết'!$AM$14:$AM$267,'Lớp 6 - Chi tiết'!$AC$14:$AC$267,U24,'Lớp 6 - Chi tiết'!$AG$14:$AG$267,"&lt;="&amp;TODAY(),'Lớp 6 - Chi tiết'!$AH$14:$AH$267,"&gt;="&amp;TODAY()))</f>
        <v/>
      </c>
      <c r="W24" s="679" t="str">
        <f>IF(V24="","",V24/'Danh mục chọn'!$J$2)</f>
        <v/>
      </c>
      <c r="X24" s="680" t="str">
        <f>IF(V24="","",IF(V24=0,"Chưa có tải tính được",IF(V24&gt;'Danh mục chọn'!$J$2,"Quá tải",IF(V24&gt;='Danh mục chọn'!$J$2*'Danh mục chọn'!$J$3,"Cận tải","Bình thường"))))</f>
        <v/>
      </c>
      <c r="Y24" s="678" t="str">
        <f>IF(U24="","",SUMPRODUCT(('Lớp 3 - Công việc chính'!$V$14:$V$73=U24)*('Lớp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mục'!$Z$14:$Z$132=U24)*('Lớp 4 - Danh mục'!$AD$14:$AD$132&lt;TODAY())*('Lớp 4 - Danh mục'!$AA$14:$AA$132&lt;&gt;"Hoàn thành")*('Lớp 4 - Danh mục'!$AA$14:$AA$132&lt;&gt;"Hủy")*('Lớp 4 - Danh mục'!$AI$14:$AI$132&lt;&gt;"")*IFERROR('Lớp 4 - Danh mục'!$AH$14:$AH$132*(1-'Lớp 4 - Danh mục'!$AF$14:$AF$132),0))+SUMPRODUCT(('Lớp 5 - Phân công'!$AA$14:$AA$262=U24)*('Lớp 5 - Phân công'!$AE$14:$AE$262&lt;TODAY())*('Lớp 5 - Phân công'!$AB$14:$AB$262&lt;&gt;"Hoàn thành")*('Lớp 5 - Phân công'!$AB$14:$AB$262&lt;&gt;"Hủy")*('Lớp 5 - Phân công'!$AJ$14:$AJ$262&lt;&gt;"")*IFERROR('Lớp 5 - Phân công'!$AI$14:$AI$262*(1-'Lớp 5 - Phân công'!$AG$14:$AG$262),0))+SUMPRODUCT(('Lớp 6 - Chi tiết'!$AC$14:$AC$267=U24)*('Lớp 6 - Chi tiết'!$AH$14:$AH$267&lt;TODAY())*('Lớp 6 - Chi tiết'!$AE$14:$AE$267&lt;&gt;"Hoàn thành")*('Lớp 6 - Chi tiết'!$AE$14:$AE$267&lt;&gt;"Hủy")*('Lớp 6 - Chi tiết'!$AM$14:$AM$267&lt;&gt;"")*IFERROR('Lớp 6 - Chi tiết'!$AL$14:$AL$267*(1-'Lớp 6 - Chi tiết'!$AJ$14:$AJ$267),0)))</f>
        <v/>
      </c>
      <c r="Z24" s="700" t="str">
        <f t="array" ref="Z24">IF($S24="","",IF($S24="Lớp 5",INDEX('Lớp 5 - Phân công'!$AS$14:$AS$262,$T24),IF($S24="Lớp 4",INDEX('Lớp 4 - Danh mục'!$AR$14:$AR$132,$T24),INDEX('Lớp 3 - Công việc chính'!$AO$14:$AO$73,$T24))))</f>
        <v>Tuần</v>
      </c>
      <c r="AA24" s="701">
        <f t="array" ref="AA24">IF($S24="","",IF($S24="Lớp 5",INDEX('Lớp 5 - Phân công'!$AT$14:$AT$262,$T24),IF($S24="Lớp 4",INDEX('Lớp 4 - Danh mục'!$AS$14:$AS$132,$T24),INDEX('Lớp 3 - Công việc chính'!$AP$14:$AP$73,$T24))))</f>
        <v>4</v>
      </c>
      <c r="AB24" s="701">
        <f t="array" ref="AB24">IF($S24="","",IF($S24="Lớp 5",INDEX('Lớp 5 - Phân công'!$AJ$14:$AJ$262,$T24),IF($S24="Lớp 4",INDEX('Lớp 4 - Danh mục'!$AI$14:$AI$132,$T24),INDEX('Lớp 3 - Công việc chính'!$AF$14:$AF$73,$T24))))</f>
        <v>0.8</v>
      </c>
      <c r="AC24" s="702" t="str">
        <f t="array" ref="AC24">IF($S24="","",IF($S24="Lớp 5",INDEX('Lớp 5 - Phân công'!$AV$14:$AV$262,$T24),IF($S24="Lớp 4",INDEX('Lớp 4 - Danh mục'!$AU$14:$AU$132,$T24),INDEX('Lớp 3 - Công việc chính'!$AR$14:$AR$73,$T24))))</f>
        <v>Thiếu 4.9 giờ/tuần</v>
      </c>
    </row>
    <row r="25" ht="15.75" customHeight="1">
      <c r="A25" s="690" t="str">
        <f t="shared" si="1"/>
        <v>Lớp 5</v>
      </c>
      <c r="B25" s="690" t="str">
        <f t="array" ref="B25">IF($S25="","",IF($S25="Lớp 5",INDEX('Lớp 5 - Phân công'!$I$14:$I$262,$T25),IF($S25="Lớp 4",INDEX('Lớp 4 - Danh mục'!$I$14:$I$132,$T25),INDEX('Lớp 3 - Công việc chính'!$I$14:$I$73,$T25))))</f>
        <v>HHL5DL03-02</v>
      </c>
      <c r="C25" s="690" t="str">
        <f t="array" ref="C25">IF($S25="","",IF($S25="Lớp 5",INDEX('Lớp 5 - Phân công'!$K$14:$K$262,$T25),IF($S25="Lớp 4",INDEX('Lớp 4 - Danh mục'!$J$14:$J$132,$T25),INDEX('Lớp 3 - Công việc chính'!$I$14:$I$73,$T25))))</f>
        <v>HHL3CT03</v>
      </c>
      <c r="D25" s="690" t="str">
        <f t="array" ref="D25">IF($S25="","",IF($S25="Lớp 5",INDEX('Lớp 5 - Phân công'!$J$14:$J$262,$T25),IF($S25="Lớp 4",INDEX('Lớp 4 - Danh mục'!$I$14:$I$132,$T25),"")))</f>
        <v>HHL4DL03</v>
      </c>
      <c r="E25" s="690">
        <f t="array" ref="E25">IF($S25="","",IF($S25="Lớp 5",INDEX('Lớp 5 - Phân công'!$L$14:$L$262,$T25),IF($S25="Lớp 4",INDEX('Lớp 4 - Danh mục'!$K$14:$K$132,$T25),INDEX('Lớp 3 - Công việc chính'!$J$14:$J$73,$T25))))</f>
        <v>2026</v>
      </c>
      <c r="F25" s="690" t="str">
        <f t="array" ref="F25">IF($S25="","",IF($S25="Lớp 5",INDEX('Lớp 5 - Phân công'!$M$14:$M$262,$T25),IF($S25="Lớp 4",INDEX('Lớp 4 - Danh mục'!$L$14:$L$132,$T25),INDEX('Lớp 3 - Công việc chính'!$K$14:$K$73,$T25))))</f>
        <v>Cấp công ty</v>
      </c>
      <c r="G25" s="691" t="str">
        <f t="array" ref="G25">IF($S25="","",IF($S25="Lớp 5",INDEX('Lớp 5 - Phân công'!$N$14:$N$262,$T25),IF($S25="Lớp 4",INDEX('Lớp 4 - Danh mục'!$M$14:$M$132,$T25),INDEX('Lớp 3 - Công việc chính'!$L$14:$L$73,$T25))))</f>
        <v>Chiến lược/sống còn</v>
      </c>
      <c r="H25" s="692" t="str">
        <f t="array" ref="H25">IF($S25="","",IF($S25="Lớp 5",INDEX('Lớp 5 - Phân công'!$O$14:$O$262,$T25),IF($S25="Lớp 4",INDEX('Lớp 4 - Danh mục'!$N$14:$N$132,$T25),INDEX('Lớp 3 - Công việc chính'!$M$14:$M$73,$T25))))</f>
        <v>KHKD 2027&amp; HT lập KH theo tham số KD (bán tự động)</v>
      </c>
      <c r="I25" s="692" t="str">
        <f t="array" ref="I25">IF($S25="","",IF($S25="Lớp 5",INDEX('Lớp 5 - Phân công'!$P$14:$P$262,$T25),IF($S25="Lớp 4",INDEX('Lớp 4 - Danh mục'!$O$14:$O$132,$T25),"")))</f>
        <v>Xây dựng công thức &amp; tạo HT tham số cho KH B2B</v>
      </c>
      <c r="J25" s="693" t="str">
        <f t="array" ref="J25">IF($S25="","",IF($S25="Lớp 5",INDEX('Lớp 5 - Phân công'!$Q$14:$Q$262,$T25),""))</f>
        <v>Phản biện với TGĐ &amp; liên PB B2B</v>
      </c>
      <c r="K25" s="690" t="str">
        <f t="array" ref="K25">IF($S25="","",IF($S25="Lớp 5",INDEX('Lớp 5 - Phân công'!$AA$14:$AA$262,$T25),IF($S25="Lớp 4",INDEX('Lớp 4 - Danh mục'!$Y$14:$Y$132,$T25),INDEX('Lớp 3 - Công việc chính'!$U$14:$U$73,$T25))))</f>
        <v>Em Đại</v>
      </c>
      <c r="L25" s="691" t="str">
        <f t="array" ref="L25">IF($S25="","",IF($S25="Lớp 5",INDEX('Lớp 5 - Phân công'!$Z$14:$Z$262,$T25),IF($S25="Lớp 4",INDEX('Lớp 4 - Danh mục'!$X$14:$X$132,$T25),INDEX('Lớp 3 - Công việc chính'!$W$14:$W$73,$T25))))</f>
        <v>Dữ liệu điều hành</v>
      </c>
      <c r="M25" s="694">
        <f t="array" ref="M25">IF($S25="","",IF($S25="Lớp 5",INDEX('Lớp 5 - Phân công'!$AD$14:$AD$262,$T25),IF($S25="Lớp 4",INDEX('Lớp 4 - Danh mục'!$AC$14:$AC$132,$T25),INDEX('Lớp 3 - Công việc chính'!$Z$14:$Z$73,$T25))))</f>
        <v>46301</v>
      </c>
      <c r="N25" s="695">
        <f t="array" ref="N25">IF($S25="","",IF($S25="Lớp 5",INDEX('Lớp 5 - Phân công'!$AE$14:$AE$262,$T25),IF($S25="Lớp 4",INDEX('Lớp 4 - Danh mục'!$AD$14:$AD$132,$T25),INDEX('Lớp 3 - Công việc chính'!$AA$14:$AA$73,$T25))))</f>
        <v>46310</v>
      </c>
      <c r="O25" s="690" t="str">
        <f t="array" ref="O25">IF($S25="","",IF($S25="Lớp 5",INDEX('Lớp 5 - Phân công'!$AB$14:$AB$262,$T25),IF($S25="Lớp 4",INDEX('Lớp 4 - Danh mục'!$AA$14:$AA$132,$T25),INDEX('Lớp 3 - Công việc chính'!$X$14:$X$73,$T25))))</f>
        <v>Chưa bắt đầu</v>
      </c>
      <c r="P25" s="703" t="str">
        <f t="array" ref="P25">IF($S25="","",IF($S25="Lớp 5",INDEX('Lớp 5 - Phân công'!$AC$14:$AC$262,$T25),IF($S25="Lớp 4",INDEX('Lớp 4 - Danh mục'!$AB$14:$AB$132,$T25),INDEX('Lớp 3 - Công việc chính'!$Y$14:$Y$73,$T25))))</f>
        <v>P2</v>
      </c>
      <c r="Q25" s="697">
        <f t="array" ref="Q25">IF($S25="","",IF($S25="Lớp 5",INDEX('Lớp 5 - Phân công'!$AG$14:$AG$262,$T25),IF($S25="Lớp 4",INDEX('Lớp 4 - Danh mục'!$AF$14:$AF$132,$T25),INDEX('Lớp 3 - Công việc chính'!$AC$14:$AC$73,$T25))))</f>
        <v>0</v>
      </c>
      <c r="R25" s="698" t="str">
        <f t="array" ref="R25">IF($S25="","",IF($S25="Lớp 5",INDEX('Lớp 5 - Phân công'!$X$14:$X$262,$T25),IF($S25="Lớp 4",INDEX('Lớp 4 - Danh mục'!$V$14:$V$132,$T25),INDEX('Lớp 3 - Công việc chính'!$T$14:$T$73,$T25))))</f>
        <v>Biên bản phản biện công thức B2B và danh mục điều chỉnh được thống nhất.</v>
      </c>
      <c r="S25" s="699" t="str">
        <f>IF(ROWS($S$14:S25)&lt;=COUNTIF('Lớp 5 - Phân công'!$I$14:$I$262,"&lt;&gt;"),"Lớp 5",IF(ROWS($S$14:S25)&lt;=COUNTIF('Lớp 5 - Phân công'!$I$14:$I$262,"&lt;&gt;")+SUMPRODUCT(--('Lớp 4 - Danh mục'!$I$14:$I$132&lt;&gt;""),--(COUNTIF('Lớp 5 - Phân công'!$J$14:$J$262,'Lớp 4 - Danh mục'!$I$14:$I$132)=0)),"Lớp 4",IF(ROWS($S$14:S25)&lt;=COUNTIF('Lớp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5" s="699">
        <f t="array" ref="T25">IF(S25="","",IF(S25="Lớp 5",IF(S24&lt;&gt;"Lớp 5",MATCH("*",'Lớp 5 - Phân công'!$I$14:$I$262,0),T24+MATCH("*",INDEX('Lớp 5 - Phân công'!$I$14:$I$262,T24+1):'Lớp 5 - Phân công'!$I$262,0)),IF(S25="Lớp 4",IF(S24&lt;&gt;"Lớp 4",MATCH(1,INDEX(('Lớp 4 - Danh mục'!$I$14:$I$132&lt;&gt;"")*(COUNTIF('Lớp 5 - Phân công'!$J$14:$J$262,'Lớp 4 - Danh mục'!$I$14:$I$132)=0),0),0),T24+MATCH(1,INDEX((INDEX('Lớp 4 - Danh mục'!$I$14:$I$132,T24+1):'Lớp 4 - Danh mục'!$I$132&lt;&gt;"")*(COUNTIF('Lớp 5 - Phân công'!$J$14:$J$262,INDEX('Lớp 4 - Danh mục'!$I$14:$I$132,T24+1):'Lớp 4 - Danh mục'!$I$132)=0),0),0)),IF(S24&lt;&gt;"Lớp 3",MATCH(1,INDEX(('Lớp 3 - Công việc chính'!$I$14:$I$73&lt;&gt;"")*(COUNTIF('Lớp 4 - Danh mục'!$J$14:$J$132,'Lớp 3 - Công việc chính'!$I$14:$I$73)=0),0),0),T24+MATCH(1,INDEX((INDEX('Lớp 3 - Công việc chính'!$I$14:$I$73,T24+1):'Lớp 3 - Công việc chính'!$I$73&lt;&gt;"")*(COUNTIF('Lớp 4 - Danh mục'!$J$14:$J$132,INDEX('Lớp 3 - Công việc chính'!$I$14:$I$73,T24+1):'Lớp 3 - Công việc chính'!$I$73)=0),0),0)))))</f>
        <v>12</v>
      </c>
      <c r="U25" s="677"/>
      <c r="V25" s="678" t="str">
        <f>IF(U25="","",SUMIFS('Lớp 3 - Công việc chính'!$AF$14:$AF$73,'Lớp 3 - Công việc chính'!$V$14:$V$73,U25,'Lớp 3 - Công việc chính'!$Z$14:$Z$73,"&lt;="&amp;TODAY(),'Lớp 3 - Công việc chính'!$AA$14:$AA$73,"&gt;="&amp;TODAY())+SUMIFS('Lớp 4 - Danh mục'!$AI$14:$AI$132,'Lớp 4 - Danh mục'!$Z$14:$Z$132,U25,'Lớp 4 - Danh mục'!$AC$14:$AC$132,"&lt;="&amp;TODAY(),'Lớp 4 - Danh mục'!$AD$14:$AD$132,"&gt;="&amp;TODAY())+SUMIFS('Lớp 5 - Phân công'!$AJ$14:$AJ$262,'Lớp 5 - Phân công'!$AA$14:$AA$262,U25,'Lớp 5 - Phân công'!$AD$14:$AD$262,"&lt;="&amp;TODAY(),'Lớp 5 - Phân công'!$AE$14:$AE$262,"&gt;="&amp;TODAY())+SUMIFS('Lớp 6 - Chi tiết'!$AM$14:$AM$267,'Lớp 6 - Chi tiết'!$AC$14:$AC$267,U25,'Lớp 6 - Chi tiết'!$AG$14:$AG$267,"&lt;="&amp;TODAY(),'Lớp 6 - Chi tiết'!$AH$14:$AH$267,"&gt;="&amp;TODAY()))</f>
        <v/>
      </c>
      <c r="W25" s="679" t="str">
        <f>IF(V25="","",V25/'Danh mục chọn'!$J$2)</f>
        <v/>
      </c>
      <c r="X25" s="680" t="str">
        <f>IF(V25="","",IF(V25=0,"Chưa có tải tính được",IF(V25&gt;'Danh mục chọn'!$J$2,"Quá tải",IF(V25&gt;='Danh mục chọn'!$J$2*'Danh mục chọn'!$J$3,"Cận tải","Bình thường"))))</f>
        <v/>
      </c>
      <c r="Y25" s="678" t="str">
        <f>IF(U25="","",SUMPRODUCT(('Lớp 3 - Công việc chính'!$V$14:$V$73=U25)*('Lớp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mục'!$Z$14:$Z$132=U25)*('Lớp 4 - Danh mục'!$AD$14:$AD$132&lt;TODAY())*('Lớp 4 - Danh mục'!$AA$14:$AA$132&lt;&gt;"Hoàn thành")*('Lớp 4 - Danh mục'!$AA$14:$AA$132&lt;&gt;"Hủy")*('Lớp 4 - Danh mục'!$AI$14:$AI$132&lt;&gt;"")*IFERROR('Lớp 4 - Danh mục'!$AH$14:$AH$132*(1-'Lớp 4 - Danh mục'!$AF$14:$AF$132),0))+SUMPRODUCT(('Lớp 5 - Phân công'!$AA$14:$AA$262=U25)*('Lớp 5 - Phân công'!$AE$14:$AE$262&lt;TODAY())*('Lớp 5 - Phân công'!$AB$14:$AB$262&lt;&gt;"Hoàn thành")*('Lớp 5 - Phân công'!$AB$14:$AB$262&lt;&gt;"Hủy")*('Lớp 5 - Phân công'!$AJ$14:$AJ$262&lt;&gt;"")*IFERROR('Lớp 5 - Phân công'!$AI$14:$AI$262*(1-'Lớp 5 - Phân công'!$AG$14:$AG$262),0))+SUMPRODUCT(('Lớp 6 - Chi tiết'!$AC$14:$AC$267=U25)*('Lớp 6 - Chi tiết'!$AH$14:$AH$267&lt;TODAY())*('Lớp 6 - Chi tiết'!$AE$14:$AE$267&lt;&gt;"Hoàn thành")*('Lớp 6 - Chi tiết'!$AE$14:$AE$267&lt;&gt;"Hủy")*('Lớp 6 - Chi tiết'!$AM$14:$AM$267&lt;&gt;"")*IFERROR('Lớp 6 - Chi tiết'!$AL$14:$AL$267*(1-'Lớp 6 - Chi tiết'!$AJ$14:$AJ$267),0)))</f>
        <v/>
      </c>
      <c r="Z25" s="700" t="str">
        <f t="array" ref="Z25">IF($S25="","",IF($S25="Lớp 5",INDEX('Lớp 5 - Phân công'!$AS$14:$AS$262,$T25),IF($S25="Lớp 4",INDEX('Lớp 4 - Danh mục'!$AR$14:$AR$132,$T25),INDEX('Lớp 3 - Công việc chính'!$AO$14:$AO$73,$T25))))</f>
        <v>Tuần</v>
      </c>
      <c r="AA25" s="701">
        <f t="array" ref="AA25">IF($S25="","",IF($S25="Lớp 5",INDEX('Lớp 5 - Phân công'!$AT$14:$AT$262,$T25),IF($S25="Lớp 4",INDEX('Lớp 4 - Danh mục'!$AS$14:$AS$132,$T25),INDEX('Lớp 3 - Công việc chính'!$AP$14:$AP$73,$T25))))</f>
        <v>4</v>
      </c>
      <c r="AB25" s="701">
        <f t="array" ref="AB25">IF($S25="","",IF($S25="Lớp 5",INDEX('Lớp 5 - Phân công'!$AJ$14:$AJ$262,$T25),IF($S25="Lớp 4",INDEX('Lớp 4 - Danh mục'!$AI$14:$AI$132,$T25),INDEX('Lớp 3 - Công việc chính'!$AF$14:$AF$73,$T25))))</f>
        <v>0.8</v>
      </c>
      <c r="AC25" s="702" t="str">
        <f t="array" ref="AC25">IF($S25="","",IF($S25="Lớp 5",INDEX('Lớp 5 - Phân công'!$AV$14:$AV$262,$T25),IF($S25="Lớp 4",INDEX('Lớp 4 - Danh mục'!$AU$14:$AU$132,$T25),INDEX('Lớp 3 - Công việc chính'!$AR$14:$AR$73,$T25))))</f>
        <v>Thiếu 0.4 giờ/tuần</v>
      </c>
    </row>
    <row r="26" ht="15.75" customHeight="1">
      <c r="A26" s="690" t="str">
        <f t="shared" si="1"/>
        <v>Lớp 5</v>
      </c>
      <c r="B26" s="690" t="str">
        <f t="array" ref="B26">IF($S26="","",IF($S26="Lớp 5",INDEX('Lớp 5 - Phân công'!$I$14:$I$262,$T26),IF($S26="Lớp 4",INDEX('Lớp 4 - Danh mục'!$I$14:$I$132,$T26),INDEX('Lớp 3 - Công việc chính'!$I$14:$I$73,$T26))))</f>
        <v>HHL5DL03-03</v>
      </c>
      <c r="C26" s="690" t="str">
        <f t="array" ref="C26">IF($S26="","",IF($S26="Lớp 5",INDEX('Lớp 5 - Phân công'!$K$14:$K$262,$T26),IF($S26="Lớp 4",INDEX('Lớp 4 - Danh mục'!$J$14:$J$132,$T26),INDEX('Lớp 3 - Công việc chính'!$I$14:$I$73,$T26))))</f>
        <v>HHL3CT03</v>
      </c>
      <c r="D26" s="690" t="str">
        <f t="array" ref="D26">IF($S26="","",IF($S26="Lớp 5",INDEX('Lớp 5 - Phân công'!$J$14:$J$262,$T26),IF($S26="Lớp 4",INDEX('Lớp 4 - Danh mục'!$I$14:$I$132,$T26),"")))</f>
        <v>HHL4DL03</v>
      </c>
      <c r="E26" s="690">
        <f t="array" ref="E26">IF($S26="","",IF($S26="Lớp 5",INDEX('Lớp 5 - Phân công'!$L$14:$L$262,$T26),IF($S26="Lớp 4",INDEX('Lớp 4 - Danh mục'!$K$14:$K$132,$T26),INDEX('Lớp 3 - Công việc chính'!$J$14:$J$73,$T26))))</f>
        <v>2026</v>
      </c>
      <c r="F26" s="690" t="str">
        <f t="array" ref="F26">IF($S26="","",IF($S26="Lớp 5",INDEX('Lớp 5 - Phân công'!$M$14:$M$262,$T26),IF($S26="Lớp 4",INDEX('Lớp 4 - Danh mục'!$L$14:$L$132,$T26),INDEX('Lớp 3 - Công việc chính'!$K$14:$K$73,$T26))))</f>
        <v>Cấp công ty</v>
      </c>
      <c r="G26" s="691" t="str">
        <f t="array" ref="G26">IF($S26="","",IF($S26="Lớp 5",INDEX('Lớp 5 - Phân công'!$N$14:$N$262,$T26),IF($S26="Lớp 4",INDEX('Lớp 4 - Danh mục'!$M$14:$M$132,$T26),INDEX('Lớp 3 - Công việc chính'!$L$14:$L$73,$T26))))</f>
        <v>Chiến lược/sống còn</v>
      </c>
      <c r="H26" s="692" t="str">
        <f t="array" ref="H26">IF($S26="","",IF($S26="Lớp 5",INDEX('Lớp 5 - Phân công'!$O$14:$O$262,$T26),IF($S26="Lớp 4",INDEX('Lớp 4 - Danh mục'!$N$14:$N$132,$T26),INDEX('Lớp 3 - Công việc chính'!$M$14:$M$73,$T26))))</f>
        <v>KHKD 2027&amp; HT lập KH theo tham số KD (bán tự động)</v>
      </c>
      <c r="I26" s="692" t="str">
        <f t="array" ref="I26">IF($S26="","",IF($S26="Lớp 5",INDEX('Lớp 5 - Phân công'!$P$14:$P$262,$T26),IF($S26="Lớp 4",INDEX('Lớp 4 - Danh mục'!$O$14:$O$132,$T26),"")))</f>
        <v>Xây dựng công thức &amp; tạo HT tham số cho KH B2B</v>
      </c>
      <c r="J26" s="693" t="str">
        <f t="array" ref="J26">IF($S26="","",IF($S26="Lớp 5",INDEX('Lớp 5 - Phân công'!$Q$14:$Q$262,$T26),""))</f>
        <v>XD bảng Excel &amp; HT phần mềm (chạy demo) B2B</v>
      </c>
      <c r="K26" s="690" t="str">
        <f t="array" ref="K26">IF($S26="","",IF($S26="Lớp 5",INDEX('Lớp 5 - Phân công'!$AA$14:$AA$262,$T26),IF($S26="Lớp 4",INDEX('Lớp 4 - Danh mục'!$Y$14:$Y$132,$T26),INDEX('Lớp 3 - Công việc chính'!$U$14:$U$73,$T26))))</f>
        <v>Em Đại</v>
      </c>
      <c r="L26" s="691" t="str">
        <f t="array" ref="L26">IF($S26="","",IF($S26="Lớp 5",INDEX('Lớp 5 - Phân công'!$Z$14:$Z$262,$T26),IF($S26="Lớp 4",INDEX('Lớp 4 - Danh mục'!$X$14:$X$132,$T26),INDEX('Lớp 3 - Công việc chính'!$W$14:$W$73,$T26))))</f>
        <v>Dữ liệu điều hành</v>
      </c>
      <c r="M26" s="694">
        <f t="array" ref="M26">IF($S26="","",IF($S26="Lớp 5",INDEX('Lớp 5 - Phân công'!$AD$14:$AD$262,$T26),IF($S26="Lớp 4",INDEX('Lớp 4 - Danh mục'!$AC$14:$AC$132,$T26),INDEX('Lớp 3 - Công việc chính'!$Z$14:$Z$73,$T26))))</f>
        <v>46301</v>
      </c>
      <c r="N26" s="695">
        <f t="array" ref="N26">IF($S26="","",IF($S26="Lớp 5",INDEX('Lớp 5 - Phân công'!$AE$14:$AE$262,$T26),IF($S26="Lớp 4",INDEX('Lớp 4 - Danh mục'!$AD$14:$AD$132,$T26),INDEX('Lớp 3 - Công việc chính'!$AA$14:$AA$73,$T26))))</f>
        <v>46305</v>
      </c>
      <c r="O26" s="690" t="str">
        <f t="array" ref="O26">IF($S26="","",IF($S26="Lớp 5",INDEX('Lớp 5 - Phân công'!$AB$14:$AB$262,$T26),IF($S26="Lớp 4",INDEX('Lớp 4 - Danh mục'!$AA$14:$AA$132,$T26),INDEX('Lớp 3 - Công việc chính'!$X$14:$X$73,$T26))))</f>
        <v>Chưa bắt đầu</v>
      </c>
      <c r="P26" s="703" t="str">
        <f t="array" ref="P26">IF($S26="","",IF($S26="Lớp 5",INDEX('Lớp 5 - Phân công'!$AC$14:$AC$262,$T26),IF($S26="Lớp 4",INDEX('Lớp 4 - Danh mục'!$AB$14:$AB$132,$T26),INDEX('Lớp 3 - Công việc chính'!$Y$14:$Y$73,$T26))))</f>
        <v>P2</v>
      </c>
      <c r="Q26" s="697">
        <f t="array" ref="Q26">IF($S26="","",IF($S26="Lớp 5",INDEX('Lớp 5 - Phân công'!$AG$14:$AG$262,$T26),IF($S26="Lớp 4",INDEX('Lớp 4 - Danh mục'!$AF$14:$AF$132,$T26),INDEX('Lớp 3 - Công việc chính'!$AC$14:$AC$73,$T26))))</f>
        <v>0</v>
      </c>
      <c r="R26" s="698" t="str">
        <f t="array" ref="R26">IF($S26="","",IF($S26="Lớp 5",INDEX('Lớp 5 - Phân công'!$X$14:$X$262,$T26),IF($S26="Lớp 4",INDEX('Lớp 4 - Danh mục'!$V$14:$V$132,$T26),INDEX('Lớp 3 - Công việc chính'!$T$14:$T$73,$T26))))</f>
        <v>File Excel và bản demo hệ thống kế hoạch B2B vận hành đúng công thức.</v>
      </c>
      <c r="S26" s="699" t="str">
        <f>IF(ROWS($S$14:S26)&lt;=COUNTIF('Lớp 5 - Phân công'!$I$14:$I$262,"&lt;&gt;"),"Lớp 5",IF(ROWS($S$14:S26)&lt;=COUNTIF('Lớp 5 - Phân công'!$I$14:$I$262,"&lt;&gt;")+SUMPRODUCT(--('Lớp 4 - Danh mục'!$I$14:$I$132&lt;&gt;""),--(COUNTIF('Lớp 5 - Phân công'!$J$14:$J$262,'Lớp 4 - Danh mục'!$I$14:$I$132)=0)),"Lớp 4",IF(ROWS($S$14:S26)&lt;=COUNTIF('Lớp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6" s="699">
        <f t="array" ref="T26">IF(S26="","",IF(S26="Lớp 5",IF(S25&lt;&gt;"Lớp 5",MATCH("*",'Lớp 5 - Phân công'!$I$14:$I$262,0),T25+MATCH("*",INDEX('Lớp 5 - Phân công'!$I$14:$I$262,T25+1):'Lớp 5 - Phân công'!$I$262,0)),IF(S26="Lớp 4",IF(S25&lt;&gt;"Lớp 4",MATCH(1,INDEX(('Lớp 4 - Danh mục'!$I$14:$I$132&lt;&gt;"")*(COUNTIF('Lớp 5 - Phân công'!$J$14:$J$262,'Lớp 4 - Danh mục'!$I$14:$I$132)=0),0),0),T25+MATCH(1,INDEX((INDEX('Lớp 4 - Danh mục'!$I$14:$I$132,T25+1):'Lớp 4 - Danh mục'!$I$132&lt;&gt;"")*(COUNTIF('Lớp 5 - Phân công'!$J$14:$J$262,INDEX('Lớp 4 - Danh mục'!$I$14:$I$132,T25+1):'Lớp 4 - Danh mục'!$I$132)=0),0),0)),IF(S25&lt;&gt;"Lớp 3",MATCH(1,INDEX(('Lớp 3 - Công việc chính'!$I$14:$I$73&lt;&gt;"")*(COUNTIF('Lớp 4 - Danh mục'!$J$14:$J$132,'Lớp 3 - Công việc chính'!$I$14:$I$73)=0),0),0),T25+MATCH(1,INDEX((INDEX('Lớp 3 - Công việc chính'!$I$14:$I$73,T25+1):'Lớp 3 - Công việc chính'!$I$73&lt;&gt;"")*(COUNTIF('Lớp 4 - Danh mục'!$J$14:$J$132,INDEX('Lớp 3 - Công việc chính'!$I$14:$I$73,T25+1):'Lớp 3 - Công việc chính'!$I$73)=0),0),0)))))</f>
        <v>13</v>
      </c>
      <c r="U26" s="677"/>
      <c r="V26" s="678" t="str">
        <f>IF(U26="","",SUMIFS('Lớp 3 - Công việc chính'!$AF$14:$AF$73,'Lớp 3 - Công việc chính'!$V$14:$V$73,U26,'Lớp 3 - Công việc chính'!$Z$14:$Z$73,"&lt;="&amp;TODAY(),'Lớp 3 - Công việc chính'!$AA$14:$AA$73,"&gt;="&amp;TODAY())+SUMIFS('Lớp 4 - Danh mục'!$AI$14:$AI$132,'Lớp 4 - Danh mục'!$Z$14:$Z$132,U26,'Lớp 4 - Danh mục'!$AC$14:$AC$132,"&lt;="&amp;TODAY(),'Lớp 4 - Danh mục'!$AD$14:$AD$132,"&gt;="&amp;TODAY())+SUMIFS('Lớp 5 - Phân công'!$AJ$14:$AJ$262,'Lớp 5 - Phân công'!$AA$14:$AA$262,U26,'Lớp 5 - Phân công'!$AD$14:$AD$262,"&lt;="&amp;TODAY(),'Lớp 5 - Phân công'!$AE$14:$AE$262,"&gt;="&amp;TODAY())+SUMIFS('Lớp 6 - Chi tiết'!$AM$14:$AM$267,'Lớp 6 - Chi tiết'!$AC$14:$AC$267,U26,'Lớp 6 - Chi tiết'!$AG$14:$AG$267,"&lt;="&amp;TODAY(),'Lớp 6 - Chi tiết'!$AH$14:$AH$267,"&gt;="&amp;TODAY()))</f>
        <v/>
      </c>
      <c r="W26" s="679" t="str">
        <f>IF(V26="","",V26/'Danh mục chọn'!$J$2)</f>
        <v/>
      </c>
      <c r="X26" s="680" t="str">
        <f>IF(V26="","",IF(V26=0,"Chưa có tải tính được",IF(V26&gt;'Danh mục chọn'!$J$2,"Quá tải",IF(V26&gt;='Danh mục chọn'!$J$2*'Danh mục chọn'!$J$3,"Cận tải","Bình thường"))))</f>
        <v/>
      </c>
      <c r="Y26" s="678" t="str">
        <f>IF(U26="","",SUMPRODUCT(('Lớp 3 - Công việc chính'!$V$14:$V$73=U26)*('Lớp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mục'!$Z$14:$Z$132=U26)*('Lớp 4 - Danh mục'!$AD$14:$AD$132&lt;TODAY())*('Lớp 4 - Danh mục'!$AA$14:$AA$132&lt;&gt;"Hoàn thành")*('Lớp 4 - Danh mục'!$AA$14:$AA$132&lt;&gt;"Hủy")*('Lớp 4 - Danh mục'!$AI$14:$AI$132&lt;&gt;"")*IFERROR('Lớp 4 - Danh mục'!$AH$14:$AH$132*(1-'Lớp 4 - Danh mục'!$AF$14:$AF$132),0))+SUMPRODUCT(('Lớp 5 - Phân công'!$AA$14:$AA$262=U26)*('Lớp 5 - Phân công'!$AE$14:$AE$262&lt;TODAY())*('Lớp 5 - Phân công'!$AB$14:$AB$262&lt;&gt;"Hoàn thành")*('Lớp 5 - Phân công'!$AB$14:$AB$262&lt;&gt;"Hủy")*('Lớp 5 - Phân công'!$AJ$14:$AJ$262&lt;&gt;"")*IFERROR('Lớp 5 - Phân công'!$AI$14:$AI$262*(1-'Lớp 5 - Phân công'!$AG$14:$AG$262),0))+SUMPRODUCT(('Lớp 6 - Chi tiết'!$AC$14:$AC$267=U26)*('Lớp 6 - Chi tiết'!$AH$14:$AH$267&lt;TODAY())*('Lớp 6 - Chi tiết'!$AE$14:$AE$267&lt;&gt;"Hoàn thành")*('Lớp 6 - Chi tiết'!$AE$14:$AE$267&lt;&gt;"Hủy")*('Lớp 6 - Chi tiết'!$AM$14:$AM$267&lt;&gt;"")*IFERROR('Lớp 6 - Chi tiết'!$AL$14:$AL$267*(1-'Lớp 6 - Chi tiết'!$AJ$14:$AJ$267),0)))</f>
        <v/>
      </c>
      <c r="Z26" s="700" t="str">
        <f t="array" ref="Z26">IF($S26="","",IF($S26="Lớp 5",INDEX('Lớp 5 - Phân công'!$AS$14:$AS$262,$T26),IF($S26="Lớp 4",INDEX('Lớp 4 - Danh mục'!$AR$14:$AR$132,$T26),INDEX('Lớp 3 - Công việc chính'!$AO$14:$AO$73,$T26))))</f>
        <v>Tuần</v>
      </c>
      <c r="AA26" s="701">
        <f t="array" ref="AA26">IF($S26="","",IF($S26="Lớp 5",INDEX('Lớp 5 - Phân công'!$AT$14:$AT$262,$T26),IF($S26="Lớp 4",INDEX('Lớp 4 - Danh mục'!$AS$14:$AS$132,$T26),INDEX('Lớp 3 - Công việc chính'!$AP$14:$AP$73,$T26))))</f>
        <v>4</v>
      </c>
      <c r="AB26" s="701">
        <f t="array" ref="AB26">IF($S26="","",IF($S26="Lớp 5",INDEX('Lớp 5 - Phân công'!$AJ$14:$AJ$262,$T26),IF($S26="Lớp 4",INDEX('Lớp 4 - Danh mục'!$AI$14:$AI$132,$T26),INDEX('Lớp 3 - Công việc chính'!$AF$14:$AF$73,$T26))))</f>
        <v>0.8</v>
      </c>
      <c r="AC26" s="702" t="str">
        <f t="array" ref="AC26">IF($S26="","",IF($S26="Lớp 5",INDEX('Lớp 5 - Phân công'!$AV$14:$AV$262,$T26),IF($S26="Lớp 4",INDEX('Lớp 4 - Danh mục'!$AU$14:$AU$132,$T26),INDEX('Lớp 3 - Công việc chính'!$AR$14:$AR$73,$T26))))</f>
        <v>Thiếu 20.0 giờ/tuần</v>
      </c>
    </row>
    <row r="27" ht="15.75" customHeight="1">
      <c r="A27" s="690" t="str">
        <f t="shared" si="1"/>
        <v>Lớp 5</v>
      </c>
      <c r="B27" s="690" t="str">
        <f t="array" ref="B27">IF($S27="","",IF($S27="Lớp 5",INDEX('Lớp 5 - Phân công'!$I$14:$I$262,$T27),IF($S27="Lớp 4",INDEX('Lớp 4 - Danh mục'!$I$14:$I$132,$T27),INDEX('Lớp 3 - Công việc chính'!$I$14:$I$73,$T27))))</f>
        <v>HHL5DL03-04</v>
      </c>
      <c r="C27" s="690" t="str">
        <f t="array" ref="C27">IF($S27="","",IF($S27="Lớp 5",INDEX('Lớp 5 - Phân công'!$K$14:$K$262,$T27),IF($S27="Lớp 4",INDEX('Lớp 4 - Danh mục'!$J$14:$J$132,$T27),INDEX('Lớp 3 - Công việc chính'!$I$14:$I$73,$T27))))</f>
        <v>HHL3CT03</v>
      </c>
      <c r="D27" s="690" t="str">
        <f t="array" ref="D27">IF($S27="","",IF($S27="Lớp 5",INDEX('Lớp 5 - Phân công'!$J$14:$J$262,$T27),IF($S27="Lớp 4",INDEX('Lớp 4 - Danh mục'!$I$14:$I$132,$T27),"")))</f>
        <v>HHL4DL03</v>
      </c>
      <c r="E27" s="690">
        <f t="array" ref="E27">IF($S27="","",IF($S27="Lớp 5",INDEX('Lớp 5 - Phân công'!$L$14:$L$262,$T27),IF($S27="Lớp 4",INDEX('Lớp 4 - Danh mục'!$K$14:$K$132,$T27),INDEX('Lớp 3 - Công việc chính'!$J$14:$J$73,$T27))))</f>
        <v>2026</v>
      </c>
      <c r="F27" s="690" t="str">
        <f t="array" ref="F27">IF($S27="","",IF($S27="Lớp 5",INDEX('Lớp 5 - Phân công'!$M$14:$M$262,$T27),IF($S27="Lớp 4",INDEX('Lớp 4 - Danh mục'!$L$14:$L$132,$T27),INDEX('Lớp 3 - Công việc chính'!$K$14:$K$73,$T27))))</f>
        <v>Cấp công ty</v>
      </c>
      <c r="G27" s="691" t="str">
        <f t="array" ref="G27">IF($S27="","",IF($S27="Lớp 5",INDEX('Lớp 5 - Phân công'!$N$14:$N$262,$T27),IF($S27="Lớp 4",INDEX('Lớp 4 - Danh mục'!$M$14:$M$132,$T27),INDEX('Lớp 3 - Công việc chính'!$L$14:$L$73,$T27))))</f>
        <v>Chiến lược/sống còn</v>
      </c>
      <c r="H27" s="692" t="str">
        <f t="array" ref="H27">IF($S27="","",IF($S27="Lớp 5",INDEX('Lớp 5 - Phân công'!$O$14:$O$262,$T27),IF($S27="Lớp 4",INDEX('Lớp 4 - Danh mục'!$N$14:$N$132,$T27),INDEX('Lớp 3 - Công việc chính'!$M$14:$M$73,$T27))))</f>
        <v>KHKD 2027&amp; HT lập KH theo tham số KD (bán tự động)</v>
      </c>
      <c r="I27" s="692" t="str">
        <f t="array" ref="I27">IF($S27="","",IF($S27="Lớp 5",INDEX('Lớp 5 - Phân công'!$P$14:$P$262,$T27),IF($S27="Lớp 4",INDEX('Lớp 4 - Danh mục'!$O$14:$O$132,$T27),"")))</f>
        <v>Xây dựng công thức &amp; tạo HT tham số cho KH B2B</v>
      </c>
      <c r="J27" s="693" t="str">
        <f t="array" ref="J27">IF($S27="","",IF($S27="Lớp 5",INDEX('Lớp 5 - Phân công'!$Q$14:$Q$262,$T27),""))</f>
        <v>Chạy tham số Topdown B2B</v>
      </c>
      <c r="K27" s="690" t="str">
        <f t="array" ref="K27">IF($S27="","",IF($S27="Lớp 5",INDEX('Lớp 5 - Phân công'!$AA$14:$AA$262,$T27),IF($S27="Lớp 4",INDEX('Lớp 4 - Danh mục'!$Y$14:$Y$132,$T27),INDEX('Lớp 3 - Công việc chính'!$U$14:$U$73,$T27))))</f>
        <v>Em Đại</v>
      </c>
      <c r="L27" s="691" t="str">
        <f t="array" ref="L27">IF($S27="","",IF($S27="Lớp 5",INDEX('Lớp 5 - Phân công'!$Z$14:$Z$262,$T27),IF($S27="Lớp 4",INDEX('Lớp 4 - Danh mục'!$X$14:$X$132,$T27),INDEX('Lớp 3 - Công việc chính'!$W$14:$W$73,$T27))))</f>
        <v>Dữ liệu điều hành</v>
      </c>
      <c r="M27" s="694">
        <f t="array" ref="M27">IF($S27="","",IF($S27="Lớp 5",INDEX('Lớp 5 - Phân công'!$AD$14:$AD$262,$T27),IF($S27="Lớp 4",INDEX('Lớp 4 - Danh mục'!$AC$14:$AC$132,$T27),INDEX('Lớp 3 - Công việc chính'!$Z$14:$Z$73,$T27))))</f>
        <v>46306</v>
      </c>
      <c r="N27" s="695">
        <f t="array" ref="N27">IF($S27="","",IF($S27="Lớp 5",INDEX('Lớp 5 - Phân công'!$AE$14:$AE$262,$T27),IF($S27="Lớp 4",INDEX('Lớp 4 - Danh mục'!$AD$14:$AD$132,$T27),INDEX('Lớp 3 - Công việc chính'!$AA$14:$AA$73,$T27))))</f>
        <v>46307</v>
      </c>
      <c r="O27" s="690" t="str">
        <f t="array" ref="O27">IF($S27="","",IF($S27="Lớp 5",INDEX('Lớp 5 - Phân công'!$AB$14:$AB$262,$T27),IF($S27="Lớp 4",INDEX('Lớp 4 - Danh mục'!$AA$14:$AA$132,$T27),INDEX('Lớp 3 - Công việc chính'!$X$14:$X$73,$T27))))</f>
        <v>Đã lên lịch</v>
      </c>
      <c r="P27" s="703" t="str">
        <f t="array" ref="P27">IF($S27="","",IF($S27="Lớp 5",INDEX('Lớp 5 - Phân công'!$AC$14:$AC$262,$T27),IF($S27="Lớp 4",INDEX('Lớp 4 - Danh mục'!$AB$14:$AB$132,$T27),INDEX('Lớp 3 - Công việc chính'!$Y$14:$Y$73,$T27))))</f>
        <v>P2</v>
      </c>
      <c r="Q27" s="697" t="str">
        <f t="array" ref="Q27">IF($S27="","",IF($S27="Lớp 5",INDEX('Lớp 5 - Phân công'!$AG$14:$AG$262,$T27),IF($S27="Lớp 4",INDEX('Lớp 4 - Danh mục'!$AF$14:$AF$132,$T27),INDEX('Lớp 3 - Công việc chính'!$AC$14:$AC$73,$T27))))</f>
        <v/>
      </c>
      <c r="R27" s="698" t="str">
        <f t="array" ref="R27">IF($S27="","",IF($S27="Lớp 5",INDEX('Lớp 5 - Phân công'!$X$14:$X$262,$T27),IF($S27="Lớp 4",INDEX('Lớp 4 - Danh mục'!$V$14:$V$132,$T27),INDEX('Lớp 3 - Công việc chính'!$T$14:$T$73,$T27))))</f>
        <v>Bộ kết quả tham số Top-down kế hoạch B2B được kiểm tra và xác nhận.</v>
      </c>
      <c r="S27" s="699" t="str">
        <f>IF(ROWS($S$14:S27)&lt;=COUNTIF('Lớp 5 - Phân công'!$I$14:$I$262,"&lt;&gt;"),"Lớp 5",IF(ROWS($S$14:S27)&lt;=COUNTIF('Lớp 5 - Phân công'!$I$14:$I$262,"&lt;&gt;")+SUMPRODUCT(--('Lớp 4 - Danh mục'!$I$14:$I$132&lt;&gt;""),--(COUNTIF('Lớp 5 - Phân công'!$J$14:$J$262,'Lớp 4 - Danh mục'!$I$14:$I$132)=0)),"Lớp 4",IF(ROWS($S$14:S27)&lt;=COUNTIF('Lớp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7" s="699">
        <f t="array" ref="T27">IF(S27="","",IF(S27="Lớp 5",IF(S26&lt;&gt;"Lớp 5",MATCH("*",'Lớp 5 - Phân công'!$I$14:$I$262,0),T26+MATCH("*",INDEX('Lớp 5 - Phân công'!$I$14:$I$262,T26+1):'Lớp 5 - Phân công'!$I$262,0)),IF(S27="Lớp 4",IF(S26&lt;&gt;"Lớp 4",MATCH(1,INDEX(('Lớp 4 - Danh mục'!$I$14:$I$132&lt;&gt;"")*(COUNTIF('Lớp 5 - Phân công'!$J$14:$J$262,'Lớp 4 - Danh mục'!$I$14:$I$132)=0),0),0),T26+MATCH(1,INDEX((INDEX('Lớp 4 - Danh mục'!$I$14:$I$132,T26+1):'Lớp 4 - Danh mục'!$I$132&lt;&gt;"")*(COUNTIF('Lớp 5 - Phân công'!$J$14:$J$262,INDEX('Lớp 4 - Danh mục'!$I$14:$I$132,T26+1):'Lớp 4 - Danh mục'!$I$132)=0),0),0)),IF(S26&lt;&gt;"Lớp 3",MATCH(1,INDEX(('Lớp 3 - Công việc chính'!$I$14:$I$73&lt;&gt;"")*(COUNTIF('Lớp 4 - Danh mục'!$J$14:$J$132,'Lớp 3 - Công việc chính'!$I$14:$I$73)=0),0),0),T26+MATCH(1,INDEX((INDEX('Lớp 3 - Công việc chính'!$I$14:$I$73,T26+1):'Lớp 3 - Công việc chính'!$I$73&lt;&gt;"")*(COUNTIF('Lớp 4 - Danh mục'!$J$14:$J$132,INDEX('Lớp 3 - Công việc chính'!$I$14:$I$73,T26+1):'Lớp 3 - Công việc chính'!$I$73)=0),0),0)))))</f>
        <v>14</v>
      </c>
      <c r="U27" s="677"/>
      <c r="V27" s="678" t="str">
        <f>IF(U27="","",SUMIFS('Lớp 3 - Công việc chính'!$AF$14:$AF$73,'Lớp 3 - Công việc chính'!$V$14:$V$73,U27,'Lớp 3 - Công việc chính'!$Z$14:$Z$73,"&lt;="&amp;TODAY(),'Lớp 3 - Công việc chính'!$AA$14:$AA$73,"&gt;="&amp;TODAY())+SUMIFS('Lớp 4 - Danh mục'!$AI$14:$AI$132,'Lớp 4 - Danh mục'!$Z$14:$Z$132,U27,'Lớp 4 - Danh mục'!$AC$14:$AC$132,"&lt;="&amp;TODAY(),'Lớp 4 - Danh mục'!$AD$14:$AD$132,"&gt;="&amp;TODAY())+SUMIFS('Lớp 5 - Phân công'!$AJ$14:$AJ$262,'Lớp 5 - Phân công'!$AA$14:$AA$262,U27,'Lớp 5 - Phân công'!$AD$14:$AD$262,"&lt;="&amp;TODAY(),'Lớp 5 - Phân công'!$AE$14:$AE$262,"&gt;="&amp;TODAY())+SUMIFS('Lớp 6 - Chi tiết'!$AM$14:$AM$267,'Lớp 6 - Chi tiết'!$AC$14:$AC$267,U27,'Lớp 6 - Chi tiết'!$AG$14:$AG$267,"&lt;="&amp;TODAY(),'Lớp 6 - Chi tiết'!$AH$14:$AH$267,"&gt;="&amp;TODAY()))</f>
        <v/>
      </c>
      <c r="W27" s="679" t="str">
        <f>IF(V27="","",V27/'Danh mục chọn'!$J$2)</f>
        <v/>
      </c>
      <c r="X27" s="680" t="str">
        <f>IF(V27="","",IF(V27=0,"Chưa có tải tính được",IF(V27&gt;'Danh mục chọn'!$J$2,"Quá tải",IF(V27&gt;='Danh mục chọn'!$J$2*'Danh mục chọn'!$J$3,"Cận tải","Bình thường"))))</f>
        <v/>
      </c>
      <c r="Y27" s="678" t="str">
        <f>IF(U27="","",SUMPRODUCT(('Lớp 3 - Công việc chính'!$V$14:$V$73=U27)*('Lớp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mục'!$Z$14:$Z$132=U27)*('Lớp 4 - Danh mục'!$AD$14:$AD$132&lt;TODAY())*('Lớp 4 - Danh mục'!$AA$14:$AA$132&lt;&gt;"Hoàn thành")*('Lớp 4 - Danh mục'!$AA$14:$AA$132&lt;&gt;"Hủy")*('Lớp 4 - Danh mục'!$AI$14:$AI$132&lt;&gt;"")*IFERROR('Lớp 4 - Danh mục'!$AH$14:$AH$132*(1-'Lớp 4 - Danh mục'!$AF$14:$AF$132),0))+SUMPRODUCT(('Lớp 5 - Phân công'!$AA$14:$AA$262=U27)*('Lớp 5 - Phân công'!$AE$14:$AE$262&lt;TODAY())*('Lớp 5 - Phân công'!$AB$14:$AB$262&lt;&gt;"Hoàn thành")*('Lớp 5 - Phân công'!$AB$14:$AB$262&lt;&gt;"Hủy")*('Lớp 5 - Phân công'!$AJ$14:$AJ$262&lt;&gt;"")*IFERROR('Lớp 5 - Phân công'!$AI$14:$AI$262*(1-'Lớp 5 - Phân công'!$AG$14:$AG$262),0))+SUMPRODUCT(('Lớp 6 - Chi tiết'!$AC$14:$AC$267=U27)*('Lớp 6 - Chi tiết'!$AH$14:$AH$267&lt;TODAY())*('Lớp 6 - Chi tiết'!$AE$14:$AE$267&lt;&gt;"Hoàn thành")*('Lớp 6 - Chi tiết'!$AE$14:$AE$267&lt;&gt;"Hủy")*('Lớp 6 - Chi tiết'!$AM$14:$AM$267&lt;&gt;"")*IFERROR('Lớp 6 - Chi tiết'!$AL$14:$AL$267*(1-'Lớp 6 - Chi tiết'!$AJ$14:$AJ$267),0)))</f>
        <v/>
      </c>
      <c r="Z27" s="700" t="str">
        <f t="array" ref="Z27">IF($S27="","",IF($S27="Lớp 5",INDEX('Lớp 5 - Phân công'!$AS$14:$AS$262,$T27),IF($S27="Lớp 4",INDEX('Lớp 4 - Danh mục'!$AR$14:$AR$132,$T27),INDEX('Lớp 3 - Công việc chính'!$AO$14:$AO$73,$T27))))</f>
        <v>Tuần</v>
      </c>
      <c r="AA27" s="701">
        <f t="array" ref="AA27">IF($S27="","",IF($S27="Lớp 5",INDEX('Lớp 5 - Phân công'!$AT$14:$AT$262,$T27),IF($S27="Lớp 4",INDEX('Lớp 4 - Danh mục'!$AS$14:$AS$132,$T27),INDEX('Lớp 3 - Công việc chính'!$AP$14:$AP$73,$T27))))</f>
        <v>4</v>
      </c>
      <c r="AB27" s="701">
        <f t="array" ref="AB27">IF($S27="","",IF($S27="Lớp 5",INDEX('Lớp 5 - Phân công'!$AJ$14:$AJ$262,$T27),IF($S27="Lớp 4",INDEX('Lớp 4 - Danh mục'!$AI$14:$AI$132,$T27),INDEX('Lớp 3 - Công việc chính'!$AF$14:$AF$73,$T27))))</f>
        <v>0.8</v>
      </c>
      <c r="AC27" s="702" t="str">
        <f t="array" ref="AC27">IF($S27="","",IF($S27="Lớp 5",INDEX('Lớp 5 - Phân công'!$AV$14:$AV$262,$T27),IF($S27="Lớp 4",INDEX('Lớp 4 - Danh mục'!$AU$14:$AU$132,$T27),INDEX('Lớp 3 - Công việc chính'!$AR$14:$AR$73,$T27))))</f>
        <v>Thiếu 76.0 giờ/tuần</v>
      </c>
    </row>
    <row r="28" ht="15.75" customHeight="1">
      <c r="A28" s="690" t="str">
        <f t="shared" si="1"/>
        <v>Lớp 5</v>
      </c>
      <c r="B28" s="690" t="str">
        <f t="array" ref="B28">IF($S28="","",IF($S28="Lớp 5",INDEX('Lớp 5 - Phân công'!$I$14:$I$262,$T28),IF($S28="Lớp 4",INDEX('Lớp 4 - Danh mục'!$I$14:$I$132,$T28),INDEX('Lớp 3 - Công việc chính'!$I$14:$I$73,$T28))))</f>
        <v>HHL5DL03-05</v>
      </c>
      <c r="C28" s="690" t="str">
        <f t="array" ref="C28">IF($S28="","",IF($S28="Lớp 5",INDEX('Lớp 5 - Phân công'!$K$14:$K$262,$T28),IF($S28="Lớp 4",INDEX('Lớp 4 - Danh mục'!$J$14:$J$132,$T28),INDEX('Lớp 3 - Công việc chính'!$I$14:$I$73,$T28))))</f>
        <v>HHL3CT03</v>
      </c>
      <c r="D28" s="690" t="str">
        <f t="array" ref="D28">IF($S28="","",IF($S28="Lớp 5",INDEX('Lớp 5 - Phân công'!$J$14:$J$262,$T28),IF($S28="Lớp 4",INDEX('Lớp 4 - Danh mục'!$I$14:$I$132,$T28),"")))</f>
        <v>HHL4DL03</v>
      </c>
      <c r="E28" s="690">
        <f t="array" ref="E28">IF($S28="","",IF($S28="Lớp 5",INDEX('Lớp 5 - Phân công'!$L$14:$L$262,$T28),IF($S28="Lớp 4",INDEX('Lớp 4 - Danh mục'!$K$14:$K$132,$T28),INDEX('Lớp 3 - Công việc chính'!$J$14:$J$73,$T28))))</f>
        <v>2026</v>
      </c>
      <c r="F28" s="690" t="str">
        <f t="array" ref="F28">IF($S28="","",IF($S28="Lớp 5",INDEX('Lớp 5 - Phân công'!$M$14:$M$262,$T28),IF($S28="Lớp 4",INDEX('Lớp 4 - Danh mục'!$L$14:$L$132,$T28),INDEX('Lớp 3 - Công việc chính'!$K$14:$K$73,$T28))))</f>
        <v>Cấp công ty</v>
      </c>
      <c r="G28" s="691" t="str">
        <f t="array" ref="G28">IF($S28="","",IF($S28="Lớp 5",INDEX('Lớp 5 - Phân công'!$N$14:$N$262,$T28),IF($S28="Lớp 4",INDEX('Lớp 4 - Danh mục'!$M$14:$M$132,$T28),INDEX('Lớp 3 - Công việc chính'!$L$14:$L$73,$T28))))</f>
        <v>Chiến lược/sống còn</v>
      </c>
      <c r="H28" s="692" t="str">
        <f t="array" ref="H28">IF($S28="","",IF($S28="Lớp 5",INDEX('Lớp 5 - Phân công'!$O$14:$O$262,$T28),IF($S28="Lớp 4",INDEX('Lớp 4 - Danh mục'!$N$14:$N$132,$T28),INDEX('Lớp 3 - Công việc chính'!$M$14:$M$73,$T28))))</f>
        <v>KHKD 2027&amp; HT lập KH theo tham số KD (bán tự động)</v>
      </c>
      <c r="I28" s="692" t="str">
        <f t="array" ref="I28">IF($S28="","",IF($S28="Lớp 5",INDEX('Lớp 5 - Phân công'!$P$14:$P$262,$T28),IF($S28="Lớp 4",INDEX('Lớp 4 - Danh mục'!$O$14:$O$132,$T28),"")))</f>
        <v>Xây dựng công thức &amp; tạo HT tham số cho KH B2B</v>
      </c>
      <c r="J28" s="693" t="str">
        <f t="array" ref="J28">IF($S28="","",IF($S28="Lớp 5",INDEX('Lớp 5 - Phân công'!$Q$14:$Q$262,$T28),""))</f>
        <v>Chạy tham số Bottom-up theo khu vực vùng miền B2B</v>
      </c>
      <c r="K28" s="690" t="str">
        <f t="array" ref="K28">IF($S28="","",IF($S28="Lớp 5",INDEX('Lớp 5 - Phân công'!$AA$14:$AA$262,$T28),IF($S28="Lớp 4",INDEX('Lớp 4 - Danh mục'!$Y$14:$Y$132,$T28),INDEX('Lớp 3 - Công việc chính'!$U$14:$U$73,$T28))))</f>
        <v>Em Đại</v>
      </c>
      <c r="L28" s="691" t="str">
        <f t="array" ref="L28">IF($S28="","",IF($S28="Lớp 5",INDEX('Lớp 5 - Phân công'!$Z$14:$Z$262,$T28),IF($S28="Lớp 4",INDEX('Lớp 4 - Danh mục'!$X$14:$X$132,$T28),INDEX('Lớp 3 - Công việc chính'!$W$14:$W$73,$T28))))</f>
        <v>Dữ liệu điều hành</v>
      </c>
      <c r="M28" s="694">
        <f t="array" ref="M28">IF($S28="","",IF($S28="Lớp 5",INDEX('Lớp 5 - Phân công'!$AD$14:$AD$262,$T28),IF($S28="Lớp 4",INDEX('Lớp 4 - Danh mục'!$AC$14:$AC$132,$T28),INDEX('Lớp 3 - Công việc chính'!$Z$14:$Z$73,$T28))))</f>
        <v>46308</v>
      </c>
      <c r="N28" s="695">
        <f t="array" ref="N28">IF($S28="","",IF($S28="Lớp 5",INDEX('Lớp 5 - Phân công'!$AE$14:$AE$262,$T28),IF($S28="Lớp 4",INDEX('Lớp 4 - Danh mục'!$AD$14:$AD$132,$T28),INDEX('Lớp 3 - Công việc chính'!$AA$14:$AA$73,$T28))))</f>
        <v>46320</v>
      </c>
      <c r="O28" s="690" t="str">
        <f t="array" ref="O28">IF($S28="","",IF($S28="Lớp 5",INDEX('Lớp 5 - Phân công'!$AB$14:$AB$262,$T28),IF($S28="Lớp 4",INDEX('Lớp 4 - Danh mục'!$AA$14:$AA$132,$T28),INDEX('Lớp 3 - Công việc chính'!$X$14:$X$73,$T28))))</f>
        <v>Đã lên lịch</v>
      </c>
      <c r="P28" s="703" t="str">
        <f t="array" ref="P28">IF($S28="","",IF($S28="Lớp 5",INDEX('Lớp 5 - Phân công'!$AC$14:$AC$262,$T28),IF($S28="Lớp 4",INDEX('Lớp 4 - Danh mục'!$AB$14:$AB$132,$T28),INDEX('Lớp 3 - Công việc chính'!$Y$14:$Y$73,$T28))))</f>
        <v>P2</v>
      </c>
      <c r="Q28" s="697" t="str">
        <f t="array" ref="Q28">IF($S28="","",IF($S28="Lớp 5",INDEX('Lớp 5 - Phân công'!$AG$14:$AG$262,$T28),IF($S28="Lớp 4",INDEX('Lớp 4 - Danh mục'!$AF$14:$AF$132,$T28),INDEX('Lớp 3 - Công việc chính'!$AC$14:$AC$73,$T28))))</f>
        <v/>
      </c>
      <c r="R28" s="698" t="str">
        <f t="array" ref="R28">IF($S28="","",IF($S28="Lớp 5",INDEX('Lớp 5 - Phân công'!$X$14:$X$262,$T28),IF($S28="Lớp 4",INDEX('Lớp 4 - Danh mục'!$V$14:$V$132,$T28),INDEX('Lớp 3 - Công việc chính'!$T$14:$T$73,$T28))))</f>
        <v>Bộ kết quả Bottom-up kế hoạch B2B theo khu vực và khách hàng được xác nhận.</v>
      </c>
      <c r="S28" s="699" t="str">
        <f>IF(ROWS($S$14:S28)&lt;=COUNTIF('Lớp 5 - Phân công'!$I$14:$I$262,"&lt;&gt;"),"Lớp 5",IF(ROWS($S$14:S28)&lt;=COUNTIF('Lớp 5 - Phân công'!$I$14:$I$262,"&lt;&gt;")+SUMPRODUCT(--('Lớp 4 - Danh mục'!$I$14:$I$132&lt;&gt;""),--(COUNTIF('Lớp 5 - Phân công'!$J$14:$J$262,'Lớp 4 - Danh mục'!$I$14:$I$132)=0)),"Lớp 4",IF(ROWS($S$14:S28)&lt;=COUNTIF('Lớp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8" s="699">
        <f t="array" ref="T28">IF(S28="","",IF(S28="Lớp 5",IF(S27&lt;&gt;"Lớp 5",MATCH("*",'Lớp 5 - Phân công'!$I$14:$I$262,0),T27+MATCH("*",INDEX('Lớp 5 - Phân công'!$I$14:$I$262,T27+1):'Lớp 5 - Phân công'!$I$262,0)),IF(S28="Lớp 4",IF(S27&lt;&gt;"Lớp 4",MATCH(1,INDEX(('Lớp 4 - Danh mục'!$I$14:$I$132&lt;&gt;"")*(COUNTIF('Lớp 5 - Phân công'!$J$14:$J$262,'Lớp 4 - Danh mục'!$I$14:$I$132)=0),0),0),T27+MATCH(1,INDEX((INDEX('Lớp 4 - Danh mục'!$I$14:$I$132,T27+1):'Lớp 4 - Danh mục'!$I$132&lt;&gt;"")*(COUNTIF('Lớp 5 - Phân công'!$J$14:$J$262,INDEX('Lớp 4 - Danh mục'!$I$14:$I$132,T27+1):'Lớp 4 - Danh mục'!$I$132)=0),0),0)),IF(S27&lt;&gt;"Lớp 3",MATCH(1,INDEX(('Lớp 3 - Công việc chính'!$I$14:$I$73&lt;&gt;"")*(COUNTIF('Lớp 4 - Danh mục'!$J$14:$J$132,'Lớp 3 - Công việc chính'!$I$14:$I$73)=0),0),0),T27+MATCH(1,INDEX((INDEX('Lớp 3 - Công việc chính'!$I$14:$I$73,T27+1):'Lớp 3 - Công việc chính'!$I$73&lt;&gt;"")*(COUNTIF('Lớp 4 - Danh mục'!$J$14:$J$132,INDEX('Lớp 3 - Công việc chính'!$I$14:$I$73,T27+1):'Lớp 3 - Công việc chính'!$I$73)=0),0),0)))))</f>
        <v>15</v>
      </c>
      <c r="U28" s="677"/>
      <c r="V28" s="678" t="str">
        <f>IF(U28="","",SUMIFS('Lớp 3 - Công việc chính'!$AF$14:$AF$73,'Lớp 3 - Công việc chính'!$V$14:$V$73,U28,'Lớp 3 - Công việc chính'!$Z$14:$Z$73,"&lt;="&amp;TODAY(),'Lớp 3 - Công việc chính'!$AA$14:$AA$73,"&gt;="&amp;TODAY())+SUMIFS('Lớp 4 - Danh mục'!$AI$14:$AI$132,'Lớp 4 - Danh mục'!$Z$14:$Z$132,U28,'Lớp 4 - Danh mục'!$AC$14:$AC$132,"&lt;="&amp;TODAY(),'Lớp 4 - Danh mục'!$AD$14:$AD$132,"&gt;="&amp;TODAY())+SUMIFS('Lớp 5 - Phân công'!$AJ$14:$AJ$262,'Lớp 5 - Phân công'!$AA$14:$AA$262,U28,'Lớp 5 - Phân công'!$AD$14:$AD$262,"&lt;="&amp;TODAY(),'Lớp 5 - Phân công'!$AE$14:$AE$262,"&gt;="&amp;TODAY())+SUMIFS('Lớp 6 - Chi tiết'!$AM$14:$AM$267,'Lớp 6 - Chi tiết'!$AC$14:$AC$267,U28,'Lớp 6 - Chi tiết'!$AG$14:$AG$267,"&lt;="&amp;TODAY(),'Lớp 6 - Chi tiết'!$AH$14:$AH$267,"&gt;="&amp;TODAY()))</f>
        <v/>
      </c>
      <c r="W28" s="679" t="str">
        <f>IF(V28="","",V28/'Danh mục chọn'!$J$2)</f>
        <v/>
      </c>
      <c r="X28" s="680" t="str">
        <f>IF(V28="","",IF(V28=0,"Chưa có tải tính được",IF(V28&gt;'Danh mục chọn'!$J$2,"Quá tải",IF(V28&gt;='Danh mục chọn'!$J$2*'Danh mục chọn'!$J$3,"Cận tải","Bình thường"))))</f>
        <v/>
      </c>
      <c r="Y28" s="678" t="str">
        <f>IF(U28="","",SUMPRODUCT(('Lớp 3 - Công việc chính'!$V$14:$V$73=U28)*('Lớp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mục'!$Z$14:$Z$132=U28)*('Lớp 4 - Danh mục'!$AD$14:$AD$132&lt;TODAY())*('Lớp 4 - Danh mục'!$AA$14:$AA$132&lt;&gt;"Hoàn thành")*('Lớp 4 - Danh mục'!$AA$14:$AA$132&lt;&gt;"Hủy")*('Lớp 4 - Danh mục'!$AI$14:$AI$132&lt;&gt;"")*IFERROR('Lớp 4 - Danh mục'!$AH$14:$AH$132*(1-'Lớp 4 - Danh mục'!$AF$14:$AF$132),0))+SUMPRODUCT(('Lớp 5 - Phân công'!$AA$14:$AA$262=U28)*('Lớp 5 - Phân công'!$AE$14:$AE$262&lt;TODAY())*('Lớp 5 - Phân công'!$AB$14:$AB$262&lt;&gt;"Hoàn thành")*('Lớp 5 - Phân công'!$AB$14:$AB$262&lt;&gt;"Hủy")*('Lớp 5 - Phân công'!$AJ$14:$AJ$262&lt;&gt;"")*IFERROR('Lớp 5 - Phân công'!$AI$14:$AI$262*(1-'Lớp 5 - Phân công'!$AG$14:$AG$262),0))+SUMPRODUCT(('Lớp 6 - Chi tiết'!$AC$14:$AC$267=U28)*('Lớp 6 - Chi tiết'!$AH$14:$AH$267&lt;TODAY())*('Lớp 6 - Chi tiết'!$AE$14:$AE$267&lt;&gt;"Hoàn thành")*('Lớp 6 - Chi tiết'!$AE$14:$AE$267&lt;&gt;"Hủy")*('Lớp 6 - Chi tiết'!$AM$14:$AM$267&lt;&gt;"")*IFERROR('Lớp 6 - Chi tiết'!$AL$14:$AL$267*(1-'Lớp 6 - Chi tiết'!$AJ$14:$AJ$267),0)))</f>
        <v/>
      </c>
      <c r="Z28" s="700" t="str">
        <f t="array" ref="Z28">IF($S28="","",IF($S28="Lớp 5",INDEX('Lớp 5 - Phân công'!$AS$14:$AS$262,$T28),IF($S28="Lớp 4",INDEX('Lớp 4 - Danh mục'!$AR$14:$AR$132,$T28),INDEX('Lớp 3 - Công việc chính'!$AO$14:$AO$73,$T28))))</f>
        <v>Tuần</v>
      </c>
      <c r="AA28" s="701">
        <f t="array" ref="AA28">IF($S28="","",IF($S28="Lớp 5",INDEX('Lớp 5 - Phân công'!$AT$14:$AT$262,$T28),IF($S28="Lớp 4",INDEX('Lớp 4 - Danh mục'!$AS$14:$AS$132,$T28),INDEX('Lớp 3 - Công việc chính'!$AP$14:$AP$73,$T28))))</f>
        <v>4</v>
      </c>
      <c r="AB28" s="701">
        <f t="array" ref="AB28">IF($S28="","",IF($S28="Lớp 5",INDEX('Lớp 5 - Phân công'!$AJ$14:$AJ$262,$T28),IF($S28="Lớp 4",INDEX('Lớp 4 - Danh mục'!$AI$14:$AI$132,$T28),INDEX('Lớp 3 - Công việc chính'!$AF$14:$AF$73,$T28))))</f>
        <v>0.8</v>
      </c>
      <c r="AC28" s="702" t="str">
        <f t="array" ref="AC28">IF($S28="","",IF($S28="Lớp 5",INDEX('Lớp 5 - Phân công'!$AV$14:$AV$262,$T28),IF($S28="Lớp 4",INDEX('Lớp 4 - Danh mục'!$AU$14:$AU$132,$T28),INDEX('Lớp 3 - Công việc chính'!$AR$14:$AR$73,$T28))))</f>
        <v>Thiếu 3.3 giờ/tuần</v>
      </c>
    </row>
    <row r="29" ht="15.75" customHeight="1">
      <c r="A29" s="690" t="str">
        <f t="shared" si="1"/>
        <v>Lớp 5</v>
      </c>
      <c r="B29" s="690" t="str">
        <f t="array" ref="B29">IF($S29="","",IF($S29="Lớp 5",INDEX('Lớp 5 - Phân công'!$I$14:$I$262,$T29),IF($S29="Lớp 4",INDEX('Lớp 4 - Danh mục'!$I$14:$I$132,$T29),INDEX('Lớp 3 - Công việc chính'!$I$14:$I$73,$T29))))</f>
        <v>HHL5DL04-01</v>
      </c>
      <c r="C29" s="690" t="str">
        <f t="array" ref="C29">IF($S29="","",IF($S29="Lớp 5",INDEX('Lớp 5 - Phân công'!$K$14:$K$262,$T29),IF($S29="Lớp 4",INDEX('Lớp 4 - Danh mục'!$J$14:$J$132,$T29),INDEX('Lớp 3 - Công việc chính'!$I$14:$I$73,$T29))))</f>
        <v>HHL3CT03</v>
      </c>
      <c r="D29" s="690" t="str">
        <f t="array" ref="D29">IF($S29="","",IF($S29="Lớp 5",INDEX('Lớp 5 - Phân công'!$J$14:$J$262,$T29),IF($S29="Lớp 4",INDEX('Lớp 4 - Danh mục'!$I$14:$I$132,$T29),"")))</f>
        <v>HHL4DL04</v>
      </c>
      <c r="E29" s="690">
        <f t="array" ref="E29">IF($S29="","",IF($S29="Lớp 5",INDEX('Lớp 5 - Phân công'!$L$14:$L$262,$T29),IF($S29="Lớp 4",INDEX('Lớp 4 - Danh mục'!$K$14:$K$132,$T29),INDEX('Lớp 3 - Công việc chính'!$J$14:$J$73,$T29))))</f>
        <v>2026</v>
      </c>
      <c r="F29" s="690" t="str">
        <f t="array" ref="F29">IF($S29="","",IF($S29="Lớp 5",INDEX('Lớp 5 - Phân công'!$M$14:$M$262,$T29),IF($S29="Lớp 4",INDEX('Lớp 4 - Danh mục'!$L$14:$L$132,$T29),INDEX('Lớp 3 - Công việc chính'!$K$14:$K$73,$T29))))</f>
        <v>Cấp công ty</v>
      </c>
      <c r="G29" s="691" t="str">
        <f t="array" ref="G29">IF($S29="","",IF($S29="Lớp 5",INDEX('Lớp 5 - Phân công'!$N$14:$N$262,$T29),IF($S29="Lớp 4",INDEX('Lớp 4 - Danh mục'!$M$14:$M$132,$T29),INDEX('Lớp 3 - Công việc chính'!$L$14:$L$73,$T29))))</f>
        <v>Chiến lược/sống còn</v>
      </c>
      <c r="H29" s="692" t="str">
        <f t="array" ref="H29">IF($S29="","",IF($S29="Lớp 5",INDEX('Lớp 5 - Phân công'!$O$14:$O$262,$T29),IF($S29="Lớp 4",INDEX('Lớp 4 - Danh mục'!$N$14:$N$132,$T29),INDEX('Lớp 3 - Công việc chính'!$M$14:$M$73,$T29))))</f>
        <v>KHKD 2027&amp; HT lập KH theo tham số KD (bán tự động)</v>
      </c>
      <c r="I29" s="692" t="str">
        <f t="array" ref="I29">IF($S29="","",IF($S29="Lớp 5",INDEX('Lớp 5 - Phân công'!$P$14:$P$262,$T29),IF($S29="Lớp 4",INDEX('Lớp 4 - Danh mục'!$O$14:$O$132,$T29),"")))</f>
        <v>Xây dựng công thức &amp; tạo HT tham số cho KH Online</v>
      </c>
      <c r="J29" s="693" t="str">
        <f t="array" ref="J29">IF($S29="","",IF($S29="Lớp 5",INDEX('Lớp 5 - Phân công'!$Q$14:$Q$262,$T29),""))</f>
        <v>XD &amp; phản biện công thức (nội bộ) Online</v>
      </c>
      <c r="K29" s="690" t="str">
        <f t="array" ref="K29">IF($S29="","",IF($S29="Lớp 5",INDEX('Lớp 5 - Phân công'!$AA$14:$AA$262,$T29),IF($S29="Lớp 4",INDEX('Lớp 4 - Danh mục'!$Y$14:$Y$132,$T29),INDEX('Lớp 3 - Công việc chính'!$U$14:$U$73,$T29))))</f>
        <v>Em Đại</v>
      </c>
      <c r="L29" s="691" t="str">
        <f t="array" ref="L29">IF($S29="","",IF($S29="Lớp 5",INDEX('Lớp 5 - Phân công'!$Z$14:$Z$262,$T29),IF($S29="Lớp 4",INDEX('Lớp 4 - Danh mục'!$X$14:$X$132,$T29),INDEX('Lớp 3 - Công việc chính'!$W$14:$W$73,$T29))))</f>
        <v>Dữ liệu điều hành</v>
      </c>
      <c r="M29" s="694">
        <f t="array" ref="M29">IF($S29="","",IF($S29="Lớp 5",INDEX('Lớp 5 - Phân công'!$AD$14:$AD$262,$T29),IF($S29="Lớp 4",INDEX('Lớp 4 - Danh mục'!$AC$14:$AC$132,$T29),INDEX('Lớp 3 - Công việc chính'!$Z$14:$Z$73,$T29))))</f>
        <v>46290</v>
      </c>
      <c r="N29" s="695">
        <f t="array" ref="N29">IF($S29="","",IF($S29="Lớp 5",INDEX('Lớp 5 - Phân công'!$AE$14:$AE$262,$T29),IF($S29="Lớp 4",INDEX('Lớp 4 - Danh mục'!$AD$14:$AD$132,$T29),INDEX('Lớp 3 - Công việc chính'!$AA$14:$AA$73,$T29))))</f>
        <v>46300</v>
      </c>
      <c r="O29" s="690" t="str">
        <f t="array" ref="O29">IF($S29="","",IF($S29="Lớp 5",INDEX('Lớp 5 - Phân công'!$AB$14:$AB$262,$T29),IF($S29="Lớp 4",INDEX('Lớp 4 - Danh mục'!$AA$14:$AA$132,$T29),INDEX('Lớp 3 - Công việc chính'!$X$14:$X$73,$T29))))</f>
        <v>Chưa bắt đầu</v>
      </c>
      <c r="P29" s="703" t="str">
        <f t="array" ref="P29">IF($S29="","",IF($S29="Lớp 5",INDEX('Lớp 5 - Phân công'!$AC$14:$AC$262,$T29),IF($S29="Lớp 4",INDEX('Lớp 4 - Danh mục'!$AB$14:$AB$132,$T29),INDEX('Lớp 3 - Công việc chính'!$Y$14:$Y$73,$T29))))</f>
        <v>P2</v>
      </c>
      <c r="Q29" s="697">
        <f t="array" ref="Q29">IF($S29="","",IF($S29="Lớp 5",INDEX('Lớp 5 - Phân công'!$AG$14:$AG$262,$T29),IF($S29="Lớp 4",INDEX('Lớp 4 - Danh mục'!$AF$14:$AF$132,$T29),INDEX('Lớp 3 - Công việc chính'!$AC$14:$AC$73,$T29))))</f>
        <v>0</v>
      </c>
      <c r="R29" s="698" t="str">
        <f t="array" ref="R29">IF($S29="","",IF($S29="Lớp 5",INDEX('Lớp 5 - Phân công'!$X$14:$X$262,$T29),IF($S29="Lớp 4",INDEX('Lớp 4 - Danh mục'!$V$14:$V$132,$T29),INDEX('Lớp 3 - Công việc chính'!$T$14:$T$73,$T29))))</f>
        <v>Bộ công thức kế hoạch Online được xây dựng, phản biện nội bộ và chốt phiên bản.</v>
      </c>
      <c r="S29" s="699" t="str">
        <f>IF(ROWS($S$14:S29)&lt;=COUNTIF('Lớp 5 - Phân công'!$I$14:$I$262,"&lt;&gt;"),"Lớp 5",IF(ROWS($S$14:S29)&lt;=COUNTIF('Lớp 5 - Phân công'!$I$14:$I$262,"&lt;&gt;")+SUMPRODUCT(--('Lớp 4 - Danh mục'!$I$14:$I$132&lt;&gt;""),--(COUNTIF('Lớp 5 - Phân công'!$J$14:$J$262,'Lớp 4 - Danh mục'!$I$14:$I$132)=0)),"Lớp 4",IF(ROWS($S$14:S29)&lt;=COUNTIF('Lớp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29" s="699">
        <f t="array" ref="T29">IF(S29="","",IF(S29="Lớp 5",IF(S28&lt;&gt;"Lớp 5",MATCH("*",'Lớp 5 - Phân công'!$I$14:$I$262,0),T28+MATCH("*",INDEX('Lớp 5 - Phân công'!$I$14:$I$262,T28+1):'Lớp 5 - Phân công'!$I$262,0)),IF(S29="Lớp 4",IF(S28&lt;&gt;"Lớp 4",MATCH(1,INDEX(('Lớp 4 - Danh mục'!$I$14:$I$132&lt;&gt;"")*(COUNTIF('Lớp 5 - Phân công'!$J$14:$J$262,'Lớp 4 - Danh mục'!$I$14:$I$132)=0),0),0),T28+MATCH(1,INDEX((INDEX('Lớp 4 - Danh mục'!$I$14:$I$132,T28+1):'Lớp 4 - Danh mục'!$I$132&lt;&gt;"")*(COUNTIF('Lớp 5 - Phân công'!$J$14:$J$262,INDEX('Lớp 4 - Danh mục'!$I$14:$I$132,T28+1):'Lớp 4 - Danh mục'!$I$132)=0),0),0)),IF(S28&lt;&gt;"Lớp 3",MATCH(1,INDEX(('Lớp 3 - Công việc chính'!$I$14:$I$73&lt;&gt;"")*(COUNTIF('Lớp 4 - Danh mục'!$J$14:$J$132,'Lớp 3 - Công việc chính'!$I$14:$I$73)=0),0),0),T28+MATCH(1,INDEX((INDEX('Lớp 3 - Công việc chính'!$I$14:$I$73,T28+1):'Lớp 3 - Công việc chính'!$I$73&lt;&gt;"")*(COUNTIF('Lớp 4 - Danh mục'!$J$14:$J$132,INDEX('Lớp 3 - Công việc chính'!$I$14:$I$73,T28+1):'Lớp 3 - Công việc chính'!$I$73)=0),0),0)))))</f>
        <v>16</v>
      </c>
      <c r="U29" s="677"/>
      <c r="V29" s="678" t="str">
        <f>IF(U29="","",SUMIFS('Lớp 3 - Công việc chính'!$AF$14:$AF$73,'Lớp 3 - Công việc chính'!$V$14:$V$73,U29,'Lớp 3 - Công việc chính'!$Z$14:$Z$73,"&lt;="&amp;TODAY(),'Lớp 3 - Công việc chính'!$AA$14:$AA$73,"&gt;="&amp;TODAY())+SUMIFS('Lớp 4 - Danh mục'!$AI$14:$AI$132,'Lớp 4 - Danh mục'!$Z$14:$Z$132,U29,'Lớp 4 - Danh mục'!$AC$14:$AC$132,"&lt;="&amp;TODAY(),'Lớp 4 - Danh mục'!$AD$14:$AD$132,"&gt;="&amp;TODAY())+SUMIFS('Lớp 5 - Phân công'!$AJ$14:$AJ$262,'Lớp 5 - Phân công'!$AA$14:$AA$262,U29,'Lớp 5 - Phân công'!$AD$14:$AD$262,"&lt;="&amp;TODAY(),'Lớp 5 - Phân công'!$AE$14:$AE$262,"&gt;="&amp;TODAY())+SUMIFS('Lớp 6 - Chi tiết'!$AM$14:$AM$267,'Lớp 6 - Chi tiết'!$AC$14:$AC$267,U29,'Lớp 6 - Chi tiết'!$AG$14:$AG$267,"&lt;="&amp;TODAY(),'Lớp 6 - Chi tiết'!$AH$14:$AH$267,"&gt;="&amp;TODAY()))</f>
        <v/>
      </c>
      <c r="W29" s="679" t="str">
        <f>IF(V29="","",V29/'Danh mục chọn'!$J$2)</f>
        <v/>
      </c>
      <c r="X29" s="680" t="str">
        <f>IF(V29="","",IF(V29=0,"Chưa có tải tính được",IF(V29&gt;'Danh mục chọn'!$J$2,"Quá tải",IF(V29&gt;='Danh mục chọn'!$J$2*'Danh mục chọn'!$J$3,"Cận tải","Bình thường"))))</f>
        <v/>
      </c>
      <c r="Y29" s="678" t="str">
        <f>IF(U29="","",SUMPRODUCT(('Lớp 3 - Công việc chính'!$V$14:$V$73=U29)*('Lớp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mục'!$Z$14:$Z$132=U29)*('Lớp 4 - Danh mục'!$AD$14:$AD$132&lt;TODAY())*('Lớp 4 - Danh mục'!$AA$14:$AA$132&lt;&gt;"Hoàn thành")*('Lớp 4 - Danh mục'!$AA$14:$AA$132&lt;&gt;"Hủy")*('Lớp 4 - Danh mục'!$AI$14:$AI$132&lt;&gt;"")*IFERROR('Lớp 4 - Danh mục'!$AH$14:$AH$132*(1-'Lớp 4 - Danh mục'!$AF$14:$AF$132),0))+SUMPRODUCT(('Lớp 5 - Phân công'!$AA$14:$AA$262=U29)*('Lớp 5 - Phân công'!$AE$14:$AE$262&lt;TODAY())*('Lớp 5 - Phân công'!$AB$14:$AB$262&lt;&gt;"Hoàn thành")*('Lớp 5 - Phân công'!$AB$14:$AB$262&lt;&gt;"Hủy")*('Lớp 5 - Phân công'!$AJ$14:$AJ$262&lt;&gt;"")*IFERROR('Lớp 5 - Phân công'!$AI$14:$AI$262*(1-'Lớp 5 - Phân công'!$AG$14:$AG$262),0))+SUMPRODUCT(('Lớp 6 - Chi tiết'!$AC$14:$AC$267=U29)*('Lớp 6 - Chi tiết'!$AH$14:$AH$267&lt;TODAY())*('Lớp 6 - Chi tiết'!$AE$14:$AE$267&lt;&gt;"Hoàn thành")*('Lớp 6 - Chi tiết'!$AE$14:$AE$267&lt;&gt;"Hủy")*('Lớp 6 - Chi tiết'!$AM$14:$AM$267&lt;&gt;"")*IFERROR('Lớp 6 - Chi tiết'!$AL$14:$AL$267*(1-'Lớp 6 - Chi tiết'!$AJ$14:$AJ$267),0)))</f>
        <v/>
      </c>
      <c r="Z29" s="700" t="str">
        <f t="array" ref="Z29">IF($S29="","",IF($S29="Lớp 5",INDEX('Lớp 5 - Phân công'!$AS$14:$AS$262,$T29),IF($S29="Lớp 4",INDEX('Lớp 4 - Danh mục'!$AR$14:$AR$132,$T29),INDEX('Lớp 3 - Công việc chính'!$AO$14:$AO$73,$T29))))</f>
        <v>Tuần</v>
      </c>
      <c r="AA29" s="701">
        <f t="array" ref="AA29">IF($S29="","",IF($S29="Lớp 5",INDEX('Lớp 5 - Phân công'!$AT$14:$AT$262,$T29),IF($S29="Lớp 4",INDEX('Lớp 4 - Danh mục'!$AS$14:$AS$132,$T29),INDEX('Lớp 3 - Công việc chính'!$AP$14:$AP$73,$T29))))</f>
        <v>4</v>
      </c>
      <c r="AB29" s="701">
        <f t="array" ref="AB29">IF($S29="","",IF($S29="Lớp 5",INDEX('Lớp 5 - Phân công'!$AJ$14:$AJ$262,$T29),IF($S29="Lớp 4",INDEX('Lớp 4 - Danh mục'!$AI$14:$AI$132,$T29),INDEX('Lớp 3 - Công việc chính'!$AF$14:$AF$73,$T29))))</f>
        <v>0.8</v>
      </c>
      <c r="AC29" s="702" t="str">
        <f t="array" ref="AC29">IF($S29="","",IF($S29="Lớp 5",INDEX('Lớp 5 - Phân công'!$AV$14:$AV$262,$T29),IF($S29="Lớp 4",INDEX('Lớp 4 - Danh mục'!$AU$14:$AU$132,$T29),INDEX('Lớp 3 - Công việc chính'!$AR$14:$AR$73,$T29))))</f>
        <v>Thiếu 4.9 giờ/tuần</v>
      </c>
    </row>
    <row r="30" ht="15.75" customHeight="1">
      <c r="A30" s="690" t="str">
        <f t="shared" si="1"/>
        <v>Lớp 5</v>
      </c>
      <c r="B30" s="690" t="str">
        <f t="array" ref="B30">IF($S30="","",IF($S30="Lớp 5",INDEX('Lớp 5 - Phân công'!$I$14:$I$262,$T30),IF($S30="Lớp 4",INDEX('Lớp 4 - Danh mục'!$I$14:$I$132,$T30),INDEX('Lớp 3 - Công việc chính'!$I$14:$I$73,$T30))))</f>
        <v>HHL5DL04-02</v>
      </c>
      <c r="C30" s="690" t="str">
        <f t="array" ref="C30">IF($S30="","",IF($S30="Lớp 5",INDEX('Lớp 5 - Phân công'!$K$14:$K$262,$T30),IF($S30="Lớp 4",INDEX('Lớp 4 - Danh mục'!$J$14:$J$132,$T30),INDEX('Lớp 3 - Công việc chính'!$I$14:$I$73,$T30))))</f>
        <v>HHL3CT03</v>
      </c>
      <c r="D30" s="690" t="str">
        <f t="array" ref="D30">IF($S30="","",IF($S30="Lớp 5",INDEX('Lớp 5 - Phân công'!$J$14:$J$262,$T30),IF($S30="Lớp 4",INDEX('Lớp 4 - Danh mục'!$I$14:$I$132,$T30),"")))</f>
        <v>HHL4DL04</v>
      </c>
      <c r="E30" s="690">
        <f t="array" ref="E30">IF($S30="","",IF($S30="Lớp 5",INDEX('Lớp 5 - Phân công'!$L$14:$L$262,$T30),IF($S30="Lớp 4",INDEX('Lớp 4 - Danh mục'!$K$14:$K$132,$T30),INDEX('Lớp 3 - Công việc chính'!$J$14:$J$73,$T30))))</f>
        <v>2026</v>
      </c>
      <c r="F30" s="690" t="str">
        <f t="array" ref="F30">IF($S30="","",IF($S30="Lớp 5",INDEX('Lớp 5 - Phân công'!$M$14:$M$262,$T30),IF($S30="Lớp 4",INDEX('Lớp 4 - Danh mục'!$L$14:$L$132,$T30),INDEX('Lớp 3 - Công việc chính'!$K$14:$K$73,$T30))))</f>
        <v>Cấp công ty</v>
      </c>
      <c r="G30" s="691" t="str">
        <f t="array" ref="G30">IF($S30="","",IF($S30="Lớp 5",INDEX('Lớp 5 - Phân công'!$N$14:$N$262,$T30),IF($S30="Lớp 4",INDEX('Lớp 4 - Danh mục'!$M$14:$M$132,$T30),INDEX('Lớp 3 - Công việc chính'!$L$14:$L$73,$T30))))</f>
        <v>Chiến lược/sống còn</v>
      </c>
      <c r="H30" s="692" t="str">
        <f t="array" ref="H30">IF($S30="","",IF($S30="Lớp 5",INDEX('Lớp 5 - Phân công'!$O$14:$O$262,$T30),IF($S30="Lớp 4",INDEX('Lớp 4 - Danh mục'!$N$14:$N$132,$T30),INDEX('Lớp 3 - Công việc chính'!$M$14:$M$73,$T30))))</f>
        <v>KHKD 2027&amp; HT lập KH theo tham số KD (bán tự động)</v>
      </c>
      <c r="I30" s="692" t="str">
        <f t="array" ref="I30">IF($S30="","",IF($S30="Lớp 5",INDEX('Lớp 5 - Phân công'!$P$14:$P$262,$T30),IF($S30="Lớp 4",INDEX('Lớp 4 - Danh mục'!$O$14:$O$132,$T30),"")))</f>
        <v>Xây dựng công thức &amp; tạo HT tham số cho KH Online</v>
      </c>
      <c r="J30" s="693" t="str">
        <f t="array" ref="J30">IF($S30="","",IF($S30="Lớp 5",INDEX('Lớp 5 - Phân công'!$Q$14:$Q$262,$T30),""))</f>
        <v>Phản biện với TGĐ &amp; liên PB Online</v>
      </c>
      <c r="K30" s="690" t="str">
        <f t="array" ref="K30">IF($S30="","",IF($S30="Lớp 5",INDEX('Lớp 5 - Phân công'!$AA$14:$AA$262,$T30),IF($S30="Lớp 4",INDEX('Lớp 4 - Danh mục'!$Y$14:$Y$132,$T30),INDEX('Lớp 3 - Công việc chính'!$U$14:$U$73,$T30))))</f>
        <v>Em Đại</v>
      </c>
      <c r="L30" s="691" t="str">
        <f t="array" ref="L30">IF($S30="","",IF($S30="Lớp 5",INDEX('Lớp 5 - Phân công'!$Z$14:$Z$262,$T30),IF($S30="Lớp 4",INDEX('Lớp 4 - Danh mục'!$X$14:$X$132,$T30),INDEX('Lớp 3 - Công việc chính'!$W$14:$W$73,$T30))))</f>
        <v>Dữ liệu điều hành</v>
      </c>
      <c r="M30" s="694">
        <f t="array" ref="M30">IF($S30="","",IF($S30="Lớp 5",INDEX('Lớp 5 - Phân công'!$AD$14:$AD$262,$T30),IF($S30="Lớp 4",INDEX('Lớp 4 - Danh mục'!$AC$14:$AC$132,$T30),INDEX('Lớp 3 - Công việc chính'!$Z$14:$Z$73,$T30))))</f>
        <v>46301</v>
      </c>
      <c r="N30" s="695">
        <f t="array" ref="N30">IF($S30="","",IF($S30="Lớp 5",INDEX('Lớp 5 - Phân công'!$AE$14:$AE$262,$T30),IF($S30="Lớp 4",INDEX('Lớp 4 - Danh mục'!$AD$14:$AD$132,$T30),INDEX('Lớp 3 - Công việc chính'!$AA$14:$AA$73,$T30))))</f>
        <v>46310</v>
      </c>
      <c r="O30" s="690" t="str">
        <f t="array" ref="O30">IF($S30="","",IF($S30="Lớp 5",INDEX('Lớp 5 - Phân công'!$AB$14:$AB$262,$T30),IF($S30="Lớp 4",INDEX('Lớp 4 - Danh mục'!$AA$14:$AA$132,$T30),INDEX('Lớp 3 - Công việc chính'!$X$14:$X$73,$T30))))</f>
        <v>Chưa bắt đầu</v>
      </c>
      <c r="P30" s="703" t="str">
        <f t="array" ref="P30">IF($S30="","",IF($S30="Lớp 5",INDEX('Lớp 5 - Phân công'!$AC$14:$AC$262,$T30),IF($S30="Lớp 4",INDEX('Lớp 4 - Danh mục'!$AB$14:$AB$132,$T30),INDEX('Lớp 3 - Công việc chính'!$Y$14:$Y$73,$T30))))</f>
        <v>P2</v>
      </c>
      <c r="Q30" s="697">
        <f t="array" ref="Q30">IF($S30="","",IF($S30="Lớp 5",INDEX('Lớp 5 - Phân công'!$AG$14:$AG$262,$T30),IF($S30="Lớp 4",INDEX('Lớp 4 - Danh mục'!$AF$14:$AF$132,$T30),INDEX('Lớp 3 - Công việc chính'!$AC$14:$AC$73,$T30))))</f>
        <v>0</v>
      </c>
      <c r="R30" s="698" t="str">
        <f t="array" ref="R30">IF($S30="","",IF($S30="Lớp 5",INDEX('Lớp 5 - Phân công'!$X$14:$X$262,$T30),IF($S30="Lớp 4",INDEX('Lớp 4 - Danh mục'!$V$14:$V$132,$T30),INDEX('Lớp 3 - Công việc chính'!$T$14:$T$73,$T30))))</f>
        <v>Biên bản phản biện công thức Online và danh mục điều chỉnh được thống nhất.</v>
      </c>
      <c r="S30" s="699" t="str">
        <f>IF(ROWS($S$14:S30)&lt;=COUNTIF('Lớp 5 - Phân công'!$I$14:$I$262,"&lt;&gt;"),"Lớp 5",IF(ROWS($S$14:S30)&lt;=COUNTIF('Lớp 5 - Phân công'!$I$14:$I$262,"&lt;&gt;")+SUMPRODUCT(--('Lớp 4 - Danh mục'!$I$14:$I$132&lt;&gt;""),--(COUNTIF('Lớp 5 - Phân công'!$J$14:$J$262,'Lớp 4 - Danh mục'!$I$14:$I$132)=0)),"Lớp 4",IF(ROWS($S$14:S30)&lt;=COUNTIF('Lớp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0" s="699">
        <f t="array" ref="T30">IF(S30="","",IF(S30="Lớp 5",IF(S29&lt;&gt;"Lớp 5",MATCH("*",'Lớp 5 - Phân công'!$I$14:$I$262,0),T29+MATCH("*",INDEX('Lớp 5 - Phân công'!$I$14:$I$262,T29+1):'Lớp 5 - Phân công'!$I$262,0)),IF(S30="Lớp 4",IF(S29&lt;&gt;"Lớp 4",MATCH(1,INDEX(('Lớp 4 - Danh mục'!$I$14:$I$132&lt;&gt;"")*(COUNTIF('Lớp 5 - Phân công'!$J$14:$J$262,'Lớp 4 - Danh mục'!$I$14:$I$132)=0),0),0),T29+MATCH(1,INDEX((INDEX('Lớp 4 - Danh mục'!$I$14:$I$132,T29+1):'Lớp 4 - Danh mục'!$I$132&lt;&gt;"")*(COUNTIF('Lớp 5 - Phân công'!$J$14:$J$262,INDEX('Lớp 4 - Danh mục'!$I$14:$I$132,T29+1):'Lớp 4 - Danh mục'!$I$132)=0),0),0)),IF(S29&lt;&gt;"Lớp 3",MATCH(1,INDEX(('Lớp 3 - Công việc chính'!$I$14:$I$73&lt;&gt;"")*(COUNTIF('Lớp 4 - Danh mục'!$J$14:$J$132,'Lớp 3 - Công việc chính'!$I$14:$I$73)=0),0),0),T29+MATCH(1,INDEX((INDEX('Lớp 3 - Công việc chính'!$I$14:$I$73,T29+1):'Lớp 3 - Công việc chính'!$I$73&lt;&gt;"")*(COUNTIF('Lớp 4 - Danh mục'!$J$14:$J$132,INDEX('Lớp 3 - Công việc chính'!$I$14:$I$73,T29+1):'Lớp 3 - Công việc chính'!$I$73)=0),0),0)))))</f>
        <v>17</v>
      </c>
      <c r="U30" s="677"/>
      <c r="V30" s="678" t="str">
        <f>IF(U30="","",SUMIFS('Lớp 3 - Công việc chính'!$AF$14:$AF$73,'Lớp 3 - Công việc chính'!$V$14:$V$73,U30,'Lớp 3 - Công việc chính'!$Z$14:$Z$73,"&lt;="&amp;TODAY(),'Lớp 3 - Công việc chính'!$AA$14:$AA$73,"&gt;="&amp;TODAY())+SUMIFS('Lớp 4 - Danh mục'!$AI$14:$AI$132,'Lớp 4 - Danh mục'!$Z$14:$Z$132,U30,'Lớp 4 - Danh mục'!$AC$14:$AC$132,"&lt;="&amp;TODAY(),'Lớp 4 - Danh mục'!$AD$14:$AD$132,"&gt;="&amp;TODAY())+SUMIFS('Lớp 5 - Phân công'!$AJ$14:$AJ$262,'Lớp 5 - Phân công'!$AA$14:$AA$262,U30,'Lớp 5 - Phân công'!$AD$14:$AD$262,"&lt;="&amp;TODAY(),'Lớp 5 - Phân công'!$AE$14:$AE$262,"&gt;="&amp;TODAY())+SUMIFS('Lớp 6 - Chi tiết'!$AM$14:$AM$267,'Lớp 6 - Chi tiết'!$AC$14:$AC$267,U30,'Lớp 6 - Chi tiết'!$AG$14:$AG$267,"&lt;="&amp;TODAY(),'Lớp 6 - Chi tiết'!$AH$14:$AH$267,"&gt;="&amp;TODAY()))</f>
        <v/>
      </c>
      <c r="W30" s="679" t="str">
        <f>IF(V30="","",V30/'Danh mục chọn'!$J$2)</f>
        <v/>
      </c>
      <c r="X30" s="680" t="str">
        <f>IF(V30="","",IF(V30=0,"Chưa có tải tính được",IF(V30&gt;'Danh mục chọn'!$J$2,"Quá tải",IF(V30&gt;='Danh mục chọn'!$J$2*'Danh mục chọn'!$J$3,"Cận tải","Bình thường"))))</f>
        <v/>
      </c>
      <c r="Y30" s="678" t="str">
        <f>IF(U30="","",SUMPRODUCT(('Lớp 3 - Công việc chính'!$V$14:$V$73=U30)*('Lớp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mục'!$Z$14:$Z$132=U30)*('Lớp 4 - Danh mục'!$AD$14:$AD$132&lt;TODAY())*('Lớp 4 - Danh mục'!$AA$14:$AA$132&lt;&gt;"Hoàn thành")*('Lớp 4 - Danh mục'!$AA$14:$AA$132&lt;&gt;"Hủy")*('Lớp 4 - Danh mục'!$AI$14:$AI$132&lt;&gt;"")*IFERROR('Lớp 4 - Danh mục'!$AH$14:$AH$132*(1-'Lớp 4 - Danh mục'!$AF$14:$AF$132),0))+SUMPRODUCT(('Lớp 5 - Phân công'!$AA$14:$AA$262=U30)*('Lớp 5 - Phân công'!$AE$14:$AE$262&lt;TODAY())*('Lớp 5 - Phân công'!$AB$14:$AB$262&lt;&gt;"Hoàn thành")*('Lớp 5 - Phân công'!$AB$14:$AB$262&lt;&gt;"Hủy")*('Lớp 5 - Phân công'!$AJ$14:$AJ$262&lt;&gt;"")*IFERROR('Lớp 5 - Phân công'!$AI$14:$AI$262*(1-'Lớp 5 - Phân công'!$AG$14:$AG$262),0))+SUMPRODUCT(('Lớp 6 - Chi tiết'!$AC$14:$AC$267=U30)*('Lớp 6 - Chi tiết'!$AH$14:$AH$267&lt;TODAY())*('Lớp 6 - Chi tiết'!$AE$14:$AE$267&lt;&gt;"Hoàn thành")*('Lớp 6 - Chi tiết'!$AE$14:$AE$267&lt;&gt;"Hủy")*('Lớp 6 - Chi tiết'!$AM$14:$AM$267&lt;&gt;"")*IFERROR('Lớp 6 - Chi tiết'!$AL$14:$AL$267*(1-'Lớp 6 - Chi tiết'!$AJ$14:$AJ$267),0)))</f>
        <v/>
      </c>
      <c r="Z30" s="700" t="str">
        <f t="array" ref="Z30">IF($S30="","",IF($S30="Lớp 5",INDEX('Lớp 5 - Phân công'!$AS$14:$AS$262,$T30),IF($S30="Lớp 4",INDEX('Lớp 4 - Danh mục'!$AR$14:$AR$132,$T30),INDEX('Lớp 3 - Công việc chính'!$AO$14:$AO$73,$T30))))</f>
        <v>Tuần</v>
      </c>
      <c r="AA30" s="701">
        <f t="array" ref="AA30">IF($S30="","",IF($S30="Lớp 5",INDEX('Lớp 5 - Phân công'!$AT$14:$AT$262,$T30),IF($S30="Lớp 4",INDEX('Lớp 4 - Danh mục'!$AS$14:$AS$132,$T30),INDEX('Lớp 3 - Công việc chính'!$AP$14:$AP$73,$T30))))</f>
        <v>4</v>
      </c>
      <c r="AB30" s="701">
        <f t="array" ref="AB30">IF($S30="","",IF($S30="Lớp 5",INDEX('Lớp 5 - Phân công'!$AJ$14:$AJ$262,$T30),IF($S30="Lớp 4",INDEX('Lớp 4 - Danh mục'!$AI$14:$AI$132,$T30),INDEX('Lớp 3 - Công việc chính'!$AF$14:$AF$73,$T30))))</f>
        <v>0.8</v>
      </c>
      <c r="AC30" s="702" t="str">
        <f t="array" ref="AC30">IF($S30="","",IF($S30="Lớp 5",INDEX('Lớp 5 - Phân công'!$AV$14:$AV$262,$T30),IF($S30="Lớp 4",INDEX('Lớp 4 - Danh mục'!$AU$14:$AU$132,$T30),INDEX('Lớp 3 - Công việc chính'!$AR$14:$AR$73,$T30))))</f>
        <v>Thiếu 0.4 giờ/tuần</v>
      </c>
    </row>
    <row r="31" ht="15.75" customHeight="1">
      <c r="A31" s="690" t="str">
        <f t="shared" si="1"/>
        <v>Lớp 5</v>
      </c>
      <c r="B31" s="690" t="str">
        <f t="array" ref="B31">IF($S31="","",IF($S31="Lớp 5",INDEX('Lớp 5 - Phân công'!$I$14:$I$262,$T31),IF($S31="Lớp 4",INDEX('Lớp 4 - Danh mục'!$I$14:$I$132,$T31),INDEX('Lớp 3 - Công việc chính'!$I$14:$I$73,$T31))))</f>
        <v>HHL5DL04-03</v>
      </c>
      <c r="C31" s="690" t="str">
        <f t="array" ref="C31">IF($S31="","",IF($S31="Lớp 5",INDEX('Lớp 5 - Phân công'!$K$14:$K$262,$T31),IF($S31="Lớp 4",INDEX('Lớp 4 - Danh mục'!$J$14:$J$132,$T31),INDEX('Lớp 3 - Công việc chính'!$I$14:$I$73,$T31))))</f>
        <v>HHL3CT03</v>
      </c>
      <c r="D31" s="690" t="str">
        <f t="array" ref="D31">IF($S31="","",IF($S31="Lớp 5",INDEX('Lớp 5 - Phân công'!$J$14:$J$262,$T31),IF($S31="Lớp 4",INDEX('Lớp 4 - Danh mục'!$I$14:$I$132,$T31),"")))</f>
        <v>HHL4DL04</v>
      </c>
      <c r="E31" s="690">
        <f t="array" ref="E31">IF($S31="","",IF($S31="Lớp 5",INDEX('Lớp 5 - Phân công'!$L$14:$L$262,$T31),IF($S31="Lớp 4",INDEX('Lớp 4 - Danh mục'!$K$14:$K$132,$T31),INDEX('Lớp 3 - Công việc chính'!$J$14:$J$73,$T31))))</f>
        <v>2026</v>
      </c>
      <c r="F31" s="690" t="str">
        <f t="array" ref="F31">IF($S31="","",IF($S31="Lớp 5",INDEX('Lớp 5 - Phân công'!$M$14:$M$262,$T31),IF($S31="Lớp 4",INDEX('Lớp 4 - Danh mục'!$L$14:$L$132,$T31),INDEX('Lớp 3 - Công việc chính'!$K$14:$K$73,$T31))))</f>
        <v>Cấp công ty</v>
      </c>
      <c r="G31" s="691" t="str">
        <f t="array" ref="G31">IF($S31="","",IF($S31="Lớp 5",INDEX('Lớp 5 - Phân công'!$N$14:$N$262,$T31),IF($S31="Lớp 4",INDEX('Lớp 4 - Danh mục'!$M$14:$M$132,$T31),INDEX('Lớp 3 - Công việc chính'!$L$14:$L$73,$T31))))</f>
        <v>Chiến lược/sống còn</v>
      </c>
      <c r="H31" s="692" t="str">
        <f t="array" ref="H31">IF($S31="","",IF($S31="Lớp 5",INDEX('Lớp 5 - Phân công'!$O$14:$O$262,$T31),IF($S31="Lớp 4",INDEX('Lớp 4 - Danh mục'!$N$14:$N$132,$T31),INDEX('Lớp 3 - Công việc chính'!$M$14:$M$73,$T31))))</f>
        <v>KHKD 2027&amp; HT lập KH theo tham số KD (bán tự động)</v>
      </c>
      <c r="I31" s="692" t="str">
        <f t="array" ref="I31">IF($S31="","",IF($S31="Lớp 5",INDEX('Lớp 5 - Phân công'!$P$14:$P$262,$T31),IF($S31="Lớp 4",INDEX('Lớp 4 - Danh mục'!$O$14:$O$132,$T31),"")))</f>
        <v>Xây dựng công thức &amp; tạo HT tham số cho KH Online</v>
      </c>
      <c r="J31" s="693" t="str">
        <f t="array" ref="J31">IF($S31="","",IF($S31="Lớp 5",INDEX('Lớp 5 - Phân công'!$Q$14:$Q$262,$T31),""))</f>
        <v>XD bảng Excel &amp; HT phần mềm (chạy demo) Online</v>
      </c>
      <c r="K31" s="690" t="str">
        <f t="array" ref="K31">IF($S31="","",IF($S31="Lớp 5",INDEX('Lớp 5 - Phân công'!$AA$14:$AA$262,$T31),IF($S31="Lớp 4",INDEX('Lớp 4 - Danh mục'!$Y$14:$Y$132,$T31),INDEX('Lớp 3 - Công việc chính'!$U$14:$U$73,$T31))))</f>
        <v>Em Đại</v>
      </c>
      <c r="L31" s="691" t="str">
        <f t="array" ref="L31">IF($S31="","",IF($S31="Lớp 5",INDEX('Lớp 5 - Phân công'!$Z$14:$Z$262,$T31),IF($S31="Lớp 4",INDEX('Lớp 4 - Danh mục'!$X$14:$X$132,$T31),INDEX('Lớp 3 - Công việc chính'!$W$14:$W$73,$T31))))</f>
        <v>Dữ liệu điều hành</v>
      </c>
      <c r="M31" s="694">
        <f t="array" ref="M31">IF($S31="","",IF($S31="Lớp 5",INDEX('Lớp 5 - Phân công'!$AD$14:$AD$262,$T31),IF($S31="Lớp 4",INDEX('Lớp 4 - Danh mục'!$AC$14:$AC$132,$T31),INDEX('Lớp 3 - Công việc chính'!$Z$14:$Z$73,$T31))))</f>
        <v>46301</v>
      </c>
      <c r="N31" s="695">
        <f t="array" ref="N31">IF($S31="","",IF($S31="Lớp 5",INDEX('Lớp 5 - Phân công'!$AE$14:$AE$262,$T31),IF($S31="Lớp 4",INDEX('Lớp 4 - Danh mục'!$AD$14:$AD$132,$T31),INDEX('Lớp 3 - Công việc chính'!$AA$14:$AA$73,$T31))))</f>
        <v>46275</v>
      </c>
      <c r="O31" s="690" t="str">
        <f t="array" ref="O31">IF($S31="","",IF($S31="Lớp 5",INDEX('Lớp 5 - Phân công'!$AB$14:$AB$262,$T31),IF($S31="Lớp 4",INDEX('Lớp 4 - Danh mục'!$AA$14:$AA$132,$T31),INDEX('Lớp 3 - Công việc chính'!$X$14:$X$73,$T31))))</f>
        <v>Chưa bắt đầu</v>
      </c>
      <c r="P31" s="703" t="str">
        <f t="array" ref="P31">IF($S31="","",IF($S31="Lớp 5",INDEX('Lớp 5 - Phân công'!$AC$14:$AC$262,$T31),IF($S31="Lớp 4",INDEX('Lớp 4 - Danh mục'!$AB$14:$AB$132,$T31),INDEX('Lớp 3 - Công việc chính'!$Y$14:$Y$73,$T31))))</f>
        <v>P2</v>
      </c>
      <c r="Q31" s="697">
        <f t="array" ref="Q31">IF($S31="","",IF($S31="Lớp 5",INDEX('Lớp 5 - Phân công'!$AG$14:$AG$262,$T31),IF($S31="Lớp 4",INDEX('Lớp 4 - Danh mục'!$AF$14:$AF$132,$T31),INDEX('Lớp 3 - Công việc chính'!$AC$14:$AC$73,$T31))))</f>
        <v>0</v>
      </c>
      <c r="R31" s="698" t="str">
        <f t="array" ref="R31">IF($S31="","",IF($S31="Lớp 5",INDEX('Lớp 5 - Phân công'!$X$14:$X$262,$T31),IF($S31="Lớp 4",INDEX('Lớp 4 - Danh mục'!$V$14:$V$132,$T31),INDEX('Lớp 3 - Công việc chính'!$T$14:$T$73,$T31))))</f>
        <v>File Excel và bản demo hệ thống kế hoạch Online vận hành đúng công thức.</v>
      </c>
      <c r="S31" s="699" t="str">
        <f>IF(ROWS($S$14:S31)&lt;=COUNTIF('Lớp 5 - Phân công'!$I$14:$I$262,"&lt;&gt;"),"Lớp 5",IF(ROWS($S$14:S31)&lt;=COUNTIF('Lớp 5 - Phân công'!$I$14:$I$262,"&lt;&gt;")+SUMPRODUCT(--('Lớp 4 - Danh mục'!$I$14:$I$132&lt;&gt;""),--(COUNTIF('Lớp 5 - Phân công'!$J$14:$J$262,'Lớp 4 - Danh mục'!$I$14:$I$132)=0)),"Lớp 4",IF(ROWS($S$14:S31)&lt;=COUNTIF('Lớp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1" s="699">
        <f t="array" ref="T31">IF(S31="","",IF(S31="Lớp 5",IF(S30&lt;&gt;"Lớp 5",MATCH("*",'Lớp 5 - Phân công'!$I$14:$I$262,0),T30+MATCH("*",INDEX('Lớp 5 - Phân công'!$I$14:$I$262,T30+1):'Lớp 5 - Phân công'!$I$262,0)),IF(S31="Lớp 4",IF(S30&lt;&gt;"Lớp 4",MATCH(1,INDEX(('Lớp 4 - Danh mục'!$I$14:$I$132&lt;&gt;"")*(COUNTIF('Lớp 5 - Phân công'!$J$14:$J$262,'Lớp 4 - Danh mục'!$I$14:$I$132)=0),0),0),T30+MATCH(1,INDEX((INDEX('Lớp 4 - Danh mục'!$I$14:$I$132,T30+1):'Lớp 4 - Danh mục'!$I$132&lt;&gt;"")*(COUNTIF('Lớp 5 - Phân công'!$J$14:$J$262,INDEX('Lớp 4 - Danh mục'!$I$14:$I$132,T30+1):'Lớp 4 - Danh mục'!$I$132)=0),0),0)),IF(S30&lt;&gt;"Lớp 3",MATCH(1,INDEX(('Lớp 3 - Công việc chính'!$I$14:$I$73&lt;&gt;"")*(COUNTIF('Lớp 4 - Danh mục'!$J$14:$J$132,'Lớp 3 - Công việc chính'!$I$14:$I$73)=0),0),0),T30+MATCH(1,INDEX((INDEX('Lớp 3 - Công việc chính'!$I$14:$I$73,T30+1):'Lớp 3 - Công việc chính'!$I$73&lt;&gt;"")*(COUNTIF('Lớp 4 - Danh mục'!$J$14:$J$132,INDEX('Lớp 3 - Công việc chính'!$I$14:$I$73,T30+1):'Lớp 3 - Công việc chính'!$I$73)=0),0),0)))))</f>
        <v>18</v>
      </c>
      <c r="U31" s="677"/>
      <c r="V31" s="678" t="str">
        <f>IF(U31="","",SUMIFS('Lớp 3 - Công việc chính'!$AF$14:$AF$73,'Lớp 3 - Công việc chính'!$V$14:$V$73,U31,'Lớp 3 - Công việc chính'!$Z$14:$Z$73,"&lt;="&amp;TODAY(),'Lớp 3 - Công việc chính'!$AA$14:$AA$73,"&gt;="&amp;TODAY())+SUMIFS('Lớp 4 - Danh mục'!$AI$14:$AI$132,'Lớp 4 - Danh mục'!$Z$14:$Z$132,U31,'Lớp 4 - Danh mục'!$AC$14:$AC$132,"&lt;="&amp;TODAY(),'Lớp 4 - Danh mục'!$AD$14:$AD$132,"&gt;="&amp;TODAY())+SUMIFS('Lớp 5 - Phân công'!$AJ$14:$AJ$262,'Lớp 5 - Phân công'!$AA$14:$AA$262,U31,'Lớp 5 - Phân công'!$AD$14:$AD$262,"&lt;="&amp;TODAY(),'Lớp 5 - Phân công'!$AE$14:$AE$262,"&gt;="&amp;TODAY())+SUMIFS('Lớp 6 - Chi tiết'!$AM$14:$AM$267,'Lớp 6 - Chi tiết'!$AC$14:$AC$267,U31,'Lớp 6 - Chi tiết'!$AG$14:$AG$267,"&lt;="&amp;TODAY(),'Lớp 6 - Chi tiết'!$AH$14:$AH$267,"&gt;="&amp;TODAY()))</f>
        <v/>
      </c>
      <c r="W31" s="679" t="str">
        <f>IF(V31="","",V31/'Danh mục chọn'!$J$2)</f>
        <v/>
      </c>
      <c r="X31" s="680" t="str">
        <f>IF(V31="","",IF(V31=0,"Chưa có tải tính được",IF(V31&gt;'Danh mục chọn'!$J$2,"Quá tải",IF(V31&gt;='Danh mục chọn'!$J$2*'Danh mục chọn'!$J$3,"Cận tải","Bình thường"))))</f>
        <v/>
      </c>
      <c r="Y31" s="678" t="str">
        <f>IF(U31="","",SUMPRODUCT(('Lớp 3 - Công việc chính'!$V$14:$V$73=U31)*('Lớp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mục'!$Z$14:$Z$132=U31)*('Lớp 4 - Danh mục'!$AD$14:$AD$132&lt;TODAY())*('Lớp 4 - Danh mục'!$AA$14:$AA$132&lt;&gt;"Hoàn thành")*('Lớp 4 - Danh mục'!$AA$14:$AA$132&lt;&gt;"Hủy")*('Lớp 4 - Danh mục'!$AI$14:$AI$132&lt;&gt;"")*IFERROR('Lớp 4 - Danh mục'!$AH$14:$AH$132*(1-'Lớp 4 - Danh mục'!$AF$14:$AF$132),0))+SUMPRODUCT(('Lớp 5 - Phân công'!$AA$14:$AA$262=U31)*('Lớp 5 - Phân công'!$AE$14:$AE$262&lt;TODAY())*('Lớp 5 - Phân công'!$AB$14:$AB$262&lt;&gt;"Hoàn thành")*('Lớp 5 - Phân công'!$AB$14:$AB$262&lt;&gt;"Hủy")*('Lớp 5 - Phân công'!$AJ$14:$AJ$262&lt;&gt;"")*IFERROR('Lớp 5 - Phân công'!$AI$14:$AI$262*(1-'Lớp 5 - Phân công'!$AG$14:$AG$262),0))+SUMPRODUCT(('Lớp 6 - Chi tiết'!$AC$14:$AC$267=U31)*('Lớp 6 - Chi tiết'!$AH$14:$AH$267&lt;TODAY())*('Lớp 6 - Chi tiết'!$AE$14:$AE$267&lt;&gt;"Hoàn thành")*('Lớp 6 - Chi tiết'!$AE$14:$AE$267&lt;&gt;"Hủy")*('Lớp 6 - Chi tiết'!$AM$14:$AM$267&lt;&gt;"")*IFERROR('Lớp 6 - Chi tiết'!$AL$14:$AL$267*(1-'Lớp 6 - Chi tiết'!$AJ$14:$AJ$267),0)))</f>
        <v/>
      </c>
      <c r="Z31" s="700" t="str">
        <f t="array" ref="Z31">IF($S31="","",IF($S31="Lớp 5",INDEX('Lớp 5 - Phân công'!$AS$14:$AS$262,$T31),IF($S31="Lớp 4",INDEX('Lớp 4 - Danh mục'!$AR$14:$AR$132,$T31),INDEX('Lớp 3 - Công việc chính'!$AO$14:$AO$73,$T31))))</f>
        <v>Tuần</v>
      </c>
      <c r="AA31" s="701">
        <f t="array" ref="AA31">IF($S31="","",IF($S31="Lớp 5",INDEX('Lớp 5 - Phân công'!$AT$14:$AT$262,$T31),IF($S31="Lớp 4",INDEX('Lớp 4 - Danh mục'!$AS$14:$AS$132,$T31),INDEX('Lớp 3 - Công việc chính'!$AP$14:$AP$73,$T31))))</f>
        <v>4</v>
      </c>
      <c r="AB31" s="701">
        <f t="array" ref="AB31">IF($S31="","",IF($S31="Lớp 5",INDEX('Lớp 5 - Phân công'!$AJ$14:$AJ$262,$T31),IF($S31="Lớp 4",INDEX('Lớp 4 - Danh mục'!$AI$14:$AI$132,$T31),INDEX('Lớp 3 - Công việc chính'!$AF$14:$AF$73,$T31))))</f>
        <v>0.8</v>
      </c>
      <c r="AC31" s="702" t="str">
        <f t="array" ref="AC31">IF($S31="","",IF($S31="Lớp 5",INDEX('Lớp 5 - Phân công'!$AV$14:$AV$262,$T31),IF($S31="Lớp 4",INDEX('Lớp 4 - Danh mục'!$AU$14:$AU$132,$T31),INDEX('Lớp 3 - Công việc chính'!$AR$14:$AR$73,$T31))))</f>
        <v>Thiếu 116.0 giờ/tuần</v>
      </c>
    </row>
    <row r="32" ht="15.75" customHeight="1">
      <c r="A32" s="690" t="str">
        <f t="shared" si="1"/>
        <v>Lớp 5</v>
      </c>
      <c r="B32" s="690" t="str">
        <f t="array" ref="B32">IF($S32="","",IF($S32="Lớp 5",INDEX('Lớp 5 - Phân công'!$I$14:$I$262,$T32),IF($S32="Lớp 4",INDEX('Lớp 4 - Danh mục'!$I$14:$I$132,$T32),INDEX('Lớp 3 - Công việc chính'!$I$14:$I$73,$T32))))</f>
        <v>HHL5DL04-04</v>
      </c>
      <c r="C32" s="690" t="str">
        <f t="array" ref="C32">IF($S32="","",IF($S32="Lớp 5",INDEX('Lớp 5 - Phân công'!$K$14:$K$262,$T32),IF($S32="Lớp 4",INDEX('Lớp 4 - Danh mục'!$J$14:$J$132,$T32),INDEX('Lớp 3 - Công việc chính'!$I$14:$I$73,$T32))))</f>
        <v>HHL3CT03</v>
      </c>
      <c r="D32" s="690" t="str">
        <f t="array" ref="D32">IF($S32="","",IF($S32="Lớp 5",INDEX('Lớp 5 - Phân công'!$J$14:$J$262,$T32),IF($S32="Lớp 4",INDEX('Lớp 4 - Danh mục'!$I$14:$I$132,$T32),"")))</f>
        <v>HHL4DL04</v>
      </c>
      <c r="E32" s="690">
        <f t="array" ref="E32">IF($S32="","",IF($S32="Lớp 5",INDEX('Lớp 5 - Phân công'!$L$14:$L$262,$T32),IF($S32="Lớp 4",INDEX('Lớp 4 - Danh mục'!$K$14:$K$132,$T32),INDEX('Lớp 3 - Công việc chính'!$J$14:$J$73,$T32))))</f>
        <v>2026</v>
      </c>
      <c r="F32" s="690" t="str">
        <f t="array" ref="F32">IF($S32="","",IF($S32="Lớp 5",INDEX('Lớp 5 - Phân công'!$M$14:$M$262,$T32),IF($S32="Lớp 4",INDEX('Lớp 4 - Danh mục'!$L$14:$L$132,$T32),INDEX('Lớp 3 - Công việc chính'!$K$14:$K$73,$T32))))</f>
        <v>Cấp công ty</v>
      </c>
      <c r="G32" s="691" t="str">
        <f t="array" ref="G32">IF($S32="","",IF($S32="Lớp 5",INDEX('Lớp 5 - Phân công'!$N$14:$N$262,$T32),IF($S32="Lớp 4",INDEX('Lớp 4 - Danh mục'!$M$14:$M$132,$T32),INDEX('Lớp 3 - Công việc chính'!$L$14:$L$73,$T32))))</f>
        <v>Chiến lược/sống còn</v>
      </c>
      <c r="H32" s="692" t="str">
        <f t="array" ref="H32">IF($S32="","",IF($S32="Lớp 5",INDEX('Lớp 5 - Phân công'!$O$14:$O$262,$T32),IF($S32="Lớp 4",INDEX('Lớp 4 - Danh mục'!$N$14:$N$132,$T32),INDEX('Lớp 3 - Công việc chính'!$M$14:$M$73,$T32))))</f>
        <v>KHKD 2027&amp; HT lập KH theo tham số KD (bán tự động)</v>
      </c>
      <c r="I32" s="692" t="str">
        <f t="array" ref="I32">IF($S32="","",IF($S32="Lớp 5",INDEX('Lớp 5 - Phân công'!$P$14:$P$262,$T32),IF($S32="Lớp 4",INDEX('Lớp 4 - Danh mục'!$O$14:$O$132,$T32),"")))</f>
        <v>Xây dựng công thức &amp; tạo HT tham số cho KH Online</v>
      </c>
      <c r="J32" s="693" t="str">
        <f t="array" ref="J32">IF($S32="","",IF($S32="Lớp 5",INDEX('Lớp 5 - Phân công'!$Q$14:$Q$262,$T32),""))</f>
        <v>Chạy tham số Topdown Online</v>
      </c>
      <c r="K32" s="690" t="str">
        <f t="array" ref="K32">IF($S32="","",IF($S32="Lớp 5",INDEX('Lớp 5 - Phân công'!$AA$14:$AA$262,$T32),IF($S32="Lớp 4",INDEX('Lớp 4 - Danh mục'!$Y$14:$Y$132,$T32),INDEX('Lớp 3 - Công việc chính'!$U$14:$U$73,$T32))))</f>
        <v>Em Đại</v>
      </c>
      <c r="L32" s="691" t="str">
        <f t="array" ref="L32">IF($S32="","",IF($S32="Lớp 5",INDEX('Lớp 5 - Phân công'!$Z$14:$Z$262,$T32),IF($S32="Lớp 4",INDEX('Lớp 4 - Danh mục'!$X$14:$X$132,$T32),INDEX('Lớp 3 - Công việc chính'!$W$14:$W$73,$T32))))</f>
        <v>Dữ liệu điều hành</v>
      </c>
      <c r="M32" s="694">
        <f t="array" ref="M32">IF($S32="","",IF($S32="Lớp 5",INDEX('Lớp 5 - Phân công'!$AD$14:$AD$262,$T32),IF($S32="Lớp 4",INDEX('Lớp 4 - Danh mục'!$AC$14:$AC$132,$T32),INDEX('Lớp 3 - Công việc chính'!$Z$14:$Z$73,$T32))))</f>
        <v>46306</v>
      </c>
      <c r="N32" s="695">
        <f t="array" ref="N32">IF($S32="","",IF($S32="Lớp 5",INDEX('Lớp 5 - Phân công'!$AE$14:$AE$262,$T32),IF($S32="Lớp 4",INDEX('Lớp 4 - Danh mục'!$AD$14:$AD$132,$T32),INDEX('Lớp 3 - Công việc chính'!$AA$14:$AA$73,$T32))))</f>
        <v>46307</v>
      </c>
      <c r="O32" s="690" t="str">
        <f t="array" ref="O32">IF($S32="","",IF($S32="Lớp 5",INDEX('Lớp 5 - Phân công'!$AB$14:$AB$262,$T32),IF($S32="Lớp 4",INDEX('Lớp 4 - Danh mục'!$AA$14:$AA$132,$T32),INDEX('Lớp 3 - Công việc chính'!$X$14:$X$73,$T32))))</f>
        <v>Đã lên lịch</v>
      </c>
      <c r="P32" s="703" t="str">
        <f t="array" ref="P32">IF($S32="","",IF($S32="Lớp 5",INDEX('Lớp 5 - Phân công'!$AC$14:$AC$262,$T32),IF($S32="Lớp 4",INDEX('Lớp 4 - Danh mục'!$AB$14:$AB$132,$T32),INDEX('Lớp 3 - Công việc chính'!$Y$14:$Y$73,$T32))))</f>
        <v>P2</v>
      </c>
      <c r="Q32" s="697" t="str">
        <f t="array" ref="Q32">IF($S32="","",IF($S32="Lớp 5",INDEX('Lớp 5 - Phân công'!$AG$14:$AG$262,$T32),IF($S32="Lớp 4",INDEX('Lớp 4 - Danh mục'!$AF$14:$AF$132,$T32),INDEX('Lớp 3 - Công việc chính'!$AC$14:$AC$73,$T32))))</f>
        <v/>
      </c>
      <c r="R32" s="698" t="str">
        <f t="array" ref="R32">IF($S32="","",IF($S32="Lớp 5",INDEX('Lớp 5 - Phân công'!$X$14:$X$262,$T32),IF($S32="Lớp 4",INDEX('Lớp 4 - Danh mục'!$V$14:$V$132,$T32),INDEX('Lớp 3 - Công việc chính'!$T$14:$T$73,$T32))))</f>
        <v>Bộ kết quả tham số Top-down kế hoạch Online được kiểm tra và xác nhận.</v>
      </c>
      <c r="S32" s="699" t="str">
        <f>IF(ROWS($S$14:S32)&lt;=COUNTIF('Lớp 5 - Phân công'!$I$14:$I$262,"&lt;&gt;"),"Lớp 5",IF(ROWS($S$14:S32)&lt;=COUNTIF('Lớp 5 - Phân công'!$I$14:$I$262,"&lt;&gt;")+SUMPRODUCT(--('Lớp 4 - Danh mục'!$I$14:$I$132&lt;&gt;""),--(COUNTIF('Lớp 5 - Phân công'!$J$14:$J$262,'Lớp 4 - Danh mục'!$I$14:$I$132)=0)),"Lớp 4",IF(ROWS($S$14:S32)&lt;=COUNTIF('Lớp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2" s="699">
        <f t="array" ref="T32">IF(S32="","",IF(S32="Lớp 5",IF(S31&lt;&gt;"Lớp 5",MATCH("*",'Lớp 5 - Phân công'!$I$14:$I$262,0),T31+MATCH("*",INDEX('Lớp 5 - Phân công'!$I$14:$I$262,T31+1):'Lớp 5 - Phân công'!$I$262,0)),IF(S32="Lớp 4",IF(S31&lt;&gt;"Lớp 4",MATCH(1,INDEX(('Lớp 4 - Danh mục'!$I$14:$I$132&lt;&gt;"")*(COUNTIF('Lớp 5 - Phân công'!$J$14:$J$262,'Lớp 4 - Danh mục'!$I$14:$I$132)=0),0),0),T31+MATCH(1,INDEX((INDEX('Lớp 4 - Danh mục'!$I$14:$I$132,T31+1):'Lớp 4 - Danh mục'!$I$132&lt;&gt;"")*(COUNTIF('Lớp 5 - Phân công'!$J$14:$J$262,INDEX('Lớp 4 - Danh mục'!$I$14:$I$132,T31+1):'Lớp 4 - Danh mục'!$I$132)=0),0),0)),IF(S31&lt;&gt;"Lớp 3",MATCH(1,INDEX(('Lớp 3 - Công việc chính'!$I$14:$I$73&lt;&gt;"")*(COUNTIF('Lớp 4 - Danh mục'!$J$14:$J$132,'Lớp 3 - Công việc chính'!$I$14:$I$73)=0),0),0),T31+MATCH(1,INDEX((INDEX('Lớp 3 - Công việc chính'!$I$14:$I$73,T31+1):'Lớp 3 - Công việc chính'!$I$73&lt;&gt;"")*(COUNTIF('Lớp 4 - Danh mục'!$J$14:$J$132,INDEX('Lớp 3 - Công việc chính'!$I$14:$I$73,T31+1):'Lớp 3 - Công việc chính'!$I$73)=0),0),0)))))</f>
        <v>19</v>
      </c>
      <c r="U32" s="677"/>
      <c r="V32" s="678" t="str">
        <f>IF(U32="","",SUMIFS('Lớp 3 - Công việc chính'!$AF$14:$AF$73,'Lớp 3 - Công việc chính'!$V$14:$V$73,U32,'Lớp 3 - Công việc chính'!$Z$14:$Z$73,"&lt;="&amp;TODAY(),'Lớp 3 - Công việc chính'!$AA$14:$AA$73,"&gt;="&amp;TODAY())+SUMIFS('Lớp 4 - Danh mục'!$AI$14:$AI$132,'Lớp 4 - Danh mục'!$Z$14:$Z$132,U32,'Lớp 4 - Danh mục'!$AC$14:$AC$132,"&lt;="&amp;TODAY(),'Lớp 4 - Danh mục'!$AD$14:$AD$132,"&gt;="&amp;TODAY())+SUMIFS('Lớp 5 - Phân công'!$AJ$14:$AJ$262,'Lớp 5 - Phân công'!$AA$14:$AA$262,U32,'Lớp 5 - Phân công'!$AD$14:$AD$262,"&lt;="&amp;TODAY(),'Lớp 5 - Phân công'!$AE$14:$AE$262,"&gt;="&amp;TODAY())+SUMIFS('Lớp 6 - Chi tiết'!$AM$14:$AM$267,'Lớp 6 - Chi tiết'!$AC$14:$AC$267,U32,'Lớp 6 - Chi tiết'!$AG$14:$AG$267,"&lt;="&amp;TODAY(),'Lớp 6 - Chi tiết'!$AH$14:$AH$267,"&gt;="&amp;TODAY()))</f>
        <v/>
      </c>
      <c r="W32" s="679" t="str">
        <f>IF(V32="","",V32/'Danh mục chọn'!$J$2)</f>
        <v/>
      </c>
      <c r="X32" s="680" t="str">
        <f>IF(V32="","",IF(V32=0,"Chưa có tải tính được",IF(V32&gt;'Danh mục chọn'!$J$2,"Quá tải",IF(V32&gt;='Danh mục chọn'!$J$2*'Danh mục chọn'!$J$3,"Cận tải","Bình thường"))))</f>
        <v/>
      </c>
      <c r="Y32" s="678" t="str">
        <f>IF(U32="","",SUMPRODUCT(('Lớp 3 - Công việc chính'!$V$14:$V$73=U32)*('Lớp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mục'!$Z$14:$Z$132=U32)*('Lớp 4 - Danh mục'!$AD$14:$AD$132&lt;TODAY())*('Lớp 4 - Danh mục'!$AA$14:$AA$132&lt;&gt;"Hoàn thành")*('Lớp 4 - Danh mục'!$AA$14:$AA$132&lt;&gt;"Hủy")*('Lớp 4 - Danh mục'!$AI$14:$AI$132&lt;&gt;"")*IFERROR('Lớp 4 - Danh mục'!$AH$14:$AH$132*(1-'Lớp 4 - Danh mục'!$AF$14:$AF$132),0))+SUMPRODUCT(('Lớp 5 - Phân công'!$AA$14:$AA$262=U32)*('Lớp 5 - Phân công'!$AE$14:$AE$262&lt;TODAY())*('Lớp 5 - Phân công'!$AB$14:$AB$262&lt;&gt;"Hoàn thành")*('Lớp 5 - Phân công'!$AB$14:$AB$262&lt;&gt;"Hủy")*('Lớp 5 - Phân công'!$AJ$14:$AJ$262&lt;&gt;"")*IFERROR('Lớp 5 - Phân công'!$AI$14:$AI$262*(1-'Lớp 5 - Phân công'!$AG$14:$AG$262),0))+SUMPRODUCT(('Lớp 6 - Chi tiết'!$AC$14:$AC$267=U32)*('Lớp 6 - Chi tiết'!$AH$14:$AH$267&lt;TODAY())*('Lớp 6 - Chi tiết'!$AE$14:$AE$267&lt;&gt;"Hoàn thành")*('Lớp 6 - Chi tiết'!$AE$14:$AE$267&lt;&gt;"Hủy")*('Lớp 6 - Chi tiết'!$AM$14:$AM$267&lt;&gt;"")*IFERROR('Lớp 6 - Chi tiết'!$AL$14:$AL$267*(1-'Lớp 6 - Chi tiết'!$AJ$14:$AJ$267),0)))</f>
        <v/>
      </c>
      <c r="Z32" s="700" t="str">
        <f t="array" ref="Z32">IF($S32="","",IF($S32="Lớp 5",INDEX('Lớp 5 - Phân công'!$AS$14:$AS$262,$T32),IF($S32="Lớp 4",INDEX('Lớp 4 - Danh mục'!$AR$14:$AR$132,$T32),INDEX('Lớp 3 - Công việc chính'!$AO$14:$AO$73,$T32))))</f>
        <v>Tuần</v>
      </c>
      <c r="AA32" s="701">
        <f t="array" ref="AA32">IF($S32="","",IF($S32="Lớp 5",INDEX('Lớp 5 - Phân công'!$AT$14:$AT$262,$T32),IF($S32="Lớp 4",INDEX('Lớp 4 - Danh mục'!$AS$14:$AS$132,$T32),INDEX('Lớp 3 - Công việc chính'!$AP$14:$AP$73,$T32))))</f>
        <v>4</v>
      </c>
      <c r="AB32" s="701">
        <f t="array" ref="AB32">IF($S32="","",IF($S32="Lớp 5",INDEX('Lớp 5 - Phân công'!$AJ$14:$AJ$262,$T32),IF($S32="Lớp 4",INDEX('Lớp 4 - Danh mục'!$AI$14:$AI$132,$T32),INDEX('Lớp 3 - Công việc chính'!$AF$14:$AF$73,$T32))))</f>
        <v>0.8</v>
      </c>
      <c r="AC32" s="702" t="str">
        <f t="array" ref="AC32">IF($S32="","",IF($S32="Lớp 5",INDEX('Lớp 5 - Phân công'!$AV$14:$AV$262,$T32),IF($S32="Lớp 4",INDEX('Lớp 4 - Danh mục'!$AU$14:$AU$132,$T32),INDEX('Lớp 3 - Công việc chính'!$AR$14:$AR$73,$T32))))</f>
        <v>Thiếu 76.0 giờ/tuần</v>
      </c>
    </row>
    <row r="33" ht="15.75" customHeight="1">
      <c r="A33" s="690" t="str">
        <f t="shared" si="1"/>
        <v>Lớp 5</v>
      </c>
      <c r="B33" s="690" t="str">
        <f t="array" ref="B33">IF($S33="","",IF($S33="Lớp 5",INDEX('Lớp 5 - Phân công'!$I$14:$I$262,$T33),IF($S33="Lớp 4",INDEX('Lớp 4 - Danh mục'!$I$14:$I$132,$T33),INDEX('Lớp 3 - Công việc chính'!$I$14:$I$73,$T33))))</f>
        <v>HHL5DL04-05</v>
      </c>
      <c r="C33" s="690" t="str">
        <f t="array" ref="C33">IF($S33="","",IF($S33="Lớp 5",INDEX('Lớp 5 - Phân công'!$K$14:$K$262,$T33),IF($S33="Lớp 4",INDEX('Lớp 4 - Danh mục'!$J$14:$J$132,$T33),INDEX('Lớp 3 - Công việc chính'!$I$14:$I$73,$T33))))</f>
        <v>HHL3CT03</v>
      </c>
      <c r="D33" s="690" t="str">
        <f t="array" ref="D33">IF($S33="","",IF($S33="Lớp 5",INDEX('Lớp 5 - Phân công'!$J$14:$J$262,$T33),IF($S33="Lớp 4",INDEX('Lớp 4 - Danh mục'!$I$14:$I$132,$T33),"")))</f>
        <v>HHL4DL04</v>
      </c>
      <c r="E33" s="690">
        <f t="array" ref="E33">IF($S33="","",IF($S33="Lớp 5",INDEX('Lớp 5 - Phân công'!$L$14:$L$262,$T33),IF($S33="Lớp 4",INDEX('Lớp 4 - Danh mục'!$K$14:$K$132,$T33),INDEX('Lớp 3 - Công việc chính'!$J$14:$J$73,$T33))))</f>
        <v>2026</v>
      </c>
      <c r="F33" s="690" t="str">
        <f t="array" ref="F33">IF($S33="","",IF($S33="Lớp 5",INDEX('Lớp 5 - Phân công'!$M$14:$M$262,$T33),IF($S33="Lớp 4",INDEX('Lớp 4 - Danh mục'!$L$14:$L$132,$T33),INDEX('Lớp 3 - Công việc chính'!$K$14:$K$73,$T33))))</f>
        <v>Cấp công ty</v>
      </c>
      <c r="G33" s="691" t="str">
        <f t="array" ref="G33">IF($S33="","",IF($S33="Lớp 5",INDEX('Lớp 5 - Phân công'!$N$14:$N$262,$T33),IF($S33="Lớp 4",INDEX('Lớp 4 - Danh mục'!$M$14:$M$132,$T33),INDEX('Lớp 3 - Công việc chính'!$L$14:$L$73,$T33))))</f>
        <v>Chiến lược/sống còn</v>
      </c>
      <c r="H33" s="692" t="str">
        <f t="array" ref="H33">IF($S33="","",IF($S33="Lớp 5",INDEX('Lớp 5 - Phân công'!$O$14:$O$262,$T33),IF($S33="Lớp 4",INDEX('Lớp 4 - Danh mục'!$N$14:$N$132,$T33),INDEX('Lớp 3 - Công việc chính'!$M$14:$M$73,$T33))))</f>
        <v>KHKD 2027&amp; HT lập KH theo tham số KD (bán tự động)</v>
      </c>
      <c r="I33" s="692" t="str">
        <f t="array" ref="I33">IF($S33="","",IF($S33="Lớp 5",INDEX('Lớp 5 - Phân công'!$P$14:$P$262,$T33),IF($S33="Lớp 4",INDEX('Lớp 4 - Danh mục'!$O$14:$O$132,$T33),"")))</f>
        <v>Xây dựng công thức &amp; tạo HT tham số cho KH Online</v>
      </c>
      <c r="J33" s="693" t="str">
        <f t="array" ref="J33">IF($S33="","",IF($S33="Lớp 5",INDEX('Lớp 5 - Phân công'!$Q$14:$Q$262,$T33),""))</f>
        <v>Chạy tham số Bottom-up theo khu vực vùng miền  Online</v>
      </c>
      <c r="K33" s="690" t="str">
        <f t="array" ref="K33">IF($S33="","",IF($S33="Lớp 5",INDEX('Lớp 5 - Phân công'!$AA$14:$AA$262,$T33),IF($S33="Lớp 4",INDEX('Lớp 4 - Danh mục'!$Y$14:$Y$132,$T33),INDEX('Lớp 3 - Công việc chính'!$U$14:$U$73,$T33))))</f>
        <v>Em Đại</v>
      </c>
      <c r="L33" s="691" t="str">
        <f t="array" ref="L33">IF($S33="","",IF($S33="Lớp 5",INDEX('Lớp 5 - Phân công'!$Z$14:$Z$262,$T33),IF($S33="Lớp 4",INDEX('Lớp 4 - Danh mục'!$X$14:$X$132,$T33),INDEX('Lớp 3 - Công việc chính'!$W$14:$W$73,$T33))))</f>
        <v>Dữ liệu điều hành</v>
      </c>
      <c r="M33" s="694">
        <f t="array" ref="M33">IF($S33="","",IF($S33="Lớp 5",INDEX('Lớp 5 - Phân công'!$AD$14:$AD$262,$T33),IF($S33="Lớp 4",INDEX('Lớp 4 - Danh mục'!$AC$14:$AC$132,$T33),INDEX('Lớp 3 - Công việc chính'!$Z$14:$Z$73,$T33))))</f>
        <v>46308</v>
      </c>
      <c r="N33" s="695">
        <f t="array" ref="N33">IF($S33="","",IF($S33="Lớp 5",INDEX('Lớp 5 - Phân công'!$AE$14:$AE$262,$T33),IF($S33="Lớp 4",INDEX('Lớp 4 - Danh mục'!$AD$14:$AD$132,$T33),INDEX('Lớp 3 - Công việc chính'!$AA$14:$AA$73,$T33))))</f>
        <v>46320</v>
      </c>
      <c r="O33" s="690" t="str">
        <f t="array" ref="O33">IF($S33="","",IF($S33="Lớp 5",INDEX('Lớp 5 - Phân công'!$AB$14:$AB$262,$T33),IF($S33="Lớp 4",INDEX('Lớp 4 - Danh mục'!$AA$14:$AA$132,$T33),INDEX('Lớp 3 - Công việc chính'!$X$14:$X$73,$T33))))</f>
        <v>Đã lên lịch</v>
      </c>
      <c r="P33" s="703" t="str">
        <f t="array" ref="P33">IF($S33="","",IF($S33="Lớp 5",INDEX('Lớp 5 - Phân công'!$AC$14:$AC$262,$T33),IF($S33="Lớp 4",INDEX('Lớp 4 - Danh mục'!$AB$14:$AB$132,$T33),INDEX('Lớp 3 - Công việc chính'!$Y$14:$Y$73,$T33))))</f>
        <v>P2</v>
      </c>
      <c r="Q33" s="697" t="str">
        <f t="array" ref="Q33">IF($S33="","",IF($S33="Lớp 5",INDEX('Lớp 5 - Phân công'!$AG$14:$AG$262,$T33),IF($S33="Lớp 4",INDEX('Lớp 4 - Danh mục'!$AF$14:$AF$132,$T33),INDEX('Lớp 3 - Công việc chính'!$AC$14:$AC$73,$T33))))</f>
        <v/>
      </c>
      <c r="R33" s="698" t="str">
        <f t="array" ref="R33">IF($S33="","",IF($S33="Lớp 5",INDEX('Lớp 5 - Phân công'!$X$14:$X$262,$T33),IF($S33="Lớp 4",INDEX('Lớp 4 - Danh mục'!$V$14:$V$132,$T33),INDEX('Lớp 3 - Công việc chính'!$T$14:$T$73,$T33))))</f>
        <v>Bộ kết quả Bottom-up kế hoạch Online theo nền tảng và kênh được xác nhận.</v>
      </c>
      <c r="S33" s="699" t="str">
        <f>IF(ROWS($S$14:S33)&lt;=COUNTIF('Lớp 5 - Phân công'!$I$14:$I$262,"&lt;&gt;"),"Lớp 5",IF(ROWS($S$14:S33)&lt;=COUNTIF('Lớp 5 - Phân công'!$I$14:$I$262,"&lt;&gt;")+SUMPRODUCT(--('Lớp 4 - Danh mục'!$I$14:$I$132&lt;&gt;""),--(COUNTIF('Lớp 5 - Phân công'!$J$14:$J$262,'Lớp 4 - Danh mục'!$I$14:$I$132)=0)),"Lớp 4",IF(ROWS($S$14:S33)&lt;=COUNTIF('Lớp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3" s="699">
        <f t="array" ref="T33">IF(S33="","",IF(S33="Lớp 5",IF(S32&lt;&gt;"Lớp 5",MATCH("*",'Lớp 5 - Phân công'!$I$14:$I$262,0),T32+MATCH("*",INDEX('Lớp 5 - Phân công'!$I$14:$I$262,T32+1):'Lớp 5 - Phân công'!$I$262,0)),IF(S33="Lớp 4",IF(S32&lt;&gt;"Lớp 4",MATCH(1,INDEX(('Lớp 4 - Danh mục'!$I$14:$I$132&lt;&gt;"")*(COUNTIF('Lớp 5 - Phân công'!$J$14:$J$262,'Lớp 4 - Danh mục'!$I$14:$I$132)=0),0),0),T32+MATCH(1,INDEX((INDEX('Lớp 4 - Danh mục'!$I$14:$I$132,T32+1):'Lớp 4 - Danh mục'!$I$132&lt;&gt;"")*(COUNTIF('Lớp 5 - Phân công'!$J$14:$J$262,INDEX('Lớp 4 - Danh mục'!$I$14:$I$132,T32+1):'Lớp 4 - Danh mục'!$I$132)=0),0),0)),IF(S32&lt;&gt;"Lớp 3",MATCH(1,INDEX(('Lớp 3 - Công việc chính'!$I$14:$I$73&lt;&gt;"")*(COUNTIF('Lớp 4 - Danh mục'!$J$14:$J$132,'Lớp 3 - Công việc chính'!$I$14:$I$73)=0),0),0),T32+MATCH(1,INDEX((INDEX('Lớp 3 - Công việc chính'!$I$14:$I$73,T32+1):'Lớp 3 - Công việc chính'!$I$73&lt;&gt;"")*(COUNTIF('Lớp 4 - Danh mục'!$J$14:$J$132,INDEX('Lớp 3 - Công việc chính'!$I$14:$I$73,T32+1):'Lớp 3 - Công việc chính'!$I$73)=0),0),0)))))</f>
        <v>20</v>
      </c>
      <c r="U33" s="677"/>
      <c r="V33" s="678" t="str">
        <f>IF(U33="","",SUMIFS('Lớp 3 - Công việc chính'!$AF$14:$AF$73,'Lớp 3 - Công việc chính'!$V$14:$V$73,U33,'Lớp 3 - Công việc chính'!$Z$14:$Z$73,"&lt;="&amp;TODAY(),'Lớp 3 - Công việc chính'!$AA$14:$AA$73,"&gt;="&amp;TODAY())+SUMIFS('Lớp 4 - Danh mục'!$AI$14:$AI$132,'Lớp 4 - Danh mục'!$Z$14:$Z$132,U33,'Lớp 4 - Danh mục'!$AC$14:$AC$132,"&lt;="&amp;TODAY(),'Lớp 4 - Danh mục'!$AD$14:$AD$132,"&gt;="&amp;TODAY())+SUMIFS('Lớp 5 - Phân công'!$AJ$14:$AJ$262,'Lớp 5 - Phân công'!$AA$14:$AA$262,U33,'Lớp 5 - Phân công'!$AD$14:$AD$262,"&lt;="&amp;TODAY(),'Lớp 5 - Phân công'!$AE$14:$AE$262,"&gt;="&amp;TODAY())+SUMIFS('Lớp 6 - Chi tiết'!$AM$14:$AM$267,'Lớp 6 - Chi tiết'!$AC$14:$AC$267,U33,'Lớp 6 - Chi tiết'!$AG$14:$AG$267,"&lt;="&amp;TODAY(),'Lớp 6 - Chi tiết'!$AH$14:$AH$267,"&gt;="&amp;TODAY()))</f>
        <v/>
      </c>
      <c r="W33" s="679" t="str">
        <f>IF(V33="","",V33/'Danh mục chọn'!$J$2)</f>
        <v/>
      </c>
      <c r="X33" s="680" t="str">
        <f>IF(V33="","",IF(V33=0,"Chưa có tải tính được",IF(V33&gt;'Danh mục chọn'!$J$2,"Quá tải",IF(V33&gt;='Danh mục chọn'!$J$2*'Danh mục chọn'!$J$3,"Cận tải","Bình thường"))))</f>
        <v/>
      </c>
      <c r="Y33" s="678" t="str">
        <f>IF(U33="","",SUMPRODUCT(('Lớp 3 - Công việc chính'!$V$14:$V$73=U33)*('Lớp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mục'!$Z$14:$Z$132=U33)*('Lớp 4 - Danh mục'!$AD$14:$AD$132&lt;TODAY())*('Lớp 4 - Danh mục'!$AA$14:$AA$132&lt;&gt;"Hoàn thành")*('Lớp 4 - Danh mục'!$AA$14:$AA$132&lt;&gt;"Hủy")*('Lớp 4 - Danh mục'!$AI$14:$AI$132&lt;&gt;"")*IFERROR('Lớp 4 - Danh mục'!$AH$14:$AH$132*(1-'Lớp 4 - Danh mục'!$AF$14:$AF$132),0))+SUMPRODUCT(('Lớp 5 - Phân công'!$AA$14:$AA$262=U33)*('Lớp 5 - Phân công'!$AE$14:$AE$262&lt;TODAY())*('Lớp 5 - Phân công'!$AB$14:$AB$262&lt;&gt;"Hoàn thành")*('Lớp 5 - Phân công'!$AB$14:$AB$262&lt;&gt;"Hủy")*('Lớp 5 - Phân công'!$AJ$14:$AJ$262&lt;&gt;"")*IFERROR('Lớp 5 - Phân công'!$AI$14:$AI$262*(1-'Lớp 5 - Phân công'!$AG$14:$AG$262),0))+SUMPRODUCT(('Lớp 6 - Chi tiết'!$AC$14:$AC$267=U33)*('Lớp 6 - Chi tiết'!$AH$14:$AH$267&lt;TODAY())*('Lớp 6 - Chi tiết'!$AE$14:$AE$267&lt;&gt;"Hoàn thành")*('Lớp 6 - Chi tiết'!$AE$14:$AE$267&lt;&gt;"Hủy")*('Lớp 6 - Chi tiết'!$AM$14:$AM$267&lt;&gt;"")*IFERROR('Lớp 6 - Chi tiết'!$AL$14:$AL$267*(1-'Lớp 6 - Chi tiết'!$AJ$14:$AJ$267),0)))</f>
        <v/>
      </c>
      <c r="Z33" s="700" t="str">
        <f t="array" ref="Z33">IF($S33="","",IF($S33="Lớp 5",INDEX('Lớp 5 - Phân công'!$AS$14:$AS$262,$T33),IF($S33="Lớp 4",INDEX('Lớp 4 - Danh mục'!$AR$14:$AR$132,$T33),INDEX('Lớp 3 - Công việc chính'!$AO$14:$AO$73,$T33))))</f>
        <v>Tuần</v>
      </c>
      <c r="AA33" s="701">
        <f t="array" ref="AA33">IF($S33="","",IF($S33="Lớp 5",INDEX('Lớp 5 - Phân công'!$AT$14:$AT$262,$T33),IF($S33="Lớp 4",INDEX('Lớp 4 - Danh mục'!$AS$14:$AS$132,$T33),INDEX('Lớp 3 - Công việc chính'!$AP$14:$AP$73,$T33))))</f>
        <v>4</v>
      </c>
      <c r="AB33" s="701">
        <f t="array" ref="AB33">IF($S33="","",IF($S33="Lớp 5",INDEX('Lớp 5 - Phân công'!$AJ$14:$AJ$262,$T33),IF($S33="Lớp 4",INDEX('Lớp 4 - Danh mục'!$AI$14:$AI$132,$T33),INDEX('Lớp 3 - Công việc chính'!$AF$14:$AF$73,$T33))))</f>
        <v>0.8</v>
      </c>
      <c r="AC33" s="702" t="str">
        <f t="array" ref="AC33">IF($S33="","",IF($S33="Lớp 5",INDEX('Lớp 5 - Phân công'!$AV$14:$AV$262,$T33),IF($S33="Lớp 4",INDEX('Lớp 4 - Danh mục'!$AU$14:$AU$132,$T33),INDEX('Lớp 3 - Công việc chính'!$AR$14:$AR$73,$T33))))</f>
        <v>Thiếu 3.3 giờ/tuần</v>
      </c>
    </row>
    <row r="34" ht="15.75" customHeight="1">
      <c r="A34" s="690" t="str">
        <f t="shared" si="1"/>
        <v>Lớp 5</v>
      </c>
      <c r="B34" s="690" t="str">
        <f t="array" ref="B34">IF($S34="","",IF($S34="Lớp 5",INDEX('Lớp 5 - Phân công'!$I$14:$I$262,$T34),IF($S34="Lớp 4",INDEX('Lớp 4 - Danh mục'!$I$14:$I$132,$T34),INDEX('Lớp 3 - Công việc chính'!$I$14:$I$73,$T34))))</f>
        <v>HHL5DL05-01</v>
      </c>
      <c r="C34" s="690" t="str">
        <f t="array" ref="C34">IF($S34="","",IF($S34="Lớp 5",INDEX('Lớp 5 - Phân công'!$K$14:$K$262,$T34),IF($S34="Lớp 4",INDEX('Lớp 4 - Danh mục'!$J$14:$J$132,$T34),INDEX('Lớp 3 - Công việc chính'!$I$14:$I$73,$T34))))</f>
        <v>HHL3CT03</v>
      </c>
      <c r="D34" s="690" t="str">
        <f t="array" ref="D34">IF($S34="","",IF($S34="Lớp 5",INDEX('Lớp 5 - Phân công'!$J$14:$J$262,$T34),IF($S34="Lớp 4",INDEX('Lớp 4 - Danh mục'!$I$14:$I$132,$T34),"")))</f>
        <v>HHL4DL05</v>
      </c>
      <c r="E34" s="690">
        <f t="array" ref="E34">IF($S34="","",IF($S34="Lớp 5",INDEX('Lớp 5 - Phân công'!$L$14:$L$262,$T34),IF($S34="Lớp 4",INDEX('Lớp 4 - Danh mục'!$K$14:$K$132,$T34),INDEX('Lớp 3 - Công việc chính'!$J$14:$J$73,$T34))))</f>
        <v>2026</v>
      </c>
      <c r="F34" s="690" t="str">
        <f t="array" ref="F34">IF($S34="","",IF($S34="Lớp 5",INDEX('Lớp 5 - Phân công'!$M$14:$M$262,$T34),IF($S34="Lớp 4",INDEX('Lớp 4 - Danh mục'!$L$14:$L$132,$T34),INDEX('Lớp 3 - Công việc chính'!$K$14:$K$73,$T34))))</f>
        <v>Cấp công ty</v>
      </c>
      <c r="G34" s="691" t="str">
        <f t="array" ref="G34">IF($S34="","",IF($S34="Lớp 5",INDEX('Lớp 5 - Phân công'!$N$14:$N$262,$T34),IF($S34="Lớp 4",INDEX('Lớp 4 - Danh mục'!$M$14:$M$132,$T34),INDEX('Lớp 3 - Công việc chính'!$L$14:$L$73,$T34))))</f>
        <v>Chiến lược/sống còn</v>
      </c>
      <c r="H34" s="692" t="str">
        <f t="array" ref="H34">IF($S34="","",IF($S34="Lớp 5",INDEX('Lớp 5 - Phân công'!$O$14:$O$262,$T34),IF($S34="Lớp 4",INDEX('Lớp 4 - Danh mục'!$N$14:$N$132,$T34),INDEX('Lớp 3 - Công việc chính'!$M$14:$M$73,$T34))))</f>
        <v>KHKD 2027&amp; HT lập KH theo tham số KD (bán tự động)</v>
      </c>
      <c r="I34" s="692" t="str">
        <f t="array" ref="I34">IF($S34="","",IF($S34="Lớp 5",INDEX('Lớp 5 - Phân công'!$P$14:$P$262,$T34),IF($S34="Lớp 4",INDEX('Lớp 4 - Danh mục'!$O$14:$O$132,$T34),"")))</f>
        <v>Xây dựng công thức &amp; tạo HT tham số cho KH XK</v>
      </c>
      <c r="J34" s="693" t="str">
        <f t="array" ref="J34">IF($S34="","",IF($S34="Lớp 5",INDEX('Lớp 5 - Phân công'!$Q$14:$Q$262,$T34),""))</f>
        <v>XD &amp; phản biện công thức (nội bộ) XK</v>
      </c>
      <c r="K34" s="690" t="str">
        <f t="array" ref="K34">IF($S34="","",IF($S34="Lớp 5",INDEX('Lớp 5 - Phân công'!$AA$14:$AA$262,$T34),IF($S34="Lớp 4",INDEX('Lớp 4 - Danh mục'!$Y$14:$Y$132,$T34),INDEX('Lớp 3 - Công việc chính'!$U$14:$U$73,$T34))))</f>
        <v>Em Đại</v>
      </c>
      <c r="L34" s="691" t="str">
        <f t="array" ref="L34">IF($S34="","",IF($S34="Lớp 5",INDEX('Lớp 5 - Phân công'!$Z$14:$Z$262,$T34),IF($S34="Lớp 4",INDEX('Lớp 4 - Danh mục'!$X$14:$X$132,$T34),INDEX('Lớp 3 - Công việc chính'!$W$14:$W$73,$T34))))</f>
        <v>Dữ liệu điều hành</v>
      </c>
      <c r="M34" s="694">
        <f t="array" ref="M34">IF($S34="","",IF($S34="Lớp 5",INDEX('Lớp 5 - Phân công'!$AD$14:$AD$262,$T34),IF($S34="Lớp 4",INDEX('Lớp 4 - Danh mục'!$AC$14:$AC$132,$T34),INDEX('Lớp 3 - Công việc chính'!$Z$14:$Z$73,$T34))))</f>
        <v>46290</v>
      </c>
      <c r="N34" s="695">
        <f t="array" ref="N34">IF($S34="","",IF($S34="Lớp 5",INDEX('Lớp 5 - Phân công'!$AE$14:$AE$262,$T34),IF($S34="Lớp 4",INDEX('Lớp 4 - Danh mục'!$AD$14:$AD$132,$T34),INDEX('Lớp 3 - Công việc chính'!$AA$14:$AA$73,$T34))))</f>
        <v>46300</v>
      </c>
      <c r="O34" s="690" t="str">
        <f t="array" ref="O34">IF($S34="","",IF($S34="Lớp 5",INDEX('Lớp 5 - Phân công'!$AB$14:$AB$262,$T34),IF($S34="Lớp 4",INDEX('Lớp 4 - Danh mục'!$AA$14:$AA$132,$T34),INDEX('Lớp 3 - Công việc chính'!$X$14:$X$73,$T34))))</f>
        <v>Chưa bắt đầu</v>
      </c>
      <c r="P34" s="703" t="str">
        <f t="array" ref="P34">IF($S34="","",IF($S34="Lớp 5",INDEX('Lớp 5 - Phân công'!$AC$14:$AC$262,$T34),IF($S34="Lớp 4",INDEX('Lớp 4 - Danh mục'!$AB$14:$AB$132,$T34),INDEX('Lớp 3 - Công việc chính'!$Y$14:$Y$73,$T34))))</f>
        <v>P2</v>
      </c>
      <c r="Q34" s="697">
        <f t="array" ref="Q34">IF($S34="","",IF($S34="Lớp 5",INDEX('Lớp 5 - Phân công'!$AG$14:$AG$262,$T34),IF($S34="Lớp 4",INDEX('Lớp 4 - Danh mục'!$AF$14:$AF$132,$T34),INDEX('Lớp 3 - Công việc chính'!$AC$14:$AC$73,$T34))))</f>
        <v>0</v>
      </c>
      <c r="R34" s="698" t="str">
        <f t="array" ref="R34">IF($S34="","",IF($S34="Lớp 5",INDEX('Lớp 5 - Phân công'!$X$14:$X$262,$T34),IF($S34="Lớp 4",INDEX('Lớp 4 - Danh mục'!$V$14:$V$132,$T34),INDEX('Lớp 3 - Công việc chính'!$T$14:$T$73,$T34))))</f>
        <v>Bộ công thức kế hoạch xuất khẩu được xây dựng, phản biện nội bộ và chốt phiên bản.</v>
      </c>
      <c r="S34" s="699" t="str">
        <f>IF(ROWS($S$14:S34)&lt;=COUNTIF('Lớp 5 - Phân công'!$I$14:$I$262,"&lt;&gt;"),"Lớp 5",IF(ROWS($S$14:S34)&lt;=COUNTIF('Lớp 5 - Phân công'!$I$14:$I$262,"&lt;&gt;")+SUMPRODUCT(--('Lớp 4 - Danh mục'!$I$14:$I$132&lt;&gt;""),--(COUNTIF('Lớp 5 - Phân công'!$J$14:$J$262,'Lớp 4 - Danh mục'!$I$14:$I$132)=0)),"Lớp 4",IF(ROWS($S$14:S34)&lt;=COUNTIF('Lớp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4" s="699">
        <f t="array" ref="T34">IF(S34="","",IF(S34="Lớp 5",IF(S33&lt;&gt;"Lớp 5",MATCH("*",'Lớp 5 - Phân công'!$I$14:$I$262,0),T33+MATCH("*",INDEX('Lớp 5 - Phân công'!$I$14:$I$262,T33+1):'Lớp 5 - Phân công'!$I$262,0)),IF(S34="Lớp 4",IF(S33&lt;&gt;"Lớp 4",MATCH(1,INDEX(('Lớp 4 - Danh mục'!$I$14:$I$132&lt;&gt;"")*(COUNTIF('Lớp 5 - Phân công'!$J$14:$J$262,'Lớp 4 - Danh mục'!$I$14:$I$132)=0),0),0),T33+MATCH(1,INDEX((INDEX('Lớp 4 - Danh mục'!$I$14:$I$132,T33+1):'Lớp 4 - Danh mục'!$I$132&lt;&gt;"")*(COUNTIF('Lớp 5 - Phân công'!$J$14:$J$262,INDEX('Lớp 4 - Danh mục'!$I$14:$I$132,T33+1):'Lớp 4 - Danh mục'!$I$132)=0),0),0)),IF(S33&lt;&gt;"Lớp 3",MATCH(1,INDEX(('Lớp 3 - Công việc chính'!$I$14:$I$73&lt;&gt;"")*(COUNTIF('Lớp 4 - Danh mục'!$J$14:$J$132,'Lớp 3 - Công việc chính'!$I$14:$I$73)=0),0),0),T33+MATCH(1,INDEX((INDEX('Lớp 3 - Công việc chính'!$I$14:$I$73,T33+1):'Lớp 3 - Công việc chính'!$I$73&lt;&gt;"")*(COUNTIF('Lớp 4 - Danh mục'!$J$14:$J$132,INDEX('Lớp 3 - Công việc chính'!$I$14:$I$73,T33+1):'Lớp 3 - Công việc chính'!$I$73)=0),0),0)))))</f>
        <v>21</v>
      </c>
      <c r="U34" s="677"/>
      <c r="V34" s="678" t="str">
        <f>IF(U34="","",SUMIFS('Lớp 3 - Công việc chính'!$AF$14:$AF$73,'Lớp 3 - Công việc chính'!$V$14:$V$73,U34,'Lớp 3 - Công việc chính'!$Z$14:$Z$73,"&lt;="&amp;TODAY(),'Lớp 3 - Công việc chính'!$AA$14:$AA$73,"&gt;="&amp;TODAY())+SUMIFS('Lớp 4 - Danh mục'!$AI$14:$AI$132,'Lớp 4 - Danh mục'!$Z$14:$Z$132,U34,'Lớp 4 - Danh mục'!$AC$14:$AC$132,"&lt;="&amp;TODAY(),'Lớp 4 - Danh mục'!$AD$14:$AD$132,"&gt;="&amp;TODAY())+SUMIFS('Lớp 5 - Phân công'!$AJ$14:$AJ$262,'Lớp 5 - Phân công'!$AA$14:$AA$262,U34,'Lớp 5 - Phân công'!$AD$14:$AD$262,"&lt;="&amp;TODAY(),'Lớp 5 - Phân công'!$AE$14:$AE$262,"&gt;="&amp;TODAY())+SUMIFS('Lớp 6 - Chi tiết'!$AM$14:$AM$267,'Lớp 6 - Chi tiết'!$AC$14:$AC$267,U34,'Lớp 6 - Chi tiết'!$AG$14:$AG$267,"&lt;="&amp;TODAY(),'Lớp 6 - Chi tiết'!$AH$14:$AH$267,"&gt;="&amp;TODAY()))</f>
        <v/>
      </c>
      <c r="W34" s="679" t="str">
        <f>IF(V34="","",V34/'Danh mục chọn'!$J$2)</f>
        <v/>
      </c>
      <c r="X34" s="680" t="str">
        <f>IF(V34="","",IF(V34=0,"Chưa có tải tính được",IF(V34&gt;'Danh mục chọn'!$J$2,"Quá tải",IF(V34&gt;='Danh mục chọn'!$J$2*'Danh mục chọn'!$J$3,"Cận tải","Bình thường"))))</f>
        <v/>
      </c>
      <c r="Y34" s="678" t="str">
        <f>IF(U34="","",SUMPRODUCT(('Lớp 3 - Công việc chính'!$V$14:$V$73=U34)*('Lớp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mục'!$Z$14:$Z$132=U34)*('Lớp 4 - Danh mục'!$AD$14:$AD$132&lt;TODAY())*('Lớp 4 - Danh mục'!$AA$14:$AA$132&lt;&gt;"Hoàn thành")*('Lớp 4 - Danh mục'!$AA$14:$AA$132&lt;&gt;"Hủy")*('Lớp 4 - Danh mục'!$AI$14:$AI$132&lt;&gt;"")*IFERROR('Lớp 4 - Danh mục'!$AH$14:$AH$132*(1-'Lớp 4 - Danh mục'!$AF$14:$AF$132),0))+SUMPRODUCT(('Lớp 5 - Phân công'!$AA$14:$AA$262=U34)*('Lớp 5 - Phân công'!$AE$14:$AE$262&lt;TODAY())*('Lớp 5 - Phân công'!$AB$14:$AB$262&lt;&gt;"Hoàn thành")*('Lớp 5 - Phân công'!$AB$14:$AB$262&lt;&gt;"Hủy")*('Lớp 5 - Phân công'!$AJ$14:$AJ$262&lt;&gt;"")*IFERROR('Lớp 5 - Phân công'!$AI$14:$AI$262*(1-'Lớp 5 - Phân công'!$AG$14:$AG$262),0))+SUMPRODUCT(('Lớp 6 - Chi tiết'!$AC$14:$AC$267=U34)*('Lớp 6 - Chi tiết'!$AH$14:$AH$267&lt;TODAY())*('Lớp 6 - Chi tiết'!$AE$14:$AE$267&lt;&gt;"Hoàn thành")*('Lớp 6 - Chi tiết'!$AE$14:$AE$267&lt;&gt;"Hủy")*('Lớp 6 - Chi tiết'!$AM$14:$AM$267&lt;&gt;"")*IFERROR('Lớp 6 - Chi tiết'!$AL$14:$AL$267*(1-'Lớp 6 - Chi tiết'!$AJ$14:$AJ$267),0)))</f>
        <v/>
      </c>
      <c r="Z34" s="700" t="str">
        <f t="array" ref="Z34">IF($S34="","",IF($S34="Lớp 5",INDEX('Lớp 5 - Phân công'!$AS$14:$AS$262,$T34),IF($S34="Lớp 4",INDEX('Lớp 4 - Danh mục'!$AR$14:$AR$132,$T34),INDEX('Lớp 3 - Công việc chính'!$AO$14:$AO$73,$T34))))</f>
        <v>Tuần</v>
      </c>
      <c r="AA34" s="701">
        <f t="array" ref="AA34">IF($S34="","",IF($S34="Lớp 5",INDEX('Lớp 5 - Phân công'!$AT$14:$AT$262,$T34),IF($S34="Lớp 4",INDEX('Lớp 4 - Danh mục'!$AS$14:$AS$132,$T34),INDEX('Lớp 3 - Công việc chính'!$AP$14:$AP$73,$T34))))</f>
        <v>4</v>
      </c>
      <c r="AB34" s="701">
        <f t="array" ref="AB34">IF($S34="","",IF($S34="Lớp 5",INDEX('Lớp 5 - Phân công'!$AJ$14:$AJ$262,$T34),IF($S34="Lớp 4",INDEX('Lớp 4 - Danh mục'!$AI$14:$AI$132,$T34),INDEX('Lớp 3 - Công việc chính'!$AF$14:$AF$73,$T34))))</f>
        <v>0.8</v>
      </c>
      <c r="AC34" s="702" t="str">
        <f t="array" ref="AC34">IF($S34="","",IF($S34="Lớp 5",INDEX('Lớp 5 - Phân công'!$AV$14:$AV$262,$T34),IF($S34="Lớp 4",INDEX('Lớp 4 - Danh mục'!$AU$14:$AU$132,$T34),INDEX('Lớp 3 - Công việc chính'!$AR$14:$AR$73,$T34))))</f>
        <v>Thiếu 4.9 giờ/tuần</v>
      </c>
    </row>
    <row r="35" ht="15.75" customHeight="1">
      <c r="A35" s="690" t="str">
        <f t="shared" si="1"/>
        <v>Lớp 5</v>
      </c>
      <c r="B35" s="690" t="str">
        <f t="array" ref="B35">IF($S35="","",IF($S35="Lớp 5",INDEX('Lớp 5 - Phân công'!$I$14:$I$262,$T35),IF($S35="Lớp 4",INDEX('Lớp 4 - Danh mục'!$I$14:$I$132,$T35),INDEX('Lớp 3 - Công việc chính'!$I$14:$I$73,$T35))))</f>
        <v>HHL5DL05-02</v>
      </c>
      <c r="C35" s="690" t="str">
        <f t="array" ref="C35">IF($S35="","",IF($S35="Lớp 5",INDEX('Lớp 5 - Phân công'!$K$14:$K$262,$T35),IF($S35="Lớp 4",INDEX('Lớp 4 - Danh mục'!$J$14:$J$132,$T35),INDEX('Lớp 3 - Công việc chính'!$I$14:$I$73,$T35))))</f>
        <v>HHL3CT03</v>
      </c>
      <c r="D35" s="690" t="str">
        <f t="array" ref="D35">IF($S35="","",IF($S35="Lớp 5",INDEX('Lớp 5 - Phân công'!$J$14:$J$262,$T35),IF($S35="Lớp 4",INDEX('Lớp 4 - Danh mục'!$I$14:$I$132,$T35),"")))</f>
        <v>HHL4DL05</v>
      </c>
      <c r="E35" s="690">
        <f t="array" ref="E35">IF($S35="","",IF($S35="Lớp 5",INDEX('Lớp 5 - Phân công'!$L$14:$L$262,$T35),IF($S35="Lớp 4",INDEX('Lớp 4 - Danh mục'!$K$14:$K$132,$T35),INDEX('Lớp 3 - Công việc chính'!$J$14:$J$73,$T35))))</f>
        <v>2026</v>
      </c>
      <c r="F35" s="690" t="str">
        <f t="array" ref="F35">IF($S35="","",IF($S35="Lớp 5",INDEX('Lớp 5 - Phân công'!$M$14:$M$262,$T35),IF($S35="Lớp 4",INDEX('Lớp 4 - Danh mục'!$L$14:$L$132,$T35),INDEX('Lớp 3 - Công việc chính'!$K$14:$K$73,$T35))))</f>
        <v>Cấp công ty</v>
      </c>
      <c r="G35" s="691" t="str">
        <f t="array" ref="G35">IF($S35="","",IF($S35="Lớp 5",INDEX('Lớp 5 - Phân công'!$N$14:$N$262,$T35),IF($S35="Lớp 4",INDEX('Lớp 4 - Danh mục'!$M$14:$M$132,$T35),INDEX('Lớp 3 - Công việc chính'!$L$14:$L$73,$T35))))</f>
        <v>Chiến lược/sống còn</v>
      </c>
      <c r="H35" s="692" t="str">
        <f t="array" ref="H35">IF($S35="","",IF($S35="Lớp 5",INDEX('Lớp 5 - Phân công'!$O$14:$O$262,$T35),IF($S35="Lớp 4",INDEX('Lớp 4 - Danh mục'!$N$14:$N$132,$T35),INDEX('Lớp 3 - Công việc chính'!$M$14:$M$73,$T35))))</f>
        <v>KHKD 2027&amp; HT lập KH theo tham số KD (bán tự động)</v>
      </c>
      <c r="I35" s="692" t="str">
        <f t="array" ref="I35">IF($S35="","",IF($S35="Lớp 5",INDEX('Lớp 5 - Phân công'!$P$14:$P$262,$T35),IF($S35="Lớp 4",INDEX('Lớp 4 - Danh mục'!$O$14:$O$132,$T35),"")))</f>
        <v>Xây dựng công thức &amp; tạo HT tham số cho KH XK</v>
      </c>
      <c r="J35" s="693" t="str">
        <f t="array" ref="J35">IF($S35="","",IF($S35="Lớp 5",INDEX('Lớp 5 - Phân công'!$Q$14:$Q$262,$T35),""))</f>
        <v>Phản biện với TGĐ &amp; liên PB XK</v>
      </c>
      <c r="K35" s="690" t="str">
        <f t="array" ref="K35">IF($S35="","",IF($S35="Lớp 5",INDEX('Lớp 5 - Phân công'!$AA$14:$AA$262,$T35),IF($S35="Lớp 4",INDEX('Lớp 4 - Danh mục'!$Y$14:$Y$132,$T35),INDEX('Lớp 3 - Công việc chính'!$U$14:$U$73,$T35))))</f>
        <v>Em Đại</v>
      </c>
      <c r="L35" s="691" t="str">
        <f t="array" ref="L35">IF($S35="","",IF($S35="Lớp 5",INDEX('Lớp 5 - Phân công'!$Z$14:$Z$262,$T35),IF($S35="Lớp 4",INDEX('Lớp 4 - Danh mục'!$X$14:$X$132,$T35),INDEX('Lớp 3 - Công việc chính'!$W$14:$W$73,$T35))))</f>
        <v>Dữ liệu điều hành</v>
      </c>
      <c r="M35" s="694">
        <f t="array" ref="M35">IF($S35="","",IF($S35="Lớp 5",INDEX('Lớp 5 - Phân công'!$AD$14:$AD$262,$T35),IF($S35="Lớp 4",INDEX('Lớp 4 - Danh mục'!$AC$14:$AC$132,$T35),INDEX('Lớp 3 - Công việc chính'!$Z$14:$Z$73,$T35))))</f>
        <v>46271</v>
      </c>
      <c r="N35" s="695">
        <f t="array" ref="N35">IF($S35="","",IF($S35="Lớp 5",INDEX('Lớp 5 - Phân công'!$AE$14:$AE$262,$T35),IF($S35="Lớp 4",INDEX('Lớp 4 - Danh mục'!$AD$14:$AD$132,$T35),INDEX('Lớp 3 - Công việc chính'!$AA$14:$AA$73,$T35))))</f>
        <v>46310</v>
      </c>
      <c r="O35" s="690" t="str">
        <f t="array" ref="O35">IF($S35="","",IF($S35="Lớp 5",INDEX('Lớp 5 - Phân công'!$AB$14:$AB$262,$T35),IF($S35="Lớp 4",INDEX('Lớp 4 - Danh mục'!$AA$14:$AA$132,$T35),INDEX('Lớp 3 - Công việc chính'!$X$14:$X$73,$T35))))</f>
        <v>Chưa bắt đầu</v>
      </c>
      <c r="P35" s="703" t="str">
        <f t="array" ref="P35">IF($S35="","",IF($S35="Lớp 5",INDEX('Lớp 5 - Phân công'!$AC$14:$AC$262,$T35),IF($S35="Lớp 4",INDEX('Lớp 4 - Danh mục'!$AB$14:$AB$132,$T35),INDEX('Lớp 3 - Công việc chính'!$Y$14:$Y$73,$T35))))</f>
        <v>P2</v>
      </c>
      <c r="Q35" s="697">
        <f t="array" ref="Q35">IF($S35="","",IF($S35="Lớp 5",INDEX('Lớp 5 - Phân công'!$AG$14:$AG$262,$T35),IF($S35="Lớp 4",INDEX('Lớp 4 - Danh mục'!$AF$14:$AF$132,$T35),INDEX('Lớp 3 - Công việc chính'!$AC$14:$AC$73,$T35))))</f>
        <v>0</v>
      </c>
      <c r="R35" s="698" t="str">
        <f t="array" ref="R35">IF($S35="","",IF($S35="Lớp 5",INDEX('Lớp 5 - Phân công'!$X$14:$X$262,$T35),IF($S35="Lớp 4",INDEX('Lớp 4 - Danh mục'!$V$14:$V$132,$T35),INDEX('Lớp 3 - Công việc chính'!$T$14:$T$73,$T35))))</f>
        <v>Biên bản phản biện công thức xuất khẩu và danh mục điều chỉnh được thống nhất.</v>
      </c>
      <c r="S35" s="699" t="str">
        <f>IF(ROWS($S$14:S35)&lt;=COUNTIF('Lớp 5 - Phân công'!$I$14:$I$262,"&lt;&gt;"),"Lớp 5",IF(ROWS($S$14:S35)&lt;=COUNTIF('Lớp 5 - Phân công'!$I$14:$I$262,"&lt;&gt;")+SUMPRODUCT(--('Lớp 4 - Danh mục'!$I$14:$I$132&lt;&gt;""),--(COUNTIF('Lớp 5 - Phân công'!$J$14:$J$262,'Lớp 4 - Danh mục'!$I$14:$I$132)=0)),"Lớp 4",IF(ROWS($S$14:S35)&lt;=COUNTIF('Lớp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5" s="699">
        <f t="array" ref="T35">IF(S35="","",IF(S35="Lớp 5",IF(S34&lt;&gt;"Lớp 5",MATCH("*",'Lớp 5 - Phân công'!$I$14:$I$262,0),T34+MATCH("*",INDEX('Lớp 5 - Phân công'!$I$14:$I$262,T34+1):'Lớp 5 - Phân công'!$I$262,0)),IF(S35="Lớp 4",IF(S34&lt;&gt;"Lớp 4",MATCH(1,INDEX(('Lớp 4 - Danh mục'!$I$14:$I$132&lt;&gt;"")*(COUNTIF('Lớp 5 - Phân công'!$J$14:$J$262,'Lớp 4 - Danh mục'!$I$14:$I$132)=0),0),0),T34+MATCH(1,INDEX((INDEX('Lớp 4 - Danh mục'!$I$14:$I$132,T34+1):'Lớp 4 - Danh mục'!$I$132&lt;&gt;"")*(COUNTIF('Lớp 5 - Phân công'!$J$14:$J$262,INDEX('Lớp 4 - Danh mục'!$I$14:$I$132,T34+1):'Lớp 4 - Danh mục'!$I$132)=0),0),0)),IF(S34&lt;&gt;"Lớp 3",MATCH(1,INDEX(('Lớp 3 - Công việc chính'!$I$14:$I$73&lt;&gt;"")*(COUNTIF('Lớp 4 - Danh mục'!$J$14:$J$132,'Lớp 3 - Công việc chính'!$I$14:$I$73)=0),0),0),T34+MATCH(1,INDEX((INDEX('Lớp 3 - Công việc chính'!$I$14:$I$73,T34+1):'Lớp 3 - Công việc chính'!$I$73&lt;&gt;"")*(COUNTIF('Lớp 4 - Danh mục'!$J$14:$J$132,INDEX('Lớp 3 - Công việc chính'!$I$14:$I$73,T34+1):'Lớp 3 - Công việc chính'!$I$73)=0),0),0)))))</f>
        <v>22</v>
      </c>
      <c r="U35" s="677"/>
      <c r="V35" s="678" t="str">
        <f>IF(U35="","",SUMIFS('Lớp 3 - Công việc chính'!$AF$14:$AF$73,'Lớp 3 - Công việc chính'!$V$14:$V$73,U35,'Lớp 3 - Công việc chính'!$Z$14:$Z$73,"&lt;="&amp;TODAY(),'Lớp 3 - Công việc chính'!$AA$14:$AA$73,"&gt;="&amp;TODAY())+SUMIFS('Lớp 4 - Danh mục'!$AI$14:$AI$132,'Lớp 4 - Danh mục'!$Z$14:$Z$132,U35,'Lớp 4 - Danh mục'!$AC$14:$AC$132,"&lt;="&amp;TODAY(),'Lớp 4 - Danh mục'!$AD$14:$AD$132,"&gt;="&amp;TODAY())+SUMIFS('Lớp 5 - Phân công'!$AJ$14:$AJ$262,'Lớp 5 - Phân công'!$AA$14:$AA$262,U35,'Lớp 5 - Phân công'!$AD$14:$AD$262,"&lt;="&amp;TODAY(),'Lớp 5 - Phân công'!$AE$14:$AE$262,"&gt;="&amp;TODAY())+SUMIFS('Lớp 6 - Chi tiết'!$AM$14:$AM$267,'Lớp 6 - Chi tiết'!$AC$14:$AC$267,U35,'Lớp 6 - Chi tiết'!$AG$14:$AG$267,"&lt;="&amp;TODAY(),'Lớp 6 - Chi tiết'!$AH$14:$AH$267,"&gt;="&amp;TODAY()))</f>
        <v/>
      </c>
      <c r="W35" s="679" t="str">
        <f>IF(V35="","",V35/'Danh mục chọn'!$J$2)</f>
        <v/>
      </c>
      <c r="X35" s="680" t="str">
        <f>IF(V35="","",IF(V35=0,"Chưa có tải tính được",IF(V35&gt;'Danh mục chọn'!$J$2,"Quá tải",IF(V35&gt;='Danh mục chọn'!$J$2*'Danh mục chọn'!$J$3,"Cận tải","Bình thường"))))</f>
        <v/>
      </c>
      <c r="Y35" s="678" t="str">
        <f>IF(U35="","",SUMPRODUCT(('Lớp 3 - Công việc chính'!$V$14:$V$73=U35)*('Lớp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mục'!$Z$14:$Z$132=U35)*('Lớp 4 - Danh mục'!$AD$14:$AD$132&lt;TODAY())*('Lớp 4 - Danh mục'!$AA$14:$AA$132&lt;&gt;"Hoàn thành")*('Lớp 4 - Danh mục'!$AA$14:$AA$132&lt;&gt;"Hủy")*('Lớp 4 - Danh mục'!$AI$14:$AI$132&lt;&gt;"")*IFERROR('Lớp 4 - Danh mục'!$AH$14:$AH$132*(1-'Lớp 4 - Danh mục'!$AF$14:$AF$132),0))+SUMPRODUCT(('Lớp 5 - Phân công'!$AA$14:$AA$262=U35)*('Lớp 5 - Phân công'!$AE$14:$AE$262&lt;TODAY())*('Lớp 5 - Phân công'!$AB$14:$AB$262&lt;&gt;"Hoàn thành")*('Lớp 5 - Phân công'!$AB$14:$AB$262&lt;&gt;"Hủy")*('Lớp 5 - Phân công'!$AJ$14:$AJ$262&lt;&gt;"")*IFERROR('Lớp 5 - Phân công'!$AI$14:$AI$262*(1-'Lớp 5 - Phân công'!$AG$14:$AG$262),0))+SUMPRODUCT(('Lớp 6 - Chi tiết'!$AC$14:$AC$267=U35)*('Lớp 6 - Chi tiết'!$AH$14:$AH$267&lt;TODAY())*('Lớp 6 - Chi tiết'!$AE$14:$AE$267&lt;&gt;"Hoàn thành")*('Lớp 6 - Chi tiết'!$AE$14:$AE$267&lt;&gt;"Hủy")*('Lớp 6 - Chi tiết'!$AM$14:$AM$267&lt;&gt;"")*IFERROR('Lớp 6 - Chi tiết'!$AL$14:$AL$267*(1-'Lớp 6 - Chi tiết'!$AJ$14:$AJ$267),0)))</f>
        <v/>
      </c>
      <c r="Z35" s="700" t="str">
        <f t="array" ref="Z35">IF($S35="","",IF($S35="Lớp 5",INDEX('Lớp 5 - Phân công'!$AS$14:$AS$262,$T35),IF($S35="Lớp 4",INDEX('Lớp 4 - Danh mục'!$AR$14:$AR$132,$T35),INDEX('Lớp 3 - Công việc chính'!$AO$14:$AO$73,$T35))))</f>
        <v>Tuần</v>
      </c>
      <c r="AA35" s="701">
        <f t="array" ref="AA35">IF($S35="","",IF($S35="Lớp 5",INDEX('Lớp 5 - Phân công'!$AT$14:$AT$262,$T35),IF($S35="Lớp 4",INDEX('Lớp 4 - Danh mục'!$AS$14:$AS$132,$T35),INDEX('Lớp 3 - Công việc chính'!$AP$14:$AP$73,$T35))))</f>
        <v>4</v>
      </c>
      <c r="AB35" s="701">
        <f t="array" ref="AB35">IF($S35="","",IF($S35="Lớp 5",INDEX('Lớp 5 - Phân công'!$AJ$14:$AJ$262,$T35),IF($S35="Lớp 4",INDEX('Lớp 4 - Danh mục'!$AI$14:$AI$132,$T35),INDEX('Lớp 3 - Công việc chính'!$AF$14:$AF$73,$T35))))</f>
        <v>0.8</v>
      </c>
      <c r="AC35" s="702" t="str">
        <f t="array" ref="AC35">IF($S35="","",IF($S35="Lớp 5",INDEX('Lớp 5 - Phân công'!$AV$14:$AV$262,$T35),IF($S35="Lớp 4",INDEX('Lớp 4 - Danh mục'!$AU$14:$AU$132,$T35),INDEX('Lớp 3 - Công việc chính'!$AR$14:$AR$73,$T35))))</f>
        <v>Đủ phân bổ theo tuần</v>
      </c>
    </row>
    <row r="36" ht="15.75" customHeight="1">
      <c r="A36" s="690" t="str">
        <f t="shared" si="1"/>
        <v>Lớp 5</v>
      </c>
      <c r="B36" s="690" t="str">
        <f t="array" ref="B36">IF($S36="","",IF($S36="Lớp 5",INDEX('Lớp 5 - Phân công'!$I$14:$I$262,$T36),IF($S36="Lớp 4",INDEX('Lớp 4 - Danh mục'!$I$14:$I$132,$T36),INDEX('Lớp 3 - Công việc chính'!$I$14:$I$73,$T36))))</f>
        <v>HHL5DL05-03</v>
      </c>
      <c r="C36" s="690" t="str">
        <f t="array" ref="C36">IF($S36="","",IF($S36="Lớp 5",INDEX('Lớp 5 - Phân công'!$K$14:$K$262,$T36),IF($S36="Lớp 4",INDEX('Lớp 4 - Danh mục'!$J$14:$J$132,$T36),INDEX('Lớp 3 - Công việc chính'!$I$14:$I$73,$T36))))</f>
        <v>HHL3CT03</v>
      </c>
      <c r="D36" s="690" t="str">
        <f t="array" ref="D36">IF($S36="","",IF($S36="Lớp 5",INDEX('Lớp 5 - Phân công'!$J$14:$J$262,$T36),IF($S36="Lớp 4",INDEX('Lớp 4 - Danh mục'!$I$14:$I$132,$T36),"")))</f>
        <v>HHL4DL05</v>
      </c>
      <c r="E36" s="690">
        <f t="array" ref="E36">IF($S36="","",IF($S36="Lớp 5",INDEX('Lớp 5 - Phân công'!$L$14:$L$262,$T36),IF($S36="Lớp 4",INDEX('Lớp 4 - Danh mục'!$K$14:$K$132,$T36),INDEX('Lớp 3 - Công việc chính'!$J$14:$J$73,$T36))))</f>
        <v>2026</v>
      </c>
      <c r="F36" s="690" t="str">
        <f t="array" ref="F36">IF($S36="","",IF($S36="Lớp 5",INDEX('Lớp 5 - Phân công'!$M$14:$M$262,$T36),IF($S36="Lớp 4",INDEX('Lớp 4 - Danh mục'!$L$14:$L$132,$T36),INDEX('Lớp 3 - Công việc chính'!$K$14:$K$73,$T36))))</f>
        <v>Cấp công ty</v>
      </c>
      <c r="G36" s="691" t="str">
        <f t="array" ref="G36">IF($S36="","",IF($S36="Lớp 5",INDEX('Lớp 5 - Phân công'!$N$14:$N$262,$T36),IF($S36="Lớp 4",INDEX('Lớp 4 - Danh mục'!$M$14:$M$132,$T36),INDEX('Lớp 3 - Công việc chính'!$L$14:$L$73,$T36))))</f>
        <v>Chiến lược/sống còn</v>
      </c>
      <c r="H36" s="692" t="str">
        <f t="array" ref="H36">IF($S36="","",IF($S36="Lớp 5",INDEX('Lớp 5 - Phân công'!$O$14:$O$262,$T36),IF($S36="Lớp 4",INDEX('Lớp 4 - Danh mục'!$N$14:$N$132,$T36),INDEX('Lớp 3 - Công việc chính'!$M$14:$M$73,$T36))))</f>
        <v>KHKD 2027&amp; HT lập KH theo tham số KD (bán tự động)</v>
      </c>
      <c r="I36" s="692" t="str">
        <f t="array" ref="I36">IF($S36="","",IF($S36="Lớp 5",INDEX('Lớp 5 - Phân công'!$P$14:$P$262,$T36),IF($S36="Lớp 4",INDEX('Lớp 4 - Danh mục'!$O$14:$O$132,$T36),"")))</f>
        <v>Xây dựng công thức &amp; tạo HT tham số cho KH XK</v>
      </c>
      <c r="J36" s="693" t="str">
        <f t="array" ref="J36">IF($S36="","",IF($S36="Lớp 5",INDEX('Lớp 5 - Phân công'!$Q$14:$Q$262,$T36),""))</f>
        <v>XD bảng Excel &amp; HT phần mềm (chạy demo) XK</v>
      </c>
      <c r="K36" s="690" t="str">
        <f t="array" ref="K36">IF($S36="","",IF($S36="Lớp 5",INDEX('Lớp 5 - Phân công'!$AA$14:$AA$262,$T36),IF($S36="Lớp 4",INDEX('Lớp 4 - Danh mục'!$Y$14:$Y$132,$T36),INDEX('Lớp 3 - Công việc chính'!$U$14:$U$73,$T36))))</f>
        <v>Em Đại</v>
      </c>
      <c r="L36" s="691" t="str">
        <f t="array" ref="L36">IF($S36="","",IF($S36="Lớp 5",INDEX('Lớp 5 - Phân công'!$Z$14:$Z$262,$T36),IF($S36="Lớp 4",INDEX('Lớp 4 - Danh mục'!$X$14:$X$132,$T36),INDEX('Lớp 3 - Công việc chính'!$W$14:$W$73,$T36))))</f>
        <v>Dữ liệu điều hành</v>
      </c>
      <c r="M36" s="694">
        <f t="array" ref="M36">IF($S36="","",IF($S36="Lớp 5",INDEX('Lớp 5 - Phân công'!$AD$14:$AD$262,$T36),IF($S36="Lớp 4",INDEX('Lớp 4 - Danh mục'!$AC$14:$AC$132,$T36),INDEX('Lớp 3 - Công việc chính'!$Z$14:$Z$73,$T36))))</f>
        <v>46301</v>
      </c>
      <c r="N36" s="695">
        <f t="array" ref="N36">IF($S36="","",IF($S36="Lớp 5",INDEX('Lớp 5 - Phân công'!$AE$14:$AE$262,$T36),IF($S36="Lớp 4",INDEX('Lớp 4 - Danh mục'!$AD$14:$AD$132,$T36),INDEX('Lớp 3 - Công việc chính'!$AA$14:$AA$73,$T36))))</f>
        <v>46305</v>
      </c>
      <c r="O36" s="690" t="str">
        <f t="array" ref="O36">IF($S36="","",IF($S36="Lớp 5",INDEX('Lớp 5 - Phân công'!$AB$14:$AB$262,$T36),IF($S36="Lớp 4",INDEX('Lớp 4 - Danh mục'!$AA$14:$AA$132,$T36),INDEX('Lớp 3 - Công việc chính'!$X$14:$X$73,$T36))))</f>
        <v>Chưa bắt đầu</v>
      </c>
      <c r="P36" s="703" t="str">
        <f t="array" ref="P36">IF($S36="","",IF($S36="Lớp 5",INDEX('Lớp 5 - Phân công'!$AC$14:$AC$262,$T36),IF($S36="Lớp 4",INDEX('Lớp 4 - Danh mục'!$AB$14:$AB$132,$T36),INDEX('Lớp 3 - Công việc chính'!$Y$14:$Y$73,$T36))))</f>
        <v>P2</v>
      </c>
      <c r="Q36" s="697">
        <f t="array" ref="Q36">IF($S36="","",IF($S36="Lớp 5",INDEX('Lớp 5 - Phân công'!$AG$14:$AG$262,$T36),IF($S36="Lớp 4",INDEX('Lớp 4 - Danh mục'!$AF$14:$AF$132,$T36),INDEX('Lớp 3 - Công việc chính'!$AC$14:$AC$73,$T36))))</f>
        <v>0</v>
      </c>
      <c r="R36" s="698" t="str">
        <f t="array" ref="R36">IF($S36="","",IF($S36="Lớp 5",INDEX('Lớp 5 - Phân công'!$X$14:$X$262,$T36),IF($S36="Lớp 4",INDEX('Lớp 4 - Danh mục'!$V$14:$V$132,$T36),INDEX('Lớp 3 - Công việc chính'!$T$14:$T$73,$T36))))</f>
        <v>File Excel và bản demo hệ thống kế hoạch xuất khẩu vận hành đúng công thức.</v>
      </c>
      <c r="S36" s="699" t="str">
        <f>IF(ROWS($S$14:S36)&lt;=COUNTIF('Lớp 5 - Phân công'!$I$14:$I$262,"&lt;&gt;"),"Lớp 5",IF(ROWS($S$14:S36)&lt;=COUNTIF('Lớp 5 - Phân công'!$I$14:$I$262,"&lt;&gt;")+SUMPRODUCT(--('Lớp 4 - Danh mục'!$I$14:$I$132&lt;&gt;""),--(COUNTIF('Lớp 5 - Phân công'!$J$14:$J$262,'Lớp 4 - Danh mục'!$I$14:$I$132)=0)),"Lớp 4",IF(ROWS($S$14:S36)&lt;=COUNTIF('Lớp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6" s="699">
        <f t="array" ref="T36">IF(S36="","",IF(S36="Lớp 5",IF(S35&lt;&gt;"Lớp 5",MATCH("*",'Lớp 5 - Phân công'!$I$14:$I$262,0),T35+MATCH("*",INDEX('Lớp 5 - Phân công'!$I$14:$I$262,T35+1):'Lớp 5 - Phân công'!$I$262,0)),IF(S36="Lớp 4",IF(S35&lt;&gt;"Lớp 4",MATCH(1,INDEX(('Lớp 4 - Danh mục'!$I$14:$I$132&lt;&gt;"")*(COUNTIF('Lớp 5 - Phân công'!$J$14:$J$262,'Lớp 4 - Danh mục'!$I$14:$I$132)=0),0),0),T35+MATCH(1,INDEX((INDEX('Lớp 4 - Danh mục'!$I$14:$I$132,T35+1):'Lớp 4 - Danh mục'!$I$132&lt;&gt;"")*(COUNTIF('Lớp 5 - Phân công'!$J$14:$J$262,INDEX('Lớp 4 - Danh mục'!$I$14:$I$132,T35+1):'Lớp 4 - Danh mục'!$I$132)=0),0),0)),IF(S35&lt;&gt;"Lớp 3",MATCH(1,INDEX(('Lớp 3 - Công việc chính'!$I$14:$I$73&lt;&gt;"")*(COUNTIF('Lớp 4 - Danh mục'!$J$14:$J$132,'Lớp 3 - Công việc chính'!$I$14:$I$73)=0),0),0),T35+MATCH(1,INDEX((INDEX('Lớp 3 - Công việc chính'!$I$14:$I$73,T35+1):'Lớp 3 - Công việc chính'!$I$73&lt;&gt;"")*(COUNTIF('Lớp 4 - Danh mục'!$J$14:$J$132,INDEX('Lớp 3 - Công việc chính'!$I$14:$I$73,T35+1):'Lớp 3 - Công việc chính'!$I$73)=0),0),0)))))</f>
        <v>23</v>
      </c>
      <c r="U36" s="677"/>
      <c r="V36" s="678" t="str">
        <f>IF(U36="","",SUMIFS('Lớp 3 - Công việc chính'!$AF$14:$AF$73,'Lớp 3 - Công việc chính'!$V$14:$V$73,U36,'Lớp 3 - Công việc chính'!$Z$14:$Z$73,"&lt;="&amp;TODAY(),'Lớp 3 - Công việc chính'!$AA$14:$AA$73,"&gt;="&amp;TODAY())+SUMIFS('Lớp 4 - Danh mục'!$AI$14:$AI$132,'Lớp 4 - Danh mục'!$Z$14:$Z$132,U36,'Lớp 4 - Danh mục'!$AC$14:$AC$132,"&lt;="&amp;TODAY(),'Lớp 4 - Danh mục'!$AD$14:$AD$132,"&gt;="&amp;TODAY())+SUMIFS('Lớp 5 - Phân công'!$AJ$14:$AJ$262,'Lớp 5 - Phân công'!$AA$14:$AA$262,U36,'Lớp 5 - Phân công'!$AD$14:$AD$262,"&lt;="&amp;TODAY(),'Lớp 5 - Phân công'!$AE$14:$AE$262,"&gt;="&amp;TODAY())+SUMIFS('Lớp 6 - Chi tiết'!$AM$14:$AM$267,'Lớp 6 - Chi tiết'!$AC$14:$AC$267,U36,'Lớp 6 - Chi tiết'!$AG$14:$AG$267,"&lt;="&amp;TODAY(),'Lớp 6 - Chi tiết'!$AH$14:$AH$267,"&gt;="&amp;TODAY()))</f>
        <v/>
      </c>
      <c r="W36" s="679" t="str">
        <f>IF(V36="","",V36/'Danh mục chọn'!$J$2)</f>
        <v/>
      </c>
      <c r="X36" s="680" t="str">
        <f>IF(V36="","",IF(V36=0,"Chưa có tải tính được",IF(V36&gt;'Danh mục chọn'!$J$2,"Quá tải",IF(V36&gt;='Danh mục chọn'!$J$2*'Danh mục chọn'!$J$3,"Cận tải","Bình thường"))))</f>
        <v/>
      </c>
      <c r="Y36" s="678" t="str">
        <f>IF(U36="","",SUMPRODUCT(('Lớp 3 - Công việc chính'!$V$14:$V$73=U36)*('Lớp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mục'!$Z$14:$Z$132=U36)*('Lớp 4 - Danh mục'!$AD$14:$AD$132&lt;TODAY())*('Lớp 4 - Danh mục'!$AA$14:$AA$132&lt;&gt;"Hoàn thành")*('Lớp 4 - Danh mục'!$AA$14:$AA$132&lt;&gt;"Hủy")*('Lớp 4 - Danh mục'!$AI$14:$AI$132&lt;&gt;"")*IFERROR('Lớp 4 - Danh mục'!$AH$14:$AH$132*(1-'Lớp 4 - Danh mục'!$AF$14:$AF$132),0))+SUMPRODUCT(('Lớp 5 - Phân công'!$AA$14:$AA$262=U36)*('Lớp 5 - Phân công'!$AE$14:$AE$262&lt;TODAY())*('Lớp 5 - Phân công'!$AB$14:$AB$262&lt;&gt;"Hoàn thành")*('Lớp 5 - Phân công'!$AB$14:$AB$262&lt;&gt;"Hủy")*('Lớp 5 - Phân công'!$AJ$14:$AJ$262&lt;&gt;"")*IFERROR('Lớp 5 - Phân công'!$AI$14:$AI$262*(1-'Lớp 5 - Phân công'!$AG$14:$AG$262),0))+SUMPRODUCT(('Lớp 6 - Chi tiết'!$AC$14:$AC$267=U36)*('Lớp 6 - Chi tiết'!$AH$14:$AH$267&lt;TODAY())*('Lớp 6 - Chi tiết'!$AE$14:$AE$267&lt;&gt;"Hoàn thành")*('Lớp 6 - Chi tiết'!$AE$14:$AE$267&lt;&gt;"Hủy")*('Lớp 6 - Chi tiết'!$AM$14:$AM$267&lt;&gt;"")*IFERROR('Lớp 6 - Chi tiết'!$AL$14:$AL$267*(1-'Lớp 6 - Chi tiết'!$AJ$14:$AJ$267),0)))</f>
        <v/>
      </c>
      <c r="Z36" s="700" t="str">
        <f t="array" ref="Z36">IF($S36="","",IF($S36="Lớp 5",INDEX('Lớp 5 - Phân công'!$AS$14:$AS$262,$T36),IF($S36="Lớp 4",INDEX('Lớp 4 - Danh mục'!$AR$14:$AR$132,$T36),INDEX('Lớp 3 - Công việc chính'!$AO$14:$AO$73,$T36))))</f>
        <v>Tuần</v>
      </c>
      <c r="AA36" s="701">
        <f t="array" ref="AA36">IF($S36="","",IF($S36="Lớp 5",INDEX('Lớp 5 - Phân công'!$AT$14:$AT$262,$T36),IF($S36="Lớp 4",INDEX('Lớp 4 - Danh mục'!$AS$14:$AS$132,$T36),INDEX('Lớp 3 - Công việc chính'!$AP$14:$AP$73,$T36))))</f>
        <v>4</v>
      </c>
      <c r="AB36" s="701">
        <f t="array" ref="AB36">IF($S36="","",IF($S36="Lớp 5",INDEX('Lớp 5 - Phân công'!$AJ$14:$AJ$262,$T36),IF($S36="Lớp 4",INDEX('Lớp 4 - Danh mục'!$AI$14:$AI$132,$T36),INDEX('Lớp 3 - Công việc chính'!$AF$14:$AF$73,$T36))))</f>
        <v>0.8</v>
      </c>
      <c r="AC36" s="702" t="str">
        <f t="array" ref="AC36">IF($S36="","",IF($S36="Lớp 5",INDEX('Lớp 5 - Phân công'!$AV$14:$AV$262,$T36),IF($S36="Lớp 4",INDEX('Lớp 4 - Danh mục'!$AU$14:$AU$132,$T36),INDEX('Lớp 3 - Công việc chính'!$AR$14:$AR$73,$T36))))</f>
        <v>Thiếu 20.0 giờ/tuần</v>
      </c>
    </row>
    <row r="37" ht="15.75" customHeight="1">
      <c r="A37" s="690" t="str">
        <f t="shared" si="1"/>
        <v>Lớp 5</v>
      </c>
      <c r="B37" s="690" t="str">
        <f t="array" ref="B37">IF($S37="","",IF($S37="Lớp 5",INDEX('Lớp 5 - Phân công'!$I$14:$I$262,$T37),IF($S37="Lớp 4",INDEX('Lớp 4 - Danh mục'!$I$14:$I$132,$T37),INDEX('Lớp 3 - Công việc chính'!$I$14:$I$73,$T37))))</f>
        <v>HHL5DL05-04</v>
      </c>
      <c r="C37" s="690" t="str">
        <f t="array" ref="C37">IF($S37="","",IF($S37="Lớp 5",INDEX('Lớp 5 - Phân công'!$K$14:$K$262,$T37),IF($S37="Lớp 4",INDEX('Lớp 4 - Danh mục'!$J$14:$J$132,$T37),INDEX('Lớp 3 - Công việc chính'!$I$14:$I$73,$T37))))</f>
        <v>HHL3CT03</v>
      </c>
      <c r="D37" s="690" t="str">
        <f t="array" ref="D37">IF($S37="","",IF($S37="Lớp 5",INDEX('Lớp 5 - Phân công'!$J$14:$J$262,$T37),IF($S37="Lớp 4",INDEX('Lớp 4 - Danh mục'!$I$14:$I$132,$T37),"")))</f>
        <v>HHL4DL05</v>
      </c>
      <c r="E37" s="690">
        <f t="array" ref="E37">IF($S37="","",IF($S37="Lớp 5",INDEX('Lớp 5 - Phân công'!$L$14:$L$262,$T37),IF($S37="Lớp 4",INDEX('Lớp 4 - Danh mục'!$K$14:$K$132,$T37),INDEX('Lớp 3 - Công việc chính'!$J$14:$J$73,$T37))))</f>
        <v>2026</v>
      </c>
      <c r="F37" s="690" t="str">
        <f t="array" ref="F37">IF($S37="","",IF($S37="Lớp 5",INDEX('Lớp 5 - Phân công'!$M$14:$M$262,$T37),IF($S37="Lớp 4",INDEX('Lớp 4 - Danh mục'!$L$14:$L$132,$T37),INDEX('Lớp 3 - Công việc chính'!$K$14:$K$73,$T37))))</f>
        <v>Cấp công ty</v>
      </c>
      <c r="G37" s="691" t="str">
        <f t="array" ref="G37">IF($S37="","",IF($S37="Lớp 5",INDEX('Lớp 5 - Phân công'!$N$14:$N$262,$T37),IF($S37="Lớp 4",INDEX('Lớp 4 - Danh mục'!$M$14:$M$132,$T37),INDEX('Lớp 3 - Công việc chính'!$L$14:$L$73,$T37))))</f>
        <v>Chiến lược/sống còn</v>
      </c>
      <c r="H37" s="692" t="str">
        <f t="array" ref="H37">IF($S37="","",IF($S37="Lớp 5",INDEX('Lớp 5 - Phân công'!$O$14:$O$262,$T37),IF($S37="Lớp 4",INDEX('Lớp 4 - Danh mục'!$N$14:$N$132,$T37),INDEX('Lớp 3 - Công việc chính'!$M$14:$M$73,$T37))))</f>
        <v>KHKD 2027&amp; HT lập KH theo tham số KD (bán tự động)</v>
      </c>
      <c r="I37" s="692" t="str">
        <f t="array" ref="I37">IF($S37="","",IF($S37="Lớp 5",INDEX('Lớp 5 - Phân công'!$P$14:$P$262,$T37),IF($S37="Lớp 4",INDEX('Lớp 4 - Danh mục'!$O$14:$O$132,$T37),"")))</f>
        <v>Xây dựng công thức &amp; tạo HT tham số cho KH XK</v>
      </c>
      <c r="J37" s="693" t="str">
        <f t="array" ref="J37">IF($S37="","",IF($S37="Lớp 5",INDEX('Lớp 5 - Phân công'!$Q$14:$Q$262,$T37),""))</f>
        <v>Chạy tham số Topdown XK</v>
      </c>
      <c r="K37" s="690" t="str">
        <f t="array" ref="K37">IF($S37="","",IF($S37="Lớp 5",INDEX('Lớp 5 - Phân công'!$AA$14:$AA$262,$T37),IF($S37="Lớp 4",INDEX('Lớp 4 - Danh mục'!$Y$14:$Y$132,$T37),INDEX('Lớp 3 - Công việc chính'!$U$14:$U$73,$T37))))</f>
        <v>Em Đại</v>
      </c>
      <c r="L37" s="691" t="str">
        <f t="array" ref="L37">IF($S37="","",IF($S37="Lớp 5",INDEX('Lớp 5 - Phân công'!$Z$14:$Z$262,$T37),IF($S37="Lớp 4",INDEX('Lớp 4 - Danh mục'!$X$14:$X$132,$T37),INDEX('Lớp 3 - Công việc chính'!$W$14:$W$73,$T37))))</f>
        <v>Dữ liệu điều hành</v>
      </c>
      <c r="M37" s="694">
        <f t="array" ref="M37">IF($S37="","",IF($S37="Lớp 5",INDEX('Lớp 5 - Phân công'!$AD$14:$AD$262,$T37),IF($S37="Lớp 4",INDEX('Lớp 4 - Danh mục'!$AC$14:$AC$132,$T37),INDEX('Lớp 3 - Công việc chính'!$Z$14:$Z$73,$T37))))</f>
        <v>46306</v>
      </c>
      <c r="N37" s="695">
        <f t="array" ref="N37">IF($S37="","",IF($S37="Lớp 5",INDEX('Lớp 5 - Phân công'!$AE$14:$AE$262,$T37),IF($S37="Lớp 4",INDEX('Lớp 4 - Danh mục'!$AD$14:$AD$132,$T37),INDEX('Lớp 3 - Công việc chính'!$AA$14:$AA$73,$T37))))</f>
        <v>46307</v>
      </c>
      <c r="O37" s="690" t="str">
        <f t="array" ref="O37">IF($S37="","",IF($S37="Lớp 5",INDEX('Lớp 5 - Phân công'!$AB$14:$AB$262,$T37),IF($S37="Lớp 4",INDEX('Lớp 4 - Danh mục'!$AA$14:$AA$132,$T37),INDEX('Lớp 3 - Công việc chính'!$X$14:$X$73,$T37))))</f>
        <v>Đã lên lịch</v>
      </c>
      <c r="P37" s="703" t="str">
        <f t="array" ref="P37">IF($S37="","",IF($S37="Lớp 5",INDEX('Lớp 5 - Phân công'!$AC$14:$AC$262,$T37),IF($S37="Lớp 4",INDEX('Lớp 4 - Danh mục'!$AB$14:$AB$132,$T37),INDEX('Lớp 3 - Công việc chính'!$Y$14:$Y$73,$T37))))</f>
        <v>P2</v>
      </c>
      <c r="Q37" s="697" t="str">
        <f t="array" ref="Q37">IF($S37="","",IF($S37="Lớp 5",INDEX('Lớp 5 - Phân công'!$AG$14:$AG$262,$T37),IF($S37="Lớp 4",INDEX('Lớp 4 - Danh mục'!$AF$14:$AF$132,$T37),INDEX('Lớp 3 - Công việc chính'!$AC$14:$AC$73,$T37))))</f>
        <v/>
      </c>
      <c r="R37" s="698" t="str">
        <f t="array" ref="R37">IF($S37="","",IF($S37="Lớp 5",INDEX('Lớp 5 - Phân công'!$X$14:$X$262,$T37),IF($S37="Lớp 4",INDEX('Lớp 4 - Danh mục'!$V$14:$V$132,$T37),INDEX('Lớp 3 - Công việc chính'!$T$14:$T$73,$T37))))</f>
        <v>Bộ kết quả tham số Top-down kế hoạch xuất khẩu được kiểm tra và xác nhận.</v>
      </c>
      <c r="S37" s="699" t="str">
        <f>IF(ROWS($S$14:S37)&lt;=COUNTIF('Lớp 5 - Phân công'!$I$14:$I$262,"&lt;&gt;"),"Lớp 5",IF(ROWS($S$14:S37)&lt;=COUNTIF('Lớp 5 - Phân công'!$I$14:$I$262,"&lt;&gt;")+SUMPRODUCT(--('Lớp 4 - Danh mục'!$I$14:$I$132&lt;&gt;""),--(COUNTIF('Lớp 5 - Phân công'!$J$14:$J$262,'Lớp 4 - Danh mục'!$I$14:$I$132)=0)),"Lớp 4",IF(ROWS($S$14:S37)&lt;=COUNTIF('Lớp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7" s="699">
        <f t="array" ref="T37">IF(S37="","",IF(S37="Lớp 5",IF(S36&lt;&gt;"Lớp 5",MATCH("*",'Lớp 5 - Phân công'!$I$14:$I$262,0),T36+MATCH("*",INDEX('Lớp 5 - Phân công'!$I$14:$I$262,T36+1):'Lớp 5 - Phân công'!$I$262,0)),IF(S37="Lớp 4",IF(S36&lt;&gt;"Lớp 4",MATCH(1,INDEX(('Lớp 4 - Danh mục'!$I$14:$I$132&lt;&gt;"")*(COUNTIF('Lớp 5 - Phân công'!$J$14:$J$262,'Lớp 4 - Danh mục'!$I$14:$I$132)=0),0),0),T36+MATCH(1,INDEX((INDEX('Lớp 4 - Danh mục'!$I$14:$I$132,T36+1):'Lớp 4 - Danh mục'!$I$132&lt;&gt;"")*(COUNTIF('Lớp 5 - Phân công'!$J$14:$J$262,INDEX('Lớp 4 - Danh mục'!$I$14:$I$132,T36+1):'Lớp 4 - Danh mục'!$I$132)=0),0),0)),IF(S36&lt;&gt;"Lớp 3",MATCH(1,INDEX(('Lớp 3 - Công việc chính'!$I$14:$I$73&lt;&gt;"")*(COUNTIF('Lớp 4 - Danh mục'!$J$14:$J$132,'Lớp 3 - Công việc chính'!$I$14:$I$73)=0),0),0),T36+MATCH(1,INDEX((INDEX('Lớp 3 - Công việc chính'!$I$14:$I$73,T36+1):'Lớp 3 - Công việc chính'!$I$73&lt;&gt;"")*(COUNTIF('Lớp 4 - Danh mục'!$J$14:$J$132,INDEX('Lớp 3 - Công việc chính'!$I$14:$I$73,T36+1):'Lớp 3 - Công việc chính'!$I$73)=0),0),0)))))</f>
        <v>24</v>
      </c>
      <c r="U37" s="677"/>
      <c r="V37" s="678" t="str">
        <f>IF(U37="","",SUMIFS('Lớp 3 - Công việc chính'!$AF$14:$AF$73,'Lớp 3 - Công việc chính'!$V$14:$V$73,U37,'Lớp 3 - Công việc chính'!$Z$14:$Z$73,"&lt;="&amp;TODAY(),'Lớp 3 - Công việc chính'!$AA$14:$AA$73,"&gt;="&amp;TODAY())+SUMIFS('Lớp 4 - Danh mục'!$AI$14:$AI$132,'Lớp 4 - Danh mục'!$Z$14:$Z$132,U37,'Lớp 4 - Danh mục'!$AC$14:$AC$132,"&lt;="&amp;TODAY(),'Lớp 4 - Danh mục'!$AD$14:$AD$132,"&gt;="&amp;TODAY())+SUMIFS('Lớp 5 - Phân công'!$AJ$14:$AJ$262,'Lớp 5 - Phân công'!$AA$14:$AA$262,U37,'Lớp 5 - Phân công'!$AD$14:$AD$262,"&lt;="&amp;TODAY(),'Lớp 5 - Phân công'!$AE$14:$AE$262,"&gt;="&amp;TODAY())+SUMIFS('Lớp 6 - Chi tiết'!$AM$14:$AM$267,'Lớp 6 - Chi tiết'!$AC$14:$AC$267,U37,'Lớp 6 - Chi tiết'!$AG$14:$AG$267,"&lt;="&amp;TODAY(),'Lớp 6 - Chi tiết'!$AH$14:$AH$267,"&gt;="&amp;TODAY()))</f>
        <v/>
      </c>
      <c r="W37" s="679" t="str">
        <f>IF(V37="","",V37/'Danh mục chọn'!$J$2)</f>
        <v/>
      </c>
      <c r="X37" s="680" t="str">
        <f>IF(V37="","",IF(V37=0,"Chưa có tải tính được",IF(V37&gt;'Danh mục chọn'!$J$2,"Quá tải",IF(V37&gt;='Danh mục chọn'!$J$2*'Danh mục chọn'!$J$3,"Cận tải","Bình thường"))))</f>
        <v/>
      </c>
      <c r="Y37" s="678" t="str">
        <f>IF(U37="","",SUMPRODUCT(('Lớp 3 - Công việc chính'!$V$14:$V$73=U37)*('Lớp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mục'!$Z$14:$Z$132=U37)*('Lớp 4 - Danh mục'!$AD$14:$AD$132&lt;TODAY())*('Lớp 4 - Danh mục'!$AA$14:$AA$132&lt;&gt;"Hoàn thành")*('Lớp 4 - Danh mục'!$AA$14:$AA$132&lt;&gt;"Hủy")*('Lớp 4 - Danh mục'!$AI$14:$AI$132&lt;&gt;"")*IFERROR('Lớp 4 - Danh mục'!$AH$14:$AH$132*(1-'Lớp 4 - Danh mục'!$AF$14:$AF$132),0))+SUMPRODUCT(('Lớp 5 - Phân công'!$AA$14:$AA$262=U37)*('Lớp 5 - Phân công'!$AE$14:$AE$262&lt;TODAY())*('Lớp 5 - Phân công'!$AB$14:$AB$262&lt;&gt;"Hoàn thành")*('Lớp 5 - Phân công'!$AB$14:$AB$262&lt;&gt;"Hủy")*('Lớp 5 - Phân công'!$AJ$14:$AJ$262&lt;&gt;"")*IFERROR('Lớp 5 - Phân công'!$AI$14:$AI$262*(1-'Lớp 5 - Phân công'!$AG$14:$AG$262),0))+SUMPRODUCT(('Lớp 6 - Chi tiết'!$AC$14:$AC$267=U37)*('Lớp 6 - Chi tiết'!$AH$14:$AH$267&lt;TODAY())*('Lớp 6 - Chi tiết'!$AE$14:$AE$267&lt;&gt;"Hoàn thành")*('Lớp 6 - Chi tiết'!$AE$14:$AE$267&lt;&gt;"Hủy")*('Lớp 6 - Chi tiết'!$AM$14:$AM$267&lt;&gt;"")*IFERROR('Lớp 6 - Chi tiết'!$AL$14:$AL$267*(1-'Lớp 6 - Chi tiết'!$AJ$14:$AJ$267),0)))</f>
        <v/>
      </c>
      <c r="Z37" s="700" t="str">
        <f t="array" ref="Z37">IF($S37="","",IF($S37="Lớp 5",INDEX('Lớp 5 - Phân công'!$AS$14:$AS$262,$T37),IF($S37="Lớp 4",INDEX('Lớp 4 - Danh mục'!$AR$14:$AR$132,$T37),INDEX('Lớp 3 - Công việc chính'!$AO$14:$AO$73,$T37))))</f>
        <v>Tuần</v>
      </c>
      <c r="AA37" s="701">
        <f t="array" ref="AA37">IF($S37="","",IF($S37="Lớp 5",INDEX('Lớp 5 - Phân công'!$AT$14:$AT$262,$T37),IF($S37="Lớp 4",INDEX('Lớp 4 - Danh mục'!$AS$14:$AS$132,$T37),INDEX('Lớp 3 - Công việc chính'!$AP$14:$AP$73,$T37))))</f>
        <v>4</v>
      </c>
      <c r="AB37" s="701">
        <f t="array" ref="AB37">IF($S37="","",IF($S37="Lớp 5",INDEX('Lớp 5 - Phân công'!$AJ$14:$AJ$262,$T37),IF($S37="Lớp 4",INDEX('Lớp 4 - Danh mục'!$AI$14:$AI$132,$T37),INDEX('Lớp 3 - Công việc chính'!$AF$14:$AF$73,$T37))))</f>
        <v>0.8</v>
      </c>
      <c r="AC37" s="702" t="str">
        <f t="array" ref="AC37">IF($S37="","",IF($S37="Lớp 5",INDEX('Lớp 5 - Phân công'!$AV$14:$AV$262,$T37),IF($S37="Lớp 4",INDEX('Lớp 4 - Danh mục'!$AU$14:$AU$132,$T37),INDEX('Lớp 3 - Công việc chính'!$AR$14:$AR$73,$T37))))</f>
        <v>Thiếu 76.0 giờ/tuần</v>
      </c>
    </row>
    <row r="38" ht="15.75" customHeight="1">
      <c r="A38" s="690" t="str">
        <f t="shared" si="1"/>
        <v>Lớp 5</v>
      </c>
      <c r="B38" s="690" t="str">
        <f t="array" ref="B38">IF($S38="","",IF($S38="Lớp 5",INDEX('Lớp 5 - Phân công'!$I$14:$I$262,$T38),IF($S38="Lớp 4",INDEX('Lớp 4 - Danh mục'!$I$14:$I$132,$T38),INDEX('Lớp 3 - Công việc chính'!$I$14:$I$73,$T38))))</f>
        <v>HHL5DL05-05</v>
      </c>
      <c r="C38" s="690" t="str">
        <f t="array" ref="C38">IF($S38="","",IF($S38="Lớp 5",INDEX('Lớp 5 - Phân công'!$K$14:$K$262,$T38),IF($S38="Lớp 4",INDEX('Lớp 4 - Danh mục'!$J$14:$J$132,$T38),INDEX('Lớp 3 - Công việc chính'!$I$14:$I$73,$T38))))</f>
        <v>HHL3CT03</v>
      </c>
      <c r="D38" s="690" t="str">
        <f t="array" ref="D38">IF($S38="","",IF($S38="Lớp 5",INDEX('Lớp 5 - Phân công'!$J$14:$J$262,$T38),IF($S38="Lớp 4",INDEX('Lớp 4 - Danh mục'!$I$14:$I$132,$T38),"")))</f>
        <v>HHL4DL05</v>
      </c>
      <c r="E38" s="690">
        <f t="array" ref="E38">IF($S38="","",IF($S38="Lớp 5",INDEX('Lớp 5 - Phân công'!$L$14:$L$262,$T38),IF($S38="Lớp 4",INDEX('Lớp 4 - Danh mục'!$K$14:$K$132,$T38),INDEX('Lớp 3 - Công việc chính'!$J$14:$J$73,$T38))))</f>
        <v>2026</v>
      </c>
      <c r="F38" s="690" t="str">
        <f t="array" ref="F38">IF($S38="","",IF($S38="Lớp 5",INDEX('Lớp 5 - Phân công'!$M$14:$M$262,$T38),IF($S38="Lớp 4",INDEX('Lớp 4 - Danh mục'!$L$14:$L$132,$T38),INDEX('Lớp 3 - Công việc chính'!$K$14:$K$73,$T38))))</f>
        <v>Cấp công ty</v>
      </c>
      <c r="G38" s="691" t="str">
        <f t="array" ref="G38">IF($S38="","",IF($S38="Lớp 5",INDEX('Lớp 5 - Phân công'!$N$14:$N$262,$T38),IF($S38="Lớp 4",INDEX('Lớp 4 - Danh mục'!$M$14:$M$132,$T38),INDEX('Lớp 3 - Công việc chính'!$L$14:$L$73,$T38))))</f>
        <v>Chiến lược/sống còn</v>
      </c>
      <c r="H38" s="692" t="str">
        <f t="array" ref="H38">IF($S38="","",IF($S38="Lớp 5",INDEX('Lớp 5 - Phân công'!$O$14:$O$262,$T38),IF($S38="Lớp 4",INDEX('Lớp 4 - Danh mục'!$N$14:$N$132,$T38),INDEX('Lớp 3 - Công việc chính'!$M$14:$M$73,$T38))))</f>
        <v>KHKD 2027&amp; HT lập KH theo tham số KD (bán tự động)</v>
      </c>
      <c r="I38" s="692" t="str">
        <f t="array" ref="I38">IF($S38="","",IF($S38="Lớp 5",INDEX('Lớp 5 - Phân công'!$P$14:$P$262,$T38),IF($S38="Lớp 4",INDEX('Lớp 4 - Danh mục'!$O$14:$O$132,$T38),"")))</f>
        <v>Xây dựng công thức &amp; tạo HT tham số cho KH XK</v>
      </c>
      <c r="J38" s="693" t="str">
        <f t="array" ref="J38">IF($S38="","",IF($S38="Lớp 5",INDEX('Lớp 5 - Phân công'!$Q$14:$Q$262,$T38),""))</f>
        <v>Chạy tham số Bottom-up theo khu vực vùng miền XK</v>
      </c>
      <c r="K38" s="690" t="str">
        <f t="array" ref="K38">IF($S38="","",IF($S38="Lớp 5",INDEX('Lớp 5 - Phân công'!$AA$14:$AA$262,$T38),IF($S38="Lớp 4",INDEX('Lớp 4 - Danh mục'!$Y$14:$Y$132,$T38),INDEX('Lớp 3 - Công việc chính'!$U$14:$U$73,$T38))))</f>
        <v>Em Đại</v>
      </c>
      <c r="L38" s="691" t="str">
        <f t="array" ref="L38">IF($S38="","",IF($S38="Lớp 5",INDEX('Lớp 5 - Phân công'!$Z$14:$Z$262,$T38),IF($S38="Lớp 4",INDEX('Lớp 4 - Danh mục'!$X$14:$X$132,$T38),INDEX('Lớp 3 - Công việc chính'!$W$14:$W$73,$T38))))</f>
        <v>Dữ liệu điều hành</v>
      </c>
      <c r="M38" s="694">
        <f t="array" ref="M38">IF($S38="","",IF($S38="Lớp 5",INDEX('Lớp 5 - Phân công'!$AD$14:$AD$262,$T38),IF($S38="Lớp 4",INDEX('Lớp 4 - Danh mục'!$AC$14:$AC$132,$T38),INDEX('Lớp 3 - Công việc chính'!$Z$14:$Z$73,$T38))))</f>
        <v>46308</v>
      </c>
      <c r="N38" s="695">
        <f t="array" ref="N38">IF($S38="","",IF($S38="Lớp 5",INDEX('Lớp 5 - Phân công'!$AE$14:$AE$262,$T38),IF($S38="Lớp 4",INDEX('Lớp 4 - Danh mục'!$AD$14:$AD$132,$T38),INDEX('Lớp 3 - Công việc chính'!$AA$14:$AA$73,$T38))))</f>
        <v>46320</v>
      </c>
      <c r="O38" s="690" t="str">
        <f t="array" ref="O38">IF($S38="","",IF($S38="Lớp 5",INDEX('Lớp 5 - Phân công'!$AB$14:$AB$262,$T38),IF($S38="Lớp 4",INDEX('Lớp 4 - Danh mục'!$AA$14:$AA$132,$T38),INDEX('Lớp 3 - Công việc chính'!$X$14:$X$73,$T38))))</f>
        <v>Đã lên lịch</v>
      </c>
      <c r="P38" s="703" t="str">
        <f t="array" ref="P38">IF($S38="","",IF($S38="Lớp 5",INDEX('Lớp 5 - Phân công'!$AC$14:$AC$262,$T38),IF($S38="Lớp 4",INDEX('Lớp 4 - Danh mục'!$AB$14:$AB$132,$T38),INDEX('Lớp 3 - Công việc chính'!$Y$14:$Y$73,$T38))))</f>
        <v>P2</v>
      </c>
      <c r="Q38" s="697" t="str">
        <f t="array" ref="Q38">IF($S38="","",IF($S38="Lớp 5",INDEX('Lớp 5 - Phân công'!$AG$14:$AG$262,$T38),IF($S38="Lớp 4",INDEX('Lớp 4 - Danh mục'!$AF$14:$AF$132,$T38),INDEX('Lớp 3 - Công việc chính'!$AC$14:$AC$73,$T38))))</f>
        <v/>
      </c>
      <c r="R38" s="698" t="str">
        <f t="array" ref="R38">IF($S38="","",IF($S38="Lớp 5",INDEX('Lớp 5 - Phân công'!$X$14:$X$262,$T38),IF($S38="Lớp 4",INDEX('Lớp 4 - Danh mục'!$V$14:$V$132,$T38),INDEX('Lớp 3 - Công việc chính'!$T$14:$T$73,$T38))))</f>
        <v>Bộ kết quả Bottom-up kế hoạch xuất khẩu theo quốc gia và thị trường được xác nhận.</v>
      </c>
      <c r="S38" s="699" t="str">
        <f>IF(ROWS($S$14:S38)&lt;=COUNTIF('Lớp 5 - Phân công'!$I$14:$I$262,"&lt;&gt;"),"Lớp 5",IF(ROWS($S$14:S38)&lt;=COUNTIF('Lớp 5 - Phân công'!$I$14:$I$262,"&lt;&gt;")+SUMPRODUCT(--('Lớp 4 - Danh mục'!$I$14:$I$132&lt;&gt;""),--(COUNTIF('Lớp 5 - Phân công'!$J$14:$J$262,'Lớp 4 - Danh mục'!$I$14:$I$132)=0)),"Lớp 4",IF(ROWS($S$14:S38)&lt;=COUNTIF('Lớp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8" s="699">
        <f t="array" ref="T38">IF(S38="","",IF(S38="Lớp 5",IF(S37&lt;&gt;"Lớp 5",MATCH("*",'Lớp 5 - Phân công'!$I$14:$I$262,0),T37+MATCH("*",INDEX('Lớp 5 - Phân công'!$I$14:$I$262,T37+1):'Lớp 5 - Phân công'!$I$262,0)),IF(S38="Lớp 4",IF(S37&lt;&gt;"Lớp 4",MATCH(1,INDEX(('Lớp 4 - Danh mục'!$I$14:$I$132&lt;&gt;"")*(COUNTIF('Lớp 5 - Phân công'!$J$14:$J$262,'Lớp 4 - Danh mục'!$I$14:$I$132)=0),0),0),T37+MATCH(1,INDEX((INDEX('Lớp 4 - Danh mục'!$I$14:$I$132,T37+1):'Lớp 4 - Danh mục'!$I$132&lt;&gt;"")*(COUNTIF('Lớp 5 - Phân công'!$J$14:$J$262,INDEX('Lớp 4 - Danh mục'!$I$14:$I$132,T37+1):'Lớp 4 - Danh mục'!$I$132)=0),0),0)),IF(S37&lt;&gt;"Lớp 3",MATCH(1,INDEX(('Lớp 3 - Công việc chính'!$I$14:$I$73&lt;&gt;"")*(COUNTIF('Lớp 4 - Danh mục'!$J$14:$J$132,'Lớp 3 - Công việc chính'!$I$14:$I$73)=0),0),0),T37+MATCH(1,INDEX((INDEX('Lớp 3 - Công việc chính'!$I$14:$I$73,T37+1):'Lớp 3 - Công việc chính'!$I$73&lt;&gt;"")*(COUNTIF('Lớp 4 - Danh mục'!$J$14:$J$132,INDEX('Lớp 3 - Công việc chính'!$I$14:$I$73,T37+1):'Lớp 3 - Công việc chính'!$I$73)=0),0),0)))))</f>
        <v>25</v>
      </c>
      <c r="U38" s="677"/>
      <c r="V38" s="678" t="str">
        <f>IF(U38="","",SUMIFS('Lớp 3 - Công việc chính'!$AF$14:$AF$73,'Lớp 3 - Công việc chính'!$V$14:$V$73,U38,'Lớp 3 - Công việc chính'!$Z$14:$Z$73,"&lt;="&amp;TODAY(),'Lớp 3 - Công việc chính'!$AA$14:$AA$73,"&gt;="&amp;TODAY())+SUMIFS('Lớp 4 - Danh mục'!$AI$14:$AI$132,'Lớp 4 - Danh mục'!$Z$14:$Z$132,U38,'Lớp 4 - Danh mục'!$AC$14:$AC$132,"&lt;="&amp;TODAY(),'Lớp 4 - Danh mục'!$AD$14:$AD$132,"&gt;="&amp;TODAY())+SUMIFS('Lớp 5 - Phân công'!$AJ$14:$AJ$262,'Lớp 5 - Phân công'!$AA$14:$AA$262,U38,'Lớp 5 - Phân công'!$AD$14:$AD$262,"&lt;="&amp;TODAY(),'Lớp 5 - Phân công'!$AE$14:$AE$262,"&gt;="&amp;TODAY())+SUMIFS('Lớp 6 - Chi tiết'!$AM$14:$AM$267,'Lớp 6 - Chi tiết'!$AC$14:$AC$267,U38,'Lớp 6 - Chi tiết'!$AG$14:$AG$267,"&lt;="&amp;TODAY(),'Lớp 6 - Chi tiết'!$AH$14:$AH$267,"&gt;="&amp;TODAY()))</f>
        <v/>
      </c>
      <c r="W38" s="679" t="str">
        <f>IF(V38="","",V38/'Danh mục chọn'!$J$2)</f>
        <v/>
      </c>
      <c r="X38" s="680" t="str">
        <f>IF(V38="","",IF(V38=0,"Chưa có tải tính được",IF(V38&gt;'Danh mục chọn'!$J$2,"Quá tải",IF(V38&gt;='Danh mục chọn'!$J$2*'Danh mục chọn'!$J$3,"Cận tải","Bình thường"))))</f>
        <v/>
      </c>
      <c r="Y38" s="678" t="str">
        <f>IF(U38="","",SUMPRODUCT(('Lớp 3 - Công việc chính'!$V$14:$V$73=U38)*('Lớp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mục'!$Z$14:$Z$132=U38)*('Lớp 4 - Danh mục'!$AD$14:$AD$132&lt;TODAY())*('Lớp 4 - Danh mục'!$AA$14:$AA$132&lt;&gt;"Hoàn thành")*('Lớp 4 - Danh mục'!$AA$14:$AA$132&lt;&gt;"Hủy")*('Lớp 4 - Danh mục'!$AI$14:$AI$132&lt;&gt;"")*IFERROR('Lớp 4 - Danh mục'!$AH$14:$AH$132*(1-'Lớp 4 - Danh mục'!$AF$14:$AF$132),0))+SUMPRODUCT(('Lớp 5 - Phân công'!$AA$14:$AA$262=U38)*('Lớp 5 - Phân công'!$AE$14:$AE$262&lt;TODAY())*('Lớp 5 - Phân công'!$AB$14:$AB$262&lt;&gt;"Hoàn thành")*('Lớp 5 - Phân công'!$AB$14:$AB$262&lt;&gt;"Hủy")*('Lớp 5 - Phân công'!$AJ$14:$AJ$262&lt;&gt;"")*IFERROR('Lớp 5 - Phân công'!$AI$14:$AI$262*(1-'Lớp 5 - Phân công'!$AG$14:$AG$262),0))+SUMPRODUCT(('Lớp 6 - Chi tiết'!$AC$14:$AC$267=U38)*('Lớp 6 - Chi tiết'!$AH$14:$AH$267&lt;TODAY())*('Lớp 6 - Chi tiết'!$AE$14:$AE$267&lt;&gt;"Hoàn thành")*('Lớp 6 - Chi tiết'!$AE$14:$AE$267&lt;&gt;"Hủy")*('Lớp 6 - Chi tiết'!$AM$14:$AM$267&lt;&gt;"")*IFERROR('Lớp 6 - Chi tiết'!$AL$14:$AL$267*(1-'Lớp 6 - Chi tiết'!$AJ$14:$AJ$267),0)))</f>
        <v/>
      </c>
      <c r="Z38" s="700" t="str">
        <f t="array" ref="Z38">IF($S38="","",IF($S38="Lớp 5",INDEX('Lớp 5 - Phân công'!$AS$14:$AS$262,$T38),IF($S38="Lớp 4",INDEX('Lớp 4 - Danh mục'!$AR$14:$AR$132,$T38),INDEX('Lớp 3 - Công việc chính'!$AO$14:$AO$73,$T38))))</f>
        <v>Tuần</v>
      </c>
      <c r="AA38" s="701">
        <f t="array" ref="AA38">IF($S38="","",IF($S38="Lớp 5",INDEX('Lớp 5 - Phân công'!$AT$14:$AT$262,$T38),IF($S38="Lớp 4",INDEX('Lớp 4 - Danh mục'!$AS$14:$AS$132,$T38),INDEX('Lớp 3 - Công việc chính'!$AP$14:$AP$73,$T38))))</f>
        <v>4</v>
      </c>
      <c r="AB38" s="701">
        <f t="array" ref="AB38">IF($S38="","",IF($S38="Lớp 5",INDEX('Lớp 5 - Phân công'!$AJ$14:$AJ$262,$T38),IF($S38="Lớp 4",INDEX('Lớp 4 - Danh mục'!$AI$14:$AI$132,$T38),INDEX('Lớp 3 - Công việc chính'!$AF$14:$AF$73,$T38))))</f>
        <v>0.8</v>
      </c>
      <c r="AC38" s="702" t="str">
        <f t="array" ref="AC38">IF($S38="","",IF($S38="Lớp 5",INDEX('Lớp 5 - Phân công'!$AV$14:$AV$262,$T38),IF($S38="Lớp 4",INDEX('Lớp 4 - Danh mục'!$AU$14:$AU$132,$T38),INDEX('Lớp 3 - Công việc chính'!$AR$14:$AR$73,$T38))))</f>
        <v>Thiếu 3.3 giờ/tuần</v>
      </c>
    </row>
    <row r="39" ht="15.75" customHeight="1">
      <c r="A39" s="690" t="str">
        <f t="shared" si="1"/>
        <v>Lớp 5</v>
      </c>
      <c r="B39" s="690" t="str">
        <f t="array" ref="B39">IF($S39="","",IF($S39="Lớp 5",INDEX('Lớp 5 - Phân công'!$I$14:$I$262,$T39),IF($S39="Lớp 4",INDEX('Lớp 4 - Danh mục'!$I$14:$I$132,$T39),INDEX('Lớp 3 - Công việc chính'!$I$14:$I$73,$T39))))</f>
        <v>HHL5DL06-01</v>
      </c>
      <c r="C39" s="690" t="str">
        <f t="array" ref="C39">IF($S39="","",IF($S39="Lớp 5",INDEX('Lớp 5 - Phân công'!$K$14:$K$262,$T39),IF($S39="Lớp 4",INDEX('Lớp 4 - Danh mục'!$J$14:$J$132,$T39),INDEX('Lớp 3 - Công việc chính'!$I$14:$I$73,$T39))))</f>
        <v>HHL3CT03</v>
      </c>
      <c r="D39" s="690" t="str">
        <f t="array" ref="D39">IF($S39="","",IF($S39="Lớp 5",INDEX('Lớp 5 - Phân công'!$J$14:$J$262,$T39),IF($S39="Lớp 4",INDEX('Lớp 4 - Danh mục'!$I$14:$I$132,$T39),"")))</f>
        <v>HHL4DL06</v>
      </c>
      <c r="E39" s="690">
        <f t="array" ref="E39">IF($S39="","",IF($S39="Lớp 5",INDEX('Lớp 5 - Phân công'!$L$14:$L$262,$T39),IF($S39="Lớp 4",INDEX('Lớp 4 - Danh mục'!$K$14:$K$132,$T39),INDEX('Lớp 3 - Công việc chính'!$J$14:$J$73,$T39))))</f>
        <v>2026</v>
      </c>
      <c r="F39" s="690" t="str">
        <f t="array" ref="F39">IF($S39="","",IF($S39="Lớp 5",INDEX('Lớp 5 - Phân công'!$M$14:$M$262,$T39),IF($S39="Lớp 4",INDEX('Lớp 4 - Danh mục'!$L$14:$L$132,$T39),INDEX('Lớp 3 - Công việc chính'!$K$14:$K$73,$T39))))</f>
        <v>Cấp công ty</v>
      </c>
      <c r="G39" s="691" t="str">
        <f t="array" ref="G39">IF($S39="","",IF($S39="Lớp 5",INDEX('Lớp 5 - Phân công'!$N$14:$N$262,$T39),IF($S39="Lớp 4",INDEX('Lớp 4 - Danh mục'!$M$14:$M$132,$T39),INDEX('Lớp 3 - Công việc chính'!$L$14:$L$73,$T39))))</f>
        <v>Chiến lược/sống còn</v>
      </c>
      <c r="H39" s="692" t="str">
        <f t="array" ref="H39">IF($S39="","",IF($S39="Lớp 5",INDEX('Lớp 5 - Phân công'!$O$14:$O$262,$T39),IF($S39="Lớp 4",INDEX('Lớp 4 - Danh mục'!$N$14:$N$132,$T39),INDEX('Lớp 3 - Công việc chính'!$M$14:$M$73,$T39))))</f>
        <v>KHKD 2027&amp; HT lập KH theo tham số KD (bán tự động)</v>
      </c>
      <c r="I39" s="692" t="str">
        <f t="array" ref="I39">IF($S39="","",IF($S39="Lớp 5",INDEX('Lớp 5 - Phân công'!$P$14:$P$262,$T39),IF($S39="Lớp 4",INDEX('Lớp 4 - Danh mục'!$O$14:$O$132,$T39),"")))</f>
        <v>Xây dựng công thức &amp; tạo HT tham số cho KH Showroom</v>
      </c>
      <c r="J39" s="693" t="str">
        <f t="array" ref="J39">IF($S39="","",IF($S39="Lớp 5",INDEX('Lớp 5 - Phân công'!$Q$14:$Q$262,$T39),""))</f>
        <v>XD &amp; phản biện công thức (nội bộ) Showroom</v>
      </c>
      <c r="K39" s="690" t="str">
        <f t="array" ref="K39">IF($S39="","",IF($S39="Lớp 5",INDEX('Lớp 5 - Phân công'!$AA$14:$AA$262,$T39),IF($S39="Lớp 4",INDEX('Lớp 4 - Danh mục'!$Y$14:$Y$132,$T39),INDEX('Lớp 3 - Công việc chính'!$U$14:$U$73,$T39))))</f>
        <v>Em Đại</v>
      </c>
      <c r="L39" s="691" t="str">
        <f t="array" ref="L39">IF($S39="","",IF($S39="Lớp 5",INDEX('Lớp 5 - Phân công'!$Z$14:$Z$262,$T39),IF($S39="Lớp 4",INDEX('Lớp 4 - Danh mục'!$X$14:$X$132,$T39),INDEX('Lớp 3 - Công việc chính'!$W$14:$W$73,$T39))))</f>
        <v>Dữ liệu điều hành</v>
      </c>
      <c r="M39" s="694">
        <f t="array" ref="M39">IF($S39="","",IF($S39="Lớp 5",INDEX('Lớp 5 - Phân công'!$AD$14:$AD$262,$T39),IF($S39="Lớp 4",INDEX('Lớp 4 - Danh mục'!$AC$14:$AC$132,$T39),INDEX('Lớp 3 - Công việc chính'!$Z$14:$Z$73,$T39))))</f>
        <v>46290</v>
      </c>
      <c r="N39" s="695">
        <f t="array" ref="N39">IF($S39="","",IF($S39="Lớp 5",INDEX('Lớp 5 - Phân công'!$AE$14:$AE$262,$T39),IF($S39="Lớp 4",INDEX('Lớp 4 - Danh mục'!$AD$14:$AD$132,$T39),INDEX('Lớp 3 - Công việc chính'!$AA$14:$AA$73,$T39))))</f>
        <v>46300</v>
      </c>
      <c r="O39" s="690" t="str">
        <f t="array" ref="O39">IF($S39="","",IF($S39="Lớp 5",INDEX('Lớp 5 - Phân công'!$AB$14:$AB$262,$T39),IF($S39="Lớp 4",INDEX('Lớp 4 - Danh mục'!$AA$14:$AA$132,$T39),INDEX('Lớp 3 - Công việc chính'!$X$14:$X$73,$T39))))</f>
        <v>Chưa bắt đầu</v>
      </c>
      <c r="P39" s="703" t="str">
        <f t="array" ref="P39">IF($S39="","",IF($S39="Lớp 5",INDEX('Lớp 5 - Phân công'!$AC$14:$AC$262,$T39),IF($S39="Lớp 4",INDEX('Lớp 4 - Danh mục'!$AB$14:$AB$132,$T39),INDEX('Lớp 3 - Công việc chính'!$Y$14:$Y$73,$T39))))</f>
        <v>P2</v>
      </c>
      <c r="Q39" s="697">
        <f t="array" ref="Q39">IF($S39="","",IF($S39="Lớp 5",INDEX('Lớp 5 - Phân công'!$AG$14:$AG$262,$T39),IF($S39="Lớp 4",INDEX('Lớp 4 - Danh mục'!$AF$14:$AF$132,$T39),INDEX('Lớp 3 - Công việc chính'!$AC$14:$AC$73,$T39))))</f>
        <v>0</v>
      </c>
      <c r="R39" s="698" t="str">
        <f t="array" ref="R39">IF($S39="","",IF($S39="Lớp 5",INDEX('Lớp 5 - Phân công'!$X$14:$X$262,$T39),IF($S39="Lớp 4",INDEX('Lớp 4 - Danh mục'!$V$14:$V$132,$T39),INDEX('Lớp 3 - Công việc chính'!$T$14:$T$73,$T39))))</f>
        <v>Bộ công thức kế hoạch Showroom được xây dựng, phản biện nội bộ và chốt phiên bản.</v>
      </c>
      <c r="S39" s="699" t="str">
        <f>IF(ROWS($S$14:S39)&lt;=COUNTIF('Lớp 5 - Phân công'!$I$14:$I$262,"&lt;&gt;"),"Lớp 5",IF(ROWS($S$14:S39)&lt;=COUNTIF('Lớp 5 - Phân công'!$I$14:$I$262,"&lt;&gt;")+SUMPRODUCT(--('Lớp 4 - Danh mục'!$I$14:$I$132&lt;&gt;""),--(COUNTIF('Lớp 5 - Phân công'!$J$14:$J$262,'Lớp 4 - Danh mục'!$I$14:$I$132)=0)),"Lớp 4",IF(ROWS($S$14:S39)&lt;=COUNTIF('Lớp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39" s="699">
        <f t="array" ref="T39">IF(S39="","",IF(S39="Lớp 5",IF(S38&lt;&gt;"Lớp 5",MATCH("*",'Lớp 5 - Phân công'!$I$14:$I$262,0),T38+MATCH("*",INDEX('Lớp 5 - Phân công'!$I$14:$I$262,T38+1):'Lớp 5 - Phân công'!$I$262,0)),IF(S39="Lớp 4",IF(S38&lt;&gt;"Lớp 4",MATCH(1,INDEX(('Lớp 4 - Danh mục'!$I$14:$I$132&lt;&gt;"")*(COUNTIF('Lớp 5 - Phân công'!$J$14:$J$262,'Lớp 4 - Danh mục'!$I$14:$I$132)=0),0),0),T38+MATCH(1,INDEX((INDEX('Lớp 4 - Danh mục'!$I$14:$I$132,T38+1):'Lớp 4 - Danh mục'!$I$132&lt;&gt;"")*(COUNTIF('Lớp 5 - Phân công'!$J$14:$J$262,INDEX('Lớp 4 - Danh mục'!$I$14:$I$132,T38+1):'Lớp 4 - Danh mục'!$I$132)=0),0),0)),IF(S38&lt;&gt;"Lớp 3",MATCH(1,INDEX(('Lớp 3 - Công việc chính'!$I$14:$I$73&lt;&gt;"")*(COUNTIF('Lớp 4 - Danh mục'!$J$14:$J$132,'Lớp 3 - Công việc chính'!$I$14:$I$73)=0),0),0),T38+MATCH(1,INDEX((INDEX('Lớp 3 - Công việc chính'!$I$14:$I$73,T38+1):'Lớp 3 - Công việc chính'!$I$73&lt;&gt;"")*(COUNTIF('Lớp 4 - Danh mục'!$J$14:$J$132,INDEX('Lớp 3 - Công việc chính'!$I$14:$I$73,T38+1):'Lớp 3 - Công việc chính'!$I$73)=0),0),0)))))</f>
        <v>26</v>
      </c>
      <c r="U39" s="677"/>
      <c r="V39" s="678" t="str">
        <f>IF(U39="","",SUMIFS('Lớp 3 - Công việc chính'!$AF$14:$AF$73,'Lớp 3 - Công việc chính'!$V$14:$V$73,U39,'Lớp 3 - Công việc chính'!$Z$14:$Z$73,"&lt;="&amp;TODAY(),'Lớp 3 - Công việc chính'!$AA$14:$AA$73,"&gt;="&amp;TODAY())+SUMIFS('Lớp 4 - Danh mục'!$AI$14:$AI$132,'Lớp 4 - Danh mục'!$Z$14:$Z$132,U39,'Lớp 4 - Danh mục'!$AC$14:$AC$132,"&lt;="&amp;TODAY(),'Lớp 4 - Danh mục'!$AD$14:$AD$132,"&gt;="&amp;TODAY())+SUMIFS('Lớp 5 - Phân công'!$AJ$14:$AJ$262,'Lớp 5 - Phân công'!$AA$14:$AA$262,U39,'Lớp 5 - Phân công'!$AD$14:$AD$262,"&lt;="&amp;TODAY(),'Lớp 5 - Phân công'!$AE$14:$AE$262,"&gt;="&amp;TODAY())+SUMIFS('Lớp 6 - Chi tiết'!$AM$14:$AM$267,'Lớp 6 - Chi tiết'!$AC$14:$AC$267,U39,'Lớp 6 - Chi tiết'!$AG$14:$AG$267,"&lt;="&amp;TODAY(),'Lớp 6 - Chi tiết'!$AH$14:$AH$267,"&gt;="&amp;TODAY()))</f>
        <v/>
      </c>
      <c r="W39" s="679" t="str">
        <f>IF(V39="","",V39/'Danh mục chọn'!$J$2)</f>
        <v/>
      </c>
      <c r="X39" s="680" t="str">
        <f>IF(V39="","",IF(V39=0,"Chưa có tải tính được",IF(V39&gt;'Danh mục chọn'!$J$2,"Quá tải",IF(V39&gt;='Danh mục chọn'!$J$2*'Danh mục chọn'!$J$3,"Cận tải","Bình thường"))))</f>
        <v/>
      </c>
      <c r="Y39" s="678" t="str">
        <f>IF(U39="","",SUMPRODUCT(('Lớp 3 - Công việc chính'!$V$14:$V$73=U39)*('Lớp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mục'!$Z$14:$Z$132=U39)*('Lớp 4 - Danh mục'!$AD$14:$AD$132&lt;TODAY())*('Lớp 4 - Danh mục'!$AA$14:$AA$132&lt;&gt;"Hoàn thành")*('Lớp 4 - Danh mục'!$AA$14:$AA$132&lt;&gt;"Hủy")*('Lớp 4 - Danh mục'!$AI$14:$AI$132&lt;&gt;"")*IFERROR('Lớp 4 - Danh mục'!$AH$14:$AH$132*(1-'Lớp 4 - Danh mục'!$AF$14:$AF$132),0))+SUMPRODUCT(('Lớp 5 - Phân công'!$AA$14:$AA$262=U39)*('Lớp 5 - Phân công'!$AE$14:$AE$262&lt;TODAY())*('Lớp 5 - Phân công'!$AB$14:$AB$262&lt;&gt;"Hoàn thành")*('Lớp 5 - Phân công'!$AB$14:$AB$262&lt;&gt;"Hủy")*('Lớp 5 - Phân công'!$AJ$14:$AJ$262&lt;&gt;"")*IFERROR('Lớp 5 - Phân công'!$AI$14:$AI$262*(1-'Lớp 5 - Phân công'!$AG$14:$AG$262),0))+SUMPRODUCT(('Lớp 6 - Chi tiết'!$AC$14:$AC$267=U39)*('Lớp 6 - Chi tiết'!$AH$14:$AH$267&lt;TODAY())*('Lớp 6 - Chi tiết'!$AE$14:$AE$267&lt;&gt;"Hoàn thành")*('Lớp 6 - Chi tiết'!$AE$14:$AE$267&lt;&gt;"Hủy")*('Lớp 6 - Chi tiết'!$AM$14:$AM$267&lt;&gt;"")*IFERROR('Lớp 6 - Chi tiết'!$AL$14:$AL$267*(1-'Lớp 6 - Chi tiết'!$AJ$14:$AJ$267),0)))</f>
        <v/>
      </c>
      <c r="Z39" s="700" t="str">
        <f t="array" ref="Z39">IF($S39="","",IF($S39="Lớp 5",INDEX('Lớp 5 - Phân công'!$AS$14:$AS$262,$T39),IF($S39="Lớp 4",INDEX('Lớp 4 - Danh mục'!$AR$14:$AR$132,$T39),INDEX('Lớp 3 - Công việc chính'!$AO$14:$AO$73,$T39))))</f>
        <v>Tuần</v>
      </c>
      <c r="AA39" s="701">
        <f t="array" ref="AA39">IF($S39="","",IF($S39="Lớp 5",INDEX('Lớp 5 - Phân công'!$AT$14:$AT$262,$T39),IF($S39="Lớp 4",INDEX('Lớp 4 - Danh mục'!$AS$14:$AS$132,$T39),INDEX('Lớp 3 - Công việc chính'!$AP$14:$AP$73,$T39))))</f>
        <v>4</v>
      </c>
      <c r="AB39" s="701">
        <f t="array" ref="AB39">IF($S39="","",IF($S39="Lớp 5",INDEX('Lớp 5 - Phân công'!$AJ$14:$AJ$262,$T39),IF($S39="Lớp 4",INDEX('Lớp 4 - Danh mục'!$AI$14:$AI$132,$T39),INDEX('Lớp 3 - Công việc chính'!$AF$14:$AF$73,$T39))))</f>
        <v>0.8</v>
      </c>
      <c r="AC39" s="702" t="str">
        <f t="array" ref="AC39">IF($S39="","",IF($S39="Lớp 5",INDEX('Lớp 5 - Phân công'!$AV$14:$AV$262,$T39),IF($S39="Lớp 4",INDEX('Lớp 4 - Danh mục'!$AU$14:$AU$132,$T39),INDEX('Lớp 3 - Công việc chính'!$AR$14:$AR$73,$T39))))</f>
        <v>Thiếu 4.9 giờ/tuần</v>
      </c>
    </row>
    <row r="40" ht="15.75" customHeight="1">
      <c r="A40" s="690" t="str">
        <f t="shared" si="1"/>
        <v>Lớp 5</v>
      </c>
      <c r="B40" s="690" t="str">
        <f t="array" ref="B40">IF($S40="","",IF($S40="Lớp 5",INDEX('Lớp 5 - Phân công'!$I$14:$I$262,$T40),IF($S40="Lớp 4",INDEX('Lớp 4 - Danh mục'!$I$14:$I$132,$T40),INDEX('Lớp 3 - Công việc chính'!$I$14:$I$73,$T40))))</f>
        <v>HHL5DL06-02</v>
      </c>
      <c r="C40" s="690" t="str">
        <f t="array" ref="C40">IF($S40="","",IF($S40="Lớp 5",INDEX('Lớp 5 - Phân công'!$K$14:$K$262,$T40),IF($S40="Lớp 4",INDEX('Lớp 4 - Danh mục'!$J$14:$J$132,$T40),INDEX('Lớp 3 - Công việc chính'!$I$14:$I$73,$T40))))</f>
        <v>HHL3CT03</v>
      </c>
      <c r="D40" s="690" t="str">
        <f t="array" ref="D40">IF($S40="","",IF($S40="Lớp 5",INDEX('Lớp 5 - Phân công'!$J$14:$J$262,$T40),IF($S40="Lớp 4",INDEX('Lớp 4 - Danh mục'!$I$14:$I$132,$T40),"")))</f>
        <v>HHL4DL06</v>
      </c>
      <c r="E40" s="690">
        <f t="array" ref="E40">IF($S40="","",IF($S40="Lớp 5",INDEX('Lớp 5 - Phân công'!$L$14:$L$262,$T40),IF($S40="Lớp 4",INDEX('Lớp 4 - Danh mục'!$K$14:$K$132,$T40),INDEX('Lớp 3 - Công việc chính'!$J$14:$J$73,$T40))))</f>
        <v>2026</v>
      </c>
      <c r="F40" s="690" t="str">
        <f t="array" ref="F40">IF($S40="","",IF($S40="Lớp 5",INDEX('Lớp 5 - Phân công'!$M$14:$M$262,$T40),IF($S40="Lớp 4",INDEX('Lớp 4 - Danh mục'!$L$14:$L$132,$T40),INDEX('Lớp 3 - Công việc chính'!$K$14:$K$73,$T40))))</f>
        <v>Cấp công ty</v>
      </c>
      <c r="G40" s="691" t="str">
        <f t="array" ref="G40">IF($S40="","",IF($S40="Lớp 5",INDEX('Lớp 5 - Phân công'!$N$14:$N$262,$T40),IF($S40="Lớp 4",INDEX('Lớp 4 - Danh mục'!$M$14:$M$132,$T40),INDEX('Lớp 3 - Công việc chính'!$L$14:$L$73,$T40))))</f>
        <v>Chiến lược/sống còn</v>
      </c>
      <c r="H40" s="692" t="str">
        <f t="array" ref="H40">IF($S40="","",IF($S40="Lớp 5",INDEX('Lớp 5 - Phân công'!$O$14:$O$262,$T40),IF($S40="Lớp 4",INDEX('Lớp 4 - Danh mục'!$N$14:$N$132,$T40),INDEX('Lớp 3 - Công việc chính'!$M$14:$M$73,$T40))))</f>
        <v>KHKD 2027&amp; HT lập KH theo tham số KD (bán tự động)</v>
      </c>
      <c r="I40" s="692" t="str">
        <f t="array" ref="I40">IF($S40="","",IF($S40="Lớp 5",INDEX('Lớp 5 - Phân công'!$P$14:$P$262,$T40),IF($S40="Lớp 4",INDEX('Lớp 4 - Danh mục'!$O$14:$O$132,$T40),"")))</f>
        <v>Xây dựng công thức &amp; tạo HT tham số cho KH Showroom</v>
      </c>
      <c r="J40" s="693" t="str">
        <f t="array" ref="J40">IF($S40="","",IF($S40="Lớp 5",INDEX('Lớp 5 - Phân công'!$Q$14:$Q$262,$T40),""))</f>
        <v>Phản biện với TGĐ &amp; liên PB Showroom</v>
      </c>
      <c r="K40" s="690" t="str">
        <f t="array" ref="K40">IF($S40="","",IF($S40="Lớp 5",INDEX('Lớp 5 - Phân công'!$AA$14:$AA$262,$T40),IF($S40="Lớp 4",INDEX('Lớp 4 - Danh mục'!$Y$14:$Y$132,$T40),INDEX('Lớp 3 - Công việc chính'!$U$14:$U$73,$T40))))</f>
        <v>Em Đại</v>
      </c>
      <c r="L40" s="691" t="str">
        <f t="array" ref="L40">IF($S40="","",IF($S40="Lớp 5",INDEX('Lớp 5 - Phân công'!$Z$14:$Z$262,$T40),IF($S40="Lớp 4",INDEX('Lớp 4 - Danh mục'!$X$14:$X$132,$T40),INDEX('Lớp 3 - Công việc chính'!$W$14:$W$73,$T40))))</f>
        <v>Dữ liệu điều hành</v>
      </c>
      <c r="M40" s="694">
        <f t="array" ref="M40">IF($S40="","",IF($S40="Lớp 5",INDEX('Lớp 5 - Phân công'!$AD$14:$AD$262,$T40),IF($S40="Lớp 4",INDEX('Lớp 4 - Danh mục'!$AC$14:$AC$132,$T40),INDEX('Lớp 3 - Công việc chính'!$Z$14:$Z$73,$T40))))</f>
        <v>46301</v>
      </c>
      <c r="N40" s="695">
        <f t="array" ref="N40">IF($S40="","",IF($S40="Lớp 5",INDEX('Lớp 5 - Phân công'!$AE$14:$AE$262,$T40),IF($S40="Lớp 4",INDEX('Lớp 4 - Danh mục'!$AD$14:$AD$132,$T40),INDEX('Lớp 3 - Công việc chính'!$AA$14:$AA$73,$T40))))</f>
        <v>46310</v>
      </c>
      <c r="O40" s="690" t="str">
        <f t="array" ref="O40">IF($S40="","",IF($S40="Lớp 5",INDEX('Lớp 5 - Phân công'!$AB$14:$AB$262,$T40),IF($S40="Lớp 4",INDEX('Lớp 4 - Danh mục'!$AA$14:$AA$132,$T40),INDEX('Lớp 3 - Công việc chính'!$X$14:$X$73,$T40))))</f>
        <v>Chưa bắt đầu</v>
      </c>
      <c r="P40" s="703" t="str">
        <f t="array" ref="P40">IF($S40="","",IF($S40="Lớp 5",INDEX('Lớp 5 - Phân công'!$AC$14:$AC$262,$T40),IF($S40="Lớp 4",INDEX('Lớp 4 - Danh mục'!$AB$14:$AB$132,$T40),INDEX('Lớp 3 - Công việc chính'!$Y$14:$Y$73,$T40))))</f>
        <v>P2</v>
      </c>
      <c r="Q40" s="697">
        <f t="array" ref="Q40">IF($S40="","",IF($S40="Lớp 5",INDEX('Lớp 5 - Phân công'!$AG$14:$AG$262,$T40),IF($S40="Lớp 4",INDEX('Lớp 4 - Danh mục'!$AF$14:$AF$132,$T40),INDEX('Lớp 3 - Công việc chính'!$AC$14:$AC$73,$T40))))</f>
        <v>0</v>
      </c>
      <c r="R40" s="698" t="str">
        <f t="array" ref="R40">IF($S40="","",IF($S40="Lớp 5",INDEX('Lớp 5 - Phân công'!$X$14:$X$262,$T40),IF($S40="Lớp 4",INDEX('Lớp 4 - Danh mục'!$V$14:$V$132,$T40),INDEX('Lớp 3 - Công việc chính'!$T$14:$T$73,$T40))))</f>
        <v>Biên bản phản biện công thức Showroom và danh mục điều chỉnh được thống nhất.</v>
      </c>
      <c r="S40" s="699" t="str">
        <f>IF(ROWS($S$14:S40)&lt;=COUNTIF('Lớp 5 - Phân công'!$I$14:$I$262,"&lt;&gt;"),"Lớp 5",IF(ROWS($S$14:S40)&lt;=COUNTIF('Lớp 5 - Phân công'!$I$14:$I$262,"&lt;&gt;")+SUMPRODUCT(--('Lớp 4 - Danh mục'!$I$14:$I$132&lt;&gt;""),--(COUNTIF('Lớp 5 - Phân công'!$J$14:$J$262,'Lớp 4 - Danh mục'!$I$14:$I$132)=0)),"Lớp 4",IF(ROWS($S$14:S40)&lt;=COUNTIF('Lớp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0" s="699">
        <f t="array" ref="T40">IF(S40="","",IF(S40="Lớp 5",IF(S39&lt;&gt;"Lớp 5",MATCH("*",'Lớp 5 - Phân công'!$I$14:$I$262,0),T39+MATCH("*",INDEX('Lớp 5 - Phân công'!$I$14:$I$262,T39+1):'Lớp 5 - Phân công'!$I$262,0)),IF(S40="Lớp 4",IF(S39&lt;&gt;"Lớp 4",MATCH(1,INDEX(('Lớp 4 - Danh mục'!$I$14:$I$132&lt;&gt;"")*(COUNTIF('Lớp 5 - Phân công'!$J$14:$J$262,'Lớp 4 - Danh mục'!$I$14:$I$132)=0),0),0),T39+MATCH(1,INDEX((INDEX('Lớp 4 - Danh mục'!$I$14:$I$132,T39+1):'Lớp 4 - Danh mục'!$I$132&lt;&gt;"")*(COUNTIF('Lớp 5 - Phân công'!$J$14:$J$262,INDEX('Lớp 4 - Danh mục'!$I$14:$I$132,T39+1):'Lớp 4 - Danh mục'!$I$132)=0),0),0)),IF(S39&lt;&gt;"Lớp 3",MATCH(1,INDEX(('Lớp 3 - Công việc chính'!$I$14:$I$73&lt;&gt;"")*(COUNTIF('Lớp 4 - Danh mục'!$J$14:$J$132,'Lớp 3 - Công việc chính'!$I$14:$I$73)=0),0),0),T39+MATCH(1,INDEX((INDEX('Lớp 3 - Công việc chính'!$I$14:$I$73,T39+1):'Lớp 3 - Công việc chính'!$I$73&lt;&gt;"")*(COUNTIF('Lớp 4 - Danh mục'!$J$14:$J$132,INDEX('Lớp 3 - Công việc chính'!$I$14:$I$73,T39+1):'Lớp 3 - Công việc chính'!$I$73)=0),0),0)))))</f>
        <v>27</v>
      </c>
      <c r="U40" s="677"/>
      <c r="V40" s="678" t="str">
        <f>IF(U40="","",SUMIFS('Lớp 3 - Công việc chính'!$AF$14:$AF$73,'Lớp 3 - Công việc chính'!$V$14:$V$73,U40,'Lớp 3 - Công việc chính'!$Z$14:$Z$73,"&lt;="&amp;TODAY(),'Lớp 3 - Công việc chính'!$AA$14:$AA$73,"&gt;="&amp;TODAY())+SUMIFS('Lớp 4 - Danh mục'!$AI$14:$AI$132,'Lớp 4 - Danh mục'!$Z$14:$Z$132,U40,'Lớp 4 - Danh mục'!$AC$14:$AC$132,"&lt;="&amp;TODAY(),'Lớp 4 - Danh mục'!$AD$14:$AD$132,"&gt;="&amp;TODAY())+SUMIFS('Lớp 5 - Phân công'!$AJ$14:$AJ$262,'Lớp 5 - Phân công'!$AA$14:$AA$262,U40,'Lớp 5 - Phân công'!$AD$14:$AD$262,"&lt;="&amp;TODAY(),'Lớp 5 - Phân công'!$AE$14:$AE$262,"&gt;="&amp;TODAY())+SUMIFS('Lớp 6 - Chi tiết'!$AM$14:$AM$267,'Lớp 6 - Chi tiết'!$AC$14:$AC$267,U40,'Lớp 6 - Chi tiết'!$AG$14:$AG$267,"&lt;="&amp;TODAY(),'Lớp 6 - Chi tiết'!$AH$14:$AH$267,"&gt;="&amp;TODAY()))</f>
        <v/>
      </c>
      <c r="W40" s="679" t="str">
        <f>IF(V40="","",V40/'Danh mục chọn'!$J$2)</f>
        <v/>
      </c>
      <c r="X40" s="680" t="str">
        <f>IF(V40="","",IF(V40=0,"Chưa có tải tính được",IF(V40&gt;'Danh mục chọn'!$J$2,"Quá tải",IF(V40&gt;='Danh mục chọn'!$J$2*'Danh mục chọn'!$J$3,"Cận tải","Bình thường"))))</f>
        <v/>
      </c>
      <c r="Y40" s="678" t="str">
        <f>IF(U40="","",SUMPRODUCT(('Lớp 3 - Công việc chính'!$V$14:$V$73=U40)*('Lớp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mục'!$Z$14:$Z$132=U40)*('Lớp 4 - Danh mục'!$AD$14:$AD$132&lt;TODAY())*('Lớp 4 - Danh mục'!$AA$14:$AA$132&lt;&gt;"Hoàn thành")*('Lớp 4 - Danh mục'!$AA$14:$AA$132&lt;&gt;"Hủy")*('Lớp 4 - Danh mục'!$AI$14:$AI$132&lt;&gt;"")*IFERROR('Lớp 4 - Danh mục'!$AH$14:$AH$132*(1-'Lớp 4 - Danh mục'!$AF$14:$AF$132),0))+SUMPRODUCT(('Lớp 5 - Phân công'!$AA$14:$AA$262=U40)*('Lớp 5 - Phân công'!$AE$14:$AE$262&lt;TODAY())*('Lớp 5 - Phân công'!$AB$14:$AB$262&lt;&gt;"Hoàn thành")*('Lớp 5 - Phân công'!$AB$14:$AB$262&lt;&gt;"Hủy")*('Lớp 5 - Phân công'!$AJ$14:$AJ$262&lt;&gt;"")*IFERROR('Lớp 5 - Phân công'!$AI$14:$AI$262*(1-'Lớp 5 - Phân công'!$AG$14:$AG$262),0))+SUMPRODUCT(('Lớp 6 - Chi tiết'!$AC$14:$AC$267=U40)*('Lớp 6 - Chi tiết'!$AH$14:$AH$267&lt;TODAY())*('Lớp 6 - Chi tiết'!$AE$14:$AE$267&lt;&gt;"Hoàn thành")*('Lớp 6 - Chi tiết'!$AE$14:$AE$267&lt;&gt;"Hủy")*('Lớp 6 - Chi tiết'!$AM$14:$AM$267&lt;&gt;"")*IFERROR('Lớp 6 - Chi tiết'!$AL$14:$AL$267*(1-'Lớp 6 - Chi tiết'!$AJ$14:$AJ$267),0)))</f>
        <v/>
      </c>
      <c r="Z40" s="700" t="str">
        <f t="array" ref="Z40">IF($S40="","",IF($S40="Lớp 5",INDEX('Lớp 5 - Phân công'!$AS$14:$AS$262,$T40),IF($S40="Lớp 4",INDEX('Lớp 4 - Danh mục'!$AR$14:$AR$132,$T40),INDEX('Lớp 3 - Công việc chính'!$AO$14:$AO$73,$T40))))</f>
        <v>Tuần</v>
      </c>
      <c r="AA40" s="701">
        <f t="array" ref="AA40">IF($S40="","",IF($S40="Lớp 5",INDEX('Lớp 5 - Phân công'!$AT$14:$AT$262,$T40),IF($S40="Lớp 4",INDEX('Lớp 4 - Danh mục'!$AS$14:$AS$132,$T40),INDEX('Lớp 3 - Công việc chính'!$AP$14:$AP$73,$T40))))</f>
        <v>4</v>
      </c>
      <c r="AB40" s="701">
        <f t="array" ref="AB40">IF($S40="","",IF($S40="Lớp 5",INDEX('Lớp 5 - Phân công'!$AJ$14:$AJ$262,$T40),IF($S40="Lớp 4",INDEX('Lớp 4 - Danh mục'!$AI$14:$AI$132,$T40),INDEX('Lớp 3 - Công việc chính'!$AF$14:$AF$73,$T40))))</f>
        <v>0.8</v>
      </c>
      <c r="AC40" s="702" t="str">
        <f t="array" ref="AC40">IF($S40="","",IF($S40="Lớp 5",INDEX('Lớp 5 - Phân công'!$AV$14:$AV$262,$T40),IF($S40="Lớp 4",INDEX('Lớp 4 - Danh mục'!$AU$14:$AU$132,$T40),INDEX('Lớp 3 - Công việc chính'!$AR$14:$AR$73,$T40))))</f>
        <v>Thiếu 0.4 giờ/tuần</v>
      </c>
    </row>
    <row r="41" ht="15.75" customHeight="1">
      <c r="A41" s="690" t="str">
        <f t="shared" si="1"/>
        <v>Lớp 5</v>
      </c>
      <c r="B41" s="690" t="str">
        <f t="array" ref="B41">IF($S41="","",IF($S41="Lớp 5",INDEX('Lớp 5 - Phân công'!$I$14:$I$262,$T41),IF($S41="Lớp 4",INDEX('Lớp 4 - Danh mục'!$I$14:$I$132,$T41),INDEX('Lớp 3 - Công việc chính'!$I$14:$I$73,$T41))))</f>
        <v>HHL5DL06-03</v>
      </c>
      <c r="C41" s="690" t="str">
        <f t="array" ref="C41">IF($S41="","",IF($S41="Lớp 5",INDEX('Lớp 5 - Phân công'!$K$14:$K$262,$T41),IF($S41="Lớp 4",INDEX('Lớp 4 - Danh mục'!$J$14:$J$132,$T41),INDEX('Lớp 3 - Công việc chính'!$I$14:$I$73,$T41))))</f>
        <v>HHL3CT03</v>
      </c>
      <c r="D41" s="690" t="str">
        <f t="array" ref="D41">IF($S41="","",IF($S41="Lớp 5",INDEX('Lớp 5 - Phân công'!$J$14:$J$262,$T41),IF($S41="Lớp 4",INDEX('Lớp 4 - Danh mục'!$I$14:$I$132,$T41),"")))</f>
        <v>HHL4DL06</v>
      </c>
      <c r="E41" s="690">
        <f t="array" ref="E41">IF($S41="","",IF($S41="Lớp 5",INDEX('Lớp 5 - Phân công'!$L$14:$L$262,$T41),IF($S41="Lớp 4",INDEX('Lớp 4 - Danh mục'!$K$14:$K$132,$T41),INDEX('Lớp 3 - Công việc chính'!$J$14:$J$73,$T41))))</f>
        <v>2026</v>
      </c>
      <c r="F41" s="690" t="str">
        <f t="array" ref="F41">IF($S41="","",IF($S41="Lớp 5",INDEX('Lớp 5 - Phân công'!$M$14:$M$262,$T41),IF($S41="Lớp 4",INDEX('Lớp 4 - Danh mục'!$L$14:$L$132,$T41),INDEX('Lớp 3 - Công việc chính'!$K$14:$K$73,$T41))))</f>
        <v>Cấp công ty</v>
      </c>
      <c r="G41" s="691" t="str">
        <f t="array" ref="G41">IF($S41="","",IF($S41="Lớp 5",INDEX('Lớp 5 - Phân công'!$N$14:$N$262,$T41),IF($S41="Lớp 4",INDEX('Lớp 4 - Danh mục'!$M$14:$M$132,$T41),INDEX('Lớp 3 - Công việc chính'!$L$14:$L$73,$T41))))</f>
        <v>Chiến lược/sống còn</v>
      </c>
      <c r="H41" s="692" t="str">
        <f t="array" ref="H41">IF($S41="","",IF($S41="Lớp 5",INDEX('Lớp 5 - Phân công'!$O$14:$O$262,$T41),IF($S41="Lớp 4",INDEX('Lớp 4 - Danh mục'!$N$14:$N$132,$T41),INDEX('Lớp 3 - Công việc chính'!$M$14:$M$73,$T41))))</f>
        <v>KHKD 2027&amp; HT lập KH theo tham số KD (bán tự động)</v>
      </c>
      <c r="I41" s="692" t="str">
        <f t="array" ref="I41">IF($S41="","",IF($S41="Lớp 5",INDEX('Lớp 5 - Phân công'!$P$14:$P$262,$T41),IF($S41="Lớp 4",INDEX('Lớp 4 - Danh mục'!$O$14:$O$132,$T41),"")))</f>
        <v>Xây dựng công thức &amp; tạo HT tham số cho KH Showroom</v>
      </c>
      <c r="J41" s="693" t="str">
        <f t="array" ref="J41">IF($S41="","",IF($S41="Lớp 5",INDEX('Lớp 5 - Phân công'!$Q$14:$Q$262,$T41),""))</f>
        <v>XD bảng Excel &amp; HT phần mềm (chạy demo) Showroom</v>
      </c>
      <c r="K41" s="690" t="str">
        <f t="array" ref="K41">IF($S41="","",IF($S41="Lớp 5",INDEX('Lớp 5 - Phân công'!$AA$14:$AA$262,$T41),IF($S41="Lớp 4",INDEX('Lớp 4 - Danh mục'!$Y$14:$Y$132,$T41),INDEX('Lớp 3 - Công việc chính'!$U$14:$U$73,$T41))))</f>
        <v>Em Đại</v>
      </c>
      <c r="L41" s="691" t="str">
        <f t="array" ref="L41">IF($S41="","",IF($S41="Lớp 5",INDEX('Lớp 5 - Phân công'!$Z$14:$Z$262,$T41),IF($S41="Lớp 4",INDEX('Lớp 4 - Danh mục'!$X$14:$X$132,$T41),INDEX('Lớp 3 - Công việc chính'!$W$14:$W$73,$T41))))</f>
        <v>Dữ liệu điều hành</v>
      </c>
      <c r="M41" s="694">
        <f t="array" ref="M41">IF($S41="","",IF($S41="Lớp 5",INDEX('Lớp 5 - Phân công'!$AD$14:$AD$262,$T41),IF($S41="Lớp 4",INDEX('Lớp 4 - Danh mục'!$AC$14:$AC$132,$T41),INDEX('Lớp 3 - Công việc chính'!$Z$14:$Z$73,$T41))))</f>
        <v>46301</v>
      </c>
      <c r="N41" s="695">
        <f t="array" ref="N41">IF($S41="","",IF($S41="Lớp 5",INDEX('Lớp 5 - Phân công'!$AE$14:$AE$262,$T41),IF($S41="Lớp 4",INDEX('Lớp 4 - Danh mục'!$AD$14:$AD$132,$T41),INDEX('Lớp 3 - Công việc chính'!$AA$14:$AA$73,$T41))))</f>
        <v>46305</v>
      </c>
      <c r="O41" s="690" t="str">
        <f t="array" ref="O41">IF($S41="","",IF($S41="Lớp 5",INDEX('Lớp 5 - Phân công'!$AB$14:$AB$262,$T41),IF($S41="Lớp 4",INDEX('Lớp 4 - Danh mục'!$AA$14:$AA$132,$T41),INDEX('Lớp 3 - Công việc chính'!$X$14:$X$73,$T41))))</f>
        <v>Chưa bắt đầu</v>
      </c>
      <c r="P41" s="703" t="str">
        <f t="array" ref="P41">IF($S41="","",IF($S41="Lớp 5",INDEX('Lớp 5 - Phân công'!$AC$14:$AC$262,$T41),IF($S41="Lớp 4",INDEX('Lớp 4 - Danh mục'!$AB$14:$AB$132,$T41),INDEX('Lớp 3 - Công việc chính'!$Y$14:$Y$73,$T41))))</f>
        <v>P2</v>
      </c>
      <c r="Q41" s="697">
        <f t="array" ref="Q41">IF($S41="","",IF($S41="Lớp 5",INDEX('Lớp 5 - Phân công'!$AG$14:$AG$262,$T41),IF($S41="Lớp 4",INDEX('Lớp 4 - Danh mục'!$AF$14:$AF$132,$T41),INDEX('Lớp 3 - Công việc chính'!$AC$14:$AC$73,$T41))))</f>
        <v>0</v>
      </c>
      <c r="R41" s="698" t="str">
        <f t="array" ref="R41">IF($S41="","",IF($S41="Lớp 5",INDEX('Lớp 5 - Phân công'!$X$14:$X$262,$T41),IF($S41="Lớp 4",INDEX('Lớp 4 - Danh mục'!$V$14:$V$132,$T41),INDEX('Lớp 3 - Công việc chính'!$T$14:$T$73,$T41))))</f>
        <v>File Excel và bản demo hệ thống kế hoạch Showroom vận hành đúng công thức.</v>
      </c>
      <c r="S41" s="699" t="str">
        <f>IF(ROWS($S$14:S41)&lt;=COUNTIF('Lớp 5 - Phân công'!$I$14:$I$262,"&lt;&gt;"),"Lớp 5",IF(ROWS($S$14:S41)&lt;=COUNTIF('Lớp 5 - Phân công'!$I$14:$I$262,"&lt;&gt;")+SUMPRODUCT(--('Lớp 4 - Danh mục'!$I$14:$I$132&lt;&gt;""),--(COUNTIF('Lớp 5 - Phân công'!$J$14:$J$262,'Lớp 4 - Danh mục'!$I$14:$I$132)=0)),"Lớp 4",IF(ROWS($S$14:S41)&lt;=COUNTIF('Lớp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1" s="699">
        <f t="array" ref="T41">IF(S41="","",IF(S41="Lớp 5",IF(S40&lt;&gt;"Lớp 5",MATCH("*",'Lớp 5 - Phân công'!$I$14:$I$262,0),T40+MATCH("*",INDEX('Lớp 5 - Phân công'!$I$14:$I$262,T40+1):'Lớp 5 - Phân công'!$I$262,0)),IF(S41="Lớp 4",IF(S40&lt;&gt;"Lớp 4",MATCH(1,INDEX(('Lớp 4 - Danh mục'!$I$14:$I$132&lt;&gt;"")*(COUNTIF('Lớp 5 - Phân công'!$J$14:$J$262,'Lớp 4 - Danh mục'!$I$14:$I$132)=0),0),0),T40+MATCH(1,INDEX((INDEX('Lớp 4 - Danh mục'!$I$14:$I$132,T40+1):'Lớp 4 - Danh mục'!$I$132&lt;&gt;"")*(COUNTIF('Lớp 5 - Phân công'!$J$14:$J$262,INDEX('Lớp 4 - Danh mục'!$I$14:$I$132,T40+1):'Lớp 4 - Danh mục'!$I$132)=0),0),0)),IF(S40&lt;&gt;"Lớp 3",MATCH(1,INDEX(('Lớp 3 - Công việc chính'!$I$14:$I$73&lt;&gt;"")*(COUNTIF('Lớp 4 - Danh mục'!$J$14:$J$132,'Lớp 3 - Công việc chính'!$I$14:$I$73)=0),0),0),T40+MATCH(1,INDEX((INDEX('Lớp 3 - Công việc chính'!$I$14:$I$73,T40+1):'Lớp 3 - Công việc chính'!$I$73&lt;&gt;"")*(COUNTIF('Lớp 4 - Danh mục'!$J$14:$J$132,INDEX('Lớp 3 - Công việc chính'!$I$14:$I$73,T40+1):'Lớp 3 - Công việc chính'!$I$73)=0),0),0)))))</f>
        <v>28</v>
      </c>
      <c r="U41" s="677"/>
      <c r="V41" s="678" t="str">
        <f>IF(U41="","",SUMIFS('Lớp 3 - Công việc chính'!$AF$14:$AF$73,'Lớp 3 - Công việc chính'!$V$14:$V$73,U41,'Lớp 3 - Công việc chính'!$Z$14:$Z$73,"&lt;="&amp;TODAY(),'Lớp 3 - Công việc chính'!$AA$14:$AA$73,"&gt;="&amp;TODAY())+SUMIFS('Lớp 4 - Danh mục'!$AI$14:$AI$132,'Lớp 4 - Danh mục'!$Z$14:$Z$132,U41,'Lớp 4 - Danh mục'!$AC$14:$AC$132,"&lt;="&amp;TODAY(),'Lớp 4 - Danh mục'!$AD$14:$AD$132,"&gt;="&amp;TODAY())+SUMIFS('Lớp 5 - Phân công'!$AJ$14:$AJ$262,'Lớp 5 - Phân công'!$AA$14:$AA$262,U41,'Lớp 5 - Phân công'!$AD$14:$AD$262,"&lt;="&amp;TODAY(),'Lớp 5 - Phân công'!$AE$14:$AE$262,"&gt;="&amp;TODAY())+SUMIFS('Lớp 6 - Chi tiết'!$AM$14:$AM$267,'Lớp 6 - Chi tiết'!$AC$14:$AC$267,U41,'Lớp 6 - Chi tiết'!$AG$14:$AG$267,"&lt;="&amp;TODAY(),'Lớp 6 - Chi tiết'!$AH$14:$AH$267,"&gt;="&amp;TODAY()))</f>
        <v/>
      </c>
      <c r="W41" s="679" t="str">
        <f>IF(V41="","",V41/'Danh mục chọn'!$J$2)</f>
        <v/>
      </c>
      <c r="X41" s="680" t="str">
        <f>IF(V41="","",IF(V41=0,"Chưa có tải tính được",IF(V41&gt;'Danh mục chọn'!$J$2,"Quá tải",IF(V41&gt;='Danh mục chọn'!$J$2*'Danh mục chọn'!$J$3,"Cận tải","Bình thường"))))</f>
        <v/>
      </c>
      <c r="Y41" s="678" t="str">
        <f>IF(U41="","",SUMPRODUCT(('Lớp 3 - Công việc chính'!$V$14:$V$73=U41)*('Lớp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mục'!$Z$14:$Z$132=U41)*('Lớp 4 - Danh mục'!$AD$14:$AD$132&lt;TODAY())*('Lớp 4 - Danh mục'!$AA$14:$AA$132&lt;&gt;"Hoàn thành")*('Lớp 4 - Danh mục'!$AA$14:$AA$132&lt;&gt;"Hủy")*('Lớp 4 - Danh mục'!$AI$14:$AI$132&lt;&gt;"")*IFERROR('Lớp 4 - Danh mục'!$AH$14:$AH$132*(1-'Lớp 4 - Danh mục'!$AF$14:$AF$132),0))+SUMPRODUCT(('Lớp 5 - Phân công'!$AA$14:$AA$262=U41)*('Lớp 5 - Phân công'!$AE$14:$AE$262&lt;TODAY())*('Lớp 5 - Phân công'!$AB$14:$AB$262&lt;&gt;"Hoàn thành")*('Lớp 5 - Phân công'!$AB$14:$AB$262&lt;&gt;"Hủy")*('Lớp 5 - Phân công'!$AJ$14:$AJ$262&lt;&gt;"")*IFERROR('Lớp 5 - Phân công'!$AI$14:$AI$262*(1-'Lớp 5 - Phân công'!$AG$14:$AG$262),0))+SUMPRODUCT(('Lớp 6 - Chi tiết'!$AC$14:$AC$267=U41)*('Lớp 6 - Chi tiết'!$AH$14:$AH$267&lt;TODAY())*('Lớp 6 - Chi tiết'!$AE$14:$AE$267&lt;&gt;"Hoàn thành")*('Lớp 6 - Chi tiết'!$AE$14:$AE$267&lt;&gt;"Hủy")*('Lớp 6 - Chi tiết'!$AM$14:$AM$267&lt;&gt;"")*IFERROR('Lớp 6 - Chi tiết'!$AL$14:$AL$267*(1-'Lớp 6 - Chi tiết'!$AJ$14:$AJ$267),0)))</f>
        <v/>
      </c>
      <c r="Z41" s="700" t="str">
        <f t="array" ref="Z41">IF($S41="","",IF($S41="Lớp 5",INDEX('Lớp 5 - Phân công'!$AS$14:$AS$262,$T41),IF($S41="Lớp 4",INDEX('Lớp 4 - Danh mục'!$AR$14:$AR$132,$T41),INDEX('Lớp 3 - Công việc chính'!$AO$14:$AO$73,$T41))))</f>
        <v>Tuần</v>
      </c>
      <c r="AA41" s="701">
        <f t="array" ref="AA41">IF($S41="","",IF($S41="Lớp 5",INDEX('Lớp 5 - Phân công'!$AT$14:$AT$262,$T41),IF($S41="Lớp 4",INDEX('Lớp 4 - Danh mục'!$AS$14:$AS$132,$T41),INDEX('Lớp 3 - Công việc chính'!$AP$14:$AP$73,$T41))))</f>
        <v>4</v>
      </c>
      <c r="AB41" s="701">
        <f t="array" ref="AB41">IF($S41="","",IF($S41="Lớp 5",INDEX('Lớp 5 - Phân công'!$AJ$14:$AJ$262,$T41),IF($S41="Lớp 4",INDEX('Lớp 4 - Danh mục'!$AI$14:$AI$132,$T41),INDEX('Lớp 3 - Công việc chính'!$AF$14:$AF$73,$T41))))</f>
        <v>0.8</v>
      </c>
      <c r="AC41" s="702" t="str">
        <f t="array" ref="AC41">IF($S41="","",IF($S41="Lớp 5",INDEX('Lớp 5 - Phân công'!$AV$14:$AV$262,$T41),IF($S41="Lớp 4",INDEX('Lớp 4 - Danh mục'!$AU$14:$AU$132,$T41),INDEX('Lớp 3 - Công việc chính'!$AR$14:$AR$73,$T41))))</f>
        <v>Thiếu 20.0 giờ/tuần</v>
      </c>
    </row>
    <row r="42" ht="15.75" customHeight="1">
      <c r="A42" s="690" t="str">
        <f t="shared" si="1"/>
        <v>Lớp 5</v>
      </c>
      <c r="B42" s="690" t="str">
        <f t="array" ref="B42">IF($S42="","",IF($S42="Lớp 5",INDEX('Lớp 5 - Phân công'!$I$14:$I$262,$T42),IF($S42="Lớp 4",INDEX('Lớp 4 - Danh mục'!$I$14:$I$132,$T42),INDEX('Lớp 3 - Công việc chính'!$I$14:$I$73,$T42))))</f>
        <v>HHL5DL06-04</v>
      </c>
      <c r="C42" s="690" t="str">
        <f t="array" ref="C42">IF($S42="","",IF($S42="Lớp 5",INDEX('Lớp 5 - Phân công'!$K$14:$K$262,$T42),IF($S42="Lớp 4",INDEX('Lớp 4 - Danh mục'!$J$14:$J$132,$T42),INDEX('Lớp 3 - Công việc chính'!$I$14:$I$73,$T42))))</f>
        <v>HHL3CT03</v>
      </c>
      <c r="D42" s="690" t="str">
        <f t="array" ref="D42">IF($S42="","",IF($S42="Lớp 5",INDEX('Lớp 5 - Phân công'!$J$14:$J$262,$T42),IF($S42="Lớp 4",INDEX('Lớp 4 - Danh mục'!$I$14:$I$132,$T42),"")))</f>
        <v>HHL4DL06</v>
      </c>
      <c r="E42" s="690">
        <f t="array" ref="E42">IF($S42="","",IF($S42="Lớp 5",INDEX('Lớp 5 - Phân công'!$L$14:$L$262,$T42),IF($S42="Lớp 4",INDEX('Lớp 4 - Danh mục'!$K$14:$K$132,$T42),INDEX('Lớp 3 - Công việc chính'!$J$14:$J$73,$T42))))</f>
        <v>2026</v>
      </c>
      <c r="F42" s="690" t="str">
        <f t="array" ref="F42">IF($S42="","",IF($S42="Lớp 5",INDEX('Lớp 5 - Phân công'!$M$14:$M$262,$T42),IF($S42="Lớp 4",INDEX('Lớp 4 - Danh mục'!$L$14:$L$132,$T42),INDEX('Lớp 3 - Công việc chính'!$K$14:$K$73,$T42))))</f>
        <v>Cấp công ty</v>
      </c>
      <c r="G42" s="691" t="str">
        <f t="array" ref="G42">IF($S42="","",IF($S42="Lớp 5",INDEX('Lớp 5 - Phân công'!$N$14:$N$262,$T42),IF($S42="Lớp 4",INDEX('Lớp 4 - Danh mục'!$M$14:$M$132,$T42),INDEX('Lớp 3 - Công việc chính'!$L$14:$L$73,$T42))))</f>
        <v>Chiến lược/sống còn</v>
      </c>
      <c r="H42" s="692" t="str">
        <f t="array" ref="H42">IF($S42="","",IF($S42="Lớp 5",INDEX('Lớp 5 - Phân công'!$O$14:$O$262,$T42),IF($S42="Lớp 4",INDEX('Lớp 4 - Danh mục'!$N$14:$N$132,$T42),INDEX('Lớp 3 - Công việc chính'!$M$14:$M$73,$T42))))</f>
        <v>KHKD 2027&amp; HT lập KH theo tham số KD (bán tự động)</v>
      </c>
      <c r="I42" s="692" t="str">
        <f t="array" ref="I42">IF($S42="","",IF($S42="Lớp 5",INDEX('Lớp 5 - Phân công'!$P$14:$P$262,$T42),IF($S42="Lớp 4",INDEX('Lớp 4 - Danh mục'!$O$14:$O$132,$T42),"")))</f>
        <v>Xây dựng công thức &amp; tạo HT tham số cho KH Showroom</v>
      </c>
      <c r="J42" s="693" t="str">
        <f t="array" ref="J42">IF($S42="","",IF($S42="Lớp 5",INDEX('Lớp 5 - Phân công'!$Q$14:$Q$262,$T42),""))</f>
        <v>Chạy tham số. Topdown Showroom</v>
      </c>
      <c r="K42" s="690" t="str">
        <f t="array" ref="K42">IF($S42="","",IF($S42="Lớp 5",INDEX('Lớp 5 - Phân công'!$AA$14:$AA$262,$T42),IF($S42="Lớp 4",INDEX('Lớp 4 - Danh mục'!$Y$14:$Y$132,$T42),INDEX('Lớp 3 - Công việc chính'!$U$14:$U$73,$T42))))</f>
        <v>Em Đại</v>
      </c>
      <c r="L42" s="691" t="str">
        <f t="array" ref="L42">IF($S42="","",IF($S42="Lớp 5",INDEX('Lớp 5 - Phân công'!$Z$14:$Z$262,$T42),IF($S42="Lớp 4",INDEX('Lớp 4 - Danh mục'!$X$14:$X$132,$T42),INDEX('Lớp 3 - Công việc chính'!$W$14:$W$73,$T42))))</f>
        <v>Dữ liệu điều hành</v>
      </c>
      <c r="M42" s="694">
        <f t="array" ref="M42">IF($S42="","",IF($S42="Lớp 5",INDEX('Lớp 5 - Phân công'!$AD$14:$AD$262,$T42),IF($S42="Lớp 4",INDEX('Lớp 4 - Danh mục'!$AC$14:$AC$132,$T42),INDEX('Lớp 3 - Công việc chính'!$Z$14:$Z$73,$T42))))</f>
        <v>46306</v>
      </c>
      <c r="N42" s="695">
        <f t="array" ref="N42">IF($S42="","",IF($S42="Lớp 5",INDEX('Lớp 5 - Phân công'!$AE$14:$AE$262,$T42),IF($S42="Lớp 4",INDEX('Lớp 4 - Danh mục'!$AD$14:$AD$132,$T42),INDEX('Lớp 3 - Công việc chính'!$AA$14:$AA$73,$T42))))</f>
        <v>46307</v>
      </c>
      <c r="O42" s="690" t="str">
        <f t="array" ref="O42">IF($S42="","",IF($S42="Lớp 5",INDEX('Lớp 5 - Phân công'!$AB$14:$AB$262,$T42),IF($S42="Lớp 4",INDEX('Lớp 4 - Danh mục'!$AA$14:$AA$132,$T42),INDEX('Lớp 3 - Công việc chính'!$X$14:$X$73,$T42))))</f>
        <v>Đã lên lịch</v>
      </c>
      <c r="P42" s="703" t="str">
        <f t="array" ref="P42">IF($S42="","",IF($S42="Lớp 5",INDEX('Lớp 5 - Phân công'!$AC$14:$AC$262,$T42),IF($S42="Lớp 4",INDEX('Lớp 4 - Danh mục'!$AB$14:$AB$132,$T42),INDEX('Lớp 3 - Công việc chính'!$Y$14:$Y$73,$T42))))</f>
        <v>P2</v>
      </c>
      <c r="Q42" s="697" t="str">
        <f t="array" ref="Q42">IF($S42="","",IF($S42="Lớp 5",INDEX('Lớp 5 - Phân công'!$AG$14:$AG$262,$T42),IF($S42="Lớp 4",INDEX('Lớp 4 - Danh mục'!$AF$14:$AF$132,$T42),INDEX('Lớp 3 - Công việc chính'!$AC$14:$AC$73,$T42))))</f>
        <v/>
      </c>
      <c r="R42" s="698" t="str">
        <f t="array" ref="R42">IF($S42="","",IF($S42="Lớp 5",INDEX('Lớp 5 - Phân công'!$X$14:$X$262,$T42),IF($S42="Lớp 4",INDEX('Lớp 4 - Danh mục'!$V$14:$V$132,$T42),INDEX('Lớp 3 - Công việc chính'!$T$14:$T$73,$T42))))</f>
        <v>Bộ kết quả tham số Top-down kế hoạch Showroom được kiểm tra và xác nhận.</v>
      </c>
      <c r="S42" s="699" t="str">
        <f>IF(ROWS($S$14:S42)&lt;=COUNTIF('Lớp 5 - Phân công'!$I$14:$I$262,"&lt;&gt;"),"Lớp 5",IF(ROWS($S$14:S42)&lt;=COUNTIF('Lớp 5 - Phân công'!$I$14:$I$262,"&lt;&gt;")+SUMPRODUCT(--('Lớp 4 - Danh mục'!$I$14:$I$132&lt;&gt;""),--(COUNTIF('Lớp 5 - Phân công'!$J$14:$J$262,'Lớp 4 - Danh mục'!$I$14:$I$132)=0)),"Lớp 4",IF(ROWS($S$14:S42)&lt;=COUNTIF('Lớp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2" s="699">
        <f t="array" ref="T42">IF(S42="","",IF(S42="Lớp 5",IF(S41&lt;&gt;"Lớp 5",MATCH("*",'Lớp 5 - Phân công'!$I$14:$I$262,0),T41+MATCH("*",INDEX('Lớp 5 - Phân công'!$I$14:$I$262,T41+1):'Lớp 5 - Phân công'!$I$262,0)),IF(S42="Lớp 4",IF(S41&lt;&gt;"Lớp 4",MATCH(1,INDEX(('Lớp 4 - Danh mục'!$I$14:$I$132&lt;&gt;"")*(COUNTIF('Lớp 5 - Phân công'!$J$14:$J$262,'Lớp 4 - Danh mục'!$I$14:$I$132)=0),0),0),T41+MATCH(1,INDEX((INDEX('Lớp 4 - Danh mục'!$I$14:$I$132,T41+1):'Lớp 4 - Danh mục'!$I$132&lt;&gt;"")*(COUNTIF('Lớp 5 - Phân công'!$J$14:$J$262,INDEX('Lớp 4 - Danh mục'!$I$14:$I$132,T41+1):'Lớp 4 - Danh mục'!$I$132)=0),0),0)),IF(S41&lt;&gt;"Lớp 3",MATCH(1,INDEX(('Lớp 3 - Công việc chính'!$I$14:$I$73&lt;&gt;"")*(COUNTIF('Lớp 4 - Danh mục'!$J$14:$J$132,'Lớp 3 - Công việc chính'!$I$14:$I$73)=0),0),0),T41+MATCH(1,INDEX((INDEX('Lớp 3 - Công việc chính'!$I$14:$I$73,T41+1):'Lớp 3 - Công việc chính'!$I$73&lt;&gt;"")*(COUNTIF('Lớp 4 - Danh mục'!$J$14:$J$132,INDEX('Lớp 3 - Công việc chính'!$I$14:$I$73,T41+1):'Lớp 3 - Công việc chính'!$I$73)=0),0),0)))))</f>
        <v>29</v>
      </c>
      <c r="U42" s="677"/>
      <c r="V42" s="678" t="str">
        <f>IF(U42="","",SUMIFS('Lớp 3 - Công việc chính'!$AF$14:$AF$73,'Lớp 3 - Công việc chính'!$V$14:$V$73,U42,'Lớp 3 - Công việc chính'!$Z$14:$Z$73,"&lt;="&amp;TODAY(),'Lớp 3 - Công việc chính'!$AA$14:$AA$73,"&gt;="&amp;TODAY())+SUMIFS('Lớp 4 - Danh mục'!$AI$14:$AI$132,'Lớp 4 - Danh mục'!$Z$14:$Z$132,U42,'Lớp 4 - Danh mục'!$AC$14:$AC$132,"&lt;="&amp;TODAY(),'Lớp 4 - Danh mục'!$AD$14:$AD$132,"&gt;="&amp;TODAY())+SUMIFS('Lớp 5 - Phân công'!$AJ$14:$AJ$262,'Lớp 5 - Phân công'!$AA$14:$AA$262,U42,'Lớp 5 - Phân công'!$AD$14:$AD$262,"&lt;="&amp;TODAY(),'Lớp 5 - Phân công'!$AE$14:$AE$262,"&gt;="&amp;TODAY())+SUMIFS('Lớp 6 - Chi tiết'!$AM$14:$AM$267,'Lớp 6 - Chi tiết'!$AC$14:$AC$267,U42,'Lớp 6 - Chi tiết'!$AG$14:$AG$267,"&lt;="&amp;TODAY(),'Lớp 6 - Chi tiết'!$AH$14:$AH$267,"&gt;="&amp;TODAY()))</f>
        <v/>
      </c>
      <c r="W42" s="679" t="str">
        <f>IF(V42="","",V42/'Danh mục chọn'!$J$2)</f>
        <v/>
      </c>
      <c r="X42" s="680" t="str">
        <f>IF(V42="","",IF(V42=0,"Chưa có tải tính được",IF(V42&gt;'Danh mục chọn'!$J$2,"Quá tải",IF(V42&gt;='Danh mục chọn'!$J$2*'Danh mục chọn'!$J$3,"Cận tải","Bình thường"))))</f>
        <v/>
      </c>
      <c r="Y42" s="678" t="str">
        <f>IF(U42="","",SUMPRODUCT(('Lớp 3 - Công việc chính'!$V$14:$V$73=U42)*('Lớp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mục'!$Z$14:$Z$132=U42)*('Lớp 4 - Danh mục'!$AD$14:$AD$132&lt;TODAY())*('Lớp 4 - Danh mục'!$AA$14:$AA$132&lt;&gt;"Hoàn thành")*('Lớp 4 - Danh mục'!$AA$14:$AA$132&lt;&gt;"Hủy")*('Lớp 4 - Danh mục'!$AI$14:$AI$132&lt;&gt;"")*IFERROR('Lớp 4 - Danh mục'!$AH$14:$AH$132*(1-'Lớp 4 - Danh mục'!$AF$14:$AF$132),0))+SUMPRODUCT(('Lớp 5 - Phân công'!$AA$14:$AA$262=U42)*('Lớp 5 - Phân công'!$AE$14:$AE$262&lt;TODAY())*('Lớp 5 - Phân công'!$AB$14:$AB$262&lt;&gt;"Hoàn thành")*('Lớp 5 - Phân công'!$AB$14:$AB$262&lt;&gt;"Hủy")*('Lớp 5 - Phân công'!$AJ$14:$AJ$262&lt;&gt;"")*IFERROR('Lớp 5 - Phân công'!$AI$14:$AI$262*(1-'Lớp 5 - Phân công'!$AG$14:$AG$262),0))+SUMPRODUCT(('Lớp 6 - Chi tiết'!$AC$14:$AC$267=U42)*('Lớp 6 - Chi tiết'!$AH$14:$AH$267&lt;TODAY())*('Lớp 6 - Chi tiết'!$AE$14:$AE$267&lt;&gt;"Hoàn thành")*('Lớp 6 - Chi tiết'!$AE$14:$AE$267&lt;&gt;"Hủy")*('Lớp 6 - Chi tiết'!$AM$14:$AM$267&lt;&gt;"")*IFERROR('Lớp 6 - Chi tiết'!$AL$14:$AL$267*(1-'Lớp 6 - Chi tiết'!$AJ$14:$AJ$267),0)))</f>
        <v/>
      </c>
      <c r="Z42" s="700" t="str">
        <f t="array" ref="Z42">IF($S42="","",IF($S42="Lớp 5",INDEX('Lớp 5 - Phân công'!$AS$14:$AS$262,$T42),IF($S42="Lớp 4",INDEX('Lớp 4 - Danh mục'!$AR$14:$AR$132,$T42),INDEX('Lớp 3 - Công việc chính'!$AO$14:$AO$73,$T42))))</f>
        <v>Tuần</v>
      </c>
      <c r="AA42" s="701">
        <f t="array" ref="AA42">IF($S42="","",IF($S42="Lớp 5",INDEX('Lớp 5 - Phân công'!$AT$14:$AT$262,$T42),IF($S42="Lớp 4",INDEX('Lớp 4 - Danh mục'!$AS$14:$AS$132,$T42),INDEX('Lớp 3 - Công việc chính'!$AP$14:$AP$73,$T42))))</f>
        <v>4</v>
      </c>
      <c r="AB42" s="701">
        <f t="array" ref="AB42">IF($S42="","",IF($S42="Lớp 5",INDEX('Lớp 5 - Phân công'!$AJ$14:$AJ$262,$T42),IF($S42="Lớp 4",INDEX('Lớp 4 - Danh mục'!$AI$14:$AI$132,$T42),INDEX('Lớp 3 - Công việc chính'!$AF$14:$AF$73,$T42))))</f>
        <v>0.8</v>
      </c>
      <c r="AC42" s="702" t="str">
        <f t="array" ref="AC42">IF($S42="","",IF($S42="Lớp 5",INDEX('Lớp 5 - Phân công'!$AV$14:$AV$262,$T42),IF($S42="Lớp 4",INDEX('Lớp 4 - Danh mục'!$AU$14:$AU$132,$T42),INDEX('Lớp 3 - Công việc chính'!$AR$14:$AR$73,$T42))))</f>
        <v>Thiếu 76.0 giờ/tuần</v>
      </c>
    </row>
    <row r="43" ht="15.75" customHeight="1">
      <c r="A43" s="690" t="str">
        <f t="shared" si="1"/>
        <v>Lớp 5</v>
      </c>
      <c r="B43" s="690" t="str">
        <f t="array" ref="B43">IF($S43="","",IF($S43="Lớp 5",INDEX('Lớp 5 - Phân công'!$I$14:$I$262,$T43),IF($S43="Lớp 4",INDEX('Lớp 4 - Danh mục'!$I$14:$I$132,$T43),INDEX('Lớp 3 - Công việc chính'!$I$14:$I$73,$T43))))</f>
        <v>HHL5DL06-05</v>
      </c>
      <c r="C43" s="690" t="str">
        <f t="array" ref="C43">IF($S43="","",IF($S43="Lớp 5",INDEX('Lớp 5 - Phân công'!$K$14:$K$262,$T43),IF($S43="Lớp 4",INDEX('Lớp 4 - Danh mục'!$J$14:$J$132,$T43),INDEX('Lớp 3 - Công việc chính'!$I$14:$I$73,$T43))))</f>
        <v>HHL3CT03</v>
      </c>
      <c r="D43" s="690" t="str">
        <f t="array" ref="D43">IF($S43="","",IF($S43="Lớp 5",INDEX('Lớp 5 - Phân công'!$J$14:$J$262,$T43),IF($S43="Lớp 4",INDEX('Lớp 4 - Danh mục'!$I$14:$I$132,$T43),"")))</f>
        <v>HHL4DL06</v>
      </c>
      <c r="E43" s="690">
        <f t="array" ref="E43">IF($S43="","",IF($S43="Lớp 5",INDEX('Lớp 5 - Phân công'!$L$14:$L$262,$T43),IF($S43="Lớp 4",INDEX('Lớp 4 - Danh mục'!$K$14:$K$132,$T43),INDEX('Lớp 3 - Công việc chính'!$J$14:$J$73,$T43))))</f>
        <v>2026</v>
      </c>
      <c r="F43" s="690" t="str">
        <f t="array" ref="F43">IF($S43="","",IF($S43="Lớp 5",INDEX('Lớp 5 - Phân công'!$M$14:$M$262,$T43),IF($S43="Lớp 4",INDEX('Lớp 4 - Danh mục'!$L$14:$L$132,$T43),INDEX('Lớp 3 - Công việc chính'!$K$14:$K$73,$T43))))</f>
        <v>Cấp công ty</v>
      </c>
      <c r="G43" s="691" t="str">
        <f t="array" ref="G43">IF($S43="","",IF($S43="Lớp 5",INDEX('Lớp 5 - Phân công'!$N$14:$N$262,$T43),IF($S43="Lớp 4",INDEX('Lớp 4 - Danh mục'!$M$14:$M$132,$T43),INDEX('Lớp 3 - Công việc chính'!$L$14:$L$73,$T43))))</f>
        <v>Chiến lược/sống còn</v>
      </c>
      <c r="H43" s="692" t="str">
        <f t="array" ref="H43">IF($S43="","",IF($S43="Lớp 5",INDEX('Lớp 5 - Phân công'!$O$14:$O$262,$T43),IF($S43="Lớp 4",INDEX('Lớp 4 - Danh mục'!$N$14:$N$132,$T43),INDEX('Lớp 3 - Công việc chính'!$M$14:$M$73,$T43))))</f>
        <v>KHKD 2027&amp; HT lập KH theo tham số KD (bán tự động)</v>
      </c>
      <c r="I43" s="692" t="str">
        <f t="array" ref="I43">IF($S43="","",IF($S43="Lớp 5",INDEX('Lớp 5 - Phân công'!$P$14:$P$262,$T43),IF($S43="Lớp 4",INDEX('Lớp 4 - Danh mục'!$O$14:$O$132,$T43),"")))</f>
        <v>Xây dựng công thức &amp; tạo HT tham số cho KH Showroom</v>
      </c>
      <c r="J43" s="693" t="str">
        <f t="array" ref="J43">IF($S43="","",IF($S43="Lớp 5",INDEX('Lớp 5 - Phân công'!$Q$14:$Q$262,$T43),""))</f>
        <v>Chạy tham số Bottom-up theo khu vực vùng miền Showroom</v>
      </c>
      <c r="K43" s="690" t="str">
        <f t="array" ref="K43">IF($S43="","",IF($S43="Lớp 5",INDEX('Lớp 5 - Phân công'!$AA$14:$AA$262,$T43),IF($S43="Lớp 4",INDEX('Lớp 4 - Danh mục'!$Y$14:$Y$132,$T43),INDEX('Lớp 3 - Công việc chính'!$U$14:$U$73,$T43))))</f>
        <v>Em Đại</v>
      </c>
      <c r="L43" s="691" t="str">
        <f t="array" ref="L43">IF($S43="","",IF($S43="Lớp 5",INDEX('Lớp 5 - Phân công'!$Z$14:$Z$262,$T43),IF($S43="Lớp 4",INDEX('Lớp 4 - Danh mục'!$X$14:$X$132,$T43),INDEX('Lớp 3 - Công việc chính'!$W$14:$W$73,$T43))))</f>
        <v>Dữ liệu điều hành</v>
      </c>
      <c r="M43" s="694">
        <f t="array" ref="M43">IF($S43="","",IF($S43="Lớp 5",INDEX('Lớp 5 - Phân công'!$AD$14:$AD$262,$T43),IF($S43="Lớp 4",INDEX('Lớp 4 - Danh mục'!$AC$14:$AC$132,$T43),INDEX('Lớp 3 - Công việc chính'!$Z$14:$Z$73,$T43))))</f>
        <v>46308</v>
      </c>
      <c r="N43" s="695">
        <f t="array" ref="N43">IF($S43="","",IF($S43="Lớp 5",INDEX('Lớp 5 - Phân công'!$AE$14:$AE$262,$T43),IF($S43="Lớp 4",INDEX('Lớp 4 - Danh mục'!$AD$14:$AD$132,$T43),INDEX('Lớp 3 - Công việc chính'!$AA$14:$AA$73,$T43))))</f>
        <v>46320</v>
      </c>
      <c r="O43" s="690" t="str">
        <f t="array" ref="O43">IF($S43="","",IF($S43="Lớp 5",INDEX('Lớp 5 - Phân công'!$AB$14:$AB$262,$T43),IF($S43="Lớp 4",INDEX('Lớp 4 - Danh mục'!$AA$14:$AA$132,$T43),INDEX('Lớp 3 - Công việc chính'!$X$14:$X$73,$T43))))</f>
        <v>Đã lên lịch</v>
      </c>
      <c r="P43" s="703" t="str">
        <f t="array" ref="P43">IF($S43="","",IF($S43="Lớp 5",INDEX('Lớp 5 - Phân công'!$AC$14:$AC$262,$T43),IF($S43="Lớp 4",INDEX('Lớp 4 - Danh mục'!$AB$14:$AB$132,$T43),INDEX('Lớp 3 - Công việc chính'!$Y$14:$Y$73,$T43))))</f>
        <v>P2</v>
      </c>
      <c r="Q43" s="697" t="str">
        <f t="array" ref="Q43">IF($S43="","",IF($S43="Lớp 5",INDEX('Lớp 5 - Phân công'!$AG$14:$AG$262,$T43),IF($S43="Lớp 4",INDEX('Lớp 4 - Danh mục'!$AF$14:$AF$132,$T43),INDEX('Lớp 3 - Công việc chính'!$AC$14:$AC$73,$T43))))</f>
        <v/>
      </c>
      <c r="R43" s="698" t="str">
        <f t="array" ref="R43">IF($S43="","",IF($S43="Lớp 5",INDEX('Lớp 5 - Phân công'!$X$14:$X$262,$T43),IF($S43="Lớp 4",INDEX('Lớp 4 - Danh mục'!$V$14:$V$132,$T43),INDEX('Lớp 3 - Công việc chính'!$T$14:$T$73,$T43))))</f>
        <v>Bộ kết quả Bottom-up kế hoạch Showroom theo cửa hàng và khu vực được xác nhận.</v>
      </c>
      <c r="S43" s="699" t="str">
        <f>IF(ROWS($S$14:S43)&lt;=COUNTIF('Lớp 5 - Phân công'!$I$14:$I$262,"&lt;&gt;"),"Lớp 5",IF(ROWS($S$14:S43)&lt;=COUNTIF('Lớp 5 - Phân công'!$I$14:$I$262,"&lt;&gt;")+SUMPRODUCT(--('Lớp 4 - Danh mục'!$I$14:$I$132&lt;&gt;""),--(COUNTIF('Lớp 5 - Phân công'!$J$14:$J$262,'Lớp 4 - Danh mục'!$I$14:$I$132)=0)),"Lớp 4",IF(ROWS($S$14:S43)&lt;=COUNTIF('Lớp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3" s="699">
        <f t="array" ref="T43">IF(S43="","",IF(S43="Lớp 5",IF(S42&lt;&gt;"Lớp 5",MATCH("*",'Lớp 5 - Phân công'!$I$14:$I$262,0),T42+MATCH("*",INDEX('Lớp 5 - Phân công'!$I$14:$I$262,T42+1):'Lớp 5 - Phân công'!$I$262,0)),IF(S43="Lớp 4",IF(S42&lt;&gt;"Lớp 4",MATCH(1,INDEX(('Lớp 4 - Danh mục'!$I$14:$I$132&lt;&gt;"")*(COUNTIF('Lớp 5 - Phân công'!$J$14:$J$262,'Lớp 4 - Danh mục'!$I$14:$I$132)=0),0),0),T42+MATCH(1,INDEX((INDEX('Lớp 4 - Danh mục'!$I$14:$I$132,T42+1):'Lớp 4 - Danh mục'!$I$132&lt;&gt;"")*(COUNTIF('Lớp 5 - Phân công'!$J$14:$J$262,INDEX('Lớp 4 - Danh mục'!$I$14:$I$132,T42+1):'Lớp 4 - Danh mục'!$I$132)=0),0),0)),IF(S42&lt;&gt;"Lớp 3",MATCH(1,INDEX(('Lớp 3 - Công việc chính'!$I$14:$I$73&lt;&gt;"")*(COUNTIF('Lớp 4 - Danh mục'!$J$14:$J$132,'Lớp 3 - Công việc chính'!$I$14:$I$73)=0),0),0),T42+MATCH(1,INDEX((INDEX('Lớp 3 - Công việc chính'!$I$14:$I$73,T42+1):'Lớp 3 - Công việc chính'!$I$73&lt;&gt;"")*(COUNTIF('Lớp 4 - Danh mục'!$J$14:$J$132,INDEX('Lớp 3 - Công việc chính'!$I$14:$I$73,T42+1):'Lớp 3 - Công việc chính'!$I$73)=0),0),0)))))</f>
        <v>30</v>
      </c>
      <c r="U43" s="677"/>
      <c r="V43" s="678" t="str">
        <f>IF(U43="","",SUMIFS('Lớp 3 - Công việc chính'!$AF$14:$AF$73,'Lớp 3 - Công việc chính'!$V$14:$V$73,U43,'Lớp 3 - Công việc chính'!$Z$14:$Z$73,"&lt;="&amp;TODAY(),'Lớp 3 - Công việc chính'!$AA$14:$AA$73,"&gt;="&amp;TODAY())+SUMIFS('Lớp 4 - Danh mục'!$AI$14:$AI$132,'Lớp 4 - Danh mục'!$Z$14:$Z$132,U43,'Lớp 4 - Danh mục'!$AC$14:$AC$132,"&lt;="&amp;TODAY(),'Lớp 4 - Danh mục'!$AD$14:$AD$132,"&gt;="&amp;TODAY())+SUMIFS('Lớp 5 - Phân công'!$AJ$14:$AJ$262,'Lớp 5 - Phân công'!$AA$14:$AA$262,U43,'Lớp 5 - Phân công'!$AD$14:$AD$262,"&lt;="&amp;TODAY(),'Lớp 5 - Phân công'!$AE$14:$AE$262,"&gt;="&amp;TODAY())+SUMIFS('Lớp 6 - Chi tiết'!$AM$14:$AM$267,'Lớp 6 - Chi tiết'!$AC$14:$AC$267,U43,'Lớp 6 - Chi tiết'!$AG$14:$AG$267,"&lt;="&amp;TODAY(),'Lớp 6 - Chi tiết'!$AH$14:$AH$267,"&gt;="&amp;TODAY()))</f>
        <v/>
      </c>
      <c r="W43" s="679" t="str">
        <f>IF(V43="","",V43/'Danh mục chọn'!$J$2)</f>
        <v/>
      </c>
      <c r="X43" s="680" t="str">
        <f>IF(V43="","",IF(V43=0,"Chưa có tải tính được",IF(V43&gt;'Danh mục chọn'!$J$2,"Quá tải",IF(V43&gt;='Danh mục chọn'!$J$2*'Danh mục chọn'!$J$3,"Cận tải","Bình thường"))))</f>
        <v/>
      </c>
      <c r="Y43" s="678" t="str">
        <f>IF(U43="","",SUMPRODUCT(('Lớp 3 - Công việc chính'!$V$14:$V$73=U43)*('Lớp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mục'!$Z$14:$Z$132=U43)*('Lớp 4 - Danh mục'!$AD$14:$AD$132&lt;TODAY())*('Lớp 4 - Danh mục'!$AA$14:$AA$132&lt;&gt;"Hoàn thành")*('Lớp 4 - Danh mục'!$AA$14:$AA$132&lt;&gt;"Hủy")*('Lớp 4 - Danh mục'!$AI$14:$AI$132&lt;&gt;"")*IFERROR('Lớp 4 - Danh mục'!$AH$14:$AH$132*(1-'Lớp 4 - Danh mục'!$AF$14:$AF$132),0))+SUMPRODUCT(('Lớp 5 - Phân công'!$AA$14:$AA$262=U43)*('Lớp 5 - Phân công'!$AE$14:$AE$262&lt;TODAY())*('Lớp 5 - Phân công'!$AB$14:$AB$262&lt;&gt;"Hoàn thành")*('Lớp 5 - Phân công'!$AB$14:$AB$262&lt;&gt;"Hủy")*('Lớp 5 - Phân công'!$AJ$14:$AJ$262&lt;&gt;"")*IFERROR('Lớp 5 - Phân công'!$AI$14:$AI$262*(1-'Lớp 5 - Phân công'!$AG$14:$AG$262),0))+SUMPRODUCT(('Lớp 6 - Chi tiết'!$AC$14:$AC$267=U43)*('Lớp 6 - Chi tiết'!$AH$14:$AH$267&lt;TODAY())*('Lớp 6 - Chi tiết'!$AE$14:$AE$267&lt;&gt;"Hoàn thành")*('Lớp 6 - Chi tiết'!$AE$14:$AE$267&lt;&gt;"Hủy")*('Lớp 6 - Chi tiết'!$AM$14:$AM$267&lt;&gt;"")*IFERROR('Lớp 6 - Chi tiết'!$AL$14:$AL$267*(1-'Lớp 6 - Chi tiết'!$AJ$14:$AJ$267),0)))</f>
        <v/>
      </c>
      <c r="Z43" s="700" t="str">
        <f t="array" ref="Z43">IF($S43="","",IF($S43="Lớp 5",INDEX('Lớp 5 - Phân công'!$AS$14:$AS$262,$T43),IF($S43="Lớp 4",INDEX('Lớp 4 - Danh mục'!$AR$14:$AR$132,$T43),INDEX('Lớp 3 - Công việc chính'!$AO$14:$AO$73,$T43))))</f>
        <v>Tuần</v>
      </c>
      <c r="AA43" s="701">
        <f t="array" ref="AA43">IF($S43="","",IF($S43="Lớp 5",INDEX('Lớp 5 - Phân công'!$AT$14:$AT$262,$T43),IF($S43="Lớp 4",INDEX('Lớp 4 - Danh mục'!$AS$14:$AS$132,$T43),INDEX('Lớp 3 - Công việc chính'!$AP$14:$AP$73,$T43))))</f>
        <v>4</v>
      </c>
      <c r="AB43" s="701">
        <f t="array" ref="AB43">IF($S43="","",IF($S43="Lớp 5",INDEX('Lớp 5 - Phân công'!$AJ$14:$AJ$262,$T43),IF($S43="Lớp 4",INDEX('Lớp 4 - Danh mục'!$AI$14:$AI$132,$T43),INDEX('Lớp 3 - Công việc chính'!$AF$14:$AF$73,$T43))))</f>
        <v>0.8</v>
      </c>
      <c r="AC43" s="702" t="str">
        <f t="array" ref="AC43">IF($S43="","",IF($S43="Lớp 5",INDEX('Lớp 5 - Phân công'!$AV$14:$AV$262,$T43),IF($S43="Lớp 4",INDEX('Lớp 4 - Danh mục'!$AU$14:$AU$132,$T43),INDEX('Lớp 3 - Công việc chính'!$AR$14:$AR$73,$T43))))</f>
        <v>Thiếu 3.3 giờ/tuần</v>
      </c>
    </row>
    <row r="44" ht="15.75" customHeight="1">
      <c r="A44" s="690" t="str">
        <f t="shared" si="1"/>
        <v>Lớp 5</v>
      </c>
      <c r="B44" s="690" t="str">
        <f t="array" ref="B44">IF($S44="","",IF($S44="Lớp 5",INDEX('Lớp 5 - Phân công'!$I$14:$I$262,$T44),IF($S44="Lớp 4",INDEX('Lớp 4 - Danh mục'!$I$14:$I$132,$T44),INDEX('Lớp 3 - Công việc chính'!$I$14:$I$73,$T44))))</f>
        <v>HHL5DL07-01</v>
      </c>
      <c r="C44" s="690" t="str">
        <f t="array" ref="C44">IF($S44="","",IF($S44="Lớp 5",INDEX('Lớp 5 - Phân công'!$K$14:$K$262,$T44),IF($S44="Lớp 4",INDEX('Lớp 4 - Danh mục'!$J$14:$J$132,$T44),INDEX('Lớp 3 - Công việc chính'!$I$14:$I$73,$T44))))</f>
        <v>HHL3CT03</v>
      </c>
      <c r="D44" s="690" t="str">
        <f t="array" ref="D44">IF($S44="","",IF($S44="Lớp 5",INDEX('Lớp 5 - Phân công'!$J$14:$J$262,$T44),IF($S44="Lớp 4",INDEX('Lớp 4 - Danh mục'!$I$14:$I$132,$T44),"")))</f>
        <v>HHL4DL07</v>
      </c>
      <c r="E44" s="690">
        <f t="array" ref="E44">IF($S44="","",IF($S44="Lớp 5",INDEX('Lớp 5 - Phân công'!$L$14:$L$262,$T44),IF($S44="Lớp 4",INDEX('Lớp 4 - Danh mục'!$K$14:$K$132,$T44),INDEX('Lớp 3 - Công việc chính'!$J$14:$J$73,$T44))))</f>
        <v>2026</v>
      </c>
      <c r="F44" s="690" t="str">
        <f t="array" ref="F44">IF($S44="","",IF($S44="Lớp 5",INDEX('Lớp 5 - Phân công'!$M$14:$M$262,$T44),IF($S44="Lớp 4",INDEX('Lớp 4 - Danh mục'!$L$14:$L$132,$T44),INDEX('Lớp 3 - Công việc chính'!$K$14:$K$73,$T44))))</f>
        <v>Cấp công ty</v>
      </c>
      <c r="G44" s="691" t="str">
        <f t="array" ref="G44">IF($S44="","",IF($S44="Lớp 5",INDEX('Lớp 5 - Phân công'!$N$14:$N$262,$T44),IF($S44="Lớp 4",INDEX('Lớp 4 - Danh mục'!$M$14:$M$132,$T44),INDEX('Lớp 3 - Công việc chính'!$L$14:$L$73,$T44))))</f>
        <v>Chiến lược/sống còn</v>
      </c>
      <c r="H44" s="692" t="str">
        <f t="array" ref="H44">IF($S44="","",IF($S44="Lớp 5",INDEX('Lớp 5 - Phân công'!$O$14:$O$262,$T44),IF($S44="Lớp 4",INDEX('Lớp 4 - Danh mục'!$N$14:$N$132,$T44),INDEX('Lớp 3 - Công việc chính'!$M$14:$M$73,$T44))))</f>
        <v>KHKD 2027&amp; HT lập KH theo tham số KD (bán tự động)</v>
      </c>
      <c r="I44" s="692" t="str">
        <f t="array" ref="I44">IF($S44="","",IF($S44="Lớp 5",INDEX('Lớp 5 - Phân công'!$P$14:$P$262,$T44),IF($S44="Lớp 4",INDEX('Lớp 4 - Danh mục'!$O$14:$O$132,$T44),"")))</f>
        <v>Xây dựng phần mềm &amp; Chạy Topdown thử nghiệm</v>
      </c>
      <c r="J44" s="693" t="str">
        <f t="array" ref="J44">IF($S44="","",IF($S44="Lớp 5",INDEX('Lớp 5 - Phân công'!$Q$14:$Q$262,$T44),""))</f>
        <v>Chốt đề bài DL phần mềm</v>
      </c>
      <c r="K44" s="690" t="str">
        <f t="array" ref="K44">IF($S44="","",IF($S44="Lớp 5",INDEX('Lớp 5 - Phân công'!$AA$14:$AA$262,$T44),IF($S44="Lớp 4",INDEX('Lớp 4 - Danh mục'!$Y$14:$Y$132,$T44),INDEX('Lớp 3 - Công việc chính'!$U$14:$U$73,$T44))))</f>
        <v>Em Đại</v>
      </c>
      <c r="L44" s="691" t="str">
        <f t="array" ref="L44">IF($S44="","",IF($S44="Lớp 5",INDEX('Lớp 5 - Phân công'!$Z$14:$Z$262,$T44),IF($S44="Lớp 4",INDEX('Lớp 4 - Danh mục'!$X$14:$X$132,$T44),INDEX('Lớp 3 - Công việc chính'!$W$14:$W$73,$T44))))</f>
        <v>Dữ liệu điều hành</v>
      </c>
      <c r="M44" s="694">
        <f t="array" ref="M44">IF($S44="","",IF($S44="Lớp 5",INDEX('Lớp 5 - Phân công'!$AD$14:$AD$262,$T44),IF($S44="Lớp 4",INDEX('Lớp 4 - Danh mục'!$AC$14:$AC$132,$T44),INDEX('Lớp 3 - Công việc chính'!$Z$14:$Z$73,$T44))))</f>
        <v>46300</v>
      </c>
      <c r="N44" s="695">
        <f t="array" ref="N44">IF($S44="","",IF($S44="Lớp 5",INDEX('Lớp 5 - Phân công'!$AE$14:$AE$262,$T44),IF($S44="Lớp 4",INDEX('Lớp 4 - Danh mục'!$AD$14:$AD$132,$T44),INDEX('Lớp 3 - Công việc chính'!$AA$14:$AA$73,$T44))))</f>
        <v>46310</v>
      </c>
      <c r="O44" s="690" t="str">
        <f t="array" ref="O44">IF($S44="","",IF($S44="Lớp 5",INDEX('Lớp 5 - Phân công'!$AB$14:$AB$262,$T44),IF($S44="Lớp 4",INDEX('Lớp 4 - Danh mục'!$AA$14:$AA$132,$T44),INDEX('Lớp 3 - Công việc chính'!$X$14:$X$73,$T44))))</f>
        <v>Chưa bắt đầu</v>
      </c>
      <c r="P44" s="703" t="str">
        <f t="array" ref="P44">IF($S44="","",IF($S44="Lớp 5",INDEX('Lớp 5 - Phân công'!$AC$14:$AC$262,$T44),IF($S44="Lớp 4",INDEX('Lớp 4 - Danh mục'!$AB$14:$AB$132,$T44),INDEX('Lớp 3 - Công việc chính'!$Y$14:$Y$73,$T44))))</f>
        <v>P2</v>
      </c>
      <c r="Q44" s="697">
        <f t="array" ref="Q44">IF($S44="","",IF($S44="Lớp 5",INDEX('Lớp 5 - Phân công'!$AG$14:$AG$262,$T44),IF($S44="Lớp 4",INDEX('Lớp 4 - Danh mục'!$AF$14:$AF$132,$T44),INDEX('Lớp 3 - Công việc chính'!$AC$14:$AC$73,$T44))))</f>
        <v>0</v>
      </c>
      <c r="R44" s="698" t="str">
        <f t="array" ref="R44">IF($S44="","",IF($S44="Lớp 5",INDEX('Lớp 5 - Phân công'!$X$14:$X$262,$T44),IF($S44="Lớp 4",INDEX('Lớp 4 - Danh mục'!$V$14:$V$132,$T44),INDEX('Lớp 3 - Công việc chính'!$T$14:$T$73,$T44))))</f>
        <v>Bộ công thức kế hoạch doanh thu khác được xây dựng, phản biện nội bộ và chốt.</v>
      </c>
      <c r="S44" s="699" t="str">
        <f>IF(ROWS($S$14:S44)&lt;=COUNTIF('Lớp 5 - Phân công'!$I$14:$I$262,"&lt;&gt;"),"Lớp 5",IF(ROWS($S$14:S44)&lt;=COUNTIF('Lớp 5 - Phân công'!$I$14:$I$262,"&lt;&gt;")+SUMPRODUCT(--('Lớp 4 - Danh mục'!$I$14:$I$132&lt;&gt;""),--(COUNTIF('Lớp 5 - Phân công'!$J$14:$J$262,'Lớp 4 - Danh mục'!$I$14:$I$132)=0)),"Lớp 4",IF(ROWS($S$14:S44)&lt;=COUNTIF('Lớp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4" s="699">
        <f t="array" ref="T44">IF(S44="","",IF(S44="Lớp 5",IF(S43&lt;&gt;"Lớp 5",MATCH("*",'Lớp 5 - Phân công'!$I$14:$I$262,0),T43+MATCH("*",INDEX('Lớp 5 - Phân công'!$I$14:$I$262,T43+1):'Lớp 5 - Phân công'!$I$262,0)),IF(S44="Lớp 4",IF(S43&lt;&gt;"Lớp 4",MATCH(1,INDEX(('Lớp 4 - Danh mục'!$I$14:$I$132&lt;&gt;"")*(COUNTIF('Lớp 5 - Phân công'!$J$14:$J$262,'Lớp 4 - Danh mục'!$I$14:$I$132)=0),0),0),T43+MATCH(1,INDEX((INDEX('Lớp 4 - Danh mục'!$I$14:$I$132,T43+1):'Lớp 4 - Danh mục'!$I$132&lt;&gt;"")*(COUNTIF('Lớp 5 - Phân công'!$J$14:$J$262,INDEX('Lớp 4 - Danh mục'!$I$14:$I$132,T43+1):'Lớp 4 - Danh mục'!$I$132)=0),0),0)),IF(S43&lt;&gt;"Lớp 3",MATCH(1,INDEX(('Lớp 3 - Công việc chính'!$I$14:$I$73&lt;&gt;"")*(COUNTIF('Lớp 4 - Danh mục'!$J$14:$J$132,'Lớp 3 - Công việc chính'!$I$14:$I$73)=0),0),0),T43+MATCH(1,INDEX((INDEX('Lớp 3 - Công việc chính'!$I$14:$I$73,T43+1):'Lớp 3 - Công việc chính'!$I$73&lt;&gt;"")*(COUNTIF('Lớp 4 - Danh mục'!$J$14:$J$132,INDEX('Lớp 3 - Công việc chính'!$I$14:$I$73,T43+1):'Lớp 3 - Công việc chính'!$I$73)=0),0),0)))))</f>
        <v>31</v>
      </c>
      <c r="U44" s="677"/>
      <c r="V44" s="678" t="str">
        <f>IF(U44="","",SUMIFS('Lớp 3 - Công việc chính'!$AF$14:$AF$73,'Lớp 3 - Công việc chính'!$V$14:$V$73,U44,'Lớp 3 - Công việc chính'!$Z$14:$Z$73,"&lt;="&amp;TODAY(),'Lớp 3 - Công việc chính'!$AA$14:$AA$73,"&gt;="&amp;TODAY())+SUMIFS('Lớp 4 - Danh mục'!$AI$14:$AI$132,'Lớp 4 - Danh mục'!$Z$14:$Z$132,U44,'Lớp 4 - Danh mục'!$AC$14:$AC$132,"&lt;="&amp;TODAY(),'Lớp 4 - Danh mục'!$AD$14:$AD$132,"&gt;="&amp;TODAY())+SUMIFS('Lớp 5 - Phân công'!$AJ$14:$AJ$262,'Lớp 5 - Phân công'!$AA$14:$AA$262,U44,'Lớp 5 - Phân công'!$AD$14:$AD$262,"&lt;="&amp;TODAY(),'Lớp 5 - Phân công'!$AE$14:$AE$262,"&gt;="&amp;TODAY())+SUMIFS('Lớp 6 - Chi tiết'!$AM$14:$AM$267,'Lớp 6 - Chi tiết'!$AC$14:$AC$267,U44,'Lớp 6 - Chi tiết'!$AG$14:$AG$267,"&lt;="&amp;TODAY(),'Lớp 6 - Chi tiết'!$AH$14:$AH$267,"&gt;="&amp;TODAY()))</f>
        <v/>
      </c>
      <c r="W44" s="679" t="str">
        <f>IF(V44="","",V44/'Danh mục chọn'!$J$2)</f>
        <v/>
      </c>
      <c r="X44" s="680" t="str">
        <f>IF(V44="","",IF(V44=0,"Chưa có tải tính được",IF(V44&gt;'Danh mục chọn'!$J$2,"Quá tải",IF(V44&gt;='Danh mục chọn'!$J$2*'Danh mục chọn'!$J$3,"Cận tải","Bình thường"))))</f>
        <v/>
      </c>
      <c r="Y44" s="678" t="str">
        <f>IF(U44="","",SUMPRODUCT(('Lớp 3 - Công việc chính'!$V$14:$V$73=U44)*('Lớp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mục'!$Z$14:$Z$132=U44)*('Lớp 4 - Danh mục'!$AD$14:$AD$132&lt;TODAY())*('Lớp 4 - Danh mục'!$AA$14:$AA$132&lt;&gt;"Hoàn thành")*('Lớp 4 - Danh mục'!$AA$14:$AA$132&lt;&gt;"Hủy")*('Lớp 4 - Danh mục'!$AI$14:$AI$132&lt;&gt;"")*IFERROR('Lớp 4 - Danh mục'!$AH$14:$AH$132*(1-'Lớp 4 - Danh mục'!$AF$14:$AF$132),0))+SUMPRODUCT(('Lớp 5 - Phân công'!$AA$14:$AA$262=U44)*('Lớp 5 - Phân công'!$AE$14:$AE$262&lt;TODAY())*('Lớp 5 - Phân công'!$AB$14:$AB$262&lt;&gt;"Hoàn thành")*('Lớp 5 - Phân công'!$AB$14:$AB$262&lt;&gt;"Hủy")*('Lớp 5 - Phân công'!$AJ$14:$AJ$262&lt;&gt;"")*IFERROR('Lớp 5 - Phân công'!$AI$14:$AI$262*(1-'Lớp 5 - Phân công'!$AG$14:$AG$262),0))+SUMPRODUCT(('Lớp 6 - Chi tiết'!$AC$14:$AC$267=U44)*('Lớp 6 - Chi tiết'!$AH$14:$AH$267&lt;TODAY())*('Lớp 6 - Chi tiết'!$AE$14:$AE$267&lt;&gt;"Hoàn thành")*('Lớp 6 - Chi tiết'!$AE$14:$AE$267&lt;&gt;"Hủy")*('Lớp 6 - Chi tiết'!$AM$14:$AM$267&lt;&gt;"")*IFERROR('Lớp 6 - Chi tiết'!$AL$14:$AL$267*(1-'Lớp 6 - Chi tiết'!$AJ$14:$AJ$267),0)))</f>
        <v/>
      </c>
      <c r="Z44" s="700" t="str">
        <f t="array" ref="Z44">IF($S44="","",IF($S44="Lớp 5",INDEX('Lớp 5 - Phân công'!$AS$14:$AS$262,$T44),IF($S44="Lớp 4",INDEX('Lớp 4 - Danh mục'!$AR$14:$AR$132,$T44),INDEX('Lớp 3 - Công việc chính'!$AO$14:$AO$73,$T44))))</f>
        <v>Tuần</v>
      </c>
      <c r="AA44" s="701">
        <f t="array" ref="AA44">IF($S44="","",IF($S44="Lớp 5",INDEX('Lớp 5 - Phân công'!$AT$14:$AT$262,$T44),IF($S44="Lớp 4",INDEX('Lớp 4 - Danh mục'!$AS$14:$AS$132,$T44),INDEX('Lớp 3 - Công việc chính'!$AP$14:$AP$73,$T44))))</f>
        <v>4</v>
      </c>
      <c r="AB44" s="701">
        <f t="array" ref="AB44">IF($S44="","",IF($S44="Lớp 5",INDEX('Lớp 5 - Phân công'!$AJ$14:$AJ$262,$T44),IF($S44="Lớp 4",INDEX('Lớp 4 - Danh mục'!$AI$14:$AI$132,$T44),INDEX('Lớp 3 - Công việc chính'!$AF$14:$AF$73,$T44))))</f>
        <v>0.8</v>
      </c>
      <c r="AC44" s="702" t="str">
        <f t="array" ref="AC44">IF($S44="","",IF($S44="Lớp 5",INDEX('Lớp 5 - Phân công'!$AV$14:$AV$262,$T44),IF($S44="Lớp 4",INDEX('Lớp 4 - Danh mục'!$AU$14:$AU$132,$T44),INDEX('Lớp 3 - Công việc chính'!$AR$14:$AR$73,$T44))))</f>
        <v>Thiếu 4.0 giờ/tuần</v>
      </c>
    </row>
    <row r="45" ht="15.75" customHeight="1">
      <c r="A45" s="690" t="str">
        <f t="shared" si="1"/>
        <v>Lớp 5</v>
      </c>
      <c r="B45" s="690" t="str">
        <f t="array" ref="B45">IF($S45="","",IF($S45="Lớp 5",INDEX('Lớp 5 - Phân công'!$I$14:$I$262,$T45),IF($S45="Lớp 4",INDEX('Lớp 4 - Danh mục'!$I$14:$I$132,$T45),INDEX('Lớp 3 - Công việc chính'!$I$14:$I$73,$T45))))</f>
        <v>HHL5DL07-02</v>
      </c>
      <c r="C45" s="690" t="str">
        <f t="array" ref="C45">IF($S45="","",IF($S45="Lớp 5",INDEX('Lớp 5 - Phân công'!$K$14:$K$262,$T45),IF($S45="Lớp 4",INDEX('Lớp 4 - Danh mục'!$J$14:$J$132,$T45),INDEX('Lớp 3 - Công việc chính'!$I$14:$I$73,$T45))))</f>
        <v>HHL3CT03</v>
      </c>
      <c r="D45" s="690" t="str">
        <f t="array" ref="D45">IF($S45="","",IF($S45="Lớp 5",INDEX('Lớp 5 - Phân công'!$J$14:$J$262,$T45),IF($S45="Lớp 4",INDEX('Lớp 4 - Danh mục'!$I$14:$I$132,$T45),"")))</f>
        <v>HHL4DL07</v>
      </c>
      <c r="E45" s="690">
        <f t="array" ref="E45">IF($S45="","",IF($S45="Lớp 5",INDEX('Lớp 5 - Phân công'!$L$14:$L$262,$T45),IF($S45="Lớp 4",INDEX('Lớp 4 - Danh mục'!$K$14:$K$132,$T45),INDEX('Lớp 3 - Công việc chính'!$J$14:$J$73,$T45))))</f>
        <v>2026</v>
      </c>
      <c r="F45" s="690" t="str">
        <f t="array" ref="F45">IF($S45="","",IF($S45="Lớp 5",INDEX('Lớp 5 - Phân công'!$M$14:$M$262,$T45),IF($S45="Lớp 4",INDEX('Lớp 4 - Danh mục'!$L$14:$L$132,$T45),INDEX('Lớp 3 - Công việc chính'!$K$14:$K$73,$T45))))</f>
        <v>Cấp công ty</v>
      </c>
      <c r="G45" s="691" t="str">
        <f t="array" ref="G45">IF($S45="","",IF($S45="Lớp 5",INDEX('Lớp 5 - Phân công'!$N$14:$N$262,$T45),IF($S45="Lớp 4",INDEX('Lớp 4 - Danh mục'!$M$14:$M$132,$T45),INDEX('Lớp 3 - Công việc chính'!$L$14:$L$73,$T45))))</f>
        <v>Chiến lược/sống còn</v>
      </c>
      <c r="H45" s="692" t="str">
        <f t="array" ref="H45">IF($S45="","",IF($S45="Lớp 5",INDEX('Lớp 5 - Phân công'!$O$14:$O$262,$T45),IF($S45="Lớp 4",INDEX('Lớp 4 - Danh mục'!$N$14:$N$132,$T45),INDEX('Lớp 3 - Công việc chính'!$M$14:$M$73,$T45))))</f>
        <v>KHKD 2027&amp; HT lập KH theo tham số KD (bán tự động)</v>
      </c>
      <c r="I45" s="692" t="str">
        <f t="array" ref="I45">IF($S45="","",IF($S45="Lớp 5",INDEX('Lớp 5 - Phân công'!$P$14:$P$262,$T45),IF($S45="Lớp 4",INDEX('Lớp 4 - Danh mục'!$O$14:$O$132,$T45),"")))</f>
        <v>Xây dựng phần mềm &amp; Chạy Topdown thử nghiệm</v>
      </c>
      <c r="J45" s="693" t="str">
        <f t="array" ref="J45">IF($S45="","",IF($S45="Lớp 5",INDEX('Lớp 5 - Phân công'!$Q$14:$Q$262,$T45),""))</f>
        <v>Chạy thử nghiệm topdown Total bằng phần mềm </v>
      </c>
      <c r="K45" s="690" t="str">
        <f t="array" ref="K45">IF($S45="","",IF($S45="Lớp 5",INDEX('Lớp 5 - Phân công'!$AA$14:$AA$262,$T45),IF($S45="Lớp 4",INDEX('Lớp 4 - Danh mục'!$Y$14:$Y$132,$T45),INDEX('Lớp 3 - Công việc chính'!$U$14:$U$73,$T45))))</f>
        <v>Em Đại</v>
      </c>
      <c r="L45" s="691" t="str">
        <f t="array" ref="L45">IF($S45="","",IF($S45="Lớp 5",INDEX('Lớp 5 - Phân công'!$Z$14:$Z$262,$T45),IF($S45="Lớp 4",INDEX('Lớp 4 - Danh mục'!$X$14:$X$132,$T45),INDEX('Lớp 3 - Công việc chính'!$W$14:$W$73,$T45))))</f>
        <v>Dữ liệu điều hành</v>
      </c>
      <c r="M45" s="694">
        <f t="array" ref="M45">IF($S45="","",IF($S45="Lớp 5",INDEX('Lớp 5 - Phân công'!$AD$14:$AD$262,$T45),IF($S45="Lớp 4",INDEX('Lớp 4 - Danh mục'!$AC$14:$AC$132,$T45),INDEX('Lớp 3 - Công việc chính'!$Z$14:$Z$73,$T45))))</f>
        <v>46311</v>
      </c>
      <c r="N45" s="695">
        <f t="array" ref="N45">IF($S45="","",IF($S45="Lớp 5",INDEX('Lớp 5 - Phân công'!$AE$14:$AE$262,$T45),IF($S45="Lớp 4",INDEX('Lớp 4 - Danh mục'!$AD$14:$AD$132,$T45),INDEX('Lớp 3 - Công việc chính'!$AA$14:$AA$73,$T45))))</f>
        <v>46320</v>
      </c>
      <c r="O45" s="690" t="str">
        <f t="array" ref="O45">IF($S45="","",IF($S45="Lớp 5",INDEX('Lớp 5 - Phân công'!$AB$14:$AB$262,$T45),IF($S45="Lớp 4",INDEX('Lớp 4 - Danh mục'!$AA$14:$AA$132,$T45),INDEX('Lớp 3 - Công việc chính'!$X$14:$X$73,$T45))))</f>
        <v>Chưa bắt đầu</v>
      </c>
      <c r="P45" s="703" t="str">
        <f t="array" ref="P45">IF($S45="","",IF($S45="Lớp 5",INDEX('Lớp 5 - Phân công'!$AC$14:$AC$262,$T45),IF($S45="Lớp 4",INDEX('Lớp 4 - Danh mục'!$AB$14:$AB$132,$T45),INDEX('Lớp 3 - Công việc chính'!$Y$14:$Y$73,$T45))))</f>
        <v>P2</v>
      </c>
      <c r="Q45" s="697">
        <f t="array" ref="Q45">IF($S45="","",IF($S45="Lớp 5",INDEX('Lớp 5 - Phân công'!$AG$14:$AG$262,$T45),IF($S45="Lớp 4",INDEX('Lớp 4 - Danh mục'!$AF$14:$AF$132,$T45),INDEX('Lớp 3 - Công việc chính'!$AC$14:$AC$73,$T45))))</f>
        <v>0</v>
      </c>
      <c r="R45" s="698" t="str">
        <f t="array" ref="R45">IF($S45="","",IF($S45="Lớp 5",INDEX('Lớp 5 - Phân công'!$X$14:$X$262,$T45),IF($S45="Lớp 4",INDEX('Lớp 4 - Danh mục'!$V$14:$V$132,$T45),INDEX('Lớp 3 - Công việc chính'!$T$14:$T$73,$T45))))</f>
        <v>Biên bản phản biện công thức doanh thu khác và danh mục điều chỉnh được thống nhất.</v>
      </c>
      <c r="S45" s="699" t="str">
        <f>IF(ROWS($S$14:S45)&lt;=COUNTIF('Lớp 5 - Phân công'!$I$14:$I$262,"&lt;&gt;"),"Lớp 5",IF(ROWS($S$14:S45)&lt;=COUNTIF('Lớp 5 - Phân công'!$I$14:$I$262,"&lt;&gt;")+SUMPRODUCT(--('Lớp 4 - Danh mục'!$I$14:$I$132&lt;&gt;""),--(COUNTIF('Lớp 5 - Phân công'!$J$14:$J$262,'Lớp 4 - Danh mục'!$I$14:$I$132)=0)),"Lớp 4",IF(ROWS($S$14:S45)&lt;=COUNTIF('Lớp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5" s="699">
        <f t="array" ref="T45">IF(S45="","",IF(S45="Lớp 5",IF(S44&lt;&gt;"Lớp 5",MATCH("*",'Lớp 5 - Phân công'!$I$14:$I$262,0),T44+MATCH("*",INDEX('Lớp 5 - Phân công'!$I$14:$I$262,T44+1):'Lớp 5 - Phân công'!$I$262,0)),IF(S45="Lớp 4",IF(S44&lt;&gt;"Lớp 4",MATCH(1,INDEX(('Lớp 4 - Danh mục'!$I$14:$I$132&lt;&gt;"")*(COUNTIF('Lớp 5 - Phân công'!$J$14:$J$262,'Lớp 4 - Danh mục'!$I$14:$I$132)=0),0),0),T44+MATCH(1,INDEX((INDEX('Lớp 4 - Danh mục'!$I$14:$I$132,T44+1):'Lớp 4 - Danh mục'!$I$132&lt;&gt;"")*(COUNTIF('Lớp 5 - Phân công'!$J$14:$J$262,INDEX('Lớp 4 - Danh mục'!$I$14:$I$132,T44+1):'Lớp 4 - Danh mục'!$I$132)=0),0),0)),IF(S44&lt;&gt;"Lớp 3",MATCH(1,INDEX(('Lớp 3 - Công việc chính'!$I$14:$I$73&lt;&gt;"")*(COUNTIF('Lớp 4 - Danh mục'!$J$14:$J$132,'Lớp 3 - Công việc chính'!$I$14:$I$73)=0),0),0),T44+MATCH(1,INDEX((INDEX('Lớp 3 - Công việc chính'!$I$14:$I$73,T44+1):'Lớp 3 - Công việc chính'!$I$73&lt;&gt;"")*(COUNTIF('Lớp 4 - Danh mục'!$J$14:$J$132,INDEX('Lớp 3 - Công việc chính'!$I$14:$I$73,T44+1):'Lớp 3 - Công việc chính'!$I$73)=0),0),0)))))</f>
        <v>32</v>
      </c>
      <c r="U45" s="677"/>
      <c r="V45" s="678" t="str">
        <f>IF(U45="","",SUMIFS('Lớp 3 - Công việc chính'!$AF$14:$AF$73,'Lớp 3 - Công việc chính'!$V$14:$V$73,U45,'Lớp 3 - Công việc chính'!$Z$14:$Z$73,"&lt;="&amp;TODAY(),'Lớp 3 - Công việc chính'!$AA$14:$AA$73,"&gt;="&amp;TODAY())+SUMIFS('Lớp 4 - Danh mục'!$AI$14:$AI$132,'Lớp 4 - Danh mục'!$Z$14:$Z$132,U45,'Lớp 4 - Danh mục'!$AC$14:$AC$132,"&lt;="&amp;TODAY(),'Lớp 4 - Danh mục'!$AD$14:$AD$132,"&gt;="&amp;TODAY())+SUMIFS('Lớp 5 - Phân công'!$AJ$14:$AJ$262,'Lớp 5 - Phân công'!$AA$14:$AA$262,U45,'Lớp 5 - Phân công'!$AD$14:$AD$262,"&lt;="&amp;TODAY(),'Lớp 5 - Phân công'!$AE$14:$AE$262,"&gt;="&amp;TODAY())+SUMIFS('Lớp 6 - Chi tiết'!$AM$14:$AM$267,'Lớp 6 - Chi tiết'!$AC$14:$AC$267,U45,'Lớp 6 - Chi tiết'!$AG$14:$AG$267,"&lt;="&amp;TODAY(),'Lớp 6 - Chi tiết'!$AH$14:$AH$267,"&gt;="&amp;TODAY()))</f>
        <v/>
      </c>
      <c r="W45" s="679" t="str">
        <f>IF(V45="","",V45/'Danh mục chọn'!$J$2)</f>
        <v/>
      </c>
      <c r="X45" s="680" t="str">
        <f>IF(V45="","",IF(V45=0,"Chưa có tải tính được",IF(V45&gt;'Danh mục chọn'!$J$2,"Quá tải",IF(V45&gt;='Danh mục chọn'!$J$2*'Danh mục chọn'!$J$3,"Cận tải","Bình thường"))))</f>
        <v/>
      </c>
      <c r="Y45" s="678" t="str">
        <f>IF(U45="","",SUMPRODUCT(('Lớp 3 - Công việc chính'!$V$14:$V$73=U45)*('Lớp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mục'!$Z$14:$Z$132=U45)*('Lớp 4 - Danh mục'!$AD$14:$AD$132&lt;TODAY())*('Lớp 4 - Danh mục'!$AA$14:$AA$132&lt;&gt;"Hoàn thành")*('Lớp 4 - Danh mục'!$AA$14:$AA$132&lt;&gt;"Hủy")*('Lớp 4 - Danh mục'!$AI$14:$AI$132&lt;&gt;"")*IFERROR('Lớp 4 - Danh mục'!$AH$14:$AH$132*(1-'Lớp 4 - Danh mục'!$AF$14:$AF$132),0))+SUMPRODUCT(('Lớp 5 - Phân công'!$AA$14:$AA$262=U45)*('Lớp 5 - Phân công'!$AE$14:$AE$262&lt;TODAY())*('Lớp 5 - Phân công'!$AB$14:$AB$262&lt;&gt;"Hoàn thành")*('Lớp 5 - Phân công'!$AB$14:$AB$262&lt;&gt;"Hủy")*('Lớp 5 - Phân công'!$AJ$14:$AJ$262&lt;&gt;"")*IFERROR('Lớp 5 - Phân công'!$AI$14:$AI$262*(1-'Lớp 5 - Phân công'!$AG$14:$AG$262),0))+SUMPRODUCT(('Lớp 6 - Chi tiết'!$AC$14:$AC$267=U45)*('Lớp 6 - Chi tiết'!$AH$14:$AH$267&lt;TODAY())*('Lớp 6 - Chi tiết'!$AE$14:$AE$267&lt;&gt;"Hoàn thành")*('Lớp 6 - Chi tiết'!$AE$14:$AE$267&lt;&gt;"Hủy")*('Lớp 6 - Chi tiết'!$AM$14:$AM$267&lt;&gt;"")*IFERROR('Lớp 6 - Chi tiết'!$AL$14:$AL$267*(1-'Lớp 6 - Chi tiết'!$AJ$14:$AJ$267),0)))</f>
        <v/>
      </c>
      <c r="Z45" s="700" t="str">
        <f t="array" ref="Z45">IF($S45="","",IF($S45="Lớp 5",INDEX('Lớp 5 - Phân công'!$AS$14:$AS$262,$T45),IF($S45="Lớp 4",INDEX('Lớp 4 - Danh mục'!$AR$14:$AR$132,$T45),INDEX('Lớp 3 - Công việc chính'!$AO$14:$AO$73,$T45))))</f>
        <v>Tuần</v>
      </c>
      <c r="AA45" s="701">
        <f t="array" ref="AA45">IF($S45="","",IF($S45="Lớp 5",INDEX('Lớp 5 - Phân công'!$AT$14:$AT$262,$T45),IF($S45="Lớp 4",INDEX('Lớp 4 - Danh mục'!$AS$14:$AS$132,$T45),INDEX('Lớp 3 - Công việc chính'!$AP$14:$AP$73,$T45))))</f>
        <v>4</v>
      </c>
      <c r="AB45" s="701">
        <f t="array" ref="AB45">IF($S45="","",IF($S45="Lớp 5",INDEX('Lớp 5 - Phân công'!$AJ$14:$AJ$262,$T45),IF($S45="Lớp 4",INDEX('Lớp 4 - Danh mục'!$AI$14:$AI$132,$T45),INDEX('Lớp 3 - Công việc chính'!$AF$14:$AF$73,$T45))))</f>
        <v>0.8</v>
      </c>
      <c r="AC45" s="702" t="str">
        <f t="array" ref="AC45">IF($S45="","",IF($S45="Lớp 5",INDEX('Lớp 5 - Phân công'!$AV$14:$AV$262,$T45),IF($S45="Lớp 4",INDEX('Lớp 4 - Danh mục'!$AU$14:$AU$132,$T45),INDEX('Lớp 3 - Công việc chính'!$AR$14:$AR$73,$T45))))</f>
        <v>Thiếu 1.0 giờ/tuần</v>
      </c>
    </row>
    <row r="46" ht="15.75" customHeight="1">
      <c r="A46" s="690" t="str">
        <f t="shared" si="1"/>
        <v>Lớp 5</v>
      </c>
      <c r="B46" s="690" t="str">
        <f t="array" ref="B46">IF($S46="","",IF($S46="Lớp 5",INDEX('Lớp 5 - Phân công'!$I$14:$I$262,$T46),IF($S46="Lớp 4",INDEX('Lớp 4 - Danh mục'!$I$14:$I$132,$T46),INDEX('Lớp 3 - Công việc chính'!$I$14:$I$73,$T46))))</f>
        <v>HHL5DL07-03</v>
      </c>
      <c r="C46" s="690" t="str">
        <f t="array" ref="C46">IF($S46="","",IF($S46="Lớp 5",INDEX('Lớp 5 - Phân công'!$K$14:$K$262,$T46),IF($S46="Lớp 4",INDEX('Lớp 4 - Danh mục'!$J$14:$J$132,$T46),INDEX('Lớp 3 - Công việc chính'!$I$14:$I$73,$T46))))</f>
        <v>HHL3CT03</v>
      </c>
      <c r="D46" s="690" t="str">
        <f t="array" ref="D46">IF($S46="","",IF($S46="Lớp 5",INDEX('Lớp 5 - Phân công'!$J$14:$J$262,$T46),IF($S46="Lớp 4",INDEX('Lớp 4 - Danh mục'!$I$14:$I$132,$T46),"")))</f>
        <v>HHL4DL07</v>
      </c>
      <c r="E46" s="690">
        <f t="array" ref="E46">IF($S46="","",IF($S46="Lớp 5",INDEX('Lớp 5 - Phân công'!$L$14:$L$262,$T46),IF($S46="Lớp 4",INDEX('Lớp 4 - Danh mục'!$K$14:$K$132,$T46),INDEX('Lớp 3 - Công việc chính'!$J$14:$J$73,$T46))))</f>
        <v>2026</v>
      </c>
      <c r="F46" s="690" t="str">
        <f t="array" ref="F46">IF($S46="","",IF($S46="Lớp 5",INDEX('Lớp 5 - Phân công'!$M$14:$M$262,$T46),IF($S46="Lớp 4",INDEX('Lớp 4 - Danh mục'!$L$14:$L$132,$T46),INDEX('Lớp 3 - Công việc chính'!$K$14:$K$73,$T46))))</f>
        <v>Cấp công ty</v>
      </c>
      <c r="G46" s="691" t="str">
        <f t="array" ref="G46">IF($S46="","",IF($S46="Lớp 5",INDEX('Lớp 5 - Phân công'!$N$14:$N$262,$T46),IF($S46="Lớp 4",INDEX('Lớp 4 - Danh mục'!$M$14:$M$132,$T46),INDEX('Lớp 3 - Công việc chính'!$L$14:$L$73,$T46))))</f>
        <v>Chiến lược/sống còn</v>
      </c>
      <c r="H46" s="692" t="str">
        <f t="array" ref="H46">IF($S46="","",IF($S46="Lớp 5",INDEX('Lớp 5 - Phân công'!$O$14:$O$262,$T46),IF($S46="Lớp 4",INDEX('Lớp 4 - Danh mục'!$N$14:$N$132,$T46),INDEX('Lớp 3 - Công việc chính'!$M$14:$M$73,$T46))))</f>
        <v>KHKD 2027&amp; HT lập KH theo tham số KD (bán tự động)</v>
      </c>
      <c r="I46" s="692" t="str">
        <f t="array" ref="I46">IF($S46="","",IF($S46="Lớp 5",INDEX('Lớp 5 - Phân công'!$P$14:$P$262,$T46),IF($S46="Lớp 4",INDEX('Lớp 4 - Danh mục'!$O$14:$O$132,$T46),"")))</f>
        <v>Xây dựng phần mềm &amp; Chạy Topdown thử nghiệm</v>
      </c>
      <c r="J46" s="693" t="str">
        <f t="array" ref="J46">IF($S46="","",IF($S46="Lớp 5",INDEX('Lớp 5 - Phân công'!$Q$14:$Q$262,$T46),""))</f>
        <v>Đào tạo phần mềm</v>
      </c>
      <c r="K46" s="690" t="str">
        <f t="array" ref="K46">IF($S46="","",IF($S46="Lớp 5",INDEX('Lớp 5 - Phân công'!$AA$14:$AA$262,$T46),IF($S46="Lớp 4",INDEX('Lớp 4 - Danh mục'!$Y$14:$Y$132,$T46),INDEX('Lớp 3 - Công việc chính'!$U$14:$U$73,$T46))))</f>
        <v>Em Đại</v>
      </c>
      <c r="L46" s="691" t="str">
        <f t="array" ref="L46">IF($S46="","",IF($S46="Lớp 5",INDEX('Lớp 5 - Phân công'!$Z$14:$Z$262,$T46),IF($S46="Lớp 4",INDEX('Lớp 4 - Danh mục'!$X$14:$X$132,$T46),INDEX('Lớp 3 - Công việc chính'!$W$14:$W$73,$T46))))</f>
        <v>Dữ liệu điều hành</v>
      </c>
      <c r="M46" s="694">
        <f t="array" ref="M46">IF($S46="","",IF($S46="Lớp 5",INDEX('Lớp 5 - Phân công'!$AD$14:$AD$262,$T46),IF($S46="Lớp 4",INDEX('Lớp 4 - Danh mục'!$AC$14:$AC$132,$T46),INDEX('Lớp 3 - Công việc chính'!$Z$14:$Z$73,$T46))))</f>
        <v>46311</v>
      </c>
      <c r="N46" s="695">
        <f t="array" ref="N46">IF($S46="","",IF($S46="Lớp 5",INDEX('Lớp 5 - Phân công'!$AE$14:$AE$262,$T46),IF($S46="Lớp 4",INDEX('Lớp 4 - Danh mục'!$AD$14:$AD$132,$T46),INDEX('Lớp 3 - Công việc chính'!$AA$14:$AA$73,$T46))))</f>
        <v>46254</v>
      </c>
      <c r="O46" s="690" t="str">
        <f t="array" ref="O46">IF($S46="","",IF($S46="Lớp 5",INDEX('Lớp 5 - Phân công'!$AB$14:$AB$262,$T46),IF($S46="Lớp 4",INDEX('Lớp 4 - Danh mục'!$AA$14:$AA$132,$T46),INDEX('Lớp 3 - Công việc chính'!$X$14:$X$73,$T46))))</f>
        <v>Chưa bắt đầu</v>
      </c>
      <c r="P46" s="703" t="str">
        <f t="array" ref="P46">IF($S46="","",IF($S46="Lớp 5",INDEX('Lớp 5 - Phân công'!$AC$14:$AC$262,$T46),IF($S46="Lớp 4",INDEX('Lớp 4 - Danh mục'!$AB$14:$AB$132,$T46),INDEX('Lớp 3 - Công việc chính'!$Y$14:$Y$73,$T46))))</f>
        <v>P2</v>
      </c>
      <c r="Q46" s="697">
        <f t="array" ref="Q46">IF($S46="","",IF($S46="Lớp 5",INDEX('Lớp 5 - Phân công'!$AG$14:$AG$262,$T46),IF($S46="Lớp 4",INDEX('Lớp 4 - Danh mục'!$AF$14:$AF$132,$T46),INDEX('Lớp 3 - Công việc chính'!$AC$14:$AC$73,$T46))))</f>
        <v>0</v>
      </c>
      <c r="R46" s="698" t="str">
        <f t="array" ref="R46">IF($S46="","",IF($S46="Lớp 5",INDEX('Lớp 5 - Phân công'!$X$14:$X$262,$T46),IF($S46="Lớp 4",INDEX('Lớp 4 - Danh mục'!$V$14:$V$132,$T46),INDEX('Lớp 3 - Công việc chính'!$T$14:$T$73,$T46))))</f>
        <v>File Excel và bản demo hệ thống kế hoạch doanh thu khác vận hành đúng công thức.</v>
      </c>
      <c r="S46" s="699" t="str">
        <f>IF(ROWS($S$14:S46)&lt;=COUNTIF('Lớp 5 - Phân công'!$I$14:$I$262,"&lt;&gt;"),"Lớp 5",IF(ROWS($S$14:S46)&lt;=COUNTIF('Lớp 5 - Phân công'!$I$14:$I$262,"&lt;&gt;")+SUMPRODUCT(--('Lớp 4 - Danh mục'!$I$14:$I$132&lt;&gt;""),--(COUNTIF('Lớp 5 - Phân công'!$J$14:$J$262,'Lớp 4 - Danh mục'!$I$14:$I$132)=0)),"Lớp 4",IF(ROWS($S$14:S46)&lt;=COUNTIF('Lớp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6" s="699">
        <f t="array" ref="T46">IF(S46="","",IF(S46="Lớp 5",IF(S45&lt;&gt;"Lớp 5",MATCH("*",'Lớp 5 - Phân công'!$I$14:$I$262,0),T45+MATCH("*",INDEX('Lớp 5 - Phân công'!$I$14:$I$262,T45+1):'Lớp 5 - Phân công'!$I$262,0)),IF(S46="Lớp 4",IF(S45&lt;&gt;"Lớp 4",MATCH(1,INDEX(('Lớp 4 - Danh mục'!$I$14:$I$132&lt;&gt;"")*(COUNTIF('Lớp 5 - Phân công'!$J$14:$J$262,'Lớp 4 - Danh mục'!$I$14:$I$132)=0),0),0),T45+MATCH(1,INDEX((INDEX('Lớp 4 - Danh mục'!$I$14:$I$132,T45+1):'Lớp 4 - Danh mục'!$I$132&lt;&gt;"")*(COUNTIF('Lớp 5 - Phân công'!$J$14:$J$262,INDEX('Lớp 4 - Danh mục'!$I$14:$I$132,T45+1):'Lớp 4 - Danh mục'!$I$132)=0),0),0)),IF(S45&lt;&gt;"Lớp 3",MATCH(1,INDEX(('Lớp 3 - Công việc chính'!$I$14:$I$73&lt;&gt;"")*(COUNTIF('Lớp 4 - Danh mục'!$J$14:$J$132,'Lớp 3 - Công việc chính'!$I$14:$I$73)=0),0),0),T45+MATCH(1,INDEX((INDEX('Lớp 3 - Công việc chính'!$I$14:$I$73,T45+1):'Lớp 3 - Công việc chính'!$I$73&lt;&gt;"")*(COUNTIF('Lớp 4 - Danh mục'!$J$14:$J$132,INDEX('Lớp 3 - Công việc chính'!$I$14:$I$73,T45+1):'Lớp 3 - Công việc chính'!$I$73)=0),0),0)))))</f>
        <v>33</v>
      </c>
      <c r="U46" s="677"/>
      <c r="V46" s="678" t="str">
        <f>IF(U46="","",SUMIFS('Lớp 3 - Công việc chính'!$AF$14:$AF$73,'Lớp 3 - Công việc chính'!$V$14:$V$73,U46,'Lớp 3 - Công việc chính'!$Z$14:$Z$73,"&lt;="&amp;TODAY(),'Lớp 3 - Công việc chính'!$AA$14:$AA$73,"&gt;="&amp;TODAY())+SUMIFS('Lớp 4 - Danh mục'!$AI$14:$AI$132,'Lớp 4 - Danh mục'!$Z$14:$Z$132,U46,'Lớp 4 - Danh mục'!$AC$14:$AC$132,"&lt;="&amp;TODAY(),'Lớp 4 - Danh mục'!$AD$14:$AD$132,"&gt;="&amp;TODAY())+SUMIFS('Lớp 5 - Phân công'!$AJ$14:$AJ$262,'Lớp 5 - Phân công'!$AA$14:$AA$262,U46,'Lớp 5 - Phân công'!$AD$14:$AD$262,"&lt;="&amp;TODAY(),'Lớp 5 - Phân công'!$AE$14:$AE$262,"&gt;="&amp;TODAY())+SUMIFS('Lớp 6 - Chi tiết'!$AM$14:$AM$267,'Lớp 6 - Chi tiết'!$AC$14:$AC$267,U46,'Lớp 6 - Chi tiết'!$AG$14:$AG$267,"&lt;="&amp;TODAY(),'Lớp 6 - Chi tiết'!$AH$14:$AH$267,"&gt;="&amp;TODAY()))</f>
        <v/>
      </c>
      <c r="W46" s="679" t="str">
        <f>IF(V46="","",V46/'Danh mục chọn'!$J$2)</f>
        <v/>
      </c>
      <c r="X46" s="680" t="str">
        <f>IF(V46="","",IF(V46=0,"Chưa có tải tính được",IF(V46&gt;'Danh mục chọn'!$J$2,"Quá tải",IF(V46&gt;='Danh mục chọn'!$J$2*'Danh mục chọn'!$J$3,"Cận tải","Bình thường"))))</f>
        <v/>
      </c>
      <c r="Y46" s="678" t="str">
        <f>IF(U46="","",SUMPRODUCT(('Lớp 3 - Công việc chính'!$V$14:$V$73=U46)*('Lớp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mục'!$Z$14:$Z$132=U46)*('Lớp 4 - Danh mục'!$AD$14:$AD$132&lt;TODAY())*('Lớp 4 - Danh mục'!$AA$14:$AA$132&lt;&gt;"Hoàn thành")*('Lớp 4 - Danh mục'!$AA$14:$AA$132&lt;&gt;"Hủy")*('Lớp 4 - Danh mục'!$AI$14:$AI$132&lt;&gt;"")*IFERROR('Lớp 4 - Danh mục'!$AH$14:$AH$132*(1-'Lớp 4 - Danh mục'!$AF$14:$AF$132),0))+SUMPRODUCT(('Lớp 5 - Phân công'!$AA$14:$AA$262=U46)*('Lớp 5 - Phân công'!$AE$14:$AE$262&lt;TODAY())*('Lớp 5 - Phân công'!$AB$14:$AB$262&lt;&gt;"Hoàn thành")*('Lớp 5 - Phân công'!$AB$14:$AB$262&lt;&gt;"Hủy")*('Lớp 5 - Phân công'!$AJ$14:$AJ$262&lt;&gt;"")*IFERROR('Lớp 5 - Phân công'!$AI$14:$AI$262*(1-'Lớp 5 - Phân công'!$AG$14:$AG$262),0))+SUMPRODUCT(('Lớp 6 - Chi tiết'!$AC$14:$AC$267=U46)*('Lớp 6 - Chi tiết'!$AH$14:$AH$267&lt;TODAY())*('Lớp 6 - Chi tiết'!$AE$14:$AE$267&lt;&gt;"Hoàn thành")*('Lớp 6 - Chi tiết'!$AE$14:$AE$267&lt;&gt;"Hủy")*('Lớp 6 - Chi tiết'!$AM$14:$AM$267&lt;&gt;"")*IFERROR('Lớp 6 - Chi tiết'!$AL$14:$AL$267*(1-'Lớp 6 - Chi tiết'!$AJ$14:$AJ$267),0)))</f>
        <v/>
      </c>
      <c r="Z46" s="700" t="str">
        <f t="array" ref="Z46">IF($S46="","",IF($S46="Lớp 5",INDEX('Lớp 5 - Phân công'!$AS$14:$AS$262,$T46),IF($S46="Lớp 4",INDEX('Lớp 4 - Danh mục'!$AR$14:$AR$132,$T46),INDEX('Lớp 3 - Công việc chính'!$AO$14:$AO$73,$T46))))</f>
        <v>Tuần</v>
      </c>
      <c r="AA46" s="701">
        <f t="array" ref="AA46">IF($S46="","",IF($S46="Lớp 5",INDEX('Lớp 5 - Phân công'!$AT$14:$AT$262,$T46),IF($S46="Lớp 4",INDEX('Lớp 4 - Danh mục'!$AS$14:$AS$132,$T46),INDEX('Lớp 3 - Công việc chính'!$AP$14:$AP$73,$T46))))</f>
        <v>4</v>
      </c>
      <c r="AB46" s="701">
        <f t="array" ref="AB46">IF($S46="","",IF($S46="Lớp 5",INDEX('Lớp 5 - Phân công'!$AJ$14:$AJ$262,$T46),IF($S46="Lớp 4",INDEX('Lớp 4 - Danh mục'!$AI$14:$AI$132,$T46),INDEX('Lớp 3 - Công việc chính'!$AF$14:$AF$73,$T46))))</f>
        <v>0.8</v>
      </c>
      <c r="AC46" s="702" t="str">
        <f t="array" ref="AC46">IF($S46="","",IF($S46="Lớp 5",INDEX('Lớp 5 - Phân công'!$AV$14:$AV$262,$T46),IF($S46="Lớp 4",INDEX('Lớp 4 - Danh mục'!$AU$14:$AU$132,$T46),INDEX('Lớp 3 - Công việc chính'!$AR$14:$AR$73,$T46))))</f>
        <v>Thiếu 116.0 giờ/tuần</v>
      </c>
    </row>
    <row r="47" ht="15.75" customHeight="1">
      <c r="A47" s="690" t="str">
        <f t="shared" si="1"/>
        <v>Lớp 5</v>
      </c>
      <c r="B47" s="690" t="str">
        <f t="array" ref="B47">IF($S47="","",IF($S47="Lớp 5",INDEX('Lớp 5 - Phân công'!$I$14:$I$262,$T47),IF($S47="Lớp 4",INDEX('Lớp 4 - Danh mục'!$I$14:$I$132,$T47),INDEX('Lớp 3 - Công việc chính'!$I$14:$I$73,$T47))))</f>
        <v>HHL5DL07-04</v>
      </c>
      <c r="C47" s="690" t="str">
        <f t="array" ref="C47">IF($S47="","",IF($S47="Lớp 5",INDEX('Lớp 5 - Phân công'!$K$14:$K$262,$T47),IF($S47="Lớp 4",INDEX('Lớp 4 - Danh mục'!$J$14:$J$132,$T47),INDEX('Lớp 3 - Công việc chính'!$I$14:$I$73,$T47))))</f>
        <v>HHL3CT03</v>
      </c>
      <c r="D47" s="690" t="str">
        <f t="array" ref="D47">IF($S47="","",IF($S47="Lớp 5",INDEX('Lớp 5 - Phân công'!$J$14:$J$262,$T47),IF($S47="Lớp 4",INDEX('Lớp 4 - Danh mục'!$I$14:$I$132,$T47),"")))</f>
        <v>HHL4DL07</v>
      </c>
      <c r="E47" s="690">
        <f t="array" ref="E47">IF($S47="","",IF($S47="Lớp 5",INDEX('Lớp 5 - Phân công'!$L$14:$L$262,$T47),IF($S47="Lớp 4",INDEX('Lớp 4 - Danh mục'!$K$14:$K$132,$T47),INDEX('Lớp 3 - Công việc chính'!$J$14:$J$73,$T47))))</f>
        <v>2026</v>
      </c>
      <c r="F47" s="690" t="str">
        <f t="array" ref="F47">IF($S47="","",IF($S47="Lớp 5",INDEX('Lớp 5 - Phân công'!$M$14:$M$262,$T47),IF($S47="Lớp 4",INDEX('Lớp 4 - Danh mục'!$L$14:$L$132,$T47),INDEX('Lớp 3 - Công việc chính'!$K$14:$K$73,$T47))))</f>
        <v>Cấp công ty</v>
      </c>
      <c r="G47" s="691" t="str">
        <f t="array" ref="G47">IF($S47="","",IF($S47="Lớp 5",INDEX('Lớp 5 - Phân công'!$N$14:$N$262,$T47),IF($S47="Lớp 4",INDEX('Lớp 4 - Danh mục'!$M$14:$M$132,$T47),INDEX('Lớp 3 - Công việc chính'!$L$14:$L$73,$T47))))</f>
        <v>Chiến lược/sống còn</v>
      </c>
      <c r="H47" s="692" t="str">
        <f t="array" ref="H47">IF($S47="","",IF($S47="Lớp 5",INDEX('Lớp 5 - Phân công'!$O$14:$O$262,$T47),IF($S47="Lớp 4",INDEX('Lớp 4 - Danh mục'!$N$14:$N$132,$T47),INDEX('Lớp 3 - Công việc chính'!$M$14:$M$73,$T47))))</f>
        <v>KHKD 2027&amp; HT lập KH theo tham số KD (bán tự động)</v>
      </c>
      <c r="I47" s="692" t="str">
        <f t="array" ref="I47">IF($S47="","",IF($S47="Lớp 5",INDEX('Lớp 5 - Phân công'!$P$14:$P$262,$T47),IF($S47="Lớp 4",INDEX('Lớp 4 - Danh mục'!$O$14:$O$132,$T47),"")))</f>
        <v>Xây dựng phần mềm &amp; Chạy Topdown thử nghiệm</v>
      </c>
      <c r="J47" s="693" t="str">
        <f t="array" ref="J47">IF($S47="","",IF($S47="Lớp 5",INDEX('Lớp 5 - Phân công'!$Q$14:$Q$262,$T47),""))</f>
        <v>Chạy thử nghiệm bottom-up Total bằng phần mềm</v>
      </c>
      <c r="K47" s="690" t="str">
        <f t="array" ref="K47">IF($S47="","",IF($S47="Lớp 5",INDEX('Lớp 5 - Phân công'!$AA$14:$AA$262,$T47),IF($S47="Lớp 4",INDEX('Lớp 4 - Danh mục'!$Y$14:$Y$132,$T47),INDEX('Lớp 3 - Công việc chính'!$U$14:$U$73,$T47))))</f>
        <v>Em Đại</v>
      </c>
      <c r="L47" s="691" t="str">
        <f t="array" ref="L47">IF($S47="","",IF($S47="Lớp 5",INDEX('Lớp 5 - Phân công'!$Z$14:$Z$262,$T47),IF($S47="Lớp 4",INDEX('Lớp 4 - Danh mục'!$X$14:$X$132,$T47),INDEX('Lớp 3 - Công việc chính'!$W$14:$W$73,$T47))))</f>
        <v>Dữ liệu điều hành</v>
      </c>
      <c r="M47" s="694">
        <f t="array" ref="M47">IF($S47="","",IF($S47="Lớp 5",INDEX('Lớp 5 - Phân công'!$AD$14:$AD$262,$T47),IF($S47="Lớp 4",INDEX('Lớp 4 - Danh mục'!$AC$14:$AC$132,$T47),INDEX('Lớp 3 - Công việc chính'!$Z$14:$Z$73,$T47))))</f>
        <v>46316</v>
      </c>
      <c r="N47" s="695">
        <f t="array" ref="N47">IF($S47="","",IF($S47="Lớp 5",INDEX('Lớp 5 - Phân công'!$AE$14:$AE$262,$T47),IF($S47="Lớp 4",INDEX('Lớp 4 - Danh mục'!$AD$14:$AD$132,$T47),INDEX('Lớp 3 - Công việc chính'!$AA$14:$AA$73,$T47))))</f>
        <v>46317</v>
      </c>
      <c r="O47" s="690" t="str">
        <f t="array" ref="O47">IF($S47="","",IF($S47="Lớp 5",INDEX('Lớp 5 - Phân công'!$AB$14:$AB$262,$T47),IF($S47="Lớp 4",INDEX('Lớp 4 - Danh mục'!$AA$14:$AA$132,$T47),INDEX('Lớp 3 - Công việc chính'!$X$14:$X$73,$T47))))</f>
        <v>Đã lên lịch</v>
      </c>
      <c r="P47" s="703" t="str">
        <f t="array" ref="P47">IF($S47="","",IF($S47="Lớp 5",INDEX('Lớp 5 - Phân công'!$AC$14:$AC$262,$T47),IF($S47="Lớp 4",INDEX('Lớp 4 - Danh mục'!$AB$14:$AB$132,$T47),INDEX('Lớp 3 - Công việc chính'!$Y$14:$Y$73,$T47))))</f>
        <v>P2</v>
      </c>
      <c r="Q47" s="697" t="str">
        <f t="array" ref="Q47">IF($S47="","",IF($S47="Lớp 5",INDEX('Lớp 5 - Phân công'!$AG$14:$AG$262,$T47),IF($S47="Lớp 4",INDEX('Lớp 4 - Danh mục'!$AF$14:$AF$132,$T47),INDEX('Lớp 3 - Công việc chính'!$AC$14:$AC$73,$T47))))</f>
        <v/>
      </c>
      <c r="R47" s="698" t="str">
        <f t="array" ref="R47">IF($S47="","",IF($S47="Lớp 5",INDEX('Lớp 5 - Phân công'!$X$14:$X$262,$T47),IF($S47="Lớp 4",INDEX('Lớp 4 - Danh mục'!$V$14:$V$132,$T47),INDEX('Lớp 3 - Công việc chính'!$T$14:$T$73,$T47))))</f>
        <v>Bộ kết quả tham số Top-down kế hoạch doanh thu khác được kiểm tra và xác nhận.</v>
      </c>
      <c r="S47" s="699" t="str">
        <f>IF(ROWS($S$14:S47)&lt;=COUNTIF('Lớp 5 - Phân công'!$I$14:$I$262,"&lt;&gt;"),"Lớp 5",IF(ROWS($S$14:S47)&lt;=COUNTIF('Lớp 5 - Phân công'!$I$14:$I$262,"&lt;&gt;")+SUMPRODUCT(--('Lớp 4 - Danh mục'!$I$14:$I$132&lt;&gt;""),--(COUNTIF('Lớp 5 - Phân công'!$J$14:$J$262,'Lớp 4 - Danh mục'!$I$14:$I$132)=0)),"Lớp 4",IF(ROWS($S$14:S47)&lt;=COUNTIF('Lớp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7" s="699">
        <f t="array" ref="T47">IF(S47="","",IF(S47="Lớp 5",IF(S46&lt;&gt;"Lớp 5",MATCH("*",'Lớp 5 - Phân công'!$I$14:$I$262,0),T46+MATCH("*",INDEX('Lớp 5 - Phân công'!$I$14:$I$262,T46+1):'Lớp 5 - Phân công'!$I$262,0)),IF(S47="Lớp 4",IF(S46&lt;&gt;"Lớp 4",MATCH(1,INDEX(('Lớp 4 - Danh mục'!$I$14:$I$132&lt;&gt;"")*(COUNTIF('Lớp 5 - Phân công'!$J$14:$J$262,'Lớp 4 - Danh mục'!$I$14:$I$132)=0),0),0),T46+MATCH(1,INDEX((INDEX('Lớp 4 - Danh mục'!$I$14:$I$132,T46+1):'Lớp 4 - Danh mục'!$I$132&lt;&gt;"")*(COUNTIF('Lớp 5 - Phân công'!$J$14:$J$262,INDEX('Lớp 4 - Danh mục'!$I$14:$I$132,T46+1):'Lớp 4 - Danh mục'!$I$132)=0),0),0)),IF(S46&lt;&gt;"Lớp 3",MATCH(1,INDEX(('Lớp 3 - Công việc chính'!$I$14:$I$73&lt;&gt;"")*(COUNTIF('Lớp 4 - Danh mục'!$J$14:$J$132,'Lớp 3 - Công việc chính'!$I$14:$I$73)=0),0),0),T46+MATCH(1,INDEX((INDEX('Lớp 3 - Công việc chính'!$I$14:$I$73,T46+1):'Lớp 3 - Công việc chính'!$I$73&lt;&gt;"")*(COUNTIF('Lớp 4 - Danh mục'!$J$14:$J$132,INDEX('Lớp 3 - Công việc chính'!$I$14:$I$73,T46+1):'Lớp 3 - Công việc chính'!$I$73)=0),0),0)))))</f>
        <v>34</v>
      </c>
      <c r="U47" s="677"/>
      <c r="V47" s="678" t="str">
        <f>IF(U47="","",SUMIFS('Lớp 3 - Công việc chính'!$AF$14:$AF$73,'Lớp 3 - Công việc chính'!$V$14:$V$73,U47,'Lớp 3 - Công việc chính'!$Z$14:$Z$73,"&lt;="&amp;TODAY(),'Lớp 3 - Công việc chính'!$AA$14:$AA$73,"&gt;="&amp;TODAY())+SUMIFS('Lớp 4 - Danh mục'!$AI$14:$AI$132,'Lớp 4 - Danh mục'!$Z$14:$Z$132,U47,'Lớp 4 - Danh mục'!$AC$14:$AC$132,"&lt;="&amp;TODAY(),'Lớp 4 - Danh mục'!$AD$14:$AD$132,"&gt;="&amp;TODAY())+SUMIFS('Lớp 5 - Phân công'!$AJ$14:$AJ$262,'Lớp 5 - Phân công'!$AA$14:$AA$262,U47,'Lớp 5 - Phân công'!$AD$14:$AD$262,"&lt;="&amp;TODAY(),'Lớp 5 - Phân công'!$AE$14:$AE$262,"&gt;="&amp;TODAY())+SUMIFS('Lớp 6 - Chi tiết'!$AM$14:$AM$267,'Lớp 6 - Chi tiết'!$AC$14:$AC$267,U47,'Lớp 6 - Chi tiết'!$AG$14:$AG$267,"&lt;="&amp;TODAY(),'Lớp 6 - Chi tiết'!$AH$14:$AH$267,"&gt;="&amp;TODAY()))</f>
        <v/>
      </c>
      <c r="W47" s="679" t="str">
        <f>IF(V47="","",V47/'Danh mục chọn'!$J$2)</f>
        <v/>
      </c>
      <c r="X47" s="680" t="str">
        <f>IF(V47="","",IF(V47=0,"Chưa có tải tính được",IF(V47&gt;'Danh mục chọn'!$J$2,"Quá tải",IF(V47&gt;='Danh mục chọn'!$J$2*'Danh mục chọn'!$J$3,"Cận tải","Bình thường"))))</f>
        <v/>
      </c>
      <c r="Y47" s="678" t="str">
        <f>IF(U47="","",SUMPRODUCT(('Lớp 3 - Công việc chính'!$V$14:$V$73=U47)*('Lớp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mục'!$Z$14:$Z$132=U47)*('Lớp 4 - Danh mục'!$AD$14:$AD$132&lt;TODAY())*('Lớp 4 - Danh mục'!$AA$14:$AA$132&lt;&gt;"Hoàn thành")*('Lớp 4 - Danh mục'!$AA$14:$AA$132&lt;&gt;"Hủy")*('Lớp 4 - Danh mục'!$AI$14:$AI$132&lt;&gt;"")*IFERROR('Lớp 4 - Danh mục'!$AH$14:$AH$132*(1-'Lớp 4 - Danh mục'!$AF$14:$AF$132),0))+SUMPRODUCT(('Lớp 5 - Phân công'!$AA$14:$AA$262=U47)*('Lớp 5 - Phân công'!$AE$14:$AE$262&lt;TODAY())*('Lớp 5 - Phân công'!$AB$14:$AB$262&lt;&gt;"Hoàn thành")*('Lớp 5 - Phân công'!$AB$14:$AB$262&lt;&gt;"Hủy")*('Lớp 5 - Phân công'!$AJ$14:$AJ$262&lt;&gt;"")*IFERROR('Lớp 5 - Phân công'!$AI$14:$AI$262*(1-'Lớp 5 - Phân công'!$AG$14:$AG$262),0))+SUMPRODUCT(('Lớp 6 - Chi tiết'!$AC$14:$AC$267=U47)*('Lớp 6 - Chi tiết'!$AH$14:$AH$267&lt;TODAY())*('Lớp 6 - Chi tiết'!$AE$14:$AE$267&lt;&gt;"Hoàn thành")*('Lớp 6 - Chi tiết'!$AE$14:$AE$267&lt;&gt;"Hủy")*('Lớp 6 - Chi tiết'!$AM$14:$AM$267&lt;&gt;"")*IFERROR('Lớp 6 - Chi tiết'!$AL$14:$AL$267*(1-'Lớp 6 - Chi tiết'!$AJ$14:$AJ$267),0)))</f>
        <v/>
      </c>
      <c r="Z47" s="700" t="str">
        <f t="array" ref="Z47">IF($S47="","",IF($S47="Lớp 5",INDEX('Lớp 5 - Phân công'!$AS$14:$AS$262,$T47),IF($S47="Lớp 4",INDEX('Lớp 4 - Danh mục'!$AR$14:$AR$132,$T47),INDEX('Lớp 3 - Công việc chính'!$AO$14:$AO$73,$T47))))</f>
        <v>Tuần</v>
      </c>
      <c r="AA47" s="701">
        <f t="array" ref="AA47">IF($S47="","",IF($S47="Lớp 5",INDEX('Lớp 5 - Phân công'!$AT$14:$AT$262,$T47),IF($S47="Lớp 4",INDEX('Lớp 4 - Danh mục'!$AS$14:$AS$132,$T47),INDEX('Lớp 3 - Công việc chính'!$AP$14:$AP$73,$T47))))</f>
        <v>4</v>
      </c>
      <c r="AB47" s="701">
        <f t="array" ref="AB47">IF($S47="","",IF($S47="Lớp 5",INDEX('Lớp 5 - Phân công'!$AJ$14:$AJ$262,$T47),IF($S47="Lớp 4",INDEX('Lớp 4 - Danh mục'!$AI$14:$AI$132,$T47),INDEX('Lớp 3 - Công việc chính'!$AF$14:$AF$73,$T47))))</f>
        <v>0.8</v>
      </c>
      <c r="AC47" s="702" t="str">
        <f t="array" ref="AC47">IF($S47="","",IF($S47="Lớp 5",INDEX('Lớp 5 - Phân công'!$AV$14:$AV$262,$T47),IF($S47="Lớp 4",INDEX('Lớp 4 - Danh mục'!$AU$14:$AU$132,$T47),INDEX('Lớp 3 - Công việc chính'!$AR$14:$AR$73,$T47))))</f>
        <v>Thiếu 36.0 giờ/tuần</v>
      </c>
    </row>
    <row r="48" ht="15.75" customHeight="1">
      <c r="A48" s="690" t="str">
        <f t="shared" si="1"/>
        <v>Lớp 5</v>
      </c>
      <c r="B48" s="690" t="str">
        <f t="array" ref="B48">IF($S48="","",IF($S48="Lớp 5",INDEX('Lớp 5 - Phân công'!$I$14:$I$262,$T48),IF($S48="Lớp 4",INDEX('Lớp 4 - Danh mục'!$I$14:$I$132,$T48),INDEX('Lớp 3 - Công việc chính'!$I$14:$I$73,$T48))))</f>
        <v>HHL5DL07-05</v>
      </c>
      <c r="C48" s="690" t="str">
        <f t="array" ref="C48">IF($S48="","",IF($S48="Lớp 5",INDEX('Lớp 5 - Phân công'!$K$14:$K$262,$T48),IF($S48="Lớp 4",INDEX('Lớp 4 - Danh mục'!$J$14:$J$132,$T48),INDEX('Lớp 3 - Công việc chính'!$I$14:$I$73,$T48))))</f>
        <v>HHL3CT03</v>
      </c>
      <c r="D48" s="690" t="str">
        <f t="array" ref="D48">IF($S48="","",IF($S48="Lớp 5",INDEX('Lớp 5 - Phân công'!$J$14:$J$262,$T48),IF($S48="Lớp 4",INDEX('Lớp 4 - Danh mục'!$I$14:$I$132,$T48),"")))</f>
        <v>HHL4DL07</v>
      </c>
      <c r="E48" s="690">
        <f t="array" ref="E48">IF($S48="","",IF($S48="Lớp 5",INDEX('Lớp 5 - Phân công'!$L$14:$L$262,$T48),IF($S48="Lớp 4",INDEX('Lớp 4 - Danh mục'!$K$14:$K$132,$T48),INDEX('Lớp 3 - Công việc chính'!$J$14:$J$73,$T48))))</f>
        <v>2026</v>
      </c>
      <c r="F48" s="690" t="str">
        <f t="array" ref="F48">IF($S48="","",IF($S48="Lớp 5",INDEX('Lớp 5 - Phân công'!$M$14:$M$262,$T48),IF($S48="Lớp 4",INDEX('Lớp 4 - Danh mục'!$L$14:$L$132,$T48),INDEX('Lớp 3 - Công việc chính'!$K$14:$K$73,$T48))))</f>
        <v>Cấp công ty</v>
      </c>
      <c r="G48" s="691" t="str">
        <f t="array" ref="G48">IF($S48="","",IF($S48="Lớp 5",INDEX('Lớp 5 - Phân công'!$N$14:$N$262,$T48),IF($S48="Lớp 4",INDEX('Lớp 4 - Danh mục'!$M$14:$M$132,$T48),INDEX('Lớp 3 - Công việc chính'!$L$14:$L$73,$T48))))</f>
        <v>Chiến lược/sống còn</v>
      </c>
      <c r="H48" s="692" t="str">
        <f t="array" ref="H48">IF($S48="","",IF($S48="Lớp 5",INDEX('Lớp 5 - Phân công'!$O$14:$O$262,$T48),IF($S48="Lớp 4",INDEX('Lớp 4 - Danh mục'!$N$14:$N$132,$T48),INDEX('Lớp 3 - Công việc chính'!$M$14:$M$73,$T48))))</f>
        <v>KHKD 2027&amp; HT lập KH theo tham số KD (bán tự động)</v>
      </c>
      <c r="I48" s="692" t="str">
        <f t="array" ref="I48">IF($S48="","",IF($S48="Lớp 5",INDEX('Lớp 5 - Phân công'!$P$14:$P$262,$T48),IF($S48="Lớp 4",INDEX('Lớp 4 - Danh mục'!$O$14:$O$132,$T48),"")))</f>
        <v>Xây dựng phần mềm &amp; Chạy Topdown thử nghiệm</v>
      </c>
      <c r="J48" s="693" t="str">
        <f t="array" ref="J48">IF($S48="","",IF($S48="Lớp 5",INDEX('Lớp 5 - Phân công'!$Q$14:$Q$262,$T48),""))</f>
        <v>Chốt số KH V1 2027 Total</v>
      </c>
      <c r="K48" s="690" t="str">
        <f t="array" ref="K48">IF($S48="","",IF($S48="Lớp 5",INDEX('Lớp 5 - Phân công'!$AA$14:$AA$262,$T48),IF($S48="Lớp 4",INDEX('Lớp 4 - Danh mục'!$Y$14:$Y$132,$T48),INDEX('Lớp 3 - Công việc chính'!$U$14:$U$73,$T48))))</f>
        <v>Em Đại</v>
      </c>
      <c r="L48" s="691" t="str">
        <f t="array" ref="L48">IF($S48="","",IF($S48="Lớp 5",INDEX('Lớp 5 - Phân công'!$Z$14:$Z$262,$T48),IF($S48="Lớp 4",INDEX('Lớp 4 - Danh mục'!$X$14:$X$132,$T48),INDEX('Lớp 3 - Công việc chính'!$W$14:$W$73,$T48))))</f>
        <v>Dữ liệu điều hành</v>
      </c>
      <c r="M48" s="694">
        <f t="array" ref="M48">IF($S48="","",IF($S48="Lớp 5",INDEX('Lớp 5 - Phân công'!$AD$14:$AD$262,$T48),IF($S48="Lớp 4",INDEX('Lớp 4 - Danh mục'!$AC$14:$AC$132,$T48),INDEX('Lớp 3 - Công việc chính'!$Z$14:$Z$73,$T48))))</f>
        <v>46318</v>
      </c>
      <c r="N48" s="695">
        <f t="array" ref="N48">IF($S48="","",IF($S48="Lớp 5",INDEX('Lớp 5 - Phân công'!$AE$14:$AE$262,$T48),IF($S48="Lớp 4",INDEX('Lớp 4 - Danh mục'!$AD$14:$AD$132,$T48),INDEX('Lớp 3 - Công việc chính'!$AA$14:$AA$73,$T48))))</f>
        <v>46331</v>
      </c>
      <c r="O48" s="690" t="str">
        <f t="array" ref="O48">IF($S48="","",IF($S48="Lớp 5",INDEX('Lớp 5 - Phân công'!$AB$14:$AB$262,$T48),IF($S48="Lớp 4",INDEX('Lớp 4 - Danh mục'!$AA$14:$AA$132,$T48),INDEX('Lớp 3 - Công việc chính'!$X$14:$X$73,$T48))))</f>
        <v>Đã lên lịch</v>
      </c>
      <c r="P48" s="703" t="str">
        <f t="array" ref="P48">IF($S48="","",IF($S48="Lớp 5",INDEX('Lớp 5 - Phân công'!$AC$14:$AC$262,$T48),IF($S48="Lớp 4",INDEX('Lớp 4 - Danh mục'!$AB$14:$AB$132,$T48),INDEX('Lớp 3 - Công việc chính'!$Y$14:$Y$73,$T48))))</f>
        <v>P2</v>
      </c>
      <c r="Q48" s="697" t="str">
        <f t="array" ref="Q48">IF($S48="","",IF($S48="Lớp 5",INDEX('Lớp 5 - Phân công'!$AG$14:$AG$262,$T48),IF($S48="Lớp 4",INDEX('Lớp 4 - Danh mục'!$AF$14:$AF$132,$T48),INDEX('Lớp 3 - Công việc chính'!$AC$14:$AC$73,$T48))))</f>
        <v/>
      </c>
      <c r="R48" s="698" t="str">
        <f t="array" ref="R48">IF($S48="","",IF($S48="Lớp 5",INDEX('Lớp 5 - Phân công'!$X$14:$X$262,$T48),IF($S48="Lớp 4",INDEX('Lớp 4 - Danh mục'!$V$14:$V$132,$T48),INDEX('Lớp 3 - Công việc chính'!$T$14:$T$73,$T48))))</f>
        <v>Bộ kết quả Bottom-up kế hoạch doanh thu khác theo từng nguồn được xác nhận.</v>
      </c>
      <c r="S48" s="699" t="str">
        <f>IF(ROWS($S$14:S48)&lt;=COUNTIF('Lớp 5 - Phân công'!$I$14:$I$262,"&lt;&gt;"),"Lớp 5",IF(ROWS($S$14:S48)&lt;=COUNTIF('Lớp 5 - Phân công'!$I$14:$I$262,"&lt;&gt;")+SUMPRODUCT(--('Lớp 4 - Danh mục'!$I$14:$I$132&lt;&gt;""),--(COUNTIF('Lớp 5 - Phân công'!$J$14:$J$262,'Lớp 4 - Danh mục'!$I$14:$I$132)=0)),"Lớp 4",IF(ROWS($S$14:S48)&lt;=COUNTIF('Lớp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8" s="699">
        <f t="array" ref="T48">IF(S48="","",IF(S48="Lớp 5",IF(S47&lt;&gt;"Lớp 5",MATCH("*",'Lớp 5 - Phân công'!$I$14:$I$262,0),T47+MATCH("*",INDEX('Lớp 5 - Phân công'!$I$14:$I$262,T47+1):'Lớp 5 - Phân công'!$I$262,0)),IF(S48="Lớp 4",IF(S47&lt;&gt;"Lớp 4",MATCH(1,INDEX(('Lớp 4 - Danh mục'!$I$14:$I$132&lt;&gt;"")*(COUNTIF('Lớp 5 - Phân công'!$J$14:$J$262,'Lớp 4 - Danh mục'!$I$14:$I$132)=0),0),0),T47+MATCH(1,INDEX((INDEX('Lớp 4 - Danh mục'!$I$14:$I$132,T47+1):'Lớp 4 - Danh mục'!$I$132&lt;&gt;"")*(COUNTIF('Lớp 5 - Phân công'!$J$14:$J$262,INDEX('Lớp 4 - Danh mục'!$I$14:$I$132,T47+1):'Lớp 4 - Danh mục'!$I$132)=0),0),0)),IF(S47&lt;&gt;"Lớp 3",MATCH(1,INDEX(('Lớp 3 - Công việc chính'!$I$14:$I$73&lt;&gt;"")*(COUNTIF('Lớp 4 - Danh mục'!$J$14:$J$132,'Lớp 3 - Công việc chính'!$I$14:$I$73)=0),0),0),T47+MATCH(1,INDEX((INDEX('Lớp 3 - Công việc chính'!$I$14:$I$73,T47+1):'Lớp 3 - Công việc chính'!$I$73&lt;&gt;"")*(COUNTIF('Lớp 4 - Danh mục'!$J$14:$J$132,INDEX('Lớp 3 - Công việc chính'!$I$14:$I$73,T47+1):'Lớp 3 - Công việc chính'!$I$73)=0),0),0)))))</f>
        <v>35</v>
      </c>
      <c r="U48" s="677"/>
      <c r="V48" s="678" t="str">
        <f>IF(U48="","",SUMIFS('Lớp 3 - Công việc chính'!$AF$14:$AF$73,'Lớp 3 - Công việc chính'!$V$14:$V$73,U48,'Lớp 3 - Công việc chính'!$Z$14:$Z$73,"&lt;="&amp;TODAY(),'Lớp 3 - Công việc chính'!$AA$14:$AA$73,"&gt;="&amp;TODAY())+SUMIFS('Lớp 4 - Danh mục'!$AI$14:$AI$132,'Lớp 4 - Danh mục'!$Z$14:$Z$132,U48,'Lớp 4 - Danh mục'!$AC$14:$AC$132,"&lt;="&amp;TODAY(),'Lớp 4 - Danh mục'!$AD$14:$AD$132,"&gt;="&amp;TODAY())+SUMIFS('Lớp 5 - Phân công'!$AJ$14:$AJ$262,'Lớp 5 - Phân công'!$AA$14:$AA$262,U48,'Lớp 5 - Phân công'!$AD$14:$AD$262,"&lt;="&amp;TODAY(),'Lớp 5 - Phân công'!$AE$14:$AE$262,"&gt;="&amp;TODAY())+SUMIFS('Lớp 6 - Chi tiết'!$AM$14:$AM$267,'Lớp 6 - Chi tiết'!$AC$14:$AC$267,U48,'Lớp 6 - Chi tiết'!$AG$14:$AG$267,"&lt;="&amp;TODAY(),'Lớp 6 - Chi tiết'!$AH$14:$AH$267,"&gt;="&amp;TODAY()))</f>
        <v/>
      </c>
      <c r="W48" s="679" t="str">
        <f>IF(V48="","",V48/'Danh mục chọn'!$J$2)</f>
        <v/>
      </c>
      <c r="X48" s="680" t="str">
        <f>IF(V48="","",IF(V48=0,"Chưa có tải tính được",IF(V48&gt;'Danh mục chọn'!$J$2,"Quá tải",IF(V48&gt;='Danh mục chọn'!$J$2*'Danh mục chọn'!$J$3,"Cận tải","Bình thường"))))</f>
        <v/>
      </c>
      <c r="Y48" s="678" t="str">
        <f>IF(U48="","",SUMPRODUCT(('Lớp 3 - Công việc chính'!$V$14:$V$73=U48)*('Lớp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mục'!$Z$14:$Z$132=U48)*('Lớp 4 - Danh mục'!$AD$14:$AD$132&lt;TODAY())*('Lớp 4 - Danh mục'!$AA$14:$AA$132&lt;&gt;"Hoàn thành")*('Lớp 4 - Danh mục'!$AA$14:$AA$132&lt;&gt;"Hủy")*('Lớp 4 - Danh mục'!$AI$14:$AI$132&lt;&gt;"")*IFERROR('Lớp 4 - Danh mục'!$AH$14:$AH$132*(1-'Lớp 4 - Danh mục'!$AF$14:$AF$132),0))+SUMPRODUCT(('Lớp 5 - Phân công'!$AA$14:$AA$262=U48)*('Lớp 5 - Phân công'!$AE$14:$AE$262&lt;TODAY())*('Lớp 5 - Phân công'!$AB$14:$AB$262&lt;&gt;"Hoàn thành")*('Lớp 5 - Phân công'!$AB$14:$AB$262&lt;&gt;"Hủy")*('Lớp 5 - Phân công'!$AJ$14:$AJ$262&lt;&gt;"")*IFERROR('Lớp 5 - Phân công'!$AI$14:$AI$262*(1-'Lớp 5 - Phân công'!$AG$14:$AG$262),0))+SUMPRODUCT(('Lớp 6 - Chi tiết'!$AC$14:$AC$267=U48)*('Lớp 6 - Chi tiết'!$AH$14:$AH$267&lt;TODAY())*('Lớp 6 - Chi tiết'!$AE$14:$AE$267&lt;&gt;"Hoàn thành")*('Lớp 6 - Chi tiết'!$AE$14:$AE$267&lt;&gt;"Hủy")*('Lớp 6 - Chi tiết'!$AM$14:$AM$267&lt;&gt;"")*IFERROR('Lớp 6 - Chi tiết'!$AL$14:$AL$267*(1-'Lớp 6 - Chi tiết'!$AJ$14:$AJ$267),0)))</f>
        <v/>
      </c>
      <c r="Z48" s="700" t="str">
        <f t="array" ref="Z48">IF($S48="","",IF($S48="Lớp 5",INDEX('Lớp 5 - Phân công'!$AS$14:$AS$262,$T48),IF($S48="Lớp 4",INDEX('Lớp 4 - Danh mục'!$AR$14:$AR$132,$T48),INDEX('Lớp 3 - Công việc chính'!$AO$14:$AO$73,$T48))))</f>
        <v>Tuần</v>
      </c>
      <c r="AA48" s="701">
        <f t="array" ref="AA48">IF($S48="","",IF($S48="Lớp 5",INDEX('Lớp 5 - Phân công'!$AT$14:$AT$262,$T48),IF($S48="Lớp 4",INDEX('Lớp 4 - Danh mục'!$AS$14:$AS$132,$T48),INDEX('Lớp 3 - Công việc chính'!$AP$14:$AP$73,$T48))))</f>
        <v>4</v>
      </c>
      <c r="AB48" s="701">
        <f t="array" ref="AB48">IF($S48="","",IF($S48="Lớp 5",INDEX('Lớp 5 - Phân công'!$AJ$14:$AJ$262,$T48),IF($S48="Lớp 4",INDEX('Lớp 4 - Danh mục'!$AI$14:$AI$132,$T48),INDEX('Lớp 3 - Công việc chính'!$AF$14:$AF$73,$T48))))</f>
        <v>0.8</v>
      </c>
      <c r="AC48" s="702" t="str">
        <f t="array" ref="AC48">IF($S48="","",IF($S48="Lớp 5",INDEX('Lớp 5 - Phân công'!$AV$14:$AV$262,$T48),IF($S48="Lớp 4",INDEX('Lớp 4 - Danh mục'!$AU$14:$AU$132,$T48),INDEX('Lớp 3 - Công việc chính'!$AR$14:$AR$73,$T48))))</f>
        <v>Thiếu 2.7 giờ/tuần</v>
      </c>
    </row>
    <row r="49" ht="15.75" customHeight="1">
      <c r="A49" s="690" t="str">
        <f t="shared" si="1"/>
        <v>Lớp 5</v>
      </c>
      <c r="B49" s="690" t="str">
        <f t="array" ref="B49">IF($S49="","",IF($S49="Lớp 5",INDEX('Lớp 5 - Phân công'!$I$14:$I$262,$T49),IF($S49="Lớp 4",INDEX('Lớp 4 - Danh mục'!$I$14:$I$132,$T49),INDEX('Lớp 3 - Công việc chính'!$I$14:$I$73,$T49))))</f>
        <v>HHL5RD01-02</v>
      </c>
      <c r="C49" s="690" t="str">
        <f t="array" ref="C49">IF($S49="","",IF($S49="Lớp 5",INDEX('Lớp 5 - Phân công'!$K$14:$K$262,$T49),IF($S49="Lớp 4",INDEX('Lớp 4 - Danh mục'!$J$14:$J$132,$T49),INDEX('Lớp 3 - Công việc chính'!$I$14:$I$73,$T49))))</f>
        <v/>
      </c>
      <c r="D49" s="690" t="str">
        <f t="array" ref="D49">IF($S49="","",IF($S49="Lớp 5",INDEX('Lớp 5 - Phân công'!$J$14:$J$262,$T49),IF($S49="Lớp 4",INDEX('Lớp 4 - Danh mục'!$I$14:$I$132,$T49),"")))</f>
        <v>HHL4RD26</v>
      </c>
      <c r="E49" s="690" t="str">
        <f t="array" ref="E49">IF($S49="","",IF($S49="Lớp 5",INDEX('Lớp 5 - Phân công'!$L$14:$L$262,$T49),IF($S49="Lớp 4",INDEX('Lớp 4 - Danh mục'!$K$14:$K$132,$T49),INDEX('Lớp 3 - Công việc chính'!$J$14:$J$73,$T49))))</f>
        <v/>
      </c>
      <c r="F49" s="690" t="str">
        <f t="array" ref="F49">IF($S49="","",IF($S49="Lớp 5",INDEX('Lớp 5 - Phân công'!$M$14:$M$262,$T49),IF($S49="Lớp 4",INDEX('Lớp 4 - Danh mục'!$L$14:$L$132,$T49),INDEX('Lớp 3 - Công việc chính'!$K$14:$K$73,$T49))))</f>
        <v/>
      </c>
      <c r="G49" s="691" t="str">
        <f t="array" ref="G49">IF($S49="","",IF($S49="Lớp 5",INDEX('Lớp 5 - Phân công'!$N$14:$N$262,$T49),IF($S49="Lớp 4",INDEX('Lớp 4 - Danh mục'!$M$14:$M$132,$T49),INDEX('Lớp 3 - Công việc chính'!$L$14:$L$73,$T49))))</f>
        <v/>
      </c>
      <c r="H49" s="692" t="str">
        <f t="array" ref="H49">IF($S49="","",IF($S49="Lớp 5",INDEX('Lớp 5 - Phân công'!$O$14:$O$262,$T49),IF($S49="Lớp 4",INDEX('Lớp 4 - Danh mục'!$N$14:$N$132,$T49),INDEX('Lớp 3 - Công việc chính'!$M$14:$M$73,$T49))))</f>
        <v/>
      </c>
      <c r="I49" s="692" t="str">
        <f t="array" ref="I49">IF($S49="","",IF($S49="Lớp 5",INDEX('Lớp 5 - Phân công'!$P$14:$P$262,$T49),IF($S49="Lớp 4",INDEX('Lớp 4 - Danh mục'!$O$14:$O$132,$T49),"")))</f>
        <v/>
      </c>
      <c r="J49" s="693" t="str">
        <f t="array" ref="J49">IF($S49="","",IF($S49="Lớp 5",INDEX('Lớp 5 - Phân công'!$Q$14:$Q$262,$T49),""))</f>
        <v>Báo cáo phân tích nội tại hiện trạng hàng HHa SX</v>
      </c>
      <c r="K49" s="690" t="str">
        <f t="array" ref="K49">IF($S49="","",IF($S49="Lớp 5",INDEX('Lớp 5 - Phân công'!$AA$14:$AA$262,$T49),IF($S49="Lớp 4",INDEX('Lớp 4 - Danh mục'!$Y$14:$Y$132,$T49),INDEX('Lớp 3 - Công việc chính'!$U$14:$U$73,$T49))))</f>
        <v/>
      </c>
      <c r="L49" s="691" t="str">
        <f t="array" ref="L49">IF($S49="","",IF($S49="Lớp 5",INDEX('Lớp 5 - Phân công'!$Z$14:$Z$262,$T49),IF($S49="Lớp 4",INDEX('Lớp 4 - Danh mục'!$X$14:$X$132,$T49),INDEX('Lớp 3 - Công việc chính'!$W$14:$W$73,$T49))))</f>
        <v/>
      </c>
      <c r="M49" s="694" t="str">
        <f t="array" ref="M49">IF($S49="","",IF($S49="Lớp 5",INDEX('Lớp 5 - Phân công'!$AD$14:$AD$262,$T49),IF($S49="Lớp 4",INDEX('Lớp 4 - Danh mục'!$AC$14:$AC$132,$T49),INDEX('Lớp 3 - Công việc chính'!$Z$14:$Z$73,$T49))))</f>
        <v/>
      </c>
      <c r="N49" s="695" t="str">
        <f t="array" ref="N49">IF($S49="","",IF($S49="Lớp 5",INDEX('Lớp 5 - Phân công'!$AE$14:$AE$262,$T49),IF($S49="Lớp 4",INDEX('Lớp 4 - Danh mục'!$AD$14:$AD$132,$T49),INDEX('Lớp 3 - Công việc chính'!$AA$14:$AA$73,$T49))))</f>
        <v/>
      </c>
      <c r="O49" s="690" t="str">
        <f t="array" ref="O49">IF($S49="","",IF($S49="Lớp 5",INDEX('Lớp 5 - Phân công'!$AB$14:$AB$262,$T49),IF($S49="Lớp 4",INDEX('Lớp 4 - Danh mục'!$AA$14:$AA$132,$T49),INDEX('Lớp 3 - Công việc chính'!$X$14:$X$73,$T49))))</f>
        <v/>
      </c>
      <c r="P49" s="703" t="str">
        <f t="array" ref="P49">IF($S49="","",IF($S49="Lớp 5",INDEX('Lớp 5 - Phân công'!$AC$14:$AC$262,$T49),IF($S49="Lớp 4",INDEX('Lớp 4 - Danh mục'!$AB$14:$AB$132,$T49),INDEX('Lớp 3 - Công việc chính'!$Y$14:$Y$73,$T49))))</f>
        <v/>
      </c>
      <c r="Q49" s="697">
        <f t="array" ref="Q49">IF($S49="","",IF($S49="Lớp 5",INDEX('Lớp 5 - Phân công'!$AG$14:$AG$262,$T49),IF($S49="Lớp 4",INDEX('Lớp 4 - Danh mục'!$AF$14:$AF$132,$T49),INDEX('Lớp 3 - Công việc chính'!$AC$14:$AC$73,$T49))))</f>
        <v>0</v>
      </c>
      <c r="R49" s="698" t="str">
        <f t="array" ref="R49">IF($S49="","",IF($S49="Lớp 5",INDEX('Lớp 5 - Phân công'!$X$14:$X$262,$T49),IF($S49="Lớp 4",INDEX('Lớp 4 - Danh mục'!$V$14:$V$132,$T49),INDEX('Lớp 3 - Công việc chính'!$T$14:$T$73,$T49))))</f>
        <v/>
      </c>
      <c r="S49" s="699" t="str">
        <f>IF(ROWS($S$14:S49)&lt;=COUNTIF('Lớp 5 - Phân công'!$I$14:$I$262,"&lt;&gt;"),"Lớp 5",IF(ROWS($S$14:S49)&lt;=COUNTIF('Lớp 5 - Phân công'!$I$14:$I$262,"&lt;&gt;")+SUMPRODUCT(--('Lớp 4 - Danh mục'!$I$14:$I$132&lt;&gt;""),--(COUNTIF('Lớp 5 - Phân công'!$J$14:$J$262,'Lớp 4 - Danh mục'!$I$14:$I$132)=0)),"Lớp 4",IF(ROWS($S$14:S49)&lt;=COUNTIF('Lớp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49" s="699">
        <f t="array" ref="T49">IF(S49="","",IF(S49="Lớp 5",IF(S48&lt;&gt;"Lớp 5",MATCH("*",'Lớp 5 - Phân công'!$I$14:$I$262,0),T48+MATCH("*",INDEX('Lớp 5 - Phân công'!$I$14:$I$262,T48+1):'Lớp 5 - Phân công'!$I$262,0)),IF(S49="Lớp 4",IF(S48&lt;&gt;"Lớp 4",MATCH(1,INDEX(('Lớp 4 - Danh mục'!$I$14:$I$132&lt;&gt;"")*(COUNTIF('Lớp 5 - Phân công'!$J$14:$J$262,'Lớp 4 - Danh mục'!$I$14:$I$132)=0),0),0),T48+MATCH(1,INDEX((INDEX('Lớp 4 - Danh mục'!$I$14:$I$132,T48+1):'Lớp 4 - Danh mục'!$I$132&lt;&gt;"")*(COUNTIF('Lớp 5 - Phân công'!$J$14:$J$262,INDEX('Lớp 4 - Danh mục'!$I$14:$I$132,T48+1):'Lớp 4 - Danh mục'!$I$132)=0),0),0)),IF(S48&lt;&gt;"Lớp 3",MATCH(1,INDEX(('Lớp 3 - Công việc chính'!$I$14:$I$73&lt;&gt;"")*(COUNTIF('Lớp 4 - Danh mục'!$J$14:$J$132,'Lớp 3 - Công việc chính'!$I$14:$I$73)=0),0),0),T48+MATCH(1,INDEX((INDEX('Lớp 3 - Công việc chính'!$I$14:$I$73,T48+1):'Lớp 3 - Công việc chính'!$I$73&lt;&gt;"")*(COUNTIF('Lớp 4 - Danh mục'!$J$14:$J$132,INDEX('Lớp 3 - Công việc chính'!$I$14:$I$73,T48+1):'Lớp 3 - Công việc chính'!$I$73)=0),0),0)))))</f>
        <v>37</v>
      </c>
      <c r="U49" s="677"/>
      <c r="V49" s="678" t="str">
        <f>IF(U49="","",SUMIFS('Lớp 3 - Công việc chính'!$AF$14:$AF$73,'Lớp 3 - Công việc chính'!$V$14:$V$73,U49,'Lớp 3 - Công việc chính'!$Z$14:$Z$73,"&lt;="&amp;TODAY(),'Lớp 3 - Công việc chính'!$AA$14:$AA$73,"&gt;="&amp;TODAY())+SUMIFS('Lớp 4 - Danh mục'!$AI$14:$AI$132,'Lớp 4 - Danh mục'!$Z$14:$Z$132,U49,'Lớp 4 - Danh mục'!$AC$14:$AC$132,"&lt;="&amp;TODAY(),'Lớp 4 - Danh mục'!$AD$14:$AD$132,"&gt;="&amp;TODAY())+SUMIFS('Lớp 5 - Phân công'!$AJ$14:$AJ$262,'Lớp 5 - Phân công'!$AA$14:$AA$262,U49,'Lớp 5 - Phân công'!$AD$14:$AD$262,"&lt;="&amp;TODAY(),'Lớp 5 - Phân công'!$AE$14:$AE$262,"&gt;="&amp;TODAY())+SUMIFS('Lớp 6 - Chi tiết'!$AM$14:$AM$267,'Lớp 6 - Chi tiết'!$AC$14:$AC$267,U49,'Lớp 6 - Chi tiết'!$AG$14:$AG$267,"&lt;="&amp;TODAY(),'Lớp 6 - Chi tiết'!$AH$14:$AH$267,"&gt;="&amp;TODAY()))</f>
        <v/>
      </c>
      <c r="W49" s="679" t="str">
        <f>IF(V49="","",V49/'Danh mục chọn'!$J$2)</f>
        <v/>
      </c>
      <c r="X49" s="680" t="str">
        <f>IF(V49="","",IF(V49=0,"Chưa có tải tính được",IF(V49&gt;'Danh mục chọn'!$J$2,"Quá tải",IF(V49&gt;='Danh mục chọn'!$J$2*'Danh mục chọn'!$J$3,"Cận tải","Bình thường"))))</f>
        <v/>
      </c>
      <c r="Y49" s="678" t="str">
        <f>IF(U49="","",SUMPRODUCT(('Lớp 3 - Công việc chính'!$V$14:$V$73=U49)*('Lớp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mục'!$Z$14:$Z$132=U49)*('Lớp 4 - Danh mục'!$AD$14:$AD$132&lt;TODAY())*('Lớp 4 - Danh mục'!$AA$14:$AA$132&lt;&gt;"Hoàn thành")*('Lớp 4 - Danh mục'!$AA$14:$AA$132&lt;&gt;"Hủy")*('Lớp 4 - Danh mục'!$AI$14:$AI$132&lt;&gt;"")*IFERROR('Lớp 4 - Danh mục'!$AH$14:$AH$132*(1-'Lớp 4 - Danh mục'!$AF$14:$AF$132),0))+SUMPRODUCT(('Lớp 5 - Phân công'!$AA$14:$AA$262=U49)*('Lớp 5 - Phân công'!$AE$14:$AE$262&lt;TODAY())*('Lớp 5 - Phân công'!$AB$14:$AB$262&lt;&gt;"Hoàn thành")*('Lớp 5 - Phân công'!$AB$14:$AB$262&lt;&gt;"Hủy")*('Lớp 5 - Phân công'!$AJ$14:$AJ$262&lt;&gt;"")*IFERROR('Lớp 5 - Phân công'!$AI$14:$AI$262*(1-'Lớp 5 - Phân công'!$AG$14:$AG$262),0))+SUMPRODUCT(('Lớp 6 - Chi tiết'!$AC$14:$AC$267=U49)*('Lớp 6 - Chi tiết'!$AH$14:$AH$267&lt;TODAY())*('Lớp 6 - Chi tiết'!$AE$14:$AE$267&lt;&gt;"Hoàn thành")*('Lớp 6 - Chi tiết'!$AE$14:$AE$267&lt;&gt;"Hủy")*('Lớp 6 - Chi tiết'!$AM$14:$AM$267&lt;&gt;"")*IFERROR('Lớp 6 - Chi tiết'!$AL$14:$AL$267*(1-'Lớp 6 - Chi tiết'!$AJ$14:$AJ$267),0)))</f>
        <v/>
      </c>
      <c r="Z49" s="700" t="str">
        <f t="array" ref="Z49">IF($S49="","",IF($S49="Lớp 5",INDEX('Lớp 5 - Phân công'!$AS$14:$AS$262,$T49),IF($S49="Lớp 4",INDEX('Lớp 4 - Danh mục'!$AR$14:$AR$132,$T49),INDEX('Lớp 3 - Công việc chính'!$AO$14:$AO$73,$T49))))</f>
        <v/>
      </c>
      <c r="AA49" s="701" t="str">
        <f t="array" ref="AA49">IF($S49="","",IF($S49="Lớp 5",INDEX('Lớp 5 - Phân công'!$AT$14:$AT$262,$T49),IF($S49="Lớp 4",INDEX('Lớp 4 - Danh mục'!$AS$14:$AS$132,$T49),INDEX('Lớp 3 - Công việc chính'!$AP$14:$AP$73,$T49))))</f>
        <v/>
      </c>
      <c r="AB49" s="701" t="str">
        <f t="array" ref="AB49">IF($S49="","",IF($S49="Lớp 5",INDEX('Lớp 5 - Phân công'!$AJ$14:$AJ$262,$T49),IF($S49="Lớp 4",INDEX('Lớp 4 - Danh mục'!$AI$14:$AI$132,$T49),INDEX('Lớp 3 - Công việc chính'!$AF$14:$AF$73,$T49))))</f>
        <v/>
      </c>
      <c r="AC49" s="702" t="str">
        <f t="array" ref="AC49">IF($S49="","",IF($S49="Lớp 5",INDEX('Lớp 5 - Phân công'!$AV$14:$AV$262,$T49),IF($S49="Lớp 4",INDEX('Lớp 4 - Danh mục'!$AU$14:$AU$132,$T49),INDEX('Lớp 3 - Công việc chính'!$AR$14:$AR$73,$T49))))</f>
        <v>Thiếu tổng giờ</v>
      </c>
    </row>
    <row r="50" ht="15.75" customHeight="1">
      <c r="A50" s="690" t="str">
        <f t="shared" si="1"/>
        <v>Lớp 5</v>
      </c>
      <c r="B50" s="690" t="str">
        <f t="array" ref="B50">IF($S50="","",IF($S50="Lớp 5",INDEX('Lớp 5 - Phân công'!$I$14:$I$262,$T50),IF($S50="Lớp 4",INDEX('Lớp 4 - Danh mục'!$I$14:$I$132,$T50),INDEX('Lớp 3 - Công việc chính'!$I$14:$I$73,$T50))))</f>
        <v>HHL5RD01-03</v>
      </c>
      <c r="C50" s="690" t="str">
        <f t="array" ref="C50">IF($S50="","",IF($S50="Lớp 5",INDEX('Lớp 5 - Phân công'!$K$14:$K$262,$T50),IF($S50="Lớp 4",INDEX('Lớp 4 - Danh mục'!$J$14:$J$132,$T50),INDEX('Lớp 3 - Công việc chính'!$I$14:$I$73,$T50))))</f>
        <v/>
      </c>
      <c r="D50" s="690" t="str">
        <f t="array" ref="D50">IF($S50="","",IF($S50="Lớp 5",INDEX('Lớp 5 - Phân công'!$J$14:$J$262,$T50),IF($S50="Lớp 4",INDEX('Lớp 4 - Danh mục'!$I$14:$I$132,$T50),"")))</f>
        <v>HHL4RD26</v>
      </c>
      <c r="E50" s="690" t="str">
        <f t="array" ref="E50">IF($S50="","",IF($S50="Lớp 5",INDEX('Lớp 5 - Phân công'!$L$14:$L$262,$T50),IF($S50="Lớp 4",INDEX('Lớp 4 - Danh mục'!$K$14:$K$132,$T50),INDEX('Lớp 3 - Công việc chính'!$J$14:$J$73,$T50))))</f>
        <v/>
      </c>
      <c r="F50" s="690" t="str">
        <f t="array" ref="F50">IF($S50="","",IF($S50="Lớp 5",INDEX('Lớp 5 - Phân công'!$M$14:$M$262,$T50),IF($S50="Lớp 4",INDEX('Lớp 4 - Danh mục'!$L$14:$L$132,$T50),INDEX('Lớp 3 - Công việc chính'!$K$14:$K$73,$T50))))</f>
        <v/>
      </c>
      <c r="G50" s="691" t="str">
        <f t="array" ref="G50">IF($S50="","",IF($S50="Lớp 5",INDEX('Lớp 5 - Phân công'!$N$14:$N$262,$T50),IF($S50="Lớp 4",INDEX('Lớp 4 - Danh mục'!$M$14:$M$132,$T50),INDEX('Lớp 3 - Công việc chính'!$L$14:$L$73,$T50))))</f>
        <v/>
      </c>
      <c r="H50" s="692" t="str">
        <f t="array" ref="H50">IF($S50="","",IF($S50="Lớp 5",INDEX('Lớp 5 - Phân công'!$O$14:$O$262,$T50),IF($S50="Lớp 4",INDEX('Lớp 4 - Danh mục'!$N$14:$N$132,$T50),INDEX('Lớp 3 - Công việc chính'!$M$14:$M$73,$T50))))</f>
        <v/>
      </c>
      <c r="I50" s="692" t="str">
        <f t="array" ref="I50">IF($S50="","",IF($S50="Lớp 5",INDEX('Lớp 5 - Phân công'!$P$14:$P$262,$T50),IF($S50="Lớp 4",INDEX('Lớp 4 - Danh mục'!$O$14:$O$132,$T50),"")))</f>
        <v/>
      </c>
      <c r="J50" s="693" t="str">
        <f t="array" ref="J50">IF($S50="","",IF($S50="Lớp 5",INDEX('Lớp 5 - Phân công'!$Q$14:$Q$262,$T50),""))</f>
        <v>Báo cáo phân tích NLSX</v>
      </c>
      <c r="K50" s="690" t="str">
        <f t="array" ref="K50">IF($S50="","",IF($S50="Lớp 5",INDEX('Lớp 5 - Phân công'!$AA$14:$AA$262,$T50),IF($S50="Lớp 4",INDEX('Lớp 4 - Danh mục'!$Y$14:$Y$132,$T50),INDEX('Lớp 3 - Công việc chính'!$U$14:$U$73,$T50))))</f>
        <v/>
      </c>
      <c r="L50" s="691" t="str">
        <f t="array" ref="L50">IF($S50="","",IF($S50="Lớp 5",INDEX('Lớp 5 - Phân công'!$Z$14:$Z$262,$T50),IF($S50="Lớp 4",INDEX('Lớp 4 - Danh mục'!$X$14:$X$132,$T50),INDEX('Lớp 3 - Công việc chính'!$W$14:$W$73,$T50))))</f>
        <v/>
      </c>
      <c r="M50" s="694" t="str">
        <f t="array" ref="M50">IF($S50="","",IF($S50="Lớp 5",INDEX('Lớp 5 - Phân công'!$AD$14:$AD$262,$T50),IF($S50="Lớp 4",INDEX('Lớp 4 - Danh mục'!$AC$14:$AC$132,$T50),INDEX('Lớp 3 - Công việc chính'!$Z$14:$Z$73,$T50))))</f>
        <v/>
      </c>
      <c r="N50" s="695" t="str">
        <f t="array" ref="N50">IF($S50="","",IF($S50="Lớp 5",INDEX('Lớp 5 - Phân công'!$AE$14:$AE$262,$T50),IF($S50="Lớp 4",INDEX('Lớp 4 - Danh mục'!$AD$14:$AD$132,$T50),INDEX('Lớp 3 - Công việc chính'!$AA$14:$AA$73,$T50))))</f>
        <v/>
      </c>
      <c r="O50" s="690" t="str">
        <f t="array" ref="O50">IF($S50="","",IF($S50="Lớp 5",INDEX('Lớp 5 - Phân công'!$AB$14:$AB$262,$T50),IF($S50="Lớp 4",INDEX('Lớp 4 - Danh mục'!$AA$14:$AA$132,$T50),INDEX('Lớp 3 - Công việc chính'!$X$14:$X$73,$T50))))</f>
        <v/>
      </c>
      <c r="P50" s="703" t="str">
        <f t="array" ref="P50">IF($S50="","",IF($S50="Lớp 5",INDEX('Lớp 5 - Phân công'!$AC$14:$AC$262,$T50),IF($S50="Lớp 4",INDEX('Lớp 4 - Danh mục'!$AB$14:$AB$132,$T50),INDEX('Lớp 3 - Công việc chính'!$Y$14:$Y$73,$T50))))</f>
        <v/>
      </c>
      <c r="Q50" s="697">
        <f t="array" ref="Q50">IF($S50="","",IF($S50="Lớp 5",INDEX('Lớp 5 - Phân công'!$AG$14:$AG$262,$T50),IF($S50="Lớp 4",INDEX('Lớp 4 - Danh mục'!$AF$14:$AF$132,$T50),INDEX('Lớp 3 - Công việc chính'!$AC$14:$AC$73,$T50))))</f>
        <v>0</v>
      </c>
      <c r="R50" s="698" t="str">
        <f t="array" ref="R50">IF($S50="","",IF($S50="Lớp 5",INDEX('Lớp 5 - Phân công'!$X$14:$X$262,$T50),IF($S50="Lớp 4",INDEX('Lớp 4 - Danh mục'!$V$14:$V$132,$T50),INDEX('Lớp 3 - Công việc chính'!$T$14:$T$73,$T50))))</f>
        <v/>
      </c>
      <c r="S50" s="699" t="str">
        <f>IF(ROWS($S$14:S50)&lt;=COUNTIF('Lớp 5 - Phân công'!$I$14:$I$262,"&lt;&gt;"),"Lớp 5",IF(ROWS($S$14:S50)&lt;=COUNTIF('Lớp 5 - Phân công'!$I$14:$I$262,"&lt;&gt;")+SUMPRODUCT(--('Lớp 4 - Danh mục'!$I$14:$I$132&lt;&gt;""),--(COUNTIF('Lớp 5 - Phân công'!$J$14:$J$262,'Lớp 4 - Danh mục'!$I$14:$I$132)=0)),"Lớp 4",IF(ROWS($S$14:S50)&lt;=COUNTIF('Lớp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50" s="699">
        <f t="array" ref="T50">IF(S50="","",IF(S50="Lớp 5",IF(S49&lt;&gt;"Lớp 5",MATCH("*",'Lớp 5 - Phân công'!$I$14:$I$262,0),T49+MATCH("*",INDEX('Lớp 5 - Phân công'!$I$14:$I$262,T49+1):'Lớp 5 - Phân công'!$I$262,0)),IF(S50="Lớp 4",IF(S49&lt;&gt;"Lớp 4",MATCH(1,INDEX(('Lớp 4 - Danh mục'!$I$14:$I$132&lt;&gt;"")*(COUNTIF('Lớp 5 - Phân công'!$J$14:$J$262,'Lớp 4 - Danh mục'!$I$14:$I$132)=0),0),0),T49+MATCH(1,INDEX((INDEX('Lớp 4 - Danh mục'!$I$14:$I$132,T49+1):'Lớp 4 - Danh mục'!$I$132&lt;&gt;"")*(COUNTIF('Lớp 5 - Phân công'!$J$14:$J$262,INDEX('Lớp 4 - Danh mục'!$I$14:$I$132,T49+1):'Lớp 4 - Danh mục'!$I$132)=0),0),0)),IF(S49&lt;&gt;"Lớp 3",MATCH(1,INDEX(('Lớp 3 - Công việc chính'!$I$14:$I$73&lt;&gt;"")*(COUNTIF('Lớp 4 - Danh mục'!$J$14:$J$132,'Lớp 3 - Công việc chính'!$I$14:$I$73)=0),0),0),T49+MATCH(1,INDEX((INDEX('Lớp 3 - Công việc chính'!$I$14:$I$73,T49+1):'Lớp 3 - Công việc chính'!$I$73&lt;&gt;"")*(COUNTIF('Lớp 4 - Danh mục'!$J$14:$J$132,INDEX('Lớp 3 - Công việc chính'!$I$14:$I$73,T49+1):'Lớp 3 - Công việc chính'!$I$73)=0),0),0)))))</f>
        <v>38</v>
      </c>
      <c r="U50" s="677"/>
      <c r="V50" s="678" t="str">
        <f>IF(U50="","",SUMIFS('Lớp 3 - Công việc chính'!$AF$14:$AF$73,'Lớp 3 - Công việc chính'!$V$14:$V$73,U50,'Lớp 3 - Công việc chính'!$Z$14:$Z$73,"&lt;="&amp;TODAY(),'Lớp 3 - Công việc chính'!$AA$14:$AA$73,"&gt;="&amp;TODAY())+SUMIFS('Lớp 4 - Danh mục'!$AI$14:$AI$132,'Lớp 4 - Danh mục'!$Z$14:$Z$132,U50,'Lớp 4 - Danh mục'!$AC$14:$AC$132,"&lt;="&amp;TODAY(),'Lớp 4 - Danh mục'!$AD$14:$AD$132,"&gt;="&amp;TODAY())+SUMIFS('Lớp 5 - Phân công'!$AJ$14:$AJ$262,'Lớp 5 - Phân công'!$AA$14:$AA$262,U50,'Lớp 5 - Phân công'!$AD$14:$AD$262,"&lt;="&amp;TODAY(),'Lớp 5 - Phân công'!$AE$14:$AE$262,"&gt;="&amp;TODAY())+SUMIFS('Lớp 6 - Chi tiết'!$AM$14:$AM$267,'Lớp 6 - Chi tiết'!$AC$14:$AC$267,U50,'Lớp 6 - Chi tiết'!$AG$14:$AG$267,"&lt;="&amp;TODAY(),'Lớp 6 - Chi tiết'!$AH$14:$AH$267,"&gt;="&amp;TODAY()))</f>
        <v/>
      </c>
      <c r="W50" s="679" t="str">
        <f>IF(V50="","",V50/'Danh mục chọn'!$J$2)</f>
        <v/>
      </c>
      <c r="X50" s="680" t="str">
        <f>IF(V50="","",IF(V50=0,"Chưa có tải tính được",IF(V50&gt;'Danh mục chọn'!$J$2,"Quá tải",IF(V50&gt;='Danh mục chọn'!$J$2*'Danh mục chọn'!$J$3,"Cận tải","Bình thường"))))</f>
        <v/>
      </c>
      <c r="Y50" s="678" t="str">
        <f>IF(U50="","",SUMPRODUCT(('Lớp 3 - Công việc chính'!$V$14:$V$73=U50)*('Lớp 3 - Công việc chính'!$AA$14:$AA$73&lt;TODAY())*('Lớp 3 - Công việc chính'!$X$14:$X$73&lt;&gt;"Hoàn thành")*('Lớp 3 - Công việc chính'!$X$14:$X$73&lt;&gt;"Hủy")*('Lớp 3 - Công việc chính'!$AF$14:$AF$73&lt;&gt;"")*IFERROR('Lớp 3 - Công việc chính'!$AE$14:$AE$73*(1-'Lớp 3 - Công việc chính'!$AC$14:$AC$73),0))+SUMPRODUCT(('Lớp 4 - Danh mục'!$Z$14:$Z$132=U50)*('Lớp 4 - Danh mục'!$AD$14:$AD$132&lt;TODAY())*('Lớp 4 - Danh mục'!$AA$14:$AA$132&lt;&gt;"Hoàn thành")*('Lớp 4 - Danh mục'!$AA$14:$AA$132&lt;&gt;"Hủy")*('Lớp 4 - Danh mục'!$AI$14:$AI$132&lt;&gt;"")*IFERROR('Lớp 4 - Danh mục'!$AH$14:$AH$132*(1-'Lớp 4 - Danh mục'!$AF$14:$AF$132),0))+SUMPRODUCT(('Lớp 5 - Phân công'!$AA$14:$AA$262=U50)*('Lớp 5 - Phân công'!$AE$14:$AE$262&lt;TODAY())*('Lớp 5 - Phân công'!$AB$14:$AB$262&lt;&gt;"Hoàn thành")*('Lớp 5 - Phân công'!$AB$14:$AB$262&lt;&gt;"Hủy")*('Lớp 5 - Phân công'!$AJ$14:$AJ$262&lt;&gt;"")*IFERROR('Lớp 5 - Phân công'!$AI$14:$AI$262*(1-'Lớp 5 - Phân công'!$AG$14:$AG$262),0))+SUMPRODUCT(('Lớp 6 - Chi tiết'!$AC$14:$AC$267=U50)*('Lớp 6 - Chi tiết'!$AH$14:$AH$267&lt;TODAY())*('Lớp 6 - Chi tiết'!$AE$14:$AE$267&lt;&gt;"Hoàn thành")*('Lớp 6 - Chi tiết'!$AE$14:$AE$267&lt;&gt;"Hủy")*('Lớp 6 - Chi tiết'!$AM$14:$AM$267&lt;&gt;"")*IFERROR('Lớp 6 - Chi tiết'!$AL$14:$AL$267*(1-'Lớp 6 - Chi tiết'!$AJ$14:$AJ$267),0)))</f>
        <v/>
      </c>
      <c r="Z50" s="700" t="str">
        <f t="array" ref="Z50">IF($S50="","",IF($S50="Lớp 5",INDEX('Lớp 5 - Phân công'!$AS$14:$AS$262,$T50),IF($S50="Lớp 4",INDEX('Lớp 4 - Danh mục'!$AR$14:$AR$132,$T50),INDEX('Lớp 3 - Công việc chính'!$AO$14:$AO$73,$T50))))</f>
        <v/>
      </c>
      <c r="AA50" s="701" t="str">
        <f t="array" ref="AA50">IF($S50="","",IF($S50="Lớp 5",INDEX('Lớp 5 - Phân công'!$AT$14:$AT$262,$T50),IF($S50="Lớp 4",INDEX('Lớp 4 - Danh mục'!$AS$14:$AS$132,$T50),INDEX('Lớp 3 - Công việc chính'!$AP$14:$AP$73,$T50))))</f>
        <v/>
      </c>
      <c r="AB50" s="701" t="str">
        <f t="array" ref="AB50">IF($S50="","",IF($S50="Lớp 5",INDEX('Lớp 5 - Phân công'!$AJ$14:$AJ$262,$T50),IF($S50="Lớp 4",INDEX('Lớp 4 - Danh mục'!$AI$14:$AI$132,$T50),INDEX('Lớp 3 - Công việc chính'!$AF$14:$AF$73,$T50))))</f>
        <v/>
      </c>
      <c r="AC50" s="702" t="str">
        <f t="array" ref="AC50">IF($S50="","",IF($S50="Lớp 5",INDEX('Lớp 5 - Phân công'!$AV$14:$AV$262,$T50),IF($S50="Lớp 4",INDEX('Lớp 4 - Danh mục'!$AU$14:$AU$132,$T50),INDEX('Lớp 3 - Công việc chính'!$AR$14:$AR$73,$T50))))</f>
        <v>Thiếu tổng giờ</v>
      </c>
    </row>
    <row r="51" ht="15.75" customHeight="1">
      <c r="A51" s="690" t="str">
        <f t="shared" si="1"/>
        <v>Lớp 5</v>
      </c>
      <c r="B51" s="690" t="str">
        <f t="array" ref="B51">IF($S51="","",IF($S51="Lớp 5",INDEX('Lớp 5 - Phân công'!$I$14:$I$262,$T51),IF($S51="Lớp 4",INDEX('Lớp 4 - Danh mục'!$I$14:$I$132,$T51),INDEX('Lớp 3 - Công việc chính'!$I$14:$I$73,$T51))))</f>
        <v>#N/A</v>
      </c>
      <c r="C51" s="690" t="str">
        <f t="array" ref="C51">IF($S51="","",IF($S51="Lớp 5",INDEX('Lớp 5 - Phân công'!$K$14:$K$262,$T51),IF($S51="Lớp 4",INDEX('Lớp 4 - Danh mục'!$J$14:$J$132,$T51),INDEX('Lớp 3 - Công việc chính'!$I$14:$I$73,$T51))))</f>
        <v>#N/A</v>
      </c>
      <c r="D51" s="690" t="str">
        <f t="array" ref="D51">IF($S51="","",IF($S51="Lớp 5",INDEX('Lớp 5 - Phân công'!$J$14:$J$262,$T51),IF($S51="Lớp 4",INDEX('Lớp 4 - Danh mục'!$I$14:$I$132,$T51),"")))</f>
        <v>#N/A</v>
      </c>
      <c r="E51" s="690" t="str">
        <f t="array" ref="E51">IF($S51="","",IF($S51="Lớp 5",INDEX('Lớp 5 - Phân công'!$L$14:$L$262,$T51),IF($S51="Lớp 4",INDEX('Lớp 4 - Danh mục'!$K$14:$K$132,$T51),INDEX('Lớp 3 - Công việc chính'!$J$14:$J$73,$T51))))</f>
        <v>#N/A</v>
      </c>
      <c r="F51" s="690" t="str">
        <f t="array" ref="F51">IF($S51="","",IF($S51="Lớp 5",INDEX('Lớp 5 - Phân công'!$M$14:$M$262,$T51),IF($S51="Lớp 4",INDEX('Lớp 4 - Danh mục'!$L$14:$L$132,$T51),INDEX('Lớp 3 - Công việc chính'!$K$14:$K$73,$T51))))</f>
        <v>#N/A</v>
      </c>
      <c r="G51" s="691" t="str">
        <f t="array" ref="G51">IF($S51="","",IF($S51="Lớp 5",INDEX('Lớp 5 - Phân công'!$N$14:$N$262,$T51),IF($S51="Lớp 4",INDEX('Lớp 4 - Danh mục'!$M$14:$M$132,$T51),INDEX('Lớp 3 - Công việc chính'!$L$14:$L$73,$T51))))</f>
        <v>#N/A</v>
      </c>
      <c r="H51" s="692" t="str">
        <f t="array" ref="H51">IF($S51="","",IF($S51="Lớp 5",INDEX('Lớp 5 - Phân công'!$O$14:$O$262,$T51),IF($S51="Lớp 4",INDEX('Lớp 4 - Danh mục'!$N$14:$N$132,$T51),INDEX('Lớp 3 - Công việc chính'!$M$14:$M$73,$T51))))</f>
        <v>#N/A</v>
      </c>
      <c r="I51" s="692" t="str">
        <f t="array" ref="I51">IF($S51="","",IF($S51="Lớp 5",INDEX('Lớp 5 - Phân công'!$P$14:$P$262,$T51),IF($S51="Lớp 4",INDEX('Lớp 4 - Danh mục'!$O$14:$O$132,$T51),"")))</f>
        <v>#N/A</v>
      </c>
      <c r="J51" s="693" t="str">
        <f t="array" ref="J51">IF($S51="","",IF($S51="Lớp 5",INDEX('Lớp 5 - Phân công'!$Q$14:$Q$262,$T51),""))</f>
        <v>#N/A</v>
      </c>
      <c r="K51" s="690" t="str">
        <f t="array" ref="K51">IF($S51="","",IF($S51="Lớp 5",INDEX('Lớp 5 - Phân công'!$AA$14:$AA$262,$T51),IF($S51="Lớp 4",INDEX('Lớp 4 - Danh mục'!$Y$14:$Y$132,$T51),INDEX('Lớp 3 - Công việc chính'!$U$14:$U$73,$T51))))</f>
        <v>#N/A</v>
      </c>
      <c r="L51" s="691" t="str">
        <f t="array" ref="L51">IF($S51="","",IF($S51="Lớp 5",INDEX('Lớp 5 - Phân công'!$Z$14:$Z$262,$T51),IF($S51="Lớp 4",INDEX('Lớp 4 - Danh mục'!$X$14:$X$132,$T51),INDEX('Lớp 3 - Công việc chính'!$W$14:$W$73,$T51))))</f>
        <v>#N/A</v>
      </c>
      <c r="M51" s="694" t="str">
        <f t="array" ref="M51">IF($S51="","",IF($S51="Lớp 5",INDEX('Lớp 5 - Phân công'!$AD$14:$AD$262,$T51),IF($S51="Lớp 4",INDEX('Lớp 4 - Danh mục'!$AC$14:$AC$132,$T51),INDEX('Lớp 3 - Công việc chính'!$Z$14:$Z$73,$T51))))</f>
        <v>#N/A</v>
      </c>
      <c r="N51" s="695" t="str">
        <f t="array" ref="N51">IF($S51="","",IF($S51="Lớp 5",INDEX('Lớp 5 - Phân công'!$AE$14:$AE$262,$T51),IF($S51="Lớp 4",INDEX('Lớp 4 - Danh mục'!$AD$14:$AD$132,$T51),INDEX('Lớp 3 - Công việc chính'!$AA$14:$AA$73,$T51))))</f>
        <v>#N/A</v>
      </c>
      <c r="O51" s="690" t="str">
        <f t="array" ref="O51">IF($S51="","",IF($S51="Lớp 5",INDEX('Lớp 5 - Phân công'!$AB$14:$AB$262,$T51),IF($S51="Lớp 4",INDEX('Lớp 4 - Danh mục'!$AA$14:$AA$132,$T51),INDEX('Lớp 3 - Công việc chính'!$X$14:$X$73,$T51))))</f>
        <v>#N/A</v>
      </c>
      <c r="P51" s="703" t="str">
        <f t="array" ref="P51">IF($S51="","",IF($S51="Lớp 5",INDEX('Lớp 5 - Phân công'!$AC$14:$AC$262,$T51),IF($S51="Lớp 4",INDEX('Lớp 4 - Danh mục'!$AB$14:$AB$132,$T51),INDEX('Lớp 3 - Công việc chính'!$Y$14:$Y$73,$T51))))</f>
        <v>#N/A</v>
      </c>
      <c r="Q51" s="697" t="str">
        <f t="array" ref="Q51">IF($S51="","",IF($S51="Lớp 5",INDEX('Lớp 5 - Phân công'!$AG$14:$AG$262,$T51),IF($S51="Lớp 4",INDEX('Lớp 4 - Danh mục'!$AF$14:$AF$132,$T51),INDEX('Lớp 3 - Công việc chính'!$AC$14:$AC$73,$T51))))</f>
        <v>#N/A</v>
      </c>
      <c r="R51" s="698" t="str">
        <f t="array" ref="R51">IF($S51="","",IF($S51="Lớp 5",INDEX('Lớp 5 - Phân công'!$X$14:$X$262,$T51),IF($S51="Lớp 4",INDEX('Lớp 4 - Danh mục'!$V$14:$V$132,$T51),INDEX('Lớp 3 - Công việc chính'!$T$14:$T$73,$T51))))</f>
        <v>#N/A</v>
      </c>
      <c r="S51" s="699" t="str">
        <f>IF(ROWS($S$14:S51)&lt;=COUNTIF('Lớp 5 - Phân công'!$I$14:$I$262,"&lt;&gt;"),"Lớp 5",IF(ROWS($S$14:S51)&lt;=COUNTIF('Lớp 5 - Phân công'!$I$14:$I$262,"&lt;&gt;")+SUMPRODUCT(--('Lớp 4 - Danh mục'!$I$14:$I$132&lt;&gt;""),--(COUNTIF('Lớp 5 - Phân công'!$J$14:$J$262,'Lớp 4 - Danh mục'!$I$14:$I$132)=0)),"Lớp 4",IF(ROWS($S$14:S51)&lt;=COUNTIF('Lớp 5 - Phân công'!$I$14:$I$262,"&lt;&gt;")+SUMPRODUCT(--('Lớp 4 - Danh mục'!$I$14:$I$132&lt;&gt;""),--(COUNTIF('Lớp 5 - Phân công'!$J$14:$J$262,'Lớp 4 - Danh mục'!$I$14:$I$132)=0))+SUMPRODUCT(--('Lớp 3 - Công việc chính'!$I$14:$I$73&lt;&gt;""),--(COUNTIF('Lớp 4 - Danh mục'!$J$14:$J$132,'Lớp 3 - Công việc chính'!$I$14:$I$73)=0)),"Lớp 3","")))</f>
        <v>Lớp 5</v>
      </c>
      <c r="T51" s="699" t="str">
        <f t="array" ref="T51">IF(S51="","",IF(S51="Lớp 5",IF(S50&lt;&gt;"Lớp 5",MATCH("*",'Lớp 5 - Phân công'!$I$14:$I$262,0),T50+MATCH("*",INDEX('Lớp 5 - Phân công'!$I$14:$I$262,T50+1):'Lớp 5 - Phân công'!$I$262,0)),IF(S51="Lớp 4",IF(S50&lt;&gt;"Lớp 4",MATCH(1,INDEX(('Lớp 4 - Danh mục'!$I$14:$I$132&lt;&gt;"")*(COUNTIF('Lớp 5 - Phân công'!$J$14:$J$262,'Lớp 4 - Danh mục'!$I$14:$I$132)=0),0),0),T50+MATCH(1,INDEX((INDEX('Lớp 4 - Danh mục'!$I$14:$I$132,T50+1):'Lớp 4 - Danh mục'!$I$132&lt;&gt;"")*(COUNTIF('Lớp 5 - Phân công'!$J$14:$J$262,INDEX('Lớp 4 - Danh mục'!$I$14:$I$132,T50+1):'Lớp 4 - Danh mục'!$I$132)=0),0),0)),IF(S50&lt;&gt;"Lớp 3",MATCH(1,INDEX(('Lớp 3 - Công việc chính'!$I$14:$I$73&lt;&gt;"")*(COUNTIF('Lớp 4 - Danh mục'!$J$14:$J$132,'Lớp 3 - Công việc chính'!$I$14:$I$73)=0),0),0),T50+MATCH(1,INDEX((INDEX('Lớp 3 - Công việc chính'!$I$14:$I$73,T50+1):'Lớp 3 - Công việc chính'!$I$73&lt;&gt;"")*(COUNTIF('Lớp 4 - Danh mục'!$J$14:$J$132,INDEX('Lớp 3 - Công việc chính'!$I$14:$I$73,T50+1):'Lớp 3 - Công việc chính'!$I$73)=0),0),0)))))</f>
        <v>#N/A</v>
      </c>
      <c r="Z51" s="700" t="str">
        <f t="array" ref="Z51">IF($S51="","",IF($S51="Lớp 5",INDEX('Lớp 5 - Phân công'!$AS$14:$AS$262,$T51),IF($S51="Lớp 4",INDEX('Lớp 4 - Danh mục'!$AR$14:$AR$132,$T51),INDEX('Lớp 3 - Công việc chính'!$AO$14:$AO$73,$T51))))</f>
        <v>#N/A</v>
      </c>
      <c r="AA51" s="701" t="str">
        <f t="array" ref="AA51">IF($S51="","",IF($S51="Lớp 5",INDEX('Lớp 5 - Phân công'!$AT$14:$AT$262,$T51),IF($S51="Lớp 4",INDEX('Lớp 4 - Danh mục'!$AS$14:$AS$132,$T51),INDEX('Lớp 3 - Công việc chính'!$AP$14:$AP$73,$T51))))</f>
        <v>#N/A</v>
      </c>
      <c r="AB51" s="701" t="str">
        <f t="array" ref="AB51">IF($S51="","",IF($S51="Lớp 5",INDEX('Lớp 5 - Phân công'!$AJ$14:$AJ$262,$T51),IF($S51="Lớp 4",INDEX('Lớp 4 - Danh mục'!$AI$14:$AI$132,$T51),INDEX('Lớp 3 - Công việc chính'!$AF$14:$AF$73,$T51))))</f>
        <v>#N/A</v>
      </c>
      <c r="AC51" s="702" t="str">
        <f t="array" ref="AC51">IF($S51="","",IF($S51="Lớp 5",INDEX('Lớp 5 - Phân công'!$AV$14:$AV$262,$T51),IF($S51="Lớp 4",INDEX('Lớp 4 - Danh mục'!$AU$14:$AU$132,$T51),INDEX('Lớp 3 - Công việc chính'!$AR$14:$AR$73,$T51))))</f>
        <v>#N/A</v>
      </c>
    </row>
    <row r="52" ht="15.75" customHeight="1">
      <c r="A52" s="690" t="str">
        <f t="shared" si="1"/>
        <v>#REF!</v>
      </c>
      <c r="B52" s="690" t="str">
        <f t="array" ref="B52">IF($S52="","",IF($S52="Lớp 5",INDEX('Lớp 5 - Phân công'!$I$14:$I$262,$T52),IF($S52="Lớp 4",INDEX('Lớp 4 - Danh mục'!$I$14:$I$132,$T52),INDEX('Lớp 3 - Công việc chính'!$I$14:$I$73,$T52))))</f>
        <v>#REF!</v>
      </c>
      <c r="C52" s="690" t="str">
        <f t="array" ref="C52">IF($S52="","",IF($S52="Lớp 5",INDEX('Lớp 5 - Phân công'!$K$14:$K$262,$T52),IF($S52="Lớp 4",INDEX('Lớp 4 - Danh mục'!$J$14:$J$132,$T52),INDEX('Lớp 3 - Công việc chính'!$I$14:$I$73,$T52))))</f>
        <v>#REF!</v>
      </c>
      <c r="D52" s="690" t="str">
        <f t="array" ref="D52">IF($S52="","",IF($S52="Lớp 5",INDEX('Lớp 5 - Phân công'!$J$14:$J$262,$T52),IF($S52="Lớp 4",INDEX('Lớp 4 - Danh mục'!$I$14:$I$132,$T52),"")))</f>
        <v>#REF!</v>
      </c>
      <c r="E52" s="690" t="str">
        <f t="array" ref="E52">IF($S52="","",IF($S52="Lớp 5",INDEX('Lớp 5 - Phân công'!$L$14:$L$262,$T52),IF($S52="Lớp 4",INDEX('Lớp 4 - Danh mục'!$K$14:$K$132,$T52),INDEX('Lớp 3 - Công việc chính'!$J$14:$J$73,$T52))))</f>
        <v>#REF!</v>
      </c>
      <c r="F52" s="690" t="str">
        <f t="array" ref="F52">IF($S52="","",IF($S52="Lớp 5",INDEX('Lớp 5 - Phân công'!$M$14:$M$262,$T52),IF($S52="Lớp 4",INDEX('Lớp 4 - Danh mục'!$L$14:$L$132,$T52),INDEX('Lớp 3 - Công việc chính'!$K$14:$K$73,$T52))))</f>
        <v>#REF!</v>
      </c>
      <c r="G52" s="691" t="str">
        <f t="array" ref="G52">IF($S52="","",IF($S52="Lớp 5",INDEX('Lớp 5 - Phân công'!$N$14:$N$262,$T52),IF($S52="Lớp 4",INDEX('Lớp 4 - Danh mục'!$M$14:$M$132,$T52),INDEX('Lớp 3 - Công việc chính'!$L$14:$L$73,$T52))))</f>
        <v>#REF!</v>
      </c>
      <c r="H52" s="692" t="str">
        <f t="array" ref="H52">IF($S52="","",IF($S52="Lớp 5",INDEX('Lớp 5 - Phân công'!$O$14:$O$262,$T52),IF($S52="Lớp 4",INDEX('Lớp 4 - Danh mục'!$N$14:$N$132,$T52),INDEX('Lớp 3 - Công việc chính'!$M$14:$M$73,$T52))))</f>
        <v>#REF!</v>
      </c>
      <c r="I52" s="692" t="str">
        <f t="array" ref="I52">IF($S52="","",IF($S52="Lớp 5",INDEX('Lớp 5 - Phân công'!$P$14:$P$262,$T52),IF($S52="Lớp 4",INDEX('Lớp 4 - Danh mục'!$O$14:$O$132,$T52),"")))</f>
        <v>#REF!</v>
      </c>
      <c r="J52" s="693" t="str">
        <f t="array" ref="J52">IF($S52="","",IF($S52="Lớp 5",INDEX('Lớp 5 - Phân công'!$Q$14:$Q$262,$T52),""))</f>
        <v>#REF!</v>
      </c>
      <c r="K52" s="690" t="str">
        <f t="array" ref="K52">IF($S52="","",IF($S52="Lớp 5",INDEX('Lớp 5 - Phân công'!$AA$14:$AA$262,$T52),IF($S52="Lớp 4",INDEX('Lớp 4 - Danh mục'!$Y$14:$Y$132,$T52),INDEX('Lớp 3 - Công việc chính'!$U$14:$U$73,$T52))))</f>
        <v>#REF!</v>
      </c>
      <c r="L52" s="691" t="str">
        <f t="array" ref="L52">IF($S52="","",IF($S52="Lớp 5",INDEX('Lớp 5 - Phân công'!$Z$14:$Z$262,$T52),IF($S52="Lớp 4",INDEX('Lớp 4 - Danh mục'!$X$14:$X$132,$T52),INDEX('Lớp 3 - Công việc chính'!$W$14:$W$73,$T52))))</f>
        <v>#REF!</v>
      </c>
      <c r="M52" s="694" t="str">
        <f t="array" ref="M52">IF($S52="","",IF($S52="Lớp 5",INDEX('Lớp 5 - Phân công'!$AD$14:$AD$262,$T52),IF($S52="Lớp 4",INDEX('Lớp 4 - Danh mục'!$AC$14:$AC$132,$T52),INDEX('Lớp 3 - Công việc chính'!$Z$14:$Z$73,$T52))))</f>
        <v>#REF!</v>
      </c>
      <c r="N52" s="695" t="str">
        <f t="array" ref="N52">IF($S52="","",IF($S52="Lớp 5",INDEX('Lớp 5 - Phân công'!$AE$14:$AE$262,$T52),IF($S52="Lớp 4",INDEX('Lớp 4 - Danh mục'!$AD$14:$AD$132,$T52),INDEX('Lớp 3 - Công việc chính'!$AA$14:$AA$73,$T52))))</f>
        <v>#REF!</v>
      </c>
      <c r="O52" s="690" t="str">
        <f t="array" ref="O52">IF($S52="","",IF($S52="Lớp 5",INDEX('Lớp 5 - Phân công'!$AB$14:$AB$262,$T52),IF($S52="Lớp 4",INDEX('Lớp 4 - Danh mục'!$AA$14:$AA$132,$T52),INDEX('Lớp 3 - Công việc chính'!$X$14:$X$73,$T52))))</f>
        <v>#REF!</v>
      </c>
      <c r="P52" s="703" t="str">
        <f t="array" ref="P52">IF($S52="","",IF($S52="Lớp 5",INDEX('Lớp 5 - Phân công'!$AC$14:$AC$262,$T52),IF($S52="Lớp 4",INDEX('Lớp 4 - Danh mục'!$AB$14:$AB$132,$T52),INDEX('Lớp 3 - Công việc chính'!$Y$14:$Y$73,$T52))))</f>
        <v>#REF!</v>
      </c>
      <c r="Q52" s="697" t="str">
        <f t="array" ref="Q52">IF($S52="","",IF($S52="Lớp 5",INDEX('Lớp 5 - Phân công'!$AG$14:$AG$262,$T52),IF($S52="Lớp 4",INDEX('Lớp 4 - Danh mục'!$AF$14:$AF$132,$T52),INDEX('Lớp 3 - Công việc chính'!$AC$14:$AC$73,$T52))))</f>
        <v>#REF!</v>
      </c>
      <c r="R52" s="698" t="str">
        <f t="array" ref="R52">IF($S52="","",IF($S52="Lớp 5",INDEX('Lớp 5 - Phân công'!$X$14:$X$262,$T52),IF($S52="Lớp 4",INDEX('Lớp 4 - Danh mục'!$V$14:$V$132,$T52),INDEX('Lớp 3 - Công việc chính'!$T$14:$T$73,$T52))))</f>
        <v>#REF!</v>
      </c>
      <c r="S52" s="699" t="str">
        <f>IF(ROWS($S$14:S52)&lt;=COUNTIF('Lớp 5 - Phân công'!$I$14:$I$262,"&lt;&gt;"),"Lớp 5",IF(ROWS($S$14:S52)&lt;=COUNTIF('Lớp 5 - Phân công'!$I$14:$I$262,"&lt;&gt;")+SUMPRODUCT(--('Lớp 4 - Danh mục'!$I$14:$I$132&lt;&gt;""),--(COUNTIF('Lớp 5 - Phân công'!$J$14:$J$262,'Lớp 4 - Danh mục'!$I$14:$I$132)=0)),"Lớp 4",IF(ROWS($S$14:S52)&lt;=COUNTIF('Lớp 5 - Phân công'!$I$14:$I$262,"&lt;&gt;")+SUMPRODUCT(--('Lớp 4 - Danh mục'!$I$14:$I$132&lt;&gt;""),--(COUNTIF('Lớp 5 - Phân công'!$J$14:$J$262,'Lớp 4 - Danh mục'!$I$14:$I$132)=0))+SUMPRODUCT(--('Lớp 3 - Công việc chính'!$I$14:$I$73&lt;&gt;""),--(COUNTIF('Lớp 4 - Danh mục'!$J$14:$J$132,'Lớp 3 - Công việc chính'!$I$14:$I$73)=0)),"Lớp 3","")))</f>
        <v>#REF!</v>
      </c>
      <c r="T52" s="699" t="str">
        <f t="array" ref="T52">IF(S52="","",IF(S52="Lớp 5",IF(S51&lt;&gt;"Lớp 5",MATCH("*",'Lớp 5 - Phân công'!$I$14:$I$262,0),T51+MATCH("*",INDEX('Lớp 5 - Phân công'!$I$14:$I$262,T51+1):'Lớp 5 - Phân công'!$I$262,0)),IF(S52="Lớp 4",IF(S51&lt;&gt;"Lớp 4",MATCH(1,INDEX(('Lớp 4 - Danh mục'!$I$14:$I$132&lt;&gt;"")*(COUNTIF('Lớp 5 - Phân công'!$J$14:$J$262,'Lớp 4 - Danh mục'!$I$14:$I$132)=0),0),0),T51+MATCH(1,INDEX((INDEX('Lớp 4 - Danh mục'!$I$14:$I$132,T51+1):'Lớp 4 - Danh mục'!$I$132&lt;&gt;"")*(COUNTIF('Lớp 5 - Phân công'!$J$14:$J$262,INDEX('Lớp 4 - Danh mục'!$I$14:$I$132,T51+1):'Lớp 4 - Danh mục'!$I$132)=0),0),0)),IF(S51&lt;&gt;"Lớp 3",MATCH(1,INDEX(('Lớp 3 - Công việc chính'!$I$14:$I$73&lt;&gt;"")*(COUNTIF('Lớp 4 - Danh mục'!$J$14:$J$132,'Lớp 3 - Công việc chính'!$I$14:$I$73)=0),0),0),T51+MATCH(1,INDEX((INDEX('Lớp 3 - Công việc chính'!$I$14:$I$73,T51+1):'Lớp 3 - Công việc chính'!$I$73&lt;&gt;"")*(COUNTIF('Lớp 4 - Danh mục'!$J$14:$J$132,INDEX('Lớp 3 - Công việc chính'!$I$14:$I$73,T51+1):'Lớp 3 - Công việc chính'!$I$73)=0),0),0)))))</f>
        <v>#REF!</v>
      </c>
      <c r="Z52" s="700" t="str">
        <f t="array" ref="Z52">IF($S52="","",IF($S52="Lớp 5",INDEX('Lớp 5 - Phân công'!$AS$14:$AS$262,$T52),IF($S52="Lớp 4",INDEX('Lớp 4 - Danh mục'!$AR$14:$AR$132,$T52),INDEX('Lớp 3 - Công việc chính'!$AO$14:$AO$73,$T52))))</f>
        <v>#REF!</v>
      </c>
      <c r="AA52" s="701" t="str">
        <f t="array" ref="AA52">IF($S52="","",IF($S52="Lớp 5",INDEX('Lớp 5 - Phân công'!$AT$14:$AT$262,$T52),IF($S52="Lớp 4",INDEX('Lớp 4 - Danh mục'!$AS$14:$AS$132,$T52),INDEX('Lớp 3 - Công việc chính'!$AP$14:$AP$73,$T52))))</f>
        <v>#REF!</v>
      </c>
      <c r="AB52" s="701" t="str">
        <f t="array" ref="AB52">IF($S52="","",IF($S52="Lớp 5",INDEX('Lớp 5 - Phân công'!$AJ$14:$AJ$262,$T52),IF($S52="Lớp 4",INDEX('Lớp 4 - Danh mục'!$AI$14:$AI$132,$T52),INDEX('Lớp 3 - Công việc chính'!$AF$14:$AF$73,$T52))))</f>
        <v>#REF!</v>
      </c>
      <c r="AC52" s="702" t="str">
        <f t="array" ref="AC52">IF($S52="","",IF($S52="Lớp 5",INDEX('Lớp 5 - Phân công'!$AV$14:$AV$262,$T52),IF($S52="Lớp 4",INDEX('Lớp 4 - Danh mục'!$AU$14:$AU$132,$T52),INDEX('Lớp 3 - Công việc chính'!$AR$14:$AR$73,$T52))))</f>
        <v>#REF!</v>
      </c>
    </row>
    <row r="53" ht="15.75" customHeight="1">
      <c r="A53" s="690" t="str">
        <f t="shared" si="1"/>
        <v>#REF!</v>
      </c>
      <c r="B53" s="690" t="str">
        <f t="array" ref="B53">IF($S53="","",IF($S53="Lớp 5",INDEX('Lớp 5 - Phân công'!$I$14:$I$262,$T53),IF($S53="Lớp 4",INDEX('Lớp 4 - Danh mục'!$I$14:$I$132,$T53),INDEX('Lớp 3 - Công việc chính'!$I$14:$I$73,$T53))))</f>
        <v>#REF!</v>
      </c>
      <c r="C53" s="690" t="str">
        <f t="array" ref="C53">IF($S53="","",IF($S53="Lớp 5",INDEX('Lớp 5 - Phân công'!$K$14:$K$262,$T53),IF($S53="Lớp 4",INDEX('Lớp 4 - Danh mục'!$J$14:$J$132,$T53),INDEX('Lớp 3 - Công việc chính'!$I$14:$I$73,$T53))))</f>
        <v>#REF!</v>
      </c>
      <c r="D53" s="690" t="str">
        <f t="array" ref="D53">IF($S53="","",IF($S53="Lớp 5",INDEX('Lớp 5 - Phân công'!$J$14:$J$262,$T53),IF($S53="Lớp 4",INDEX('Lớp 4 - Danh mục'!$I$14:$I$132,$T53),"")))</f>
        <v>#REF!</v>
      </c>
      <c r="E53" s="690" t="str">
        <f t="array" ref="E53">IF($S53="","",IF($S53="Lớp 5",INDEX('Lớp 5 - Phân công'!$L$14:$L$262,$T53),IF($S53="Lớp 4",INDEX('Lớp 4 - Danh mục'!$K$14:$K$132,$T53),INDEX('Lớp 3 - Công việc chính'!$J$14:$J$73,$T53))))</f>
        <v>#REF!</v>
      </c>
      <c r="F53" s="690" t="str">
        <f t="array" ref="F53">IF($S53="","",IF($S53="Lớp 5",INDEX('Lớp 5 - Phân công'!$M$14:$M$262,$T53),IF($S53="Lớp 4",INDEX('Lớp 4 - Danh mục'!$L$14:$L$132,$T53),INDEX('Lớp 3 - Công việc chính'!$K$14:$K$73,$T53))))</f>
        <v>#REF!</v>
      </c>
      <c r="G53" s="691" t="str">
        <f t="array" ref="G53">IF($S53="","",IF($S53="Lớp 5",INDEX('Lớp 5 - Phân công'!$N$14:$N$262,$T53),IF($S53="Lớp 4",INDEX('Lớp 4 - Danh mục'!$M$14:$M$132,$T53),INDEX('Lớp 3 - Công việc chính'!$L$14:$L$73,$T53))))</f>
        <v>#REF!</v>
      </c>
      <c r="H53" s="692" t="str">
        <f t="array" ref="H53">IF($S53="","",IF($S53="Lớp 5",INDEX('Lớp 5 - Phân công'!$O$14:$O$262,$T53),IF($S53="Lớp 4",INDEX('Lớp 4 - Danh mục'!$N$14:$N$132,$T53),INDEX('Lớp 3 - Công việc chính'!$M$14:$M$73,$T53))))</f>
        <v>#REF!</v>
      </c>
      <c r="I53" s="692" t="str">
        <f t="array" ref="I53">IF($S53="","",IF($S53="Lớp 5",INDEX('Lớp 5 - Phân công'!$P$14:$P$262,$T53),IF($S53="Lớp 4",INDEX('Lớp 4 - Danh mục'!$O$14:$O$132,$T53),"")))</f>
        <v>#REF!</v>
      </c>
      <c r="J53" s="693" t="str">
        <f t="array" ref="J53">IF($S53="","",IF($S53="Lớp 5",INDEX('Lớp 5 - Phân công'!$Q$14:$Q$262,$T53),""))</f>
        <v>#REF!</v>
      </c>
      <c r="K53" s="690" t="str">
        <f t="array" ref="K53">IF($S53="","",IF($S53="Lớp 5",INDEX('Lớp 5 - Phân công'!$AA$14:$AA$262,$T53),IF($S53="Lớp 4",INDEX('Lớp 4 - Danh mục'!$Y$14:$Y$132,$T53),INDEX('Lớp 3 - Công việc chính'!$U$14:$U$73,$T53))))</f>
        <v>#REF!</v>
      </c>
      <c r="L53" s="691" t="str">
        <f t="array" ref="L53">IF($S53="","",IF($S53="Lớp 5",INDEX('Lớp 5 - Phân công'!$Z$14:$Z$262,$T53),IF($S53="Lớp 4",INDEX('Lớp 4 - Danh mục'!$X$14:$X$132,$T53),INDEX('Lớp 3 - Công việc chính'!$W$14:$W$73,$T53))))</f>
        <v>#REF!</v>
      </c>
      <c r="M53" s="694" t="str">
        <f t="array" ref="M53">IF($S53="","",IF($S53="Lớp 5",INDEX('Lớp 5 - Phân công'!$AD$14:$AD$262,$T53),IF($S53="Lớp 4",INDEX('Lớp 4 - Danh mục'!$AC$14:$AC$132,$T53),INDEX('Lớp 3 - Công việc chính'!$Z$14:$Z$73,$T53))))</f>
        <v>#REF!</v>
      </c>
      <c r="N53" s="695" t="str">
        <f t="array" ref="N53">IF($S53="","",IF($S53="Lớp 5",INDEX('Lớp 5 - Phân công'!$AE$14:$AE$262,$T53),IF($S53="Lớp 4",INDEX('Lớp 4 - Danh mục'!$AD$14:$AD$132,$T53),INDEX('Lớp 3 - Công việc chính'!$AA$14:$AA$73,$T53))))</f>
        <v>#REF!</v>
      </c>
      <c r="O53" s="690" t="str">
        <f t="array" ref="O53">IF($S53="","",IF($S53="Lớp 5",INDEX('Lớp 5 - Phân công'!$AB$14:$AB$262,$T53),IF($S53="Lớp 4",INDEX('Lớp 4 - Danh mục'!$AA$14:$AA$132,$T53),INDEX('Lớp 3 - Công việc chính'!$X$14:$X$73,$T53))))</f>
        <v>#REF!</v>
      </c>
      <c r="P53" s="703" t="str">
        <f t="array" ref="P53">IF($S53="","",IF($S53="Lớp 5",INDEX('Lớp 5 - Phân công'!$AC$14:$AC$262,$T53),IF($S53="Lớp 4",INDEX('Lớp 4 - Danh mục'!$AB$14:$AB$132,$T53),INDEX('Lớp 3 - Công việc chính'!$Y$14:$Y$73,$T53))))</f>
        <v>#REF!</v>
      </c>
      <c r="Q53" s="697" t="str">
        <f t="array" ref="Q53">IF($S53="","",IF($S53="Lớp 5",INDEX('Lớp 5 - Phân công'!$AG$14:$AG$262,$T53),IF($S53="Lớp 4",INDEX('Lớp 4 - Danh mục'!$AF$14:$AF$132,$T53),INDEX('Lớp 3 - Công việc chính'!$AC$14:$AC$73,$T53))))</f>
        <v>#REF!</v>
      </c>
      <c r="R53" s="698" t="str">
        <f t="array" ref="R53">IF($S53="","",IF($S53="Lớp 5",INDEX('Lớp 5 - Phân công'!$X$14:$X$262,$T53),IF($S53="Lớp 4",INDEX('Lớp 4 - Danh mục'!$V$14:$V$132,$T53),INDEX('Lớp 3 - Công việc chính'!$T$14:$T$73,$T53))))</f>
        <v>#REF!</v>
      </c>
      <c r="S53" s="699" t="str">
        <f>IF(ROWS($S$14:S53)&lt;=COUNTIF('Lớp 5 - Phân công'!$I$14:$I$262,"&lt;&gt;"),"Lớp 5",IF(ROWS($S$14:S53)&lt;=COUNTIF('Lớp 5 - Phân công'!$I$14:$I$262,"&lt;&gt;")+SUMPRODUCT(--('Lớp 4 - Danh mục'!$I$14:$I$132&lt;&gt;""),--(COUNTIF('Lớp 5 - Phân công'!$J$14:$J$262,'Lớp 4 - Danh mục'!$I$14:$I$132)=0)),"Lớp 4",IF(ROWS($S$14:S53)&lt;=COUNTIF('Lớp 5 - Phân công'!$I$14:$I$262,"&lt;&gt;")+SUMPRODUCT(--('Lớp 4 - Danh mục'!$I$14:$I$132&lt;&gt;""),--(COUNTIF('Lớp 5 - Phân công'!$J$14:$J$262,'Lớp 4 - Danh mục'!$I$14:$I$132)=0))+SUMPRODUCT(--('Lớp 3 - Công việc chính'!$I$14:$I$73&lt;&gt;""),--(COUNTIF('Lớp 4 - Danh mục'!$J$14:$J$132,'Lớp 3 - Công việc chính'!$I$14:$I$73)=0)),"Lớp 3","")))</f>
        <v>#REF!</v>
      </c>
      <c r="T53" s="699" t="str">
        <f t="array" ref="T53">IF(S53="","",IF(S53="Lớp 5",IF(S52&lt;&gt;"Lớp 5",MATCH("*",'Lớp 5 - Phân công'!$I$14:$I$262,0),T52+MATCH("*",INDEX('Lớp 5 - Phân công'!$I$14:$I$262,T52+1):'Lớp 5 - Phân công'!$I$262,0)),IF(S53="Lớp 4",IF(S52&lt;&gt;"Lớp 4",MATCH(1,INDEX(('Lớp 4 - Danh mục'!$I$14:$I$132&lt;&gt;"")*(COUNTIF('Lớp 5 - Phân công'!$J$14:$J$262,'Lớp 4 - Danh mục'!$I$14:$I$132)=0),0),0),T52+MATCH(1,INDEX((INDEX('Lớp 4 - Danh mục'!$I$14:$I$132,T52+1):'Lớp 4 - Danh mục'!$I$132&lt;&gt;"")*(COUNTIF('Lớp 5 - Phân công'!$J$14:$J$262,INDEX('Lớp 4 - Danh mục'!$I$14:$I$132,T52+1):'Lớp 4 - Danh mục'!$I$132)=0),0),0)),IF(S52&lt;&gt;"Lớp 3",MATCH(1,INDEX(('Lớp 3 - Công việc chính'!$I$14:$I$73&lt;&gt;"")*(COUNTIF('Lớp 4 - Danh mục'!$J$14:$J$132,'Lớp 3 - Công việc chính'!$I$14:$I$73)=0),0),0),T52+MATCH(1,INDEX((INDEX('Lớp 3 - Công việc chính'!$I$14:$I$73,T52+1):'Lớp 3 - Công việc chính'!$I$73&lt;&gt;"")*(COUNTIF('Lớp 4 - Danh mục'!$J$14:$J$132,INDEX('Lớp 3 - Công việc chính'!$I$14:$I$73,T52+1):'Lớp 3 - Công việc chính'!$I$73)=0),0),0)))))</f>
        <v>#REF!</v>
      </c>
      <c r="Z53" s="700" t="str">
        <f t="array" ref="Z53">IF($S53="","",IF($S53="Lớp 5",INDEX('Lớp 5 - Phân công'!$AS$14:$AS$262,$T53),IF($S53="Lớp 4",INDEX('Lớp 4 - Danh mục'!$AR$14:$AR$132,$T53),INDEX('Lớp 3 - Công việc chính'!$AO$14:$AO$73,$T53))))</f>
        <v>#REF!</v>
      </c>
      <c r="AA53" s="701" t="str">
        <f t="array" ref="AA53">IF($S53="","",IF($S53="Lớp 5",INDEX('Lớp 5 - Phân công'!$AT$14:$AT$262,$T53),IF($S53="Lớp 4",INDEX('Lớp 4 - Danh mục'!$AS$14:$AS$132,$T53),INDEX('Lớp 3 - Công việc chính'!$AP$14:$AP$73,$T53))))</f>
        <v>#REF!</v>
      </c>
      <c r="AB53" s="701" t="str">
        <f t="array" ref="AB53">IF($S53="","",IF($S53="Lớp 5",INDEX('Lớp 5 - Phân công'!$AJ$14:$AJ$262,$T53),IF($S53="Lớp 4",INDEX('Lớp 4 - Danh mục'!$AI$14:$AI$132,$T53),INDEX('Lớp 3 - Công việc chính'!$AF$14:$AF$73,$T53))))</f>
        <v>#REF!</v>
      </c>
      <c r="AC53" s="702" t="str">
        <f t="array" ref="AC53">IF($S53="","",IF($S53="Lớp 5",INDEX('Lớp 5 - Phân công'!$AV$14:$AV$262,$T53),IF($S53="Lớp 4",INDEX('Lớp 4 - Danh mục'!$AU$14:$AU$132,$T53),INDEX('Lớp 3 - Công việc chính'!$AR$14:$AR$73,$T53))))</f>
        <v>#REF!</v>
      </c>
    </row>
    <row r="54" ht="15.75" customHeight="1">
      <c r="A54" s="690" t="str">
        <f t="shared" si="1"/>
        <v>#REF!</v>
      </c>
      <c r="B54" s="690" t="str">
        <f t="array" ref="B54">IF($S54="","",IF($S54="Lớp 5",INDEX('Lớp 5 - Phân công'!$I$14:$I$262,$T54),IF($S54="Lớp 4",INDEX('Lớp 4 - Danh mục'!$I$14:$I$132,$T54),INDEX('Lớp 3 - Công việc chính'!$I$14:$I$73,$T54))))</f>
        <v>#REF!</v>
      </c>
      <c r="C54" s="690" t="str">
        <f t="array" ref="C54">IF($S54="","",IF($S54="Lớp 5",INDEX('Lớp 5 - Phân công'!$K$14:$K$262,$T54),IF($S54="Lớp 4",INDEX('Lớp 4 - Danh mục'!$J$14:$J$132,$T54),INDEX('Lớp 3 - Công việc chính'!$I$14:$I$73,$T54))))</f>
        <v>#REF!</v>
      </c>
      <c r="D54" s="690" t="str">
        <f t="array" ref="D54">IF($S54="","",IF($S54="Lớp 5",INDEX('Lớp 5 - Phân công'!$J$14:$J$262,$T54),IF($S54="Lớp 4",INDEX('Lớp 4 - Danh mục'!$I$14:$I$132,$T54),"")))</f>
        <v>#REF!</v>
      </c>
      <c r="E54" s="690" t="str">
        <f t="array" ref="E54">IF($S54="","",IF($S54="Lớp 5",INDEX('Lớp 5 - Phân công'!$L$14:$L$262,$T54),IF($S54="Lớp 4",INDEX('Lớp 4 - Danh mục'!$K$14:$K$132,$T54),INDEX('Lớp 3 - Công việc chính'!$J$14:$J$73,$T54))))</f>
        <v>#REF!</v>
      </c>
      <c r="F54" s="690" t="str">
        <f t="array" ref="F54">IF($S54="","",IF($S54="Lớp 5",INDEX('Lớp 5 - Phân công'!$M$14:$M$262,$T54),IF($S54="Lớp 4",INDEX('Lớp 4 - Danh mục'!$L$14:$L$132,$T54),INDEX('Lớp 3 - Công việc chính'!$K$14:$K$73,$T54))))</f>
        <v>#REF!</v>
      </c>
      <c r="G54" s="691" t="str">
        <f t="array" ref="G54">IF($S54="","",IF($S54="Lớp 5",INDEX('Lớp 5 - Phân công'!$N$14:$N$262,$T54),IF($S54="Lớp 4",INDEX('Lớp 4 - Danh mục'!$M$14:$M$132,$T54),INDEX('Lớp 3 - Công việc chính'!$L$14:$L$73,$T54))))</f>
        <v>#REF!</v>
      </c>
      <c r="H54" s="692" t="str">
        <f t="array" ref="H54">IF($S54="","",IF($S54="Lớp 5",INDEX('Lớp 5 - Phân công'!$O$14:$O$262,$T54),IF($S54="Lớp 4",INDEX('Lớp 4 - Danh mục'!$N$14:$N$132,$T54),INDEX('Lớp 3 - Công việc chính'!$M$14:$M$73,$T54))))</f>
        <v>#REF!</v>
      </c>
      <c r="I54" s="692" t="str">
        <f t="array" ref="I54">IF($S54="","",IF($S54="Lớp 5",INDEX('Lớp 5 - Phân công'!$P$14:$P$262,$T54),IF($S54="Lớp 4",INDEX('Lớp 4 - Danh mục'!$O$14:$O$132,$T54),"")))</f>
        <v>#REF!</v>
      </c>
      <c r="J54" s="693" t="str">
        <f t="array" ref="J54">IF($S54="","",IF($S54="Lớp 5",INDEX('Lớp 5 - Phân công'!$Q$14:$Q$262,$T54),""))</f>
        <v>#REF!</v>
      </c>
      <c r="K54" s="690" t="str">
        <f t="array" ref="K54">IF($S54="","",IF($S54="Lớp 5",INDEX('Lớp 5 - Phân công'!$AA$14:$AA$262,$T54),IF($S54="Lớp 4",INDEX('Lớp 4 - Danh mục'!$Y$14:$Y$132,$T54),INDEX('Lớp 3 - Công việc chính'!$U$14:$U$73,$T54))))</f>
        <v>#REF!</v>
      </c>
      <c r="L54" s="691" t="str">
        <f t="array" ref="L54">IF($S54="","",IF($S54="Lớp 5",INDEX('Lớp 5 - Phân công'!$Z$14:$Z$262,$T54),IF($S54="Lớp 4",INDEX('Lớp 4 - Danh mục'!$X$14:$X$132,$T54),INDEX('Lớp 3 - Công việc chính'!$W$14:$W$73,$T54))))</f>
        <v>#REF!</v>
      </c>
      <c r="M54" s="694" t="str">
        <f t="array" ref="M54">IF($S54="","",IF($S54="Lớp 5",INDEX('Lớp 5 - Phân công'!$AD$14:$AD$262,$T54),IF($S54="Lớp 4",INDEX('Lớp 4 - Danh mục'!$AC$14:$AC$132,$T54),INDEX('Lớp 3 - Công việc chính'!$Z$14:$Z$73,$T54))))</f>
        <v>#REF!</v>
      </c>
      <c r="N54" s="695" t="str">
        <f t="array" ref="N54">IF($S54="","",IF($S54="Lớp 5",INDEX('Lớp 5 - Phân công'!$AE$14:$AE$262,$T54),IF($S54="Lớp 4",INDEX('Lớp 4 - Danh mục'!$AD$14:$AD$132,$T54),INDEX('Lớp 3 - Công việc chính'!$AA$14:$AA$73,$T54))))</f>
        <v>#REF!</v>
      </c>
      <c r="O54" s="690" t="str">
        <f t="array" ref="O54">IF($S54="","",IF($S54="Lớp 5",INDEX('Lớp 5 - Phân công'!$AB$14:$AB$262,$T54),IF($S54="Lớp 4",INDEX('Lớp 4 - Danh mục'!$AA$14:$AA$132,$T54),INDEX('Lớp 3 - Công việc chính'!$X$14:$X$73,$T54))))</f>
        <v>#REF!</v>
      </c>
      <c r="P54" s="703" t="str">
        <f t="array" ref="P54">IF($S54="","",IF($S54="Lớp 5",INDEX('Lớp 5 - Phân công'!$AC$14:$AC$262,$T54),IF($S54="Lớp 4",INDEX('Lớp 4 - Danh mục'!$AB$14:$AB$132,$T54),INDEX('Lớp 3 - Công việc chính'!$Y$14:$Y$73,$T54))))</f>
        <v>#REF!</v>
      </c>
      <c r="Q54" s="697" t="str">
        <f t="array" ref="Q54">IF($S54="","",IF($S54="Lớp 5",INDEX('Lớp 5 - Phân công'!$AG$14:$AG$262,$T54),IF($S54="Lớp 4",INDEX('Lớp 4 - Danh mục'!$AF$14:$AF$132,$T54),INDEX('Lớp 3 - Công việc chính'!$AC$14:$AC$73,$T54))))</f>
        <v>#REF!</v>
      </c>
      <c r="R54" s="698" t="str">
        <f t="array" ref="R54">IF($S54="","",IF($S54="Lớp 5",INDEX('Lớp 5 - Phân công'!$X$14:$X$262,$T54),IF($S54="Lớp 4",INDEX('Lớp 4 - Danh mục'!$V$14:$V$132,$T54),INDEX('Lớp 3 - Công việc chính'!$T$14:$T$73,$T54))))</f>
        <v>#REF!</v>
      </c>
      <c r="S54" s="699" t="str">
        <f>IF(ROWS($S$14:S54)&lt;=COUNTIF('Lớp 5 - Phân công'!$I$14:$I$262,"&lt;&gt;"),"Lớp 5",IF(ROWS($S$14:S54)&lt;=COUNTIF('Lớp 5 - Phân công'!$I$14:$I$262,"&lt;&gt;")+SUMPRODUCT(--('Lớp 4 - Danh mục'!$I$14:$I$132&lt;&gt;""),--(COUNTIF('Lớp 5 - Phân công'!$J$14:$J$262,'Lớp 4 - Danh mục'!$I$14:$I$132)=0)),"Lớp 4",IF(ROWS($S$14:S54)&lt;=COUNTIF('Lớp 5 - Phân công'!$I$14:$I$262,"&lt;&gt;")+SUMPRODUCT(--('Lớp 4 - Danh mục'!$I$14:$I$132&lt;&gt;""),--(COUNTIF('Lớp 5 - Phân công'!$J$14:$J$262,'Lớp 4 - Danh mục'!$I$14:$I$132)=0))+SUMPRODUCT(--('Lớp 3 - Công việc chính'!$I$14:$I$73&lt;&gt;""),--(COUNTIF('Lớp 4 - Danh mục'!$J$14:$J$132,'Lớp 3 - Công việc chính'!$I$14:$I$73)=0)),"Lớp 3","")))</f>
        <v>#REF!</v>
      </c>
      <c r="T54" s="699" t="str">
        <f t="array" ref="T54">IF(S54="","",IF(S54="Lớp 5",IF(S53&lt;&gt;"Lớp 5",MATCH("*",'Lớp 5 - Phân công'!$I$14:$I$262,0),T53+MATCH("*",INDEX('Lớp 5 - Phân công'!$I$14:$I$262,T53+1):'Lớp 5 - Phân công'!$I$262,0)),IF(S54="Lớp 4",IF(S53&lt;&gt;"Lớp 4",MATCH(1,INDEX(('Lớp 4 - Danh mục'!$I$14:$I$132&lt;&gt;"")*(COUNTIF('Lớp 5 - Phân công'!$J$14:$J$262,'Lớp 4 - Danh mục'!$I$14:$I$132)=0),0),0),T53+MATCH(1,INDEX((INDEX('Lớp 4 - Danh mục'!$I$14:$I$132,T53+1):'Lớp 4 - Danh mục'!$I$132&lt;&gt;"")*(COUNTIF('Lớp 5 - Phân công'!$J$14:$J$262,INDEX('Lớp 4 - Danh mục'!$I$14:$I$132,T53+1):'Lớp 4 - Danh mục'!$I$132)=0),0),0)),IF(S53&lt;&gt;"Lớp 3",MATCH(1,INDEX(('Lớp 3 - Công việc chính'!$I$14:$I$73&lt;&gt;"")*(COUNTIF('Lớp 4 - Danh mục'!$J$14:$J$132,'Lớp 3 - Công việc chính'!$I$14:$I$73)=0),0),0),T53+MATCH(1,INDEX((INDEX('Lớp 3 - Công việc chính'!$I$14:$I$73,T53+1):'Lớp 3 - Công việc chính'!$I$73&lt;&gt;"")*(COUNTIF('Lớp 4 - Danh mục'!$J$14:$J$132,INDEX('Lớp 3 - Công việc chính'!$I$14:$I$73,T53+1):'Lớp 3 - Công việc chính'!$I$73)=0),0),0)))))</f>
        <v>#REF!</v>
      </c>
      <c r="Z54" s="700" t="str">
        <f t="array" ref="Z54">IF($S54="","",IF($S54="Lớp 5",INDEX('Lớp 5 - Phân công'!$AS$14:$AS$262,$T54),IF($S54="Lớp 4",INDEX('Lớp 4 - Danh mục'!$AR$14:$AR$132,$T54),INDEX('Lớp 3 - Công việc chính'!$AO$14:$AO$73,$T54))))</f>
        <v>#REF!</v>
      </c>
      <c r="AA54" s="701" t="str">
        <f t="array" ref="AA54">IF($S54="","",IF($S54="Lớp 5",INDEX('Lớp 5 - Phân công'!$AT$14:$AT$262,$T54),IF($S54="Lớp 4",INDEX('Lớp 4 - Danh mục'!$AS$14:$AS$132,$T54),INDEX('Lớp 3 - Công việc chính'!$AP$14:$AP$73,$T54))))</f>
        <v>#REF!</v>
      </c>
      <c r="AB54" s="701" t="str">
        <f t="array" ref="AB54">IF($S54="","",IF($S54="Lớp 5",INDEX('Lớp 5 - Phân công'!$AJ$14:$AJ$262,$T54),IF($S54="Lớp 4",INDEX('Lớp 4 - Danh mục'!$AI$14:$AI$132,$T54),INDEX('Lớp 3 - Công việc chính'!$AF$14:$AF$73,$T54))))</f>
        <v>#REF!</v>
      </c>
      <c r="AC54" s="702" t="str">
        <f t="array" ref="AC54">IF($S54="","",IF($S54="Lớp 5",INDEX('Lớp 5 - Phân công'!$AV$14:$AV$262,$T54),IF($S54="Lớp 4",INDEX('Lớp 4 - Danh mục'!$AU$14:$AU$132,$T54),INDEX('Lớp 3 - Công việc chính'!$AR$14:$AR$73,$T54))))</f>
        <v>#REF!</v>
      </c>
    </row>
    <row r="55" ht="15.75" customHeight="1">
      <c r="A55" s="690" t="str">
        <f t="shared" si="1"/>
        <v>#REF!</v>
      </c>
      <c r="B55" s="690" t="str">
        <f t="array" ref="B55">IF($S55="","",IF($S55="Lớp 5",INDEX('Lớp 5 - Phân công'!$I$14:$I$262,$T55),IF($S55="Lớp 4",INDEX('Lớp 4 - Danh mục'!$I$14:$I$132,$T55),INDEX('Lớp 3 - Công việc chính'!$I$14:$I$73,$T55))))</f>
        <v>#REF!</v>
      </c>
      <c r="C55" s="690" t="str">
        <f t="array" ref="C55">IF($S55="","",IF($S55="Lớp 5",INDEX('Lớp 5 - Phân công'!$K$14:$K$262,$T55),IF($S55="Lớp 4",INDEX('Lớp 4 - Danh mục'!$J$14:$J$132,$T55),INDEX('Lớp 3 - Công việc chính'!$I$14:$I$73,$T55))))</f>
        <v>#REF!</v>
      </c>
      <c r="D55" s="690" t="str">
        <f t="array" ref="D55">IF($S55="","",IF($S55="Lớp 5",INDEX('Lớp 5 - Phân công'!$J$14:$J$262,$T55),IF($S55="Lớp 4",INDEX('Lớp 4 - Danh mục'!$I$14:$I$132,$T55),"")))</f>
        <v>#REF!</v>
      </c>
      <c r="E55" s="690" t="str">
        <f t="array" ref="E55">IF($S55="","",IF($S55="Lớp 5",INDEX('Lớp 5 - Phân công'!$L$14:$L$262,$T55),IF($S55="Lớp 4",INDEX('Lớp 4 - Danh mục'!$K$14:$K$132,$T55),INDEX('Lớp 3 - Công việc chính'!$J$14:$J$73,$T55))))</f>
        <v>#REF!</v>
      </c>
      <c r="F55" s="690" t="str">
        <f t="array" ref="F55">IF($S55="","",IF($S55="Lớp 5",INDEX('Lớp 5 - Phân công'!$M$14:$M$262,$T55),IF($S55="Lớp 4",INDEX('Lớp 4 - Danh mục'!$L$14:$L$132,$T55),INDEX('Lớp 3 - Công việc chính'!$K$14:$K$73,$T55))))</f>
        <v>#REF!</v>
      </c>
      <c r="G55" s="691" t="str">
        <f t="array" ref="G55">IF($S55="","",IF($S55="Lớp 5",INDEX('Lớp 5 - Phân công'!$N$14:$N$262,$T55),IF($S55="Lớp 4",INDEX('Lớp 4 - Danh mục'!$M$14:$M$132,$T55),INDEX('Lớp 3 - Công việc chính'!$L$14:$L$73,$T55))))</f>
        <v>#REF!</v>
      </c>
      <c r="H55" s="692" t="str">
        <f t="array" ref="H55">IF($S55="","",IF($S55="Lớp 5",INDEX('Lớp 5 - Phân công'!$O$14:$O$262,$T55),IF($S55="Lớp 4",INDEX('Lớp 4 - Danh mục'!$N$14:$N$132,$T55),INDEX('Lớp 3 - Công việc chính'!$M$14:$M$73,$T55))))</f>
        <v>#REF!</v>
      </c>
      <c r="I55" s="692" t="str">
        <f t="array" ref="I55">IF($S55="","",IF($S55="Lớp 5",INDEX('Lớp 5 - Phân công'!$P$14:$P$262,$T55),IF($S55="Lớp 4",INDEX('Lớp 4 - Danh mục'!$O$14:$O$132,$T55),"")))</f>
        <v>#REF!</v>
      </c>
      <c r="J55" s="693" t="str">
        <f t="array" ref="J55">IF($S55="","",IF($S55="Lớp 5",INDEX('Lớp 5 - Phân công'!$Q$14:$Q$262,$T55),""))</f>
        <v>#REF!</v>
      </c>
      <c r="K55" s="690" t="str">
        <f t="array" ref="K55">IF($S55="","",IF($S55="Lớp 5",INDEX('Lớp 5 - Phân công'!$AA$14:$AA$262,$T55),IF($S55="Lớp 4",INDEX('Lớp 4 - Danh mục'!$Y$14:$Y$132,$T55),INDEX('Lớp 3 - Công việc chính'!$U$14:$U$73,$T55))))</f>
        <v>#REF!</v>
      </c>
      <c r="L55" s="691" t="str">
        <f t="array" ref="L55">IF($S55="","",IF($S55="Lớp 5",INDEX('Lớp 5 - Phân công'!$Z$14:$Z$262,$T55),IF($S55="Lớp 4",INDEX('Lớp 4 - Danh mục'!$X$14:$X$132,$T55),INDEX('Lớp 3 - Công việc chính'!$W$14:$W$73,$T55))))</f>
        <v>#REF!</v>
      </c>
      <c r="M55" s="694" t="str">
        <f t="array" ref="M55">IF($S55="","",IF($S55="Lớp 5",INDEX('Lớp 5 - Phân công'!$AD$14:$AD$262,$T55),IF($S55="Lớp 4",INDEX('Lớp 4 - Danh mục'!$AC$14:$AC$132,$T55),INDEX('Lớp 3 - Công việc chính'!$Z$14:$Z$73,$T55))))</f>
        <v>#REF!</v>
      </c>
      <c r="N55" s="695" t="str">
        <f t="array" ref="N55">IF($S55="","",IF($S55="Lớp 5",INDEX('Lớp 5 - Phân công'!$AE$14:$AE$262,$T55),IF($S55="Lớp 4",INDEX('Lớp 4 - Danh mục'!$AD$14:$AD$132,$T55),INDEX('Lớp 3 - Công việc chính'!$AA$14:$AA$73,$T55))))</f>
        <v>#REF!</v>
      </c>
      <c r="O55" s="690" t="str">
        <f t="array" ref="O55">IF($S55="","",IF($S55="Lớp 5",INDEX('Lớp 5 - Phân công'!$AB$14:$AB$262,$T55),IF($S55="Lớp 4",INDEX('Lớp 4 - Danh mục'!$AA$14:$AA$132,$T55),INDEX('Lớp 3 - Công việc chính'!$X$14:$X$73,$T55))))</f>
        <v>#REF!</v>
      </c>
      <c r="P55" s="703" t="str">
        <f t="array" ref="P55">IF($S55="","",IF($S55="Lớp 5",INDEX('Lớp 5 - Phân công'!$AC$14:$AC$262,$T55),IF($S55="Lớp 4",INDEX('Lớp 4 - Danh mục'!$AB$14:$AB$132,$T55),INDEX('Lớp 3 - Công việc chính'!$Y$14:$Y$73,$T55))))</f>
        <v>#REF!</v>
      </c>
      <c r="Q55" s="697" t="str">
        <f t="array" ref="Q55">IF($S55="","",IF($S55="Lớp 5",INDEX('Lớp 5 - Phân công'!$AG$14:$AG$262,$T55),IF($S55="Lớp 4",INDEX('Lớp 4 - Danh mục'!$AF$14:$AF$132,$T55),INDEX('Lớp 3 - Công việc chính'!$AC$14:$AC$73,$T55))))</f>
        <v>#REF!</v>
      </c>
      <c r="R55" s="698" t="str">
        <f t="array" ref="R55">IF($S55="","",IF($S55="Lớp 5",INDEX('Lớp 5 - Phân công'!$X$14:$X$262,$T55),IF($S55="Lớp 4",INDEX('Lớp 4 - Danh mục'!$V$14:$V$132,$T55),INDEX('Lớp 3 - Công việc chính'!$T$14:$T$73,$T55))))</f>
        <v>#REF!</v>
      </c>
      <c r="S55" s="699" t="str">
        <f>IF(ROWS($S$14:S55)&lt;=COUNTIF('Lớp 5 - Phân công'!$I$14:$I$262,"&lt;&gt;"),"Lớp 5",IF(ROWS($S$14:S55)&lt;=COUNTIF('Lớp 5 - Phân công'!$I$14:$I$262,"&lt;&gt;")+SUMPRODUCT(--('Lớp 4 - Danh mục'!$I$14:$I$132&lt;&gt;""),--(COUNTIF('Lớp 5 - Phân công'!$J$14:$J$262,'Lớp 4 - Danh mục'!$I$14:$I$132)=0)),"Lớp 4",IF(ROWS($S$14:S55)&lt;=COUNTIF('Lớp 5 - Phân công'!$I$14:$I$262,"&lt;&gt;")+SUMPRODUCT(--('Lớp 4 - Danh mục'!$I$14:$I$132&lt;&gt;""),--(COUNTIF('Lớp 5 - Phân công'!$J$14:$J$262,'Lớp 4 - Danh mục'!$I$14:$I$132)=0))+SUMPRODUCT(--('Lớp 3 - Công việc chính'!$I$14:$I$73&lt;&gt;""),--(COUNTIF('Lớp 4 - Danh mục'!$J$14:$J$132,'Lớp 3 - Công việc chính'!$I$14:$I$73)=0)),"Lớp 3","")))</f>
        <v>#REF!</v>
      </c>
      <c r="T55" s="699" t="str">
        <f t="array" ref="T55">IF(S55="","",IF(S55="Lớp 5",IF(S54&lt;&gt;"Lớp 5",MATCH("*",'Lớp 5 - Phân công'!$I$14:$I$262,0),T54+MATCH("*",INDEX('Lớp 5 - Phân công'!$I$14:$I$262,T54+1):'Lớp 5 - Phân công'!$I$262,0)),IF(S55="Lớp 4",IF(S54&lt;&gt;"Lớp 4",MATCH(1,INDEX(('Lớp 4 - Danh mục'!$I$14:$I$132&lt;&gt;"")*(COUNTIF('Lớp 5 - Phân công'!$J$14:$J$262,'Lớp 4 - Danh mục'!$I$14:$I$132)=0),0),0),T54+MATCH(1,INDEX((INDEX('Lớp 4 - Danh mục'!$I$14:$I$132,T54+1):'Lớp 4 - Danh mục'!$I$132&lt;&gt;"")*(COUNTIF('Lớp 5 - Phân công'!$J$14:$J$262,INDEX('Lớp 4 - Danh mục'!$I$14:$I$132,T54+1):'Lớp 4 - Danh mục'!$I$132)=0),0),0)),IF(S54&lt;&gt;"Lớp 3",MATCH(1,INDEX(('Lớp 3 - Công việc chính'!$I$14:$I$73&lt;&gt;"")*(COUNTIF('Lớp 4 - Danh mục'!$J$14:$J$132,'Lớp 3 - Công việc chính'!$I$14:$I$73)=0),0),0),T54+MATCH(1,INDEX((INDEX('Lớp 3 - Công việc chính'!$I$14:$I$73,T54+1):'Lớp 3 - Công việc chính'!$I$73&lt;&gt;"")*(COUNTIF('Lớp 4 - Danh mục'!$J$14:$J$132,INDEX('Lớp 3 - Công việc chính'!$I$14:$I$73,T54+1):'Lớp 3 - Công việc chính'!$I$73)=0),0),0)))))</f>
        <v>#REF!</v>
      </c>
      <c r="Z55" s="700" t="str">
        <f t="array" ref="Z55">IF($S55="","",IF($S55="Lớp 5",INDEX('Lớp 5 - Phân công'!$AS$14:$AS$262,$T55),IF($S55="Lớp 4",INDEX('Lớp 4 - Danh mục'!$AR$14:$AR$132,$T55),INDEX('Lớp 3 - Công việc chính'!$AO$14:$AO$73,$T55))))</f>
        <v>#REF!</v>
      </c>
      <c r="AA55" s="701" t="str">
        <f t="array" ref="AA55">IF($S55="","",IF($S55="Lớp 5",INDEX('Lớp 5 - Phân công'!$AT$14:$AT$262,$T55),IF($S55="Lớp 4",INDEX('Lớp 4 - Danh mục'!$AS$14:$AS$132,$T55),INDEX('Lớp 3 - Công việc chính'!$AP$14:$AP$73,$T55))))</f>
        <v>#REF!</v>
      </c>
      <c r="AB55" s="701" t="str">
        <f t="array" ref="AB55">IF($S55="","",IF($S55="Lớp 5",INDEX('Lớp 5 - Phân công'!$AJ$14:$AJ$262,$T55),IF($S55="Lớp 4",INDEX('Lớp 4 - Danh mục'!$AI$14:$AI$132,$T55),INDEX('Lớp 3 - Công việc chính'!$AF$14:$AF$73,$T55))))</f>
        <v>#REF!</v>
      </c>
      <c r="AC55" s="702" t="str">
        <f t="array" ref="AC55">IF($S55="","",IF($S55="Lớp 5",INDEX('Lớp 5 - Phân công'!$AV$14:$AV$262,$T55),IF($S55="Lớp 4",INDEX('Lớp 4 - Danh mục'!$AU$14:$AU$132,$T55),INDEX('Lớp 3 - Công việc chính'!$AR$14:$AR$73,$T55))))</f>
        <v>#REF!</v>
      </c>
    </row>
    <row r="56" ht="15.75" customHeight="1">
      <c r="A56" s="690" t="str">
        <f t="shared" si="1"/>
        <v>#REF!</v>
      </c>
      <c r="B56" s="690" t="str">
        <f t="array" ref="B56">IF($S56="","",IF($S56="Lớp 5",INDEX('Lớp 5 - Phân công'!$I$14:$I$262,$T56),IF($S56="Lớp 4",INDEX('Lớp 4 - Danh mục'!$I$14:$I$132,$T56),INDEX('Lớp 3 - Công việc chính'!$I$14:$I$73,$T56))))</f>
        <v>#REF!</v>
      </c>
      <c r="C56" s="690" t="str">
        <f t="array" ref="C56">IF($S56="","",IF($S56="Lớp 5",INDEX('Lớp 5 - Phân công'!$K$14:$K$262,$T56),IF($S56="Lớp 4",INDEX('Lớp 4 - Danh mục'!$J$14:$J$132,$T56),INDEX('Lớp 3 - Công việc chính'!$I$14:$I$73,$T56))))</f>
        <v>#REF!</v>
      </c>
      <c r="D56" s="690" t="str">
        <f t="array" ref="D56">IF($S56="","",IF($S56="Lớp 5",INDEX('Lớp 5 - Phân công'!$J$14:$J$262,$T56),IF($S56="Lớp 4",INDEX('Lớp 4 - Danh mục'!$I$14:$I$132,$T56),"")))</f>
        <v>#REF!</v>
      </c>
      <c r="E56" s="690" t="str">
        <f t="array" ref="E56">IF($S56="","",IF($S56="Lớp 5",INDEX('Lớp 5 - Phân công'!$L$14:$L$262,$T56),IF($S56="Lớp 4",INDEX('Lớp 4 - Danh mục'!$K$14:$K$132,$T56),INDEX('Lớp 3 - Công việc chính'!$J$14:$J$73,$T56))))</f>
        <v>#REF!</v>
      </c>
      <c r="F56" s="690" t="str">
        <f t="array" ref="F56">IF($S56="","",IF($S56="Lớp 5",INDEX('Lớp 5 - Phân công'!$M$14:$M$262,$T56),IF($S56="Lớp 4",INDEX('Lớp 4 - Danh mục'!$L$14:$L$132,$T56),INDEX('Lớp 3 - Công việc chính'!$K$14:$K$73,$T56))))</f>
        <v>#REF!</v>
      </c>
      <c r="G56" s="691" t="str">
        <f t="array" ref="G56">IF($S56="","",IF($S56="Lớp 5",INDEX('Lớp 5 - Phân công'!$N$14:$N$262,$T56),IF($S56="Lớp 4",INDEX('Lớp 4 - Danh mục'!$M$14:$M$132,$T56),INDEX('Lớp 3 - Công việc chính'!$L$14:$L$73,$T56))))</f>
        <v>#REF!</v>
      </c>
      <c r="H56" s="692" t="str">
        <f t="array" ref="H56">IF($S56="","",IF($S56="Lớp 5",INDEX('Lớp 5 - Phân công'!$O$14:$O$262,$T56),IF($S56="Lớp 4",INDEX('Lớp 4 - Danh mục'!$N$14:$N$132,$T56),INDEX('Lớp 3 - Công việc chính'!$M$14:$M$73,$T56))))</f>
        <v>#REF!</v>
      </c>
      <c r="I56" s="692" t="str">
        <f t="array" ref="I56">IF($S56="","",IF($S56="Lớp 5",INDEX('Lớp 5 - Phân công'!$P$14:$P$262,$T56),IF($S56="Lớp 4",INDEX('Lớp 4 - Danh mục'!$O$14:$O$132,$T56),"")))</f>
        <v>#REF!</v>
      </c>
      <c r="J56" s="693" t="str">
        <f t="array" ref="J56">IF($S56="","",IF($S56="Lớp 5",INDEX('Lớp 5 - Phân công'!$Q$14:$Q$262,$T56),""))</f>
        <v>#REF!</v>
      </c>
      <c r="K56" s="690" t="str">
        <f t="array" ref="K56">IF($S56="","",IF($S56="Lớp 5",INDEX('Lớp 5 - Phân công'!$AA$14:$AA$262,$T56),IF($S56="Lớp 4",INDEX('Lớp 4 - Danh mục'!$Y$14:$Y$132,$T56),INDEX('Lớp 3 - Công việc chính'!$U$14:$U$73,$T56))))</f>
        <v>#REF!</v>
      </c>
      <c r="L56" s="691" t="str">
        <f t="array" ref="L56">IF($S56="","",IF($S56="Lớp 5",INDEX('Lớp 5 - Phân công'!$Z$14:$Z$262,$T56),IF($S56="Lớp 4",INDEX('Lớp 4 - Danh mục'!$X$14:$X$132,$T56),INDEX('Lớp 3 - Công việc chính'!$W$14:$W$73,$T56))))</f>
        <v>#REF!</v>
      </c>
      <c r="M56" s="694" t="str">
        <f t="array" ref="M56">IF($S56="","",IF($S56="Lớp 5",INDEX('Lớp 5 - Phân công'!$AD$14:$AD$262,$T56),IF($S56="Lớp 4",INDEX('Lớp 4 - Danh mục'!$AC$14:$AC$132,$T56),INDEX('Lớp 3 - Công việc chính'!$Z$14:$Z$73,$T56))))</f>
        <v>#REF!</v>
      </c>
      <c r="N56" s="695" t="str">
        <f t="array" ref="N56">IF($S56="","",IF($S56="Lớp 5",INDEX('Lớp 5 - Phân công'!$AE$14:$AE$262,$T56),IF($S56="Lớp 4",INDEX('Lớp 4 - Danh mục'!$AD$14:$AD$132,$T56),INDEX('Lớp 3 - Công việc chính'!$AA$14:$AA$73,$T56))))</f>
        <v>#REF!</v>
      </c>
      <c r="O56" s="690" t="str">
        <f t="array" ref="O56">IF($S56="","",IF($S56="Lớp 5",INDEX('Lớp 5 - Phân công'!$AB$14:$AB$262,$T56),IF($S56="Lớp 4",INDEX('Lớp 4 - Danh mục'!$AA$14:$AA$132,$T56),INDEX('Lớp 3 - Công việc chính'!$X$14:$X$73,$T56))))</f>
        <v>#REF!</v>
      </c>
      <c r="P56" s="703" t="str">
        <f t="array" ref="P56">IF($S56="","",IF($S56="Lớp 5",INDEX('Lớp 5 - Phân công'!$AC$14:$AC$262,$T56),IF($S56="Lớp 4",INDEX('Lớp 4 - Danh mục'!$AB$14:$AB$132,$T56),INDEX('Lớp 3 - Công việc chính'!$Y$14:$Y$73,$T56))))</f>
        <v>#REF!</v>
      </c>
      <c r="Q56" s="697" t="str">
        <f t="array" ref="Q56">IF($S56="","",IF($S56="Lớp 5",INDEX('Lớp 5 - Phân công'!$AG$14:$AG$262,$T56),IF($S56="Lớp 4",INDEX('Lớp 4 - Danh mục'!$AF$14:$AF$132,$T56),INDEX('Lớp 3 - Công việc chính'!$AC$14:$AC$73,$T56))))</f>
        <v>#REF!</v>
      </c>
      <c r="R56" s="698" t="str">
        <f t="array" ref="R56">IF($S56="","",IF($S56="Lớp 5",INDEX('Lớp 5 - Phân công'!$X$14:$X$262,$T56),IF($S56="Lớp 4",INDEX('Lớp 4 - Danh mục'!$V$14:$V$132,$T56),INDEX('Lớp 3 - Công việc chính'!$T$14:$T$73,$T56))))</f>
        <v>#REF!</v>
      </c>
      <c r="S56" s="699" t="str">
        <f>IF(ROWS($S$14:S56)&lt;=COUNTIF('Lớp 5 - Phân công'!$I$14:$I$262,"&lt;&gt;"),"Lớp 5",IF(ROWS($S$14:S56)&lt;=COUNTIF('Lớp 5 - Phân công'!$I$14:$I$262,"&lt;&gt;")+SUMPRODUCT(--('Lớp 4 - Danh mục'!$I$14:$I$132&lt;&gt;""),--(COUNTIF('Lớp 5 - Phân công'!$J$14:$J$262,'Lớp 4 - Danh mục'!$I$14:$I$132)=0)),"Lớp 4",IF(ROWS($S$14:S56)&lt;=COUNTIF('Lớp 5 - Phân công'!$I$14:$I$262,"&lt;&gt;")+SUMPRODUCT(--('Lớp 4 - Danh mục'!$I$14:$I$132&lt;&gt;""),--(COUNTIF('Lớp 5 - Phân công'!$J$14:$J$262,'Lớp 4 - Danh mục'!$I$14:$I$132)=0))+SUMPRODUCT(--('Lớp 3 - Công việc chính'!$I$14:$I$73&lt;&gt;""),--(COUNTIF('Lớp 4 - Danh mục'!$J$14:$J$132,'Lớp 3 - Công việc chính'!$I$14:$I$73)=0)),"Lớp 3","")))</f>
        <v>#REF!</v>
      </c>
      <c r="T56" s="699" t="str">
        <f t="array" ref="T56">IF(S56="","",IF(S56="Lớp 5",IF(S55&lt;&gt;"Lớp 5",MATCH("*",'Lớp 5 - Phân công'!$I$14:$I$262,0),T55+MATCH("*",INDEX('Lớp 5 - Phân công'!$I$14:$I$262,T55+1):'Lớp 5 - Phân công'!$I$262,0)),IF(S56="Lớp 4",IF(S55&lt;&gt;"Lớp 4",MATCH(1,INDEX(('Lớp 4 - Danh mục'!$I$14:$I$132&lt;&gt;"")*(COUNTIF('Lớp 5 - Phân công'!$J$14:$J$262,'Lớp 4 - Danh mục'!$I$14:$I$132)=0),0),0),T55+MATCH(1,INDEX((INDEX('Lớp 4 - Danh mục'!$I$14:$I$132,T55+1):'Lớp 4 - Danh mục'!$I$132&lt;&gt;"")*(COUNTIF('Lớp 5 - Phân công'!$J$14:$J$262,INDEX('Lớp 4 - Danh mục'!$I$14:$I$132,T55+1):'Lớp 4 - Danh mục'!$I$132)=0),0),0)),IF(S55&lt;&gt;"Lớp 3",MATCH(1,INDEX(('Lớp 3 - Công việc chính'!$I$14:$I$73&lt;&gt;"")*(COUNTIF('Lớp 4 - Danh mục'!$J$14:$J$132,'Lớp 3 - Công việc chính'!$I$14:$I$73)=0),0),0),T55+MATCH(1,INDEX((INDEX('Lớp 3 - Công việc chính'!$I$14:$I$73,T55+1):'Lớp 3 - Công việc chính'!$I$73&lt;&gt;"")*(COUNTIF('Lớp 4 - Danh mục'!$J$14:$J$132,INDEX('Lớp 3 - Công việc chính'!$I$14:$I$73,T55+1):'Lớp 3 - Công việc chính'!$I$73)=0),0),0)))))</f>
        <v>#REF!</v>
      </c>
      <c r="Z56" s="700" t="str">
        <f t="array" ref="Z56">IF($S56="","",IF($S56="Lớp 5",INDEX('Lớp 5 - Phân công'!$AS$14:$AS$262,$T56),IF($S56="Lớp 4",INDEX('Lớp 4 - Danh mục'!$AR$14:$AR$132,$T56),INDEX('Lớp 3 - Công việc chính'!$AO$14:$AO$73,$T56))))</f>
        <v>#REF!</v>
      </c>
      <c r="AA56" s="701" t="str">
        <f t="array" ref="AA56">IF($S56="","",IF($S56="Lớp 5",INDEX('Lớp 5 - Phân công'!$AT$14:$AT$262,$T56),IF($S56="Lớp 4",INDEX('Lớp 4 - Danh mục'!$AS$14:$AS$132,$T56),INDEX('Lớp 3 - Công việc chính'!$AP$14:$AP$73,$T56))))</f>
        <v>#REF!</v>
      </c>
      <c r="AB56" s="701" t="str">
        <f t="array" ref="AB56">IF($S56="","",IF($S56="Lớp 5",INDEX('Lớp 5 - Phân công'!$AJ$14:$AJ$262,$T56),IF($S56="Lớp 4",INDEX('Lớp 4 - Danh mục'!$AI$14:$AI$132,$T56),INDEX('Lớp 3 - Công việc chính'!$AF$14:$AF$73,$T56))))</f>
        <v>#REF!</v>
      </c>
      <c r="AC56" s="702" t="str">
        <f t="array" ref="AC56">IF($S56="","",IF($S56="Lớp 5",INDEX('Lớp 5 - Phân công'!$AV$14:$AV$262,$T56),IF($S56="Lớp 4",INDEX('Lớp 4 - Danh mục'!$AU$14:$AU$132,$T56),INDEX('Lớp 3 - Công việc chính'!$AR$14:$AR$73,$T56))))</f>
        <v>#REF!</v>
      </c>
    </row>
    <row r="57" ht="15.75" customHeight="1">
      <c r="A57" s="690" t="str">
        <f t="shared" si="1"/>
        <v>#REF!</v>
      </c>
      <c r="B57" s="690" t="str">
        <f t="array" ref="B57">IF($S57="","",IF($S57="Lớp 5",INDEX('Lớp 5 - Phân công'!$I$14:$I$262,$T57),IF($S57="Lớp 4",INDEX('Lớp 4 - Danh mục'!$I$14:$I$132,$T57),INDEX('Lớp 3 - Công việc chính'!$I$14:$I$73,$T57))))</f>
        <v>#REF!</v>
      </c>
      <c r="C57" s="690" t="str">
        <f t="array" ref="C57">IF($S57="","",IF($S57="Lớp 5",INDEX('Lớp 5 - Phân công'!$K$14:$K$262,$T57),IF($S57="Lớp 4",INDEX('Lớp 4 - Danh mục'!$J$14:$J$132,$T57),INDEX('Lớp 3 - Công việc chính'!$I$14:$I$73,$T57))))</f>
        <v>#REF!</v>
      </c>
      <c r="D57" s="690" t="str">
        <f t="array" ref="D57">IF($S57="","",IF($S57="Lớp 5",INDEX('Lớp 5 - Phân công'!$J$14:$J$262,$T57),IF($S57="Lớp 4",INDEX('Lớp 4 - Danh mục'!$I$14:$I$132,$T57),"")))</f>
        <v>#REF!</v>
      </c>
      <c r="E57" s="690" t="str">
        <f t="array" ref="E57">IF($S57="","",IF($S57="Lớp 5",INDEX('Lớp 5 - Phân công'!$L$14:$L$262,$T57),IF($S57="Lớp 4",INDEX('Lớp 4 - Danh mục'!$K$14:$K$132,$T57),INDEX('Lớp 3 - Công việc chính'!$J$14:$J$73,$T57))))</f>
        <v>#REF!</v>
      </c>
      <c r="F57" s="690" t="str">
        <f t="array" ref="F57">IF($S57="","",IF($S57="Lớp 5",INDEX('Lớp 5 - Phân công'!$M$14:$M$262,$T57),IF($S57="Lớp 4",INDEX('Lớp 4 - Danh mục'!$L$14:$L$132,$T57),INDEX('Lớp 3 - Công việc chính'!$K$14:$K$73,$T57))))</f>
        <v>#REF!</v>
      </c>
      <c r="G57" s="691" t="str">
        <f t="array" ref="G57">IF($S57="","",IF($S57="Lớp 5",INDEX('Lớp 5 - Phân công'!$N$14:$N$262,$T57),IF($S57="Lớp 4",INDEX('Lớp 4 - Danh mục'!$M$14:$M$132,$T57),INDEX('Lớp 3 - Công việc chính'!$L$14:$L$73,$T57))))</f>
        <v>#REF!</v>
      </c>
      <c r="H57" s="692" t="str">
        <f t="array" ref="H57">IF($S57="","",IF($S57="Lớp 5",INDEX('Lớp 5 - Phân công'!$O$14:$O$262,$T57),IF($S57="Lớp 4",INDEX('Lớp 4 - Danh mục'!$N$14:$N$132,$T57),INDEX('Lớp 3 - Công việc chính'!$M$14:$M$73,$T57))))</f>
        <v>#REF!</v>
      </c>
      <c r="I57" s="692" t="str">
        <f t="array" ref="I57">IF($S57="","",IF($S57="Lớp 5",INDEX('Lớp 5 - Phân công'!$P$14:$P$262,$T57),IF($S57="Lớp 4",INDEX('Lớp 4 - Danh mục'!$O$14:$O$132,$T57),"")))</f>
        <v>#REF!</v>
      </c>
      <c r="J57" s="693" t="str">
        <f t="array" ref="J57">IF($S57="","",IF($S57="Lớp 5",INDEX('Lớp 5 - Phân công'!$Q$14:$Q$262,$T57),""))</f>
        <v>#REF!</v>
      </c>
      <c r="K57" s="690" t="str">
        <f t="array" ref="K57">IF($S57="","",IF($S57="Lớp 5",INDEX('Lớp 5 - Phân công'!$AA$14:$AA$262,$T57),IF($S57="Lớp 4",INDEX('Lớp 4 - Danh mục'!$Y$14:$Y$132,$T57),INDEX('Lớp 3 - Công việc chính'!$U$14:$U$73,$T57))))</f>
        <v>#REF!</v>
      </c>
      <c r="L57" s="691" t="str">
        <f t="array" ref="L57">IF($S57="","",IF($S57="Lớp 5",INDEX('Lớp 5 - Phân công'!$Z$14:$Z$262,$T57),IF($S57="Lớp 4",INDEX('Lớp 4 - Danh mục'!$X$14:$X$132,$T57),INDEX('Lớp 3 - Công việc chính'!$W$14:$W$73,$T57))))</f>
        <v>#REF!</v>
      </c>
      <c r="M57" s="694" t="str">
        <f t="array" ref="M57">IF($S57="","",IF($S57="Lớp 5",INDEX('Lớp 5 - Phân công'!$AD$14:$AD$262,$T57),IF($S57="Lớp 4",INDEX('Lớp 4 - Danh mục'!$AC$14:$AC$132,$T57),INDEX('Lớp 3 - Công việc chính'!$Z$14:$Z$73,$T57))))</f>
        <v>#REF!</v>
      </c>
      <c r="N57" s="695" t="str">
        <f t="array" ref="N57">IF($S57="","",IF($S57="Lớp 5",INDEX('Lớp 5 - Phân công'!$AE$14:$AE$262,$T57),IF($S57="Lớp 4",INDEX('Lớp 4 - Danh mục'!$AD$14:$AD$132,$T57),INDEX('Lớp 3 - Công việc chính'!$AA$14:$AA$73,$T57))))</f>
        <v>#REF!</v>
      </c>
      <c r="O57" s="690" t="str">
        <f t="array" ref="O57">IF($S57="","",IF($S57="Lớp 5",INDEX('Lớp 5 - Phân công'!$AB$14:$AB$262,$T57),IF($S57="Lớp 4",INDEX('Lớp 4 - Danh mục'!$AA$14:$AA$132,$T57),INDEX('Lớp 3 - Công việc chính'!$X$14:$X$73,$T57))))</f>
        <v>#REF!</v>
      </c>
      <c r="P57" s="703" t="str">
        <f t="array" ref="P57">IF($S57="","",IF($S57="Lớp 5",INDEX('Lớp 5 - Phân công'!$AC$14:$AC$262,$T57),IF($S57="Lớp 4",INDEX('Lớp 4 - Danh mục'!$AB$14:$AB$132,$T57),INDEX('Lớp 3 - Công việc chính'!$Y$14:$Y$73,$T57))))</f>
        <v>#REF!</v>
      </c>
      <c r="Q57" s="697" t="str">
        <f t="array" ref="Q57">IF($S57="","",IF($S57="Lớp 5",INDEX('Lớp 5 - Phân công'!$AG$14:$AG$262,$T57),IF($S57="Lớp 4",INDEX('Lớp 4 - Danh mục'!$AF$14:$AF$132,$T57),INDEX('Lớp 3 - Công việc chính'!$AC$14:$AC$73,$T57))))</f>
        <v>#REF!</v>
      </c>
      <c r="R57" s="698" t="str">
        <f t="array" ref="R57">IF($S57="","",IF($S57="Lớp 5",INDEX('Lớp 5 - Phân công'!$X$14:$X$262,$T57),IF($S57="Lớp 4",INDEX('Lớp 4 - Danh mục'!$V$14:$V$132,$T57),INDEX('Lớp 3 - Công việc chính'!$T$14:$T$73,$T57))))</f>
        <v>#REF!</v>
      </c>
      <c r="S57" s="699" t="str">
        <f>IF(ROWS($S$14:S57)&lt;=COUNTIF('Lớp 5 - Phân công'!$I$14:$I$262,"&lt;&gt;"),"Lớp 5",IF(ROWS($S$14:S57)&lt;=COUNTIF('Lớp 5 - Phân công'!$I$14:$I$262,"&lt;&gt;")+SUMPRODUCT(--('Lớp 4 - Danh mục'!$I$14:$I$132&lt;&gt;""),--(COUNTIF('Lớp 5 - Phân công'!$J$14:$J$262,'Lớp 4 - Danh mục'!$I$14:$I$132)=0)),"Lớp 4",IF(ROWS($S$14:S57)&lt;=COUNTIF('Lớp 5 - Phân công'!$I$14:$I$262,"&lt;&gt;")+SUMPRODUCT(--('Lớp 4 - Danh mục'!$I$14:$I$132&lt;&gt;""),--(COUNTIF('Lớp 5 - Phân công'!$J$14:$J$262,'Lớp 4 - Danh mục'!$I$14:$I$132)=0))+SUMPRODUCT(--('Lớp 3 - Công việc chính'!$I$14:$I$73&lt;&gt;""),--(COUNTIF('Lớp 4 - Danh mục'!$J$14:$J$132,'Lớp 3 - Công việc chính'!$I$14:$I$73)=0)),"Lớp 3","")))</f>
        <v>#REF!</v>
      </c>
      <c r="T57" s="699" t="str">
        <f t="array" ref="T57">IF(S57="","",IF(S57="Lớp 5",IF(S56&lt;&gt;"Lớp 5",MATCH("*",'Lớp 5 - Phân công'!$I$14:$I$262,0),T56+MATCH("*",INDEX('Lớp 5 - Phân công'!$I$14:$I$262,T56+1):'Lớp 5 - Phân công'!$I$262,0)),IF(S57="Lớp 4",IF(S56&lt;&gt;"Lớp 4",MATCH(1,INDEX(('Lớp 4 - Danh mục'!$I$14:$I$132&lt;&gt;"")*(COUNTIF('Lớp 5 - Phân công'!$J$14:$J$262,'Lớp 4 - Danh mục'!$I$14:$I$132)=0),0),0),T56+MATCH(1,INDEX((INDEX('Lớp 4 - Danh mục'!$I$14:$I$132,T56+1):'Lớp 4 - Danh mục'!$I$132&lt;&gt;"")*(COUNTIF('Lớp 5 - Phân công'!$J$14:$J$262,INDEX('Lớp 4 - Danh mục'!$I$14:$I$132,T56+1):'Lớp 4 - Danh mục'!$I$132)=0),0),0)),IF(S56&lt;&gt;"Lớp 3",MATCH(1,INDEX(('Lớp 3 - Công việc chính'!$I$14:$I$73&lt;&gt;"")*(COUNTIF('Lớp 4 - Danh mục'!$J$14:$J$132,'Lớp 3 - Công việc chính'!$I$14:$I$73)=0),0),0),T56+MATCH(1,INDEX((INDEX('Lớp 3 - Công việc chính'!$I$14:$I$73,T56+1):'Lớp 3 - Công việc chính'!$I$73&lt;&gt;"")*(COUNTIF('Lớp 4 - Danh mục'!$J$14:$J$132,INDEX('Lớp 3 - Công việc chính'!$I$14:$I$73,T56+1):'Lớp 3 - Công việc chính'!$I$73)=0),0),0)))))</f>
        <v>#REF!</v>
      </c>
      <c r="Z57" s="700" t="str">
        <f t="array" ref="Z57">IF($S57="","",IF($S57="Lớp 5",INDEX('Lớp 5 - Phân công'!$AS$14:$AS$262,$T57),IF($S57="Lớp 4",INDEX('Lớp 4 - Danh mục'!$AR$14:$AR$132,$T57),INDEX('Lớp 3 - Công việc chính'!$AO$14:$AO$73,$T57))))</f>
        <v>#REF!</v>
      </c>
      <c r="AA57" s="701" t="str">
        <f t="array" ref="AA57">IF($S57="","",IF($S57="Lớp 5",INDEX('Lớp 5 - Phân công'!$AT$14:$AT$262,$T57),IF($S57="Lớp 4",INDEX('Lớp 4 - Danh mục'!$AS$14:$AS$132,$T57),INDEX('Lớp 3 - Công việc chính'!$AP$14:$AP$73,$T57))))</f>
        <v>#REF!</v>
      </c>
      <c r="AB57" s="701" t="str">
        <f t="array" ref="AB57">IF($S57="","",IF($S57="Lớp 5",INDEX('Lớp 5 - Phân công'!$AJ$14:$AJ$262,$T57),IF($S57="Lớp 4",INDEX('Lớp 4 - Danh mục'!$AI$14:$AI$132,$T57),INDEX('Lớp 3 - Công việc chính'!$AF$14:$AF$73,$T57))))</f>
        <v>#REF!</v>
      </c>
      <c r="AC57" s="702" t="str">
        <f t="array" ref="AC57">IF($S57="","",IF($S57="Lớp 5",INDEX('Lớp 5 - Phân công'!$AV$14:$AV$262,$T57),IF($S57="Lớp 4",INDEX('Lớp 4 - Danh mục'!$AU$14:$AU$132,$T57),INDEX('Lớp 3 - Công việc chính'!$AR$14:$AR$73,$T57))))</f>
        <v>#REF!</v>
      </c>
    </row>
    <row r="58" ht="15.75" customHeight="1">
      <c r="A58" s="690" t="str">
        <f t="shared" si="1"/>
        <v>#REF!</v>
      </c>
      <c r="B58" s="690" t="str">
        <f t="array" ref="B58">IF($S58="","",IF($S58="Lớp 5",INDEX('Lớp 5 - Phân công'!$I$14:$I$262,$T58),IF($S58="Lớp 4",INDEX('Lớp 4 - Danh mục'!$I$14:$I$132,$T58),INDEX('Lớp 3 - Công việc chính'!$I$14:$I$73,$T58))))</f>
        <v>#REF!</v>
      </c>
      <c r="C58" s="690" t="str">
        <f t="array" ref="C58">IF($S58="","",IF($S58="Lớp 5",INDEX('Lớp 5 - Phân công'!$K$14:$K$262,$T58),IF($S58="Lớp 4",INDEX('Lớp 4 - Danh mục'!$J$14:$J$132,$T58),INDEX('Lớp 3 - Công việc chính'!$I$14:$I$73,$T58))))</f>
        <v>#REF!</v>
      </c>
      <c r="D58" s="690" t="str">
        <f t="array" ref="D58">IF($S58="","",IF($S58="Lớp 5",INDEX('Lớp 5 - Phân công'!$J$14:$J$262,$T58),IF($S58="Lớp 4",INDEX('Lớp 4 - Danh mục'!$I$14:$I$132,$T58),"")))</f>
        <v>#REF!</v>
      </c>
      <c r="E58" s="690" t="str">
        <f t="array" ref="E58">IF($S58="","",IF($S58="Lớp 5",INDEX('Lớp 5 - Phân công'!$L$14:$L$262,$T58),IF($S58="Lớp 4",INDEX('Lớp 4 - Danh mục'!$K$14:$K$132,$T58),INDEX('Lớp 3 - Công việc chính'!$J$14:$J$73,$T58))))</f>
        <v>#REF!</v>
      </c>
      <c r="F58" s="690" t="str">
        <f t="array" ref="F58">IF($S58="","",IF($S58="Lớp 5",INDEX('Lớp 5 - Phân công'!$M$14:$M$262,$T58),IF($S58="Lớp 4",INDEX('Lớp 4 - Danh mục'!$L$14:$L$132,$T58),INDEX('Lớp 3 - Công việc chính'!$K$14:$K$73,$T58))))</f>
        <v>#REF!</v>
      </c>
      <c r="G58" s="691" t="str">
        <f t="array" ref="G58">IF($S58="","",IF($S58="Lớp 5",INDEX('Lớp 5 - Phân công'!$N$14:$N$262,$T58),IF($S58="Lớp 4",INDEX('Lớp 4 - Danh mục'!$M$14:$M$132,$T58),INDEX('Lớp 3 - Công việc chính'!$L$14:$L$73,$T58))))</f>
        <v>#REF!</v>
      </c>
      <c r="H58" s="692" t="str">
        <f t="array" ref="H58">IF($S58="","",IF($S58="Lớp 5",INDEX('Lớp 5 - Phân công'!$O$14:$O$262,$T58),IF($S58="Lớp 4",INDEX('Lớp 4 - Danh mục'!$N$14:$N$132,$T58),INDEX('Lớp 3 - Công việc chính'!$M$14:$M$73,$T58))))</f>
        <v>#REF!</v>
      </c>
      <c r="I58" s="692" t="str">
        <f t="array" ref="I58">IF($S58="","",IF($S58="Lớp 5",INDEX('Lớp 5 - Phân công'!$P$14:$P$262,$T58),IF($S58="Lớp 4",INDEX('Lớp 4 - Danh mục'!$O$14:$O$132,$T58),"")))</f>
        <v>#REF!</v>
      </c>
      <c r="J58" s="693" t="str">
        <f t="array" ref="J58">IF($S58="","",IF($S58="Lớp 5",INDEX('Lớp 5 - Phân công'!$Q$14:$Q$262,$T58),""))</f>
        <v>#REF!</v>
      </c>
      <c r="K58" s="690" t="str">
        <f t="array" ref="K58">IF($S58="","",IF($S58="Lớp 5",INDEX('Lớp 5 - Phân công'!$AA$14:$AA$262,$T58),IF($S58="Lớp 4",INDEX('Lớp 4 - Danh mục'!$Y$14:$Y$132,$T58),INDEX('Lớp 3 - Công việc chính'!$U$14:$U$73,$T58))))</f>
        <v>#REF!</v>
      </c>
      <c r="L58" s="691" t="str">
        <f t="array" ref="L58">IF($S58="","",IF($S58="Lớp 5",INDEX('Lớp 5 - Phân công'!$Z$14:$Z$262,$T58),IF($S58="Lớp 4",INDEX('Lớp 4 - Danh mục'!$X$14:$X$132,$T58),INDEX('Lớp 3 - Công việc chính'!$W$14:$W$73,$T58))))</f>
        <v>#REF!</v>
      </c>
      <c r="M58" s="694" t="str">
        <f t="array" ref="M58">IF($S58="","",IF($S58="Lớp 5",INDEX('Lớp 5 - Phân công'!$AD$14:$AD$262,$T58),IF($S58="Lớp 4",INDEX('Lớp 4 - Danh mục'!$AC$14:$AC$132,$T58),INDEX('Lớp 3 - Công việc chính'!$Z$14:$Z$73,$T58))))</f>
        <v>#REF!</v>
      </c>
      <c r="N58" s="695" t="str">
        <f t="array" ref="N58">IF($S58="","",IF($S58="Lớp 5",INDEX('Lớp 5 - Phân công'!$AE$14:$AE$262,$T58),IF($S58="Lớp 4",INDEX('Lớp 4 - Danh mục'!$AD$14:$AD$132,$T58),INDEX('Lớp 3 - Công việc chính'!$AA$14:$AA$73,$T58))))</f>
        <v>#REF!</v>
      </c>
      <c r="O58" s="690" t="str">
        <f t="array" ref="O58">IF($S58="","",IF($S58="Lớp 5",INDEX('Lớp 5 - Phân công'!$AB$14:$AB$262,$T58),IF($S58="Lớp 4",INDEX('Lớp 4 - Danh mục'!$AA$14:$AA$132,$T58),INDEX('Lớp 3 - Công việc chính'!$X$14:$X$73,$T58))))</f>
        <v>#REF!</v>
      </c>
      <c r="P58" s="703" t="str">
        <f t="array" ref="P58">IF($S58="","",IF($S58="Lớp 5",INDEX('Lớp 5 - Phân công'!$AC$14:$AC$262,$T58),IF($S58="Lớp 4",INDEX('Lớp 4 - Danh mục'!$AB$14:$AB$132,$T58),INDEX('Lớp 3 - Công việc chính'!$Y$14:$Y$73,$T58))))</f>
        <v>#REF!</v>
      </c>
      <c r="Q58" s="697" t="str">
        <f t="array" ref="Q58">IF($S58="","",IF($S58="Lớp 5",INDEX('Lớp 5 - Phân công'!$AG$14:$AG$262,$T58),IF($S58="Lớp 4",INDEX('Lớp 4 - Danh mục'!$AF$14:$AF$132,$T58),INDEX('Lớp 3 - Công việc chính'!$AC$14:$AC$73,$T58))))</f>
        <v>#REF!</v>
      </c>
      <c r="R58" s="698" t="str">
        <f t="array" ref="R58">IF($S58="","",IF($S58="Lớp 5",INDEX('Lớp 5 - Phân công'!$X$14:$X$262,$T58),IF($S58="Lớp 4",INDEX('Lớp 4 - Danh mục'!$V$14:$V$132,$T58),INDEX('Lớp 3 - Công việc chính'!$T$14:$T$73,$T58))))</f>
        <v>#REF!</v>
      </c>
      <c r="S58" s="699" t="str">
        <f>IF(ROWS($S$14:S58)&lt;=COUNTIF('Lớp 5 - Phân công'!$I$14:$I$262,"&lt;&gt;"),"Lớp 5",IF(ROWS($S$14:S58)&lt;=COUNTIF('Lớp 5 - Phân công'!$I$14:$I$262,"&lt;&gt;")+SUMPRODUCT(--('Lớp 4 - Danh mục'!$I$14:$I$132&lt;&gt;""),--(COUNTIF('Lớp 5 - Phân công'!$J$14:$J$262,'Lớp 4 - Danh mục'!$I$14:$I$132)=0)),"Lớp 4",IF(ROWS($S$14:S58)&lt;=COUNTIF('Lớp 5 - Phân công'!$I$14:$I$262,"&lt;&gt;")+SUMPRODUCT(--('Lớp 4 - Danh mục'!$I$14:$I$132&lt;&gt;""),--(COUNTIF('Lớp 5 - Phân công'!$J$14:$J$262,'Lớp 4 - Danh mục'!$I$14:$I$132)=0))+SUMPRODUCT(--('Lớp 3 - Công việc chính'!$I$14:$I$73&lt;&gt;""),--(COUNTIF('Lớp 4 - Danh mục'!$J$14:$J$132,'Lớp 3 - Công việc chính'!$I$14:$I$73)=0)),"Lớp 3","")))</f>
        <v>#REF!</v>
      </c>
      <c r="T58" s="699" t="str">
        <f t="array" ref="T58">IF(S58="","",IF(S58="Lớp 5",IF(S57&lt;&gt;"Lớp 5",MATCH("*",'Lớp 5 - Phân công'!$I$14:$I$262,0),T57+MATCH("*",INDEX('Lớp 5 - Phân công'!$I$14:$I$262,T57+1):'Lớp 5 - Phân công'!$I$262,0)),IF(S58="Lớp 4",IF(S57&lt;&gt;"Lớp 4",MATCH(1,INDEX(('Lớp 4 - Danh mục'!$I$14:$I$132&lt;&gt;"")*(COUNTIF('Lớp 5 - Phân công'!$J$14:$J$262,'Lớp 4 - Danh mục'!$I$14:$I$132)=0),0),0),T57+MATCH(1,INDEX((INDEX('Lớp 4 - Danh mục'!$I$14:$I$132,T57+1):'Lớp 4 - Danh mục'!$I$132&lt;&gt;"")*(COUNTIF('Lớp 5 - Phân công'!$J$14:$J$262,INDEX('Lớp 4 - Danh mục'!$I$14:$I$132,T57+1):'Lớp 4 - Danh mục'!$I$132)=0),0),0)),IF(S57&lt;&gt;"Lớp 3",MATCH(1,INDEX(('Lớp 3 - Công việc chính'!$I$14:$I$73&lt;&gt;"")*(COUNTIF('Lớp 4 - Danh mục'!$J$14:$J$132,'Lớp 3 - Công việc chính'!$I$14:$I$73)=0),0),0),T57+MATCH(1,INDEX((INDEX('Lớp 3 - Công việc chính'!$I$14:$I$73,T57+1):'Lớp 3 - Công việc chính'!$I$73&lt;&gt;"")*(COUNTIF('Lớp 4 - Danh mục'!$J$14:$J$132,INDEX('Lớp 3 - Công việc chính'!$I$14:$I$73,T57+1):'Lớp 3 - Công việc chính'!$I$73)=0),0),0)))))</f>
        <v>#REF!</v>
      </c>
      <c r="Z58" s="700" t="str">
        <f t="array" ref="Z58">IF($S58="","",IF($S58="Lớp 5",INDEX('Lớp 5 - Phân công'!$AS$14:$AS$262,$T58),IF($S58="Lớp 4",INDEX('Lớp 4 - Danh mục'!$AR$14:$AR$132,$T58),INDEX('Lớp 3 - Công việc chính'!$AO$14:$AO$73,$T58))))</f>
        <v>#REF!</v>
      </c>
      <c r="AA58" s="701" t="str">
        <f t="array" ref="AA58">IF($S58="","",IF($S58="Lớp 5",INDEX('Lớp 5 - Phân công'!$AT$14:$AT$262,$T58),IF($S58="Lớp 4",INDEX('Lớp 4 - Danh mục'!$AS$14:$AS$132,$T58),INDEX('Lớp 3 - Công việc chính'!$AP$14:$AP$73,$T58))))</f>
        <v>#REF!</v>
      </c>
      <c r="AB58" s="701" t="str">
        <f t="array" ref="AB58">IF($S58="","",IF($S58="Lớp 5",INDEX('Lớp 5 - Phân công'!$AJ$14:$AJ$262,$T58),IF($S58="Lớp 4",INDEX('Lớp 4 - Danh mục'!$AI$14:$AI$132,$T58),INDEX('Lớp 3 - Công việc chính'!$AF$14:$AF$73,$T58))))</f>
        <v>#REF!</v>
      </c>
      <c r="AC58" s="702" t="str">
        <f t="array" ref="AC58">IF($S58="","",IF($S58="Lớp 5",INDEX('Lớp 5 - Phân công'!$AV$14:$AV$262,$T58),IF($S58="Lớp 4",INDEX('Lớp 4 - Danh mục'!$AU$14:$AU$132,$T58),INDEX('Lớp 3 - Công việc chính'!$AR$14:$AR$73,$T58))))</f>
        <v>#REF!</v>
      </c>
    </row>
    <row r="59" ht="15.75" customHeight="1">
      <c r="A59" s="690" t="str">
        <f t="shared" si="1"/>
        <v>#REF!</v>
      </c>
      <c r="B59" s="690" t="str">
        <f t="array" ref="B59">IF($S59="","",IF($S59="Lớp 5",INDEX('Lớp 5 - Phân công'!$I$14:$I$262,$T59),IF($S59="Lớp 4",INDEX('Lớp 4 - Danh mục'!$I$14:$I$132,$T59),INDEX('Lớp 3 - Công việc chính'!$I$14:$I$73,$T59))))</f>
        <v>#REF!</v>
      </c>
      <c r="C59" s="690" t="str">
        <f t="array" ref="C59">IF($S59="","",IF($S59="Lớp 5",INDEX('Lớp 5 - Phân công'!$K$14:$K$262,$T59),IF($S59="Lớp 4",INDEX('Lớp 4 - Danh mục'!$J$14:$J$132,$T59),INDEX('Lớp 3 - Công việc chính'!$I$14:$I$73,$T59))))</f>
        <v>#REF!</v>
      </c>
      <c r="D59" s="690" t="str">
        <f t="array" ref="D59">IF($S59="","",IF($S59="Lớp 5",INDEX('Lớp 5 - Phân công'!$J$14:$J$262,$T59),IF($S59="Lớp 4",INDEX('Lớp 4 - Danh mục'!$I$14:$I$132,$T59),"")))</f>
        <v>#REF!</v>
      </c>
      <c r="E59" s="690" t="str">
        <f t="array" ref="E59">IF($S59="","",IF($S59="Lớp 5",INDEX('Lớp 5 - Phân công'!$L$14:$L$262,$T59),IF($S59="Lớp 4",INDEX('Lớp 4 - Danh mục'!$K$14:$K$132,$T59),INDEX('Lớp 3 - Công việc chính'!$J$14:$J$73,$T59))))</f>
        <v>#REF!</v>
      </c>
      <c r="F59" s="690" t="str">
        <f t="array" ref="F59">IF($S59="","",IF($S59="Lớp 5",INDEX('Lớp 5 - Phân công'!$M$14:$M$262,$T59),IF($S59="Lớp 4",INDEX('Lớp 4 - Danh mục'!$L$14:$L$132,$T59),INDEX('Lớp 3 - Công việc chính'!$K$14:$K$73,$T59))))</f>
        <v>#REF!</v>
      </c>
      <c r="G59" s="691" t="str">
        <f t="array" ref="G59">IF($S59="","",IF($S59="Lớp 5",INDEX('Lớp 5 - Phân công'!$N$14:$N$262,$T59),IF($S59="Lớp 4",INDEX('Lớp 4 - Danh mục'!$M$14:$M$132,$T59),INDEX('Lớp 3 - Công việc chính'!$L$14:$L$73,$T59))))</f>
        <v>#REF!</v>
      </c>
      <c r="H59" s="692" t="str">
        <f t="array" ref="H59">IF($S59="","",IF($S59="Lớp 5",INDEX('Lớp 5 - Phân công'!$O$14:$O$262,$T59),IF($S59="Lớp 4",INDEX('Lớp 4 - Danh mục'!$N$14:$N$132,$T59),INDEX('Lớp 3 - Công việc chính'!$M$14:$M$73,$T59))))</f>
        <v>#REF!</v>
      </c>
      <c r="I59" s="692" t="str">
        <f t="array" ref="I59">IF($S59="","",IF($S59="Lớp 5",INDEX('Lớp 5 - Phân công'!$P$14:$P$262,$T59),IF($S59="Lớp 4",INDEX('Lớp 4 - Danh mục'!$O$14:$O$132,$T59),"")))</f>
        <v>#REF!</v>
      </c>
      <c r="J59" s="693" t="str">
        <f t="array" ref="J59">IF($S59="","",IF($S59="Lớp 5",INDEX('Lớp 5 - Phân công'!$Q$14:$Q$262,$T59),""))</f>
        <v>#REF!</v>
      </c>
      <c r="K59" s="690" t="str">
        <f t="array" ref="K59">IF($S59="","",IF($S59="Lớp 5",INDEX('Lớp 5 - Phân công'!$AA$14:$AA$262,$T59),IF($S59="Lớp 4",INDEX('Lớp 4 - Danh mục'!$Y$14:$Y$132,$T59),INDEX('Lớp 3 - Công việc chính'!$U$14:$U$73,$T59))))</f>
        <v>#REF!</v>
      </c>
      <c r="L59" s="691" t="str">
        <f t="array" ref="L59">IF($S59="","",IF($S59="Lớp 5",INDEX('Lớp 5 - Phân công'!$Z$14:$Z$262,$T59),IF($S59="Lớp 4",INDEX('Lớp 4 - Danh mục'!$X$14:$X$132,$T59),INDEX('Lớp 3 - Công việc chính'!$W$14:$W$73,$T59))))</f>
        <v>#REF!</v>
      </c>
      <c r="M59" s="694" t="str">
        <f t="array" ref="M59">IF($S59="","",IF($S59="Lớp 5",INDEX('Lớp 5 - Phân công'!$AD$14:$AD$262,$T59),IF($S59="Lớp 4",INDEX('Lớp 4 - Danh mục'!$AC$14:$AC$132,$T59),INDEX('Lớp 3 - Công việc chính'!$Z$14:$Z$73,$T59))))</f>
        <v>#REF!</v>
      </c>
      <c r="N59" s="695" t="str">
        <f t="array" ref="N59">IF($S59="","",IF($S59="Lớp 5",INDEX('Lớp 5 - Phân công'!$AE$14:$AE$262,$T59),IF($S59="Lớp 4",INDEX('Lớp 4 - Danh mục'!$AD$14:$AD$132,$T59),INDEX('Lớp 3 - Công việc chính'!$AA$14:$AA$73,$T59))))</f>
        <v>#REF!</v>
      </c>
      <c r="O59" s="690" t="str">
        <f t="array" ref="O59">IF($S59="","",IF($S59="Lớp 5",INDEX('Lớp 5 - Phân công'!$AB$14:$AB$262,$T59),IF($S59="Lớp 4",INDEX('Lớp 4 - Danh mục'!$AA$14:$AA$132,$T59),INDEX('Lớp 3 - Công việc chính'!$X$14:$X$73,$T59))))</f>
        <v>#REF!</v>
      </c>
      <c r="P59" s="703" t="str">
        <f t="array" ref="P59">IF($S59="","",IF($S59="Lớp 5",INDEX('Lớp 5 - Phân công'!$AC$14:$AC$262,$T59),IF($S59="Lớp 4",INDEX('Lớp 4 - Danh mục'!$AB$14:$AB$132,$T59),INDEX('Lớp 3 - Công việc chính'!$Y$14:$Y$73,$T59))))</f>
        <v>#REF!</v>
      </c>
      <c r="Q59" s="697" t="str">
        <f t="array" ref="Q59">IF($S59="","",IF($S59="Lớp 5",INDEX('Lớp 5 - Phân công'!$AG$14:$AG$262,$T59),IF($S59="Lớp 4",INDEX('Lớp 4 - Danh mục'!$AF$14:$AF$132,$T59),INDEX('Lớp 3 - Công việc chính'!$AC$14:$AC$73,$T59))))</f>
        <v>#REF!</v>
      </c>
      <c r="R59" s="698" t="str">
        <f t="array" ref="R59">IF($S59="","",IF($S59="Lớp 5",INDEX('Lớp 5 - Phân công'!$X$14:$X$262,$T59),IF($S59="Lớp 4",INDEX('Lớp 4 - Danh mục'!$V$14:$V$132,$T59),INDEX('Lớp 3 - Công việc chính'!$T$14:$T$73,$T59))))</f>
        <v>#REF!</v>
      </c>
      <c r="S59" s="699" t="str">
        <f>IF(ROWS($S$14:S59)&lt;=COUNTIF('Lớp 5 - Phân công'!$I$14:$I$262,"&lt;&gt;"),"Lớp 5",IF(ROWS($S$14:S59)&lt;=COUNTIF('Lớp 5 - Phân công'!$I$14:$I$262,"&lt;&gt;")+SUMPRODUCT(--('Lớp 4 - Danh mục'!$I$14:$I$132&lt;&gt;""),--(COUNTIF('Lớp 5 - Phân công'!$J$14:$J$262,'Lớp 4 - Danh mục'!$I$14:$I$132)=0)),"Lớp 4",IF(ROWS($S$14:S59)&lt;=COUNTIF('Lớp 5 - Phân công'!$I$14:$I$262,"&lt;&gt;")+SUMPRODUCT(--('Lớp 4 - Danh mục'!$I$14:$I$132&lt;&gt;""),--(COUNTIF('Lớp 5 - Phân công'!$J$14:$J$262,'Lớp 4 - Danh mục'!$I$14:$I$132)=0))+SUMPRODUCT(--('Lớp 3 - Công việc chính'!$I$14:$I$73&lt;&gt;""),--(COUNTIF('Lớp 4 - Danh mục'!$J$14:$J$132,'Lớp 3 - Công việc chính'!$I$14:$I$73)=0)),"Lớp 3","")))</f>
        <v>#REF!</v>
      </c>
      <c r="T59" s="699" t="str">
        <f t="array" ref="T59">IF(S59="","",IF(S59="Lớp 5",IF(S58&lt;&gt;"Lớp 5",MATCH("*",'Lớp 5 - Phân công'!$I$14:$I$262,0),T58+MATCH("*",INDEX('Lớp 5 - Phân công'!$I$14:$I$262,T58+1):'Lớp 5 - Phân công'!$I$262,0)),IF(S59="Lớp 4",IF(S58&lt;&gt;"Lớp 4",MATCH(1,INDEX(('Lớp 4 - Danh mục'!$I$14:$I$132&lt;&gt;"")*(COUNTIF('Lớp 5 - Phân công'!$J$14:$J$262,'Lớp 4 - Danh mục'!$I$14:$I$132)=0),0),0),T58+MATCH(1,INDEX((INDEX('Lớp 4 - Danh mục'!$I$14:$I$132,T58+1):'Lớp 4 - Danh mục'!$I$132&lt;&gt;"")*(COUNTIF('Lớp 5 - Phân công'!$J$14:$J$262,INDEX('Lớp 4 - Danh mục'!$I$14:$I$132,T58+1):'Lớp 4 - Danh mục'!$I$132)=0),0),0)),IF(S58&lt;&gt;"Lớp 3",MATCH(1,INDEX(('Lớp 3 - Công việc chính'!$I$14:$I$73&lt;&gt;"")*(COUNTIF('Lớp 4 - Danh mục'!$J$14:$J$132,'Lớp 3 - Công việc chính'!$I$14:$I$73)=0),0),0),T58+MATCH(1,INDEX((INDEX('Lớp 3 - Công việc chính'!$I$14:$I$73,T58+1):'Lớp 3 - Công việc chính'!$I$73&lt;&gt;"")*(COUNTIF('Lớp 4 - Danh mục'!$J$14:$J$132,INDEX('Lớp 3 - Công việc chính'!$I$14:$I$73,T58+1):'Lớp 3 - Công việc chính'!$I$73)=0),0),0)))))</f>
        <v>#REF!</v>
      </c>
      <c r="Z59" s="700" t="str">
        <f t="array" ref="Z59">IF($S59="","",IF($S59="Lớp 5",INDEX('Lớp 5 - Phân công'!$AS$14:$AS$262,$T59),IF($S59="Lớp 4",INDEX('Lớp 4 - Danh mục'!$AR$14:$AR$132,$T59),INDEX('Lớp 3 - Công việc chính'!$AO$14:$AO$73,$T59))))</f>
        <v>#REF!</v>
      </c>
      <c r="AA59" s="701" t="str">
        <f t="array" ref="AA59">IF($S59="","",IF($S59="Lớp 5",INDEX('Lớp 5 - Phân công'!$AT$14:$AT$262,$T59),IF($S59="Lớp 4",INDEX('Lớp 4 - Danh mục'!$AS$14:$AS$132,$T59),INDEX('Lớp 3 - Công việc chính'!$AP$14:$AP$73,$T59))))</f>
        <v>#REF!</v>
      </c>
      <c r="AB59" s="701" t="str">
        <f t="array" ref="AB59">IF($S59="","",IF($S59="Lớp 5",INDEX('Lớp 5 - Phân công'!$AJ$14:$AJ$262,$T59),IF($S59="Lớp 4",INDEX('Lớp 4 - Danh mục'!$AI$14:$AI$132,$T59),INDEX('Lớp 3 - Công việc chính'!$AF$14:$AF$73,$T59))))</f>
        <v>#REF!</v>
      </c>
      <c r="AC59" s="702" t="str">
        <f t="array" ref="AC59">IF($S59="","",IF($S59="Lớp 5",INDEX('Lớp 5 - Phân công'!$AV$14:$AV$262,$T59),IF($S59="Lớp 4",INDEX('Lớp 4 - Danh mục'!$AU$14:$AU$132,$T59),INDEX('Lớp 3 - Công việc chính'!$AR$14:$AR$73,$T59))))</f>
        <v>#REF!</v>
      </c>
    </row>
    <row r="60" ht="15.75" customHeight="1">
      <c r="A60" s="690" t="str">
        <f t="shared" si="1"/>
        <v>#REF!</v>
      </c>
      <c r="B60" s="690" t="str">
        <f t="array" ref="B60">IF($S60="","",IF($S60="Lớp 5",INDEX('Lớp 5 - Phân công'!$I$14:$I$262,$T60),IF($S60="Lớp 4",INDEX('Lớp 4 - Danh mục'!$I$14:$I$132,$T60),INDEX('Lớp 3 - Công việc chính'!$I$14:$I$73,$T60))))</f>
        <v>#REF!</v>
      </c>
      <c r="C60" s="690" t="str">
        <f t="array" ref="C60">IF($S60="","",IF($S60="Lớp 5",INDEX('Lớp 5 - Phân công'!$K$14:$K$262,$T60),IF($S60="Lớp 4",INDEX('Lớp 4 - Danh mục'!$J$14:$J$132,$T60),INDEX('Lớp 3 - Công việc chính'!$I$14:$I$73,$T60))))</f>
        <v>#REF!</v>
      </c>
      <c r="D60" s="690" t="str">
        <f t="array" ref="D60">IF($S60="","",IF($S60="Lớp 5",INDEX('Lớp 5 - Phân công'!$J$14:$J$262,$T60),IF($S60="Lớp 4",INDEX('Lớp 4 - Danh mục'!$I$14:$I$132,$T60),"")))</f>
        <v>#REF!</v>
      </c>
      <c r="E60" s="690" t="str">
        <f t="array" ref="E60">IF($S60="","",IF($S60="Lớp 5",INDEX('Lớp 5 - Phân công'!$L$14:$L$262,$T60),IF($S60="Lớp 4",INDEX('Lớp 4 - Danh mục'!$K$14:$K$132,$T60),INDEX('Lớp 3 - Công việc chính'!$J$14:$J$73,$T60))))</f>
        <v>#REF!</v>
      </c>
      <c r="F60" s="690" t="str">
        <f t="array" ref="F60">IF($S60="","",IF($S60="Lớp 5",INDEX('Lớp 5 - Phân công'!$M$14:$M$262,$T60),IF($S60="Lớp 4",INDEX('Lớp 4 - Danh mục'!$L$14:$L$132,$T60),INDEX('Lớp 3 - Công việc chính'!$K$14:$K$73,$T60))))</f>
        <v>#REF!</v>
      </c>
      <c r="G60" s="691" t="str">
        <f t="array" ref="G60">IF($S60="","",IF($S60="Lớp 5",INDEX('Lớp 5 - Phân công'!$N$14:$N$262,$T60),IF($S60="Lớp 4",INDEX('Lớp 4 - Danh mục'!$M$14:$M$132,$T60),INDEX('Lớp 3 - Công việc chính'!$L$14:$L$73,$T60))))</f>
        <v>#REF!</v>
      </c>
      <c r="H60" s="692" t="str">
        <f t="array" ref="H60">IF($S60="","",IF($S60="Lớp 5",INDEX('Lớp 5 - Phân công'!$O$14:$O$262,$T60),IF($S60="Lớp 4",INDEX('Lớp 4 - Danh mục'!$N$14:$N$132,$T60),INDEX('Lớp 3 - Công việc chính'!$M$14:$M$73,$T60))))</f>
        <v>#REF!</v>
      </c>
      <c r="I60" s="692" t="str">
        <f t="array" ref="I60">IF($S60="","",IF($S60="Lớp 5",INDEX('Lớp 5 - Phân công'!$P$14:$P$262,$T60),IF($S60="Lớp 4",INDEX('Lớp 4 - Danh mục'!$O$14:$O$132,$T60),"")))</f>
        <v>#REF!</v>
      </c>
      <c r="J60" s="693" t="str">
        <f t="array" ref="J60">IF($S60="","",IF($S60="Lớp 5",INDEX('Lớp 5 - Phân công'!$Q$14:$Q$262,$T60),""))</f>
        <v>#REF!</v>
      </c>
      <c r="K60" s="690" t="str">
        <f t="array" ref="K60">IF($S60="","",IF($S60="Lớp 5",INDEX('Lớp 5 - Phân công'!$AA$14:$AA$262,$T60),IF($S60="Lớp 4",INDEX('Lớp 4 - Danh mục'!$Y$14:$Y$132,$T60),INDEX('Lớp 3 - Công việc chính'!$U$14:$U$73,$T60))))</f>
        <v>#REF!</v>
      </c>
      <c r="L60" s="691" t="str">
        <f t="array" ref="L60">IF($S60="","",IF($S60="Lớp 5",INDEX('Lớp 5 - Phân công'!$Z$14:$Z$262,$T60),IF($S60="Lớp 4",INDEX('Lớp 4 - Danh mục'!$X$14:$X$132,$T60),INDEX('Lớp 3 - Công việc chính'!$W$14:$W$73,$T60))))</f>
        <v>#REF!</v>
      </c>
      <c r="M60" s="694" t="str">
        <f t="array" ref="M60">IF($S60="","",IF($S60="Lớp 5",INDEX('Lớp 5 - Phân công'!$AD$14:$AD$262,$T60),IF($S60="Lớp 4",INDEX('Lớp 4 - Danh mục'!$AC$14:$AC$132,$T60),INDEX('Lớp 3 - Công việc chính'!$Z$14:$Z$73,$T60))))</f>
        <v>#REF!</v>
      </c>
      <c r="N60" s="695" t="str">
        <f t="array" ref="N60">IF($S60="","",IF($S60="Lớp 5",INDEX('Lớp 5 - Phân công'!$AE$14:$AE$262,$T60),IF($S60="Lớp 4",INDEX('Lớp 4 - Danh mục'!$AD$14:$AD$132,$T60),INDEX('Lớp 3 - Công việc chính'!$AA$14:$AA$73,$T60))))</f>
        <v>#REF!</v>
      </c>
      <c r="O60" s="690" t="str">
        <f t="array" ref="O60">IF($S60="","",IF($S60="Lớp 5",INDEX('Lớp 5 - Phân công'!$AB$14:$AB$262,$T60),IF($S60="Lớp 4",INDEX('Lớp 4 - Danh mục'!$AA$14:$AA$132,$T60),INDEX('Lớp 3 - Công việc chính'!$X$14:$X$73,$T60))))</f>
        <v>#REF!</v>
      </c>
      <c r="P60" s="703" t="str">
        <f t="array" ref="P60">IF($S60="","",IF($S60="Lớp 5",INDEX('Lớp 5 - Phân công'!$AC$14:$AC$262,$T60),IF($S60="Lớp 4",INDEX('Lớp 4 - Danh mục'!$AB$14:$AB$132,$T60),INDEX('Lớp 3 - Công việc chính'!$Y$14:$Y$73,$T60))))</f>
        <v>#REF!</v>
      </c>
      <c r="Q60" s="697" t="str">
        <f t="array" ref="Q60">IF($S60="","",IF($S60="Lớp 5",INDEX('Lớp 5 - Phân công'!$AG$14:$AG$262,$T60),IF($S60="Lớp 4",INDEX('Lớp 4 - Danh mục'!$AF$14:$AF$132,$T60),INDEX('Lớp 3 - Công việc chính'!$AC$14:$AC$73,$T60))))</f>
        <v>#REF!</v>
      </c>
      <c r="R60" s="698" t="str">
        <f t="array" ref="R60">IF($S60="","",IF($S60="Lớp 5",INDEX('Lớp 5 - Phân công'!$X$14:$X$262,$T60),IF($S60="Lớp 4",INDEX('Lớp 4 - Danh mục'!$V$14:$V$132,$T60),INDEX('Lớp 3 - Công việc chính'!$T$14:$T$73,$T60))))</f>
        <v>#REF!</v>
      </c>
      <c r="S60" s="699" t="str">
        <f>IF(ROWS($S$14:S60)&lt;=COUNTIF('Lớp 5 - Phân công'!$I$14:$I$262,"&lt;&gt;"),"Lớp 5",IF(ROWS($S$14:S60)&lt;=COUNTIF('Lớp 5 - Phân công'!$I$14:$I$262,"&lt;&gt;")+SUMPRODUCT(--('Lớp 4 - Danh mục'!$I$14:$I$132&lt;&gt;""),--(COUNTIF('Lớp 5 - Phân công'!$J$14:$J$262,'Lớp 4 - Danh mục'!$I$14:$I$132)=0)),"Lớp 4",IF(ROWS($S$14:S60)&lt;=COUNTIF('Lớp 5 - Phân công'!$I$14:$I$262,"&lt;&gt;")+SUMPRODUCT(--('Lớp 4 - Danh mục'!$I$14:$I$132&lt;&gt;""),--(COUNTIF('Lớp 5 - Phân công'!$J$14:$J$262,'Lớp 4 - Danh mục'!$I$14:$I$132)=0))+SUMPRODUCT(--('Lớp 3 - Công việc chính'!$I$14:$I$73&lt;&gt;""),--(COUNTIF('Lớp 4 - Danh mục'!$J$14:$J$132,'Lớp 3 - Công việc chính'!$I$14:$I$73)=0)),"Lớp 3","")))</f>
        <v>#REF!</v>
      </c>
      <c r="T60" s="699" t="str">
        <f t="array" ref="T60">IF(S60="","",IF(S60="Lớp 5",IF(S59&lt;&gt;"Lớp 5",MATCH("*",'Lớp 5 - Phân công'!$I$14:$I$262,0),T59+MATCH("*",INDEX('Lớp 5 - Phân công'!$I$14:$I$262,T59+1):'Lớp 5 - Phân công'!$I$262,0)),IF(S60="Lớp 4",IF(S59&lt;&gt;"Lớp 4",MATCH(1,INDEX(('Lớp 4 - Danh mục'!$I$14:$I$132&lt;&gt;"")*(COUNTIF('Lớp 5 - Phân công'!$J$14:$J$262,'Lớp 4 - Danh mục'!$I$14:$I$132)=0),0),0),T59+MATCH(1,INDEX((INDEX('Lớp 4 - Danh mục'!$I$14:$I$132,T59+1):'Lớp 4 - Danh mục'!$I$132&lt;&gt;"")*(COUNTIF('Lớp 5 - Phân công'!$J$14:$J$262,INDEX('Lớp 4 - Danh mục'!$I$14:$I$132,T59+1):'Lớp 4 - Danh mục'!$I$132)=0),0),0)),IF(S59&lt;&gt;"Lớp 3",MATCH(1,INDEX(('Lớp 3 - Công việc chính'!$I$14:$I$73&lt;&gt;"")*(COUNTIF('Lớp 4 - Danh mục'!$J$14:$J$132,'Lớp 3 - Công việc chính'!$I$14:$I$73)=0),0),0),T59+MATCH(1,INDEX((INDEX('Lớp 3 - Công việc chính'!$I$14:$I$73,T59+1):'Lớp 3 - Công việc chính'!$I$73&lt;&gt;"")*(COUNTIF('Lớp 4 - Danh mục'!$J$14:$J$132,INDEX('Lớp 3 - Công việc chính'!$I$14:$I$73,T59+1):'Lớp 3 - Công việc chính'!$I$73)=0),0),0)))))</f>
        <v>#REF!</v>
      </c>
      <c r="Z60" s="700" t="str">
        <f t="array" ref="Z60">IF($S60="","",IF($S60="Lớp 5",INDEX('Lớp 5 - Phân công'!$AS$14:$AS$262,$T60),IF($S60="Lớp 4",INDEX('Lớp 4 - Danh mục'!$AR$14:$AR$132,$T60),INDEX('Lớp 3 - Công việc chính'!$AO$14:$AO$73,$T60))))</f>
        <v>#REF!</v>
      </c>
      <c r="AA60" s="701" t="str">
        <f t="array" ref="AA60">IF($S60="","",IF($S60="Lớp 5",INDEX('Lớp 5 - Phân công'!$AT$14:$AT$262,$T60),IF($S60="Lớp 4",INDEX('Lớp 4 - Danh mục'!$AS$14:$AS$132,$T60),INDEX('Lớp 3 - Công việc chính'!$AP$14:$AP$73,$T60))))</f>
        <v>#REF!</v>
      </c>
      <c r="AB60" s="701" t="str">
        <f t="array" ref="AB60">IF($S60="","",IF($S60="Lớp 5",INDEX('Lớp 5 - Phân công'!$AJ$14:$AJ$262,$T60),IF($S60="Lớp 4",INDEX('Lớp 4 - Danh mục'!$AI$14:$AI$132,$T60),INDEX('Lớp 3 - Công việc chính'!$AF$14:$AF$73,$T60))))</f>
        <v>#REF!</v>
      </c>
      <c r="AC60" s="702" t="str">
        <f t="array" ref="AC60">IF($S60="","",IF($S60="Lớp 5",INDEX('Lớp 5 - Phân công'!$AV$14:$AV$262,$T60),IF($S60="Lớp 4",INDEX('Lớp 4 - Danh mục'!$AU$14:$AU$132,$T60),INDEX('Lớp 3 - Công việc chính'!$AR$14:$AR$73,$T60))))</f>
        <v>#REF!</v>
      </c>
    </row>
    <row r="61" ht="15.75" customHeight="1">
      <c r="A61" s="690" t="str">
        <f t="shared" si="1"/>
        <v>#REF!</v>
      </c>
      <c r="B61" s="690" t="str">
        <f t="array" ref="B61">IF($S61="","",IF($S61="Lớp 5",INDEX('Lớp 5 - Phân công'!$I$14:$I$262,$T61),IF($S61="Lớp 4",INDEX('Lớp 4 - Danh mục'!$I$14:$I$132,$T61),INDEX('Lớp 3 - Công việc chính'!$I$14:$I$73,$T61))))</f>
        <v>#REF!</v>
      </c>
      <c r="C61" s="690" t="str">
        <f t="array" ref="C61">IF($S61="","",IF($S61="Lớp 5",INDEX('Lớp 5 - Phân công'!$K$14:$K$262,$T61),IF($S61="Lớp 4",INDEX('Lớp 4 - Danh mục'!$J$14:$J$132,$T61),INDEX('Lớp 3 - Công việc chính'!$I$14:$I$73,$T61))))</f>
        <v>#REF!</v>
      </c>
      <c r="D61" s="690" t="str">
        <f t="array" ref="D61">IF($S61="","",IF($S61="Lớp 5",INDEX('Lớp 5 - Phân công'!$J$14:$J$262,$T61),IF($S61="Lớp 4",INDEX('Lớp 4 - Danh mục'!$I$14:$I$132,$T61),"")))</f>
        <v>#REF!</v>
      </c>
      <c r="E61" s="690" t="str">
        <f t="array" ref="E61">IF($S61="","",IF($S61="Lớp 5",INDEX('Lớp 5 - Phân công'!$L$14:$L$262,$T61),IF($S61="Lớp 4",INDEX('Lớp 4 - Danh mục'!$K$14:$K$132,$T61),INDEX('Lớp 3 - Công việc chính'!$J$14:$J$73,$T61))))</f>
        <v>#REF!</v>
      </c>
      <c r="F61" s="690" t="str">
        <f t="array" ref="F61">IF($S61="","",IF($S61="Lớp 5",INDEX('Lớp 5 - Phân công'!$M$14:$M$262,$T61),IF($S61="Lớp 4",INDEX('Lớp 4 - Danh mục'!$L$14:$L$132,$T61),INDEX('Lớp 3 - Công việc chính'!$K$14:$K$73,$T61))))</f>
        <v>#REF!</v>
      </c>
      <c r="G61" s="691" t="str">
        <f t="array" ref="G61">IF($S61="","",IF($S61="Lớp 5",INDEX('Lớp 5 - Phân công'!$N$14:$N$262,$T61),IF($S61="Lớp 4",INDEX('Lớp 4 - Danh mục'!$M$14:$M$132,$T61),INDEX('Lớp 3 - Công việc chính'!$L$14:$L$73,$T61))))</f>
        <v>#REF!</v>
      </c>
      <c r="H61" s="692" t="str">
        <f t="array" ref="H61">IF($S61="","",IF($S61="Lớp 5",INDEX('Lớp 5 - Phân công'!$O$14:$O$262,$T61),IF($S61="Lớp 4",INDEX('Lớp 4 - Danh mục'!$N$14:$N$132,$T61),INDEX('Lớp 3 - Công việc chính'!$M$14:$M$73,$T61))))</f>
        <v>#REF!</v>
      </c>
      <c r="I61" s="692" t="str">
        <f t="array" ref="I61">IF($S61="","",IF($S61="Lớp 5",INDEX('Lớp 5 - Phân công'!$P$14:$P$262,$T61),IF($S61="Lớp 4",INDEX('Lớp 4 - Danh mục'!$O$14:$O$132,$T61),"")))</f>
        <v>#REF!</v>
      </c>
      <c r="J61" s="693" t="str">
        <f t="array" ref="J61">IF($S61="","",IF($S61="Lớp 5",INDEX('Lớp 5 - Phân công'!$Q$14:$Q$262,$T61),""))</f>
        <v>#REF!</v>
      </c>
      <c r="K61" s="690" t="str">
        <f t="array" ref="K61">IF($S61="","",IF($S61="Lớp 5",INDEX('Lớp 5 - Phân công'!$AA$14:$AA$262,$T61),IF($S61="Lớp 4",INDEX('Lớp 4 - Danh mục'!$Y$14:$Y$132,$T61),INDEX('Lớp 3 - Công việc chính'!$U$14:$U$73,$T61))))</f>
        <v>#REF!</v>
      </c>
      <c r="L61" s="691" t="str">
        <f t="array" ref="L61">IF($S61="","",IF($S61="Lớp 5",INDEX('Lớp 5 - Phân công'!$Z$14:$Z$262,$T61),IF($S61="Lớp 4",INDEX('Lớp 4 - Danh mục'!$X$14:$X$132,$T61),INDEX('Lớp 3 - Công việc chính'!$W$14:$W$73,$T61))))</f>
        <v>#REF!</v>
      </c>
      <c r="M61" s="694" t="str">
        <f t="array" ref="M61">IF($S61="","",IF($S61="Lớp 5",INDEX('Lớp 5 - Phân công'!$AD$14:$AD$262,$T61),IF($S61="Lớp 4",INDEX('Lớp 4 - Danh mục'!$AC$14:$AC$132,$T61),INDEX('Lớp 3 - Công việc chính'!$Z$14:$Z$73,$T61))))</f>
        <v>#REF!</v>
      </c>
      <c r="N61" s="695" t="str">
        <f t="array" ref="N61">IF($S61="","",IF($S61="Lớp 5",INDEX('Lớp 5 - Phân công'!$AE$14:$AE$262,$T61),IF($S61="Lớp 4",INDEX('Lớp 4 - Danh mục'!$AD$14:$AD$132,$T61),INDEX('Lớp 3 - Công việc chính'!$AA$14:$AA$73,$T61))))</f>
        <v>#REF!</v>
      </c>
      <c r="O61" s="690" t="str">
        <f t="array" ref="O61">IF($S61="","",IF($S61="Lớp 5",INDEX('Lớp 5 - Phân công'!$AB$14:$AB$262,$T61),IF($S61="Lớp 4",INDEX('Lớp 4 - Danh mục'!$AA$14:$AA$132,$T61),INDEX('Lớp 3 - Công việc chính'!$X$14:$X$73,$T61))))</f>
        <v>#REF!</v>
      </c>
      <c r="P61" s="703" t="str">
        <f t="array" ref="P61">IF($S61="","",IF($S61="Lớp 5",INDEX('Lớp 5 - Phân công'!$AC$14:$AC$262,$T61),IF($S61="Lớp 4",INDEX('Lớp 4 - Danh mục'!$AB$14:$AB$132,$T61),INDEX('Lớp 3 - Công việc chính'!$Y$14:$Y$73,$T61))))</f>
        <v>#REF!</v>
      </c>
      <c r="Q61" s="697" t="str">
        <f t="array" ref="Q61">IF($S61="","",IF($S61="Lớp 5",INDEX('Lớp 5 - Phân công'!$AG$14:$AG$262,$T61),IF($S61="Lớp 4",INDEX('Lớp 4 - Danh mục'!$AF$14:$AF$132,$T61),INDEX('Lớp 3 - Công việc chính'!$AC$14:$AC$73,$T61))))</f>
        <v>#REF!</v>
      </c>
      <c r="R61" s="698" t="str">
        <f t="array" ref="R61">IF($S61="","",IF($S61="Lớp 5",INDEX('Lớp 5 - Phân công'!$X$14:$X$262,$T61),IF($S61="Lớp 4",INDEX('Lớp 4 - Danh mục'!$V$14:$V$132,$T61),INDEX('Lớp 3 - Công việc chính'!$T$14:$T$73,$T61))))</f>
        <v>#REF!</v>
      </c>
      <c r="S61" s="699" t="str">
        <f>IF(ROWS($S$14:S61)&lt;=COUNTIF('Lớp 5 - Phân công'!$I$14:$I$262,"&lt;&gt;"),"Lớp 5",IF(ROWS($S$14:S61)&lt;=COUNTIF('Lớp 5 - Phân công'!$I$14:$I$262,"&lt;&gt;")+SUMPRODUCT(--('Lớp 4 - Danh mục'!$I$14:$I$132&lt;&gt;""),--(COUNTIF('Lớp 5 - Phân công'!$J$14:$J$262,'Lớp 4 - Danh mục'!$I$14:$I$132)=0)),"Lớp 4",IF(ROWS($S$14:S61)&lt;=COUNTIF('Lớp 5 - Phân công'!$I$14:$I$262,"&lt;&gt;")+SUMPRODUCT(--('Lớp 4 - Danh mục'!$I$14:$I$132&lt;&gt;""),--(COUNTIF('Lớp 5 - Phân công'!$J$14:$J$262,'Lớp 4 - Danh mục'!$I$14:$I$132)=0))+SUMPRODUCT(--('Lớp 3 - Công việc chính'!$I$14:$I$73&lt;&gt;""),--(COUNTIF('Lớp 4 - Danh mục'!$J$14:$J$132,'Lớp 3 - Công việc chính'!$I$14:$I$73)=0)),"Lớp 3","")))</f>
        <v>#REF!</v>
      </c>
      <c r="T61" s="699" t="str">
        <f t="array" ref="T61">IF(S61="","",IF(S61="Lớp 5",IF(S60&lt;&gt;"Lớp 5",MATCH("*",'Lớp 5 - Phân công'!$I$14:$I$262,0),T60+MATCH("*",INDEX('Lớp 5 - Phân công'!$I$14:$I$262,T60+1):'Lớp 5 - Phân công'!$I$262,0)),IF(S61="Lớp 4",IF(S60&lt;&gt;"Lớp 4",MATCH(1,INDEX(('Lớp 4 - Danh mục'!$I$14:$I$132&lt;&gt;"")*(COUNTIF('Lớp 5 - Phân công'!$J$14:$J$262,'Lớp 4 - Danh mục'!$I$14:$I$132)=0),0),0),T60+MATCH(1,INDEX((INDEX('Lớp 4 - Danh mục'!$I$14:$I$132,T60+1):'Lớp 4 - Danh mục'!$I$132&lt;&gt;"")*(COUNTIF('Lớp 5 - Phân công'!$J$14:$J$262,INDEX('Lớp 4 - Danh mục'!$I$14:$I$132,T60+1):'Lớp 4 - Danh mục'!$I$132)=0),0),0)),IF(S60&lt;&gt;"Lớp 3",MATCH(1,INDEX(('Lớp 3 - Công việc chính'!$I$14:$I$73&lt;&gt;"")*(COUNTIF('Lớp 4 - Danh mục'!$J$14:$J$132,'Lớp 3 - Công việc chính'!$I$14:$I$73)=0),0),0),T60+MATCH(1,INDEX((INDEX('Lớp 3 - Công việc chính'!$I$14:$I$73,T60+1):'Lớp 3 - Công việc chính'!$I$73&lt;&gt;"")*(COUNTIF('Lớp 4 - Danh mục'!$J$14:$J$132,INDEX('Lớp 3 - Công việc chính'!$I$14:$I$73,T60+1):'Lớp 3 - Công việc chính'!$I$73)=0),0),0)))))</f>
        <v>#REF!</v>
      </c>
      <c r="Z61" s="700" t="str">
        <f t="array" ref="Z61">IF($S61="","",IF($S61="Lớp 5",INDEX('Lớp 5 - Phân công'!$AS$14:$AS$262,$T61),IF($S61="Lớp 4",INDEX('Lớp 4 - Danh mục'!$AR$14:$AR$132,$T61),INDEX('Lớp 3 - Công việc chính'!$AO$14:$AO$73,$T61))))</f>
        <v>#REF!</v>
      </c>
      <c r="AA61" s="701" t="str">
        <f t="array" ref="AA61">IF($S61="","",IF($S61="Lớp 5",INDEX('Lớp 5 - Phân công'!$AT$14:$AT$262,$T61),IF($S61="Lớp 4",INDEX('Lớp 4 - Danh mục'!$AS$14:$AS$132,$T61),INDEX('Lớp 3 - Công việc chính'!$AP$14:$AP$73,$T61))))</f>
        <v>#REF!</v>
      </c>
      <c r="AB61" s="701" t="str">
        <f t="array" ref="AB61">IF($S61="","",IF($S61="Lớp 5",INDEX('Lớp 5 - Phân công'!$AJ$14:$AJ$262,$T61),IF($S61="Lớp 4",INDEX('Lớp 4 - Danh mục'!$AI$14:$AI$132,$T61),INDEX('Lớp 3 - Công việc chính'!$AF$14:$AF$73,$T61))))</f>
        <v>#REF!</v>
      </c>
      <c r="AC61" s="702" t="str">
        <f t="array" ref="AC61">IF($S61="","",IF($S61="Lớp 5",INDEX('Lớp 5 - Phân công'!$AV$14:$AV$262,$T61),IF($S61="Lớp 4",INDEX('Lớp 4 - Danh mục'!$AU$14:$AU$132,$T61),INDEX('Lớp 3 - Công việc chính'!$AR$14:$AR$73,$T61))))</f>
        <v>#REF!</v>
      </c>
    </row>
    <row r="62" ht="15.75" customHeight="1">
      <c r="A62" s="690" t="str">
        <f t="shared" si="1"/>
        <v>#REF!</v>
      </c>
      <c r="B62" s="690" t="str">
        <f t="array" ref="B62">IF($S62="","",IF($S62="Lớp 5",INDEX('Lớp 5 - Phân công'!$I$14:$I$262,$T62),IF($S62="Lớp 4",INDEX('Lớp 4 - Danh mục'!$I$14:$I$132,$T62),INDEX('Lớp 3 - Công việc chính'!$I$14:$I$73,$T62))))</f>
        <v>#REF!</v>
      </c>
      <c r="C62" s="690" t="str">
        <f t="array" ref="C62">IF($S62="","",IF($S62="Lớp 5",INDEX('Lớp 5 - Phân công'!$K$14:$K$262,$T62),IF($S62="Lớp 4",INDEX('Lớp 4 - Danh mục'!$J$14:$J$132,$T62),INDEX('Lớp 3 - Công việc chính'!$I$14:$I$73,$T62))))</f>
        <v>#REF!</v>
      </c>
      <c r="D62" s="690" t="str">
        <f t="array" ref="D62">IF($S62="","",IF($S62="Lớp 5",INDEX('Lớp 5 - Phân công'!$J$14:$J$262,$T62),IF($S62="Lớp 4",INDEX('Lớp 4 - Danh mục'!$I$14:$I$132,$T62),"")))</f>
        <v>#REF!</v>
      </c>
      <c r="E62" s="690" t="str">
        <f t="array" ref="E62">IF($S62="","",IF($S62="Lớp 5",INDEX('Lớp 5 - Phân công'!$L$14:$L$262,$T62),IF($S62="Lớp 4",INDEX('Lớp 4 - Danh mục'!$K$14:$K$132,$T62),INDEX('Lớp 3 - Công việc chính'!$J$14:$J$73,$T62))))</f>
        <v>#REF!</v>
      </c>
      <c r="F62" s="690" t="str">
        <f t="array" ref="F62">IF($S62="","",IF($S62="Lớp 5",INDEX('Lớp 5 - Phân công'!$M$14:$M$262,$T62),IF($S62="Lớp 4",INDEX('Lớp 4 - Danh mục'!$L$14:$L$132,$T62),INDEX('Lớp 3 - Công việc chính'!$K$14:$K$73,$T62))))</f>
        <v>#REF!</v>
      </c>
      <c r="G62" s="691" t="str">
        <f t="array" ref="G62">IF($S62="","",IF($S62="Lớp 5",INDEX('Lớp 5 - Phân công'!$N$14:$N$262,$T62),IF($S62="Lớp 4",INDEX('Lớp 4 - Danh mục'!$M$14:$M$132,$T62),INDEX('Lớp 3 - Công việc chính'!$L$14:$L$73,$T62))))</f>
        <v>#REF!</v>
      </c>
      <c r="H62" s="692" t="str">
        <f t="array" ref="H62">IF($S62="","",IF($S62="Lớp 5",INDEX('Lớp 5 - Phân công'!$O$14:$O$262,$T62),IF($S62="Lớp 4",INDEX('Lớp 4 - Danh mục'!$N$14:$N$132,$T62),INDEX('Lớp 3 - Công việc chính'!$M$14:$M$73,$T62))))</f>
        <v>#REF!</v>
      </c>
      <c r="I62" s="692" t="str">
        <f t="array" ref="I62">IF($S62="","",IF($S62="Lớp 5",INDEX('Lớp 5 - Phân công'!$P$14:$P$262,$T62),IF($S62="Lớp 4",INDEX('Lớp 4 - Danh mục'!$O$14:$O$132,$T62),"")))</f>
        <v>#REF!</v>
      </c>
      <c r="J62" s="693" t="str">
        <f t="array" ref="J62">IF($S62="","",IF($S62="Lớp 5",INDEX('Lớp 5 - Phân công'!$Q$14:$Q$262,$T62),""))</f>
        <v>#REF!</v>
      </c>
      <c r="K62" s="690" t="str">
        <f t="array" ref="K62">IF($S62="","",IF($S62="Lớp 5",INDEX('Lớp 5 - Phân công'!$AA$14:$AA$262,$T62),IF($S62="Lớp 4",INDEX('Lớp 4 - Danh mục'!$Y$14:$Y$132,$T62),INDEX('Lớp 3 - Công việc chính'!$U$14:$U$73,$T62))))</f>
        <v>#REF!</v>
      </c>
      <c r="L62" s="691" t="str">
        <f t="array" ref="L62">IF($S62="","",IF($S62="Lớp 5",INDEX('Lớp 5 - Phân công'!$Z$14:$Z$262,$T62),IF($S62="Lớp 4",INDEX('Lớp 4 - Danh mục'!$X$14:$X$132,$T62),INDEX('Lớp 3 - Công việc chính'!$W$14:$W$73,$T62))))</f>
        <v>#REF!</v>
      </c>
      <c r="M62" s="694" t="str">
        <f t="array" ref="M62">IF($S62="","",IF($S62="Lớp 5",INDEX('Lớp 5 - Phân công'!$AD$14:$AD$262,$T62),IF($S62="Lớp 4",INDEX('Lớp 4 - Danh mục'!$AC$14:$AC$132,$T62),INDEX('Lớp 3 - Công việc chính'!$Z$14:$Z$73,$T62))))</f>
        <v>#REF!</v>
      </c>
      <c r="N62" s="695" t="str">
        <f t="array" ref="N62">IF($S62="","",IF($S62="Lớp 5",INDEX('Lớp 5 - Phân công'!$AE$14:$AE$262,$T62),IF($S62="Lớp 4",INDEX('Lớp 4 - Danh mục'!$AD$14:$AD$132,$T62),INDEX('Lớp 3 - Công việc chính'!$AA$14:$AA$73,$T62))))</f>
        <v>#REF!</v>
      </c>
      <c r="O62" s="690" t="str">
        <f t="array" ref="O62">IF($S62="","",IF($S62="Lớp 5",INDEX('Lớp 5 - Phân công'!$AB$14:$AB$262,$T62),IF($S62="Lớp 4",INDEX('Lớp 4 - Danh mục'!$AA$14:$AA$132,$T62),INDEX('Lớp 3 - Công việc chính'!$X$14:$X$73,$T62))))</f>
        <v>#REF!</v>
      </c>
      <c r="P62" s="703" t="str">
        <f t="array" ref="P62">IF($S62="","",IF($S62="Lớp 5",INDEX('Lớp 5 - Phân công'!$AC$14:$AC$262,$T62),IF($S62="Lớp 4",INDEX('Lớp 4 - Danh mục'!$AB$14:$AB$132,$T62),INDEX('Lớp 3 - Công việc chính'!$Y$14:$Y$73,$T62))))</f>
        <v>#REF!</v>
      </c>
      <c r="Q62" s="697" t="str">
        <f t="array" ref="Q62">IF($S62="","",IF($S62="Lớp 5",INDEX('Lớp 5 - Phân công'!$AG$14:$AG$262,$T62),IF($S62="Lớp 4",INDEX('Lớp 4 - Danh mục'!$AF$14:$AF$132,$T62),INDEX('Lớp 3 - Công việc chính'!$AC$14:$AC$73,$T62))))</f>
        <v>#REF!</v>
      </c>
      <c r="R62" s="698" t="str">
        <f t="array" ref="R62">IF($S62="","",IF($S62="Lớp 5",INDEX('Lớp 5 - Phân công'!$X$14:$X$262,$T62),IF($S62="Lớp 4",INDEX('Lớp 4 - Danh mục'!$V$14:$V$132,$T62),INDEX('Lớp 3 - Công việc chính'!$T$14:$T$73,$T62))))</f>
        <v>#REF!</v>
      </c>
      <c r="S62" s="699" t="str">
        <f>IF(ROWS($S$14:S62)&lt;=COUNTIF('Lớp 5 - Phân công'!$I$14:$I$262,"&lt;&gt;"),"Lớp 5",IF(ROWS($S$14:S62)&lt;=COUNTIF('Lớp 5 - Phân công'!$I$14:$I$262,"&lt;&gt;")+SUMPRODUCT(--('Lớp 4 - Danh mục'!$I$14:$I$132&lt;&gt;""),--(COUNTIF('Lớp 5 - Phân công'!$J$14:$J$262,'Lớp 4 - Danh mục'!$I$14:$I$132)=0)),"Lớp 4",IF(ROWS($S$14:S62)&lt;=COUNTIF('Lớp 5 - Phân công'!$I$14:$I$262,"&lt;&gt;")+SUMPRODUCT(--('Lớp 4 - Danh mục'!$I$14:$I$132&lt;&gt;""),--(COUNTIF('Lớp 5 - Phân công'!$J$14:$J$262,'Lớp 4 - Danh mục'!$I$14:$I$132)=0))+SUMPRODUCT(--('Lớp 3 - Công việc chính'!$I$14:$I$73&lt;&gt;""),--(COUNTIF('Lớp 4 - Danh mục'!$J$14:$J$132,'Lớp 3 - Công việc chính'!$I$14:$I$73)=0)),"Lớp 3","")))</f>
        <v>#REF!</v>
      </c>
      <c r="T62" s="699" t="str">
        <f t="array" ref="T62">IF(S62="","",IF(S62="Lớp 5",IF(S61&lt;&gt;"Lớp 5",MATCH("*",'Lớp 5 - Phân công'!$I$14:$I$262,0),T61+MATCH("*",INDEX('Lớp 5 - Phân công'!$I$14:$I$262,T61+1):'Lớp 5 - Phân công'!$I$262,0)),IF(S62="Lớp 4",IF(S61&lt;&gt;"Lớp 4",MATCH(1,INDEX(('Lớp 4 - Danh mục'!$I$14:$I$132&lt;&gt;"")*(COUNTIF('Lớp 5 - Phân công'!$J$14:$J$262,'Lớp 4 - Danh mục'!$I$14:$I$132)=0),0),0),T61+MATCH(1,INDEX((INDEX('Lớp 4 - Danh mục'!$I$14:$I$132,T61+1):'Lớp 4 - Danh mục'!$I$132&lt;&gt;"")*(COUNTIF('Lớp 5 - Phân công'!$J$14:$J$262,INDEX('Lớp 4 - Danh mục'!$I$14:$I$132,T61+1):'Lớp 4 - Danh mục'!$I$132)=0),0),0)),IF(S61&lt;&gt;"Lớp 3",MATCH(1,INDEX(('Lớp 3 - Công việc chính'!$I$14:$I$73&lt;&gt;"")*(COUNTIF('Lớp 4 - Danh mục'!$J$14:$J$132,'Lớp 3 - Công việc chính'!$I$14:$I$73)=0),0),0),T61+MATCH(1,INDEX((INDEX('Lớp 3 - Công việc chính'!$I$14:$I$73,T61+1):'Lớp 3 - Công việc chính'!$I$73&lt;&gt;"")*(COUNTIF('Lớp 4 - Danh mục'!$J$14:$J$132,INDEX('Lớp 3 - Công việc chính'!$I$14:$I$73,T61+1):'Lớp 3 - Công việc chính'!$I$73)=0),0),0)))))</f>
        <v>#REF!</v>
      </c>
      <c r="Z62" s="700" t="str">
        <f t="array" ref="Z62">IF($S62="","",IF($S62="Lớp 5",INDEX('Lớp 5 - Phân công'!$AS$14:$AS$262,$T62),IF($S62="Lớp 4",INDEX('Lớp 4 - Danh mục'!$AR$14:$AR$132,$T62),INDEX('Lớp 3 - Công việc chính'!$AO$14:$AO$73,$T62))))</f>
        <v>#REF!</v>
      </c>
      <c r="AA62" s="701" t="str">
        <f t="array" ref="AA62">IF($S62="","",IF($S62="Lớp 5",INDEX('Lớp 5 - Phân công'!$AT$14:$AT$262,$T62),IF($S62="Lớp 4",INDEX('Lớp 4 - Danh mục'!$AS$14:$AS$132,$T62),INDEX('Lớp 3 - Công việc chính'!$AP$14:$AP$73,$T62))))</f>
        <v>#REF!</v>
      </c>
      <c r="AB62" s="701" t="str">
        <f t="array" ref="AB62">IF($S62="","",IF($S62="Lớp 5",INDEX('Lớp 5 - Phân công'!$AJ$14:$AJ$262,$T62),IF($S62="Lớp 4",INDEX('Lớp 4 - Danh mục'!$AI$14:$AI$132,$T62),INDEX('Lớp 3 - Công việc chính'!$AF$14:$AF$73,$T62))))</f>
        <v>#REF!</v>
      </c>
      <c r="AC62" s="702" t="str">
        <f t="array" ref="AC62">IF($S62="","",IF($S62="Lớp 5",INDEX('Lớp 5 - Phân công'!$AV$14:$AV$262,$T62),IF($S62="Lớp 4",INDEX('Lớp 4 - Danh mục'!$AU$14:$AU$132,$T62),INDEX('Lớp 3 - Công việc chính'!$AR$14:$AR$73,$T62))))</f>
        <v>#REF!</v>
      </c>
    </row>
    <row r="63" ht="15.75" customHeight="1">
      <c r="A63" s="690" t="str">
        <f t="shared" si="1"/>
        <v>#REF!</v>
      </c>
      <c r="B63" s="690" t="str">
        <f t="array" ref="B63">IF($S63="","",IF($S63="Lớp 5",INDEX('Lớp 5 - Phân công'!$I$14:$I$262,$T63),IF($S63="Lớp 4",INDEX('Lớp 4 - Danh mục'!$I$14:$I$132,$T63),INDEX('Lớp 3 - Công việc chính'!$I$14:$I$73,$T63))))</f>
        <v>#REF!</v>
      </c>
      <c r="C63" s="690" t="str">
        <f t="array" ref="C63">IF($S63="","",IF($S63="Lớp 5",INDEX('Lớp 5 - Phân công'!$K$14:$K$262,$T63),IF($S63="Lớp 4",INDEX('Lớp 4 - Danh mục'!$J$14:$J$132,$T63),INDEX('Lớp 3 - Công việc chính'!$I$14:$I$73,$T63))))</f>
        <v>#REF!</v>
      </c>
      <c r="D63" s="690" t="str">
        <f t="array" ref="D63">IF($S63="","",IF($S63="Lớp 5",INDEX('Lớp 5 - Phân công'!$J$14:$J$262,$T63),IF($S63="Lớp 4",INDEX('Lớp 4 - Danh mục'!$I$14:$I$132,$T63),"")))</f>
        <v>#REF!</v>
      </c>
      <c r="E63" s="690" t="str">
        <f t="array" ref="E63">IF($S63="","",IF($S63="Lớp 5",INDEX('Lớp 5 - Phân công'!$L$14:$L$262,$T63),IF($S63="Lớp 4",INDEX('Lớp 4 - Danh mục'!$K$14:$K$132,$T63),INDEX('Lớp 3 - Công việc chính'!$J$14:$J$73,$T63))))</f>
        <v>#REF!</v>
      </c>
      <c r="F63" s="690" t="str">
        <f t="array" ref="F63">IF($S63="","",IF($S63="Lớp 5",INDEX('Lớp 5 - Phân công'!$M$14:$M$262,$T63),IF($S63="Lớp 4",INDEX('Lớp 4 - Danh mục'!$L$14:$L$132,$T63),INDEX('Lớp 3 - Công việc chính'!$K$14:$K$73,$T63))))</f>
        <v>#REF!</v>
      </c>
      <c r="G63" s="691" t="str">
        <f t="array" ref="G63">IF($S63="","",IF($S63="Lớp 5",INDEX('Lớp 5 - Phân công'!$N$14:$N$262,$T63),IF($S63="Lớp 4",INDEX('Lớp 4 - Danh mục'!$M$14:$M$132,$T63),INDEX('Lớp 3 - Công việc chính'!$L$14:$L$73,$T63))))</f>
        <v>#REF!</v>
      </c>
      <c r="H63" s="692" t="str">
        <f t="array" ref="H63">IF($S63="","",IF($S63="Lớp 5",INDEX('Lớp 5 - Phân công'!$O$14:$O$262,$T63),IF($S63="Lớp 4",INDEX('Lớp 4 - Danh mục'!$N$14:$N$132,$T63),INDEX('Lớp 3 - Công việc chính'!$M$14:$M$73,$T63))))</f>
        <v>#REF!</v>
      </c>
      <c r="I63" s="692" t="str">
        <f t="array" ref="I63">IF($S63="","",IF($S63="Lớp 5",INDEX('Lớp 5 - Phân công'!$P$14:$P$262,$T63),IF($S63="Lớp 4",INDEX('Lớp 4 - Danh mục'!$O$14:$O$132,$T63),"")))</f>
        <v>#REF!</v>
      </c>
      <c r="J63" s="693" t="str">
        <f t="array" ref="J63">IF($S63="","",IF($S63="Lớp 5",INDEX('Lớp 5 - Phân công'!$Q$14:$Q$262,$T63),""))</f>
        <v>#REF!</v>
      </c>
      <c r="K63" s="690" t="str">
        <f t="array" ref="K63">IF($S63="","",IF($S63="Lớp 5",INDEX('Lớp 5 - Phân công'!$AA$14:$AA$262,$T63),IF($S63="Lớp 4",INDEX('Lớp 4 - Danh mục'!$Y$14:$Y$132,$T63),INDEX('Lớp 3 - Công việc chính'!$U$14:$U$73,$T63))))</f>
        <v>#REF!</v>
      </c>
      <c r="L63" s="691" t="str">
        <f t="array" ref="L63">IF($S63="","",IF($S63="Lớp 5",INDEX('Lớp 5 - Phân công'!$Z$14:$Z$262,$T63),IF($S63="Lớp 4",INDEX('Lớp 4 - Danh mục'!$X$14:$X$132,$T63),INDEX('Lớp 3 - Công việc chính'!$W$14:$W$73,$T63))))</f>
        <v>#REF!</v>
      </c>
      <c r="M63" s="694" t="str">
        <f t="array" ref="M63">IF($S63="","",IF($S63="Lớp 5",INDEX('Lớp 5 - Phân công'!$AD$14:$AD$262,$T63),IF($S63="Lớp 4",INDEX('Lớp 4 - Danh mục'!$AC$14:$AC$132,$T63),INDEX('Lớp 3 - Công việc chính'!$Z$14:$Z$73,$T63))))</f>
        <v>#REF!</v>
      </c>
      <c r="N63" s="695" t="str">
        <f t="array" ref="N63">IF($S63="","",IF($S63="Lớp 5",INDEX('Lớp 5 - Phân công'!$AE$14:$AE$262,$T63),IF($S63="Lớp 4",INDEX('Lớp 4 - Danh mục'!$AD$14:$AD$132,$T63),INDEX('Lớp 3 - Công việc chính'!$AA$14:$AA$73,$T63))))</f>
        <v>#REF!</v>
      </c>
      <c r="O63" s="690" t="str">
        <f t="array" ref="O63">IF($S63="","",IF($S63="Lớp 5",INDEX('Lớp 5 - Phân công'!$AB$14:$AB$262,$T63),IF($S63="Lớp 4",INDEX('Lớp 4 - Danh mục'!$AA$14:$AA$132,$T63),INDEX('Lớp 3 - Công việc chính'!$X$14:$X$73,$T63))))</f>
        <v>#REF!</v>
      </c>
      <c r="P63" s="703" t="str">
        <f t="array" ref="P63">IF($S63="","",IF($S63="Lớp 5",INDEX('Lớp 5 - Phân công'!$AC$14:$AC$262,$T63),IF($S63="Lớp 4",INDEX('Lớp 4 - Danh mục'!$AB$14:$AB$132,$T63),INDEX('Lớp 3 - Công việc chính'!$Y$14:$Y$73,$T63))))</f>
        <v>#REF!</v>
      </c>
      <c r="Q63" s="697" t="str">
        <f t="array" ref="Q63">IF($S63="","",IF($S63="Lớp 5",INDEX('Lớp 5 - Phân công'!$AG$14:$AG$262,$T63),IF($S63="Lớp 4",INDEX('Lớp 4 - Danh mục'!$AF$14:$AF$132,$T63),INDEX('Lớp 3 - Công việc chính'!$AC$14:$AC$73,$T63))))</f>
        <v>#REF!</v>
      </c>
      <c r="R63" s="698" t="str">
        <f t="array" ref="R63">IF($S63="","",IF($S63="Lớp 5",INDEX('Lớp 5 - Phân công'!$X$14:$X$262,$T63),IF($S63="Lớp 4",INDEX('Lớp 4 - Danh mục'!$V$14:$V$132,$T63),INDEX('Lớp 3 - Công việc chính'!$T$14:$T$73,$T63))))</f>
        <v>#REF!</v>
      </c>
      <c r="S63" s="699" t="str">
        <f>IF(ROWS($S$14:S63)&lt;=COUNTIF('Lớp 5 - Phân công'!$I$14:$I$262,"&lt;&gt;"),"Lớp 5",IF(ROWS($S$14:S63)&lt;=COUNTIF('Lớp 5 - Phân công'!$I$14:$I$262,"&lt;&gt;")+SUMPRODUCT(--('Lớp 4 - Danh mục'!$I$14:$I$132&lt;&gt;""),--(COUNTIF('Lớp 5 - Phân công'!$J$14:$J$262,'Lớp 4 - Danh mục'!$I$14:$I$132)=0)),"Lớp 4",IF(ROWS($S$14:S63)&lt;=COUNTIF('Lớp 5 - Phân công'!$I$14:$I$262,"&lt;&gt;")+SUMPRODUCT(--('Lớp 4 - Danh mục'!$I$14:$I$132&lt;&gt;""),--(COUNTIF('Lớp 5 - Phân công'!$J$14:$J$262,'Lớp 4 - Danh mục'!$I$14:$I$132)=0))+SUMPRODUCT(--('Lớp 3 - Công việc chính'!$I$14:$I$73&lt;&gt;""),--(COUNTIF('Lớp 4 - Danh mục'!$J$14:$J$132,'Lớp 3 - Công việc chính'!$I$14:$I$73)=0)),"Lớp 3","")))</f>
        <v>#REF!</v>
      </c>
      <c r="T63" s="699" t="str">
        <f t="array" ref="T63">IF(S63="","",IF(S63="Lớp 5",IF(S62&lt;&gt;"Lớp 5",MATCH("*",'Lớp 5 - Phân công'!$I$14:$I$262,0),T62+MATCH("*",INDEX('Lớp 5 - Phân công'!$I$14:$I$262,T62+1):'Lớp 5 - Phân công'!$I$262,0)),IF(S63="Lớp 4",IF(S62&lt;&gt;"Lớp 4",MATCH(1,INDEX(('Lớp 4 - Danh mục'!$I$14:$I$132&lt;&gt;"")*(COUNTIF('Lớp 5 - Phân công'!$J$14:$J$262,'Lớp 4 - Danh mục'!$I$14:$I$132)=0),0),0),T62+MATCH(1,INDEX((INDEX('Lớp 4 - Danh mục'!$I$14:$I$132,T62+1):'Lớp 4 - Danh mục'!$I$132&lt;&gt;"")*(COUNTIF('Lớp 5 - Phân công'!$J$14:$J$262,INDEX('Lớp 4 - Danh mục'!$I$14:$I$132,T62+1):'Lớp 4 - Danh mục'!$I$132)=0),0),0)),IF(S62&lt;&gt;"Lớp 3",MATCH(1,INDEX(('Lớp 3 - Công việc chính'!$I$14:$I$73&lt;&gt;"")*(COUNTIF('Lớp 4 - Danh mục'!$J$14:$J$132,'Lớp 3 - Công việc chính'!$I$14:$I$73)=0),0),0),T62+MATCH(1,INDEX((INDEX('Lớp 3 - Công việc chính'!$I$14:$I$73,T62+1):'Lớp 3 - Công việc chính'!$I$73&lt;&gt;"")*(COUNTIF('Lớp 4 - Danh mục'!$J$14:$J$132,INDEX('Lớp 3 - Công việc chính'!$I$14:$I$73,T62+1):'Lớp 3 - Công việc chính'!$I$73)=0),0),0)))))</f>
        <v>#REF!</v>
      </c>
      <c r="Z63" s="700" t="str">
        <f t="array" ref="Z63">IF($S63="","",IF($S63="Lớp 5",INDEX('Lớp 5 - Phân công'!$AS$14:$AS$262,$T63),IF($S63="Lớp 4",INDEX('Lớp 4 - Danh mục'!$AR$14:$AR$132,$T63),INDEX('Lớp 3 - Công việc chính'!$AO$14:$AO$73,$T63))))</f>
        <v>#REF!</v>
      </c>
      <c r="AA63" s="701" t="str">
        <f t="array" ref="AA63">IF($S63="","",IF($S63="Lớp 5",INDEX('Lớp 5 - Phân công'!$AT$14:$AT$262,$T63),IF($S63="Lớp 4",INDEX('Lớp 4 - Danh mục'!$AS$14:$AS$132,$T63),INDEX('Lớp 3 - Công việc chính'!$AP$14:$AP$73,$T63))))</f>
        <v>#REF!</v>
      </c>
      <c r="AB63" s="701" t="str">
        <f t="array" ref="AB63">IF($S63="","",IF($S63="Lớp 5",INDEX('Lớp 5 - Phân công'!$AJ$14:$AJ$262,$T63),IF($S63="Lớp 4",INDEX('Lớp 4 - Danh mục'!$AI$14:$AI$132,$T63),INDEX('Lớp 3 - Công việc chính'!$AF$14:$AF$73,$T63))))</f>
        <v>#REF!</v>
      </c>
      <c r="AC63" s="702" t="str">
        <f t="array" ref="AC63">IF($S63="","",IF($S63="Lớp 5",INDEX('Lớp 5 - Phân công'!$AV$14:$AV$262,$T63),IF($S63="Lớp 4",INDEX('Lớp 4 - Danh mục'!$AU$14:$AU$132,$T63),INDEX('Lớp 3 - Công việc chính'!$AR$14:$AR$73,$T63))))</f>
        <v>#REF!</v>
      </c>
    </row>
    <row r="64" ht="15.75" customHeight="1">
      <c r="A64" s="690" t="str">
        <f t="shared" si="1"/>
        <v>#REF!</v>
      </c>
      <c r="B64" s="690" t="str">
        <f t="array" ref="B64">IF($S64="","",IF($S64="Lớp 5",INDEX('Lớp 5 - Phân công'!$I$14:$I$262,$T64),IF($S64="Lớp 4",INDEX('Lớp 4 - Danh mục'!$I$14:$I$132,$T64),INDEX('Lớp 3 - Công việc chính'!$I$14:$I$73,$T64))))</f>
        <v>#REF!</v>
      </c>
      <c r="C64" s="690" t="str">
        <f t="array" ref="C64">IF($S64="","",IF($S64="Lớp 5",INDEX('Lớp 5 - Phân công'!$K$14:$K$262,$T64),IF($S64="Lớp 4",INDEX('Lớp 4 - Danh mục'!$J$14:$J$132,$T64),INDEX('Lớp 3 - Công việc chính'!$I$14:$I$73,$T64))))</f>
        <v>#REF!</v>
      </c>
      <c r="D64" s="690" t="str">
        <f t="array" ref="D64">IF($S64="","",IF($S64="Lớp 5",INDEX('Lớp 5 - Phân công'!$J$14:$J$262,$T64),IF($S64="Lớp 4",INDEX('Lớp 4 - Danh mục'!$I$14:$I$132,$T64),"")))</f>
        <v>#REF!</v>
      </c>
      <c r="E64" s="690" t="str">
        <f t="array" ref="E64">IF($S64="","",IF($S64="Lớp 5",INDEX('Lớp 5 - Phân công'!$L$14:$L$262,$T64),IF($S64="Lớp 4",INDEX('Lớp 4 - Danh mục'!$K$14:$K$132,$T64),INDEX('Lớp 3 - Công việc chính'!$J$14:$J$73,$T64))))</f>
        <v>#REF!</v>
      </c>
      <c r="F64" s="690" t="str">
        <f t="array" ref="F64">IF($S64="","",IF($S64="Lớp 5",INDEX('Lớp 5 - Phân công'!$M$14:$M$262,$T64),IF($S64="Lớp 4",INDEX('Lớp 4 - Danh mục'!$L$14:$L$132,$T64),INDEX('Lớp 3 - Công việc chính'!$K$14:$K$73,$T64))))</f>
        <v>#REF!</v>
      </c>
      <c r="G64" s="691" t="str">
        <f t="array" ref="G64">IF($S64="","",IF($S64="Lớp 5",INDEX('Lớp 5 - Phân công'!$N$14:$N$262,$T64),IF($S64="Lớp 4",INDEX('Lớp 4 - Danh mục'!$M$14:$M$132,$T64),INDEX('Lớp 3 - Công việc chính'!$L$14:$L$73,$T64))))</f>
        <v>#REF!</v>
      </c>
      <c r="H64" s="692" t="str">
        <f t="array" ref="H64">IF($S64="","",IF($S64="Lớp 5",INDEX('Lớp 5 - Phân công'!$O$14:$O$262,$T64),IF($S64="Lớp 4",INDEX('Lớp 4 - Danh mục'!$N$14:$N$132,$T64),INDEX('Lớp 3 - Công việc chính'!$M$14:$M$73,$T64))))</f>
        <v>#REF!</v>
      </c>
      <c r="I64" s="692" t="str">
        <f t="array" ref="I64">IF($S64="","",IF($S64="Lớp 5",INDEX('Lớp 5 - Phân công'!$P$14:$P$262,$T64),IF($S64="Lớp 4",INDEX('Lớp 4 - Danh mục'!$O$14:$O$132,$T64),"")))</f>
        <v>#REF!</v>
      </c>
      <c r="J64" s="693" t="str">
        <f t="array" ref="J64">IF($S64="","",IF($S64="Lớp 5",INDEX('Lớp 5 - Phân công'!$Q$14:$Q$262,$T64),""))</f>
        <v>#REF!</v>
      </c>
      <c r="K64" s="690" t="str">
        <f t="array" ref="K64">IF($S64="","",IF($S64="Lớp 5",INDEX('Lớp 5 - Phân công'!$AA$14:$AA$262,$T64),IF($S64="Lớp 4",INDEX('Lớp 4 - Danh mục'!$Y$14:$Y$132,$T64),INDEX('Lớp 3 - Công việc chính'!$U$14:$U$73,$T64))))</f>
        <v>#REF!</v>
      </c>
      <c r="L64" s="691" t="str">
        <f t="array" ref="L64">IF($S64="","",IF($S64="Lớp 5",INDEX('Lớp 5 - Phân công'!$Z$14:$Z$262,$T64),IF($S64="Lớp 4",INDEX('Lớp 4 - Danh mục'!$X$14:$X$132,$T64),INDEX('Lớp 3 - Công việc chính'!$W$14:$W$73,$T64))))</f>
        <v>#REF!</v>
      </c>
      <c r="M64" s="694" t="str">
        <f t="array" ref="M64">IF($S64="","",IF($S64="Lớp 5",INDEX('Lớp 5 - Phân công'!$AD$14:$AD$262,$T64),IF($S64="Lớp 4",INDEX('Lớp 4 - Danh mục'!$AC$14:$AC$132,$T64),INDEX('Lớp 3 - Công việc chính'!$Z$14:$Z$73,$T64))))</f>
        <v>#REF!</v>
      </c>
      <c r="N64" s="695" t="str">
        <f t="array" ref="N64">IF($S64="","",IF($S64="Lớp 5",INDEX('Lớp 5 - Phân công'!$AE$14:$AE$262,$T64),IF($S64="Lớp 4",INDEX('Lớp 4 - Danh mục'!$AD$14:$AD$132,$T64),INDEX('Lớp 3 - Công việc chính'!$AA$14:$AA$73,$T64))))</f>
        <v>#REF!</v>
      </c>
      <c r="O64" s="690" t="str">
        <f t="array" ref="O64">IF($S64="","",IF($S64="Lớp 5",INDEX('Lớp 5 - Phân công'!$AB$14:$AB$262,$T64),IF($S64="Lớp 4",INDEX('Lớp 4 - Danh mục'!$AA$14:$AA$132,$T64),INDEX('Lớp 3 - Công việc chính'!$X$14:$X$73,$T64))))</f>
        <v>#REF!</v>
      </c>
      <c r="P64" s="703" t="str">
        <f t="array" ref="P64">IF($S64="","",IF($S64="Lớp 5",INDEX('Lớp 5 - Phân công'!$AC$14:$AC$262,$T64),IF($S64="Lớp 4",INDEX('Lớp 4 - Danh mục'!$AB$14:$AB$132,$T64),INDEX('Lớp 3 - Công việc chính'!$Y$14:$Y$73,$T64))))</f>
        <v>#REF!</v>
      </c>
      <c r="Q64" s="697" t="str">
        <f t="array" ref="Q64">IF($S64="","",IF($S64="Lớp 5",INDEX('Lớp 5 - Phân công'!$AG$14:$AG$262,$T64),IF($S64="Lớp 4",INDEX('Lớp 4 - Danh mục'!$AF$14:$AF$132,$T64),INDEX('Lớp 3 - Công việc chính'!$AC$14:$AC$73,$T64))))</f>
        <v>#REF!</v>
      </c>
      <c r="R64" s="698" t="str">
        <f t="array" ref="R64">IF($S64="","",IF($S64="Lớp 5",INDEX('Lớp 5 - Phân công'!$X$14:$X$262,$T64),IF($S64="Lớp 4",INDEX('Lớp 4 - Danh mục'!$V$14:$V$132,$T64),INDEX('Lớp 3 - Công việc chính'!$T$14:$T$73,$T64))))</f>
        <v>#REF!</v>
      </c>
      <c r="S64" s="699" t="str">
        <f>IF(ROWS($S$14:S64)&lt;=COUNTIF('Lớp 5 - Phân công'!$I$14:$I$262,"&lt;&gt;"),"Lớp 5",IF(ROWS($S$14:S64)&lt;=COUNTIF('Lớp 5 - Phân công'!$I$14:$I$262,"&lt;&gt;")+SUMPRODUCT(--('Lớp 4 - Danh mục'!$I$14:$I$132&lt;&gt;""),--(COUNTIF('Lớp 5 - Phân công'!$J$14:$J$262,'Lớp 4 - Danh mục'!$I$14:$I$132)=0)),"Lớp 4",IF(ROWS($S$14:S64)&lt;=COUNTIF('Lớp 5 - Phân công'!$I$14:$I$262,"&lt;&gt;")+SUMPRODUCT(--('Lớp 4 - Danh mục'!$I$14:$I$132&lt;&gt;""),--(COUNTIF('Lớp 5 - Phân công'!$J$14:$J$262,'Lớp 4 - Danh mục'!$I$14:$I$132)=0))+SUMPRODUCT(--('Lớp 3 - Công việc chính'!$I$14:$I$73&lt;&gt;""),--(COUNTIF('Lớp 4 - Danh mục'!$J$14:$J$132,'Lớp 3 - Công việc chính'!$I$14:$I$73)=0)),"Lớp 3","")))</f>
        <v>#REF!</v>
      </c>
      <c r="T64" s="699" t="str">
        <f t="array" ref="T64">IF(S64="","",IF(S64="Lớp 5",IF(S63&lt;&gt;"Lớp 5",MATCH("*",'Lớp 5 - Phân công'!$I$14:$I$262,0),T63+MATCH("*",INDEX('Lớp 5 - Phân công'!$I$14:$I$262,T63+1):'Lớp 5 - Phân công'!$I$262,0)),IF(S64="Lớp 4",IF(S63&lt;&gt;"Lớp 4",MATCH(1,INDEX(('Lớp 4 - Danh mục'!$I$14:$I$132&lt;&gt;"")*(COUNTIF('Lớp 5 - Phân công'!$J$14:$J$262,'Lớp 4 - Danh mục'!$I$14:$I$132)=0),0),0),T63+MATCH(1,INDEX((INDEX('Lớp 4 - Danh mục'!$I$14:$I$132,T63+1):'Lớp 4 - Danh mục'!$I$132&lt;&gt;"")*(COUNTIF('Lớp 5 - Phân công'!$J$14:$J$262,INDEX('Lớp 4 - Danh mục'!$I$14:$I$132,T63+1):'Lớp 4 - Danh mục'!$I$132)=0),0),0)),IF(S63&lt;&gt;"Lớp 3",MATCH(1,INDEX(('Lớp 3 - Công việc chính'!$I$14:$I$73&lt;&gt;"")*(COUNTIF('Lớp 4 - Danh mục'!$J$14:$J$132,'Lớp 3 - Công việc chính'!$I$14:$I$73)=0),0),0),T63+MATCH(1,INDEX((INDEX('Lớp 3 - Công việc chính'!$I$14:$I$73,T63+1):'Lớp 3 - Công việc chính'!$I$73&lt;&gt;"")*(COUNTIF('Lớp 4 - Danh mục'!$J$14:$J$132,INDEX('Lớp 3 - Công việc chính'!$I$14:$I$73,T63+1):'Lớp 3 - Công việc chính'!$I$73)=0),0),0)))))</f>
        <v>#REF!</v>
      </c>
      <c r="Z64" s="700" t="str">
        <f t="array" ref="Z64">IF($S64="","",IF($S64="Lớp 5",INDEX('Lớp 5 - Phân công'!$AS$14:$AS$262,$T64),IF($S64="Lớp 4",INDEX('Lớp 4 - Danh mục'!$AR$14:$AR$132,$T64),INDEX('Lớp 3 - Công việc chính'!$AO$14:$AO$73,$T64))))</f>
        <v>#REF!</v>
      </c>
      <c r="AA64" s="701" t="str">
        <f t="array" ref="AA64">IF($S64="","",IF($S64="Lớp 5",INDEX('Lớp 5 - Phân công'!$AT$14:$AT$262,$T64),IF($S64="Lớp 4",INDEX('Lớp 4 - Danh mục'!$AS$14:$AS$132,$T64),INDEX('Lớp 3 - Công việc chính'!$AP$14:$AP$73,$T64))))</f>
        <v>#REF!</v>
      </c>
      <c r="AB64" s="701" t="str">
        <f t="array" ref="AB64">IF($S64="","",IF($S64="Lớp 5",INDEX('Lớp 5 - Phân công'!$AJ$14:$AJ$262,$T64),IF($S64="Lớp 4",INDEX('Lớp 4 - Danh mục'!$AI$14:$AI$132,$T64),INDEX('Lớp 3 - Công việc chính'!$AF$14:$AF$73,$T64))))</f>
        <v>#REF!</v>
      </c>
      <c r="AC64" s="702" t="str">
        <f t="array" ref="AC64">IF($S64="","",IF($S64="Lớp 5",INDEX('Lớp 5 - Phân công'!$AV$14:$AV$262,$T64),IF($S64="Lớp 4",INDEX('Lớp 4 - Danh mục'!$AU$14:$AU$132,$T64),INDEX('Lớp 3 - Công việc chính'!$AR$14:$AR$73,$T64))))</f>
        <v>#REF!</v>
      </c>
    </row>
    <row r="65" ht="15.75" customHeight="1">
      <c r="A65" s="690" t="str">
        <f t="shared" si="1"/>
        <v>#REF!</v>
      </c>
      <c r="B65" s="690" t="str">
        <f t="array" ref="B65">IF($S65="","",IF($S65="Lớp 5",INDEX('Lớp 5 - Phân công'!$I$14:$I$262,$T65),IF($S65="Lớp 4",INDEX('Lớp 4 - Danh mục'!$I$14:$I$132,$T65),INDEX('Lớp 3 - Công việc chính'!$I$14:$I$73,$T65))))</f>
        <v>#REF!</v>
      </c>
      <c r="C65" s="690" t="str">
        <f t="array" ref="C65">IF($S65="","",IF($S65="Lớp 5",INDEX('Lớp 5 - Phân công'!$K$14:$K$262,$T65),IF($S65="Lớp 4",INDEX('Lớp 4 - Danh mục'!$J$14:$J$132,$T65),INDEX('Lớp 3 - Công việc chính'!$I$14:$I$73,$T65))))</f>
        <v>#REF!</v>
      </c>
      <c r="D65" s="690" t="str">
        <f t="array" ref="D65">IF($S65="","",IF($S65="Lớp 5",INDEX('Lớp 5 - Phân công'!$J$14:$J$262,$T65),IF($S65="Lớp 4",INDEX('Lớp 4 - Danh mục'!$I$14:$I$132,$T65),"")))</f>
        <v>#REF!</v>
      </c>
      <c r="E65" s="690" t="str">
        <f t="array" ref="E65">IF($S65="","",IF($S65="Lớp 5",INDEX('Lớp 5 - Phân công'!$L$14:$L$262,$T65),IF($S65="Lớp 4",INDEX('Lớp 4 - Danh mục'!$K$14:$K$132,$T65),INDEX('Lớp 3 - Công việc chính'!$J$14:$J$73,$T65))))</f>
        <v>#REF!</v>
      </c>
      <c r="F65" s="690" t="str">
        <f t="array" ref="F65">IF($S65="","",IF($S65="Lớp 5",INDEX('Lớp 5 - Phân công'!$M$14:$M$262,$T65),IF($S65="Lớp 4",INDEX('Lớp 4 - Danh mục'!$L$14:$L$132,$T65),INDEX('Lớp 3 - Công việc chính'!$K$14:$K$73,$T65))))</f>
        <v>#REF!</v>
      </c>
      <c r="G65" s="691" t="str">
        <f t="array" ref="G65">IF($S65="","",IF($S65="Lớp 5",INDEX('Lớp 5 - Phân công'!$N$14:$N$262,$T65),IF($S65="Lớp 4",INDEX('Lớp 4 - Danh mục'!$M$14:$M$132,$T65),INDEX('Lớp 3 - Công việc chính'!$L$14:$L$73,$T65))))</f>
        <v>#REF!</v>
      </c>
      <c r="H65" s="692" t="str">
        <f t="array" ref="H65">IF($S65="","",IF($S65="Lớp 5",INDEX('Lớp 5 - Phân công'!$O$14:$O$262,$T65),IF($S65="Lớp 4",INDEX('Lớp 4 - Danh mục'!$N$14:$N$132,$T65),INDEX('Lớp 3 - Công việc chính'!$M$14:$M$73,$T65))))</f>
        <v>#REF!</v>
      </c>
      <c r="I65" s="692" t="str">
        <f t="array" ref="I65">IF($S65="","",IF($S65="Lớp 5",INDEX('Lớp 5 - Phân công'!$P$14:$P$262,$T65),IF($S65="Lớp 4",INDEX('Lớp 4 - Danh mục'!$O$14:$O$132,$T65),"")))</f>
        <v>#REF!</v>
      </c>
      <c r="J65" s="693" t="str">
        <f t="array" ref="J65">IF($S65="","",IF($S65="Lớp 5",INDEX('Lớp 5 - Phân công'!$Q$14:$Q$262,$T65),""))</f>
        <v>#REF!</v>
      </c>
      <c r="K65" s="690" t="str">
        <f t="array" ref="K65">IF($S65="","",IF($S65="Lớp 5",INDEX('Lớp 5 - Phân công'!$AA$14:$AA$262,$T65),IF($S65="Lớp 4",INDEX('Lớp 4 - Danh mục'!$Y$14:$Y$132,$T65),INDEX('Lớp 3 - Công việc chính'!$U$14:$U$73,$T65))))</f>
        <v>#REF!</v>
      </c>
      <c r="L65" s="691" t="str">
        <f t="array" ref="L65">IF($S65="","",IF($S65="Lớp 5",INDEX('Lớp 5 - Phân công'!$Z$14:$Z$262,$T65),IF($S65="Lớp 4",INDEX('Lớp 4 - Danh mục'!$X$14:$X$132,$T65),INDEX('Lớp 3 - Công việc chính'!$W$14:$W$73,$T65))))</f>
        <v>#REF!</v>
      </c>
      <c r="M65" s="694" t="str">
        <f t="array" ref="M65">IF($S65="","",IF($S65="Lớp 5",INDEX('Lớp 5 - Phân công'!$AD$14:$AD$262,$T65),IF($S65="Lớp 4",INDEX('Lớp 4 - Danh mục'!$AC$14:$AC$132,$T65),INDEX('Lớp 3 - Công việc chính'!$Z$14:$Z$73,$T65))))</f>
        <v>#REF!</v>
      </c>
      <c r="N65" s="695" t="str">
        <f t="array" ref="N65">IF($S65="","",IF($S65="Lớp 5",INDEX('Lớp 5 - Phân công'!$AE$14:$AE$262,$T65),IF($S65="Lớp 4",INDEX('Lớp 4 - Danh mục'!$AD$14:$AD$132,$T65),INDEX('Lớp 3 - Công việc chính'!$AA$14:$AA$73,$T65))))</f>
        <v>#REF!</v>
      </c>
      <c r="O65" s="690" t="str">
        <f t="array" ref="O65">IF($S65="","",IF($S65="Lớp 5",INDEX('Lớp 5 - Phân công'!$AB$14:$AB$262,$T65),IF($S65="Lớp 4",INDEX('Lớp 4 - Danh mục'!$AA$14:$AA$132,$T65),INDEX('Lớp 3 - Công việc chính'!$X$14:$X$73,$T65))))</f>
        <v>#REF!</v>
      </c>
      <c r="P65" s="703" t="str">
        <f t="array" ref="P65">IF($S65="","",IF($S65="Lớp 5",INDEX('Lớp 5 - Phân công'!$AC$14:$AC$262,$T65),IF($S65="Lớp 4",INDEX('Lớp 4 - Danh mục'!$AB$14:$AB$132,$T65),INDEX('Lớp 3 - Công việc chính'!$Y$14:$Y$73,$T65))))</f>
        <v>#REF!</v>
      </c>
      <c r="Q65" s="697" t="str">
        <f t="array" ref="Q65">IF($S65="","",IF($S65="Lớp 5",INDEX('Lớp 5 - Phân công'!$AG$14:$AG$262,$T65),IF($S65="Lớp 4",INDEX('Lớp 4 - Danh mục'!$AF$14:$AF$132,$T65),INDEX('Lớp 3 - Công việc chính'!$AC$14:$AC$73,$T65))))</f>
        <v>#REF!</v>
      </c>
      <c r="R65" s="698" t="str">
        <f t="array" ref="R65">IF($S65="","",IF($S65="Lớp 5",INDEX('Lớp 5 - Phân công'!$X$14:$X$262,$T65),IF($S65="Lớp 4",INDEX('Lớp 4 - Danh mục'!$V$14:$V$132,$T65),INDEX('Lớp 3 - Công việc chính'!$T$14:$T$73,$T65))))</f>
        <v>#REF!</v>
      </c>
      <c r="S65" s="699" t="str">
        <f>IF(ROWS($S$14:S65)&lt;=COUNTIF('Lớp 5 - Phân công'!$I$14:$I$262,"&lt;&gt;"),"Lớp 5",IF(ROWS($S$14:S65)&lt;=COUNTIF('Lớp 5 - Phân công'!$I$14:$I$262,"&lt;&gt;")+SUMPRODUCT(--('Lớp 4 - Danh mục'!$I$14:$I$132&lt;&gt;""),--(COUNTIF('Lớp 5 - Phân công'!$J$14:$J$262,'Lớp 4 - Danh mục'!$I$14:$I$132)=0)),"Lớp 4",IF(ROWS($S$14:S65)&lt;=COUNTIF('Lớp 5 - Phân công'!$I$14:$I$262,"&lt;&gt;")+SUMPRODUCT(--('Lớp 4 - Danh mục'!$I$14:$I$132&lt;&gt;""),--(COUNTIF('Lớp 5 - Phân công'!$J$14:$J$262,'Lớp 4 - Danh mục'!$I$14:$I$132)=0))+SUMPRODUCT(--('Lớp 3 - Công việc chính'!$I$14:$I$73&lt;&gt;""),--(COUNTIF('Lớp 4 - Danh mục'!$J$14:$J$132,'Lớp 3 - Công việc chính'!$I$14:$I$73)=0)),"Lớp 3","")))</f>
        <v>#REF!</v>
      </c>
      <c r="T65" s="699" t="str">
        <f t="array" ref="T65">IF(S65="","",IF(S65="Lớp 5",IF(S64&lt;&gt;"Lớp 5",MATCH("*",'Lớp 5 - Phân công'!$I$14:$I$262,0),T64+MATCH("*",INDEX('Lớp 5 - Phân công'!$I$14:$I$262,T64+1):'Lớp 5 - Phân công'!$I$262,0)),IF(S65="Lớp 4",IF(S64&lt;&gt;"Lớp 4",MATCH(1,INDEX(('Lớp 4 - Danh mục'!$I$14:$I$132&lt;&gt;"")*(COUNTIF('Lớp 5 - Phân công'!$J$14:$J$262,'Lớp 4 - Danh mục'!$I$14:$I$132)=0),0),0),T64+MATCH(1,INDEX((INDEX('Lớp 4 - Danh mục'!$I$14:$I$132,T64+1):'Lớp 4 - Danh mục'!$I$132&lt;&gt;"")*(COUNTIF('Lớp 5 - Phân công'!$J$14:$J$262,INDEX('Lớp 4 - Danh mục'!$I$14:$I$132,T64+1):'Lớp 4 - Danh mục'!$I$132)=0),0),0)),IF(S64&lt;&gt;"Lớp 3",MATCH(1,INDEX(('Lớp 3 - Công việc chính'!$I$14:$I$73&lt;&gt;"")*(COUNTIF('Lớp 4 - Danh mục'!$J$14:$J$132,'Lớp 3 - Công việc chính'!$I$14:$I$73)=0),0),0),T64+MATCH(1,INDEX((INDEX('Lớp 3 - Công việc chính'!$I$14:$I$73,T64+1):'Lớp 3 - Công việc chính'!$I$73&lt;&gt;"")*(COUNTIF('Lớp 4 - Danh mục'!$J$14:$J$132,INDEX('Lớp 3 - Công việc chính'!$I$14:$I$73,T64+1):'Lớp 3 - Công việc chính'!$I$73)=0),0),0)))))</f>
        <v>#REF!</v>
      </c>
      <c r="Z65" s="700" t="str">
        <f t="array" ref="Z65">IF($S65="","",IF($S65="Lớp 5",INDEX('Lớp 5 - Phân công'!$AS$14:$AS$262,$T65),IF($S65="Lớp 4",INDEX('Lớp 4 - Danh mục'!$AR$14:$AR$132,$T65),INDEX('Lớp 3 - Công việc chính'!$AO$14:$AO$73,$T65))))</f>
        <v>#REF!</v>
      </c>
      <c r="AA65" s="701" t="str">
        <f t="array" ref="AA65">IF($S65="","",IF($S65="Lớp 5",INDEX('Lớp 5 - Phân công'!$AT$14:$AT$262,$T65),IF($S65="Lớp 4",INDEX('Lớp 4 - Danh mục'!$AS$14:$AS$132,$T65),INDEX('Lớp 3 - Công việc chính'!$AP$14:$AP$73,$T65))))</f>
        <v>#REF!</v>
      </c>
      <c r="AB65" s="701" t="str">
        <f t="array" ref="AB65">IF($S65="","",IF($S65="Lớp 5",INDEX('Lớp 5 - Phân công'!$AJ$14:$AJ$262,$T65),IF($S65="Lớp 4",INDEX('Lớp 4 - Danh mục'!$AI$14:$AI$132,$T65),INDEX('Lớp 3 - Công việc chính'!$AF$14:$AF$73,$T65))))</f>
        <v>#REF!</v>
      </c>
      <c r="AC65" s="702" t="str">
        <f t="array" ref="AC65">IF($S65="","",IF($S65="Lớp 5",INDEX('Lớp 5 - Phân công'!$AV$14:$AV$262,$T65),IF($S65="Lớp 4",INDEX('Lớp 4 - Danh mục'!$AU$14:$AU$132,$T65),INDEX('Lớp 3 - Công việc chính'!$AR$14:$AR$73,$T65))))</f>
        <v>#REF!</v>
      </c>
    </row>
    <row r="66" ht="15.75" customHeight="1">
      <c r="A66" s="690" t="str">
        <f t="shared" si="1"/>
        <v>#REF!</v>
      </c>
      <c r="B66" s="690" t="str">
        <f t="array" ref="B66">IF($S66="","",IF($S66="Lớp 5",INDEX('Lớp 5 - Phân công'!$I$14:$I$262,$T66),IF($S66="Lớp 4",INDEX('Lớp 4 - Danh mục'!$I$14:$I$132,$T66),INDEX('Lớp 3 - Công việc chính'!$I$14:$I$73,$T66))))</f>
        <v>#REF!</v>
      </c>
      <c r="C66" s="690" t="str">
        <f t="array" ref="C66">IF($S66="","",IF($S66="Lớp 5",INDEX('Lớp 5 - Phân công'!$K$14:$K$262,$T66),IF($S66="Lớp 4",INDEX('Lớp 4 - Danh mục'!$J$14:$J$132,$T66),INDEX('Lớp 3 - Công việc chính'!$I$14:$I$73,$T66))))</f>
        <v>#REF!</v>
      </c>
      <c r="D66" s="690" t="str">
        <f t="array" ref="D66">IF($S66="","",IF($S66="Lớp 5",INDEX('Lớp 5 - Phân công'!$J$14:$J$262,$T66),IF($S66="Lớp 4",INDEX('Lớp 4 - Danh mục'!$I$14:$I$132,$T66),"")))</f>
        <v>#REF!</v>
      </c>
      <c r="E66" s="690" t="str">
        <f t="array" ref="E66">IF($S66="","",IF($S66="Lớp 5",INDEX('Lớp 5 - Phân công'!$L$14:$L$262,$T66),IF($S66="Lớp 4",INDEX('Lớp 4 - Danh mục'!$K$14:$K$132,$T66),INDEX('Lớp 3 - Công việc chính'!$J$14:$J$73,$T66))))</f>
        <v>#REF!</v>
      </c>
      <c r="F66" s="690" t="str">
        <f t="array" ref="F66">IF($S66="","",IF($S66="Lớp 5",INDEX('Lớp 5 - Phân công'!$M$14:$M$262,$T66),IF($S66="Lớp 4",INDEX('Lớp 4 - Danh mục'!$L$14:$L$132,$T66),INDEX('Lớp 3 - Công việc chính'!$K$14:$K$73,$T66))))</f>
        <v>#REF!</v>
      </c>
      <c r="G66" s="691" t="str">
        <f t="array" ref="G66">IF($S66="","",IF($S66="Lớp 5",INDEX('Lớp 5 - Phân công'!$N$14:$N$262,$T66),IF($S66="Lớp 4",INDEX('Lớp 4 - Danh mục'!$M$14:$M$132,$T66),INDEX('Lớp 3 - Công việc chính'!$L$14:$L$73,$T66))))</f>
        <v>#REF!</v>
      </c>
      <c r="H66" s="692" t="str">
        <f t="array" ref="H66">IF($S66="","",IF($S66="Lớp 5",INDEX('Lớp 5 - Phân công'!$O$14:$O$262,$T66),IF($S66="Lớp 4",INDEX('Lớp 4 - Danh mục'!$N$14:$N$132,$T66),INDEX('Lớp 3 - Công việc chính'!$M$14:$M$73,$T66))))</f>
        <v>#REF!</v>
      </c>
      <c r="I66" s="692" t="str">
        <f t="array" ref="I66">IF($S66="","",IF($S66="Lớp 5",INDEX('Lớp 5 - Phân công'!$P$14:$P$262,$T66),IF($S66="Lớp 4",INDEX('Lớp 4 - Danh mục'!$O$14:$O$132,$T66),"")))</f>
        <v>#REF!</v>
      </c>
      <c r="J66" s="693" t="str">
        <f t="array" ref="J66">IF($S66="","",IF($S66="Lớp 5",INDEX('Lớp 5 - Phân công'!$Q$14:$Q$262,$T66),""))</f>
        <v>#REF!</v>
      </c>
      <c r="K66" s="690" t="str">
        <f t="array" ref="K66">IF($S66="","",IF($S66="Lớp 5",INDEX('Lớp 5 - Phân công'!$AA$14:$AA$262,$T66),IF($S66="Lớp 4",INDEX('Lớp 4 - Danh mục'!$Y$14:$Y$132,$T66),INDEX('Lớp 3 - Công việc chính'!$U$14:$U$73,$T66))))</f>
        <v>#REF!</v>
      </c>
      <c r="L66" s="691" t="str">
        <f t="array" ref="L66">IF($S66="","",IF($S66="Lớp 5",INDEX('Lớp 5 - Phân công'!$Z$14:$Z$262,$T66),IF($S66="Lớp 4",INDEX('Lớp 4 - Danh mục'!$X$14:$X$132,$T66),INDEX('Lớp 3 - Công việc chính'!$W$14:$W$73,$T66))))</f>
        <v>#REF!</v>
      </c>
      <c r="M66" s="694" t="str">
        <f t="array" ref="M66">IF($S66="","",IF($S66="Lớp 5",INDEX('Lớp 5 - Phân công'!$AD$14:$AD$262,$T66),IF($S66="Lớp 4",INDEX('Lớp 4 - Danh mục'!$AC$14:$AC$132,$T66),INDEX('Lớp 3 - Công việc chính'!$Z$14:$Z$73,$T66))))</f>
        <v>#REF!</v>
      </c>
      <c r="N66" s="695" t="str">
        <f t="array" ref="N66">IF($S66="","",IF($S66="Lớp 5",INDEX('Lớp 5 - Phân công'!$AE$14:$AE$262,$T66),IF($S66="Lớp 4",INDEX('Lớp 4 - Danh mục'!$AD$14:$AD$132,$T66),INDEX('Lớp 3 - Công việc chính'!$AA$14:$AA$73,$T66))))</f>
        <v>#REF!</v>
      </c>
      <c r="O66" s="690" t="str">
        <f t="array" ref="O66">IF($S66="","",IF($S66="Lớp 5",INDEX('Lớp 5 - Phân công'!$AB$14:$AB$262,$T66),IF($S66="Lớp 4",INDEX('Lớp 4 - Danh mục'!$AA$14:$AA$132,$T66),INDEX('Lớp 3 - Công việc chính'!$X$14:$X$73,$T66))))</f>
        <v>#REF!</v>
      </c>
      <c r="P66" s="703" t="str">
        <f t="array" ref="P66">IF($S66="","",IF($S66="Lớp 5",INDEX('Lớp 5 - Phân công'!$AC$14:$AC$262,$T66),IF($S66="Lớp 4",INDEX('Lớp 4 - Danh mục'!$AB$14:$AB$132,$T66),INDEX('Lớp 3 - Công việc chính'!$Y$14:$Y$73,$T66))))</f>
        <v>#REF!</v>
      </c>
      <c r="Q66" s="697" t="str">
        <f t="array" ref="Q66">IF($S66="","",IF($S66="Lớp 5",INDEX('Lớp 5 - Phân công'!$AG$14:$AG$262,$T66),IF($S66="Lớp 4",INDEX('Lớp 4 - Danh mục'!$AF$14:$AF$132,$T66),INDEX('Lớp 3 - Công việc chính'!$AC$14:$AC$73,$T66))))</f>
        <v>#REF!</v>
      </c>
      <c r="R66" s="698" t="str">
        <f t="array" ref="R66">IF($S66="","",IF($S66="Lớp 5",INDEX('Lớp 5 - Phân công'!$X$14:$X$262,$T66),IF($S66="Lớp 4",INDEX('Lớp 4 - Danh mục'!$V$14:$V$132,$T66),INDEX('Lớp 3 - Công việc chính'!$T$14:$T$73,$T66))))</f>
        <v>#REF!</v>
      </c>
      <c r="S66" s="699" t="str">
        <f>IF(ROWS($S$14:S66)&lt;=COUNTIF('Lớp 5 - Phân công'!$I$14:$I$262,"&lt;&gt;"),"Lớp 5",IF(ROWS($S$14:S66)&lt;=COUNTIF('Lớp 5 - Phân công'!$I$14:$I$262,"&lt;&gt;")+SUMPRODUCT(--('Lớp 4 - Danh mục'!$I$14:$I$132&lt;&gt;""),--(COUNTIF('Lớp 5 - Phân công'!$J$14:$J$262,'Lớp 4 - Danh mục'!$I$14:$I$132)=0)),"Lớp 4",IF(ROWS($S$14:S66)&lt;=COUNTIF('Lớp 5 - Phân công'!$I$14:$I$262,"&lt;&gt;")+SUMPRODUCT(--('Lớp 4 - Danh mục'!$I$14:$I$132&lt;&gt;""),--(COUNTIF('Lớp 5 - Phân công'!$J$14:$J$262,'Lớp 4 - Danh mục'!$I$14:$I$132)=0))+SUMPRODUCT(--('Lớp 3 - Công việc chính'!$I$14:$I$73&lt;&gt;""),--(COUNTIF('Lớp 4 - Danh mục'!$J$14:$J$132,'Lớp 3 - Công việc chính'!$I$14:$I$73)=0)),"Lớp 3","")))</f>
        <v>#REF!</v>
      </c>
      <c r="T66" s="699" t="str">
        <f t="array" ref="T66">IF(S66="","",IF(S66="Lớp 5",IF(S65&lt;&gt;"Lớp 5",MATCH("*",'Lớp 5 - Phân công'!$I$14:$I$262,0),T65+MATCH("*",INDEX('Lớp 5 - Phân công'!$I$14:$I$262,T65+1):'Lớp 5 - Phân công'!$I$262,0)),IF(S66="Lớp 4",IF(S65&lt;&gt;"Lớp 4",MATCH(1,INDEX(('Lớp 4 - Danh mục'!$I$14:$I$132&lt;&gt;"")*(COUNTIF('Lớp 5 - Phân công'!$J$14:$J$262,'Lớp 4 - Danh mục'!$I$14:$I$132)=0),0),0),T65+MATCH(1,INDEX((INDEX('Lớp 4 - Danh mục'!$I$14:$I$132,T65+1):'Lớp 4 - Danh mục'!$I$132&lt;&gt;"")*(COUNTIF('Lớp 5 - Phân công'!$J$14:$J$262,INDEX('Lớp 4 - Danh mục'!$I$14:$I$132,T65+1):'Lớp 4 - Danh mục'!$I$132)=0),0),0)),IF(S65&lt;&gt;"Lớp 3",MATCH(1,INDEX(('Lớp 3 - Công việc chính'!$I$14:$I$73&lt;&gt;"")*(COUNTIF('Lớp 4 - Danh mục'!$J$14:$J$132,'Lớp 3 - Công việc chính'!$I$14:$I$73)=0),0),0),T65+MATCH(1,INDEX((INDEX('Lớp 3 - Công việc chính'!$I$14:$I$73,T65+1):'Lớp 3 - Công việc chính'!$I$73&lt;&gt;"")*(COUNTIF('Lớp 4 - Danh mục'!$J$14:$J$132,INDEX('Lớp 3 - Công việc chính'!$I$14:$I$73,T65+1):'Lớp 3 - Công việc chính'!$I$73)=0),0),0)))))</f>
        <v>#REF!</v>
      </c>
      <c r="Z66" s="700" t="str">
        <f t="array" ref="Z66">IF($S66="","",IF($S66="Lớp 5",INDEX('Lớp 5 - Phân công'!$AS$14:$AS$262,$T66),IF($S66="Lớp 4",INDEX('Lớp 4 - Danh mục'!$AR$14:$AR$132,$T66),INDEX('Lớp 3 - Công việc chính'!$AO$14:$AO$73,$T66))))</f>
        <v>#REF!</v>
      </c>
      <c r="AA66" s="701" t="str">
        <f t="array" ref="AA66">IF($S66="","",IF($S66="Lớp 5",INDEX('Lớp 5 - Phân công'!$AT$14:$AT$262,$T66),IF($S66="Lớp 4",INDEX('Lớp 4 - Danh mục'!$AS$14:$AS$132,$T66),INDEX('Lớp 3 - Công việc chính'!$AP$14:$AP$73,$T66))))</f>
        <v>#REF!</v>
      </c>
      <c r="AB66" s="701" t="str">
        <f t="array" ref="AB66">IF($S66="","",IF($S66="Lớp 5",INDEX('Lớp 5 - Phân công'!$AJ$14:$AJ$262,$T66),IF($S66="Lớp 4",INDEX('Lớp 4 - Danh mục'!$AI$14:$AI$132,$T66),INDEX('Lớp 3 - Công việc chính'!$AF$14:$AF$73,$T66))))</f>
        <v>#REF!</v>
      </c>
      <c r="AC66" s="702" t="str">
        <f t="array" ref="AC66">IF($S66="","",IF($S66="Lớp 5",INDEX('Lớp 5 - Phân công'!$AV$14:$AV$262,$T66),IF($S66="Lớp 4",INDEX('Lớp 4 - Danh mục'!$AU$14:$AU$132,$T66),INDEX('Lớp 3 - Công việc chính'!$AR$14:$AR$73,$T66))))</f>
        <v>#REF!</v>
      </c>
    </row>
    <row r="67" ht="15.75" customHeight="1">
      <c r="A67" s="690" t="str">
        <f t="shared" si="1"/>
        <v>#REF!</v>
      </c>
      <c r="B67" s="690" t="str">
        <f t="array" ref="B67">IF($S67="","",IF($S67="Lớp 5",INDEX('Lớp 5 - Phân công'!$I$14:$I$262,$T67),IF($S67="Lớp 4",INDEX('Lớp 4 - Danh mục'!$I$14:$I$132,$T67),INDEX('Lớp 3 - Công việc chính'!$I$14:$I$73,$T67))))</f>
        <v>#REF!</v>
      </c>
      <c r="C67" s="690" t="str">
        <f t="array" ref="C67">IF($S67="","",IF($S67="Lớp 5",INDEX('Lớp 5 - Phân công'!$K$14:$K$262,$T67),IF($S67="Lớp 4",INDEX('Lớp 4 - Danh mục'!$J$14:$J$132,$T67),INDEX('Lớp 3 - Công việc chính'!$I$14:$I$73,$T67))))</f>
        <v>#REF!</v>
      </c>
      <c r="D67" s="690" t="str">
        <f t="array" ref="D67">IF($S67="","",IF($S67="Lớp 5",INDEX('Lớp 5 - Phân công'!$J$14:$J$262,$T67),IF($S67="Lớp 4",INDEX('Lớp 4 - Danh mục'!$I$14:$I$132,$T67),"")))</f>
        <v>#REF!</v>
      </c>
      <c r="E67" s="690" t="str">
        <f t="array" ref="E67">IF($S67="","",IF($S67="Lớp 5",INDEX('Lớp 5 - Phân công'!$L$14:$L$262,$T67),IF($S67="Lớp 4",INDEX('Lớp 4 - Danh mục'!$K$14:$K$132,$T67),INDEX('Lớp 3 - Công việc chính'!$J$14:$J$73,$T67))))</f>
        <v>#REF!</v>
      </c>
      <c r="F67" s="690" t="str">
        <f t="array" ref="F67">IF($S67="","",IF($S67="Lớp 5",INDEX('Lớp 5 - Phân công'!$M$14:$M$262,$T67),IF($S67="Lớp 4",INDEX('Lớp 4 - Danh mục'!$L$14:$L$132,$T67),INDEX('Lớp 3 - Công việc chính'!$K$14:$K$73,$T67))))</f>
        <v>#REF!</v>
      </c>
      <c r="G67" s="691" t="str">
        <f t="array" ref="G67">IF($S67="","",IF($S67="Lớp 5",INDEX('Lớp 5 - Phân công'!$N$14:$N$262,$T67),IF($S67="Lớp 4",INDEX('Lớp 4 - Danh mục'!$M$14:$M$132,$T67),INDEX('Lớp 3 - Công việc chính'!$L$14:$L$73,$T67))))</f>
        <v>#REF!</v>
      </c>
      <c r="H67" s="692" t="str">
        <f t="array" ref="H67">IF($S67="","",IF($S67="Lớp 5",INDEX('Lớp 5 - Phân công'!$O$14:$O$262,$T67),IF($S67="Lớp 4",INDEX('Lớp 4 - Danh mục'!$N$14:$N$132,$T67),INDEX('Lớp 3 - Công việc chính'!$M$14:$M$73,$T67))))</f>
        <v>#REF!</v>
      </c>
      <c r="I67" s="692" t="str">
        <f t="array" ref="I67">IF($S67="","",IF($S67="Lớp 5",INDEX('Lớp 5 - Phân công'!$P$14:$P$262,$T67),IF($S67="Lớp 4",INDEX('Lớp 4 - Danh mục'!$O$14:$O$132,$T67),"")))</f>
        <v>#REF!</v>
      </c>
      <c r="J67" s="693" t="str">
        <f t="array" ref="J67">IF($S67="","",IF($S67="Lớp 5",INDEX('Lớp 5 - Phân công'!$Q$14:$Q$262,$T67),""))</f>
        <v>#REF!</v>
      </c>
      <c r="K67" s="690" t="str">
        <f t="array" ref="K67">IF($S67="","",IF($S67="Lớp 5",INDEX('Lớp 5 - Phân công'!$AA$14:$AA$262,$T67),IF($S67="Lớp 4",INDEX('Lớp 4 - Danh mục'!$Y$14:$Y$132,$T67),INDEX('Lớp 3 - Công việc chính'!$U$14:$U$73,$T67))))</f>
        <v>#REF!</v>
      </c>
      <c r="L67" s="691" t="str">
        <f t="array" ref="L67">IF($S67="","",IF($S67="Lớp 5",INDEX('Lớp 5 - Phân công'!$Z$14:$Z$262,$T67),IF($S67="Lớp 4",INDEX('Lớp 4 - Danh mục'!$X$14:$X$132,$T67),INDEX('Lớp 3 - Công việc chính'!$W$14:$W$73,$T67))))</f>
        <v>#REF!</v>
      </c>
      <c r="M67" s="694" t="str">
        <f t="array" ref="M67">IF($S67="","",IF($S67="Lớp 5",INDEX('Lớp 5 - Phân công'!$AD$14:$AD$262,$T67),IF($S67="Lớp 4",INDEX('Lớp 4 - Danh mục'!$AC$14:$AC$132,$T67),INDEX('Lớp 3 - Công việc chính'!$Z$14:$Z$73,$T67))))</f>
        <v>#REF!</v>
      </c>
      <c r="N67" s="695" t="str">
        <f t="array" ref="N67">IF($S67="","",IF($S67="Lớp 5",INDEX('Lớp 5 - Phân công'!$AE$14:$AE$262,$T67),IF($S67="Lớp 4",INDEX('Lớp 4 - Danh mục'!$AD$14:$AD$132,$T67),INDEX('Lớp 3 - Công việc chính'!$AA$14:$AA$73,$T67))))</f>
        <v>#REF!</v>
      </c>
      <c r="O67" s="690" t="str">
        <f t="array" ref="O67">IF($S67="","",IF($S67="Lớp 5",INDEX('Lớp 5 - Phân công'!$AB$14:$AB$262,$T67),IF($S67="Lớp 4",INDEX('Lớp 4 - Danh mục'!$AA$14:$AA$132,$T67),INDEX('Lớp 3 - Công việc chính'!$X$14:$X$73,$T67))))</f>
        <v>#REF!</v>
      </c>
      <c r="P67" s="703" t="str">
        <f t="array" ref="P67">IF($S67="","",IF($S67="Lớp 5",INDEX('Lớp 5 - Phân công'!$AC$14:$AC$262,$T67),IF($S67="Lớp 4",INDEX('Lớp 4 - Danh mục'!$AB$14:$AB$132,$T67),INDEX('Lớp 3 - Công việc chính'!$Y$14:$Y$73,$T67))))</f>
        <v>#REF!</v>
      </c>
      <c r="Q67" s="697" t="str">
        <f t="array" ref="Q67">IF($S67="","",IF($S67="Lớp 5",INDEX('Lớp 5 - Phân công'!$AG$14:$AG$262,$T67),IF($S67="Lớp 4",INDEX('Lớp 4 - Danh mục'!$AF$14:$AF$132,$T67),INDEX('Lớp 3 - Công việc chính'!$AC$14:$AC$73,$T67))))</f>
        <v>#REF!</v>
      </c>
      <c r="R67" s="698" t="str">
        <f t="array" ref="R67">IF($S67="","",IF($S67="Lớp 5",INDEX('Lớp 5 - Phân công'!$X$14:$X$262,$T67),IF($S67="Lớp 4",INDEX('Lớp 4 - Danh mục'!$V$14:$V$132,$T67),INDEX('Lớp 3 - Công việc chính'!$T$14:$T$73,$T67))))</f>
        <v>#REF!</v>
      </c>
      <c r="S67" s="699" t="str">
        <f>IF(ROWS($S$14:S67)&lt;=COUNTIF('Lớp 5 - Phân công'!$I$14:$I$262,"&lt;&gt;"),"Lớp 5",IF(ROWS($S$14:S67)&lt;=COUNTIF('Lớp 5 - Phân công'!$I$14:$I$262,"&lt;&gt;")+SUMPRODUCT(--('Lớp 4 - Danh mục'!$I$14:$I$132&lt;&gt;""),--(COUNTIF('Lớp 5 - Phân công'!$J$14:$J$262,'Lớp 4 - Danh mục'!$I$14:$I$132)=0)),"Lớp 4",IF(ROWS($S$14:S67)&lt;=COUNTIF('Lớp 5 - Phân công'!$I$14:$I$262,"&lt;&gt;")+SUMPRODUCT(--('Lớp 4 - Danh mục'!$I$14:$I$132&lt;&gt;""),--(COUNTIF('Lớp 5 - Phân công'!$J$14:$J$262,'Lớp 4 - Danh mục'!$I$14:$I$132)=0))+SUMPRODUCT(--('Lớp 3 - Công việc chính'!$I$14:$I$73&lt;&gt;""),--(COUNTIF('Lớp 4 - Danh mục'!$J$14:$J$132,'Lớp 3 - Công việc chính'!$I$14:$I$73)=0)),"Lớp 3","")))</f>
        <v>#REF!</v>
      </c>
      <c r="T67" s="699" t="str">
        <f t="array" ref="T67">IF(S67="","",IF(S67="Lớp 5",IF(S66&lt;&gt;"Lớp 5",MATCH("*",'Lớp 5 - Phân công'!$I$14:$I$262,0),T66+MATCH("*",INDEX('Lớp 5 - Phân công'!$I$14:$I$262,T66+1):'Lớp 5 - Phân công'!$I$262,0)),IF(S67="Lớp 4",IF(S66&lt;&gt;"Lớp 4",MATCH(1,INDEX(('Lớp 4 - Danh mục'!$I$14:$I$132&lt;&gt;"")*(COUNTIF('Lớp 5 - Phân công'!$J$14:$J$262,'Lớp 4 - Danh mục'!$I$14:$I$132)=0),0),0),T66+MATCH(1,INDEX((INDEX('Lớp 4 - Danh mục'!$I$14:$I$132,T66+1):'Lớp 4 - Danh mục'!$I$132&lt;&gt;"")*(COUNTIF('Lớp 5 - Phân công'!$J$14:$J$262,INDEX('Lớp 4 - Danh mục'!$I$14:$I$132,T66+1):'Lớp 4 - Danh mục'!$I$132)=0),0),0)),IF(S66&lt;&gt;"Lớp 3",MATCH(1,INDEX(('Lớp 3 - Công việc chính'!$I$14:$I$73&lt;&gt;"")*(COUNTIF('Lớp 4 - Danh mục'!$J$14:$J$132,'Lớp 3 - Công việc chính'!$I$14:$I$73)=0),0),0),T66+MATCH(1,INDEX((INDEX('Lớp 3 - Công việc chính'!$I$14:$I$73,T66+1):'Lớp 3 - Công việc chính'!$I$73&lt;&gt;"")*(COUNTIF('Lớp 4 - Danh mục'!$J$14:$J$132,INDEX('Lớp 3 - Công việc chính'!$I$14:$I$73,T66+1):'Lớp 3 - Công việc chính'!$I$73)=0),0),0)))))</f>
        <v>#REF!</v>
      </c>
      <c r="Z67" s="700" t="str">
        <f t="array" ref="Z67">IF($S67="","",IF($S67="Lớp 5",INDEX('Lớp 5 - Phân công'!$AS$14:$AS$262,$T67),IF($S67="Lớp 4",INDEX('Lớp 4 - Danh mục'!$AR$14:$AR$132,$T67),INDEX('Lớp 3 - Công việc chính'!$AO$14:$AO$73,$T67))))</f>
        <v>#REF!</v>
      </c>
      <c r="AA67" s="701" t="str">
        <f t="array" ref="AA67">IF($S67="","",IF($S67="Lớp 5",INDEX('Lớp 5 - Phân công'!$AT$14:$AT$262,$T67),IF($S67="Lớp 4",INDEX('Lớp 4 - Danh mục'!$AS$14:$AS$132,$T67),INDEX('Lớp 3 - Công việc chính'!$AP$14:$AP$73,$T67))))</f>
        <v>#REF!</v>
      </c>
      <c r="AB67" s="701" t="str">
        <f t="array" ref="AB67">IF($S67="","",IF($S67="Lớp 5",INDEX('Lớp 5 - Phân công'!$AJ$14:$AJ$262,$T67),IF($S67="Lớp 4",INDEX('Lớp 4 - Danh mục'!$AI$14:$AI$132,$T67),INDEX('Lớp 3 - Công việc chính'!$AF$14:$AF$73,$T67))))</f>
        <v>#REF!</v>
      </c>
      <c r="AC67" s="702" t="str">
        <f t="array" ref="AC67">IF($S67="","",IF($S67="Lớp 5",INDEX('Lớp 5 - Phân công'!$AV$14:$AV$262,$T67),IF($S67="Lớp 4",INDEX('Lớp 4 - Danh mục'!$AU$14:$AU$132,$T67),INDEX('Lớp 3 - Công việc chính'!$AR$14:$AR$73,$T67))))</f>
        <v>#REF!</v>
      </c>
    </row>
    <row r="68" ht="15.75" customHeight="1">
      <c r="A68" s="690" t="str">
        <f t="shared" si="1"/>
        <v>#REF!</v>
      </c>
      <c r="B68" s="690" t="str">
        <f t="array" ref="B68">IF($S68="","",IF($S68="Lớp 5",INDEX('Lớp 5 - Phân công'!$I$14:$I$262,$T68),IF($S68="Lớp 4",INDEX('Lớp 4 - Danh mục'!$I$14:$I$132,$T68),INDEX('Lớp 3 - Công việc chính'!$I$14:$I$73,$T68))))</f>
        <v>#REF!</v>
      </c>
      <c r="C68" s="690" t="str">
        <f t="array" ref="C68">IF($S68="","",IF($S68="Lớp 5",INDEX('Lớp 5 - Phân công'!$K$14:$K$262,$T68),IF($S68="Lớp 4",INDEX('Lớp 4 - Danh mục'!$J$14:$J$132,$T68),INDEX('Lớp 3 - Công việc chính'!$I$14:$I$73,$T68))))</f>
        <v>#REF!</v>
      </c>
      <c r="D68" s="690" t="str">
        <f t="array" ref="D68">IF($S68="","",IF($S68="Lớp 5",INDEX('Lớp 5 - Phân công'!$J$14:$J$262,$T68),IF($S68="Lớp 4",INDEX('Lớp 4 - Danh mục'!$I$14:$I$132,$T68),"")))</f>
        <v>#REF!</v>
      </c>
      <c r="E68" s="690" t="str">
        <f t="array" ref="E68">IF($S68="","",IF($S68="Lớp 5",INDEX('Lớp 5 - Phân công'!$L$14:$L$262,$T68),IF($S68="Lớp 4",INDEX('Lớp 4 - Danh mục'!$K$14:$K$132,$T68),INDEX('Lớp 3 - Công việc chính'!$J$14:$J$73,$T68))))</f>
        <v>#REF!</v>
      </c>
      <c r="F68" s="690" t="str">
        <f t="array" ref="F68">IF($S68="","",IF($S68="Lớp 5",INDEX('Lớp 5 - Phân công'!$M$14:$M$262,$T68),IF($S68="Lớp 4",INDEX('Lớp 4 - Danh mục'!$L$14:$L$132,$T68),INDEX('Lớp 3 - Công việc chính'!$K$14:$K$73,$T68))))</f>
        <v>#REF!</v>
      </c>
      <c r="G68" s="691" t="str">
        <f t="array" ref="G68">IF($S68="","",IF($S68="Lớp 5",INDEX('Lớp 5 - Phân công'!$N$14:$N$262,$T68),IF($S68="Lớp 4",INDEX('Lớp 4 - Danh mục'!$M$14:$M$132,$T68),INDEX('Lớp 3 - Công việc chính'!$L$14:$L$73,$T68))))</f>
        <v>#REF!</v>
      </c>
      <c r="H68" s="692" t="str">
        <f t="array" ref="H68">IF($S68="","",IF($S68="Lớp 5",INDEX('Lớp 5 - Phân công'!$O$14:$O$262,$T68),IF($S68="Lớp 4",INDEX('Lớp 4 - Danh mục'!$N$14:$N$132,$T68),INDEX('Lớp 3 - Công việc chính'!$M$14:$M$73,$T68))))</f>
        <v>#REF!</v>
      </c>
      <c r="I68" s="692" t="str">
        <f t="array" ref="I68">IF($S68="","",IF($S68="Lớp 5",INDEX('Lớp 5 - Phân công'!$P$14:$P$262,$T68),IF($S68="Lớp 4",INDEX('Lớp 4 - Danh mục'!$O$14:$O$132,$T68),"")))</f>
        <v>#REF!</v>
      </c>
      <c r="J68" s="693" t="str">
        <f t="array" ref="J68">IF($S68="","",IF($S68="Lớp 5",INDEX('Lớp 5 - Phân công'!$Q$14:$Q$262,$T68),""))</f>
        <v>#REF!</v>
      </c>
      <c r="K68" s="690" t="str">
        <f t="array" ref="K68">IF($S68="","",IF($S68="Lớp 5",INDEX('Lớp 5 - Phân công'!$AA$14:$AA$262,$T68),IF($S68="Lớp 4",INDEX('Lớp 4 - Danh mục'!$Y$14:$Y$132,$T68),INDEX('Lớp 3 - Công việc chính'!$U$14:$U$73,$T68))))</f>
        <v>#REF!</v>
      </c>
      <c r="L68" s="691" t="str">
        <f t="array" ref="L68">IF($S68="","",IF($S68="Lớp 5",INDEX('Lớp 5 - Phân công'!$Z$14:$Z$262,$T68),IF($S68="Lớp 4",INDEX('Lớp 4 - Danh mục'!$X$14:$X$132,$T68),INDEX('Lớp 3 - Công việc chính'!$W$14:$W$73,$T68))))</f>
        <v>#REF!</v>
      </c>
      <c r="M68" s="694" t="str">
        <f t="array" ref="M68">IF($S68="","",IF($S68="Lớp 5",INDEX('Lớp 5 - Phân công'!$AD$14:$AD$262,$T68),IF($S68="Lớp 4",INDEX('Lớp 4 - Danh mục'!$AC$14:$AC$132,$T68),INDEX('Lớp 3 - Công việc chính'!$Z$14:$Z$73,$T68))))</f>
        <v>#REF!</v>
      </c>
      <c r="N68" s="695" t="str">
        <f t="array" ref="N68">IF($S68="","",IF($S68="Lớp 5",INDEX('Lớp 5 - Phân công'!$AE$14:$AE$262,$T68),IF($S68="Lớp 4",INDEX('Lớp 4 - Danh mục'!$AD$14:$AD$132,$T68),INDEX('Lớp 3 - Công việc chính'!$AA$14:$AA$73,$T68))))</f>
        <v>#REF!</v>
      </c>
      <c r="O68" s="690" t="str">
        <f t="array" ref="O68">IF($S68="","",IF($S68="Lớp 5",INDEX('Lớp 5 - Phân công'!$AB$14:$AB$262,$T68),IF($S68="Lớp 4",INDEX('Lớp 4 - Danh mục'!$AA$14:$AA$132,$T68),INDEX('Lớp 3 - Công việc chính'!$X$14:$X$73,$T68))))</f>
        <v>#REF!</v>
      </c>
      <c r="P68" s="703" t="str">
        <f t="array" ref="P68">IF($S68="","",IF($S68="Lớp 5",INDEX('Lớp 5 - Phân công'!$AC$14:$AC$262,$T68),IF($S68="Lớp 4",INDEX('Lớp 4 - Danh mục'!$AB$14:$AB$132,$T68),INDEX('Lớp 3 - Công việc chính'!$Y$14:$Y$73,$T68))))</f>
        <v>#REF!</v>
      </c>
      <c r="Q68" s="697" t="str">
        <f t="array" ref="Q68">IF($S68="","",IF($S68="Lớp 5",INDEX('Lớp 5 - Phân công'!$AG$14:$AG$262,$T68),IF($S68="Lớp 4",INDEX('Lớp 4 - Danh mục'!$AF$14:$AF$132,$T68),INDEX('Lớp 3 - Công việc chính'!$AC$14:$AC$73,$T68))))</f>
        <v>#REF!</v>
      </c>
      <c r="R68" s="698" t="str">
        <f t="array" ref="R68">IF($S68="","",IF($S68="Lớp 5",INDEX('Lớp 5 - Phân công'!$X$14:$X$262,$T68),IF($S68="Lớp 4",INDEX('Lớp 4 - Danh mục'!$V$14:$V$132,$T68),INDEX('Lớp 3 - Công việc chính'!$T$14:$T$73,$T68))))</f>
        <v>#REF!</v>
      </c>
      <c r="S68" s="699" t="str">
        <f>IF(ROWS($S$14:S68)&lt;=COUNTIF('Lớp 5 - Phân công'!$I$14:$I$262,"&lt;&gt;"),"Lớp 5",IF(ROWS($S$14:S68)&lt;=COUNTIF('Lớp 5 - Phân công'!$I$14:$I$262,"&lt;&gt;")+SUMPRODUCT(--('Lớp 4 - Danh mục'!$I$14:$I$132&lt;&gt;""),--(COUNTIF('Lớp 5 - Phân công'!$J$14:$J$262,'Lớp 4 - Danh mục'!$I$14:$I$132)=0)),"Lớp 4",IF(ROWS($S$14:S68)&lt;=COUNTIF('Lớp 5 - Phân công'!$I$14:$I$262,"&lt;&gt;")+SUMPRODUCT(--('Lớp 4 - Danh mục'!$I$14:$I$132&lt;&gt;""),--(COUNTIF('Lớp 5 - Phân công'!$J$14:$J$262,'Lớp 4 - Danh mục'!$I$14:$I$132)=0))+SUMPRODUCT(--('Lớp 3 - Công việc chính'!$I$14:$I$73&lt;&gt;""),--(COUNTIF('Lớp 4 - Danh mục'!$J$14:$J$132,'Lớp 3 - Công việc chính'!$I$14:$I$73)=0)),"Lớp 3","")))</f>
        <v>#REF!</v>
      </c>
      <c r="T68" s="699" t="str">
        <f t="array" ref="T68">IF(S68="","",IF(S68="Lớp 5",IF(S67&lt;&gt;"Lớp 5",MATCH("*",'Lớp 5 - Phân công'!$I$14:$I$262,0),T67+MATCH("*",INDEX('Lớp 5 - Phân công'!$I$14:$I$262,T67+1):'Lớp 5 - Phân công'!$I$262,0)),IF(S68="Lớp 4",IF(S67&lt;&gt;"Lớp 4",MATCH(1,INDEX(('Lớp 4 - Danh mục'!$I$14:$I$132&lt;&gt;"")*(COUNTIF('Lớp 5 - Phân công'!$J$14:$J$262,'Lớp 4 - Danh mục'!$I$14:$I$132)=0),0),0),T67+MATCH(1,INDEX((INDEX('Lớp 4 - Danh mục'!$I$14:$I$132,T67+1):'Lớp 4 - Danh mục'!$I$132&lt;&gt;"")*(COUNTIF('Lớp 5 - Phân công'!$J$14:$J$262,INDEX('Lớp 4 - Danh mục'!$I$14:$I$132,T67+1):'Lớp 4 - Danh mục'!$I$132)=0),0),0)),IF(S67&lt;&gt;"Lớp 3",MATCH(1,INDEX(('Lớp 3 - Công việc chính'!$I$14:$I$73&lt;&gt;"")*(COUNTIF('Lớp 4 - Danh mục'!$J$14:$J$132,'Lớp 3 - Công việc chính'!$I$14:$I$73)=0),0),0),T67+MATCH(1,INDEX((INDEX('Lớp 3 - Công việc chính'!$I$14:$I$73,T67+1):'Lớp 3 - Công việc chính'!$I$73&lt;&gt;"")*(COUNTIF('Lớp 4 - Danh mục'!$J$14:$J$132,INDEX('Lớp 3 - Công việc chính'!$I$14:$I$73,T67+1):'Lớp 3 - Công việc chính'!$I$73)=0),0),0)))))</f>
        <v>#REF!</v>
      </c>
      <c r="Z68" s="700" t="str">
        <f t="array" ref="Z68">IF($S68="","",IF($S68="Lớp 5",INDEX('Lớp 5 - Phân công'!$AS$14:$AS$262,$T68),IF($S68="Lớp 4",INDEX('Lớp 4 - Danh mục'!$AR$14:$AR$132,$T68),INDEX('Lớp 3 - Công việc chính'!$AO$14:$AO$73,$T68))))</f>
        <v>#REF!</v>
      </c>
      <c r="AA68" s="701" t="str">
        <f t="array" ref="AA68">IF($S68="","",IF($S68="Lớp 5",INDEX('Lớp 5 - Phân công'!$AT$14:$AT$262,$T68),IF($S68="Lớp 4",INDEX('Lớp 4 - Danh mục'!$AS$14:$AS$132,$T68),INDEX('Lớp 3 - Công việc chính'!$AP$14:$AP$73,$T68))))</f>
        <v>#REF!</v>
      </c>
      <c r="AB68" s="701" t="str">
        <f t="array" ref="AB68">IF($S68="","",IF($S68="Lớp 5",INDEX('Lớp 5 - Phân công'!$AJ$14:$AJ$262,$T68),IF($S68="Lớp 4",INDEX('Lớp 4 - Danh mục'!$AI$14:$AI$132,$T68),INDEX('Lớp 3 - Công việc chính'!$AF$14:$AF$73,$T68))))</f>
        <v>#REF!</v>
      </c>
      <c r="AC68" s="702" t="str">
        <f t="array" ref="AC68">IF($S68="","",IF($S68="Lớp 5",INDEX('Lớp 5 - Phân công'!$AV$14:$AV$262,$T68),IF($S68="Lớp 4",INDEX('Lớp 4 - Danh mục'!$AU$14:$AU$132,$T68),INDEX('Lớp 3 - Công việc chính'!$AR$14:$AR$73,$T68))))</f>
        <v>#REF!</v>
      </c>
    </row>
    <row r="69" ht="15.75" customHeight="1">
      <c r="A69" s="690" t="str">
        <f t="shared" si="1"/>
        <v>#REF!</v>
      </c>
      <c r="B69" s="690" t="str">
        <f t="array" ref="B69">IF($S69="","",IF($S69="Lớp 5",INDEX('Lớp 5 - Phân công'!$I$14:$I$262,$T69),IF($S69="Lớp 4",INDEX('Lớp 4 - Danh mục'!$I$14:$I$132,$T69),INDEX('Lớp 3 - Công việc chính'!$I$14:$I$73,$T69))))</f>
        <v>#REF!</v>
      </c>
      <c r="C69" s="690" t="str">
        <f t="array" ref="C69">IF($S69="","",IF($S69="Lớp 5",INDEX('Lớp 5 - Phân công'!$K$14:$K$262,$T69),IF($S69="Lớp 4",INDEX('Lớp 4 - Danh mục'!$J$14:$J$132,$T69),INDEX('Lớp 3 - Công việc chính'!$I$14:$I$73,$T69))))</f>
        <v>#REF!</v>
      </c>
      <c r="D69" s="690" t="str">
        <f t="array" ref="D69">IF($S69="","",IF($S69="Lớp 5",INDEX('Lớp 5 - Phân công'!$J$14:$J$262,$T69),IF($S69="Lớp 4",INDEX('Lớp 4 - Danh mục'!$I$14:$I$132,$T69),"")))</f>
        <v>#REF!</v>
      </c>
      <c r="E69" s="690" t="str">
        <f t="array" ref="E69">IF($S69="","",IF($S69="Lớp 5",INDEX('Lớp 5 - Phân công'!$L$14:$L$262,$T69),IF($S69="Lớp 4",INDEX('Lớp 4 - Danh mục'!$K$14:$K$132,$T69),INDEX('Lớp 3 - Công việc chính'!$J$14:$J$73,$T69))))</f>
        <v>#REF!</v>
      </c>
      <c r="F69" s="690" t="str">
        <f t="array" ref="F69">IF($S69="","",IF($S69="Lớp 5",INDEX('Lớp 5 - Phân công'!$M$14:$M$262,$T69),IF($S69="Lớp 4",INDEX('Lớp 4 - Danh mục'!$L$14:$L$132,$T69),INDEX('Lớp 3 - Công việc chính'!$K$14:$K$73,$T69))))</f>
        <v>#REF!</v>
      </c>
      <c r="G69" s="691" t="str">
        <f t="array" ref="G69">IF($S69="","",IF($S69="Lớp 5",INDEX('Lớp 5 - Phân công'!$N$14:$N$262,$T69),IF($S69="Lớp 4",INDEX('Lớp 4 - Danh mục'!$M$14:$M$132,$T69),INDEX('Lớp 3 - Công việc chính'!$L$14:$L$73,$T69))))</f>
        <v>#REF!</v>
      </c>
      <c r="H69" s="692" t="str">
        <f t="array" ref="H69">IF($S69="","",IF($S69="Lớp 5",INDEX('Lớp 5 - Phân công'!$O$14:$O$262,$T69),IF($S69="Lớp 4",INDEX('Lớp 4 - Danh mục'!$N$14:$N$132,$T69),INDEX('Lớp 3 - Công việc chính'!$M$14:$M$73,$T69))))</f>
        <v>#REF!</v>
      </c>
      <c r="I69" s="692" t="str">
        <f t="array" ref="I69">IF($S69="","",IF($S69="Lớp 5",INDEX('Lớp 5 - Phân công'!$P$14:$P$262,$T69),IF($S69="Lớp 4",INDEX('Lớp 4 - Danh mục'!$O$14:$O$132,$T69),"")))</f>
        <v>#REF!</v>
      </c>
      <c r="J69" s="693" t="str">
        <f t="array" ref="J69">IF($S69="","",IF($S69="Lớp 5",INDEX('Lớp 5 - Phân công'!$Q$14:$Q$262,$T69),""))</f>
        <v>#REF!</v>
      </c>
      <c r="K69" s="690" t="str">
        <f t="array" ref="K69">IF($S69="","",IF($S69="Lớp 5",INDEX('Lớp 5 - Phân công'!$AA$14:$AA$262,$T69),IF($S69="Lớp 4",INDEX('Lớp 4 - Danh mục'!$Y$14:$Y$132,$T69),INDEX('Lớp 3 - Công việc chính'!$U$14:$U$73,$T69))))</f>
        <v>#REF!</v>
      </c>
      <c r="L69" s="691" t="str">
        <f t="array" ref="L69">IF($S69="","",IF($S69="Lớp 5",INDEX('Lớp 5 - Phân công'!$Z$14:$Z$262,$T69),IF($S69="Lớp 4",INDEX('Lớp 4 - Danh mục'!$X$14:$X$132,$T69),INDEX('Lớp 3 - Công việc chính'!$W$14:$W$73,$T69))))</f>
        <v>#REF!</v>
      </c>
      <c r="M69" s="694" t="str">
        <f t="array" ref="M69">IF($S69="","",IF($S69="Lớp 5",INDEX('Lớp 5 - Phân công'!$AD$14:$AD$262,$T69),IF($S69="Lớp 4",INDEX('Lớp 4 - Danh mục'!$AC$14:$AC$132,$T69),INDEX('Lớp 3 - Công việc chính'!$Z$14:$Z$73,$T69))))</f>
        <v>#REF!</v>
      </c>
      <c r="N69" s="695" t="str">
        <f t="array" ref="N69">IF($S69="","",IF($S69="Lớp 5",INDEX('Lớp 5 - Phân công'!$AE$14:$AE$262,$T69),IF($S69="Lớp 4",INDEX('Lớp 4 - Danh mục'!$AD$14:$AD$132,$T69),INDEX('Lớp 3 - Công việc chính'!$AA$14:$AA$73,$T69))))</f>
        <v>#REF!</v>
      </c>
      <c r="O69" s="690" t="str">
        <f t="array" ref="O69">IF($S69="","",IF($S69="Lớp 5",INDEX('Lớp 5 - Phân công'!$AB$14:$AB$262,$T69),IF($S69="Lớp 4",INDEX('Lớp 4 - Danh mục'!$AA$14:$AA$132,$T69),INDEX('Lớp 3 - Công việc chính'!$X$14:$X$73,$T69))))</f>
        <v>#REF!</v>
      </c>
      <c r="P69" s="703" t="str">
        <f t="array" ref="P69">IF($S69="","",IF($S69="Lớp 5",INDEX('Lớp 5 - Phân công'!$AC$14:$AC$262,$T69),IF($S69="Lớp 4",INDEX('Lớp 4 - Danh mục'!$AB$14:$AB$132,$T69),INDEX('Lớp 3 - Công việc chính'!$Y$14:$Y$73,$T69))))</f>
        <v>#REF!</v>
      </c>
      <c r="Q69" s="697" t="str">
        <f t="array" ref="Q69">IF($S69="","",IF($S69="Lớp 5",INDEX('Lớp 5 - Phân công'!$AG$14:$AG$262,$T69),IF($S69="Lớp 4",INDEX('Lớp 4 - Danh mục'!$AF$14:$AF$132,$T69),INDEX('Lớp 3 - Công việc chính'!$AC$14:$AC$73,$T69))))</f>
        <v>#REF!</v>
      </c>
      <c r="R69" s="698" t="str">
        <f t="array" ref="R69">IF($S69="","",IF($S69="Lớp 5",INDEX('Lớp 5 - Phân công'!$X$14:$X$262,$T69),IF($S69="Lớp 4",INDEX('Lớp 4 - Danh mục'!$V$14:$V$132,$T69),INDEX('Lớp 3 - Công việc chính'!$T$14:$T$73,$T69))))</f>
        <v>#REF!</v>
      </c>
      <c r="S69" s="699" t="str">
        <f>IF(ROWS($S$14:S69)&lt;=COUNTIF('Lớp 5 - Phân công'!$I$14:$I$262,"&lt;&gt;"),"Lớp 5",IF(ROWS($S$14:S69)&lt;=COUNTIF('Lớp 5 - Phân công'!$I$14:$I$262,"&lt;&gt;")+SUMPRODUCT(--('Lớp 4 - Danh mục'!$I$14:$I$132&lt;&gt;""),--(COUNTIF('Lớp 5 - Phân công'!$J$14:$J$262,'Lớp 4 - Danh mục'!$I$14:$I$132)=0)),"Lớp 4",IF(ROWS($S$14:S69)&lt;=COUNTIF('Lớp 5 - Phân công'!$I$14:$I$262,"&lt;&gt;")+SUMPRODUCT(--('Lớp 4 - Danh mục'!$I$14:$I$132&lt;&gt;""),--(COUNTIF('Lớp 5 - Phân công'!$J$14:$J$262,'Lớp 4 - Danh mục'!$I$14:$I$132)=0))+SUMPRODUCT(--('Lớp 3 - Công việc chính'!$I$14:$I$73&lt;&gt;""),--(COUNTIF('Lớp 4 - Danh mục'!$J$14:$J$132,'Lớp 3 - Công việc chính'!$I$14:$I$73)=0)),"Lớp 3","")))</f>
        <v>#REF!</v>
      </c>
      <c r="T69" s="699" t="str">
        <f t="array" ref="T69">IF(S69="","",IF(S69="Lớp 5",IF(S68&lt;&gt;"Lớp 5",MATCH("*",'Lớp 5 - Phân công'!$I$14:$I$262,0),T68+MATCH("*",INDEX('Lớp 5 - Phân công'!$I$14:$I$262,T68+1):'Lớp 5 - Phân công'!$I$262,0)),IF(S69="Lớp 4",IF(S68&lt;&gt;"Lớp 4",MATCH(1,INDEX(('Lớp 4 - Danh mục'!$I$14:$I$132&lt;&gt;"")*(COUNTIF('Lớp 5 - Phân công'!$J$14:$J$262,'Lớp 4 - Danh mục'!$I$14:$I$132)=0),0),0),T68+MATCH(1,INDEX((INDEX('Lớp 4 - Danh mục'!$I$14:$I$132,T68+1):'Lớp 4 - Danh mục'!$I$132&lt;&gt;"")*(COUNTIF('Lớp 5 - Phân công'!$J$14:$J$262,INDEX('Lớp 4 - Danh mục'!$I$14:$I$132,T68+1):'Lớp 4 - Danh mục'!$I$132)=0),0),0)),IF(S68&lt;&gt;"Lớp 3",MATCH(1,INDEX(('Lớp 3 - Công việc chính'!$I$14:$I$73&lt;&gt;"")*(COUNTIF('Lớp 4 - Danh mục'!$J$14:$J$132,'Lớp 3 - Công việc chính'!$I$14:$I$73)=0),0),0),T68+MATCH(1,INDEX((INDEX('Lớp 3 - Công việc chính'!$I$14:$I$73,T68+1):'Lớp 3 - Công việc chính'!$I$73&lt;&gt;"")*(COUNTIF('Lớp 4 - Danh mục'!$J$14:$J$132,INDEX('Lớp 3 - Công việc chính'!$I$14:$I$73,T68+1):'Lớp 3 - Công việc chính'!$I$73)=0),0),0)))))</f>
        <v>#REF!</v>
      </c>
      <c r="Z69" s="700" t="str">
        <f t="array" ref="Z69">IF($S69="","",IF($S69="Lớp 5",INDEX('Lớp 5 - Phân công'!$AS$14:$AS$262,$T69),IF($S69="Lớp 4",INDEX('Lớp 4 - Danh mục'!$AR$14:$AR$132,$T69),INDEX('Lớp 3 - Công việc chính'!$AO$14:$AO$73,$T69))))</f>
        <v>#REF!</v>
      </c>
      <c r="AA69" s="701" t="str">
        <f t="array" ref="AA69">IF($S69="","",IF($S69="Lớp 5",INDEX('Lớp 5 - Phân công'!$AT$14:$AT$262,$T69),IF($S69="Lớp 4",INDEX('Lớp 4 - Danh mục'!$AS$14:$AS$132,$T69),INDEX('Lớp 3 - Công việc chính'!$AP$14:$AP$73,$T69))))</f>
        <v>#REF!</v>
      </c>
      <c r="AB69" s="701" t="str">
        <f t="array" ref="AB69">IF($S69="","",IF($S69="Lớp 5",INDEX('Lớp 5 - Phân công'!$AJ$14:$AJ$262,$T69),IF($S69="Lớp 4",INDEX('Lớp 4 - Danh mục'!$AI$14:$AI$132,$T69),INDEX('Lớp 3 - Công việc chính'!$AF$14:$AF$73,$T69))))</f>
        <v>#REF!</v>
      </c>
      <c r="AC69" s="702" t="str">
        <f t="array" ref="AC69">IF($S69="","",IF($S69="Lớp 5",INDEX('Lớp 5 - Phân công'!$AV$14:$AV$262,$T69),IF($S69="Lớp 4",INDEX('Lớp 4 - Danh mục'!$AU$14:$AU$132,$T69),INDEX('Lớp 3 - Công việc chính'!$AR$14:$AR$73,$T69))))</f>
        <v>#REF!</v>
      </c>
    </row>
    <row r="70" ht="15.75" customHeight="1">
      <c r="A70" s="690" t="str">
        <f t="shared" si="1"/>
        <v>#REF!</v>
      </c>
      <c r="B70" s="690" t="str">
        <f t="array" ref="B70">IF($S70="","",IF($S70="Lớp 5",INDEX('Lớp 5 - Phân công'!$I$14:$I$262,$T70),IF($S70="Lớp 4",INDEX('Lớp 4 - Danh mục'!$I$14:$I$132,$T70),INDEX('Lớp 3 - Công việc chính'!$I$14:$I$73,$T70))))</f>
        <v>#REF!</v>
      </c>
      <c r="C70" s="690" t="str">
        <f t="array" ref="C70">IF($S70="","",IF($S70="Lớp 5",INDEX('Lớp 5 - Phân công'!$K$14:$K$262,$T70),IF($S70="Lớp 4",INDEX('Lớp 4 - Danh mục'!$J$14:$J$132,$T70),INDEX('Lớp 3 - Công việc chính'!$I$14:$I$73,$T70))))</f>
        <v>#REF!</v>
      </c>
      <c r="D70" s="690" t="str">
        <f t="array" ref="D70">IF($S70="","",IF($S70="Lớp 5",INDEX('Lớp 5 - Phân công'!$J$14:$J$262,$T70),IF($S70="Lớp 4",INDEX('Lớp 4 - Danh mục'!$I$14:$I$132,$T70),"")))</f>
        <v>#REF!</v>
      </c>
      <c r="E70" s="690" t="str">
        <f t="array" ref="E70">IF($S70="","",IF($S70="Lớp 5",INDEX('Lớp 5 - Phân công'!$L$14:$L$262,$T70),IF($S70="Lớp 4",INDEX('Lớp 4 - Danh mục'!$K$14:$K$132,$T70),INDEX('Lớp 3 - Công việc chính'!$J$14:$J$73,$T70))))</f>
        <v>#REF!</v>
      </c>
      <c r="F70" s="690" t="str">
        <f t="array" ref="F70">IF($S70="","",IF($S70="Lớp 5",INDEX('Lớp 5 - Phân công'!$M$14:$M$262,$T70),IF($S70="Lớp 4",INDEX('Lớp 4 - Danh mục'!$L$14:$L$132,$T70),INDEX('Lớp 3 - Công việc chính'!$K$14:$K$73,$T70))))</f>
        <v>#REF!</v>
      </c>
      <c r="G70" s="691" t="str">
        <f t="array" ref="G70">IF($S70="","",IF($S70="Lớp 5",INDEX('Lớp 5 - Phân công'!$N$14:$N$262,$T70),IF($S70="Lớp 4",INDEX('Lớp 4 - Danh mục'!$M$14:$M$132,$T70),INDEX('Lớp 3 - Công việc chính'!$L$14:$L$73,$T70))))</f>
        <v>#REF!</v>
      </c>
      <c r="H70" s="692" t="str">
        <f t="array" ref="H70">IF($S70="","",IF($S70="Lớp 5",INDEX('Lớp 5 - Phân công'!$O$14:$O$262,$T70),IF($S70="Lớp 4",INDEX('Lớp 4 - Danh mục'!$N$14:$N$132,$T70),INDEX('Lớp 3 - Công việc chính'!$M$14:$M$73,$T70))))</f>
        <v>#REF!</v>
      </c>
      <c r="I70" s="692" t="str">
        <f t="array" ref="I70">IF($S70="","",IF($S70="Lớp 5",INDEX('Lớp 5 - Phân công'!$P$14:$P$262,$T70),IF($S70="Lớp 4",INDEX('Lớp 4 - Danh mục'!$O$14:$O$132,$T70),"")))</f>
        <v>#REF!</v>
      </c>
      <c r="J70" s="693" t="str">
        <f t="array" ref="J70">IF($S70="","",IF($S70="Lớp 5",INDEX('Lớp 5 - Phân công'!$Q$14:$Q$262,$T70),""))</f>
        <v>#REF!</v>
      </c>
      <c r="K70" s="690" t="str">
        <f t="array" ref="K70">IF($S70="","",IF($S70="Lớp 5",INDEX('Lớp 5 - Phân công'!$AA$14:$AA$262,$T70),IF($S70="Lớp 4",INDEX('Lớp 4 - Danh mục'!$Y$14:$Y$132,$T70),INDEX('Lớp 3 - Công việc chính'!$U$14:$U$73,$T70))))</f>
        <v>#REF!</v>
      </c>
      <c r="L70" s="691" t="str">
        <f t="array" ref="L70">IF($S70="","",IF($S70="Lớp 5",INDEX('Lớp 5 - Phân công'!$Z$14:$Z$262,$T70),IF($S70="Lớp 4",INDEX('Lớp 4 - Danh mục'!$X$14:$X$132,$T70),INDEX('Lớp 3 - Công việc chính'!$W$14:$W$73,$T70))))</f>
        <v>#REF!</v>
      </c>
      <c r="M70" s="694" t="str">
        <f t="array" ref="M70">IF($S70="","",IF($S70="Lớp 5",INDEX('Lớp 5 - Phân công'!$AD$14:$AD$262,$T70),IF($S70="Lớp 4",INDEX('Lớp 4 - Danh mục'!$AC$14:$AC$132,$T70),INDEX('Lớp 3 - Công việc chính'!$Z$14:$Z$73,$T70))))</f>
        <v>#REF!</v>
      </c>
      <c r="N70" s="695" t="str">
        <f t="array" ref="N70">IF($S70="","",IF($S70="Lớp 5",INDEX('Lớp 5 - Phân công'!$AE$14:$AE$262,$T70),IF($S70="Lớp 4",INDEX('Lớp 4 - Danh mục'!$AD$14:$AD$132,$T70),INDEX('Lớp 3 - Công việc chính'!$AA$14:$AA$73,$T70))))</f>
        <v>#REF!</v>
      </c>
      <c r="O70" s="690" t="str">
        <f t="array" ref="O70">IF($S70="","",IF($S70="Lớp 5",INDEX('Lớp 5 - Phân công'!$AB$14:$AB$262,$T70),IF($S70="Lớp 4",INDEX('Lớp 4 - Danh mục'!$AA$14:$AA$132,$T70),INDEX('Lớp 3 - Công việc chính'!$X$14:$X$73,$T70))))</f>
        <v>#REF!</v>
      </c>
      <c r="P70" s="703" t="str">
        <f t="array" ref="P70">IF($S70="","",IF($S70="Lớp 5",INDEX('Lớp 5 - Phân công'!$AC$14:$AC$262,$T70),IF($S70="Lớp 4",INDEX('Lớp 4 - Danh mục'!$AB$14:$AB$132,$T70),INDEX('Lớp 3 - Công việc chính'!$Y$14:$Y$73,$T70))))</f>
        <v>#REF!</v>
      </c>
      <c r="Q70" s="697" t="str">
        <f t="array" ref="Q70">IF($S70="","",IF($S70="Lớp 5",INDEX('Lớp 5 - Phân công'!$AG$14:$AG$262,$T70),IF($S70="Lớp 4",INDEX('Lớp 4 - Danh mục'!$AF$14:$AF$132,$T70),INDEX('Lớp 3 - Công việc chính'!$AC$14:$AC$73,$T70))))</f>
        <v>#REF!</v>
      </c>
      <c r="R70" s="698" t="str">
        <f t="array" ref="R70">IF($S70="","",IF($S70="Lớp 5",INDEX('Lớp 5 - Phân công'!$X$14:$X$262,$T70),IF($S70="Lớp 4",INDEX('Lớp 4 - Danh mục'!$V$14:$V$132,$T70),INDEX('Lớp 3 - Công việc chính'!$T$14:$T$73,$T70))))</f>
        <v>#REF!</v>
      </c>
      <c r="S70" s="699" t="str">
        <f>IF(ROWS($S$14:S70)&lt;=COUNTIF('Lớp 5 - Phân công'!$I$14:$I$262,"&lt;&gt;"),"Lớp 5",IF(ROWS($S$14:S70)&lt;=COUNTIF('Lớp 5 - Phân công'!$I$14:$I$262,"&lt;&gt;")+SUMPRODUCT(--('Lớp 4 - Danh mục'!$I$14:$I$132&lt;&gt;""),--(COUNTIF('Lớp 5 - Phân công'!$J$14:$J$262,'Lớp 4 - Danh mục'!$I$14:$I$132)=0)),"Lớp 4",IF(ROWS($S$14:S70)&lt;=COUNTIF('Lớp 5 - Phân công'!$I$14:$I$262,"&lt;&gt;")+SUMPRODUCT(--('Lớp 4 - Danh mục'!$I$14:$I$132&lt;&gt;""),--(COUNTIF('Lớp 5 - Phân công'!$J$14:$J$262,'Lớp 4 - Danh mục'!$I$14:$I$132)=0))+SUMPRODUCT(--('Lớp 3 - Công việc chính'!$I$14:$I$73&lt;&gt;""),--(COUNTIF('Lớp 4 - Danh mục'!$J$14:$J$132,'Lớp 3 - Công việc chính'!$I$14:$I$73)=0)),"Lớp 3","")))</f>
        <v>#REF!</v>
      </c>
      <c r="T70" s="699" t="str">
        <f t="array" ref="T70">IF(S70="","",IF(S70="Lớp 5",IF(S69&lt;&gt;"Lớp 5",MATCH("*",'Lớp 5 - Phân công'!$I$14:$I$262,0),T69+MATCH("*",INDEX('Lớp 5 - Phân công'!$I$14:$I$262,T69+1):'Lớp 5 - Phân công'!$I$262,0)),IF(S70="Lớp 4",IF(S69&lt;&gt;"Lớp 4",MATCH(1,INDEX(('Lớp 4 - Danh mục'!$I$14:$I$132&lt;&gt;"")*(COUNTIF('Lớp 5 - Phân công'!$J$14:$J$262,'Lớp 4 - Danh mục'!$I$14:$I$132)=0),0),0),T69+MATCH(1,INDEX((INDEX('Lớp 4 - Danh mục'!$I$14:$I$132,T69+1):'Lớp 4 - Danh mục'!$I$132&lt;&gt;"")*(COUNTIF('Lớp 5 - Phân công'!$J$14:$J$262,INDEX('Lớp 4 - Danh mục'!$I$14:$I$132,T69+1):'Lớp 4 - Danh mục'!$I$132)=0),0),0)),IF(S69&lt;&gt;"Lớp 3",MATCH(1,INDEX(('Lớp 3 - Công việc chính'!$I$14:$I$73&lt;&gt;"")*(COUNTIF('Lớp 4 - Danh mục'!$J$14:$J$132,'Lớp 3 - Công việc chính'!$I$14:$I$73)=0),0),0),T69+MATCH(1,INDEX((INDEX('Lớp 3 - Công việc chính'!$I$14:$I$73,T69+1):'Lớp 3 - Công việc chính'!$I$73&lt;&gt;"")*(COUNTIF('Lớp 4 - Danh mục'!$J$14:$J$132,INDEX('Lớp 3 - Công việc chính'!$I$14:$I$73,T69+1):'Lớp 3 - Công việc chính'!$I$73)=0),0),0)))))</f>
        <v>#REF!</v>
      </c>
      <c r="Z70" s="700" t="str">
        <f t="array" ref="Z70">IF($S70="","",IF($S70="Lớp 5",INDEX('Lớp 5 - Phân công'!$AS$14:$AS$262,$T70),IF($S70="Lớp 4",INDEX('Lớp 4 - Danh mục'!$AR$14:$AR$132,$T70),INDEX('Lớp 3 - Công việc chính'!$AO$14:$AO$73,$T70))))</f>
        <v>#REF!</v>
      </c>
      <c r="AA70" s="701" t="str">
        <f t="array" ref="AA70">IF($S70="","",IF($S70="Lớp 5",INDEX('Lớp 5 - Phân công'!$AT$14:$AT$262,$T70),IF($S70="Lớp 4",INDEX('Lớp 4 - Danh mục'!$AS$14:$AS$132,$T70),INDEX('Lớp 3 - Công việc chính'!$AP$14:$AP$73,$T70))))</f>
        <v>#REF!</v>
      </c>
      <c r="AB70" s="701" t="str">
        <f t="array" ref="AB70">IF($S70="","",IF($S70="Lớp 5",INDEX('Lớp 5 - Phân công'!$AJ$14:$AJ$262,$T70),IF($S70="Lớp 4",INDEX('Lớp 4 - Danh mục'!$AI$14:$AI$132,$T70),INDEX('Lớp 3 - Công việc chính'!$AF$14:$AF$73,$T70))))</f>
        <v>#REF!</v>
      </c>
      <c r="AC70" s="702" t="str">
        <f t="array" ref="AC70">IF($S70="","",IF($S70="Lớp 5",INDEX('Lớp 5 - Phân công'!$AV$14:$AV$262,$T70),IF($S70="Lớp 4",INDEX('Lớp 4 - Danh mục'!$AU$14:$AU$132,$T70),INDEX('Lớp 3 - Công việc chính'!$AR$14:$AR$73,$T70))))</f>
        <v>#REF!</v>
      </c>
    </row>
    <row r="71" ht="15.75" customHeight="1">
      <c r="A71" s="690" t="str">
        <f t="shared" si="1"/>
        <v>#REF!</v>
      </c>
      <c r="B71" s="690" t="str">
        <f t="array" ref="B71">IF($S71="","",IF($S71="Lớp 5",INDEX('Lớp 5 - Phân công'!$I$14:$I$262,$T71),IF($S71="Lớp 4",INDEX('Lớp 4 - Danh mục'!$I$14:$I$132,$T71),INDEX('Lớp 3 - Công việc chính'!$I$14:$I$73,$T71))))</f>
        <v>#REF!</v>
      </c>
      <c r="C71" s="690" t="str">
        <f t="array" ref="C71">IF($S71="","",IF($S71="Lớp 5",INDEX('Lớp 5 - Phân công'!$K$14:$K$262,$T71),IF($S71="Lớp 4",INDEX('Lớp 4 - Danh mục'!$J$14:$J$132,$T71),INDEX('Lớp 3 - Công việc chính'!$I$14:$I$73,$T71))))</f>
        <v>#REF!</v>
      </c>
      <c r="D71" s="690" t="str">
        <f t="array" ref="D71">IF($S71="","",IF($S71="Lớp 5",INDEX('Lớp 5 - Phân công'!$J$14:$J$262,$T71),IF($S71="Lớp 4",INDEX('Lớp 4 - Danh mục'!$I$14:$I$132,$T71),"")))</f>
        <v>#REF!</v>
      </c>
      <c r="E71" s="690" t="str">
        <f t="array" ref="E71">IF($S71="","",IF($S71="Lớp 5",INDEX('Lớp 5 - Phân công'!$L$14:$L$262,$T71),IF($S71="Lớp 4",INDEX('Lớp 4 - Danh mục'!$K$14:$K$132,$T71),INDEX('Lớp 3 - Công việc chính'!$J$14:$J$73,$T71))))</f>
        <v>#REF!</v>
      </c>
      <c r="F71" s="690" t="str">
        <f t="array" ref="F71">IF($S71="","",IF($S71="Lớp 5",INDEX('Lớp 5 - Phân công'!$M$14:$M$262,$T71),IF($S71="Lớp 4",INDEX('Lớp 4 - Danh mục'!$L$14:$L$132,$T71),INDEX('Lớp 3 - Công việc chính'!$K$14:$K$73,$T71))))</f>
        <v>#REF!</v>
      </c>
      <c r="G71" s="691" t="str">
        <f t="array" ref="G71">IF($S71="","",IF($S71="Lớp 5",INDEX('Lớp 5 - Phân công'!$N$14:$N$262,$T71),IF($S71="Lớp 4",INDEX('Lớp 4 - Danh mục'!$M$14:$M$132,$T71),INDEX('Lớp 3 - Công việc chính'!$L$14:$L$73,$T71))))</f>
        <v>#REF!</v>
      </c>
      <c r="H71" s="692" t="str">
        <f t="array" ref="H71">IF($S71="","",IF($S71="Lớp 5",INDEX('Lớp 5 - Phân công'!$O$14:$O$262,$T71),IF($S71="Lớp 4",INDEX('Lớp 4 - Danh mục'!$N$14:$N$132,$T71),INDEX('Lớp 3 - Công việc chính'!$M$14:$M$73,$T71))))</f>
        <v>#REF!</v>
      </c>
      <c r="I71" s="692" t="str">
        <f t="array" ref="I71">IF($S71="","",IF($S71="Lớp 5",INDEX('Lớp 5 - Phân công'!$P$14:$P$262,$T71),IF($S71="Lớp 4",INDEX('Lớp 4 - Danh mục'!$O$14:$O$132,$T71),"")))</f>
        <v>#REF!</v>
      </c>
      <c r="J71" s="693" t="str">
        <f t="array" ref="J71">IF($S71="","",IF($S71="Lớp 5",INDEX('Lớp 5 - Phân công'!$Q$14:$Q$262,$T71),""))</f>
        <v>#REF!</v>
      </c>
      <c r="K71" s="690" t="str">
        <f t="array" ref="K71">IF($S71="","",IF($S71="Lớp 5",INDEX('Lớp 5 - Phân công'!$AA$14:$AA$262,$T71),IF($S71="Lớp 4",INDEX('Lớp 4 - Danh mục'!$Y$14:$Y$132,$T71),INDEX('Lớp 3 - Công việc chính'!$U$14:$U$73,$T71))))</f>
        <v>#REF!</v>
      </c>
      <c r="L71" s="691" t="str">
        <f t="array" ref="L71">IF($S71="","",IF($S71="Lớp 5",INDEX('Lớp 5 - Phân công'!$Z$14:$Z$262,$T71),IF($S71="Lớp 4",INDEX('Lớp 4 - Danh mục'!$X$14:$X$132,$T71),INDEX('Lớp 3 - Công việc chính'!$W$14:$W$73,$T71))))</f>
        <v>#REF!</v>
      </c>
      <c r="M71" s="694" t="str">
        <f t="array" ref="M71">IF($S71="","",IF($S71="Lớp 5",INDEX('Lớp 5 - Phân công'!$AD$14:$AD$262,$T71),IF($S71="Lớp 4",INDEX('Lớp 4 - Danh mục'!$AC$14:$AC$132,$T71),INDEX('Lớp 3 - Công việc chính'!$Z$14:$Z$73,$T71))))</f>
        <v>#REF!</v>
      </c>
      <c r="N71" s="695" t="str">
        <f t="array" ref="N71">IF($S71="","",IF($S71="Lớp 5",INDEX('Lớp 5 - Phân công'!$AE$14:$AE$262,$T71),IF($S71="Lớp 4",INDEX('Lớp 4 - Danh mục'!$AD$14:$AD$132,$T71),INDEX('Lớp 3 - Công việc chính'!$AA$14:$AA$73,$T71))))</f>
        <v>#REF!</v>
      </c>
      <c r="O71" s="690" t="str">
        <f t="array" ref="O71">IF($S71="","",IF($S71="Lớp 5",INDEX('Lớp 5 - Phân công'!$AB$14:$AB$262,$T71),IF($S71="Lớp 4",INDEX('Lớp 4 - Danh mục'!$AA$14:$AA$132,$T71),INDEX('Lớp 3 - Công việc chính'!$X$14:$X$73,$T71))))</f>
        <v>#REF!</v>
      </c>
      <c r="P71" s="703" t="str">
        <f t="array" ref="P71">IF($S71="","",IF($S71="Lớp 5",INDEX('Lớp 5 - Phân công'!$AC$14:$AC$262,$T71),IF($S71="Lớp 4",INDEX('Lớp 4 - Danh mục'!$AB$14:$AB$132,$T71),INDEX('Lớp 3 - Công việc chính'!$Y$14:$Y$73,$T71))))</f>
        <v>#REF!</v>
      </c>
      <c r="Q71" s="697" t="str">
        <f t="array" ref="Q71">IF($S71="","",IF($S71="Lớp 5",INDEX('Lớp 5 - Phân công'!$AG$14:$AG$262,$T71),IF($S71="Lớp 4",INDEX('Lớp 4 - Danh mục'!$AF$14:$AF$132,$T71),INDEX('Lớp 3 - Công việc chính'!$AC$14:$AC$73,$T71))))</f>
        <v>#REF!</v>
      </c>
      <c r="R71" s="698" t="str">
        <f t="array" ref="R71">IF($S71="","",IF($S71="Lớp 5",INDEX('Lớp 5 - Phân công'!$X$14:$X$262,$T71),IF($S71="Lớp 4",INDEX('Lớp 4 - Danh mục'!$V$14:$V$132,$T71),INDEX('Lớp 3 - Công việc chính'!$T$14:$T$73,$T71))))</f>
        <v>#REF!</v>
      </c>
      <c r="S71" s="699" t="str">
        <f>IF(ROWS($S$14:S71)&lt;=COUNTIF('Lớp 5 - Phân công'!$I$14:$I$262,"&lt;&gt;"),"Lớp 5",IF(ROWS($S$14:S71)&lt;=COUNTIF('Lớp 5 - Phân công'!$I$14:$I$262,"&lt;&gt;")+SUMPRODUCT(--('Lớp 4 - Danh mục'!$I$14:$I$132&lt;&gt;""),--(COUNTIF('Lớp 5 - Phân công'!$J$14:$J$262,'Lớp 4 - Danh mục'!$I$14:$I$132)=0)),"Lớp 4",IF(ROWS($S$14:S71)&lt;=COUNTIF('Lớp 5 - Phân công'!$I$14:$I$262,"&lt;&gt;")+SUMPRODUCT(--('Lớp 4 - Danh mục'!$I$14:$I$132&lt;&gt;""),--(COUNTIF('Lớp 5 - Phân công'!$J$14:$J$262,'Lớp 4 - Danh mục'!$I$14:$I$132)=0))+SUMPRODUCT(--('Lớp 3 - Công việc chính'!$I$14:$I$73&lt;&gt;""),--(COUNTIF('Lớp 4 - Danh mục'!$J$14:$J$132,'Lớp 3 - Công việc chính'!$I$14:$I$73)=0)),"Lớp 3","")))</f>
        <v>#REF!</v>
      </c>
      <c r="T71" s="699" t="str">
        <f t="array" ref="T71">IF(S71="","",IF(S71="Lớp 5",IF(S70&lt;&gt;"Lớp 5",MATCH("*",'Lớp 5 - Phân công'!$I$14:$I$262,0),T70+MATCH("*",INDEX('Lớp 5 - Phân công'!$I$14:$I$262,T70+1):'Lớp 5 - Phân công'!$I$262,0)),IF(S71="Lớp 4",IF(S70&lt;&gt;"Lớp 4",MATCH(1,INDEX(('Lớp 4 - Danh mục'!$I$14:$I$132&lt;&gt;"")*(COUNTIF('Lớp 5 - Phân công'!$J$14:$J$262,'Lớp 4 - Danh mục'!$I$14:$I$132)=0),0),0),T70+MATCH(1,INDEX((INDEX('Lớp 4 - Danh mục'!$I$14:$I$132,T70+1):'Lớp 4 - Danh mục'!$I$132&lt;&gt;"")*(COUNTIF('Lớp 5 - Phân công'!$J$14:$J$262,INDEX('Lớp 4 - Danh mục'!$I$14:$I$132,T70+1):'Lớp 4 - Danh mục'!$I$132)=0),0),0)),IF(S70&lt;&gt;"Lớp 3",MATCH(1,INDEX(('Lớp 3 - Công việc chính'!$I$14:$I$73&lt;&gt;"")*(COUNTIF('Lớp 4 - Danh mục'!$J$14:$J$132,'Lớp 3 - Công việc chính'!$I$14:$I$73)=0),0),0),T70+MATCH(1,INDEX((INDEX('Lớp 3 - Công việc chính'!$I$14:$I$73,T70+1):'Lớp 3 - Công việc chính'!$I$73&lt;&gt;"")*(COUNTIF('Lớp 4 - Danh mục'!$J$14:$J$132,INDEX('Lớp 3 - Công việc chính'!$I$14:$I$73,T70+1):'Lớp 3 - Công việc chính'!$I$73)=0),0),0)))))</f>
        <v>#REF!</v>
      </c>
      <c r="Z71" s="700" t="str">
        <f t="array" ref="Z71">IF($S71="","",IF($S71="Lớp 5",INDEX('Lớp 5 - Phân công'!$AS$14:$AS$262,$T71),IF($S71="Lớp 4",INDEX('Lớp 4 - Danh mục'!$AR$14:$AR$132,$T71),INDEX('Lớp 3 - Công việc chính'!$AO$14:$AO$73,$T71))))</f>
        <v>#REF!</v>
      </c>
      <c r="AA71" s="701" t="str">
        <f t="array" ref="AA71">IF($S71="","",IF($S71="Lớp 5",INDEX('Lớp 5 - Phân công'!$AT$14:$AT$262,$T71),IF($S71="Lớp 4",INDEX('Lớp 4 - Danh mục'!$AS$14:$AS$132,$T71),INDEX('Lớp 3 - Công việc chính'!$AP$14:$AP$73,$T71))))</f>
        <v>#REF!</v>
      </c>
      <c r="AB71" s="701" t="str">
        <f t="array" ref="AB71">IF($S71="","",IF($S71="Lớp 5",INDEX('Lớp 5 - Phân công'!$AJ$14:$AJ$262,$T71),IF($S71="Lớp 4",INDEX('Lớp 4 - Danh mục'!$AI$14:$AI$132,$T71),INDEX('Lớp 3 - Công việc chính'!$AF$14:$AF$73,$T71))))</f>
        <v>#REF!</v>
      </c>
      <c r="AC71" s="702" t="str">
        <f t="array" ref="AC71">IF($S71="","",IF($S71="Lớp 5",INDEX('Lớp 5 - Phân công'!$AV$14:$AV$262,$T71),IF($S71="Lớp 4",INDEX('Lớp 4 - Danh mục'!$AU$14:$AU$132,$T71),INDEX('Lớp 3 - Công việc chính'!$AR$14:$AR$73,$T71))))</f>
        <v>#REF!</v>
      </c>
    </row>
    <row r="72" ht="15.75" customHeight="1">
      <c r="A72" s="690" t="str">
        <f t="shared" si="1"/>
        <v>#REF!</v>
      </c>
      <c r="B72" s="690" t="str">
        <f t="array" ref="B72">IF($S72="","",IF($S72="Lớp 5",INDEX('Lớp 5 - Phân công'!$I$14:$I$262,$T72),IF($S72="Lớp 4",INDEX('Lớp 4 - Danh mục'!$I$14:$I$132,$T72),INDEX('Lớp 3 - Công việc chính'!$I$14:$I$73,$T72))))</f>
        <v>#REF!</v>
      </c>
      <c r="C72" s="690" t="str">
        <f t="array" ref="C72">IF($S72="","",IF($S72="Lớp 5",INDEX('Lớp 5 - Phân công'!$K$14:$K$262,$T72),IF($S72="Lớp 4",INDEX('Lớp 4 - Danh mục'!$J$14:$J$132,$T72),INDEX('Lớp 3 - Công việc chính'!$I$14:$I$73,$T72))))</f>
        <v>#REF!</v>
      </c>
      <c r="D72" s="690" t="str">
        <f t="array" ref="D72">IF($S72="","",IF($S72="Lớp 5",INDEX('Lớp 5 - Phân công'!$J$14:$J$262,$T72),IF($S72="Lớp 4",INDEX('Lớp 4 - Danh mục'!$I$14:$I$132,$T72),"")))</f>
        <v>#REF!</v>
      </c>
      <c r="E72" s="690" t="str">
        <f t="array" ref="E72">IF($S72="","",IF($S72="Lớp 5",INDEX('Lớp 5 - Phân công'!$L$14:$L$262,$T72),IF($S72="Lớp 4",INDEX('Lớp 4 - Danh mục'!$K$14:$K$132,$T72),INDEX('Lớp 3 - Công việc chính'!$J$14:$J$73,$T72))))</f>
        <v>#REF!</v>
      </c>
      <c r="F72" s="690" t="str">
        <f t="array" ref="F72">IF($S72="","",IF($S72="Lớp 5",INDEX('Lớp 5 - Phân công'!$M$14:$M$262,$T72),IF($S72="Lớp 4",INDEX('Lớp 4 - Danh mục'!$L$14:$L$132,$T72),INDEX('Lớp 3 - Công việc chính'!$K$14:$K$73,$T72))))</f>
        <v>#REF!</v>
      </c>
      <c r="G72" s="691" t="str">
        <f t="array" ref="G72">IF($S72="","",IF($S72="Lớp 5",INDEX('Lớp 5 - Phân công'!$N$14:$N$262,$T72),IF($S72="Lớp 4",INDEX('Lớp 4 - Danh mục'!$M$14:$M$132,$T72),INDEX('Lớp 3 - Công việc chính'!$L$14:$L$73,$T72))))</f>
        <v>#REF!</v>
      </c>
      <c r="H72" s="692" t="str">
        <f t="array" ref="H72">IF($S72="","",IF($S72="Lớp 5",INDEX('Lớp 5 - Phân công'!$O$14:$O$262,$T72),IF($S72="Lớp 4",INDEX('Lớp 4 - Danh mục'!$N$14:$N$132,$T72),INDEX('Lớp 3 - Công việc chính'!$M$14:$M$73,$T72))))</f>
        <v>#REF!</v>
      </c>
      <c r="I72" s="692" t="str">
        <f t="array" ref="I72">IF($S72="","",IF($S72="Lớp 5",INDEX('Lớp 5 - Phân công'!$P$14:$P$262,$T72),IF($S72="Lớp 4",INDEX('Lớp 4 - Danh mục'!$O$14:$O$132,$T72),"")))</f>
        <v>#REF!</v>
      </c>
      <c r="J72" s="693" t="str">
        <f t="array" ref="J72">IF($S72="","",IF($S72="Lớp 5",INDEX('Lớp 5 - Phân công'!$Q$14:$Q$262,$T72),""))</f>
        <v>#REF!</v>
      </c>
      <c r="K72" s="690" t="str">
        <f t="array" ref="K72">IF($S72="","",IF($S72="Lớp 5",INDEX('Lớp 5 - Phân công'!$AA$14:$AA$262,$T72),IF($S72="Lớp 4",INDEX('Lớp 4 - Danh mục'!$Y$14:$Y$132,$T72),INDEX('Lớp 3 - Công việc chính'!$U$14:$U$73,$T72))))</f>
        <v>#REF!</v>
      </c>
      <c r="L72" s="691" t="str">
        <f t="array" ref="L72">IF($S72="","",IF($S72="Lớp 5",INDEX('Lớp 5 - Phân công'!$Z$14:$Z$262,$T72),IF($S72="Lớp 4",INDEX('Lớp 4 - Danh mục'!$X$14:$X$132,$T72),INDEX('Lớp 3 - Công việc chính'!$W$14:$W$73,$T72))))</f>
        <v>#REF!</v>
      </c>
      <c r="M72" s="694" t="str">
        <f t="array" ref="M72">IF($S72="","",IF($S72="Lớp 5",INDEX('Lớp 5 - Phân công'!$AD$14:$AD$262,$T72),IF($S72="Lớp 4",INDEX('Lớp 4 - Danh mục'!$AC$14:$AC$132,$T72),INDEX('Lớp 3 - Công việc chính'!$Z$14:$Z$73,$T72))))</f>
        <v>#REF!</v>
      </c>
      <c r="N72" s="695" t="str">
        <f t="array" ref="N72">IF($S72="","",IF($S72="Lớp 5",INDEX('Lớp 5 - Phân công'!$AE$14:$AE$262,$T72),IF($S72="Lớp 4",INDEX('Lớp 4 - Danh mục'!$AD$14:$AD$132,$T72),INDEX('Lớp 3 - Công việc chính'!$AA$14:$AA$73,$T72))))</f>
        <v>#REF!</v>
      </c>
      <c r="O72" s="690" t="str">
        <f t="array" ref="O72">IF($S72="","",IF($S72="Lớp 5",INDEX('Lớp 5 - Phân công'!$AB$14:$AB$262,$T72),IF($S72="Lớp 4",INDEX('Lớp 4 - Danh mục'!$AA$14:$AA$132,$T72),INDEX('Lớp 3 - Công việc chính'!$X$14:$X$73,$T72))))</f>
        <v>#REF!</v>
      </c>
      <c r="P72" s="703" t="str">
        <f t="array" ref="P72">IF($S72="","",IF($S72="Lớp 5",INDEX('Lớp 5 - Phân công'!$AC$14:$AC$262,$T72),IF($S72="Lớp 4",INDEX('Lớp 4 - Danh mục'!$AB$14:$AB$132,$T72),INDEX('Lớp 3 - Công việc chính'!$Y$14:$Y$73,$T72))))</f>
        <v>#REF!</v>
      </c>
      <c r="Q72" s="697" t="str">
        <f t="array" ref="Q72">IF($S72="","",IF($S72="Lớp 5",INDEX('Lớp 5 - Phân công'!$AG$14:$AG$262,$T72),IF($S72="Lớp 4",INDEX('Lớp 4 - Danh mục'!$AF$14:$AF$132,$T72),INDEX('Lớp 3 - Công việc chính'!$AC$14:$AC$73,$T72))))</f>
        <v>#REF!</v>
      </c>
      <c r="R72" s="698" t="str">
        <f t="array" ref="R72">IF($S72="","",IF($S72="Lớp 5",INDEX('Lớp 5 - Phân công'!$X$14:$X$262,$T72),IF($S72="Lớp 4",INDEX('Lớp 4 - Danh mục'!$V$14:$V$132,$T72),INDEX('Lớp 3 - Công việc chính'!$T$14:$T$73,$T72))))</f>
        <v>#REF!</v>
      </c>
      <c r="S72" s="699" t="str">
        <f>IF(ROWS($S$14:S72)&lt;=COUNTIF('Lớp 5 - Phân công'!$I$14:$I$262,"&lt;&gt;"),"Lớp 5",IF(ROWS($S$14:S72)&lt;=COUNTIF('Lớp 5 - Phân công'!$I$14:$I$262,"&lt;&gt;")+SUMPRODUCT(--('Lớp 4 - Danh mục'!$I$14:$I$132&lt;&gt;""),--(COUNTIF('Lớp 5 - Phân công'!$J$14:$J$262,'Lớp 4 - Danh mục'!$I$14:$I$132)=0)),"Lớp 4",IF(ROWS($S$14:S72)&lt;=COUNTIF('Lớp 5 - Phân công'!$I$14:$I$262,"&lt;&gt;")+SUMPRODUCT(--('Lớp 4 - Danh mục'!$I$14:$I$132&lt;&gt;""),--(COUNTIF('Lớp 5 - Phân công'!$J$14:$J$262,'Lớp 4 - Danh mục'!$I$14:$I$132)=0))+SUMPRODUCT(--('Lớp 3 - Công việc chính'!$I$14:$I$73&lt;&gt;""),--(COUNTIF('Lớp 4 - Danh mục'!$J$14:$J$132,'Lớp 3 - Công việc chính'!$I$14:$I$73)=0)),"Lớp 3","")))</f>
        <v>#REF!</v>
      </c>
      <c r="T72" s="699" t="str">
        <f t="array" ref="T72">IF(S72="","",IF(S72="Lớp 5",IF(S71&lt;&gt;"Lớp 5",MATCH("*",'Lớp 5 - Phân công'!$I$14:$I$262,0),T71+MATCH("*",INDEX('Lớp 5 - Phân công'!$I$14:$I$262,T71+1):'Lớp 5 - Phân công'!$I$262,0)),IF(S72="Lớp 4",IF(S71&lt;&gt;"Lớp 4",MATCH(1,INDEX(('Lớp 4 - Danh mục'!$I$14:$I$132&lt;&gt;"")*(COUNTIF('Lớp 5 - Phân công'!$J$14:$J$262,'Lớp 4 - Danh mục'!$I$14:$I$132)=0),0),0),T71+MATCH(1,INDEX((INDEX('Lớp 4 - Danh mục'!$I$14:$I$132,T71+1):'Lớp 4 - Danh mục'!$I$132&lt;&gt;"")*(COUNTIF('Lớp 5 - Phân công'!$J$14:$J$262,INDEX('Lớp 4 - Danh mục'!$I$14:$I$132,T71+1):'Lớp 4 - Danh mục'!$I$132)=0),0),0)),IF(S71&lt;&gt;"Lớp 3",MATCH(1,INDEX(('Lớp 3 - Công việc chính'!$I$14:$I$73&lt;&gt;"")*(COUNTIF('Lớp 4 - Danh mục'!$J$14:$J$132,'Lớp 3 - Công việc chính'!$I$14:$I$73)=0),0),0),T71+MATCH(1,INDEX((INDEX('Lớp 3 - Công việc chính'!$I$14:$I$73,T71+1):'Lớp 3 - Công việc chính'!$I$73&lt;&gt;"")*(COUNTIF('Lớp 4 - Danh mục'!$J$14:$J$132,INDEX('Lớp 3 - Công việc chính'!$I$14:$I$73,T71+1):'Lớp 3 - Công việc chính'!$I$73)=0),0),0)))))</f>
        <v>#REF!</v>
      </c>
      <c r="Z72" s="700" t="str">
        <f t="array" ref="Z72">IF($S72="","",IF($S72="Lớp 5",INDEX('Lớp 5 - Phân công'!$AS$14:$AS$262,$T72),IF($S72="Lớp 4",INDEX('Lớp 4 - Danh mục'!$AR$14:$AR$132,$T72),INDEX('Lớp 3 - Công việc chính'!$AO$14:$AO$73,$T72))))</f>
        <v>#REF!</v>
      </c>
      <c r="AA72" s="701" t="str">
        <f t="array" ref="AA72">IF($S72="","",IF($S72="Lớp 5",INDEX('Lớp 5 - Phân công'!$AT$14:$AT$262,$T72),IF($S72="Lớp 4",INDEX('Lớp 4 - Danh mục'!$AS$14:$AS$132,$T72),INDEX('Lớp 3 - Công việc chính'!$AP$14:$AP$73,$T72))))</f>
        <v>#REF!</v>
      </c>
      <c r="AB72" s="701" t="str">
        <f t="array" ref="AB72">IF($S72="","",IF($S72="Lớp 5",INDEX('Lớp 5 - Phân công'!$AJ$14:$AJ$262,$T72),IF($S72="Lớp 4",INDEX('Lớp 4 - Danh mục'!$AI$14:$AI$132,$T72),INDEX('Lớp 3 - Công việc chính'!$AF$14:$AF$73,$T72))))</f>
        <v>#REF!</v>
      </c>
      <c r="AC72" s="702" t="str">
        <f t="array" ref="AC72">IF($S72="","",IF($S72="Lớp 5",INDEX('Lớp 5 - Phân công'!$AV$14:$AV$262,$T72),IF($S72="Lớp 4",INDEX('Lớp 4 - Danh mục'!$AU$14:$AU$132,$T72),INDEX('Lớp 3 - Công việc chính'!$AR$14:$AR$73,$T72))))</f>
        <v>#REF!</v>
      </c>
    </row>
    <row r="73" ht="15.75" customHeight="1">
      <c r="A73" s="690" t="str">
        <f t="shared" si="1"/>
        <v>#REF!</v>
      </c>
      <c r="B73" s="690" t="str">
        <f t="array" ref="B73">IF($S73="","",IF($S73="Lớp 5",INDEX('Lớp 5 - Phân công'!$I$14:$I$262,$T73),IF($S73="Lớp 4",INDEX('Lớp 4 - Danh mục'!$I$14:$I$132,$T73),INDEX('Lớp 3 - Công việc chính'!$I$14:$I$73,$T73))))</f>
        <v>#REF!</v>
      </c>
      <c r="C73" s="690" t="str">
        <f t="array" ref="C73">IF($S73="","",IF($S73="Lớp 5",INDEX('Lớp 5 - Phân công'!$K$14:$K$262,$T73),IF($S73="Lớp 4",INDEX('Lớp 4 - Danh mục'!$J$14:$J$132,$T73),INDEX('Lớp 3 - Công việc chính'!$I$14:$I$73,$T73))))</f>
        <v>#REF!</v>
      </c>
      <c r="D73" s="690" t="str">
        <f t="array" ref="D73">IF($S73="","",IF($S73="Lớp 5",INDEX('Lớp 5 - Phân công'!$J$14:$J$262,$T73),IF($S73="Lớp 4",INDEX('Lớp 4 - Danh mục'!$I$14:$I$132,$T73),"")))</f>
        <v>#REF!</v>
      </c>
      <c r="E73" s="690" t="str">
        <f t="array" ref="E73">IF($S73="","",IF($S73="Lớp 5",INDEX('Lớp 5 - Phân công'!$L$14:$L$262,$T73),IF($S73="Lớp 4",INDEX('Lớp 4 - Danh mục'!$K$14:$K$132,$T73),INDEX('Lớp 3 - Công việc chính'!$J$14:$J$73,$T73))))</f>
        <v>#REF!</v>
      </c>
      <c r="F73" s="690" t="str">
        <f t="array" ref="F73">IF($S73="","",IF($S73="Lớp 5",INDEX('Lớp 5 - Phân công'!$M$14:$M$262,$T73),IF($S73="Lớp 4",INDEX('Lớp 4 - Danh mục'!$L$14:$L$132,$T73),INDEX('Lớp 3 - Công việc chính'!$K$14:$K$73,$T73))))</f>
        <v>#REF!</v>
      </c>
      <c r="G73" s="691" t="str">
        <f t="array" ref="G73">IF($S73="","",IF($S73="Lớp 5",INDEX('Lớp 5 - Phân công'!$N$14:$N$262,$T73),IF($S73="Lớp 4",INDEX('Lớp 4 - Danh mục'!$M$14:$M$132,$T73),INDEX('Lớp 3 - Công việc chính'!$L$14:$L$73,$T73))))</f>
        <v>#REF!</v>
      </c>
      <c r="H73" s="692" t="str">
        <f t="array" ref="H73">IF($S73="","",IF($S73="Lớp 5",INDEX('Lớp 5 - Phân công'!$O$14:$O$262,$T73),IF($S73="Lớp 4",INDEX('Lớp 4 - Danh mục'!$N$14:$N$132,$T73),INDEX('Lớp 3 - Công việc chính'!$M$14:$M$73,$T73))))</f>
        <v>#REF!</v>
      </c>
      <c r="I73" s="692" t="str">
        <f t="array" ref="I73">IF($S73="","",IF($S73="Lớp 5",INDEX('Lớp 5 - Phân công'!$P$14:$P$262,$T73),IF($S73="Lớp 4",INDEX('Lớp 4 - Danh mục'!$O$14:$O$132,$T73),"")))</f>
        <v>#REF!</v>
      </c>
      <c r="J73" s="693" t="str">
        <f t="array" ref="J73">IF($S73="","",IF($S73="Lớp 5",INDEX('Lớp 5 - Phân công'!$Q$14:$Q$262,$T73),""))</f>
        <v>#REF!</v>
      </c>
      <c r="K73" s="690" t="str">
        <f t="array" ref="K73">IF($S73="","",IF($S73="Lớp 5",INDEX('Lớp 5 - Phân công'!$AA$14:$AA$262,$T73),IF($S73="Lớp 4",INDEX('Lớp 4 - Danh mục'!$Y$14:$Y$132,$T73),INDEX('Lớp 3 - Công việc chính'!$U$14:$U$73,$T73))))</f>
        <v>#REF!</v>
      </c>
      <c r="L73" s="691" t="str">
        <f t="array" ref="L73">IF($S73="","",IF($S73="Lớp 5",INDEX('Lớp 5 - Phân công'!$Z$14:$Z$262,$T73),IF($S73="Lớp 4",INDEX('Lớp 4 - Danh mục'!$X$14:$X$132,$T73),INDEX('Lớp 3 - Công việc chính'!$W$14:$W$73,$T73))))</f>
        <v>#REF!</v>
      </c>
      <c r="M73" s="694" t="str">
        <f t="array" ref="M73">IF($S73="","",IF($S73="Lớp 5",INDEX('Lớp 5 - Phân công'!$AD$14:$AD$262,$T73),IF($S73="Lớp 4",INDEX('Lớp 4 - Danh mục'!$AC$14:$AC$132,$T73),INDEX('Lớp 3 - Công việc chính'!$Z$14:$Z$73,$T73))))</f>
        <v>#REF!</v>
      </c>
      <c r="N73" s="695" t="str">
        <f t="array" ref="N73">IF($S73="","",IF($S73="Lớp 5",INDEX('Lớp 5 - Phân công'!$AE$14:$AE$262,$T73),IF($S73="Lớp 4",INDEX('Lớp 4 - Danh mục'!$AD$14:$AD$132,$T73),INDEX('Lớp 3 - Công việc chính'!$AA$14:$AA$73,$T73))))</f>
        <v>#REF!</v>
      </c>
      <c r="O73" s="690" t="str">
        <f t="array" ref="O73">IF($S73="","",IF($S73="Lớp 5",INDEX('Lớp 5 - Phân công'!$AB$14:$AB$262,$T73),IF($S73="Lớp 4",INDEX('Lớp 4 - Danh mục'!$AA$14:$AA$132,$T73),INDEX('Lớp 3 - Công việc chính'!$X$14:$X$73,$T73))))</f>
        <v>#REF!</v>
      </c>
      <c r="P73" s="703" t="str">
        <f t="array" ref="P73">IF($S73="","",IF($S73="Lớp 5",INDEX('Lớp 5 - Phân công'!$AC$14:$AC$262,$T73),IF($S73="Lớp 4",INDEX('Lớp 4 - Danh mục'!$AB$14:$AB$132,$T73),INDEX('Lớp 3 - Công việc chính'!$Y$14:$Y$73,$T73))))</f>
        <v>#REF!</v>
      </c>
      <c r="Q73" s="697" t="str">
        <f t="array" ref="Q73">IF($S73="","",IF($S73="Lớp 5",INDEX('Lớp 5 - Phân công'!$AG$14:$AG$262,$T73),IF($S73="Lớp 4",INDEX('Lớp 4 - Danh mục'!$AF$14:$AF$132,$T73),INDEX('Lớp 3 - Công việc chính'!$AC$14:$AC$73,$T73))))</f>
        <v>#REF!</v>
      </c>
      <c r="R73" s="698" t="str">
        <f t="array" ref="R73">IF($S73="","",IF($S73="Lớp 5",INDEX('Lớp 5 - Phân công'!$X$14:$X$262,$T73),IF($S73="Lớp 4",INDEX('Lớp 4 - Danh mục'!$V$14:$V$132,$T73),INDEX('Lớp 3 - Công việc chính'!$T$14:$T$73,$T73))))</f>
        <v>#REF!</v>
      </c>
      <c r="S73" s="699" t="str">
        <f>IF(ROWS($S$14:S73)&lt;=COUNTIF('Lớp 5 - Phân công'!$I$14:$I$262,"&lt;&gt;"),"Lớp 5",IF(ROWS($S$14:S73)&lt;=COUNTIF('Lớp 5 - Phân công'!$I$14:$I$262,"&lt;&gt;")+SUMPRODUCT(--('Lớp 4 - Danh mục'!$I$14:$I$132&lt;&gt;""),--(COUNTIF('Lớp 5 - Phân công'!$J$14:$J$262,'Lớp 4 - Danh mục'!$I$14:$I$132)=0)),"Lớp 4",IF(ROWS($S$14:S73)&lt;=COUNTIF('Lớp 5 - Phân công'!$I$14:$I$262,"&lt;&gt;")+SUMPRODUCT(--('Lớp 4 - Danh mục'!$I$14:$I$132&lt;&gt;""),--(COUNTIF('Lớp 5 - Phân công'!$J$14:$J$262,'Lớp 4 - Danh mục'!$I$14:$I$132)=0))+SUMPRODUCT(--('Lớp 3 - Công việc chính'!$I$14:$I$73&lt;&gt;""),--(COUNTIF('Lớp 4 - Danh mục'!$J$14:$J$132,'Lớp 3 - Công việc chính'!$I$14:$I$73)=0)),"Lớp 3","")))</f>
        <v>#REF!</v>
      </c>
      <c r="T73" s="699" t="str">
        <f t="array" ref="T73">IF(S73="","",IF(S73="Lớp 5",IF(S72&lt;&gt;"Lớp 5",MATCH("*",'Lớp 5 - Phân công'!$I$14:$I$262,0),T72+MATCH("*",INDEX('Lớp 5 - Phân công'!$I$14:$I$262,T72+1):'Lớp 5 - Phân công'!$I$262,0)),IF(S73="Lớp 4",IF(S72&lt;&gt;"Lớp 4",MATCH(1,INDEX(('Lớp 4 - Danh mục'!$I$14:$I$132&lt;&gt;"")*(COUNTIF('Lớp 5 - Phân công'!$J$14:$J$262,'Lớp 4 - Danh mục'!$I$14:$I$132)=0),0),0),T72+MATCH(1,INDEX((INDEX('Lớp 4 - Danh mục'!$I$14:$I$132,T72+1):'Lớp 4 - Danh mục'!$I$132&lt;&gt;"")*(COUNTIF('Lớp 5 - Phân công'!$J$14:$J$262,INDEX('Lớp 4 - Danh mục'!$I$14:$I$132,T72+1):'Lớp 4 - Danh mục'!$I$132)=0),0),0)),IF(S72&lt;&gt;"Lớp 3",MATCH(1,INDEX(('Lớp 3 - Công việc chính'!$I$14:$I$73&lt;&gt;"")*(COUNTIF('Lớp 4 - Danh mục'!$J$14:$J$132,'Lớp 3 - Công việc chính'!$I$14:$I$73)=0),0),0),T72+MATCH(1,INDEX((INDEX('Lớp 3 - Công việc chính'!$I$14:$I$73,T72+1):'Lớp 3 - Công việc chính'!$I$73&lt;&gt;"")*(COUNTIF('Lớp 4 - Danh mục'!$J$14:$J$132,INDEX('Lớp 3 - Công việc chính'!$I$14:$I$73,T72+1):'Lớp 3 - Công việc chính'!$I$73)=0),0),0)))))</f>
        <v>#REF!</v>
      </c>
      <c r="Z73" s="700" t="str">
        <f t="array" ref="Z73">IF($S73="","",IF($S73="Lớp 5",INDEX('Lớp 5 - Phân công'!$AS$14:$AS$262,$T73),IF($S73="Lớp 4",INDEX('Lớp 4 - Danh mục'!$AR$14:$AR$132,$T73),INDEX('Lớp 3 - Công việc chính'!$AO$14:$AO$73,$T73))))</f>
        <v>#REF!</v>
      </c>
      <c r="AA73" s="701" t="str">
        <f t="array" ref="AA73">IF($S73="","",IF($S73="Lớp 5",INDEX('Lớp 5 - Phân công'!$AT$14:$AT$262,$T73),IF($S73="Lớp 4",INDEX('Lớp 4 - Danh mục'!$AS$14:$AS$132,$T73),INDEX('Lớp 3 - Công việc chính'!$AP$14:$AP$73,$T73))))</f>
        <v>#REF!</v>
      </c>
      <c r="AB73" s="701" t="str">
        <f t="array" ref="AB73">IF($S73="","",IF($S73="Lớp 5",INDEX('Lớp 5 - Phân công'!$AJ$14:$AJ$262,$T73),IF($S73="Lớp 4",INDEX('Lớp 4 - Danh mục'!$AI$14:$AI$132,$T73),INDEX('Lớp 3 - Công việc chính'!$AF$14:$AF$73,$T73))))</f>
        <v>#REF!</v>
      </c>
      <c r="AC73" s="702" t="str">
        <f t="array" ref="AC73">IF($S73="","",IF($S73="Lớp 5",INDEX('Lớp 5 - Phân công'!$AV$14:$AV$262,$T73),IF($S73="Lớp 4",INDEX('Lớp 4 - Danh mục'!$AU$14:$AU$132,$T73),INDEX('Lớp 3 - Công việc chính'!$AR$14:$AR$73,$T73))))</f>
        <v>#REF!</v>
      </c>
    </row>
    <row r="74" ht="15.75" customHeight="1">
      <c r="A74" s="690" t="str">
        <f t="shared" si="1"/>
        <v>#REF!</v>
      </c>
      <c r="B74" s="690" t="str">
        <f t="array" ref="B74">IF($S74="","",IF($S74="Lớp 5",INDEX('Lớp 5 - Phân công'!$I$14:$I$262,$T74),IF($S74="Lớp 4",INDEX('Lớp 4 - Danh mục'!$I$14:$I$132,$T74),INDEX('Lớp 3 - Công việc chính'!$I$14:$I$73,$T74))))</f>
        <v>#REF!</v>
      </c>
      <c r="C74" s="690" t="str">
        <f t="array" ref="C74">IF($S74="","",IF($S74="Lớp 5",INDEX('Lớp 5 - Phân công'!$K$14:$K$262,$T74),IF($S74="Lớp 4",INDEX('Lớp 4 - Danh mục'!$J$14:$J$132,$T74),INDEX('Lớp 3 - Công việc chính'!$I$14:$I$73,$T74))))</f>
        <v>#REF!</v>
      </c>
      <c r="D74" s="690" t="str">
        <f t="array" ref="D74">IF($S74="","",IF($S74="Lớp 5",INDEX('Lớp 5 - Phân công'!$J$14:$J$262,$T74),IF($S74="Lớp 4",INDEX('Lớp 4 - Danh mục'!$I$14:$I$132,$T74),"")))</f>
        <v>#REF!</v>
      </c>
      <c r="E74" s="690" t="str">
        <f t="array" ref="E74">IF($S74="","",IF($S74="Lớp 5",INDEX('Lớp 5 - Phân công'!$L$14:$L$262,$T74),IF($S74="Lớp 4",INDEX('Lớp 4 - Danh mục'!$K$14:$K$132,$T74),INDEX('Lớp 3 - Công việc chính'!$J$14:$J$73,$T74))))</f>
        <v>#REF!</v>
      </c>
      <c r="F74" s="690" t="str">
        <f t="array" ref="F74">IF($S74="","",IF($S74="Lớp 5",INDEX('Lớp 5 - Phân công'!$M$14:$M$262,$T74),IF($S74="Lớp 4",INDEX('Lớp 4 - Danh mục'!$L$14:$L$132,$T74),INDEX('Lớp 3 - Công việc chính'!$K$14:$K$73,$T74))))</f>
        <v>#REF!</v>
      </c>
      <c r="G74" s="691" t="str">
        <f t="array" ref="G74">IF($S74="","",IF($S74="Lớp 5",INDEX('Lớp 5 - Phân công'!$N$14:$N$262,$T74),IF($S74="Lớp 4",INDEX('Lớp 4 - Danh mục'!$M$14:$M$132,$T74),INDEX('Lớp 3 - Công việc chính'!$L$14:$L$73,$T74))))</f>
        <v>#REF!</v>
      </c>
      <c r="H74" s="692" t="str">
        <f t="array" ref="H74">IF($S74="","",IF($S74="Lớp 5",INDEX('Lớp 5 - Phân công'!$O$14:$O$262,$T74),IF($S74="Lớp 4",INDEX('Lớp 4 - Danh mục'!$N$14:$N$132,$T74),INDEX('Lớp 3 - Công việc chính'!$M$14:$M$73,$T74))))</f>
        <v>#REF!</v>
      </c>
      <c r="I74" s="692" t="str">
        <f t="array" ref="I74">IF($S74="","",IF($S74="Lớp 5",INDEX('Lớp 5 - Phân công'!$P$14:$P$262,$T74),IF($S74="Lớp 4",INDEX('Lớp 4 - Danh mục'!$O$14:$O$132,$T74),"")))</f>
        <v>#REF!</v>
      </c>
      <c r="J74" s="693" t="str">
        <f t="array" ref="J74">IF($S74="","",IF($S74="Lớp 5",INDEX('Lớp 5 - Phân công'!$Q$14:$Q$262,$T74),""))</f>
        <v>#REF!</v>
      </c>
      <c r="K74" s="690" t="str">
        <f t="array" ref="K74">IF($S74="","",IF($S74="Lớp 5",INDEX('Lớp 5 - Phân công'!$AA$14:$AA$262,$T74),IF($S74="Lớp 4",INDEX('Lớp 4 - Danh mục'!$Y$14:$Y$132,$T74),INDEX('Lớp 3 - Công việc chính'!$U$14:$U$73,$T74))))</f>
        <v>#REF!</v>
      </c>
      <c r="L74" s="691" t="str">
        <f t="array" ref="L74">IF($S74="","",IF($S74="Lớp 5",INDEX('Lớp 5 - Phân công'!$Z$14:$Z$262,$T74),IF($S74="Lớp 4",INDEX('Lớp 4 - Danh mục'!$X$14:$X$132,$T74),INDEX('Lớp 3 - Công việc chính'!$W$14:$W$73,$T74))))</f>
        <v>#REF!</v>
      </c>
      <c r="M74" s="694" t="str">
        <f t="array" ref="M74">IF($S74="","",IF($S74="Lớp 5",INDEX('Lớp 5 - Phân công'!$AD$14:$AD$262,$T74),IF($S74="Lớp 4",INDEX('Lớp 4 - Danh mục'!$AC$14:$AC$132,$T74),INDEX('Lớp 3 - Công việc chính'!$Z$14:$Z$73,$T74))))</f>
        <v>#REF!</v>
      </c>
      <c r="N74" s="695" t="str">
        <f t="array" ref="N74">IF($S74="","",IF($S74="Lớp 5",INDEX('Lớp 5 - Phân công'!$AE$14:$AE$262,$T74),IF($S74="Lớp 4",INDEX('Lớp 4 - Danh mục'!$AD$14:$AD$132,$T74),INDEX('Lớp 3 - Công việc chính'!$AA$14:$AA$73,$T74))))</f>
        <v>#REF!</v>
      </c>
      <c r="O74" s="690" t="str">
        <f t="array" ref="O74">IF($S74="","",IF($S74="Lớp 5",INDEX('Lớp 5 - Phân công'!$AB$14:$AB$262,$T74),IF($S74="Lớp 4",INDEX('Lớp 4 - Danh mục'!$AA$14:$AA$132,$T74),INDEX('Lớp 3 - Công việc chính'!$X$14:$X$73,$T74))))</f>
        <v>#REF!</v>
      </c>
      <c r="P74" s="703" t="str">
        <f t="array" ref="P74">IF($S74="","",IF($S74="Lớp 5",INDEX('Lớp 5 - Phân công'!$AC$14:$AC$262,$T74),IF($S74="Lớp 4",INDEX('Lớp 4 - Danh mục'!$AB$14:$AB$132,$T74),INDEX('Lớp 3 - Công việc chính'!$Y$14:$Y$73,$T74))))</f>
        <v>#REF!</v>
      </c>
      <c r="Q74" s="697" t="str">
        <f t="array" ref="Q74">IF($S74="","",IF($S74="Lớp 5",INDEX('Lớp 5 - Phân công'!$AG$14:$AG$262,$T74),IF($S74="Lớp 4",INDEX('Lớp 4 - Danh mục'!$AF$14:$AF$132,$T74),INDEX('Lớp 3 - Công việc chính'!$AC$14:$AC$73,$T74))))</f>
        <v>#REF!</v>
      </c>
      <c r="R74" s="698" t="str">
        <f t="array" ref="R74">IF($S74="","",IF($S74="Lớp 5",INDEX('Lớp 5 - Phân công'!$X$14:$X$262,$T74),IF($S74="Lớp 4",INDEX('Lớp 4 - Danh mục'!$V$14:$V$132,$T74),INDEX('Lớp 3 - Công việc chính'!$T$14:$T$73,$T74))))</f>
        <v>#REF!</v>
      </c>
      <c r="S74" s="699" t="str">
        <f>IF(ROWS($S$14:S74)&lt;=COUNTIF('Lớp 5 - Phân công'!$I$14:$I$262,"&lt;&gt;"),"Lớp 5",IF(ROWS($S$14:S74)&lt;=COUNTIF('Lớp 5 - Phân công'!$I$14:$I$262,"&lt;&gt;")+SUMPRODUCT(--('Lớp 4 - Danh mục'!$I$14:$I$132&lt;&gt;""),--(COUNTIF('Lớp 5 - Phân công'!$J$14:$J$262,'Lớp 4 - Danh mục'!$I$14:$I$132)=0)),"Lớp 4",IF(ROWS($S$14:S74)&lt;=COUNTIF('Lớp 5 - Phân công'!$I$14:$I$262,"&lt;&gt;")+SUMPRODUCT(--('Lớp 4 - Danh mục'!$I$14:$I$132&lt;&gt;""),--(COUNTIF('Lớp 5 - Phân công'!$J$14:$J$262,'Lớp 4 - Danh mục'!$I$14:$I$132)=0))+SUMPRODUCT(--('Lớp 3 - Công việc chính'!$I$14:$I$73&lt;&gt;""),--(COUNTIF('Lớp 4 - Danh mục'!$J$14:$J$132,'Lớp 3 - Công việc chính'!$I$14:$I$73)=0)),"Lớp 3","")))</f>
        <v>#REF!</v>
      </c>
      <c r="T74" s="699" t="str">
        <f t="array" ref="T74">IF(S74="","",IF(S74="Lớp 5",IF(S73&lt;&gt;"Lớp 5",MATCH("*",'Lớp 5 - Phân công'!$I$14:$I$262,0),T73+MATCH("*",INDEX('Lớp 5 - Phân công'!$I$14:$I$262,T73+1):'Lớp 5 - Phân công'!$I$262,0)),IF(S74="Lớp 4",IF(S73&lt;&gt;"Lớp 4",MATCH(1,INDEX(('Lớp 4 - Danh mục'!$I$14:$I$132&lt;&gt;"")*(COUNTIF('Lớp 5 - Phân công'!$J$14:$J$262,'Lớp 4 - Danh mục'!$I$14:$I$132)=0),0),0),T73+MATCH(1,INDEX((INDEX('Lớp 4 - Danh mục'!$I$14:$I$132,T73+1):'Lớp 4 - Danh mục'!$I$132&lt;&gt;"")*(COUNTIF('Lớp 5 - Phân công'!$J$14:$J$262,INDEX('Lớp 4 - Danh mục'!$I$14:$I$132,T73+1):'Lớp 4 - Danh mục'!$I$132)=0),0),0)),IF(S73&lt;&gt;"Lớp 3",MATCH(1,INDEX(('Lớp 3 - Công việc chính'!$I$14:$I$73&lt;&gt;"")*(COUNTIF('Lớp 4 - Danh mục'!$J$14:$J$132,'Lớp 3 - Công việc chính'!$I$14:$I$73)=0),0),0),T73+MATCH(1,INDEX((INDEX('Lớp 3 - Công việc chính'!$I$14:$I$73,T73+1):'Lớp 3 - Công việc chính'!$I$73&lt;&gt;"")*(COUNTIF('Lớp 4 - Danh mục'!$J$14:$J$132,INDEX('Lớp 3 - Công việc chính'!$I$14:$I$73,T73+1):'Lớp 3 - Công việc chính'!$I$73)=0),0),0)))))</f>
        <v>#REF!</v>
      </c>
      <c r="Z74" s="700" t="str">
        <f t="array" ref="Z74">IF($S74="","",IF($S74="Lớp 5",INDEX('Lớp 5 - Phân công'!$AS$14:$AS$262,$T74),IF($S74="Lớp 4",INDEX('Lớp 4 - Danh mục'!$AR$14:$AR$132,$T74),INDEX('Lớp 3 - Công việc chính'!$AO$14:$AO$73,$T74))))</f>
        <v>#REF!</v>
      </c>
      <c r="AA74" s="701" t="str">
        <f t="array" ref="AA74">IF($S74="","",IF($S74="Lớp 5",INDEX('Lớp 5 - Phân công'!$AT$14:$AT$262,$T74),IF($S74="Lớp 4",INDEX('Lớp 4 - Danh mục'!$AS$14:$AS$132,$T74),INDEX('Lớp 3 - Công việc chính'!$AP$14:$AP$73,$T74))))</f>
        <v>#REF!</v>
      </c>
      <c r="AB74" s="701" t="str">
        <f t="array" ref="AB74">IF($S74="","",IF($S74="Lớp 5",INDEX('Lớp 5 - Phân công'!$AJ$14:$AJ$262,$T74),IF($S74="Lớp 4",INDEX('Lớp 4 - Danh mục'!$AI$14:$AI$132,$T74),INDEX('Lớp 3 - Công việc chính'!$AF$14:$AF$73,$T74))))</f>
        <v>#REF!</v>
      </c>
      <c r="AC74" s="702" t="str">
        <f t="array" ref="AC74">IF($S74="","",IF($S74="Lớp 5",INDEX('Lớp 5 - Phân công'!$AV$14:$AV$262,$T74),IF($S74="Lớp 4",INDEX('Lớp 4 - Danh mục'!$AU$14:$AU$132,$T74),INDEX('Lớp 3 - Công việc chính'!$AR$14:$AR$73,$T74))))</f>
        <v>#REF!</v>
      </c>
    </row>
    <row r="75" ht="15.75" customHeight="1">
      <c r="A75" s="690" t="str">
        <f t="shared" si="1"/>
        <v>#REF!</v>
      </c>
      <c r="B75" s="690" t="str">
        <f t="array" ref="B75">IF($S75="","",IF($S75="Lớp 5",INDEX('Lớp 5 - Phân công'!$I$14:$I$262,$T75),IF($S75="Lớp 4",INDEX('Lớp 4 - Danh mục'!$I$14:$I$132,$T75),INDEX('Lớp 3 - Công việc chính'!$I$14:$I$73,$T75))))</f>
        <v>#REF!</v>
      </c>
      <c r="C75" s="690" t="str">
        <f t="array" ref="C75">IF($S75="","",IF($S75="Lớp 5",INDEX('Lớp 5 - Phân công'!$K$14:$K$262,$T75),IF($S75="Lớp 4",INDEX('Lớp 4 - Danh mục'!$J$14:$J$132,$T75),INDEX('Lớp 3 - Công việc chính'!$I$14:$I$73,$T75))))</f>
        <v>#REF!</v>
      </c>
      <c r="D75" s="690" t="str">
        <f t="array" ref="D75">IF($S75="","",IF($S75="Lớp 5",INDEX('Lớp 5 - Phân công'!$J$14:$J$262,$T75),IF($S75="Lớp 4",INDEX('Lớp 4 - Danh mục'!$I$14:$I$132,$T75),"")))</f>
        <v>#REF!</v>
      </c>
      <c r="E75" s="690" t="str">
        <f t="array" ref="E75">IF($S75="","",IF($S75="Lớp 5",INDEX('Lớp 5 - Phân công'!$L$14:$L$262,$T75),IF($S75="Lớp 4",INDEX('Lớp 4 - Danh mục'!$K$14:$K$132,$T75),INDEX('Lớp 3 - Công việc chính'!$J$14:$J$73,$T75))))</f>
        <v>#REF!</v>
      </c>
      <c r="F75" s="690" t="str">
        <f t="array" ref="F75">IF($S75="","",IF($S75="Lớp 5",INDEX('Lớp 5 - Phân công'!$M$14:$M$262,$T75),IF($S75="Lớp 4",INDEX('Lớp 4 - Danh mục'!$L$14:$L$132,$T75),INDEX('Lớp 3 - Công việc chính'!$K$14:$K$73,$T75))))</f>
        <v>#REF!</v>
      </c>
      <c r="G75" s="691" t="str">
        <f t="array" ref="G75">IF($S75="","",IF($S75="Lớp 5",INDEX('Lớp 5 - Phân công'!$N$14:$N$262,$T75),IF($S75="Lớp 4",INDEX('Lớp 4 - Danh mục'!$M$14:$M$132,$T75),INDEX('Lớp 3 - Công việc chính'!$L$14:$L$73,$T75))))</f>
        <v>#REF!</v>
      </c>
      <c r="H75" s="692" t="str">
        <f t="array" ref="H75">IF($S75="","",IF($S75="Lớp 5",INDEX('Lớp 5 - Phân công'!$O$14:$O$262,$T75),IF($S75="Lớp 4",INDEX('Lớp 4 - Danh mục'!$N$14:$N$132,$T75),INDEX('Lớp 3 - Công việc chính'!$M$14:$M$73,$T75))))</f>
        <v>#REF!</v>
      </c>
      <c r="I75" s="692" t="str">
        <f t="array" ref="I75">IF($S75="","",IF($S75="Lớp 5",INDEX('Lớp 5 - Phân công'!$P$14:$P$262,$T75),IF($S75="Lớp 4",INDEX('Lớp 4 - Danh mục'!$O$14:$O$132,$T75),"")))</f>
        <v>#REF!</v>
      </c>
      <c r="J75" s="693" t="str">
        <f t="array" ref="J75">IF($S75="","",IF($S75="Lớp 5",INDEX('Lớp 5 - Phân công'!$Q$14:$Q$262,$T75),""))</f>
        <v>#REF!</v>
      </c>
      <c r="K75" s="690" t="str">
        <f t="array" ref="K75">IF($S75="","",IF($S75="Lớp 5",INDEX('Lớp 5 - Phân công'!$AA$14:$AA$262,$T75),IF($S75="Lớp 4",INDEX('Lớp 4 - Danh mục'!$Y$14:$Y$132,$T75),INDEX('Lớp 3 - Công việc chính'!$U$14:$U$73,$T75))))</f>
        <v>#REF!</v>
      </c>
      <c r="L75" s="691" t="str">
        <f t="array" ref="L75">IF($S75="","",IF($S75="Lớp 5",INDEX('Lớp 5 - Phân công'!$Z$14:$Z$262,$T75),IF($S75="Lớp 4",INDEX('Lớp 4 - Danh mục'!$X$14:$X$132,$T75),INDEX('Lớp 3 - Công việc chính'!$W$14:$W$73,$T75))))</f>
        <v>#REF!</v>
      </c>
      <c r="M75" s="694" t="str">
        <f t="array" ref="M75">IF($S75="","",IF($S75="Lớp 5",INDEX('Lớp 5 - Phân công'!$AD$14:$AD$262,$T75),IF($S75="Lớp 4",INDEX('Lớp 4 - Danh mục'!$AC$14:$AC$132,$T75),INDEX('Lớp 3 - Công việc chính'!$Z$14:$Z$73,$T75))))</f>
        <v>#REF!</v>
      </c>
      <c r="N75" s="695" t="str">
        <f t="array" ref="N75">IF($S75="","",IF($S75="Lớp 5",INDEX('Lớp 5 - Phân công'!$AE$14:$AE$262,$T75),IF($S75="Lớp 4",INDEX('Lớp 4 - Danh mục'!$AD$14:$AD$132,$T75),INDEX('Lớp 3 - Công việc chính'!$AA$14:$AA$73,$T75))))</f>
        <v>#REF!</v>
      </c>
      <c r="O75" s="690" t="str">
        <f t="array" ref="O75">IF($S75="","",IF($S75="Lớp 5",INDEX('Lớp 5 - Phân công'!$AB$14:$AB$262,$T75),IF($S75="Lớp 4",INDEX('Lớp 4 - Danh mục'!$AA$14:$AA$132,$T75),INDEX('Lớp 3 - Công việc chính'!$X$14:$X$73,$T75))))</f>
        <v>#REF!</v>
      </c>
      <c r="P75" s="703" t="str">
        <f t="array" ref="P75">IF($S75="","",IF($S75="Lớp 5",INDEX('Lớp 5 - Phân công'!$AC$14:$AC$262,$T75),IF($S75="Lớp 4",INDEX('Lớp 4 - Danh mục'!$AB$14:$AB$132,$T75),INDEX('Lớp 3 - Công việc chính'!$Y$14:$Y$73,$T75))))</f>
        <v>#REF!</v>
      </c>
      <c r="Q75" s="697" t="str">
        <f t="array" ref="Q75">IF($S75="","",IF($S75="Lớp 5",INDEX('Lớp 5 - Phân công'!$AG$14:$AG$262,$T75),IF($S75="Lớp 4",INDEX('Lớp 4 - Danh mục'!$AF$14:$AF$132,$T75),INDEX('Lớp 3 - Công việc chính'!$AC$14:$AC$73,$T75))))</f>
        <v>#REF!</v>
      </c>
      <c r="R75" s="698" t="str">
        <f t="array" ref="R75">IF($S75="","",IF($S75="Lớp 5",INDEX('Lớp 5 - Phân công'!$X$14:$X$262,$T75),IF($S75="Lớp 4",INDEX('Lớp 4 - Danh mục'!$V$14:$V$132,$T75),INDEX('Lớp 3 - Công việc chính'!$T$14:$T$73,$T75))))</f>
        <v>#REF!</v>
      </c>
      <c r="S75" s="699" t="str">
        <f>IF(ROWS($S$14:S75)&lt;=COUNTIF('Lớp 5 - Phân công'!$I$14:$I$262,"&lt;&gt;"),"Lớp 5",IF(ROWS($S$14:S75)&lt;=COUNTIF('Lớp 5 - Phân công'!$I$14:$I$262,"&lt;&gt;")+SUMPRODUCT(--('Lớp 4 - Danh mục'!$I$14:$I$132&lt;&gt;""),--(COUNTIF('Lớp 5 - Phân công'!$J$14:$J$262,'Lớp 4 - Danh mục'!$I$14:$I$132)=0)),"Lớp 4",IF(ROWS($S$14:S75)&lt;=COUNTIF('Lớp 5 - Phân công'!$I$14:$I$262,"&lt;&gt;")+SUMPRODUCT(--('Lớp 4 - Danh mục'!$I$14:$I$132&lt;&gt;""),--(COUNTIF('Lớp 5 - Phân công'!$J$14:$J$262,'Lớp 4 - Danh mục'!$I$14:$I$132)=0))+SUMPRODUCT(--('Lớp 3 - Công việc chính'!$I$14:$I$73&lt;&gt;""),--(COUNTIF('Lớp 4 - Danh mục'!$J$14:$J$132,'Lớp 3 - Công việc chính'!$I$14:$I$73)=0)),"Lớp 3","")))</f>
        <v>#REF!</v>
      </c>
      <c r="T75" s="699" t="str">
        <f t="array" ref="T75">IF(S75="","",IF(S75="Lớp 5",IF(S74&lt;&gt;"Lớp 5",MATCH("*",'Lớp 5 - Phân công'!$I$14:$I$262,0),T74+MATCH("*",INDEX('Lớp 5 - Phân công'!$I$14:$I$262,T74+1):'Lớp 5 - Phân công'!$I$262,0)),IF(S75="Lớp 4",IF(S74&lt;&gt;"Lớp 4",MATCH(1,INDEX(('Lớp 4 - Danh mục'!$I$14:$I$132&lt;&gt;"")*(COUNTIF('Lớp 5 - Phân công'!$J$14:$J$262,'Lớp 4 - Danh mục'!$I$14:$I$132)=0),0),0),T74+MATCH(1,INDEX((INDEX('Lớp 4 - Danh mục'!$I$14:$I$132,T74+1):'Lớp 4 - Danh mục'!$I$132&lt;&gt;"")*(COUNTIF('Lớp 5 - Phân công'!$J$14:$J$262,INDEX('Lớp 4 - Danh mục'!$I$14:$I$132,T74+1):'Lớp 4 - Danh mục'!$I$132)=0),0),0)),IF(S74&lt;&gt;"Lớp 3",MATCH(1,INDEX(('Lớp 3 - Công việc chính'!$I$14:$I$73&lt;&gt;"")*(COUNTIF('Lớp 4 - Danh mục'!$J$14:$J$132,'Lớp 3 - Công việc chính'!$I$14:$I$73)=0),0),0),T74+MATCH(1,INDEX((INDEX('Lớp 3 - Công việc chính'!$I$14:$I$73,T74+1):'Lớp 3 - Công việc chính'!$I$73&lt;&gt;"")*(COUNTIF('Lớp 4 - Danh mục'!$J$14:$J$132,INDEX('Lớp 3 - Công việc chính'!$I$14:$I$73,T74+1):'Lớp 3 - Công việc chính'!$I$73)=0),0),0)))))</f>
        <v>#REF!</v>
      </c>
      <c r="Z75" s="700" t="str">
        <f t="array" ref="Z75">IF($S75="","",IF($S75="Lớp 5",INDEX('Lớp 5 - Phân công'!$AS$14:$AS$262,$T75),IF($S75="Lớp 4",INDEX('Lớp 4 - Danh mục'!$AR$14:$AR$132,$T75),INDEX('Lớp 3 - Công việc chính'!$AO$14:$AO$73,$T75))))</f>
        <v>#REF!</v>
      </c>
      <c r="AA75" s="701" t="str">
        <f t="array" ref="AA75">IF($S75="","",IF($S75="Lớp 5",INDEX('Lớp 5 - Phân công'!$AT$14:$AT$262,$T75),IF($S75="Lớp 4",INDEX('Lớp 4 - Danh mục'!$AS$14:$AS$132,$T75),INDEX('Lớp 3 - Công việc chính'!$AP$14:$AP$73,$T75))))</f>
        <v>#REF!</v>
      </c>
      <c r="AB75" s="701" t="str">
        <f t="array" ref="AB75">IF($S75="","",IF($S75="Lớp 5",INDEX('Lớp 5 - Phân công'!$AJ$14:$AJ$262,$T75),IF($S75="Lớp 4",INDEX('Lớp 4 - Danh mục'!$AI$14:$AI$132,$T75),INDEX('Lớp 3 - Công việc chính'!$AF$14:$AF$73,$T75))))</f>
        <v>#REF!</v>
      </c>
      <c r="AC75" s="702" t="str">
        <f t="array" ref="AC75">IF($S75="","",IF($S75="Lớp 5",INDEX('Lớp 5 - Phân công'!$AV$14:$AV$262,$T75),IF($S75="Lớp 4",INDEX('Lớp 4 - Danh mục'!$AU$14:$AU$132,$T75),INDEX('Lớp 3 - Công việc chính'!$AR$14:$AR$73,$T75))))</f>
        <v>#REF!</v>
      </c>
    </row>
    <row r="76" ht="15.75" customHeight="1">
      <c r="A76" s="690" t="str">
        <f t="shared" si="1"/>
        <v>#REF!</v>
      </c>
      <c r="B76" s="690" t="str">
        <f t="array" ref="B76">IF($S76="","",IF($S76="Lớp 5",INDEX('Lớp 5 - Phân công'!$I$14:$I$262,$T76),IF($S76="Lớp 4",INDEX('Lớp 4 - Danh mục'!$I$14:$I$132,$T76),INDEX('Lớp 3 - Công việc chính'!$I$14:$I$73,$T76))))</f>
        <v>#REF!</v>
      </c>
      <c r="C76" s="690" t="str">
        <f t="array" ref="C76">IF($S76="","",IF($S76="Lớp 5",INDEX('Lớp 5 - Phân công'!$K$14:$K$262,$T76),IF($S76="Lớp 4",INDEX('Lớp 4 - Danh mục'!$J$14:$J$132,$T76),INDEX('Lớp 3 - Công việc chính'!$I$14:$I$73,$T76))))</f>
        <v>#REF!</v>
      </c>
      <c r="D76" s="690" t="str">
        <f t="array" ref="D76">IF($S76="","",IF($S76="Lớp 5",INDEX('Lớp 5 - Phân công'!$J$14:$J$262,$T76),IF($S76="Lớp 4",INDEX('Lớp 4 - Danh mục'!$I$14:$I$132,$T76),"")))</f>
        <v>#REF!</v>
      </c>
      <c r="E76" s="690" t="str">
        <f t="array" ref="E76">IF($S76="","",IF($S76="Lớp 5",INDEX('Lớp 5 - Phân công'!$L$14:$L$262,$T76),IF($S76="Lớp 4",INDEX('Lớp 4 - Danh mục'!$K$14:$K$132,$T76),INDEX('Lớp 3 - Công việc chính'!$J$14:$J$73,$T76))))</f>
        <v>#REF!</v>
      </c>
      <c r="F76" s="690" t="str">
        <f t="array" ref="F76">IF($S76="","",IF($S76="Lớp 5",INDEX('Lớp 5 - Phân công'!$M$14:$M$262,$T76),IF($S76="Lớp 4",INDEX('Lớp 4 - Danh mục'!$L$14:$L$132,$T76),INDEX('Lớp 3 - Công việc chính'!$K$14:$K$73,$T76))))</f>
        <v>#REF!</v>
      </c>
      <c r="G76" s="691" t="str">
        <f t="array" ref="G76">IF($S76="","",IF($S76="Lớp 5",INDEX('Lớp 5 - Phân công'!$N$14:$N$262,$T76),IF($S76="Lớp 4",INDEX('Lớp 4 - Danh mục'!$M$14:$M$132,$T76),INDEX('Lớp 3 - Công việc chính'!$L$14:$L$73,$T76))))</f>
        <v>#REF!</v>
      </c>
      <c r="H76" s="692" t="str">
        <f t="array" ref="H76">IF($S76="","",IF($S76="Lớp 5",INDEX('Lớp 5 - Phân công'!$O$14:$O$262,$T76),IF($S76="Lớp 4",INDEX('Lớp 4 - Danh mục'!$N$14:$N$132,$T76),INDEX('Lớp 3 - Công việc chính'!$M$14:$M$73,$T76))))</f>
        <v>#REF!</v>
      </c>
      <c r="I76" s="692" t="str">
        <f t="array" ref="I76">IF($S76="","",IF($S76="Lớp 5",INDEX('Lớp 5 - Phân công'!$P$14:$P$262,$T76),IF($S76="Lớp 4",INDEX('Lớp 4 - Danh mục'!$O$14:$O$132,$T76),"")))</f>
        <v>#REF!</v>
      </c>
      <c r="J76" s="693" t="str">
        <f t="array" ref="J76">IF($S76="","",IF($S76="Lớp 5",INDEX('Lớp 5 - Phân công'!$Q$14:$Q$262,$T76),""))</f>
        <v>#REF!</v>
      </c>
      <c r="K76" s="690" t="str">
        <f t="array" ref="K76">IF($S76="","",IF($S76="Lớp 5",INDEX('Lớp 5 - Phân công'!$AA$14:$AA$262,$T76),IF($S76="Lớp 4",INDEX('Lớp 4 - Danh mục'!$Y$14:$Y$132,$T76),INDEX('Lớp 3 - Công việc chính'!$U$14:$U$73,$T76))))</f>
        <v>#REF!</v>
      </c>
      <c r="L76" s="691" t="str">
        <f t="array" ref="L76">IF($S76="","",IF($S76="Lớp 5",INDEX('Lớp 5 - Phân công'!$Z$14:$Z$262,$T76),IF($S76="Lớp 4",INDEX('Lớp 4 - Danh mục'!$X$14:$X$132,$T76),INDEX('Lớp 3 - Công việc chính'!$W$14:$W$73,$T76))))</f>
        <v>#REF!</v>
      </c>
      <c r="M76" s="694" t="str">
        <f t="array" ref="M76">IF($S76="","",IF($S76="Lớp 5",INDEX('Lớp 5 - Phân công'!$AD$14:$AD$262,$T76),IF($S76="Lớp 4",INDEX('Lớp 4 - Danh mục'!$AC$14:$AC$132,$T76),INDEX('Lớp 3 - Công việc chính'!$Z$14:$Z$73,$T76))))</f>
        <v>#REF!</v>
      </c>
      <c r="N76" s="695" t="str">
        <f t="array" ref="N76">IF($S76="","",IF($S76="Lớp 5",INDEX('Lớp 5 - Phân công'!$AE$14:$AE$262,$T76),IF($S76="Lớp 4",INDEX('Lớp 4 - Danh mục'!$AD$14:$AD$132,$T76),INDEX('Lớp 3 - Công việc chính'!$AA$14:$AA$73,$T76))))</f>
        <v>#REF!</v>
      </c>
      <c r="O76" s="690" t="str">
        <f t="array" ref="O76">IF($S76="","",IF($S76="Lớp 5",INDEX('Lớp 5 - Phân công'!$AB$14:$AB$262,$T76),IF($S76="Lớp 4",INDEX('Lớp 4 - Danh mục'!$AA$14:$AA$132,$T76),INDEX('Lớp 3 - Công việc chính'!$X$14:$X$73,$T76))))</f>
        <v>#REF!</v>
      </c>
      <c r="P76" s="703" t="str">
        <f t="array" ref="P76">IF($S76="","",IF($S76="Lớp 5",INDEX('Lớp 5 - Phân công'!$AC$14:$AC$262,$T76),IF($S76="Lớp 4",INDEX('Lớp 4 - Danh mục'!$AB$14:$AB$132,$T76),INDEX('Lớp 3 - Công việc chính'!$Y$14:$Y$73,$T76))))</f>
        <v>#REF!</v>
      </c>
      <c r="Q76" s="697" t="str">
        <f t="array" ref="Q76">IF($S76="","",IF($S76="Lớp 5",INDEX('Lớp 5 - Phân công'!$AG$14:$AG$262,$T76),IF($S76="Lớp 4",INDEX('Lớp 4 - Danh mục'!$AF$14:$AF$132,$T76),INDEX('Lớp 3 - Công việc chính'!$AC$14:$AC$73,$T76))))</f>
        <v>#REF!</v>
      </c>
      <c r="R76" s="698" t="str">
        <f t="array" ref="R76">IF($S76="","",IF($S76="Lớp 5",INDEX('Lớp 5 - Phân công'!$X$14:$X$262,$T76),IF($S76="Lớp 4",INDEX('Lớp 4 - Danh mục'!$V$14:$V$132,$T76),INDEX('Lớp 3 - Công việc chính'!$T$14:$T$73,$T76))))</f>
        <v>#REF!</v>
      </c>
      <c r="S76" s="699" t="str">
        <f>IF(ROWS($S$14:S76)&lt;=COUNTIF('Lớp 5 - Phân công'!$I$14:$I$262,"&lt;&gt;"),"Lớp 5",IF(ROWS($S$14:S76)&lt;=COUNTIF('Lớp 5 - Phân công'!$I$14:$I$262,"&lt;&gt;")+SUMPRODUCT(--('Lớp 4 - Danh mục'!$I$14:$I$132&lt;&gt;""),--(COUNTIF('Lớp 5 - Phân công'!$J$14:$J$262,'Lớp 4 - Danh mục'!$I$14:$I$132)=0)),"Lớp 4",IF(ROWS($S$14:S76)&lt;=COUNTIF('Lớp 5 - Phân công'!$I$14:$I$262,"&lt;&gt;")+SUMPRODUCT(--('Lớp 4 - Danh mục'!$I$14:$I$132&lt;&gt;""),--(COUNTIF('Lớp 5 - Phân công'!$J$14:$J$262,'Lớp 4 - Danh mục'!$I$14:$I$132)=0))+SUMPRODUCT(--('Lớp 3 - Công việc chính'!$I$14:$I$73&lt;&gt;""),--(COUNTIF('Lớp 4 - Danh mục'!$J$14:$J$132,'Lớp 3 - Công việc chính'!$I$14:$I$73)=0)),"Lớp 3","")))</f>
        <v>#REF!</v>
      </c>
      <c r="T76" s="699" t="str">
        <f t="array" ref="T76">IF(S76="","",IF(S76="Lớp 5",IF(S75&lt;&gt;"Lớp 5",MATCH("*",'Lớp 5 - Phân công'!$I$14:$I$262,0),T75+MATCH("*",INDEX('Lớp 5 - Phân công'!$I$14:$I$262,T75+1):'Lớp 5 - Phân công'!$I$262,0)),IF(S76="Lớp 4",IF(S75&lt;&gt;"Lớp 4",MATCH(1,INDEX(('Lớp 4 - Danh mục'!$I$14:$I$132&lt;&gt;"")*(COUNTIF('Lớp 5 - Phân công'!$J$14:$J$262,'Lớp 4 - Danh mục'!$I$14:$I$132)=0),0),0),T75+MATCH(1,INDEX((INDEX('Lớp 4 - Danh mục'!$I$14:$I$132,T75+1):'Lớp 4 - Danh mục'!$I$132&lt;&gt;"")*(COUNTIF('Lớp 5 - Phân công'!$J$14:$J$262,INDEX('Lớp 4 - Danh mục'!$I$14:$I$132,T75+1):'Lớp 4 - Danh mục'!$I$132)=0),0),0)),IF(S75&lt;&gt;"Lớp 3",MATCH(1,INDEX(('Lớp 3 - Công việc chính'!$I$14:$I$73&lt;&gt;"")*(COUNTIF('Lớp 4 - Danh mục'!$J$14:$J$132,'Lớp 3 - Công việc chính'!$I$14:$I$73)=0),0),0),T75+MATCH(1,INDEX((INDEX('Lớp 3 - Công việc chính'!$I$14:$I$73,T75+1):'Lớp 3 - Công việc chính'!$I$73&lt;&gt;"")*(COUNTIF('Lớp 4 - Danh mục'!$J$14:$J$132,INDEX('Lớp 3 - Công việc chính'!$I$14:$I$73,T75+1):'Lớp 3 - Công việc chính'!$I$73)=0),0),0)))))</f>
        <v>#REF!</v>
      </c>
      <c r="Z76" s="700" t="str">
        <f t="array" ref="Z76">IF($S76="","",IF($S76="Lớp 5",INDEX('Lớp 5 - Phân công'!$AS$14:$AS$262,$T76),IF($S76="Lớp 4",INDEX('Lớp 4 - Danh mục'!$AR$14:$AR$132,$T76),INDEX('Lớp 3 - Công việc chính'!$AO$14:$AO$73,$T76))))</f>
        <v>#REF!</v>
      </c>
      <c r="AA76" s="701" t="str">
        <f t="array" ref="AA76">IF($S76="","",IF($S76="Lớp 5",INDEX('Lớp 5 - Phân công'!$AT$14:$AT$262,$T76),IF($S76="Lớp 4",INDEX('Lớp 4 - Danh mục'!$AS$14:$AS$132,$T76),INDEX('Lớp 3 - Công việc chính'!$AP$14:$AP$73,$T76))))</f>
        <v>#REF!</v>
      </c>
      <c r="AB76" s="701" t="str">
        <f t="array" ref="AB76">IF($S76="","",IF($S76="Lớp 5",INDEX('Lớp 5 - Phân công'!$AJ$14:$AJ$262,$T76),IF($S76="Lớp 4",INDEX('Lớp 4 - Danh mục'!$AI$14:$AI$132,$T76),INDEX('Lớp 3 - Công việc chính'!$AF$14:$AF$73,$T76))))</f>
        <v>#REF!</v>
      </c>
      <c r="AC76" s="702" t="str">
        <f t="array" ref="AC76">IF($S76="","",IF($S76="Lớp 5",INDEX('Lớp 5 - Phân công'!$AV$14:$AV$262,$T76),IF($S76="Lớp 4",INDEX('Lớp 4 - Danh mục'!$AU$14:$AU$132,$T76),INDEX('Lớp 3 - Công việc chính'!$AR$14:$AR$73,$T76))))</f>
        <v>#REF!</v>
      </c>
    </row>
    <row r="77" ht="15.75" customHeight="1">
      <c r="A77" s="690" t="str">
        <f t="shared" si="1"/>
        <v>#REF!</v>
      </c>
      <c r="B77" s="690" t="str">
        <f t="array" ref="B77">IF($S77="","",IF($S77="Lớp 5",INDEX('Lớp 5 - Phân công'!$I$14:$I$262,$T77),IF($S77="Lớp 4",INDEX('Lớp 4 - Danh mục'!$I$14:$I$132,$T77),INDEX('Lớp 3 - Công việc chính'!$I$14:$I$73,$T77))))</f>
        <v>#REF!</v>
      </c>
      <c r="C77" s="690" t="str">
        <f t="array" ref="C77">IF($S77="","",IF($S77="Lớp 5",INDEX('Lớp 5 - Phân công'!$K$14:$K$262,$T77),IF($S77="Lớp 4",INDEX('Lớp 4 - Danh mục'!$J$14:$J$132,$T77),INDEX('Lớp 3 - Công việc chính'!$I$14:$I$73,$T77))))</f>
        <v>#REF!</v>
      </c>
      <c r="D77" s="690" t="str">
        <f t="array" ref="D77">IF($S77="","",IF($S77="Lớp 5",INDEX('Lớp 5 - Phân công'!$J$14:$J$262,$T77),IF($S77="Lớp 4",INDEX('Lớp 4 - Danh mục'!$I$14:$I$132,$T77),"")))</f>
        <v>#REF!</v>
      </c>
      <c r="E77" s="690" t="str">
        <f t="array" ref="E77">IF($S77="","",IF($S77="Lớp 5",INDEX('Lớp 5 - Phân công'!$L$14:$L$262,$T77),IF($S77="Lớp 4",INDEX('Lớp 4 - Danh mục'!$K$14:$K$132,$T77),INDEX('Lớp 3 - Công việc chính'!$J$14:$J$73,$T77))))</f>
        <v>#REF!</v>
      </c>
      <c r="F77" s="690" t="str">
        <f t="array" ref="F77">IF($S77="","",IF($S77="Lớp 5",INDEX('Lớp 5 - Phân công'!$M$14:$M$262,$T77),IF($S77="Lớp 4",INDEX('Lớp 4 - Danh mục'!$L$14:$L$132,$T77),INDEX('Lớp 3 - Công việc chính'!$K$14:$K$73,$T77))))</f>
        <v>#REF!</v>
      </c>
      <c r="G77" s="691" t="str">
        <f t="array" ref="G77">IF($S77="","",IF($S77="Lớp 5",INDEX('Lớp 5 - Phân công'!$N$14:$N$262,$T77),IF($S77="Lớp 4",INDEX('Lớp 4 - Danh mục'!$M$14:$M$132,$T77),INDEX('Lớp 3 - Công việc chính'!$L$14:$L$73,$T77))))</f>
        <v>#REF!</v>
      </c>
      <c r="H77" s="692" t="str">
        <f t="array" ref="H77">IF($S77="","",IF($S77="Lớp 5",INDEX('Lớp 5 - Phân công'!$O$14:$O$262,$T77),IF($S77="Lớp 4",INDEX('Lớp 4 - Danh mục'!$N$14:$N$132,$T77),INDEX('Lớp 3 - Công việc chính'!$M$14:$M$73,$T77))))</f>
        <v>#REF!</v>
      </c>
      <c r="I77" s="692" t="str">
        <f t="array" ref="I77">IF($S77="","",IF($S77="Lớp 5",INDEX('Lớp 5 - Phân công'!$P$14:$P$262,$T77),IF($S77="Lớp 4",INDEX('Lớp 4 - Danh mục'!$O$14:$O$132,$T77),"")))</f>
        <v>#REF!</v>
      </c>
      <c r="J77" s="693" t="str">
        <f t="array" ref="J77">IF($S77="","",IF($S77="Lớp 5",INDEX('Lớp 5 - Phân công'!$Q$14:$Q$262,$T77),""))</f>
        <v>#REF!</v>
      </c>
      <c r="K77" s="690" t="str">
        <f t="array" ref="K77">IF($S77="","",IF($S77="Lớp 5",INDEX('Lớp 5 - Phân công'!$AA$14:$AA$262,$T77),IF($S77="Lớp 4",INDEX('Lớp 4 - Danh mục'!$Y$14:$Y$132,$T77),INDEX('Lớp 3 - Công việc chính'!$U$14:$U$73,$T77))))</f>
        <v>#REF!</v>
      </c>
      <c r="L77" s="691" t="str">
        <f t="array" ref="L77">IF($S77="","",IF($S77="Lớp 5",INDEX('Lớp 5 - Phân công'!$Z$14:$Z$262,$T77),IF($S77="Lớp 4",INDEX('Lớp 4 - Danh mục'!$X$14:$X$132,$T77),INDEX('Lớp 3 - Công việc chính'!$W$14:$W$73,$T77))))</f>
        <v>#REF!</v>
      </c>
      <c r="M77" s="694" t="str">
        <f t="array" ref="M77">IF($S77="","",IF($S77="Lớp 5",INDEX('Lớp 5 - Phân công'!$AD$14:$AD$262,$T77),IF($S77="Lớp 4",INDEX('Lớp 4 - Danh mục'!$AC$14:$AC$132,$T77),INDEX('Lớp 3 - Công việc chính'!$Z$14:$Z$73,$T77))))</f>
        <v>#REF!</v>
      </c>
      <c r="N77" s="695" t="str">
        <f t="array" ref="N77">IF($S77="","",IF($S77="Lớp 5",INDEX('Lớp 5 - Phân công'!$AE$14:$AE$262,$T77),IF($S77="Lớp 4",INDEX('Lớp 4 - Danh mục'!$AD$14:$AD$132,$T77),INDEX('Lớp 3 - Công việc chính'!$AA$14:$AA$73,$T77))))</f>
        <v>#REF!</v>
      </c>
      <c r="O77" s="690" t="str">
        <f t="array" ref="O77">IF($S77="","",IF($S77="Lớp 5",INDEX('Lớp 5 - Phân công'!$AB$14:$AB$262,$T77),IF($S77="Lớp 4",INDEX('Lớp 4 - Danh mục'!$AA$14:$AA$132,$T77),INDEX('Lớp 3 - Công việc chính'!$X$14:$X$73,$T77))))</f>
        <v>#REF!</v>
      </c>
      <c r="P77" s="703" t="str">
        <f t="array" ref="P77">IF($S77="","",IF($S77="Lớp 5",INDEX('Lớp 5 - Phân công'!$AC$14:$AC$262,$T77),IF($S77="Lớp 4",INDEX('Lớp 4 - Danh mục'!$AB$14:$AB$132,$T77),INDEX('Lớp 3 - Công việc chính'!$Y$14:$Y$73,$T77))))</f>
        <v>#REF!</v>
      </c>
      <c r="Q77" s="697" t="str">
        <f t="array" ref="Q77">IF($S77="","",IF($S77="Lớp 5",INDEX('Lớp 5 - Phân công'!$AG$14:$AG$262,$T77),IF($S77="Lớp 4",INDEX('Lớp 4 - Danh mục'!$AF$14:$AF$132,$T77),INDEX('Lớp 3 - Công việc chính'!$AC$14:$AC$73,$T77))))</f>
        <v>#REF!</v>
      </c>
      <c r="R77" s="698" t="str">
        <f t="array" ref="R77">IF($S77="","",IF($S77="Lớp 5",INDEX('Lớp 5 - Phân công'!$X$14:$X$262,$T77),IF($S77="Lớp 4",INDEX('Lớp 4 - Danh mục'!$V$14:$V$132,$T77),INDEX('Lớp 3 - Công việc chính'!$T$14:$T$73,$T77))))</f>
        <v>#REF!</v>
      </c>
      <c r="S77" s="699" t="str">
        <f>IF(ROWS($S$14:S77)&lt;=COUNTIF('Lớp 5 - Phân công'!$I$14:$I$262,"&lt;&gt;"),"Lớp 5",IF(ROWS($S$14:S77)&lt;=COUNTIF('Lớp 5 - Phân công'!$I$14:$I$262,"&lt;&gt;")+SUMPRODUCT(--('Lớp 4 - Danh mục'!$I$14:$I$132&lt;&gt;""),--(COUNTIF('Lớp 5 - Phân công'!$J$14:$J$262,'Lớp 4 - Danh mục'!$I$14:$I$132)=0)),"Lớp 4",IF(ROWS($S$14:S77)&lt;=COUNTIF('Lớp 5 - Phân công'!$I$14:$I$262,"&lt;&gt;")+SUMPRODUCT(--('Lớp 4 - Danh mục'!$I$14:$I$132&lt;&gt;""),--(COUNTIF('Lớp 5 - Phân công'!$J$14:$J$262,'Lớp 4 - Danh mục'!$I$14:$I$132)=0))+SUMPRODUCT(--('Lớp 3 - Công việc chính'!$I$14:$I$73&lt;&gt;""),--(COUNTIF('Lớp 4 - Danh mục'!$J$14:$J$132,'Lớp 3 - Công việc chính'!$I$14:$I$73)=0)),"Lớp 3","")))</f>
        <v>#REF!</v>
      </c>
      <c r="T77" s="699" t="str">
        <f t="array" ref="T77">IF(S77="","",IF(S77="Lớp 5",IF(S76&lt;&gt;"Lớp 5",MATCH("*",'Lớp 5 - Phân công'!$I$14:$I$262,0),T76+MATCH("*",INDEX('Lớp 5 - Phân công'!$I$14:$I$262,T76+1):'Lớp 5 - Phân công'!$I$262,0)),IF(S77="Lớp 4",IF(S76&lt;&gt;"Lớp 4",MATCH(1,INDEX(('Lớp 4 - Danh mục'!$I$14:$I$132&lt;&gt;"")*(COUNTIF('Lớp 5 - Phân công'!$J$14:$J$262,'Lớp 4 - Danh mục'!$I$14:$I$132)=0),0),0),T76+MATCH(1,INDEX((INDEX('Lớp 4 - Danh mục'!$I$14:$I$132,T76+1):'Lớp 4 - Danh mục'!$I$132&lt;&gt;"")*(COUNTIF('Lớp 5 - Phân công'!$J$14:$J$262,INDEX('Lớp 4 - Danh mục'!$I$14:$I$132,T76+1):'Lớp 4 - Danh mục'!$I$132)=0),0),0)),IF(S76&lt;&gt;"Lớp 3",MATCH(1,INDEX(('Lớp 3 - Công việc chính'!$I$14:$I$73&lt;&gt;"")*(COUNTIF('Lớp 4 - Danh mục'!$J$14:$J$132,'Lớp 3 - Công việc chính'!$I$14:$I$73)=0),0),0),T76+MATCH(1,INDEX((INDEX('Lớp 3 - Công việc chính'!$I$14:$I$73,T76+1):'Lớp 3 - Công việc chính'!$I$73&lt;&gt;"")*(COUNTIF('Lớp 4 - Danh mục'!$J$14:$J$132,INDEX('Lớp 3 - Công việc chính'!$I$14:$I$73,T76+1):'Lớp 3 - Công việc chính'!$I$73)=0),0),0)))))</f>
        <v>#REF!</v>
      </c>
      <c r="Z77" s="700" t="str">
        <f t="array" ref="Z77">IF($S77="","",IF($S77="Lớp 5",INDEX('Lớp 5 - Phân công'!$AS$14:$AS$262,$T77),IF($S77="Lớp 4",INDEX('Lớp 4 - Danh mục'!$AR$14:$AR$132,$T77),INDEX('Lớp 3 - Công việc chính'!$AO$14:$AO$73,$T77))))</f>
        <v>#REF!</v>
      </c>
      <c r="AA77" s="701" t="str">
        <f t="array" ref="AA77">IF($S77="","",IF($S77="Lớp 5",INDEX('Lớp 5 - Phân công'!$AT$14:$AT$262,$T77),IF($S77="Lớp 4",INDEX('Lớp 4 - Danh mục'!$AS$14:$AS$132,$T77),INDEX('Lớp 3 - Công việc chính'!$AP$14:$AP$73,$T77))))</f>
        <v>#REF!</v>
      </c>
      <c r="AB77" s="701" t="str">
        <f t="array" ref="AB77">IF($S77="","",IF($S77="Lớp 5",INDEX('Lớp 5 - Phân công'!$AJ$14:$AJ$262,$T77),IF($S77="Lớp 4",INDEX('Lớp 4 - Danh mục'!$AI$14:$AI$132,$T77),INDEX('Lớp 3 - Công việc chính'!$AF$14:$AF$73,$T77))))</f>
        <v>#REF!</v>
      </c>
      <c r="AC77" s="702" t="str">
        <f t="array" ref="AC77">IF($S77="","",IF($S77="Lớp 5",INDEX('Lớp 5 - Phân công'!$AV$14:$AV$262,$T77),IF($S77="Lớp 4",INDEX('Lớp 4 - Danh mục'!$AU$14:$AU$132,$T77),INDEX('Lớp 3 - Công việc chính'!$AR$14:$AR$73,$T77))))</f>
        <v>#REF!</v>
      </c>
    </row>
    <row r="78" ht="15.75" customHeight="1">
      <c r="A78" s="690" t="str">
        <f t="shared" si="1"/>
        <v>#REF!</v>
      </c>
      <c r="B78" s="690" t="str">
        <f t="array" ref="B78">IF($S78="","",IF($S78="Lớp 5",INDEX('Lớp 5 - Phân công'!$I$14:$I$262,$T78),IF($S78="Lớp 4",INDEX('Lớp 4 - Danh mục'!$I$14:$I$132,$T78),INDEX('Lớp 3 - Công việc chính'!$I$14:$I$73,$T78))))</f>
        <v>#REF!</v>
      </c>
      <c r="C78" s="690" t="str">
        <f t="array" ref="C78">IF($S78="","",IF($S78="Lớp 5",INDEX('Lớp 5 - Phân công'!$K$14:$K$262,$T78),IF($S78="Lớp 4",INDEX('Lớp 4 - Danh mục'!$J$14:$J$132,$T78),INDEX('Lớp 3 - Công việc chính'!$I$14:$I$73,$T78))))</f>
        <v>#REF!</v>
      </c>
      <c r="D78" s="690" t="str">
        <f t="array" ref="D78">IF($S78="","",IF($S78="Lớp 5",INDEX('Lớp 5 - Phân công'!$J$14:$J$262,$T78),IF($S78="Lớp 4",INDEX('Lớp 4 - Danh mục'!$I$14:$I$132,$T78),"")))</f>
        <v>#REF!</v>
      </c>
      <c r="E78" s="690" t="str">
        <f t="array" ref="E78">IF($S78="","",IF($S78="Lớp 5",INDEX('Lớp 5 - Phân công'!$L$14:$L$262,$T78),IF($S78="Lớp 4",INDEX('Lớp 4 - Danh mục'!$K$14:$K$132,$T78),INDEX('Lớp 3 - Công việc chính'!$J$14:$J$73,$T78))))</f>
        <v>#REF!</v>
      </c>
      <c r="F78" s="690" t="str">
        <f t="array" ref="F78">IF($S78="","",IF($S78="Lớp 5",INDEX('Lớp 5 - Phân công'!$M$14:$M$262,$T78),IF($S78="Lớp 4",INDEX('Lớp 4 - Danh mục'!$L$14:$L$132,$T78),INDEX('Lớp 3 - Công việc chính'!$K$14:$K$73,$T78))))</f>
        <v>#REF!</v>
      </c>
      <c r="G78" s="691" t="str">
        <f t="array" ref="G78">IF($S78="","",IF($S78="Lớp 5",INDEX('Lớp 5 - Phân công'!$N$14:$N$262,$T78),IF($S78="Lớp 4",INDEX('Lớp 4 - Danh mục'!$M$14:$M$132,$T78),INDEX('Lớp 3 - Công việc chính'!$L$14:$L$73,$T78))))</f>
        <v>#REF!</v>
      </c>
      <c r="H78" s="692" t="str">
        <f t="array" ref="H78">IF($S78="","",IF($S78="Lớp 5",INDEX('Lớp 5 - Phân công'!$O$14:$O$262,$T78),IF($S78="Lớp 4",INDEX('Lớp 4 - Danh mục'!$N$14:$N$132,$T78),INDEX('Lớp 3 - Công việc chính'!$M$14:$M$73,$T78))))</f>
        <v>#REF!</v>
      </c>
      <c r="I78" s="692" t="str">
        <f t="array" ref="I78">IF($S78="","",IF($S78="Lớp 5",INDEX('Lớp 5 - Phân công'!$P$14:$P$262,$T78),IF($S78="Lớp 4",INDEX('Lớp 4 - Danh mục'!$O$14:$O$132,$T78),"")))</f>
        <v>#REF!</v>
      </c>
      <c r="J78" s="693" t="str">
        <f t="array" ref="J78">IF($S78="","",IF($S78="Lớp 5",INDEX('Lớp 5 - Phân công'!$Q$14:$Q$262,$T78),""))</f>
        <v>#REF!</v>
      </c>
      <c r="K78" s="690" t="str">
        <f t="array" ref="K78">IF($S78="","",IF($S78="Lớp 5",INDEX('Lớp 5 - Phân công'!$AA$14:$AA$262,$T78),IF($S78="Lớp 4",INDEX('Lớp 4 - Danh mục'!$Y$14:$Y$132,$T78),INDEX('Lớp 3 - Công việc chính'!$U$14:$U$73,$T78))))</f>
        <v>#REF!</v>
      </c>
      <c r="L78" s="691" t="str">
        <f t="array" ref="L78">IF($S78="","",IF($S78="Lớp 5",INDEX('Lớp 5 - Phân công'!$Z$14:$Z$262,$T78),IF($S78="Lớp 4",INDEX('Lớp 4 - Danh mục'!$X$14:$X$132,$T78),INDEX('Lớp 3 - Công việc chính'!$W$14:$W$73,$T78))))</f>
        <v>#REF!</v>
      </c>
      <c r="M78" s="694" t="str">
        <f t="array" ref="M78">IF($S78="","",IF($S78="Lớp 5",INDEX('Lớp 5 - Phân công'!$AD$14:$AD$262,$T78),IF($S78="Lớp 4",INDEX('Lớp 4 - Danh mục'!$AC$14:$AC$132,$T78),INDEX('Lớp 3 - Công việc chính'!$Z$14:$Z$73,$T78))))</f>
        <v>#REF!</v>
      </c>
      <c r="N78" s="695" t="str">
        <f t="array" ref="N78">IF($S78="","",IF($S78="Lớp 5",INDEX('Lớp 5 - Phân công'!$AE$14:$AE$262,$T78),IF($S78="Lớp 4",INDEX('Lớp 4 - Danh mục'!$AD$14:$AD$132,$T78),INDEX('Lớp 3 - Công việc chính'!$AA$14:$AA$73,$T78))))</f>
        <v>#REF!</v>
      </c>
      <c r="O78" s="690" t="str">
        <f t="array" ref="O78">IF($S78="","",IF($S78="Lớp 5",INDEX('Lớp 5 - Phân công'!$AB$14:$AB$262,$T78),IF($S78="Lớp 4",INDEX('Lớp 4 - Danh mục'!$AA$14:$AA$132,$T78),INDEX('Lớp 3 - Công việc chính'!$X$14:$X$73,$T78))))</f>
        <v>#REF!</v>
      </c>
      <c r="P78" s="703" t="str">
        <f t="array" ref="P78">IF($S78="","",IF($S78="Lớp 5",INDEX('Lớp 5 - Phân công'!$AC$14:$AC$262,$T78),IF($S78="Lớp 4",INDEX('Lớp 4 - Danh mục'!$AB$14:$AB$132,$T78),INDEX('Lớp 3 - Công việc chính'!$Y$14:$Y$73,$T78))))</f>
        <v>#REF!</v>
      </c>
      <c r="Q78" s="697" t="str">
        <f t="array" ref="Q78">IF($S78="","",IF($S78="Lớp 5",INDEX('Lớp 5 - Phân công'!$AG$14:$AG$262,$T78),IF($S78="Lớp 4",INDEX('Lớp 4 - Danh mục'!$AF$14:$AF$132,$T78),INDEX('Lớp 3 - Công việc chính'!$AC$14:$AC$73,$T78))))</f>
        <v>#REF!</v>
      </c>
      <c r="R78" s="698" t="str">
        <f t="array" ref="R78">IF($S78="","",IF($S78="Lớp 5",INDEX('Lớp 5 - Phân công'!$X$14:$X$262,$T78),IF($S78="Lớp 4",INDEX('Lớp 4 - Danh mục'!$V$14:$V$132,$T78),INDEX('Lớp 3 - Công việc chính'!$T$14:$T$73,$T78))))</f>
        <v>#REF!</v>
      </c>
      <c r="S78" s="699" t="str">
        <f>IF(ROWS($S$14:S78)&lt;=COUNTIF('Lớp 5 - Phân công'!$I$14:$I$262,"&lt;&gt;"),"Lớp 5",IF(ROWS($S$14:S78)&lt;=COUNTIF('Lớp 5 - Phân công'!$I$14:$I$262,"&lt;&gt;")+SUMPRODUCT(--('Lớp 4 - Danh mục'!$I$14:$I$132&lt;&gt;""),--(COUNTIF('Lớp 5 - Phân công'!$J$14:$J$262,'Lớp 4 - Danh mục'!$I$14:$I$132)=0)),"Lớp 4",IF(ROWS($S$14:S78)&lt;=COUNTIF('Lớp 5 - Phân công'!$I$14:$I$262,"&lt;&gt;")+SUMPRODUCT(--('Lớp 4 - Danh mục'!$I$14:$I$132&lt;&gt;""),--(COUNTIF('Lớp 5 - Phân công'!$J$14:$J$262,'Lớp 4 - Danh mục'!$I$14:$I$132)=0))+SUMPRODUCT(--('Lớp 3 - Công việc chính'!$I$14:$I$73&lt;&gt;""),--(COUNTIF('Lớp 4 - Danh mục'!$J$14:$J$132,'Lớp 3 - Công việc chính'!$I$14:$I$73)=0)),"Lớp 3","")))</f>
        <v>#REF!</v>
      </c>
      <c r="T78" s="699" t="str">
        <f t="array" ref="T78">IF(S78="","",IF(S78="Lớp 5",IF(S77&lt;&gt;"Lớp 5",MATCH("*",'Lớp 5 - Phân công'!$I$14:$I$262,0),T77+MATCH("*",INDEX('Lớp 5 - Phân công'!$I$14:$I$262,T77+1):'Lớp 5 - Phân công'!$I$262,0)),IF(S78="Lớp 4",IF(S77&lt;&gt;"Lớp 4",MATCH(1,INDEX(('Lớp 4 - Danh mục'!$I$14:$I$132&lt;&gt;"")*(COUNTIF('Lớp 5 - Phân công'!$J$14:$J$262,'Lớp 4 - Danh mục'!$I$14:$I$132)=0),0),0),T77+MATCH(1,INDEX((INDEX('Lớp 4 - Danh mục'!$I$14:$I$132,T77+1):'Lớp 4 - Danh mục'!$I$132&lt;&gt;"")*(COUNTIF('Lớp 5 - Phân công'!$J$14:$J$262,INDEX('Lớp 4 - Danh mục'!$I$14:$I$132,T77+1):'Lớp 4 - Danh mục'!$I$132)=0),0),0)),IF(S77&lt;&gt;"Lớp 3",MATCH(1,INDEX(('Lớp 3 - Công việc chính'!$I$14:$I$73&lt;&gt;"")*(COUNTIF('Lớp 4 - Danh mục'!$J$14:$J$132,'Lớp 3 - Công việc chính'!$I$14:$I$73)=0),0),0),T77+MATCH(1,INDEX((INDEX('Lớp 3 - Công việc chính'!$I$14:$I$73,T77+1):'Lớp 3 - Công việc chính'!$I$73&lt;&gt;"")*(COUNTIF('Lớp 4 - Danh mục'!$J$14:$J$132,INDEX('Lớp 3 - Công việc chính'!$I$14:$I$73,T77+1):'Lớp 3 - Công việc chính'!$I$73)=0),0),0)))))</f>
        <v>#REF!</v>
      </c>
      <c r="Z78" s="700" t="str">
        <f t="array" ref="Z78">IF($S78="","",IF($S78="Lớp 5",INDEX('Lớp 5 - Phân công'!$AS$14:$AS$262,$T78),IF($S78="Lớp 4",INDEX('Lớp 4 - Danh mục'!$AR$14:$AR$132,$T78),INDEX('Lớp 3 - Công việc chính'!$AO$14:$AO$73,$T78))))</f>
        <v>#REF!</v>
      </c>
      <c r="AA78" s="701" t="str">
        <f t="array" ref="AA78">IF($S78="","",IF($S78="Lớp 5",INDEX('Lớp 5 - Phân công'!$AT$14:$AT$262,$T78),IF($S78="Lớp 4",INDEX('Lớp 4 - Danh mục'!$AS$14:$AS$132,$T78),INDEX('Lớp 3 - Công việc chính'!$AP$14:$AP$73,$T78))))</f>
        <v>#REF!</v>
      </c>
      <c r="AB78" s="701" t="str">
        <f t="array" ref="AB78">IF($S78="","",IF($S78="Lớp 5",INDEX('Lớp 5 - Phân công'!$AJ$14:$AJ$262,$T78),IF($S78="Lớp 4",INDEX('Lớp 4 - Danh mục'!$AI$14:$AI$132,$T78),INDEX('Lớp 3 - Công việc chính'!$AF$14:$AF$73,$T78))))</f>
        <v>#REF!</v>
      </c>
      <c r="AC78" s="702" t="str">
        <f t="array" ref="AC78">IF($S78="","",IF($S78="Lớp 5",INDEX('Lớp 5 - Phân công'!$AV$14:$AV$262,$T78),IF($S78="Lớp 4",INDEX('Lớp 4 - Danh mục'!$AU$14:$AU$132,$T78),INDEX('Lớp 3 - Công việc chính'!$AR$14:$AR$73,$T78))))</f>
        <v>#REF!</v>
      </c>
    </row>
    <row r="79" ht="15.75" customHeight="1">
      <c r="A79" s="690" t="str">
        <f t="shared" si="1"/>
        <v>#REF!</v>
      </c>
      <c r="B79" s="690" t="str">
        <f t="array" ref="B79">IF($S79="","",IF($S79="Lớp 5",INDEX('Lớp 5 - Phân công'!$I$14:$I$262,$T79),IF($S79="Lớp 4",INDEX('Lớp 4 - Danh mục'!$I$14:$I$132,$T79),INDEX('Lớp 3 - Công việc chính'!$I$14:$I$73,$T79))))</f>
        <v>#REF!</v>
      </c>
      <c r="C79" s="690" t="str">
        <f t="array" ref="C79">IF($S79="","",IF($S79="Lớp 5",INDEX('Lớp 5 - Phân công'!$K$14:$K$262,$T79),IF($S79="Lớp 4",INDEX('Lớp 4 - Danh mục'!$J$14:$J$132,$T79),INDEX('Lớp 3 - Công việc chính'!$I$14:$I$73,$T79))))</f>
        <v>#REF!</v>
      </c>
      <c r="D79" s="690" t="str">
        <f t="array" ref="D79">IF($S79="","",IF($S79="Lớp 5",INDEX('Lớp 5 - Phân công'!$J$14:$J$262,$T79),IF($S79="Lớp 4",INDEX('Lớp 4 - Danh mục'!$I$14:$I$132,$T79),"")))</f>
        <v>#REF!</v>
      </c>
      <c r="E79" s="690" t="str">
        <f t="array" ref="E79">IF($S79="","",IF($S79="Lớp 5",INDEX('Lớp 5 - Phân công'!$L$14:$L$262,$T79),IF($S79="Lớp 4",INDEX('Lớp 4 - Danh mục'!$K$14:$K$132,$T79),INDEX('Lớp 3 - Công việc chính'!$J$14:$J$73,$T79))))</f>
        <v>#REF!</v>
      </c>
      <c r="F79" s="690" t="str">
        <f t="array" ref="F79">IF($S79="","",IF($S79="Lớp 5",INDEX('Lớp 5 - Phân công'!$M$14:$M$262,$T79),IF($S79="Lớp 4",INDEX('Lớp 4 - Danh mục'!$L$14:$L$132,$T79),INDEX('Lớp 3 - Công việc chính'!$K$14:$K$73,$T79))))</f>
        <v>#REF!</v>
      </c>
      <c r="G79" s="691" t="str">
        <f t="array" ref="G79">IF($S79="","",IF($S79="Lớp 5",INDEX('Lớp 5 - Phân công'!$N$14:$N$262,$T79),IF($S79="Lớp 4",INDEX('Lớp 4 - Danh mục'!$M$14:$M$132,$T79),INDEX('Lớp 3 - Công việc chính'!$L$14:$L$73,$T79))))</f>
        <v>#REF!</v>
      </c>
      <c r="H79" s="692" t="str">
        <f t="array" ref="H79">IF($S79="","",IF($S79="Lớp 5",INDEX('Lớp 5 - Phân công'!$O$14:$O$262,$T79),IF($S79="Lớp 4",INDEX('Lớp 4 - Danh mục'!$N$14:$N$132,$T79),INDEX('Lớp 3 - Công việc chính'!$M$14:$M$73,$T79))))</f>
        <v>#REF!</v>
      </c>
      <c r="I79" s="692" t="str">
        <f t="array" ref="I79">IF($S79="","",IF($S79="Lớp 5",INDEX('Lớp 5 - Phân công'!$P$14:$P$262,$T79),IF($S79="Lớp 4",INDEX('Lớp 4 - Danh mục'!$O$14:$O$132,$T79),"")))</f>
        <v>#REF!</v>
      </c>
      <c r="J79" s="693" t="str">
        <f t="array" ref="J79">IF($S79="","",IF($S79="Lớp 5",INDEX('Lớp 5 - Phân công'!$Q$14:$Q$262,$T79),""))</f>
        <v>#REF!</v>
      </c>
      <c r="K79" s="690" t="str">
        <f t="array" ref="K79">IF($S79="","",IF($S79="Lớp 5",INDEX('Lớp 5 - Phân công'!$AA$14:$AA$262,$T79),IF($S79="Lớp 4",INDEX('Lớp 4 - Danh mục'!$Y$14:$Y$132,$T79),INDEX('Lớp 3 - Công việc chính'!$U$14:$U$73,$T79))))</f>
        <v>#REF!</v>
      </c>
      <c r="L79" s="691" t="str">
        <f t="array" ref="L79">IF($S79="","",IF($S79="Lớp 5",INDEX('Lớp 5 - Phân công'!$Z$14:$Z$262,$T79),IF($S79="Lớp 4",INDEX('Lớp 4 - Danh mục'!$X$14:$X$132,$T79),INDEX('Lớp 3 - Công việc chính'!$W$14:$W$73,$T79))))</f>
        <v>#REF!</v>
      </c>
      <c r="M79" s="694" t="str">
        <f t="array" ref="M79">IF($S79="","",IF($S79="Lớp 5",INDEX('Lớp 5 - Phân công'!$AD$14:$AD$262,$T79),IF($S79="Lớp 4",INDEX('Lớp 4 - Danh mục'!$AC$14:$AC$132,$T79),INDEX('Lớp 3 - Công việc chính'!$Z$14:$Z$73,$T79))))</f>
        <v>#REF!</v>
      </c>
      <c r="N79" s="695" t="str">
        <f t="array" ref="N79">IF($S79="","",IF($S79="Lớp 5",INDEX('Lớp 5 - Phân công'!$AE$14:$AE$262,$T79),IF($S79="Lớp 4",INDEX('Lớp 4 - Danh mục'!$AD$14:$AD$132,$T79),INDEX('Lớp 3 - Công việc chính'!$AA$14:$AA$73,$T79))))</f>
        <v>#REF!</v>
      </c>
      <c r="O79" s="690" t="str">
        <f t="array" ref="O79">IF($S79="","",IF($S79="Lớp 5",INDEX('Lớp 5 - Phân công'!$AB$14:$AB$262,$T79),IF($S79="Lớp 4",INDEX('Lớp 4 - Danh mục'!$AA$14:$AA$132,$T79),INDEX('Lớp 3 - Công việc chính'!$X$14:$X$73,$T79))))</f>
        <v>#REF!</v>
      </c>
      <c r="P79" s="703" t="str">
        <f t="array" ref="P79">IF($S79="","",IF($S79="Lớp 5",INDEX('Lớp 5 - Phân công'!$AC$14:$AC$262,$T79),IF($S79="Lớp 4",INDEX('Lớp 4 - Danh mục'!$AB$14:$AB$132,$T79),INDEX('Lớp 3 - Công việc chính'!$Y$14:$Y$73,$T79))))</f>
        <v>#REF!</v>
      </c>
      <c r="Q79" s="697" t="str">
        <f t="array" ref="Q79">IF($S79="","",IF($S79="Lớp 5",INDEX('Lớp 5 - Phân công'!$AG$14:$AG$262,$T79),IF($S79="Lớp 4",INDEX('Lớp 4 - Danh mục'!$AF$14:$AF$132,$T79),INDEX('Lớp 3 - Công việc chính'!$AC$14:$AC$73,$T79))))</f>
        <v>#REF!</v>
      </c>
      <c r="R79" s="698" t="str">
        <f t="array" ref="R79">IF($S79="","",IF($S79="Lớp 5",INDEX('Lớp 5 - Phân công'!$X$14:$X$262,$T79),IF($S79="Lớp 4",INDEX('Lớp 4 - Danh mục'!$V$14:$V$132,$T79),INDEX('Lớp 3 - Công việc chính'!$T$14:$T$73,$T79))))</f>
        <v>#REF!</v>
      </c>
      <c r="S79" s="699" t="str">
        <f>IF(ROWS($S$14:S79)&lt;=COUNTIF('Lớp 5 - Phân công'!$I$14:$I$262,"&lt;&gt;"),"Lớp 5",IF(ROWS($S$14:S79)&lt;=COUNTIF('Lớp 5 - Phân công'!$I$14:$I$262,"&lt;&gt;")+SUMPRODUCT(--('Lớp 4 - Danh mục'!$I$14:$I$132&lt;&gt;""),--(COUNTIF('Lớp 5 - Phân công'!$J$14:$J$262,'Lớp 4 - Danh mục'!$I$14:$I$132)=0)),"Lớp 4",IF(ROWS($S$14:S79)&lt;=COUNTIF('Lớp 5 - Phân công'!$I$14:$I$262,"&lt;&gt;")+SUMPRODUCT(--('Lớp 4 - Danh mục'!$I$14:$I$132&lt;&gt;""),--(COUNTIF('Lớp 5 - Phân công'!$J$14:$J$262,'Lớp 4 - Danh mục'!$I$14:$I$132)=0))+SUMPRODUCT(--('Lớp 3 - Công việc chính'!$I$14:$I$73&lt;&gt;""),--(COUNTIF('Lớp 4 - Danh mục'!$J$14:$J$132,'Lớp 3 - Công việc chính'!$I$14:$I$73)=0)),"Lớp 3","")))</f>
        <v>#REF!</v>
      </c>
      <c r="T79" s="699" t="str">
        <f t="array" ref="T79">IF(S79="","",IF(S79="Lớp 5",IF(S78&lt;&gt;"Lớp 5",MATCH("*",'Lớp 5 - Phân công'!$I$14:$I$262,0),T78+MATCH("*",INDEX('Lớp 5 - Phân công'!$I$14:$I$262,T78+1):'Lớp 5 - Phân công'!$I$262,0)),IF(S79="Lớp 4",IF(S78&lt;&gt;"Lớp 4",MATCH(1,INDEX(('Lớp 4 - Danh mục'!$I$14:$I$132&lt;&gt;"")*(COUNTIF('Lớp 5 - Phân công'!$J$14:$J$262,'Lớp 4 - Danh mục'!$I$14:$I$132)=0),0),0),T78+MATCH(1,INDEX((INDEX('Lớp 4 - Danh mục'!$I$14:$I$132,T78+1):'Lớp 4 - Danh mục'!$I$132&lt;&gt;"")*(COUNTIF('Lớp 5 - Phân công'!$J$14:$J$262,INDEX('Lớp 4 - Danh mục'!$I$14:$I$132,T78+1):'Lớp 4 - Danh mục'!$I$132)=0),0),0)),IF(S78&lt;&gt;"Lớp 3",MATCH(1,INDEX(('Lớp 3 - Công việc chính'!$I$14:$I$73&lt;&gt;"")*(COUNTIF('Lớp 4 - Danh mục'!$J$14:$J$132,'Lớp 3 - Công việc chính'!$I$14:$I$73)=0),0),0),T78+MATCH(1,INDEX((INDEX('Lớp 3 - Công việc chính'!$I$14:$I$73,T78+1):'Lớp 3 - Công việc chính'!$I$73&lt;&gt;"")*(COUNTIF('Lớp 4 - Danh mục'!$J$14:$J$132,INDEX('Lớp 3 - Công việc chính'!$I$14:$I$73,T78+1):'Lớp 3 - Công việc chính'!$I$73)=0),0),0)))))</f>
        <v>#REF!</v>
      </c>
      <c r="Z79" s="700" t="str">
        <f t="array" ref="Z79">IF($S79="","",IF($S79="Lớp 5",INDEX('Lớp 5 - Phân công'!$AS$14:$AS$262,$T79),IF($S79="Lớp 4",INDEX('Lớp 4 - Danh mục'!$AR$14:$AR$132,$T79),INDEX('Lớp 3 - Công việc chính'!$AO$14:$AO$73,$T79))))</f>
        <v>#REF!</v>
      </c>
      <c r="AA79" s="701" t="str">
        <f t="array" ref="AA79">IF($S79="","",IF($S79="Lớp 5",INDEX('Lớp 5 - Phân công'!$AT$14:$AT$262,$T79),IF($S79="Lớp 4",INDEX('Lớp 4 - Danh mục'!$AS$14:$AS$132,$T79),INDEX('Lớp 3 - Công việc chính'!$AP$14:$AP$73,$T79))))</f>
        <v>#REF!</v>
      </c>
      <c r="AB79" s="701" t="str">
        <f t="array" ref="AB79">IF($S79="","",IF($S79="Lớp 5",INDEX('Lớp 5 - Phân công'!$AJ$14:$AJ$262,$T79),IF($S79="Lớp 4",INDEX('Lớp 4 - Danh mục'!$AI$14:$AI$132,$T79),INDEX('Lớp 3 - Công việc chính'!$AF$14:$AF$73,$T79))))</f>
        <v>#REF!</v>
      </c>
      <c r="AC79" s="702" t="str">
        <f t="array" ref="AC79">IF($S79="","",IF($S79="Lớp 5",INDEX('Lớp 5 - Phân công'!$AV$14:$AV$262,$T79),IF($S79="Lớp 4",INDEX('Lớp 4 - Danh mục'!$AU$14:$AU$132,$T79),INDEX('Lớp 3 - Công việc chính'!$AR$14:$AR$73,$T79))))</f>
        <v>#REF!</v>
      </c>
    </row>
    <row r="80" ht="15.75" customHeight="1">
      <c r="A80" s="690" t="str">
        <f t="shared" si="1"/>
        <v>#REF!</v>
      </c>
      <c r="B80" s="690" t="str">
        <f t="array" ref="B80">IF($S80="","",IF($S80="Lớp 5",INDEX('Lớp 5 - Phân công'!$I$14:$I$262,$T80),IF($S80="Lớp 4",INDEX('Lớp 4 - Danh mục'!$I$14:$I$132,$T80),INDEX('Lớp 3 - Công việc chính'!$I$14:$I$73,$T80))))</f>
        <v>#REF!</v>
      </c>
      <c r="C80" s="690" t="str">
        <f t="array" ref="C80">IF($S80="","",IF($S80="Lớp 5",INDEX('Lớp 5 - Phân công'!$K$14:$K$262,$T80),IF($S80="Lớp 4",INDEX('Lớp 4 - Danh mục'!$J$14:$J$132,$T80),INDEX('Lớp 3 - Công việc chính'!$I$14:$I$73,$T80))))</f>
        <v>#REF!</v>
      </c>
      <c r="D80" s="690" t="str">
        <f t="array" ref="D80">IF($S80="","",IF($S80="Lớp 5",INDEX('Lớp 5 - Phân công'!$J$14:$J$262,$T80),IF($S80="Lớp 4",INDEX('Lớp 4 - Danh mục'!$I$14:$I$132,$T80),"")))</f>
        <v>#REF!</v>
      </c>
      <c r="E80" s="690" t="str">
        <f t="array" ref="E80">IF($S80="","",IF($S80="Lớp 5",INDEX('Lớp 5 - Phân công'!$L$14:$L$262,$T80),IF($S80="Lớp 4",INDEX('Lớp 4 - Danh mục'!$K$14:$K$132,$T80),INDEX('Lớp 3 - Công việc chính'!$J$14:$J$73,$T80))))</f>
        <v>#REF!</v>
      </c>
      <c r="F80" s="690" t="str">
        <f t="array" ref="F80">IF($S80="","",IF($S80="Lớp 5",INDEX('Lớp 5 - Phân công'!$M$14:$M$262,$T80),IF($S80="Lớp 4",INDEX('Lớp 4 - Danh mục'!$L$14:$L$132,$T80),INDEX('Lớp 3 - Công việc chính'!$K$14:$K$73,$T80))))</f>
        <v>#REF!</v>
      </c>
      <c r="G80" s="691" t="str">
        <f t="array" ref="G80">IF($S80="","",IF($S80="Lớp 5",INDEX('Lớp 5 - Phân công'!$N$14:$N$262,$T80),IF($S80="Lớp 4",INDEX('Lớp 4 - Danh mục'!$M$14:$M$132,$T80),INDEX('Lớp 3 - Công việc chính'!$L$14:$L$73,$T80))))</f>
        <v>#REF!</v>
      </c>
      <c r="H80" s="692" t="str">
        <f t="array" ref="H80">IF($S80="","",IF($S80="Lớp 5",INDEX('Lớp 5 - Phân công'!$O$14:$O$262,$T80),IF($S80="Lớp 4",INDEX('Lớp 4 - Danh mục'!$N$14:$N$132,$T80),INDEX('Lớp 3 - Công việc chính'!$M$14:$M$73,$T80))))</f>
        <v>#REF!</v>
      </c>
      <c r="I80" s="692" t="str">
        <f t="array" ref="I80">IF($S80="","",IF($S80="Lớp 5",INDEX('Lớp 5 - Phân công'!$P$14:$P$262,$T80),IF($S80="Lớp 4",INDEX('Lớp 4 - Danh mục'!$O$14:$O$132,$T80),"")))</f>
        <v>#REF!</v>
      </c>
      <c r="J80" s="693" t="str">
        <f t="array" ref="J80">IF($S80="","",IF($S80="Lớp 5",INDEX('Lớp 5 - Phân công'!$Q$14:$Q$262,$T80),""))</f>
        <v>#REF!</v>
      </c>
      <c r="K80" s="690" t="str">
        <f t="array" ref="K80">IF($S80="","",IF($S80="Lớp 5",INDEX('Lớp 5 - Phân công'!$AA$14:$AA$262,$T80),IF($S80="Lớp 4",INDEX('Lớp 4 - Danh mục'!$Y$14:$Y$132,$T80),INDEX('Lớp 3 - Công việc chính'!$U$14:$U$73,$T80))))</f>
        <v>#REF!</v>
      </c>
      <c r="L80" s="691" t="str">
        <f t="array" ref="L80">IF($S80="","",IF($S80="Lớp 5",INDEX('Lớp 5 - Phân công'!$Z$14:$Z$262,$T80),IF($S80="Lớp 4",INDEX('Lớp 4 - Danh mục'!$X$14:$X$132,$T80),INDEX('Lớp 3 - Công việc chính'!$W$14:$W$73,$T80))))</f>
        <v>#REF!</v>
      </c>
      <c r="M80" s="694" t="str">
        <f t="array" ref="M80">IF($S80="","",IF($S80="Lớp 5",INDEX('Lớp 5 - Phân công'!$AD$14:$AD$262,$T80),IF($S80="Lớp 4",INDEX('Lớp 4 - Danh mục'!$AC$14:$AC$132,$T80),INDEX('Lớp 3 - Công việc chính'!$Z$14:$Z$73,$T80))))</f>
        <v>#REF!</v>
      </c>
      <c r="N80" s="695" t="str">
        <f t="array" ref="N80">IF($S80="","",IF($S80="Lớp 5",INDEX('Lớp 5 - Phân công'!$AE$14:$AE$262,$T80),IF($S80="Lớp 4",INDEX('Lớp 4 - Danh mục'!$AD$14:$AD$132,$T80),INDEX('Lớp 3 - Công việc chính'!$AA$14:$AA$73,$T80))))</f>
        <v>#REF!</v>
      </c>
      <c r="O80" s="690" t="str">
        <f t="array" ref="O80">IF($S80="","",IF($S80="Lớp 5",INDEX('Lớp 5 - Phân công'!$AB$14:$AB$262,$T80),IF($S80="Lớp 4",INDEX('Lớp 4 - Danh mục'!$AA$14:$AA$132,$T80),INDEX('Lớp 3 - Công việc chính'!$X$14:$X$73,$T80))))</f>
        <v>#REF!</v>
      </c>
      <c r="P80" s="703" t="str">
        <f t="array" ref="P80">IF($S80="","",IF($S80="Lớp 5",INDEX('Lớp 5 - Phân công'!$AC$14:$AC$262,$T80),IF($S80="Lớp 4",INDEX('Lớp 4 - Danh mục'!$AB$14:$AB$132,$T80),INDEX('Lớp 3 - Công việc chính'!$Y$14:$Y$73,$T80))))</f>
        <v>#REF!</v>
      </c>
      <c r="Q80" s="697" t="str">
        <f t="array" ref="Q80">IF($S80="","",IF($S80="Lớp 5",INDEX('Lớp 5 - Phân công'!$AG$14:$AG$262,$T80),IF($S80="Lớp 4",INDEX('Lớp 4 - Danh mục'!$AF$14:$AF$132,$T80),INDEX('Lớp 3 - Công việc chính'!$AC$14:$AC$73,$T80))))</f>
        <v>#REF!</v>
      </c>
      <c r="R80" s="698" t="str">
        <f t="array" ref="R80">IF($S80="","",IF($S80="Lớp 5",INDEX('Lớp 5 - Phân công'!$X$14:$X$262,$T80),IF($S80="Lớp 4",INDEX('Lớp 4 - Danh mục'!$V$14:$V$132,$T80),INDEX('Lớp 3 - Công việc chính'!$T$14:$T$73,$T80))))</f>
        <v>#REF!</v>
      </c>
      <c r="S80" s="699" t="str">
        <f>IF(ROWS($S$14:S80)&lt;=COUNTIF('Lớp 5 - Phân công'!$I$14:$I$262,"&lt;&gt;"),"Lớp 5",IF(ROWS($S$14:S80)&lt;=COUNTIF('Lớp 5 - Phân công'!$I$14:$I$262,"&lt;&gt;")+SUMPRODUCT(--('Lớp 4 - Danh mục'!$I$14:$I$132&lt;&gt;""),--(COUNTIF('Lớp 5 - Phân công'!$J$14:$J$262,'Lớp 4 - Danh mục'!$I$14:$I$132)=0)),"Lớp 4",IF(ROWS($S$14:S80)&lt;=COUNTIF('Lớp 5 - Phân công'!$I$14:$I$262,"&lt;&gt;")+SUMPRODUCT(--('Lớp 4 - Danh mục'!$I$14:$I$132&lt;&gt;""),--(COUNTIF('Lớp 5 - Phân công'!$J$14:$J$262,'Lớp 4 - Danh mục'!$I$14:$I$132)=0))+SUMPRODUCT(--('Lớp 3 - Công việc chính'!$I$14:$I$73&lt;&gt;""),--(COUNTIF('Lớp 4 - Danh mục'!$J$14:$J$132,'Lớp 3 - Công việc chính'!$I$14:$I$73)=0)),"Lớp 3","")))</f>
        <v>#REF!</v>
      </c>
      <c r="T80" s="699" t="str">
        <f t="array" ref="T80">IF(S80="","",IF(S80="Lớp 5",IF(S79&lt;&gt;"Lớp 5",MATCH("*",'Lớp 5 - Phân công'!$I$14:$I$262,0),T79+MATCH("*",INDEX('Lớp 5 - Phân công'!$I$14:$I$262,T79+1):'Lớp 5 - Phân công'!$I$262,0)),IF(S80="Lớp 4",IF(S79&lt;&gt;"Lớp 4",MATCH(1,INDEX(('Lớp 4 - Danh mục'!$I$14:$I$132&lt;&gt;"")*(COUNTIF('Lớp 5 - Phân công'!$J$14:$J$262,'Lớp 4 - Danh mục'!$I$14:$I$132)=0),0),0),T79+MATCH(1,INDEX((INDEX('Lớp 4 - Danh mục'!$I$14:$I$132,T79+1):'Lớp 4 - Danh mục'!$I$132&lt;&gt;"")*(COUNTIF('Lớp 5 - Phân công'!$J$14:$J$262,INDEX('Lớp 4 - Danh mục'!$I$14:$I$132,T79+1):'Lớp 4 - Danh mục'!$I$132)=0),0),0)),IF(S79&lt;&gt;"Lớp 3",MATCH(1,INDEX(('Lớp 3 - Công việc chính'!$I$14:$I$73&lt;&gt;"")*(COUNTIF('Lớp 4 - Danh mục'!$J$14:$J$132,'Lớp 3 - Công việc chính'!$I$14:$I$73)=0),0),0),T79+MATCH(1,INDEX((INDEX('Lớp 3 - Công việc chính'!$I$14:$I$73,T79+1):'Lớp 3 - Công việc chính'!$I$73&lt;&gt;"")*(COUNTIF('Lớp 4 - Danh mục'!$J$14:$J$132,INDEX('Lớp 3 - Công việc chính'!$I$14:$I$73,T79+1):'Lớp 3 - Công việc chính'!$I$73)=0),0),0)))))</f>
        <v>#REF!</v>
      </c>
      <c r="Z80" s="700" t="str">
        <f t="array" ref="Z80">IF($S80="","",IF($S80="Lớp 5",INDEX('Lớp 5 - Phân công'!$AS$14:$AS$262,$T80),IF($S80="Lớp 4",INDEX('Lớp 4 - Danh mục'!$AR$14:$AR$132,$T80),INDEX('Lớp 3 - Công việc chính'!$AO$14:$AO$73,$T80))))</f>
        <v>#REF!</v>
      </c>
      <c r="AA80" s="701" t="str">
        <f t="array" ref="AA80">IF($S80="","",IF($S80="Lớp 5",INDEX('Lớp 5 - Phân công'!$AT$14:$AT$262,$T80),IF($S80="Lớp 4",INDEX('Lớp 4 - Danh mục'!$AS$14:$AS$132,$T80),INDEX('Lớp 3 - Công việc chính'!$AP$14:$AP$73,$T80))))</f>
        <v>#REF!</v>
      </c>
      <c r="AB80" s="701" t="str">
        <f t="array" ref="AB80">IF($S80="","",IF($S80="Lớp 5",INDEX('Lớp 5 - Phân công'!$AJ$14:$AJ$262,$T80),IF($S80="Lớp 4",INDEX('Lớp 4 - Danh mục'!$AI$14:$AI$132,$T80),INDEX('Lớp 3 - Công việc chính'!$AF$14:$AF$73,$T80))))</f>
        <v>#REF!</v>
      </c>
      <c r="AC80" s="702" t="str">
        <f t="array" ref="AC80">IF($S80="","",IF($S80="Lớp 5",INDEX('Lớp 5 - Phân công'!$AV$14:$AV$262,$T80),IF($S80="Lớp 4",INDEX('Lớp 4 - Danh mục'!$AU$14:$AU$132,$T80),INDEX('Lớp 3 - Công việc chính'!$AR$14:$AR$73,$T80))))</f>
        <v>#REF!</v>
      </c>
    </row>
    <row r="81" ht="15.75" customHeight="1">
      <c r="A81" s="690" t="str">
        <f t="shared" si="1"/>
        <v>#REF!</v>
      </c>
      <c r="B81" s="690" t="str">
        <f t="array" ref="B81">IF($S81="","",IF($S81="Lớp 5",INDEX('Lớp 5 - Phân công'!$I$14:$I$262,$T81),IF($S81="Lớp 4",INDEX('Lớp 4 - Danh mục'!$I$14:$I$132,$T81),INDEX('Lớp 3 - Công việc chính'!$I$14:$I$73,$T81))))</f>
        <v>#REF!</v>
      </c>
      <c r="C81" s="690" t="str">
        <f t="array" ref="C81">IF($S81="","",IF($S81="Lớp 5",INDEX('Lớp 5 - Phân công'!$K$14:$K$262,$T81),IF($S81="Lớp 4",INDEX('Lớp 4 - Danh mục'!$J$14:$J$132,$T81),INDEX('Lớp 3 - Công việc chính'!$I$14:$I$73,$T81))))</f>
        <v>#REF!</v>
      </c>
      <c r="D81" s="690" t="str">
        <f t="array" ref="D81">IF($S81="","",IF($S81="Lớp 5",INDEX('Lớp 5 - Phân công'!$J$14:$J$262,$T81),IF($S81="Lớp 4",INDEX('Lớp 4 - Danh mục'!$I$14:$I$132,$T81),"")))</f>
        <v>#REF!</v>
      </c>
      <c r="E81" s="690" t="str">
        <f t="array" ref="E81">IF($S81="","",IF($S81="Lớp 5",INDEX('Lớp 5 - Phân công'!$L$14:$L$262,$T81),IF($S81="Lớp 4",INDEX('Lớp 4 - Danh mục'!$K$14:$K$132,$T81),INDEX('Lớp 3 - Công việc chính'!$J$14:$J$73,$T81))))</f>
        <v>#REF!</v>
      </c>
      <c r="F81" s="690" t="str">
        <f t="array" ref="F81">IF($S81="","",IF($S81="Lớp 5",INDEX('Lớp 5 - Phân công'!$M$14:$M$262,$T81),IF($S81="Lớp 4",INDEX('Lớp 4 - Danh mục'!$L$14:$L$132,$T81),INDEX('Lớp 3 - Công việc chính'!$K$14:$K$73,$T81))))</f>
        <v>#REF!</v>
      </c>
      <c r="G81" s="691" t="str">
        <f t="array" ref="G81">IF($S81="","",IF($S81="Lớp 5",INDEX('Lớp 5 - Phân công'!$N$14:$N$262,$T81),IF($S81="Lớp 4",INDEX('Lớp 4 - Danh mục'!$M$14:$M$132,$T81),INDEX('Lớp 3 - Công việc chính'!$L$14:$L$73,$T81))))</f>
        <v>#REF!</v>
      </c>
      <c r="H81" s="692" t="str">
        <f t="array" ref="H81">IF($S81="","",IF($S81="Lớp 5",INDEX('Lớp 5 - Phân công'!$O$14:$O$262,$T81),IF($S81="Lớp 4",INDEX('Lớp 4 - Danh mục'!$N$14:$N$132,$T81),INDEX('Lớp 3 - Công việc chính'!$M$14:$M$73,$T81))))</f>
        <v>#REF!</v>
      </c>
      <c r="I81" s="692" t="str">
        <f t="array" ref="I81">IF($S81="","",IF($S81="Lớp 5",INDEX('Lớp 5 - Phân công'!$P$14:$P$262,$T81),IF($S81="Lớp 4",INDEX('Lớp 4 - Danh mục'!$O$14:$O$132,$T81),"")))</f>
        <v>#REF!</v>
      </c>
      <c r="J81" s="693" t="str">
        <f t="array" ref="J81">IF($S81="","",IF($S81="Lớp 5",INDEX('Lớp 5 - Phân công'!$Q$14:$Q$262,$T81),""))</f>
        <v>#REF!</v>
      </c>
      <c r="K81" s="690" t="str">
        <f t="array" ref="K81">IF($S81="","",IF($S81="Lớp 5",INDEX('Lớp 5 - Phân công'!$AA$14:$AA$262,$T81),IF($S81="Lớp 4",INDEX('Lớp 4 - Danh mục'!$Y$14:$Y$132,$T81),INDEX('Lớp 3 - Công việc chính'!$U$14:$U$73,$T81))))</f>
        <v>#REF!</v>
      </c>
      <c r="L81" s="691" t="str">
        <f t="array" ref="L81">IF($S81="","",IF($S81="Lớp 5",INDEX('Lớp 5 - Phân công'!$Z$14:$Z$262,$T81),IF($S81="Lớp 4",INDEX('Lớp 4 - Danh mục'!$X$14:$X$132,$T81),INDEX('Lớp 3 - Công việc chính'!$W$14:$W$73,$T81))))</f>
        <v>#REF!</v>
      </c>
      <c r="M81" s="694" t="str">
        <f t="array" ref="M81">IF($S81="","",IF($S81="Lớp 5",INDEX('Lớp 5 - Phân công'!$AD$14:$AD$262,$T81),IF($S81="Lớp 4",INDEX('Lớp 4 - Danh mục'!$AC$14:$AC$132,$T81),INDEX('Lớp 3 - Công việc chính'!$Z$14:$Z$73,$T81))))</f>
        <v>#REF!</v>
      </c>
      <c r="N81" s="695" t="str">
        <f t="array" ref="N81">IF($S81="","",IF($S81="Lớp 5",INDEX('Lớp 5 - Phân công'!$AE$14:$AE$262,$T81),IF($S81="Lớp 4",INDEX('Lớp 4 - Danh mục'!$AD$14:$AD$132,$T81),INDEX('Lớp 3 - Công việc chính'!$AA$14:$AA$73,$T81))))</f>
        <v>#REF!</v>
      </c>
      <c r="O81" s="690" t="str">
        <f t="array" ref="O81">IF($S81="","",IF($S81="Lớp 5",INDEX('Lớp 5 - Phân công'!$AB$14:$AB$262,$T81),IF($S81="Lớp 4",INDEX('Lớp 4 - Danh mục'!$AA$14:$AA$132,$T81),INDEX('Lớp 3 - Công việc chính'!$X$14:$X$73,$T81))))</f>
        <v>#REF!</v>
      </c>
      <c r="P81" s="703" t="str">
        <f t="array" ref="P81">IF($S81="","",IF($S81="Lớp 5",INDEX('Lớp 5 - Phân công'!$AC$14:$AC$262,$T81),IF($S81="Lớp 4",INDEX('Lớp 4 - Danh mục'!$AB$14:$AB$132,$T81),INDEX('Lớp 3 - Công việc chính'!$Y$14:$Y$73,$T81))))</f>
        <v>#REF!</v>
      </c>
      <c r="Q81" s="697" t="str">
        <f t="array" ref="Q81">IF($S81="","",IF($S81="Lớp 5",INDEX('Lớp 5 - Phân công'!$AG$14:$AG$262,$T81),IF($S81="Lớp 4",INDEX('Lớp 4 - Danh mục'!$AF$14:$AF$132,$T81),INDEX('Lớp 3 - Công việc chính'!$AC$14:$AC$73,$T81))))</f>
        <v>#REF!</v>
      </c>
      <c r="R81" s="698" t="str">
        <f t="array" ref="R81">IF($S81="","",IF($S81="Lớp 5",INDEX('Lớp 5 - Phân công'!$X$14:$X$262,$T81),IF($S81="Lớp 4",INDEX('Lớp 4 - Danh mục'!$V$14:$V$132,$T81),INDEX('Lớp 3 - Công việc chính'!$T$14:$T$73,$T81))))</f>
        <v>#REF!</v>
      </c>
      <c r="S81" s="699" t="str">
        <f>IF(ROWS($S$14:S81)&lt;=COUNTIF('Lớp 5 - Phân công'!$I$14:$I$262,"&lt;&gt;"),"Lớp 5",IF(ROWS($S$14:S81)&lt;=COUNTIF('Lớp 5 - Phân công'!$I$14:$I$262,"&lt;&gt;")+SUMPRODUCT(--('Lớp 4 - Danh mục'!$I$14:$I$132&lt;&gt;""),--(COUNTIF('Lớp 5 - Phân công'!$J$14:$J$262,'Lớp 4 - Danh mục'!$I$14:$I$132)=0)),"Lớp 4",IF(ROWS($S$14:S81)&lt;=COUNTIF('Lớp 5 - Phân công'!$I$14:$I$262,"&lt;&gt;")+SUMPRODUCT(--('Lớp 4 - Danh mục'!$I$14:$I$132&lt;&gt;""),--(COUNTIF('Lớp 5 - Phân công'!$J$14:$J$262,'Lớp 4 - Danh mục'!$I$14:$I$132)=0))+SUMPRODUCT(--('Lớp 3 - Công việc chính'!$I$14:$I$73&lt;&gt;""),--(COUNTIF('Lớp 4 - Danh mục'!$J$14:$J$132,'Lớp 3 - Công việc chính'!$I$14:$I$73)=0)),"Lớp 3","")))</f>
        <v>#REF!</v>
      </c>
      <c r="T81" s="699" t="str">
        <f t="array" ref="T81">IF(S81="","",IF(S81="Lớp 5",IF(S80&lt;&gt;"Lớp 5",MATCH("*",'Lớp 5 - Phân công'!$I$14:$I$262,0),T80+MATCH("*",INDEX('Lớp 5 - Phân công'!$I$14:$I$262,T80+1):'Lớp 5 - Phân công'!$I$262,0)),IF(S81="Lớp 4",IF(S80&lt;&gt;"Lớp 4",MATCH(1,INDEX(('Lớp 4 - Danh mục'!$I$14:$I$132&lt;&gt;"")*(COUNTIF('Lớp 5 - Phân công'!$J$14:$J$262,'Lớp 4 - Danh mục'!$I$14:$I$132)=0),0),0),T80+MATCH(1,INDEX((INDEX('Lớp 4 - Danh mục'!$I$14:$I$132,T80+1):'Lớp 4 - Danh mục'!$I$132&lt;&gt;"")*(COUNTIF('Lớp 5 - Phân công'!$J$14:$J$262,INDEX('Lớp 4 - Danh mục'!$I$14:$I$132,T80+1):'Lớp 4 - Danh mục'!$I$132)=0),0),0)),IF(S80&lt;&gt;"Lớp 3",MATCH(1,INDEX(('Lớp 3 - Công việc chính'!$I$14:$I$73&lt;&gt;"")*(COUNTIF('Lớp 4 - Danh mục'!$J$14:$J$132,'Lớp 3 - Công việc chính'!$I$14:$I$73)=0),0),0),T80+MATCH(1,INDEX((INDEX('Lớp 3 - Công việc chính'!$I$14:$I$73,T80+1):'Lớp 3 - Công việc chính'!$I$73&lt;&gt;"")*(COUNTIF('Lớp 4 - Danh mục'!$J$14:$J$132,INDEX('Lớp 3 - Công việc chính'!$I$14:$I$73,T80+1):'Lớp 3 - Công việc chính'!$I$73)=0),0),0)))))</f>
        <v>#REF!</v>
      </c>
      <c r="Z81" s="700" t="str">
        <f t="array" ref="Z81">IF($S81="","",IF($S81="Lớp 5",INDEX('Lớp 5 - Phân công'!$AS$14:$AS$262,$T81),IF($S81="Lớp 4",INDEX('Lớp 4 - Danh mục'!$AR$14:$AR$132,$T81),INDEX('Lớp 3 - Công việc chính'!$AO$14:$AO$73,$T81))))</f>
        <v>#REF!</v>
      </c>
      <c r="AA81" s="701" t="str">
        <f t="array" ref="AA81">IF($S81="","",IF($S81="Lớp 5",INDEX('Lớp 5 - Phân công'!$AT$14:$AT$262,$T81),IF($S81="Lớp 4",INDEX('Lớp 4 - Danh mục'!$AS$14:$AS$132,$T81),INDEX('Lớp 3 - Công việc chính'!$AP$14:$AP$73,$T81))))</f>
        <v>#REF!</v>
      </c>
      <c r="AB81" s="701" t="str">
        <f t="array" ref="AB81">IF($S81="","",IF($S81="Lớp 5",INDEX('Lớp 5 - Phân công'!$AJ$14:$AJ$262,$T81),IF($S81="Lớp 4",INDEX('Lớp 4 - Danh mục'!$AI$14:$AI$132,$T81),INDEX('Lớp 3 - Công việc chính'!$AF$14:$AF$73,$T81))))</f>
        <v>#REF!</v>
      </c>
      <c r="AC81" s="702" t="str">
        <f t="array" ref="AC81">IF($S81="","",IF($S81="Lớp 5",INDEX('Lớp 5 - Phân công'!$AV$14:$AV$262,$T81),IF($S81="Lớp 4",INDEX('Lớp 4 - Danh mục'!$AU$14:$AU$132,$T81),INDEX('Lớp 3 - Công việc chính'!$AR$14:$AR$73,$T81))))</f>
        <v>#REF!</v>
      </c>
    </row>
    <row r="82" ht="15.75" customHeight="1">
      <c r="A82" s="690" t="str">
        <f t="shared" si="1"/>
        <v>#REF!</v>
      </c>
      <c r="B82" s="690" t="str">
        <f t="array" ref="B82">IF($S82="","",IF($S82="Lớp 5",INDEX('Lớp 5 - Phân công'!$I$14:$I$262,$T82),IF($S82="Lớp 4",INDEX('Lớp 4 - Danh mục'!$I$14:$I$132,$T82),INDEX('Lớp 3 - Công việc chính'!$I$14:$I$73,$T82))))</f>
        <v>#REF!</v>
      </c>
      <c r="C82" s="690" t="str">
        <f t="array" ref="C82">IF($S82="","",IF($S82="Lớp 5",INDEX('Lớp 5 - Phân công'!$K$14:$K$262,$T82),IF($S82="Lớp 4",INDEX('Lớp 4 - Danh mục'!$J$14:$J$132,$T82),INDEX('Lớp 3 - Công việc chính'!$I$14:$I$73,$T82))))</f>
        <v>#REF!</v>
      </c>
      <c r="D82" s="690" t="str">
        <f t="array" ref="D82">IF($S82="","",IF($S82="Lớp 5",INDEX('Lớp 5 - Phân công'!$J$14:$J$262,$T82),IF($S82="Lớp 4",INDEX('Lớp 4 - Danh mục'!$I$14:$I$132,$T82),"")))</f>
        <v>#REF!</v>
      </c>
      <c r="E82" s="690" t="str">
        <f t="array" ref="E82">IF($S82="","",IF($S82="Lớp 5",INDEX('Lớp 5 - Phân công'!$L$14:$L$262,$T82),IF($S82="Lớp 4",INDEX('Lớp 4 - Danh mục'!$K$14:$K$132,$T82),INDEX('Lớp 3 - Công việc chính'!$J$14:$J$73,$T82))))</f>
        <v>#REF!</v>
      </c>
      <c r="F82" s="690" t="str">
        <f t="array" ref="F82">IF($S82="","",IF($S82="Lớp 5",INDEX('Lớp 5 - Phân công'!$M$14:$M$262,$T82),IF($S82="Lớp 4",INDEX('Lớp 4 - Danh mục'!$L$14:$L$132,$T82),INDEX('Lớp 3 - Công việc chính'!$K$14:$K$73,$T82))))</f>
        <v>#REF!</v>
      </c>
      <c r="G82" s="691" t="str">
        <f t="array" ref="G82">IF($S82="","",IF($S82="Lớp 5",INDEX('Lớp 5 - Phân công'!$N$14:$N$262,$T82),IF($S82="Lớp 4",INDEX('Lớp 4 - Danh mục'!$M$14:$M$132,$T82),INDEX('Lớp 3 - Công việc chính'!$L$14:$L$73,$T82))))</f>
        <v>#REF!</v>
      </c>
      <c r="H82" s="692" t="str">
        <f t="array" ref="H82">IF($S82="","",IF($S82="Lớp 5",INDEX('Lớp 5 - Phân công'!$O$14:$O$262,$T82),IF($S82="Lớp 4",INDEX('Lớp 4 - Danh mục'!$N$14:$N$132,$T82),INDEX('Lớp 3 - Công việc chính'!$M$14:$M$73,$T82))))</f>
        <v>#REF!</v>
      </c>
      <c r="I82" s="692" t="str">
        <f t="array" ref="I82">IF($S82="","",IF($S82="Lớp 5",INDEX('Lớp 5 - Phân công'!$P$14:$P$262,$T82),IF($S82="Lớp 4",INDEX('Lớp 4 - Danh mục'!$O$14:$O$132,$T82),"")))</f>
        <v>#REF!</v>
      </c>
      <c r="J82" s="693" t="str">
        <f t="array" ref="J82">IF($S82="","",IF($S82="Lớp 5",INDEX('Lớp 5 - Phân công'!$Q$14:$Q$262,$T82),""))</f>
        <v>#REF!</v>
      </c>
      <c r="K82" s="690" t="str">
        <f t="array" ref="K82">IF($S82="","",IF($S82="Lớp 5",INDEX('Lớp 5 - Phân công'!$AA$14:$AA$262,$T82),IF($S82="Lớp 4",INDEX('Lớp 4 - Danh mục'!$Y$14:$Y$132,$T82),INDEX('Lớp 3 - Công việc chính'!$U$14:$U$73,$T82))))</f>
        <v>#REF!</v>
      </c>
      <c r="L82" s="691" t="str">
        <f t="array" ref="L82">IF($S82="","",IF($S82="Lớp 5",INDEX('Lớp 5 - Phân công'!$Z$14:$Z$262,$T82),IF($S82="Lớp 4",INDEX('Lớp 4 - Danh mục'!$X$14:$X$132,$T82),INDEX('Lớp 3 - Công việc chính'!$W$14:$W$73,$T82))))</f>
        <v>#REF!</v>
      </c>
      <c r="M82" s="694" t="str">
        <f t="array" ref="M82">IF($S82="","",IF($S82="Lớp 5",INDEX('Lớp 5 - Phân công'!$AD$14:$AD$262,$T82),IF($S82="Lớp 4",INDEX('Lớp 4 - Danh mục'!$AC$14:$AC$132,$T82),INDEX('Lớp 3 - Công việc chính'!$Z$14:$Z$73,$T82))))</f>
        <v>#REF!</v>
      </c>
      <c r="N82" s="695" t="str">
        <f t="array" ref="N82">IF($S82="","",IF($S82="Lớp 5",INDEX('Lớp 5 - Phân công'!$AE$14:$AE$262,$T82),IF($S82="Lớp 4",INDEX('Lớp 4 - Danh mục'!$AD$14:$AD$132,$T82),INDEX('Lớp 3 - Công việc chính'!$AA$14:$AA$73,$T82))))</f>
        <v>#REF!</v>
      </c>
      <c r="O82" s="690" t="str">
        <f t="array" ref="O82">IF($S82="","",IF($S82="Lớp 5",INDEX('Lớp 5 - Phân công'!$AB$14:$AB$262,$T82),IF($S82="Lớp 4",INDEX('Lớp 4 - Danh mục'!$AA$14:$AA$132,$T82),INDEX('Lớp 3 - Công việc chính'!$X$14:$X$73,$T82))))</f>
        <v>#REF!</v>
      </c>
      <c r="P82" s="703" t="str">
        <f t="array" ref="P82">IF($S82="","",IF($S82="Lớp 5",INDEX('Lớp 5 - Phân công'!$AC$14:$AC$262,$T82),IF($S82="Lớp 4",INDEX('Lớp 4 - Danh mục'!$AB$14:$AB$132,$T82),INDEX('Lớp 3 - Công việc chính'!$Y$14:$Y$73,$T82))))</f>
        <v>#REF!</v>
      </c>
      <c r="Q82" s="697" t="str">
        <f t="array" ref="Q82">IF($S82="","",IF($S82="Lớp 5",INDEX('Lớp 5 - Phân công'!$AG$14:$AG$262,$T82),IF($S82="Lớp 4",INDEX('Lớp 4 - Danh mục'!$AF$14:$AF$132,$T82),INDEX('Lớp 3 - Công việc chính'!$AC$14:$AC$73,$T82))))</f>
        <v>#REF!</v>
      </c>
      <c r="R82" s="698" t="str">
        <f t="array" ref="R82">IF($S82="","",IF($S82="Lớp 5",INDEX('Lớp 5 - Phân công'!$X$14:$X$262,$T82),IF($S82="Lớp 4",INDEX('Lớp 4 - Danh mục'!$V$14:$V$132,$T82),INDEX('Lớp 3 - Công việc chính'!$T$14:$T$73,$T82))))</f>
        <v>#REF!</v>
      </c>
      <c r="S82" s="699" t="str">
        <f>IF(ROWS($S$14:S82)&lt;=COUNTIF('Lớp 5 - Phân công'!$I$14:$I$262,"&lt;&gt;"),"Lớp 5",IF(ROWS($S$14:S82)&lt;=COUNTIF('Lớp 5 - Phân công'!$I$14:$I$262,"&lt;&gt;")+SUMPRODUCT(--('Lớp 4 - Danh mục'!$I$14:$I$132&lt;&gt;""),--(COUNTIF('Lớp 5 - Phân công'!$J$14:$J$262,'Lớp 4 - Danh mục'!$I$14:$I$132)=0)),"Lớp 4",IF(ROWS($S$14:S82)&lt;=COUNTIF('Lớp 5 - Phân công'!$I$14:$I$262,"&lt;&gt;")+SUMPRODUCT(--('Lớp 4 - Danh mục'!$I$14:$I$132&lt;&gt;""),--(COUNTIF('Lớp 5 - Phân công'!$J$14:$J$262,'Lớp 4 - Danh mục'!$I$14:$I$132)=0))+SUMPRODUCT(--('Lớp 3 - Công việc chính'!$I$14:$I$73&lt;&gt;""),--(COUNTIF('Lớp 4 - Danh mục'!$J$14:$J$132,'Lớp 3 - Công việc chính'!$I$14:$I$73)=0)),"Lớp 3","")))</f>
        <v>#REF!</v>
      </c>
      <c r="T82" s="699" t="str">
        <f t="array" ref="T82">IF(S82="","",IF(S82="Lớp 5",IF(S81&lt;&gt;"Lớp 5",MATCH("*",'Lớp 5 - Phân công'!$I$14:$I$262,0),T81+MATCH("*",INDEX('Lớp 5 - Phân công'!$I$14:$I$262,T81+1):'Lớp 5 - Phân công'!$I$262,0)),IF(S82="Lớp 4",IF(S81&lt;&gt;"Lớp 4",MATCH(1,INDEX(('Lớp 4 - Danh mục'!$I$14:$I$132&lt;&gt;"")*(COUNTIF('Lớp 5 - Phân công'!$J$14:$J$262,'Lớp 4 - Danh mục'!$I$14:$I$132)=0),0),0),T81+MATCH(1,INDEX((INDEX('Lớp 4 - Danh mục'!$I$14:$I$132,T81+1):'Lớp 4 - Danh mục'!$I$132&lt;&gt;"")*(COUNTIF('Lớp 5 - Phân công'!$J$14:$J$262,INDEX('Lớp 4 - Danh mục'!$I$14:$I$132,T81+1):'Lớp 4 - Danh mục'!$I$132)=0),0),0)),IF(S81&lt;&gt;"Lớp 3",MATCH(1,INDEX(('Lớp 3 - Công việc chính'!$I$14:$I$73&lt;&gt;"")*(COUNTIF('Lớp 4 - Danh mục'!$J$14:$J$132,'Lớp 3 - Công việc chính'!$I$14:$I$73)=0),0),0),T81+MATCH(1,INDEX((INDEX('Lớp 3 - Công việc chính'!$I$14:$I$73,T81+1):'Lớp 3 - Công việc chính'!$I$73&lt;&gt;"")*(COUNTIF('Lớp 4 - Danh mục'!$J$14:$J$132,INDEX('Lớp 3 - Công việc chính'!$I$14:$I$73,T81+1):'Lớp 3 - Công việc chính'!$I$73)=0),0),0)))))</f>
        <v>#REF!</v>
      </c>
      <c r="Z82" s="700" t="str">
        <f t="array" ref="Z82">IF($S82="","",IF($S82="Lớp 5",INDEX('Lớp 5 - Phân công'!$AS$14:$AS$262,$T82),IF($S82="Lớp 4",INDEX('Lớp 4 - Danh mục'!$AR$14:$AR$132,$T82),INDEX('Lớp 3 - Công việc chính'!$AO$14:$AO$73,$T82))))</f>
        <v>#REF!</v>
      </c>
      <c r="AA82" s="701" t="str">
        <f t="array" ref="AA82">IF($S82="","",IF($S82="Lớp 5",INDEX('Lớp 5 - Phân công'!$AT$14:$AT$262,$T82),IF($S82="Lớp 4",INDEX('Lớp 4 - Danh mục'!$AS$14:$AS$132,$T82),INDEX('Lớp 3 - Công việc chính'!$AP$14:$AP$73,$T82))))</f>
        <v>#REF!</v>
      </c>
      <c r="AB82" s="701" t="str">
        <f t="array" ref="AB82">IF($S82="","",IF($S82="Lớp 5",INDEX('Lớp 5 - Phân công'!$AJ$14:$AJ$262,$T82),IF($S82="Lớp 4",INDEX('Lớp 4 - Danh mục'!$AI$14:$AI$132,$T82),INDEX('Lớp 3 - Công việc chính'!$AF$14:$AF$73,$T82))))</f>
        <v>#REF!</v>
      </c>
      <c r="AC82" s="702" t="str">
        <f t="array" ref="AC82">IF($S82="","",IF($S82="Lớp 5",INDEX('Lớp 5 - Phân công'!$AV$14:$AV$262,$T82),IF($S82="Lớp 4",INDEX('Lớp 4 - Danh mục'!$AU$14:$AU$132,$T82),INDEX('Lớp 3 - Công việc chính'!$AR$14:$AR$73,$T82))))</f>
        <v>#REF!</v>
      </c>
    </row>
    <row r="83" ht="15.75" customHeight="1">
      <c r="A83" s="690" t="str">
        <f t="shared" si="1"/>
        <v>#REF!</v>
      </c>
      <c r="B83" s="690" t="str">
        <f t="array" ref="B83">IF($S83="","",IF($S83="Lớp 5",INDEX('Lớp 5 - Phân công'!$I$14:$I$262,$T83),IF($S83="Lớp 4",INDEX('Lớp 4 - Danh mục'!$I$14:$I$132,$T83),INDEX('Lớp 3 - Công việc chính'!$I$14:$I$73,$T83))))</f>
        <v>#REF!</v>
      </c>
      <c r="C83" s="690" t="str">
        <f t="array" ref="C83">IF($S83="","",IF($S83="Lớp 5",INDEX('Lớp 5 - Phân công'!$K$14:$K$262,$T83),IF($S83="Lớp 4",INDEX('Lớp 4 - Danh mục'!$J$14:$J$132,$T83),INDEX('Lớp 3 - Công việc chính'!$I$14:$I$73,$T83))))</f>
        <v>#REF!</v>
      </c>
      <c r="D83" s="690" t="str">
        <f t="array" ref="D83">IF($S83="","",IF($S83="Lớp 5",INDEX('Lớp 5 - Phân công'!$J$14:$J$262,$T83),IF($S83="Lớp 4",INDEX('Lớp 4 - Danh mục'!$I$14:$I$132,$T83),"")))</f>
        <v>#REF!</v>
      </c>
      <c r="E83" s="690" t="str">
        <f t="array" ref="E83">IF($S83="","",IF($S83="Lớp 5",INDEX('Lớp 5 - Phân công'!$L$14:$L$262,$T83),IF($S83="Lớp 4",INDEX('Lớp 4 - Danh mục'!$K$14:$K$132,$T83),INDEX('Lớp 3 - Công việc chính'!$J$14:$J$73,$T83))))</f>
        <v>#REF!</v>
      </c>
      <c r="F83" s="690" t="str">
        <f t="array" ref="F83">IF($S83="","",IF($S83="Lớp 5",INDEX('Lớp 5 - Phân công'!$M$14:$M$262,$T83),IF($S83="Lớp 4",INDEX('Lớp 4 - Danh mục'!$L$14:$L$132,$T83),INDEX('Lớp 3 - Công việc chính'!$K$14:$K$73,$T83))))</f>
        <v>#REF!</v>
      </c>
      <c r="G83" s="691" t="str">
        <f t="array" ref="G83">IF($S83="","",IF($S83="Lớp 5",INDEX('Lớp 5 - Phân công'!$N$14:$N$262,$T83),IF($S83="Lớp 4",INDEX('Lớp 4 - Danh mục'!$M$14:$M$132,$T83),INDEX('Lớp 3 - Công việc chính'!$L$14:$L$73,$T83))))</f>
        <v>#REF!</v>
      </c>
      <c r="H83" s="692" t="str">
        <f t="array" ref="H83">IF($S83="","",IF($S83="Lớp 5",INDEX('Lớp 5 - Phân công'!$O$14:$O$262,$T83),IF($S83="Lớp 4",INDEX('Lớp 4 - Danh mục'!$N$14:$N$132,$T83),INDEX('Lớp 3 - Công việc chính'!$M$14:$M$73,$T83))))</f>
        <v>#REF!</v>
      </c>
      <c r="I83" s="692" t="str">
        <f t="array" ref="I83">IF($S83="","",IF($S83="Lớp 5",INDEX('Lớp 5 - Phân công'!$P$14:$P$262,$T83),IF($S83="Lớp 4",INDEX('Lớp 4 - Danh mục'!$O$14:$O$132,$T83),"")))</f>
        <v>#REF!</v>
      </c>
      <c r="J83" s="693" t="str">
        <f t="array" ref="J83">IF($S83="","",IF($S83="Lớp 5",INDEX('Lớp 5 - Phân công'!$Q$14:$Q$262,$T83),""))</f>
        <v>#REF!</v>
      </c>
      <c r="K83" s="690" t="str">
        <f t="array" ref="K83">IF($S83="","",IF($S83="Lớp 5",INDEX('Lớp 5 - Phân công'!$AA$14:$AA$262,$T83),IF($S83="Lớp 4",INDEX('Lớp 4 - Danh mục'!$Y$14:$Y$132,$T83),INDEX('Lớp 3 - Công việc chính'!$U$14:$U$73,$T83))))</f>
        <v>#REF!</v>
      </c>
      <c r="L83" s="691" t="str">
        <f t="array" ref="L83">IF($S83="","",IF($S83="Lớp 5",INDEX('Lớp 5 - Phân công'!$Z$14:$Z$262,$T83),IF($S83="Lớp 4",INDEX('Lớp 4 - Danh mục'!$X$14:$X$132,$T83),INDEX('Lớp 3 - Công việc chính'!$W$14:$W$73,$T83))))</f>
        <v>#REF!</v>
      </c>
      <c r="M83" s="694" t="str">
        <f t="array" ref="M83">IF($S83="","",IF($S83="Lớp 5",INDEX('Lớp 5 - Phân công'!$AD$14:$AD$262,$T83),IF($S83="Lớp 4",INDEX('Lớp 4 - Danh mục'!$AC$14:$AC$132,$T83),INDEX('Lớp 3 - Công việc chính'!$Z$14:$Z$73,$T83))))</f>
        <v>#REF!</v>
      </c>
      <c r="N83" s="695" t="str">
        <f t="array" ref="N83">IF($S83="","",IF($S83="Lớp 5",INDEX('Lớp 5 - Phân công'!$AE$14:$AE$262,$T83),IF($S83="Lớp 4",INDEX('Lớp 4 - Danh mục'!$AD$14:$AD$132,$T83),INDEX('Lớp 3 - Công việc chính'!$AA$14:$AA$73,$T83))))</f>
        <v>#REF!</v>
      </c>
      <c r="O83" s="690" t="str">
        <f t="array" ref="O83">IF($S83="","",IF($S83="Lớp 5",INDEX('Lớp 5 - Phân công'!$AB$14:$AB$262,$T83),IF($S83="Lớp 4",INDEX('Lớp 4 - Danh mục'!$AA$14:$AA$132,$T83),INDEX('Lớp 3 - Công việc chính'!$X$14:$X$73,$T83))))</f>
        <v>#REF!</v>
      </c>
      <c r="P83" s="703" t="str">
        <f t="array" ref="P83">IF($S83="","",IF($S83="Lớp 5",INDEX('Lớp 5 - Phân công'!$AC$14:$AC$262,$T83),IF($S83="Lớp 4",INDEX('Lớp 4 - Danh mục'!$AB$14:$AB$132,$T83),INDEX('Lớp 3 - Công việc chính'!$Y$14:$Y$73,$T83))))</f>
        <v>#REF!</v>
      </c>
      <c r="Q83" s="697" t="str">
        <f t="array" ref="Q83">IF($S83="","",IF($S83="Lớp 5",INDEX('Lớp 5 - Phân công'!$AG$14:$AG$262,$T83),IF($S83="Lớp 4",INDEX('Lớp 4 - Danh mục'!$AF$14:$AF$132,$T83),INDEX('Lớp 3 - Công việc chính'!$AC$14:$AC$73,$T83))))</f>
        <v>#REF!</v>
      </c>
      <c r="R83" s="698" t="str">
        <f t="array" ref="R83">IF($S83="","",IF($S83="Lớp 5",INDEX('Lớp 5 - Phân công'!$X$14:$X$262,$T83),IF($S83="Lớp 4",INDEX('Lớp 4 - Danh mục'!$V$14:$V$132,$T83),INDEX('Lớp 3 - Công việc chính'!$T$14:$T$73,$T83))))</f>
        <v>#REF!</v>
      </c>
      <c r="S83" s="699" t="str">
        <f>IF(ROWS($S$14:S83)&lt;=COUNTIF('Lớp 5 - Phân công'!$I$14:$I$262,"&lt;&gt;"),"Lớp 5",IF(ROWS($S$14:S83)&lt;=COUNTIF('Lớp 5 - Phân công'!$I$14:$I$262,"&lt;&gt;")+SUMPRODUCT(--('Lớp 4 - Danh mục'!$I$14:$I$132&lt;&gt;""),--(COUNTIF('Lớp 5 - Phân công'!$J$14:$J$262,'Lớp 4 - Danh mục'!$I$14:$I$132)=0)),"Lớp 4",IF(ROWS($S$14:S83)&lt;=COUNTIF('Lớp 5 - Phân công'!$I$14:$I$262,"&lt;&gt;")+SUMPRODUCT(--('Lớp 4 - Danh mục'!$I$14:$I$132&lt;&gt;""),--(COUNTIF('Lớp 5 - Phân công'!$J$14:$J$262,'Lớp 4 - Danh mục'!$I$14:$I$132)=0))+SUMPRODUCT(--('Lớp 3 - Công việc chính'!$I$14:$I$73&lt;&gt;""),--(COUNTIF('Lớp 4 - Danh mục'!$J$14:$J$132,'Lớp 3 - Công việc chính'!$I$14:$I$73)=0)),"Lớp 3","")))</f>
        <v>#REF!</v>
      </c>
      <c r="T83" s="699" t="str">
        <f t="array" ref="T83">IF(S83="","",IF(S83="Lớp 5",IF(S82&lt;&gt;"Lớp 5",MATCH("*",'Lớp 5 - Phân công'!$I$14:$I$262,0),T82+MATCH("*",INDEX('Lớp 5 - Phân công'!$I$14:$I$262,T82+1):'Lớp 5 - Phân công'!$I$262,0)),IF(S83="Lớp 4",IF(S82&lt;&gt;"Lớp 4",MATCH(1,INDEX(('Lớp 4 - Danh mục'!$I$14:$I$132&lt;&gt;"")*(COUNTIF('Lớp 5 - Phân công'!$J$14:$J$262,'Lớp 4 - Danh mục'!$I$14:$I$132)=0),0),0),T82+MATCH(1,INDEX((INDEX('Lớp 4 - Danh mục'!$I$14:$I$132,T82+1):'Lớp 4 - Danh mục'!$I$132&lt;&gt;"")*(COUNTIF('Lớp 5 - Phân công'!$J$14:$J$262,INDEX('Lớp 4 - Danh mục'!$I$14:$I$132,T82+1):'Lớp 4 - Danh mục'!$I$132)=0),0),0)),IF(S82&lt;&gt;"Lớp 3",MATCH(1,INDEX(('Lớp 3 - Công việc chính'!$I$14:$I$73&lt;&gt;"")*(COUNTIF('Lớp 4 - Danh mục'!$J$14:$J$132,'Lớp 3 - Công việc chính'!$I$14:$I$73)=0),0),0),T82+MATCH(1,INDEX((INDEX('Lớp 3 - Công việc chính'!$I$14:$I$73,T82+1):'Lớp 3 - Công việc chính'!$I$73&lt;&gt;"")*(COUNTIF('Lớp 4 - Danh mục'!$J$14:$J$132,INDEX('Lớp 3 - Công việc chính'!$I$14:$I$73,T82+1):'Lớp 3 - Công việc chính'!$I$73)=0),0),0)))))</f>
        <v>#REF!</v>
      </c>
      <c r="Z83" s="700" t="str">
        <f t="array" ref="Z83">IF($S83="","",IF($S83="Lớp 5",INDEX('Lớp 5 - Phân công'!$AS$14:$AS$262,$T83),IF($S83="Lớp 4",INDEX('Lớp 4 - Danh mục'!$AR$14:$AR$132,$T83),INDEX('Lớp 3 - Công việc chính'!$AO$14:$AO$73,$T83))))</f>
        <v>#REF!</v>
      </c>
      <c r="AA83" s="701" t="str">
        <f t="array" ref="AA83">IF($S83="","",IF($S83="Lớp 5",INDEX('Lớp 5 - Phân công'!$AT$14:$AT$262,$T83),IF($S83="Lớp 4",INDEX('Lớp 4 - Danh mục'!$AS$14:$AS$132,$T83),INDEX('Lớp 3 - Công việc chính'!$AP$14:$AP$73,$T83))))</f>
        <v>#REF!</v>
      </c>
      <c r="AB83" s="701" t="str">
        <f t="array" ref="AB83">IF($S83="","",IF($S83="Lớp 5",INDEX('Lớp 5 - Phân công'!$AJ$14:$AJ$262,$T83),IF($S83="Lớp 4",INDEX('Lớp 4 - Danh mục'!$AI$14:$AI$132,$T83),INDEX('Lớp 3 - Công việc chính'!$AF$14:$AF$73,$T83))))</f>
        <v>#REF!</v>
      </c>
      <c r="AC83" s="702" t="str">
        <f t="array" ref="AC83">IF($S83="","",IF($S83="Lớp 5",INDEX('Lớp 5 - Phân công'!$AV$14:$AV$262,$T83),IF($S83="Lớp 4",INDEX('Lớp 4 - Danh mục'!$AU$14:$AU$132,$T83),INDEX('Lớp 3 - Công việc chính'!$AR$14:$AR$73,$T83))))</f>
        <v>#REF!</v>
      </c>
    </row>
    <row r="84" ht="15.75" customHeight="1">
      <c r="A84" s="690" t="str">
        <f t="shared" si="1"/>
        <v>#REF!</v>
      </c>
      <c r="B84" s="690" t="str">
        <f t="array" ref="B84">IF($S84="","",IF($S84="Lớp 5",INDEX('Lớp 5 - Phân công'!$I$14:$I$262,$T84),IF($S84="Lớp 4",INDEX('Lớp 4 - Danh mục'!$I$14:$I$132,$T84),INDEX('Lớp 3 - Công việc chính'!$I$14:$I$73,$T84))))</f>
        <v>#REF!</v>
      </c>
      <c r="C84" s="690" t="str">
        <f t="array" ref="C84">IF($S84="","",IF($S84="Lớp 5",INDEX('Lớp 5 - Phân công'!$K$14:$K$262,$T84),IF($S84="Lớp 4",INDEX('Lớp 4 - Danh mục'!$J$14:$J$132,$T84),INDEX('Lớp 3 - Công việc chính'!$I$14:$I$73,$T84))))</f>
        <v>#REF!</v>
      </c>
      <c r="D84" s="690" t="str">
        <f t="array" ref="D84">IF($S84="","",IF($S84="Lớp 5",INDEX('Lớp 5 - Phân công'!$J$14:$J$262,$T84),IF($S84="Lớp 4",INDEX('Lớp 4 - Danh mục'!$I$14:$I$132,$T84),"")))</f>
        <v>#REF!</v>
      </c>
      <c r="E84" s="690" t="str">
        <f t="array" ref="E84">IF($S84="","",IF($S84="Lớp 5",INDEX('Lớp 5 - Phân công'!$L$14:$L$262,$T84),IF($S84="Lớp 4",INDEX('Lớp 4 - Danh mục'!$K$14:$K$132,$T84),INDEX('Lớp 3 - Công việc chính'!$J$14:$J$73,$T84))))</f>
        <v>#REF!</v>
      </c>
      <c r="F84" s="690" t="str">
        <f t="array" ref="F84">IF($S84="","",IF($S84="Lớp 5",INDEX('Lớp 5 - Phân công'!$M$14:$M$262,$T84),IF($S84="Lớp 4",INDEX('Lớp 4 - Danh mục'!$L$14:$L$132,$T84),INDEX('Lớp 3 - Công việc chính'!$K$14:$K$73,$T84))))</f>
        <v>#REF!</v>
      </c>
      <c r="G84" s="691" t="str">
        <f t="array" ref="G84">IF($S84="","",IF($S84="Lớp 5",INDEX('Lớp 5 - Phân công'!$N$14:$N$262,$T84),IF($S84="Lớp 4",INDEX('Lớp 4 - Danh mục'!$M$14:$M$132,$T84),INDEX('Lớp 3 - Công việc chính'!$L$14:$L$73,$T84))))</f>
        <v>#REF!</v>
      </c>
      <c r="H84" s="692" t="str">
        <f t="array" ref="H84">IF($S84="","",IF($S84="Lớp 5",INDEX('Lớp 5 - Phân công'!$O$14:$O$262,$T84),IF($S84="Lớp 4",INDEX('Lớp 4 - Danh mục'!$N$14:$N$132,$T84),INDEX('Lớp 3 - Công việc chính'!$M$14:$M$73,$T84))))</f>
        <v>#REF!</v>
      </c>
      <c r="I84" s="692" t="str">
        <f t="array" ref="I84">IF($S84="","",IF($S84="Lớp 5",INDEX('Lớp 5 - Phân công'!$P$14:$P$262,$T84),IF($S84="Lớp 4",INDEX('Lớp 4 - Danh mục'!$O$14:$O$132,$T84),"")))</f>
        <v>#REF!</v>
      </c>
      <c r="J84" s="693" t="str">
        <f t="array" ref="J84">IF($S84="","",IF($S84="Lớp 5",INDEX('Lớp 5 - Phân công'!$Q$14:$Q$262,$T84),""))</f>
        <v>#REF!</v>
      </c>
      <c r="K84" s="690" t="str">
        <f t="array" ref="K84">IF($S84="","",IF($S84="Lớp 5",INDEX('Lớp 5 - Phân công'!$AA$14:$AA$262,$T84),IF($S84="Lớp 4",INDEX('Lớp 4 - Danh mục'!$Y$14:$Y$132,$T84),INDEX('Lớp 3 - Công việc chính'!$U$14:$U$73,$T84))))</f>
        <v>#REF!</v>
      </c>
      <c r="L84" s="691" t="str">
        <f t="array" ref="L84">IF($S84="","",IF($S84="Lớp 5",INDEX('Lớp 5 - Phân công'!$Z$14:$Z$262,$T84),IF($S84="Lớp 4",INDEX('Lớp 4 - Danh mục'!$X$14:$X$132,$T84),INDEX('Lớp 3 - Công việc chính'!$W$14:$W$73,$T84))))</f>
        <v>#REF!</v>
      </c>
      <c r="M84" s="694" t="str">
        <f t="array" ref="M84">IF($S84="","",IF($S84="Lớp 5",INDEX('Lớp 5 - Phân công'!$AD$14:$AD$262,$T84),IF($S84="Lớp 4",INDEX('Lớp 4 - Danh mục'!$AC$14:$AC$132,$T84),INDEX('Lớp 3 - Công việc chính'!$Z$14:$Z$73,$T84))))</f>
        <v>#REF!</v>
      </c>
      <c r="N84" s="695" t="str">
        <f t="array" ref="N84">IF($S84="","",IF($S84="Lớp 5",INDEX('Lớp 5 - Phân công'!$AE$14:$AE$262,$T84),IF($S84="Lớp 4",INDEX('Lớp 4 - Danh mục'!$AD$14:$AD$132,$T84),INDEX('Lớp 3 - Công việc chính'!$AA$14:$AA$73,$T84))))</f>
        <v>#REF!</v>
      </c>
      <c r="O84" s="690" t="str">
        <f t="array" ref="O84">IF($S84="","",IF($S84="Lớp 5",INDEX('Lớp 5 - Phân công'!$AB$14:$AB$262,$T84),IF($S84="Lớp 4",INDEX('Lớp 4 - Danh mục'!$AA$14:$AA$132,$T84),INDEX('Lớp 3 - Công việc chính'!$X$14:$X$73,$T84))))</f>
        <v>#REF!</v>
      </c>
      <c r="P84" s="703" t="str">
        <f t="array" ref="P84">IF($S84="","",IF($S84="Lớp 5",INDEX('Lớp 5 - Phân công'!$AC$14:$AC$262,$T84),IF($S84="Lớp 4",INDEX('Lớp 4 - Danh mục'!$AB$14:$AB$132,$T84),INDEX('Lớp 3 - Công việc chính'!$Y$14:$Y$73,$T84))))</f>
        <v>#REF!</v>
      </c>
      <c r="Q84" s="697" t="str">
        <f t="array" ref="Q84">IF($S84="","",IF($S84="Lớp 5",INDEX('Lớp 5 - Phân công'!$AG$14:$AG$262,$T84),IF($S84="Lớp 4",INDEX('Lớp 4 - Danh mục'!$AF$14:$AF$132,$T84),INDEX('Lớp 3 - Công việc chính'!$AC$14:$AC$73,$T84))))</f>
        <v>#REF!</v>
      </c>
      <c r="R84" s="698" t="str">
        <f t="array" ref="R84">IF($S84="","",IF($S84="Lớp 5",INDEX('Lớp 5 - Phân công'!$X$14:$X$262,$T84),IF($S84="Lớp 4",INDEX('Lớp 4 - Danh mục'!$V$14:$V$132,$T84),INDEX('Lớp 3 - Công việc chính'!$T$14:$T$73,$T84))))</f>
        <v>#REF!</v>
      </c>
      <c r="S84" s="699" t="str">
        <f>IF(ROWS($S$14:S84)&lt;=COUNTIF('Lớp 5 - Phân công'!$I$14:$I$262,"&lt;&gt;"),"Lớp 5",IF(ROWS($S$14:S84)&lt;=COUNTIF('Lớp 5 - Phân công'!$I$14:$I$262,"&lt;&gt;")+SUMPRODUCT(--('Lớp 4 - Danh mục'!$I$14:$I$132&lt;&gt;""),--(COUNTIF('Lớp 5 - Phân công'!$J$14:$J$262,'Lớp 4 - Danh mục'!$I$14:$I$132)=0)),"Lớp 4",IF(ROWS($S$14:S84)&lt;=COUNTIF('Lớp 5 - Phân công'!$I$14:$I$262,"&lt;&gt;")+SUMPRODUCT(--('Lớp 4 - Danh mục'!$I$14:$I$132&lt;&gt;""),--(COUNTIF('Lớp 5 - Phân công'!$J$14:$J$262,'Lớp 4 - Danh mục'!$I$14:$I$132)=0))+SUMPRODUCT(--('Lớp 3 - Công việc chính'!$I$14:$I$73&lt;&gt;""),--(COUNTIF('Lớp 4 - Danh mục'!$J$14:$J$132,'Lớp 3 - Công việc chính'!$I$14:$I$73)=0)),"Lớp 3","")))</f>
        <v>#REF!</v>
      </c>
      <c r="T84" s="699" t="str">
        <f t="array" ref="T84">IF(S84="","",IF(S84="Lớp 5",IF(S83&lt;&gt;"Lớp 5",MATCH("*",'Lớp 5 - Phân công'!$I$14:$I$262,0),T83+MATCH("*",INDEX('Lớp 5 - Phân công'!$I$14:$I$262,T83+1):'Lớp 5 - Phân công'!$I$262,0)),IF(S84="Lớp 4",IF(S83&lt;&gt;"Lớp 4",MATCH(1,INDEX(('Lớp 4 - Danh mục'!$I$14:$I$132&lt;&gt;"")*(COUNTIF('Lớp 5 - Phân công'!$J$14:$J$262,'Lớp 4 - Danh mục'!$I$14:$I$132)=0),0),0),T83+MATCH(1,INDEX((INDEX('Lớp 4 - Danh mục'!$I$14:$I$132,T83+1):'Lớp 4 - Danh mục'!$I$132&lt;&gt;"")*(COUNTIF('Lớp 5 - Phân công'!$J$14:$J$262,INDEX('Lớp 4 - Danh mục'!$I$14:$I$132,T83+1):'Lớp 4 - Danh mục'!$I$132)=0),0),0)),IF(S83&lt;&gt;"Lớp 3",MATCH(1,INDEX(('Lớp 3 - Công việc chính'!$I$14:$I$73&lt;&gt;"")*(COUNTIF('Lớp 4 - Danh mục'!$J$14:$J$132,'Lớp 3 - Công việc chính'!$I$14:$I$73)=0),0),0),T83+MATCH(1,INDEX((INDEX('Lớp 3 - Công việc chính'!$I$14:$I$73,T83+1):'Lớp 3 - Công việc chính'!$I$73&lt;&gt;"")*(COUNTIF('Lớp 4 - Danh mục'!$J$14:$J$132,INDEX('Lớp 3 - Công việc chính'!$I$14:$I$73,T83+1):'Lớp 3 - Công việc chính'!$I$73)=0),0),0)))))</f>
        <v>#REF!</v>
      </c>
      <c r="Z84" s="700" t="str">
        <f t="array" ref="Z84">IF($S84="","",IF($S84="Lớp 5",INDEX('Lớp 5 - Phân công'!$AS$14:$AS$262,$T84),IF($S84="Lớp 4",INDEX('Lớp 4 - Danh mục'!$AR$14:$AR$132,$T84),INDEX('Lớp 3 - Công việc chính'!$AO$14:$AO$73,$T84))))</f>
        <v>#REF!</v>
      </c>
      <c r="AA84" s="701" t="str">
        <f t="array" ref="AA84">IF($S84="","",IF($S84="Lớp 5",INDEX('Lớp 5 - Phân công'!$AT$14:$AT$262,$T84),IF($S84="Lớp 4",INDEX('Lớp 4 - Danh mục'!$AS$14:$AS$132,$T84),INDEX('Lớp 3 - Công việc chính'!$AP$14:$AP$73,$T84))))</f>
        <v>#REF!</v>
      </c>
      <c r="AB84" s="701" t="str">
        <f t="array" ref="AB84">IF($S84="","",IF($S84="Lớp 5",INDEX('Lớp 5 - Phân công'!$AJ$14:$AJ$262,$T84),IF($S84="Lớp 4",INDEX('Lớp 4 - Danh mục'!$AI$14:$AI$132,$T84),INDEX('Lớp 3 - Công việc chính'!$AF$14:$AF$73,$T84))))</f>
        <v>#REF!</v>
      </c>
      <c r="AC84" s="702" t="str">
        <f t="array" ref="AC84">IF($S84="","",IF($S84="Lớp 5",INDEX('Lớp 5 - Phân công'!$AV$14:$AV$262,$T84),IF($S84="Lớp 4",INDEX('Lớp 4 - Danh mục'!$AU$14:$AU$132,$T84),INDEX('Lớp 3 - Công việc chính'!$AR$14:$AR$73,$T84))))</f>
        <v>#REF!</v>
      </c>
    </row>
    <row r="85" ht="15.75" customHeight="1">
      <c r="A85" s="690" t="str">
        <f t="shared" si="1"/>
        <v>#REF!</v>
      </c>
      <c r="B85" s="690" t="str">
        <f t="array" ref="B85">IF($S85="","",IF($S85="Lớp 5",INDEX('Lớp 5 - Phân công'!$I$14:$I$262,$T85),IF($S85="Lớp 4",INDEX('Lớp 4 - Danh mục'!$I$14:$I$132,$T85),INDEX('Lớp 3 - Công việc chính'!$I$14:$I$73,$T85))))</f>
        <v>#REF!</v>
      </c>
      <c r="C85" s="690" t="str">
        <f t="array" ref="C85">IF($S85="","",IF($S85="Lớp 5",INDEX('Lớp 5 - Phân công'!$K$14:$K$262,$T85),IF($S85="Lớp 4",INDEX('Lớp 4 - Danh mục'!$J$14:$J$132,$T85),INDEX('Lớp 3 - Công việc chính'!$I$14:$I$73,$T85))))</f>
        <v>#REF!</v>
      </c>
      <c r="D85" s="690" t="str">
        <f t="array" ref="D85">IF($S85="","",IF($S85="Lớp 5",INDEX('Lớp 5 - Phân công'!$J$14:$J$262,$T85),IF($S85="Lớp 4",INDEX('Lớp 4 - Danh mục'!$I$14:$I$132,$T85),"")))</f>
        <v>#REF!</v>
      </c>
      <c r="E85" s="690" t="str">
        <f t="array" ref="E85">IF($S85="","",IF($S85="Lớp 5",INDEX('Lớp 5 - Phân công'!$L$14:$L$262,$T85),IF($S85="Lớp 4",INDEX('Lớp 4 - Danh mục'!$K$14:$K$132,$T85),INDEX('Lớp 3 - Công việc chính'!$J$14:$J$73,$T85))))</f>
        <v>#REF!</v>
      </c>
      <c r="F85" s="690" t="str">
        <f t="array" ref="F85">IF($S85="","",IF($S85="Lớp 5",INDEX('Lớp 5 - Phân công'!$M$14:$M$262,$T85),IF($S85="Lớp 4",INDEX('Lớp 4 - Danh mục'!$L$14:$L$132,$T85),INDEX('Lớp 3 - Công việc chính'!$K$14:$K$73,$T85))))</f>
        <v>#REF!</v>
      </c>
      <c r="G85" s="691" t="str">
        <f t="array" ref="G85">IF($S85="","",IF($S85="Lớp 5",INDEX('Lớp 5 - Phân công'!$N$14:$N$262,$T85),IF($S85="Lớp 4",INDEX('Lớp 4 - Danh mục'!$M$14:$M$132,$T85),INDEX('Lớp 3 - Công việc chính'!$L$14:$L$73,$T85))))</f>
        <v>#REF!</v>
      </c>
      <c r="H85" s="692" t="str">
        <f t="array" ref="H85">IF($S85="","",IF($S85="Lớp 5",INDEX('Lớp 5 - Phân công'!$O$14:$O$262,$T85),IF($S85="Lớp 4",INDEX('Lớp 4 - Danh mục'!$N$14:$N$132,$T85),INDEX('Lớp 3 - Công việc chính'!$M$14:$M$73,$T85))))</f>
        <v>#REF!</v>
      </c>
      <c r="I85" s="692" t="str">
        <f t="array" ref="I85">IF($S85="","",IF($S85="Lớp 5",INDEX('Lớp 5 - Phân công'!$P$14:$P$262,$T85),IF($S85="Lớp 4",INDEX('Lớp 4 - Danh mục'!$O$14:$O$132,$T85),"")))</f>
        <v>#REF!</v>
      </c>
      <c r="J85" s="693" t="str">
        <f t="array" ref="J85">IF($S85="","",IF($S85="Lớp 5",INDEX('Lớp 5 - Phân công'!$Q$14:$Q$262,$T85),""))</f>
        <v>#REF!</v>
      </c>
      <c r="K85" s="690" t="str">
        <f t="array" ref="K85">IF($S85="","",IF($S85="Lớp 5",INDEX('Lớp 5 - Phân công'!$AA$14:$AA$262,$T85),IF($S85="Lớp 4",INDEX('Lớp 4 - Danh mục'!$Y$14:$Y$132,$T85),INDEX('Lớp 3 - Công việc chính'!$U$14:$U$73,$T85))))</f>
        <v>#REF!</v>
      </c>
      <c r="L85" s="691" t="str">
        <f t="array" ref="L85">IF($S85="","",IF($S85="Lớp 5",INDEX('Lớp 5 - Phân công'!$Z$14:$Z$262,$T85),IF($S85="Lớp 4",INDEX('Lớp 4 - Danh mục'!$X$14:$X$132,$T85),INDEX('Lớp 3 - Công việc chính'!$W$14:$W$73,$T85))))</f>
        <v>#REF!</v>
      </c>
      <c r="M85" s="694" t="str">
        <f t="array" ref="M85">IF($S85="","",IF($S85="Lớp 5",INDEX('Lớp 5 - Phân công'!$AD$14:$AD$262,$T85),IF($S85="Lớp 4",INDEX('Lớp 4 - Danh mục'!$AC$14:$AC$132,$T85),INDEX('Lớp 3 - Công việc chính'!$Z$14:$Z$73,$T85))))</f>
        <v>#REF!</v>
      </c>
      <c r="N85" s="695" t="str">
        <f t="array" ref="N85">IF($S85="","",IF($S85="Lớp 5",INDEX('Lớp 5 - Phân công'!$AE$14:$AE$262,$T85),IF($S85="Lớp 4",INDEX('Lớp 4 - Danh mục'!$AD$14:$AD$132,$T85),INDEX('Lớp 3 - Công việc chính'!$AA$14:$AA$73,$T85))))</f>
        <v>#REF!</v>
      </c>
      <c r="O85" s="690" t="str">
        <f t="array" ref="O85">IF($S85="","",IF($S85="Lớp 5",INDEX('Lớp 5 - Phân công'!$AB$14:$AB$262,$T85),IF($S85="Lớp 4",INDEX('Lớp 4 - Danh mục'!$AA$14:$AA$132,$T85),INDEX('Lớp 3 - Công việc chính'!$X$14:$X$73,$T85))))</f>
        <v>#REF!</v>
      </c>
      <c r="P85" s="703" t="str">
        <f t="array" ref="P85">IF($S85="","",IF($S85="Lớp 5",INDEX('Lớp 5 - Phân công'!$AC$14:$AC$262,$T85),IF($S85="Lớp 4",INDEX('Lớp 4 - Danh mục'!$AB$14:$AB$132,$T85),INDEX('Lớp 3 - Công việc chính'!$Y$14:$Y$73,$T85))))</f>
        <v>#REF!</v>
      </c>
      <c r="Q85" s="697" t="str">
        <f t="array" ref="Q85">IF($S85="","",IF($S85="Lớp 5",INDEX('Lớp 5 - Phân công'!$AG$14:$AG$262,$T85),IF($S85="Lớp 4",INDEX('Lớp 4 - Danh mục'!$AF$14:$AF$132,$T85),INDEX('Lớp 3 - Công việc chính'!$AC$14:$AC$73,$T85))))</f>
        <v>#REF!</v>
      </c>
      <c r="R85" s="698" t="str">
        <f t="array" ref="R85">IF($S85="","",IF($S85="Lớp 5",INDEX('Lớp 5 - Phân công'!$X$14:$X$262,$T85),IF($S85="Lớp 4",INDEX('Lớp 4 - Danh mục'!$V$14:$V$132,$T85),INDEX('Lớp 3 - Công việc chính'!$T$14:$T$73,$T85))))</f>
        <v>#REF!</v>
      </c>
      <c r="S85" s="699" t="str">
        <f>IF(ROWS($S$14:S85)&lt;=COUNTIF('Lớp 5 - Phân công'!$I$14:$I$262,"&lt;&gt;"),"Lớp 5",IF(ROWS($S$14:S85)&lt;=COUNTIF('Lớp 5 - Phân công'!$I$14:$I$262,"&lt;&gt;")+SUMPRODUCT(--('Lớp 4 - Danh mục'!$I$14:$I$132&lt;&gt;""),--(COUNTIF('Lớp 5 - Phân công'!$J$14:$J$262,'Lớp 4 - Danh mục'!$I$14:$I$132)=0)),"Lớp 4",IF(ROWS($S$14:S85)&lt;=COUNTIF('Lớp 5 - Phân công'!$I$14:$I$262,"&lt;&gt;")+SUMPRODUCT(--('Lớp 4 - Danh mục'!$I$14:$I$132&lt;&gt;""),--(COUNTIF('Lớp 5 - Phân công'!$J$14:$J$262,'Lớp 4 - Danh mục'!$I$14:$I$132)=0))+SUMPRODUCT(--('Lớp 3 - Công việc chính'!$I$14:$I$73&lt;&gt;""),--(COUNTIF('Lớp 4 - Danh mục'!$J$14:$J$132,'Lớp 3 - Công việc chính'!$I$14:$I$73)=0)),"Lớp 3","")))</f>
        <v>#REF!</v>
      </c>
      <c r="T85" s="699" t="str">
        <f t="array" ref="T85">IF(S85="","",IF(S85="Lớp 5",IF(S84&lt;&gt;"Lớp 5",MATCH("*",'Lớp 5 - Phân công'!$I$14:$I$262,0),T84+MATCH("*",INDEX('Lớp 5 - Phân công'!$I$14:$I$262,T84+1):'Lớp 5 - Phân công'!$I$262,0)),IF(S85="Lớp 4",IF(S84&lt;&gt;"Lớp 4",MATCH(1,INDEX(('Lớp 4 - Danh mục'!$I$14:$I$132&lt;&gt;"")*(COUNTIF('Lớp 5 - Phân công'!$J$14:$J$262,'Lớp 4 - Danh mục'!$I$14:$I$132)=0),0),0),T84+MATCH(1,INDEX((INDEX('Lớp 4 - Danh mục'!$I$14:$I$132,T84+1):'Lớp 4 - Danh mục'!$I$132&lt;&gt;"")*(COUNTIF('Lớp 5 - Phân công'!$J$14:$J$262,INDEX('Lớp 4 - Danh mục'!$I$14:$I$132,T84+1):'Lớp 4 - Danh mục'!$I$132)=0),0),0)),IF(S84&lt;&gt;"Lớp 3",MATCH(1,INDEX(('Lớp 3 - Công việc chính'!$I$14:$I$73&lt;&gt;"")*(COUNTIF('Lớp 4 - Danh mục'!$J$14:$J$132,'Lớp 3 - Công việc chính'!$I$14:$I$73)=0),0),0),T84+MATCH(1,INDEX((INDEX('Lớp 3 - Công việc chính'!$I$14:$I$73,T84+1):'Lớp 3 - Công việc chính'!$I$73&lt;&gt;"")*(COUNTIF('Lớp 4 - Danh mục'!$J$14:$J$132,INDEX('Lớp 3 - Công việc chính'!$I$14:$I$73,T84+1):'Lớp 3 - Công việc chính'!$I$73)=0),0),0)))))</f>
        <v>#REF!</v>
      </c>
      <c r="Z85" s="700" t="str">
        <f t="array" ref="Z85">IF($S85="","",IF($S85="Lớp 5",INDEX('Lớp 5 - Phân công'!$AS$14:$AS$262,$T85),IF($S85="Lớp 4",INDEX('Lớp 4 - Danh mục'!$AR$14:$AR$132,$T85),INDEX('Lớp 3 - Công việc chính'!$AO$14:$AO$73,$T85))))</f>
        <v>#REF!</v>
      </c>
      <c r="AA85" s="701" t="str">
        <f t="array" ref="AA85">IF($S85="","",IF($S85="Lớp 5",INDEX('Lớp 5 - Phân công'!$AT$14:$AT$262,$T85),IF($S85="Lớp 4",INDEX('Lớp 4 - Danh mục'!$AS$14:$AS$132,$T85),INDEX('Lớp 3 - Công việc chính'!$AP$14:$AP$73,$T85))))</f>
        <v>#REF!</v>
      </c>
      <c r="AB85" s="701" t="str">
        <f t="array" ref="AB85">IF($S85="","",IF($S85="Lớp 5",INDEX('Lớp 5 - Phân công'!$AJ$14:$AJ$262,$T85),IF($S85="Lớp 4",INDEX('Lớp 4 - Danh mục'!$AI$14:$AI$132,$T85),INDEX('Lớp 3 - Công việc chính'!$AF$14:$AF$73,$T85))))</f>
        <v>#REF!</v>
      </c>
      <c r="AC85" s="702" t="str">
        <f t="array" ref="AC85">IF($S85="","",IF($S85="Lớp 5",INDEX('Lớp 5 - Phân công'!$AV$14:$AV$262,$T85),IF($S85="Lớp 4",INDEX('Lớp 4 - Danh mục'!$AU$14:$AU$132,$T85),INDEX('Lớp 3 - Công việc chính'!$AR$14:$AR$73,$T85))))</f>
        <v>#REF!</v>
      </c>
    </row>
    <row r="86" ht="15.75" customHeight="1">
      <c r="A86" s="690" t="str">
        <f t="shared" si="1"/>
        <v>#REF!</v>
      </c>
      <c r="B86" s="690" t="str">
        <f t="array" ref="B86">IF($S86="","",IF($S86="Lớp 5",INDEX('Lớp 5 - Phân công'!$I$14:$I$262,$T86),IF($S86="Lớp 4",INDEX('Lớp 4 - Danh mục'!$I$14:$I$132,$T86),INDEX('Lớp 3 - Công việc chính'!$I$14:$I$73,$T86))))</f>
        <v>#REF!</v>
      </c>
      <c r="C86" s="690" t="str">
        <f t="array" ref="C86">IF($S86="","",IF($S86="Lớp 5",INDEX('Lớp 5 - Phân công'!$K$14:$K$262,$T86),IF($S86="Lớp 4",INDEX('Lớp 4 - Danh mục'!$J$14:$J$132,$T86),INDEX('Lớp 3 - Công việc chính'!$I$14:$I$73,$T86))))</f>
        <v>#REF!</v>
      </c>
      <c r="D86" s="690" t="str">
        <f t="array" ref="D86">IF($S86="","",IF($S86="Lớp 5",INDEX('Lớp 5 - Phân công'!$J$14:$J$262,$T86),IF($S86="Lớp 4",INDEX('Lớp 4 - Danh mục'!$I$14:$I$132,$T86),"")))</f>
        <v>#REF!</v>
      </c>
      <c r="E86" s="690" t="str">
        <f t="array" ref="E86">IF($S86="","",IF($S86="Lớp 5",INDEX('Lớp 5 - Phân công'!$L$14:$L$262,$T86),IF($S86="Lớp 4",INDEX('Lớp 4 - Danh mục'!$K$14:$K$132,$T86),INDEX('Lớp 3 - Công việc chính'!$J$14:$J$73,$T86))))</f>
        <v>#REF!</v>
      </c>
      <c r="F86" s="690" t="str">
        <f t="array" ref="F86">IF($S86="","",IF($S86="Lớp 5",INDEX('Lớp 5 - Phân công'!$M$14:$M$262,$T86),IF($S86="Lớp 4",INDEX('Lớp 4 - Danh mục'!$L$14:$L$132,$T86),INDEX('Lớp 3 - Công việc chính'!$K$14:$K$73,$T86))))</f>
        <v>#REF!</v>
      </c>
      <c r="G86" s="691" t="str">
        <f t="array" ref="G86">IF($S86="","",IF($S86="Lớp 5",INDEX('Lớp 5 - Phân công'!$N$14:$N$262,$T86),IF($S86="Lớp 4",INDEX('Lớp 4 - Danh mục'!$M$14:$M$132,$T86),INDEX('Lớp 3 - Công việc chính'!$L$14:$L$73,$T86))))</f>
        <v>#REF!</v>
      </c>
      <c r="H86" s="692" t="str">
        <f t="array" ref="H86">IF($S86="","",IF($S86="Lớp 5",INDEX('Lớp 5 - Phân công'!$O$14:$O$262,$T86),IF($S86="Lớp 4",INDEX('Lớp 4 - Danh mục'!$N$14:$N$132,$T86),INDEX('Lớp 3 - Công việc chính'!$M$14:$M$73,$T86))))</f>
        <v>#REF!</v>
      </c>
      <c r="I86" s="692" t="str">
        <f t="array" ref="I86">IF($S86="","",IF($S86="Lớp 5",INDEX('Lớp 5 - Phân công'!$P$14:$P$262,$T86),IF($S86="Lớp 4",INDEX('Lớp 4 - Danh mục'!$O$14:$O$132,$T86),"")))</f>
        <v>#REF!</v>
      </c>
      <c r="J86" s="693" t="str">
        <f t="array" ref="J86">IF($S86="","",IF($S86="Lớp 5",INDEX('Lớp 5 - Phân công'!$Q$14:$Q$262,$T86),""))</f>
        <v>#REF!</v>
      </c>
      <c r="K86" s="690" t="str">
        <f t="array" ref="K86">IF($S86="","",IF($S86="Lớp 5",INDEX('Lớp 5 - Phân công'!$AA$14:$AA$262,$T86),IF($S86="Lớp 4",INDEX('Lớp 4 - Danh mục'!$Y$14:$Y$132,$T86),INDEX('Lớp 3 - Công việc chính'!$U$14:$U$73,$T86))))</f>
        <v>#REF!</v>
      </c>
      <c r="L86" s="691" t="str">
        <f t="array" ref="L86">IF($S86="","",IF($S86="Lớp 5",INDEX('Lớp 5 - Phân công'!$Z$14:$Z$262,$T86),IF($S86="Lớp 4",INDEX('Lớp 4 - Danh mục'!$X$14:$X$132,$T86),INDEX('Lớp 3 - Công việc chính'!$W$14:$W$73,$T86))))</f>
        <v>#REF!</v>
      </c>
      <c r="M86" s="694" t="str">
        <f t="array" ref="M86">IF($S86="","",IF($S86="Lớp 5",INDEX('Lớp 5 - Phân công'!$AD$14:$AD$262,$T86),IF($S86="Lớp 4",INDEX('Lớp 4 - Danh mục'!$AC$14:$AC$132,$T86),INDEX('Lớp 3 - Công việc chính'!$Z$14:$Z$73,$T86))))</f>
        <v>#REF!</v>
      </c>
      <c r="N86" s="695" t="str">
        <f t="array" ref="N86">IF($S86="","",IF($S86="Lớp 5",INDEX('Lớp 5 - Phân công'!$AE$14:$AE$262,$T86),IF($S86="Lớp 4",INDEX('Lớp 4 - Danh mục'!$AD$14:$AD$132,$T86),INDEX('Lớp 3 - Công việc chính'!$AA$14:$AA$73,$T86))))</f>
        <v>#REF!</v>
      </c>
      <c r="O86" s="690" t="str">
        <f t="array" ref="O86">IF($S86="","",IF($S86="Lớp 5",INDEX('Lớp 5 - Phân công'!$AB$14:$AB$262,$T86),IF($S86="Lớp 4",INDEX('Lớp 4 - Danh mục'!$AA$14:$AA$132,$T86),INDEX('Lớp 3 - Công việc chính'!$X$14:$X$73,$T86))))</f>
        <v>#REF!</v>
      </c>
      <c r="P86" s="703" t="str">
        <f t="array" ref="P86">IF($S86="","",IF($S86="Lớp 5",INDEX('Lớp 5 - Phân công'!$AC$14:$AC$262,$T86),IF($S86="Lớp 4",INDEX('Lớp 4 - Danh mục'!$AB$14:$AB$132,$T86),INDEX('Lớp 3 - Công việc chính'!$Y$14:$Y$73,$T86))))</f>
        <v>#REF!</v>
      </c>
      <c r="Q86" s="697" t="str">
        <f t="array" ref="Q86">IF($S86="","",IF($S86="Lớp 5",INDEX('Lớp 5 - Phân công'!$AG$14:$AG$262,$T86),IF($S86="Lớp 4",INDEX('Lớp 4 - Danh mục'!$AF$14:$AF$132,$T86),INDEX('Lớp 3 - Công việc chính'!$AC$14:$AC$73,$T86))))</f>
        <v>#REF!</v>
      </c>
      <c r="R86" s="698" t="str">
        <f t="array" ref="R86">IF($S86="","",IF($S86="Lớp 5",INDEX('Lớp 5 - Phân công'!$X$14:$X$262,$T86),IF($S86="Lớp 4",INDEX('Lớp 4 - Danh mục'!$V$14:$V$132,$T86),INDEX('Lớp 3 - Công việc chính'!$T$14:$T$73,$T86))))</f>
        <v>#REF!</v>
      </c>
      <c r="S86" s="699" t="str">
        <f>IF(ROWS($S$14:S86)&lt;=COUNTIF('Lớp 5 - Phân công'!$I$14:$I$262,"&lt;&gt;"),"Lớp 5",IF(ROWS($S$14:S86)&lt;=COUNTIF('Lớp 5 - Phân công'!$I$14:$I$262,"&lt;&gt;")+SUMPRODUCT(--('Lớp 4 - Danh mục'!$I$14:$I$132&lt;&gt;""),--(COUNTIF('Lớp 5 - Phân công'!$J$14:$J$262,'Lớp 4 - Danh mục'!$I$14:$I$132)=0)),"Lớp 4",IF(ROWS($S$14:S86)&lt;=COUNTIF('Lớp 5 - Phân công'!$I$14:$I$262,"&lt;&gt;")+SUMPRODUCT(--('Lớp 4 - Danh mục'!$I$14:$I$132&lt;&gt;""),--(COUNTIF('Lớp 5 - Phân công'!$J$14:$J$262,'Lớp 4 - Danh mục'!$I$14:$I$132)=0))+SUMPRODUCT(--('Lớp 3 - Công việc chính'!$I$14:$I$73&lt;&gt;""),--(COUNTIF('Lớp 4 - Danh mục'!$J$14:$J$132,'Lớp 3 - Công việc chính'!$I$14:$I$73)=0)),"Lớp 3","")))</f>
        <v>#REF!</v>
      </c>
      <c r="T86" s="699" t="str">
        <f t="array" ref="T86">IF(S86="","",IF(S86="Lớp 5",IF(S85&lt;&gt;"Lớp 5",MATCH("*",'Lớp 5 - Phân công'!$I$14:$I$262,0),T85+MATCH("*",INDEX('Lớp 5 - Phân công'!$I$14:$I$262,T85+1):'Lớp 5 - Phân công'!$I$262,0)),IF(S86="Lớp 4",IF(S85&lt;&gt;"Lớp 4",MATCH(1,INDEX(('Lớp 4 - Danh mục'!$I$14:$I$132&lt;&gt;"")*(COUNTIF('Lớp 5 - Phân công'!$J$14:$J$262,'Lớp 4 - Danh mục'!$I$14:$I$132)=0),0),0),T85+MATCH(1,INDEX((INDEX('Lớp 4 - Danh mục'!$I$14:$I$132,T85+1):'Lớp 4 - Danh mục'!$I$132&lt;&gt;"")*(COUNTIF('Lớp 5 - Phân công'!$J$14:$J$262,INDEX('Lớp 4 - Danh mục'!$I$14:$I$132,T85+1):'Lớp 4 - Danh mục'!$I$132)=0),0),0)),IF(S85&lt;&gt;"Lớp 3",MATCH(1,INDEX(('Lớp 3 - Công việc chính'!$I$14:$I$73&lt;&gt;"")*(COUNTIF('Lớp 4 - Danh mục'!$J$14:$J$132,'Lớp 3 - Công việc chính'!$I$14:$I$73)=0),0),0),T85+MATCH(1,INDEX((INDEX('Lớp 3 - Công việc chính'!$I$14:$I$73,T85+1):'Lớp 3 - Công việc chính'!$I$73&lt;&gt;"")*(COUNTIF('Lớp 4 - Danh mục'!$J$14:$J$132,INDEX('Lớp 3 - Công việc chính'!$I$14:$I$73,T85+1):'Lớp 3 - Công việc chính'!$I$73)=0),0),0)))))</f>
        <v>#REF!</v>
      </c>
      <c r="Z86" s="700" t="str">
        <f t="array" ref="Z86">IF($S86="","",IF($S86="Lớp 5",INDEX('Lớp 5 - Phân công'!$AS$14:$AS$262,$T86),IF($S86="Lớp 4",INDEX('Lớp 4 - Danh mục'!$AR$14:$AR$132,$T86),INDEX('Lớp 3 - Công việc chính'!$AO$14:$AO$73,$T86))))</f>
        <v>#REF!</v>
      </c>
      <c r="AA86" s="701" t="str">
        <f t="array" ref="AA86">IF($S86="","",IF($S86="Lớp 5",INDEX('Lớp 5 - Phân công'!$AT$14:$AT$262,$T86),IF($S86="Lớp 4",INDEX('Lớp 4 - Danh mục'!$AS$14:$AS$132,$T86),INDEX('Lớp 3 - Công việc chính'!$AP$14:$AP$73,$T86))))</f>
        <v>#REF!</v>
      </c>
      <c r="AB86" s="701" t="str">
        <f t="array" ref="AB86">IF($S86="","",IF($S86="Lớp 5",INDEX('Lớp 5 - Phân công'!$AJ$14:$AJ$262,$T86),IF($S86="Lớp 4",INDEX('Lớp 4 - Danh mục'!$AI$14:$AI$132,$T86),INDEX('Lớp 3 - Công việc chính'!$AF$14:$AF$73,$T86))))</f>
        <v>#REF!</v>
      </c>
      <c r="AC86" s="702" t="str">
        <f t="array" ref="AC86">IF($S86="","",IF($S86="Lớp 5",INDEX('Lớp 5 - Phân công'!$AV$14:$AV$262,$T86),IF($S86="Lớp 4",INDEX('Lớp 4 - Danh mục'!$AU$14:$AU$132,$T86),INDEX('Lớp 3 - Công việc chính'!$AR$14:$AR$73,$T86))))</f>
        <v>#REF!</v>
      </c>
    </row>
    <row r="87" ht="15.75" customHeight="1">
      <c r="A87" s="690" t="str">
        <f t="shared" si="1"/>
        <v>#REF!</v>
      </c>
      <c r="B87" s="690" t="str">
        <f t="array" ref="B87">IF($S87="","",IF($S87="Lớp 5",INDEX('Lớp 5 - Phân công'!$I$14:$I$262,$T87),IF($S87="Lớp 4",INDEX('Lớp 4 - Danh mục'!$I$14:$I$132,$T87),INDEX('Lớp 3 - Công việc chính'!$I$14:$I$73,$T87))))</f>
        <v>#REF!</v>
      </c>
      <c r="C87" s="690" t="str">
        <f t="array" ref="C87">IF($S87="","",IF($S87="Lớp 5",INDEX('Lớp 5 - Phân công'!$K$14:$K$262,$T87),IF($S87="Lớp 4",INDEX('Lớp 4 - Danh mục'!$J$14:$J$132,$T87),INDEX('Lớp 3 - Công việc chính'!$I$14:$I$73,$T87))))</f>
        <v>#REF!</v>
      </c>
      <c r="D87" s="690" t="str">
        <f t="array" ref="D87">IF($S87="","",IF($S87="Lớp 5",INDEX('Lớp 5 - Phân công'!$J$14:$J$262,$T87),IF($S87="Lớp 4",INDEX('Lớp 4 - Danh mục'!$I$14:$I$132,$T87),"")))</f>
        <v>#REF!</v>
      </c>
      <c r="E87" s="690" t="str">
        <f t="array" ref="E87">IF($S87="","",IF($S87="Lớp 5",INDEX('Lớp 5 - Phân công'!$L$14:$L$262,$T87),IF($S87="Lớp 4",INDEX('Lớp 4 - Danh mục'!$K$14:$K$132,$T87),INDEX('Lớp 3 - Công việc chính'!$J$14:$J$73,$T87))))</f>
        <v>#REF!</v>
      </c>
      <c r="F87" s="690" t="str">
        <f t="array" ref="F87">IF($S87="","",IF($S87="Lớp 5",INDEX('Lớp 5 - Phân công'!$M$14:$M$262,$T87),IF($S87="Lớp 4",INDEX('Lớp 4 - Danh mục'!$L$14:$L$132,$T87),INDEX('Lớp 3 - Công việc chính'!$K$14:$K$73,$T87))))</f>
        <v>#REF!</v>
      </c>
      <c r="G87" s="691" t="str">
        <f t="array" ref="G87">IF($S87="","",IF($S87="Lớp 5",INDEX('Lớp 5 - Phân công'!$N$14:$N$262,$T87),IF($S87="Lớp 4",INDEX('Lớp 4 - Danh mục'!$M$14:$M$132,$T87),INDEX('Lớp 3 - Công việc chính'!$L$14:$L$73,$T87))))</f>
        <v>#REF!</v>
      </c>
      <c r="H87" s="692" t="str">
        <f t="array" ref="H87">IF($S87="","",IF($S87="Lớp 5",INDEX('Lớp 5 - Phân công'!$O$14:$O$262,$T87),IF($S87="Lớp 4",INDEX('Lớp 4 - Danh mục'!$N$14:$N$132,$T87),INDEX('Lớp 3 - Công việc chính'!$M$14:$M$73,$T87))))</f>
        <v>#REF!</v>
      </c>
      <c r="I87" s="692" t="str">
        <f t="array" ref="I87">IF($S87="","",IF($S87="Lớp 5",INDEX('Lớp 5 - Phân công'!$P$14:$P$262,$T87),IF($S87="Lớp 4",INDEX('Lớp 4 - Danh mục'!$O$14:$O$132,$T87),"")))</f>
        <v>#REF!</v>
      </c>
      <c r="J87" s="693" t="str">
        <f t="array" ref="J87">IF($S87="","",IF($S87="Lớp 5",INDEX('Lớp 5 - Phân công'!$Q$14:$Q$262,$T87),""))</f>
        <v>#REF!</v>
      </c>
      <c r="K87" s="690" t="str">
        <f t="array" ref="K87">IF($S87="","",IF($S87="Lớp 5",INDEX('Lớp 5 - Phân công'!$AA$14:$AA$262,$T87),IF($S87="Lớp 4",INDEX('Lớp 4 - Danh mục'!$Y$14:$Y$132,$T87),INDEX('Lớp 3 - Công việc chính'!$U$14:$U$73,$T87))))</f>
        <v>#REF!</v>
      </c>
      <c r="L87" s="691" t="str">
        <f t="array" ref="L87">IF($S87="","",IF($S87="Lớp 5",INDEX('Lớp 5 - Phân công'!$Z$14:$Z$262,$T87),IF($S87="Lớp 4",INDEX('Lớp 4 - Danh mục'!$X$14:$X$132,$T87),INDEX('Lớp 3 - Công việc chính'!$W$14:$W$73,$T87))))</f>
        <v>#REF!</v>
      </c>
      <c r="M87" s="694" t="str">
        <f t="array" ref="M87">IF($S87="","",IF($S87="Lớp 5",INDEX('Lớp 5 - Phân công'!$AD$14:$AD$262,$T87),IF($S87="Lớp 4",INDEX('Lớp 4 - Danh mục'!$AC$14:$AC$132,$T87),INDEX('Lớp 3 - Công việc chính'!$Z$14:$Z$73,$T87))))</f>
        <v>#REF!</v>
      </c>
      <c r="N87" s="695" t="str">
        <f t="array" ref="N87">IF($S87="","",IF($S87="Lớp 5",INDEX('Lớp 5 - Phân công'!$AE$14:$AE$262,$T87),IF($S87="Lớp 4",INDEX('Lớp 4 - Danh mục'!$AD$14:$AD$132,$T87),INDEX('Lớp 3 - Công việc chính'!$AA$14:$AA$73,$T87))))</f>
        <v>#REF!</v>
      </c>
      <c r="O87" s="690" t="str">
        <f t="array" ref="O87">IF($S87="","",IF($S87="Lớp 5",INDEX('Lớp 5 - Phân công'!$AB$14:$AB$262,$T87),IF($S87="Lớp 4",INDEX('Lớp 4 - Danh mục'!$AA$14:$AA$132,$T87),INDEX('Lớp 3 - Công việc chính'!$X$14:$X$73,$T87))))</f>
        <v>#REF!</v>
      </c>
      <c r="P87" s="703" t="str">
        <f t="array" ref="P87">IF($S87="","",IF($S87="Lớp 5",INDEX('Lớp 5 - Phân công'!$AC$14:$AC$262,$T87),IF($S87="Lớp 4",INDEX('Lớp 4 - Danh mục'!$AB$14:$AB$132,$T87),INDEX('Lớp 3 - Công việc chính'!$Y$14:$Y$73,$T87))))</f>
        <v>#REF!</v>
      </c>
      <c r="Q87" s="697" t="str">
        <f t="array" ref="Q87">IF($S87="","",IF($S87="Lớp 5",INDEX('Lớp 5 - Phân công'!$AG$14:$AG$262,$T87),IF($S87="Lớp 4",INDEX('Lớp 4 - Danh mục'!$AF$14:$AF$132,$T87),INDEX('Lớp 3 - Công việc chính'!$AC$14:$AC$73,$T87))))</f>
        <v>#REF!</v>
      </c>
      <c r="R87" s="698" t="str">
        <f t="array" ref="R87">IF($S87="","",IF($S87="Lớp 5",INDEX('Lớp 5 - Phân công'!$X$14:$X$262,$T87),IF($S87="Lớp 4",INDEX('Lớp 4 - Danh mục'!$V$14:$V$132,$T87),INDEX('Lớp 3 - Công việc chính'!$T$14:$T$73,$T87))))</f>
        <v>#REF!</v>
      </c>
      <c r="S87" s="699" t="str">
        <f>IF(ROWS($S$14:S87)&lt;=COUNTIF('Lớp 5 - Phân công'!$I$14:$I$262,"&lt;&gt;"),"Lớp 5",IF(ROWS($S$14:S87)&lt;=COUNTIF('Lớp 5 - Phân công'!$I$14:$I$262,"&lt;&gt;")+SUMPRODUCT(--('Lớp 4 - Danh mục'!$I$14:$I$132&lt;&gt;""),--(COUNTIF('Lớp 5 - Phân công'!$J$14:$J$262,'Lớp 4 - Danh mục'!$I$14:$I$132)=0)),"Lớp 4",IF(ROWS($S$14:S87)&lt;=COUNTIF('Lớp 5 - Phân công'!$I$14:$I$262,"&lt;&gt;")+SUMPRODUCT(--('Lớp 4 - Danh mục'!$I$14:$I$132&lt;&gt;""),--(COUNTIF('Lớp 5 - Phân công'!$J$14:$J$262,'Lớp 4 - Danh mục'!$I$14:$I$132)=0))+SUMPRODUCT(--('Lớp 3 - Công việc chính'!$I$14:$I$73&lt;&gt;""),--(COUNTIF('Lớp 4 - Danh mục'!$J$14:$J$132,'Lớp 3 - Công việc chính'!$I$14:$I$73)=0)),"Lớp 3","")))</f>
        <v>#REF!</v>
      </c>
      <c r="T87" s="699" t="str">
        <f t="array" ref="T87">IF(S87="","",IF(S87="Lớp 5",IF(S86&lt;&gt;"Lớp 5",MATCH("*",'Lớp 5 - Phân công'!$I$14:$I$262,0),T86+MATCH("*",INDEX('Lớp 5 - Phân công'!$I$14:$I$262,T86+1):'Lớp 5 - Phân công'!$I$262,0)),IF(S87="Lớp 4",IF(S86&lt;&gt;"Lớp 4",MATCH(1,INDEX(('Lớp 4 - Danh mục'!$I$14:$I$132&lt;&gt;"")*(COUNTIF('Lớp 5 - Phân công'!$J$14:$J$262,'Lớp 4 - Danh mục'!$I$14:$I$132)=0),0),0),T86+MATCH(1,INDEX((INDEX('Lớp 4 - Danh mục'!$I$14:$I$132,T86+1):'Lớp 4 - Danh mục'!$I$132&lt;&gt;"")*(COUNTIF('Lớp 5 - Phân công'!$J$14:$J$262,INDEX('Lớp 4 - Danh mục'!$I$14:$I$132,T86+1):'Lớp 4 - Danh mục'!$I$132)=0),0),0)),IF(S86&lt;&gt;"Lớp 3",MATCH(1,INDEX(('Lớp 3 - Công việc chính'!$I$14:$I$73&lt;&gt;"")*(COUNTIF('Lớp 4 - Danh mục'!$J$14:$J$132,'Lớp 3 - Công việc chính'!$I$14:$I$73)=0),0),0),T86+MATCH(1,INDEX((INDEX('Lớp 3 - Công việc chính'!$I$14:$I$73,T86+1):'Lớp 3 - Công việc chính'!$I$73&lt;&gt;"")*(COUNTIF('Lớp 4 - Danh mục'!$J$14:$J$132,INDEX('Lớp 3 - Công việc chính'!$I$14:$I$73,T86+1):'Lớp 3 - Công việc chính'!$I$73)=0),0),0)))))</f>
        <v>#REF!</v>
      </c>
      <c r="Z87" s="700" t="str">
        <f t="array" ref="Z87">IF($S87="","",IF($S87="Lớp 5",INDEX('Lớp 5 - Phân công'!$AS$14:$AS$262,$T87),IF($S87="Lớp 4",INDEX('Lớp 4 - Danh mục'!$AR$14:$AR$132,$T87),INDEX('Lớp 3 - Công việc chính'!$AO$14:$AO$73,$T87))))</f>
        <v>#REF!</v>
      </c>
      <c r="AA87" s="701" t="str">
        <f t="array" ref="AA87">IF($S87="","",IF($S87="Lớp 5",INDEX('Lớp 5 - Phân công'!$AT$14:$AT$262,$T87),IF($S87="Lớp 4",INDEX('Lớp 4 - Danh mục'!$AS$14:$AS$132,$T87),INDEX('Lớp 3 - Công việc chính'!$AP$14:$AP$73,$T87))))</f>
        <v>#REF!</v>
      </c>
      <c r="AB87" s="701" t="str">
        <f t="array" ref="AB87">IF($S87="","",IF($S87="Lớp 5",INDEX('Lớp 5 - Phân công'!$AJ$14:$AJ$262,$T87),IF($S87="Lớp 4",INDEX('Lớp 4 - Danh mục'!$AI$14:$AI$132,$T87),INDEX('Lớp 3 - Công việc chính'!$AF$14:$AF$73,$T87))))</f>
        <v>#REF!</v>
      </c>
      <c r="AC87" s="702" t="str">
        <f t="array" ref="AC87">IF($S87="","",IF($S87="Lớp 5",INDEX('Lớp 5 - Phân công'!$AV$14:$AV$262,$T87),IF($S87="Lớp 4",INDEX('Lớp 4 - Danh mục'!$AU$14:$AU$132,$T87),INDEX('Lớp 3 - Công việc chính'!$AR$14:$AR$73,$T87))))</f>
        <v>#REF!</v>
      </c>
    </row>
    <row r="88" ht="15.75" customHeight="1">
      <c r="A88" s="690" t="str">
        <f t="shared" si="1"/>
        <v>#REF!</v>
      </c>
      <c r="B88" s="690" t="str">
        <f t="array" ref="B88">IF($S88="","",IF($S88="Lớp 5",INDEX('Lớp 5 - Phân công'!$I$14:$I$262,$T88),IF($S88="Lớp 4",INDEX('Lớp 4 - Danh mục'!$I$14:$I$132,$T88),INDEX('Lớp 3 - Công việc chính'!$I$14:$I$73,$T88))))</f>
        <v>#REF!</v>
      </c>
      <c r="C88" s="690" t="str">
        <f t="array" ref="C88">IF($S88="","",IF($S88="Lớp 5",INDEX('Lớp 5 - Phân công'!$K$14:$K$262,$T88),IF($S88="Lớp 4",INDEX('Lớp 4 - Danh mục'!$J$14:$J$132,$T88),INDEX('Lớp 3 - Công việc chính'!$I$14:$I$73,$T88))))</f>
        <v>#REF!</v>
      </c>
      <c r="D88" s="690" t="str">
        <f t="array" ref="D88">IF($S88="","",IF($S88="Lớp 5",INDEX('Lớp 5 - Phân công'!$J$14:$J$262,$T88),IF($S88="Lớp 4",INDEX('Lớp 4 - Danh mục'!$I$14:$I$132,$T88),"")))</f>
        <v>#REF!</v>
      </c>
      <c r="E88" s="690" t="str">
        <f t="array" ref="E88">IF($S88="","",IF($S88="Lớp 5",INDEX('Lớp 5 - Phân công'!$L$14:$L$262,$T88),IF($S88="Lớp 4",INDEX('Lớp 4 - Danh mục'!$K$14:$K$132,$T88),INDEX('Lớp 3 - Công việc chính'!$J$14:$J$73,$T88))))</f>
        <v>#REF!</v>
      </c>
      <c r="F88" s="690" t="str">
        <f t="array" ref="F88">IF($S88="","",IF($S88="Lớp 5",INDEX('Lớp 5 - Phân công'!$M$14:$M$262,$T88),IF($S88="Lớp 4",INDEX('Lớp 4 - Danh mục'!$L$14:$L$132,$T88),INDEX('Lớp 3 - Công việc chính'!$K$14:$K$73,$T88))))</f>
        <v>#REF!</v>
      </c>
      <c r="G88" s="691" t="str">
        <f t="array" ref="G88">IF($S88="","",IF($S88="Lớp 5",INDEX('Lớp 5 - Phân công'!$N$14:$N$262,$T88),IF($S88="Lớp 4",INDEX('Lớp 4 - Danh mục'!$M$14:$M$132,$T88),INDEX('Lớp 3 - Công việc chính'!$L$14:$L$73,$T88))))</f>
        <v>#REF!</v>
      </c>
      <c r="H88" s="692" t="str">
        <f t="array" ref="H88">IF($S88="","",IF($S88="Lớp 5",INDEX('Lớp 5 - Phân công'!$O$14:$O$262,$T88),IF($S88="Lớp 4",INDEX('Lớp 4 - Danh mục'!$N$14:$N$132,$T88),INDEX('Lớp 3 - Công việc chính'!$M$14:$M$73,$T88))))</f>
        <v>#REF!</v>
      </c>
      <c r="I88" s="692" t="str">
        <f t="array" ref="I88">IF($S88="","",IF($S88="Lớp 5",INDEX('Lớp 5 - Phân công'!$P$14:$P$262,$T88),IF($S88="Lớp 4",INDEX('Lớp 4 - Danh mục'!$O$14:$O$132,$T88),"")))</f>
        <v>#REF!</v>
      </c>
      <c r="J88" s="693" t="str">
        <f t="array" ref="J88">IF($S88="","",IF($S88="Lớp 5",INDEX('Lớp 5 - Phân công'!$Q$14:$Q$262,$T88),""))</f>
        <v>#REF!</v>
      </c>
      <c r="K88" s="690" t="str">
        <f t="array" ref="K88">IF($S88="","",IF($S88="Lớp 5",INDEX('Lớp 5 - Phân công'!$AA$14:$AA$262,$T88),IF($S88="Lớp 4",INDEX('Lớp 4 - Danh mục'!$Y$14:$Y$132,$T88),INDEX('Lớp 3 - Công việc chính'!$U$14:$U$73,$T88))))</f>
        <v>#REF!</v>
      </c>
      <c r="L88" s="691" t="str">
        <f t="array" ref="L88">IF($S88="","",IF($S88="Lớp 5",INDEX('Lớp 5 - Phân công'!$Z$14:$Z$262,$T88),IF($S88="Lớp 4",INDEX('Lớp 4 - Danh mục'!$X$14:$X$132,$T88),INDEX('Lớp 3 - Công việc chính'!$W$14:$W$73,$T88))))</f>
        <v>#REF!</v>
      </c>
      <c r="M88" s="694" t="str">
        <f t="array" ref="M88">IF($S88="","",IF($S88="Lớp 5",INDEX('Lớp 5 - Phân công'!$AD$14:$AD$262,$T88),IF($S88="Lớp 4",INDEX('Lớp 4 - Danh mục'!$AC$14:$AC$132,$T88),INDEX('Lớp 3 - Công việc chính'!$Z$14:$Z$73,$T88))))</f>
        <v>#REF!</v>
      </c>
      <c r="N88" s="695" t="str">
        <f t="array" ref="N88">IF($S88="","",IF($S88="Lớp 5",INDEX('Lớp 5 - Phân công'!$AE$14:$AE$262,$T88),IF($S88="Lớp 4",INDEX('Lớp 4 - Danh mục'!$AD$14:$AD$132,$T88),INDEX('Lớp 3 - Công việc chính'!$AA$14:$AA$73,$T88))))</f>
        <v>#REF!</v>
      </c>
      <c r="O88" s="690" t="str">
        <f t="array" ref="O88">IF($S88="","",IF($S88="Lớp 5",INDEX('Lớp 5 - Phân công'!$AB$14:$AB$262,$T88),IF($S88="Lớp 4",INDEX('Lớp 4 - Danh mục'!$AA$14:$AA$132,$T88),INDEX('Lớp 3 - Công việc chính'!$X$14:$X$73,$T88))))</f>
        <v>#REF!</v>
      </c>
      <c r="P88" s="703" t="str">
        <f t="array" ref="P88">IF($S88="","",IF($S88="Lớp 5",INDEX('Lớp 5 - Phân công'!$AC$14:$AC$262,$T88),IF($S88="Lớp 4",INDEX('Lớp 4 - Danh mục'!$AB$14:$AB$132,$T88),INDEX('Lớp 3 - Công việc chính'!$Y$14:$Y$73,$T88))))</f>
        <v>#REF!</v>
      </c>
      <c r="Q88" s="697" t="str">
        <f t="array" ref="Q88">IF($S88="","",IF($S88="Lớp 5",INDEX('Lớp 5 - Phân công'!$AG$14:$AG$262,$T88),IF($S88="Lớp 4",INDEX('Lớp 4 - Danh mục'!$AF$14:$AF$132,$T88),INDEX('Lớp 3 - Công việc chính'!$AC$14:$AC$73,$T88))))</f>
        <v>#REF!</v>
      </c>
      <c r="R88" s="698" t="str">
        <f t="array" ref="R88">IF($S88="","",IF($S88="Lớp 5",INDEX('Lớp 5 - Phân công'!$X$14:$X$262,$T88),IF($S88="Lớp 4",INDEX('Lớp 4 - Danh mục'!$V$14:$V$132,$T88),INDEX('Lớp 3 - Công việc chính'!$T$14:$T$73,$T88))))</f>
        <v>#REF!</v>
      </c>
      <c r="S88" s="699" t="str">
        <f>IF(ROWS($S$14:S88)&lt;=COUNTIF('Lớp 5 - Phân công'!$I$14:$I$262,"&lt;&gt;"),"Lớp 5",IF(ROWS($S$14:S88)&lt;=COUNTIF('Lớp 5 - Phân công'!$I$14:$I$262,"&lt;&gt;")+SUMPRODUCT(--('Lớp 4 - Danh mục'!$I$14:$I$132&lt;&gt;""),--(COUNTIF('Lớp 5 - Phân công'!$J$14:$J$262,'Lớp 4 - Danh mục'!$I$14:$I$132)=0)),"Lớp 4",IF(ROWS($S$14:S88)&lt;=COUNTIF('Lớp 5 - Phân công'!$I$14:$I$262,"&lt;&gt;")+SUMPRODUCT(--('Lớp 4 - Danh mục'!$I$14:$I$132&lt;&gt;""),--(COUNTIF('Lớp 5 - Phân công'!$J$14:$J$262,'Lớp 4 - Danh mục'!$I$14:$I$132)=0))+SUMPRODUCT(--('Lớp 3 - Công việc chính'!$I$14:$I$73&lt;&gt;""),--(COUNTIF('Lớp 4 - Danh mục'!$J$14:$J$132,'Lớp 3 - Công việc chính'!$I$14:$I$73)=0)),"Lớp 3","")))</f>
        <v>#REF!</v>
      </c>
      <c r="T88" s="699" t="str">
        <f t="array" ref="T88">IF(S88="","",IF(S88="Lớp 5",IF(S87&lt;&gt;"Lớp 5",MATCH("*",'Lớp 5 - Phân công'!$I$14:$I$262,0),T87+MATCH("*",INDEX('Lớp 5 - Phân công'!$I$14:$I$262,T87+1):'Lớp 5 - Phân công'!$I$262,0)),IF(S88="Lớp 4",IF(S87&lt;&gt;"Lớp 4",MATCH(1,INDEX(('Lớp 4 - Danh mục'!$I$14:$I$132&lt;&gt;"")*(COUNTIF('Lớp 5 - Phân công'!$J$14:$J$262,'Lớp 4 - Danh mục'!$I$14:$I$132)=0),0),0),T87+MATCH(1,INDEX((INDEX('Lớp 4 - Danh mục'!$I$14:$I$132,T87+1):'Lớp 4 - Danh mục'!$I$132&lt;&gt;"")*(COUNTIF('Lớp 5 - Phân công'!$J$14:$J$262,INDEX('Lớp 4 - Danh mục'!$I$14:$I$132,T87+1):'Lớp 4 - Danh mục'!$I$132)=0),0),0)),IF(S87&lt;&gt;"Lớp 3",MATCH(1,INDEX(('Lớp 3 - Công việc chính'!$I$14:$I$73&lt;&gt;"")*(COUNTIF('Lớp 4 - Danh mục'!$J$14:$J$132,'Lớp 3 - Công việc chính'!$I$14:$I$73)=0),0),0),T87+MATCH(1,INDEX((INDEX('Lớp 3 - Công việc chính'!$I$14:$I$73,T87+1):'Lớp 3 - Công việc chính'!$I$73&lt;&gt;"")*(COUNTIF('Lớp 4 - Danh mục'!$J$14:$J$132,INDEX('Lớp 3 - Công việc chính'!$I$14:$I$73,T87+1):'Lớp 3 - Công việc chính'!$I$73)=0),0),0)))))</f>
        <v>#REF!</v>
      </c>
      <c r="Z88" s="700" t="str">
        <f t="array" ref="Z88">IF($S88="","",IF($S88="Lớp 5",INDEX('Lớp 5 - Phân công'!$AS$14:$AS$262,$T88),IF($S88="Lớp 4",INDEX('Lớp 4 - Danh mục'!$AR$14:$AR$132,$T88),INDEX('Lớp 3 - Công việc chính'!$AO$14:$AO$73,$T88))))</f>
        <v>#REF!</v>
      </c>
      <c r="AA88" s="701" t="str">
        <f t="array" ref="AA88">IF($S88="","",IF($S88="Lớp 5",INDEX('Lớp 5 - Phân công'!$AT$14:$AT$262,$T88),IF($S88="Lớp 4",INDEX('Lớp 4 - Danh mục'!$AS$14:$AS$132,$T88),INDEX('Lớp 3 - Công việc chính'!$AP$14:$AP$73,$T88))))</f>
        <v>#REF!</v>
      </c>
      <c r="AB88" s="701" t="str">
        <f t="array" ref="AB88">IF($S88="","",IF($S88="Lớp 5",INDEX('Lớp 5 - Phân công'!$AJ$14:$AJ$262,$T88),IF($S88="Lớp 4",INDEX('Lớp 4 - Danh mục'!$AI$14:$AI$132,$T88),INDEX('Lớp 3 - Công việc chính'!$AF$14:$AF$73,$T88))))</f>
        <v>#REF!</v>
      </c>
      <c r="AC88" s="702" t="str">
        <f t="array" ref="AC88">IF($S88="","",IF($S88="Lớp 5",INDEX('Lớp 5 - Phân công'!$AV$14:$AV$262,$T88),IF($S88="Lớp 4",INDEX('Lớp 4 - Danh mục'!$AU$14:$AU$132,$T88),INDEX('Lớp 3 - Công việc chính'!$AR$14:$AR$73,$T88))))</f>
        <v>#REF!</v>
      </c>
    </row>
    <row r="89" ht="15.75" customHeight="1">
      <c r="A89" s="690" t="str">
        <f t="shared" si="1"/>
        <v>#REF!</v>
      </c>
      <c r="B89" s="690" t="str">
        <f t="array" ref="B89">IF($S89="","",IF($S89="Lớp 5",INDEX('Lớp 5 - Phân công'!$I$14:$I$262,$T89),IF($S89="Lớp 4",INDEX('Lớp 4 - Danh mục'!$I$14:$I$132,$T89),INDEX('Lớp 3 - Công việc chính'!$I$14:$I$73,$T89))))</f>
        <v>#REF!</v>
      </c>
      <c r="C89" s="690" t="str">
        <f t="array" ref="C89">IF($S89="","",IF($S89="Lớp 5",INDEX('Lớp 5 - Phân công'!$K$14:$K$262,$T89),IF($S89="Lớp 4",INDEX('Lớp 4 - Danh mục'!$J$14:$J$132,$T89),INDEX('Lớp 3 - Công việc chính'!$I$14:$I$73,$T89))))</f>
        <v>#REF!</v>
      </c>
      <c r="D89" s="690" t="str">
        <f t="array" ref="D89">IF($S89="","",IF($S89="Lớp 5",INDEX('Lớp 5 - Phân công'!$J$14:$J$262,$T89),IF($S89="Lớp 4",INDEX('Lớp 4 - Danh mục'!$I$14:$I$132,$T89),"")))</f>
        <v>#REF!</v>
      </c>
      <c r="E89" s="690" t="str">
        <f t="array" ref="E89">IF($S89="","",IF($S89="Lớp 5",INDEX('Lớp 5 - Phân công'!$L$14:$L$262,$T89),IF($S89="Lớp 4",INDEX('Lớp 4 - Danh mục'!$K$14:$K$132,$T89),INDEX('Lớp 3 - Công việc chính'!$J$14:$J$73,$T89))))</f>
        <v>#REF!</v>
      </c>
      <c r="F89" s="690" t="str">
        <f t="array" ref="F89">IF($S89="","",IF($S89="Lớp 5",INDEX('Lớp 5 - Phân công'!$M$14:$M$262,$T89),IF($S89="Lớp 4",INDEX('Lớp 4 - Danh mục'!$L$14:$L$132,$T89),INDEX('Lớp 3 - Công việc chính'!$K$14:$K$73,$T89))))</f>
        <v>#REF!</v>
      </c>
      <c r="G89" s="691" t="str">
        <f t="array" ref="G89">IF($S89="","",IF($S89="Lớp 5",INDEX('Lớp 5 - Phân công'!$N$14:$N$262,$T89),IF($S89="Lớp 4",INDEX('Lớp 4 - Danh mục'!$M$14:$M$132,$T89),INDEX('Lớp 3 - Công việc chính'!$L$14:$L$73,$T89))))</f>
        <v>#REF!</v>
      </c>
      <c r="H89" s="692" t="str">
        <f t="array" ref="H89">IF($S89="","",IF($S89="Lớp 5",INDEX('Lớp 5 - Phân công'!$O$14:$O$262,$T89),IF($S89="Lớp 4",INDEX('Lớp 4 - Danh mục'!$N$14:$N$132,$T89),INDEX('Lớp 3 - Công việc chính'!$M$14:$M$73,$T89))))</f>
        <v>#REF!</v>
      </c>
      <c r="I89" s="692" t="str">
        <f t="array" ref="I89">IF($S89="","",IF($S89="Lớp 5",INDEX('Lớp 5 - Phân công'!$P$14:$P$262,$T89),IF($S89="Lớp 4",INDEX('Lớp 4 - Danh mục'!$O$14:$O$132,$T89),"")))</f>
        <v>#REF!</v>
      </c>
      <c r="J89" s="693" t="str">
        <f t="array" ref="J89">IF($S89="","",IF($S89="Lớp 5",INDEX('Lớp 5 - Phân công'!$Q$14:$Q$262,$T89),""))</f>
        <v>#REF!</v>
      </c>
      <c r="K89" s="690" t="str">
        <f t="array" ref="K89">IF($S89="","",IF($S89="Lớp 5",INDEX('Lớp 5 - Phân công'!$AA$14:$AA$262,$T89),IF($S89="Lớp 4",INDEX('Lớp 4 - Danh mục'!$Y$14:$Y$132,$T89),INDEX('Lớp 3 - Công việc chính'!$U$14:$U$73,$T89))))</f>
        <v>#REF!</v>
      </c>
      <c r="L89" s="691" t="str">
        <f t="array" ref="L89">IF($S89="","",IF($S89="Lớp 5",INDEX('Lớp 5 - Phân công'!$Z$14:$Z$262,$T89),IF($S89="Lớp 4",INDEX('Lớp 4 - Danh mục'!$X$14:$X$132,$T89),INDEX('Lớp 3 - Công việc chính'!$W$14:$W$73,$T89))))</f>
        <v>#REF!</v>
      </c>
      <c r="M89" s="694" t="str">
        <f t="array" ref="M89">IF($S89="","",IF($S89="Lớp 5",INDEX('Lớp 5 - Phân công'!$AD$14:$AD$262,$T89),IF($S89="Lớp 4",INDEX('Lớp 4 - Danh mục'!$AC$14:$AC$132,$T89),INDEX('Lớp 3 - Công việc chính'!$Z$14:$Z$73,$T89))))</f>
        <v>#REF!</v>
      </c>
      <c r="N89" s="695" t="str">
        <f t="array" ref="N89">IF($S89="","",IF($S89="Lớp 5",INDEX('Lớp 5 - Phân công'!$AE$14:$AE$262,$T89),IF($S89="Lớp 4",INDEX('Lớp 4 - Danh mục'!$AD$14:$AD$132,$T89),INDEX('Lớp 3 - Công việc chính'!$AA$14:$AA$73,$T89))))</f>
        <v>#REF!</v>
      </c>
      <c r="O89" s="690" t="str">
        <f t="array" ref="O89">IF($S89="","",IF($S89="Lớp 5",INDEX('Lớp 5 - Phân công'!$AB$14:$AB$262,$T89),IF($S89="Lớp 4",INDEX('Lớp 4 - Danh mục'!$AA$14:$AA$132,$T89),INDEX('Lớp 3 - Công việc chính'!$X$14:$X$73,$T89))))</f>
        <v>#REF!</v>
      </c>
      <c r="P89" s="703" t="str">
        <f t="array" ref="P89">IF($S89="","",IF($S89="Lớp 5",INDEX('Lớp 5 - Phân công'!$AC$14:$AC$262,$T89),IF($S89="Lớp 4",INDEX('Lớp 4 - Danh mục'!$AB$14:$AB$132,$T89),INDEX('Lớp 3 - Công việc chính'!$Y$14:$Y$73,$T89))))</f>
        <v>#REF!</v>
      </c>
      <c r="Q89" s="697" t="str">
        <f t="array" ref="Q89">IF($S89="","",IF($S89="Lớp 5",INDEX('Lớp 5 - Phân công'!$AG$14:$AG$262,$T89),IF($S89="Lớp 4",INDEX('Lớp 4 - Danh mục'!$AF$14:$AF$132,$T89),INDEX('Lớp 3 - Công việc chính'!$AC$14:$AC$73,$T89))))</f>
        <v>#REF!</v>
      </c>
      <c r="R89" s="698" t="str">
        <f t="array" ref="R89">IF($S89="","",IF($S89="Lớp 5",INDEX('Lớp 5 - Phân công'!$X$14:$X$262,$T89),IF($S89="Lớp 4",INDEX('Lớp 4 - Danh mục'!$V$14:$V$132,$T89),INDEX('Lớp 3 - Công việc chính'!$T$14:$T$73,$T89))))</f>
        <v>#REF!</v>
      </c>
      <c r="S89" s="699" t="str">
        <f>IF(ROWS($S$14:S89)&lt;=COUNTIF('Lớp 5 - Phân công'!$I$14:$I$262,"&lt;&gt;"),"Lớp 5",IF(ROWS($S$14:S89)&lt;=COUNTIF('Lớp 5 - Phân công'!$I$14:$I$262,"&lt;&gt;")+SUMPRODUCT(--('Lớp 4 - Danh mục'!$I$14:$I$132&lt;&gt;""),--(COUNTIF('Lớp 5 - Phân công'!$J$14:$J$262,'Lớp 4 - Danh mục'!$I$14:$I$132)=0)),"Lớp 4",IF(ROWS($S$14:S89)&lt;=COUNTIF('Lớp 5 - Phân công'!$I$14:$I$262,"&lt;&gt;")+SUMPRODUCT(--('Lớp 4 - Danh mục'!$I$14:$I$132&lt;&gt;""),--(COUNTIF('Lớp 5 - Phân công'!$J$14:$J$262,'Lớp 4 - Danh mục'!$I$14:$I$132)=0))+SUMPRODUCT(--('Lớp 3 - Công việc chính'!$I$14:$I$73&lt;&gt;""),--(COUNTIF('Lớp 4 - Danh mục'!$J$14:$J$132,'Lớp 3 - Công việc chính'!$I$14:$I$73)=0)),"Lớp 3","")))</f>
        <v>#REF!</v>
      </c>
      <c r="T89" s="699" t="str">
        <f t="array" ref="T89">IF(S89="","",IF(S89="Lớp 5",IF(S88&lt;&gt;"Lớp 5",MATCH("*",'Lớp 5 - Phân công'!$I$14:$I$262,0),T88+MATCH("*",INDEX('Lớp 5 - Phân công'!$I$14:$I$262,T88+1):'Lớp 5 - Phân công'!$I$262,0)),IF(S89="Lớp 4",IF(S88&lt;&gt;"Lớp 4",MATCH(1,INDEX(('Lớp 4 - Danh mục'!$I$14:$I$132&lt;&gt;"")*(COUNTIF('Lớp 5 - Phân công'!$J$14:$J$262,'Lớp 4 - Danh mục'!$I$14:$I$132)=0),0),0),T88+MATCH(1,INDEX((INDEX('Lớp 4 - Danh mục'!$I$14:$I$132,T88+1):'Lớp 4 - Danh mục'!$I$132&lt;&gt;"")*(COUNTIF('Lớp 5 - Phân công'!$J$14:$J$262,INDEX('Lớp 4 - Danh mục'!$I$14:$I$132,T88+1):'Lớp 4 - Danh mục'!$I$132)=0),0),0)),IF(S88&lt;&gt;"Lớp 3",MATCH(1,INDEX(('Lớp 3 - Công việc chính'!$I$14:$I$73&lt;&gt;"")*(COUNTIF('Lớp 4 - Danh mục'!$J$14:$J$132,'Lớp 3 - Công việc chính'!$I$14:$I$73)=0),0),0),T88+MATCH(1,INDEX((INDEX('Lớp 3 - Công việc chính'!$I$14:$I$73,T88+1):'Lớp 3 - Công việc chính'!$I$73&lt;&gt;"")*(COUNTIF('Lớp 4 - Danh mục'!$J$14:$J$132,INDEX('Lớp 3 - Công việc chính'!$I$14:$I$73,T88+1):'Lớp 3 - Công việc chính'!$I$73)=0),0),0)))))</f>
        <v>#REF!</v>
      </c>
      <c r="Z89" s="700" t="str">
        <f t="array" ref="Z89">IF($S89="","",IF($S89="Lớp 5",INDEX('Lớp 5 - Phân công'!$AS$14:$AS$262,$T89),IF($S89="Lớp 4",INDEX('Lớp 4 - Danh mục'!$AR$14:$AR$132,$T89),INDEX('Lớp 3 - Công việc chính'!$AO$14:$AO$73,$T89))))</f>
        <v>#REF!</v>
      </c>
      <c r="AA89" s="701" t="str">
        <f t="array" ref="AA89">IF($S89="","",IF($S89="Lớp 5",INDEX('Lớp 5 - Phân công'!$AT$14:$AT$262,$T89),IF($S89="Lớp 4",INDEX('Lớp 4 - Danh mục'!$AS$14:$AS$132,$T89),INDEX('Lớp 3 - Công việc chính'!$AP$14:$AP$73,$T89))))</f>
        <v>#REF!</v>
      </c>
      <c r="AB89" s="701" t="str">
        <f t="array" ref="AB89">IF($S89="","",IF($S89="Lớp 5",INDEX('Lớp 5 - Phân công'!$AJ$14:$AJ$262,$T89),IF($S89="Lớp 4",INDEX('Lớp 4 - Danh mục'!$AI$14:$AI$132,$T89),INDEX('Lớp 3 - Công việc chính'!$AF$14:$AF$73,$T89))))</f>
        <v>#REF!</v>
      </c>
      <c r="AC89" s="702" t="str">
        <f t="array" ref="AC89">IF($S89="","",IF($S89="Lớp 5",INDEX('Lớp 5 - Phân công'!$AV$14:$AV$262,$T89),IF($S89="Lớp 4",INDEX('Lớp 4 - Danh mục'!$AU$14:$AU$132,$T89),INDEX('Lớp 3 - Công việc chính'!$AR$14:$AR$73,$T89))))</f>
        <v>#REF!</v>
      </c>
    </row>
    <row r="90" ht="15.75" customHeight="1">
      <c r="A90" s="690" t="str">
        <f t="shared" si="1"/>
        <v>#REF!</v>
      </c>
      <c r="B90" s="690" t="str">
        <f t="array" ref="B90">IF($S90="","",IF($S90="Lớp 5",INDEX('Lớp 5 - Phân công'!$I$14:$I$262,$T90),IF($S90="Lớp 4",INDEX('Lớp 4 - Danh mục'!$I$14:$I$132,$T90),INDEX('Lớp 3 - Công việc chính'!$I$14:$I$73,$T90))))</f>
        <v>#REF!</v>
      </c>
      <c r="C90" s="690" t="str">
        <f t="array" ref="C90">IF($S90="","",IF($S90="Lớp 5",INDEX('Lớp 5 - Phân công'!$K$14:$K$262,$T90),IF($S90="Lớp 4",INDEX('Lớp 4 - Danh mục'!$J$14:$J$132,$T90),INDEX('Lớp 3 - Công việc chính'!$I$14:$I$73,$T90))))</f>
        <v>#REF!</v>
      </c>
      <c r="D90" s="690" t="str">
        <f t="array" ref="D90">IF($S90="","",IF($S90="Lớp 5",INDEX('Lớp 5 - Phân công'!$J$14:$J$262,$T90),IF($S90="Lớp 4",INDEX('Lớp 4 - Danh mục'!$I$14:$I$132,$T90),"")))</f>
        <v>#REF!</v>
      </c>
      <c r="E90" s="690" t="str">
        <f t="array" ref="E90">IF($S90="","",IF($S90="Lớp 5",INDEX('Lớp 5 - Phân công'!$L$14:$L$262,$T90),IF($S90="Lớp 4",INDEX('Lớp 4 - Danh mục'!$K$14:$K$132,$T90),INDEX('Lớp 3 - Công việc chính'!$J$14:$J$73,$T90))))</f>
        <v>#REF!</v>
      </c>
      <c r="F90" s="690" t="str">
        <f t="array" ref="F90">IF($S90="","",IF($S90="Lớp 5",INDEX('Lớp 5 - Phân công'!$M$14:$M$262,$T90),IF($S90="Lớp 4",INDEX('Lớp 4 - Danh mục'!$L$14:$L$132,$T90),INDEX('Lớp 3 - Công việc chính'!$K$14:$K$73,$T90))))</f>
        <v>#REF!</v>
      </c>
      <c r="G90" s="691" t="str">
        <f t="array" ref="G90">IF($S90="","",IF($S90="Lớp 5",INDEX('Lớp 5 - Phân công'!$N$14:$N$262,$T90),IF($S90="Lớp 4",INDEX('Lớp 4 - Danh mục'!$M$14:$M$132,$T90),INDEX('Lớp 3 - Công việc chính'!$L$14:$L$73,$T90))))</f>
        <v>#REF!</v>
      </c>
      <c r="H90" s="692" t="str">
        <f t="array" ref="H90">IF($S90="","",IF($S90="Lớp 5",INDEX('Lớp 5 - Phân công'!$O$14:$O$262,$T90),IF($S90="Lớp 4",INDEX('Lớp 4 - Danh mục'!$N$14:$N$132,$T90),INDEX('Lớp 3 - Công việc chính'!$M$14:$M$73,$T90))))</f>
        <v>#REF!</v>
      </c>
      <c r="I90" s="692" t="str">
        <f t="array" ref="I90">IF($S90="","",IF($S90="Lớp 5",INDEX('Lớp 5 - Phân công'!$P$14:$P$262,$T90),IF($S90="Lớp 4",INDEX('Lớp 4 - Danh mục'!$O$14:$O$132,$T90),"")))</f>
        <v>#REF!</v>
      </c>
      <c r="J90" s="693" t="str">
        <f t="array" ref="J90">IF($S90="","",IF($S90="Lớp 5",INDEX('Lớp 5 - Phân công'!$Q$14:$Q$262,$T90),""))</f>
        <v>#REF!</v>
      </c>
      <c r="K90" s="690" t="str">
        <f t="array" ref="K90">IF($S90="","",IF($S90="Lớp 5",INDEX('Lớp 5 - Phân công'!$AA$14:$AA$262,$T90),IF($S90="Lớp 4",INDEX('Lớp 4 - Danh mục'!$Y$14:$Y$132,$T90),INDEX('Lớp 3 - Công việc chính'!$U$14:$U$73,$T90))))</f>
        <v>#REF!</v>
      </c>
      <c r="L90" s="691" t="str">
        <f t="array" ref="L90">IF($S90="","",IF($S90="Lớp 5",INDEX('Lớp 5 - Phân công'!$Z$14:$Z$262,$T90),IF($S90="Lớp 4",INDEX('Lớp 4 - Danh mục'!$X$14:$X$132,$T90),INDEX('Lớp 3 - Công việc chính'!$W$14:$W$73,$T90))))</f>
        <v>#REF!</v>
      </c>
      <c r="M90" s="694" t="str">
        <f t="array" ref="M90">IF($S90="","",IF($S90="Lớp 5",INDEX('Lớp 5 - Phân công'!$AD$14:$AD$262,$T90),IF($S90="Lớp 4",INDEX('Lớp 4 - Danh mục'!$AC$14:$AC$132,$T90),INDEX('Lớp 3 - Công việc chính'!$Z$14:$Z$73,$T90))))</f>
        <v>#REF!</v>
      </c>
      <c r="N90" s="695" t="str">
        <f t="array" ref="N90">IF($S90="","",IF($S90="Lớp 5",INDEX('Lớp 5 - Phân công'!$AE$14:$AE$262,$T90),IF($S90="Lớp 4",INDEX('Lớp 4 - Danh mục'!$AD$14:$AD$132,$T90),INDEX('Lớp 3 - Công việc chính'!$AA$14:$AA$73,$T90))))</f>
        <v>#REF!</v>
      </c>
      <c r="O90" s="690" t="str">
        <f t="array" ref="O90">IF($S90="","",IF($S90="Lớp 5",INDEX('Lớp 5 - Phân công'!$AB$14:$AB$262,$T90),IF($S90="Lớp 4",INDEX('Lớp 4 - Danh mục'!$AA$14:$AA$132,$T90),INDEX('Lớp 3 - Công việc chính'!$X$14:$X$73,$T90))))</f>
        <v>#REF!</v>
      </c>
      <c r="P90" s="703" t="str">
        <f t="array" ref="P90">IF($S90="","",IF($S90="Lớp 5",INDEX('Lớp 5 - Phân công'!$AC$14:$AC$262,$T90),IF($S90="Lớp 4",INDEX('Lớp 4 - Danh mục'!$AB$14:$AB$132,$T90),INDEX('Lớp 3 - Công việc chính'!$Y$14:$Y$73,$T90))))</f>
        <v>#REF!</v>
      </c>
      <c r="Q90" s="697" t="str">
        <f t="array" ref="Q90">IF($S90="","",IF($S90="Lớp 5",INDEX('Lớp 5 - Phân công'!$AG$14:$AG$262,$T90),IF($S90="Lớp 4",INDEX('Lớp 4 - Danh mục'!$AF$14:$AF$132,$T90),INDEX('Lớp 3 - Công việc chính'!$AC$14:$AC$73,$T90))))</f>
        <v>#REF!</v>
      </c>
      <c r="R90" s="698" t="str">
        <f t="array" ref="R90">IF($S90="","",IF($S90="Lớp 5",INDEX('Lớp 5 - Phân công'!$X$14:$X$262,$T90),IF($S90="Lớp 4",INDEX('Lớp 4 - Danh mục'!$V$14:$V$132,$T90),INDEX('Lớp 3 - Công việc chính'!$T$14:$T$73,$T90))))</f>
        <v>#REF!</v>
      </c>
      <c r="S90" s="699" t="str">
        <f>IF(ROWS($S$14:S90)&lt;=COUNTIF('Lớp 5 - Phân công'!$I$14:$I$262,"&lt;&gt;"),"Lớp 5",IF(ROWS($S$14:S90)&lt;=COUNTIF('Lớp 5 - Phân công'!$I$14:$I$262,"&lt;&gt;")+SUMPRODUCT(--('Lớp 4 - Danh mục'!$I$14:$I$132&lt;&gt;""),--(COUNTIF('Lớp 5 - Phân công'!$J$14:$J$262,'Lớp 4 - Danh mục'!$I$14:$I$132)=0)),"Lớp 4",IF(ROWS($S$14:S90)&lt;=COUNTIF('Lớp 5 - Phân công'!$I$14:$I$262,"&lt;&gt;")+SUMPRODUCT(--('Lớp 4 - Danh mục'!$I$14:$I$132&lt;&gt;""),--(COUNTIF('Lớp 5 - Phân công'!$J$14:$J$262,'Lớp 4 - Danh mục'!$I$14:$I$132)=0))+SUMPRODUCT(--('Lớp 3 - Công việc chính'!$I$14:$I$73&lt;&gt;""),--(COUNTIF('Lớp 4 - Danh mục'!$J$14:$J$132,'Lớp 3 - Công việc chính'!$I$14:$I$73)=0)),"Lớp 3","")))</f>
        <v>#REF!</v>
      </c>
      <c r="T90" s="699" t="str">
        <f t="array" ref="T90">IF(S90="","",IF(S90="Lớp 5",IF(S89&lt;&gt;"Lớp 5",MATCH("*",'Lớp 5 - Phân công'!$I$14:$I$262,0),T89+MATCH("*",INDEX('Lớp 5 - Phân công'!$I$14:$I$262,T89+1):'Lớp 5 - Phân công'!$I$262,0)),IF(S90="Lớp 4",IF(S89&lt;&gt;"Lớp 4",MATCH(1,INDEX(('Lớp 4 - Danh mục'!$I$14:$I$132&lt;&gt;"")*(COUNTIF('Lớp 5 - Phân công'!$J$14:$J$262,'Lớp 4 - Danh mục'!$I$14:$I$132)=0),0),0),T89+MATCH(1,INDEX((INDEX('Lớp 4 - Danh mục'!$I$14:$I$132,T89+1):'Lớp 4 - Danh mục'!$I$132&lt;&gt;"")*(COUNTIF('Lớp 5 - Phân công'!$J$14:$J$262,INDEX('Lớp 4 - Danh mục'!$I$14:$I$132,T89+1):'Lớp 4 - Danh mục'!$I$132)=0),0),0)),IF(S89&lt;&gt;"Lớp 3",MATCH(1,INDEX(('Lớp 3 - Công việc chính'!$I$14:$I$73&lt;&gt;"")*(COUNTIF('Lớp 4 - Danh mục'!$J$14:$J$132,'Lớp 3 - Công việc chính'!$I$14:$I$73)=0),0),0),T89+MATCH(1,INDEX((INDEX('Lớp 3 - Công việc chính'!$I$14:$I$73,T89+1):'Lớp 3 - Công việc chính'!$I$73&lt;&gt;"")*(COUNTIF('Lớp 4 - Danh mục'!$J$14:$J$132,INDEX('Lớp 3 - Công việc chính'!$I$14:$I$73,T89+1):'Lớp 3 - Công việc chính'!$I$73)=0),0),0)))))</f>
        <v>#REF!</v>
      </c>
      <c r="Z90" s="700" t="str">
        <f t="array" ref="Z90">IF($S90="","",IF($S90="Lớp 5",INDEX('Lớp 5 - Phân công'!$AS$14:$AS$262,$T90),IF($S90="Lớp 4",INDEX('Lớp 4 - Danh mục'!$AR$14:$AR$132,$T90),INDEX('Lớp 3 - Công việc chính'!$AO$14:$AO$73,$T90))))</f>
        <v>#REF!</v>
      </c>
      <c r="AA90" s="701" t="str">
        <f t="array" ref="AA90">IF($S90="","",IF($S90="Lớp 5",INDEX('Lớp 5 - Phân công'!$AT$14:$AT$262,$T90),IF($S90="Lớp 4",INDEX('Lớp 4 - Danh mục'!$AS$14:$AS$132,$T90),INDEX('Lớp 3 - Công việc chính'!$AP$14:$AP$73,$T90))))</f>
        <v>#REF!</v>
      </c>
      <c r="AB90" s="701" t="str">
        <f t="array" ref="AB90">IF($S90="","",IF($S90="Lớp 5",INDEX('Lớp 5 - Phân công'!$AJ$14:$AJ$262,$T90),IF($S90="Lớp 4",INDEX('Lớp 4 - Danh mục'!$AI$14:$AI$132,$T90),INDEX('Lớp 3 - Công việc chính'!$AF$14:$AF$73,$T90))))</f>
        <v>#REF!</v>
      </c>
      <c r="AC90" s="702" t="str">
        <f t="array" ref="AC90">IF($S90="","",IF($S90="Lớp 5",INDEX('Lớp 5 - Phân công'!$AV$14:$AV$262,$T90),IF($S90="Lớp 4",INDEX('Lớp 4 - Danh mục'!$AU$14:$AU$132,$T90),INDEX('Lớp 3 - Công việc chính'!$AR$14:$AR$73,$T90))))</f>
        <v>#REF!</v>
      </c>
    </row>
    <row r="91" ht="15.75" customHeight="1">
      <c r="A91" s="690" t="str">
        <f t="shared" si="1"/>
        <v>#REF!</v>
      </c>
      <c r="B91" s="690" t="str">
        <f t="array" ref="B91">IF($S91="","",IF($S91="Lớp 5",INDEX('Lớp 5 - Phân công'!$I$14:$I$262,$T91),IF($S91="Lớp 4",INDEX('Lớp 4 - Danh mục'!$I$14:$I$132,$T91),INDEX('Lớp 3 - Công việc chính'!$I$14:$I$73,$T91))))</f>
        <v>#REF!</v>
      </c>
      <c r="C91" s="690" t="str">
        <f t="array" ref="C91">IF($S91="","",IF($S91="Lớp 5",INDEX('Lớp 5 - Phân công'!$K$14:$K$262,$T91),IF($S91="Lớp 4",INDEX('Lớp 4 - Danh mục'!$J$14:$J$132,$T91),INDEX('Lớp 3 - Công việc chính'!$I$14:$I$73,$T91))))</f>
        <v>#REF!</v>
      </c>
      <c r="D91" s="690" t="str">
        <f t="array" ref="D91">IF($S91="","",IF($S91="Lớp 5",INDEX('Lớp 5 - Phân công'!$J$14:$J$262,$T91),IF($S91="Lớp 4",INDEX('Lớp 4 - Danh mục'!$I$14:$I$132,$T91),"")))</f>
        <v>#REF!</v>
      </c>
      <c r="E91" s="690" t="str">
        <f t="array" ref="E91">IF($S91="","",IF($S91="Lớp 5",INDEX('Lớp 5 - Phân công'!$L$14:$L$262,$T91),IF($S91="Lớp 4",INDEX('Lớp 4 - Danh mục'!$K$14:$K$132,$T91),INDEX('Lớp 3 - Công việc chính'!$J$14:$J$73,$T91))))</f>
        <v>#REF!</v>
      </c>
      <c r="F91" s="690" t="str">
        <f t="array" ref="F91">IF($S91="","",IF($S91="Lớp 5",INDEX('Lớp 5 - Phân công'!$M$14:$M$262,$T91),IF($S91="Lớp 4",INDEX('Lớp 4 - Danh mục'!$L$14:$L$132,$T91),INDEX('Lớp 3 - Công việc chính'!$K$14:$K$73,$T91))))</f>
        <v>#REF!</v>
      </c>
      <c r="G91" s="691" t="str">
        <f t="array" ref="G91">IF($S91="","",IF($S91="Lớp 5",INDEX('Lớp 5 - Phân công'!$N$14:$N$262,$T91),IF($S91="Lớp 4",INDEX('Lớp 4 - Danh mục'!$M$14:$M$132,$T91),INDEX('Lớp 3 - Công việc chính'!$L$14:$L$73,$T91))))</f>
        <v>#REF!</v>
      </c>
      <c r="H91" s="692" t="str">
        <f t="array" ref="H91">IF($S91="","",IF($S91="Lớp 5",INDEX('Lớp 5 - Phân công'!$O$14:$O$262,$T91),IF($S91="Lớp 4",INDEX('Lớp 4 - Danh mục'!$N$14:$N$132,$T91),INDEX('Lớp 3 - Công việc chính'!$M$14:$M$73,$T91))))</f>
        <v>#REF!</v>
      </c>
      <c r="I91" s="692" t="str">
        <f t="array" ref="I91">IF($S91="","",IF($S91="Lớp 5",INDEX('Lớp 5 - Phân công'!$P$14:$P$262,$T91),IF($S91="Lớp 4",INDEX('Lớp 4 - Danh mục'!$O$14:$O$132,$T91),"")))</f>
        <v>#REF!</v>
      </c>
      <c r="J91" s="693" t="str">
        <f t="array" ref="J91">IF($S91="","",IF($S91="Lớp 5",INDEX('Lớp 5 - Phân công'!$Q$14:$Q$262,$T91),""))</f>
        <v>#REF!</v>
      </c>
      <c r="K91" s="690" t="str">
        <f t="array" ref="K91">IF($S91="","",IF($S91="Lớp 5",INDEX('Lớp 5 - Phân công'!$AA$14:$AA$262,$T91),IF($S91="Lớp 4",INDEX('Lớp 4 - Danh mục'!$Y$14:$Y$132,$T91),INDEX('Lớp 3 - Công việc chính'!$U$14:$U$73,$T91))))</f>
        <v>#REF!</v>
      </c>
      <c r="L91" s="691" t="str">
        <f t="array" ref="L91">IF($S91="","",IF($S91="Lớp 5",INDEX('Lớp 5 - Phân công'!$Z$14:$Z$262,$T91),IF($S91="Lớp 4",INDEX('Lớp 4 - Danh mục'!$X$14:$X$132,$T91),INDEX('Lớp 3 - Công việc chính'!$W$14:$W$73,$T91))))</f>
        <v>#REF!</v>
      </c>
      <c r="M91" s="694" t="str">
        <f t="array" ref="M91">IF($S91="","",IF($S91="Lớp 5",INDEX('Lớp 5 - Phân công'!$AD$14:$AD$262,$T91),IF($S91="Lớp 4",INDEX('Lớp 4 - Danh mục'!$AC$14:$AC$132,$T91),INDEX('Lớp 3 - Công việc chính'!$Z$14:$Z$73,$T91))))</f>
        <v>#REF!</v>
      </c>
      <c r="N91" s="695" t="str">
        <f t="array" ref="N91">IF($S91="","",IF($S91="Lớp 5",INDEX('Lớp 5 - Phân công'!$AE$14:$AE$262,$T91),IF($S91="Lớp 4",INDEX('Lớp 4 - Danh mục'!$AD$14:$AD$132,$T91),INDEX('Lớp 3 - Công việc chính'!$AA$14:$AA$73,$T91))))</f>
        <v>#REF!</v>
      </c>
      <c r="O91" s="690" t="str">
        <f t="array" ref="O91">IF($S91="","",IF($S91="Lớp 5",INDEX('Lớp 5 - Phân công'!$AB$14:$AB$262,$T91),IF($S91="Lớp 4",INDEX('Lớp 4 - Danh mục'!$AA$14:$AA$132,$T91),INDEX('Lớp 3 - Công việc chính'!$X$14:$X$73,$T91))))</f>
        <v>#REF!</v>
      </c>
      <c r="P91" s="703" t="str">
        <f t="array" ref="P91">IF($S91="","",IF($S91="Lớp 5",INDEX('Lớp 5 - Phân công'!$AC$14:$AC$262,$T91),IF($S91="Lớp 4",INDEX('Lớp 4 - Danh mục'!$AB$14:$AB$132,$T91),INDEX('Lớp 3 - Công việc chính'!$Y$14:$Y$73,$T91))))</f>
        <v>#REF!</v>
      </c>
      <c r="Q91" s="697" t="str">
        <f t="array" ref="Q91">IF($S91="","",IF($S91="Lớp 5",INDEX('Lớp 5 - Phân công'!$AG$14:$AG$262,$T91),IF($S91="Lớp 4",INDEX('Lớp 4 - Danh mục'!$AF$14:$AF$132,$T91),INDEX('Lớp 3 - Công việc chính'!$AC$14:$AC$73,$T91))))</f>
        <v>#REF!</v>
      </c>
      <c r="R91" s="698" t="str">
        <f t="array" ref="R91">IF($S91="","",IF($S91="Lớp 5",INDEX('Lớp 5 - Phân công'!$X$14:$X$262,$T91),IF($S91="Lớp 4",INDEX('Lớp 4 - Danh mục'!$V$14:$V$132,$T91),INDEX('Lớp 3 - Công việc chính'!$T$14:$T$73,$T91))))</f>
        <v>#REF!</v>
      </c>
      <c r="S91" s="699" t="str">
        <f>IF(ROWS($S$14:S91)&lt;=COUNTIF('Lớp 5 - Phân công'!$I$14:$I$262,"&lt;&gt;"),"Lớp 5",IF(ROWS($S$14:S91)&lt;=COUNTIF('Lớp 5 - Phân công'!$I$14:$I$262,"&lt;&gt;")+SUMPRODUCT(--('Lớp 4 - Danh mục'!$I$14:$I$132&lt;&gt;""),--(COUNTIF('Lớp 5 - Phân công'!$J$14:$J$262,'Lớp 4 - Danh mục'!$I$14:$I$132)=0)),"Lớp 4",IF(ROWS($S$14:S91)&lt;=COUNTIF('Lớp 5 - Phân công'!$I$14:$I$262,"&lt;&gt;")+SUMPRODUCT(--('Lớp 4 - Danh mục'!$I$14:$I$132&lt;&gt;""),--(COUNTIF('Lớp 5 - Phân công'!$J$14:$J$262,'Lớp 4 - Danh mục'!$I$14:$I$132)=0))+SUMPRODUCT(--('Lớp 3 - Công việc chính'!$I$14:$I$73&lt;&gt;""),--(COUNTIF('Lớp 4 - Danh mục'!$J$14:$J$132,'Lớp 3 - Công việc chính'!$I$14:$I$73)=0)),"Lớp 3","")))</f>
        <v>#REF!</v>
      </c>
      <c r="T91" s="699" t="str">
        <f t="array" ref="T91">IF(S91="","",IF(S91="Lớp 5",IF(S90&lt;&gt;"Lớp 5",MATCH("*",'Lớp 5 - Phân công'!$I$14:$I$262,0),T90+MATCH("*",INDEX('Lớp 5 - Phân công'!$I$14:$I$262,T90+1):'Lớp 5 - Phân công'!$I$262,0)),IF(S91="Lớp 4",IF(S90&lt;&gt;"Lớp 4",MATCH(1,INDEX(('Lớp 4 - Danh mục'!$I$14:$I$132&lt;&gt;"")*(COUNTIF('Lớp 5 - Phân công'!$J$14:$J$262,'Lớp 4 - Danh mục'!$I$14:$I$132)=0),0),0),T90+MATCH(1,INDEX((INDEX('Lớp 4 - Danh mục'!$I$14:$I$132,T90+1):'Lớp 4 - Danh mục'!$I$132&lt;&gt;"")*(COUNTIF('Lớp 5 - Phân công'!$J$14:$J$262,INDEX('Lớp 4 - Danh mục'!$I$14:$I$132,T90+1):'Lớp 4 - Danh mục'!$I$132)=0),0),0)),IF(S90&lt;&gt;"Lớp 3",MATCH(1,INDEX(('Lớp 3 - Công việc chính'!$I$14:$I$73&lt;&gt;"")*(COUNTIF('Lớp 4 - Danh mục'!$J$14:$J$132,'Lớp 3 - Công việc chính'!$I$14:$I$73)=0),0),0),T90+MATCH(1,INDEX((INDEX('Lớp 3 - Công việc chính'!$I$14:$I$73,T90+1):'Lớp 3 - Công việc chính'!$I$73&lt;&gt;"")*(COUNTIF('Lớp 4 - Danh mục'!$J$14:$J$132,INDEX('Lớp 3 - Công việc chính'!$I$14:$I$73,T90+1):'Lớp 3 - Công việc chính'!$I$73)=0),0),0)))))</f>
        <v>#REF!</v>
      </c>
      <c r="Z91" s="700" t="str">
        <f t="array" ref="Z91">IF($S91="","",IF($S91="Lớp 5",INDEX('Lớp 5 - Phân công'!$AS$14:$AS$262,$T91),IF($S91="Lớp 4",INDEX('Lớp 4 - Danh mục'!$AR$14:$AR$132,$T91),INDEX('Lớp 3 - Công việc chính'!$AO$14:$AO$73,$T91))))</f>
        <v>#REF!</v>
      </c>
      <c r="AA91" s="701" t="str">
        <f t="array" ref="AA91">IF($S91="","",IF($S91="Lớp 5",INDEX('Lớp 5 - Phân công'!$AT$14:$AT$262,$T91),IF($S91="Lớp 4",INDEX('Lớp 4 - Danh mục'!$AS$14:$AS$132,$T91),INDEX('Lớp 3 - Công việc chính'!$AP$14:$AP$73,$T91))))</f>
        <v>#REF!</v>
      </c>
      <c r="AB91" s="701" t="str">
        <f t="array" ref="AB91">IF($S91="","",IF($S91="Lớp 5",INDEX('Lớp 5 - Phân công'!$AJ$14:$AJ$262,$T91),IF($S91="Lớp 4",INDEX('Lớp 4 - Danh mục'!$AI$14:$AI$132,$T91),INDEX('Lớp 3 - Công việc chính'!$AF$14:$AF$73,$T91))))</f>
        <v>#REF!</v>
      </c>
      <c r="AC91" s="702" t="str">
        <f t="array" ref="AC91">IF($S91="","",IF($S91="Lớp 5",INDEX('Lớp 5 - Phân công'!$AV$14:$AV$262,$T91),IF($S91="Lớp 4",INDEX('Lớp 4 - Danh mục'!$AU$14:$AU$132,$T91),INDEX('Lớp 3 - Công việc chính'!$AR$14:$AR$73,$T91))))</f>
        <v>#REF!</v>
      </c>
    </row>
    <row r="92" ht="15.75" customHeight="1">
      <c r="A92" s="690" t="str">
        <f t="shared" si="1"/>
        <v>#REF!</v>
      </c>
      <c r="B92" s="690" t="str">
        <f t="array" ref="B92">IF($S92="","",IF($S92="Lớp 5",INDEX('Lớp 5 - Phân công'!$I$14:$I$262,$T92),IF($S92="Lớp 4",INDEX('Lớp 4 - Danh mục'!$I$14:$I$132,$T92),INDEX('Lớp 3 - Công việc chính'!$I$14:$I$73,$T92))))</f>
        <v>#REF!</v>
      </c>
      <c r="C92" s="690" t="str">
        <f t="array" ref="C92">IF($S92="","",IF($S92="Lớp 5",INDEX('Lớp 5 - Phân công'!$K$14:$K$262,$T92),IF($S92="Lớp 4",INDEX('Lớp 4 - Danh mục'!$J$14:$J$132,$T92),INDEX('Lớp 3 - Công việc chính'!$I$14:$I$73,$T92))))</f>
        <v>#REF!</v>
      </c>
      <c r="D92" s="690" t="str">
        <f t="array" ref="D92">IF($S92="","",IF($S92="Lớp 5",INDEX('Lớp 5 - Phân công'!$J$14:$J$262,$T92),IF($S92="Lớp 4",INDEX('Lớp 4 - Danh mục'!$I$14:$I$132,$T92),"")))</f>
        <v>#REF!</v>
      </c>
      <c r="E92" s="690" t="str">
        <f t="array" ref="E92">IF($S92="","",IF($S92="Lớp 5",INDEX('Lớp 5 - Phân công'!$L$14:$L$262,$T92),IF($S92="Lớp 4",INDEX('Lớp 4 - Danh mục'!$K$14:$K$132,$T92),INDEX('Lớp 3 - Công việc chính'!$J$14:$J$73,$T92))))</f>
        <v>#REF!</v>
      </c>
      <c r="F92" s="690" t="str">
        <f t="array" ref="F92">IF($S92="","",IF($S92="Lớp 5",INDEX('Lớp 5 - Phân công'!$M$14:$M$262,$T92),IF($S92="Lớp 4",INDEX('Lớp 4 - Danh mục'!$L$14:$L$132,$T92),INDEX('Lớp 3 - Công việc chính'!$K$14:$K$73,$T92))))</f>
        <v>#REF!</v>
      </c>
      <c r="G92" s="691" t="str">
        <f t="array" ref="G92">IF($S92="","",IF($S92="Lớp 5",INDEX('Lớp 5 - Phân công'!$N$14:$N$262,$T92),IF($S92="Lớp 4",INDEX('Lớp 4 - Danh mục'!$M$14:$M$132,$T92),INDEX('Lớp 3 - Công việc chính'!$L$14:$L$73,$T92))))</f>
        <v>#REF!</v>
      </c>
      <c r="H92" s="692" t="str">
        <f t="array" ref="H92">IF($S92="","",IF($S92="Lớp 5",INDEX('Lớp 5 - Phân công'!$O$14:$O$262,$T92),IF($S92="Lớp 4",INDEX('Lớp 4 - Danh mục'!$N$14:$N$132,$T92),INDEX('Lớp 3 - Công việc chính'!$M$14:$M$73,$T92))))</f>
        <v>#REF!</v>
      </c>
      <c r="I92" s="692" t="str">
        <f t="array" ref="I92">IF($S92="","",IF($S92="Lớp 5",INDEX('Lớp 5 - Phân công'!$P$14:$P$262,$T92),IF($S92="Lớp 4",INDEX('Lớp 4 - Danh mục'!$O$14:$O$132,$T92),"")))</f>
        <v>#REF!</v>
      </c>
      <c r="J92" s="693" t="str">
        <f t="array" ref="J92">IF($S92="","",IF($S92="Lớp 5",INDEX('Lớp 5 - Phân công'!$Q$14:$Q$262,$T92),""))</f>
        <v>#REF!</v>
      </c>
      <c r="K92" s="690" t="str">
        <f t="array" ref="K92">IF($S92="","",IF($S92="Lớp 5",INDEX('Lớp 5 - Phân công'!$AA$14:$AA$262,$T92),IF($S92="Lớp 4",INDEX('Lớp 4 - Danh mục'!$Y$14:$Y$132,$T92),INDEX('Lớp 3 - Công việc chính'!$U$14:$U$73,$T92))))</f>
        <v>#REF!</v>
      </c>
      <c r="L92" s="691" t="str">
        <f t="array" ref="L92">IF($S92="","",IF($S92="Lớp 5",INDEX('Lớp 5 - Phân công'!$Z$14:$Z$262,$T92),IF($S92="Lớp 4",INDEX('Lớp 4 - Danh mục'!$X$14:$X$132,$T92),INDEX('Lớp 3 - Công việc chính'!$W$14:$W$73,$T92))))</f>
        <v>#REF!</v>
      </c>
      <c r="M92" s="694" t="str">
        <f t="array" ref="M92">IF($S92="","",IF($S92="Lớp 5",INDEX('Lớp 5 - Phân công'!$AD$14:$AD$262,$T92),IF($S92="Lớp 4",INDEX('Lớp 4 - Danh mục'!$AC$14:$AC$132,$T92),INDEX('Lớp 3 - Công việc chính'!$Z$14:$Z$73,$T92))))</f>
        <v>#REF!</v>
      </c>
      <c r="N92" s="695" t="str">
        <f t="array" ref="N92">IF($S92="","",IF($S92="Lớp 5",INDEX('Lớp 5 - Phân công'!$AE$14:$AE$262,$T92),IF($S92="Lớp 4",INDEX('Lớp 4 - Danh mục'!$AD$14:$AD$132,$T92),INDEX('Lớp 3 - Công việc chính'!$AA$14:$AA$73,$T92))))</f>
        <v>#REF!</v>
      </c>
      <c r="O92" s="690" t="str">
        <f t="array" ref="O92">IF($S92="","",IF($S92="Lớp 5",INDEX('Lớp 5 - Phân công'!$AB$14:$AB$262,$T92),IF($S92="Lớp 4",INDEX('Lớp 4 - Danh mục'!$AA$14:$AA$132,$T92),INDEX('Lớp 3 - Công việc chính'!$X$14:$X$73,$T92))))</f>
        <v>#REF!</v>
      </c>
      <c r="P92" s="703" t="str">
        <f t="array" ref="P92">IF($S92="","",IF($S92="Lớp 5",INDEX('Lớp 5 - Phân công'!$AC$14:$AC$262,$T92),IF($S92="Lớp 4",INDEX('Lớp 4 - Danh mục'!$AB$14:$AB$132,$T92),INDEX('Lớp 3 - Công việc chính'!$Y$14:$Y$73,$T92))))</f>
        <v>#REF!</v>
      </c>
      <c r="Q92" s="697" t="str">
        <f t="array" ref="Q92">IF($S92="","",IF($S92="Lớp 5",INDEX('Lớp 5 - Phân công'!$AG$14:$AG$262,$T92),IF($S92="Lớp 4",INDEX('Lớp 4 - Danh mục'!$AF$14:$AF$132,$T92),INDEX('Lớp 3 - Công việc chính'!$AC$14:$AC$73,$T92))))</f>
        <v>#REF!</v>
      </c>
      <c r="R92" s="698" t="str">
        <f t="array" ref="R92">IF($S92="","",IF($S92="Lớp 5",INDEX('Lớp 5 - Phân công'!$X$14:$X$262,$T92),IF($S92="Lớp 4",INDEX('Lớp 4 - Danh mục'!$V$14:$V$132,$T92),INDEX('Lớp 3 - Công việc chính'!$T$14:$T$73,$T92))))</f>
        <v>#REF!</v>
      </c>
      <c r="S92" s="699" t="str">
        <f>IF(ROWS($S$14:S92)&lt;=COUNTIF('Lớp 5 - Phân công'!$I$14:$I$262,"&lt;&gt;"),"Lớp 5",IF(ROWS($S$14:S92)&lt;=COUNTIF('Lớp 5 - Phân công'!$I$14:$I$262,"&lt;&gt;")+SUMPRODUCT(--('Lớp 4 - Danh mục'!$I$14:$I$132&lt;&gt;""),--(COUNTIF('Lớp 5 - Phân công'!$J$14:$J$262,'Lớp 4 - Danh mục'!$I$14:$I$132)=0)),"Lớp 4",IF(ROWS($S$14:S92)&lt;=COUNTIF('Lớp 5 - Phân công'!$I$14:$I$262,"&lt;&gt;")+SUMPRODUCT(--('Lớp 4 - Danh mục'!$I$14:$I$132&lt;&gt;""),--(COUNTIF('Lớp 5 - Phân công'!$J$14:$J$262,'Lớp 4 - Danh mục'!$I$14:$I$132)=0))+SUMPRODUCT(--('Lớp 3 - Công việc chính'!$I$14:$I$73&lt;&gt;""),--(COUNTIF('Lớp 4 - Danh mục'!$J$14:$J$132,'Lớp 3 - Công việc chính'!$I$14:$I$73)=0)),"Lớp 3","")))</f>
        <v>#REF!</v>
      </c>
      <c r="T92" s="699" t="str">
        <f t="array" ref="T92">IF(S92="","",IF(S92="Lớp 5",IF(S91&lt;&gt;"Lớp 5",MATCH("*",'Lớp 5 - Phân công'!$I$14:$I$262,0),T91+MATCH("*",INDEX('Lớp 5 - Phân công'!$I$14:$I$262,T91+1):'Lớp 5 - Phân công'!$I$262,0)),IF(S92="Lớp 4",IF(S91&lt;&gt;"Lớp 4",MATCH(1,INDEX(('Lớp 4 - Danh mục'!$I$14:$I$132&lt;&gt;"")*(COUNTIF('Lớp 5 - Phân công'!$J$14:$J$262,'Lớp 4 - Danh mục'!$I$14:$I$132)=0),0),0),T91+MATCH(1,INDEX((INDEX('Lớp 4 - Danh mục'!$I$14:$I$132,T91+1):'Lớp 4 - Danh mục'!$I$132&lt;&gt;"")*(COUNTIF('Lớp 5 - Phân công'!$J$14:$J$262,INDEX('Lớp 4 - Danh mục'!$I$14:$I$132,T91+1):'Lớp 4 - Danh mục'!$I$132)=0),0),0)),IF(S91&lt;&gt;"Lớp 3",MATCH(1,INDEX(('Lớp 3 - Công việc chính'!$I$14:$I$73&lt;&gt;"")*(COUNTIF('Lớp 4 - Danh mục'!$J$14:$J$132,'Lớp 3 - Công việc chính'!$I$14:$I$73)=0),0),0),T91+MATCH(1,INDEX((INDEX('Lớp 3 - Công việc chính'!$I$14:$I$73,T91+1):'Lớp 3 - Công việc chính'!$I$73&lt;&gt;"")*(COUNTIF('Lớp 4 - Danh mục'!$J$14:$J$132,INDEX('Lớp 3 - Công việc chính'!$I$14:$I$73,T91+1):'Lớp 3 - Công việc chính'!$I$73)=0),0),0)))))</f>
        <v>#REF!</v>
      </c>
      <c r="Z92" s="700" t="str">
        <f t="array" ref="Z92">IF($S92="","",IF($S92="Lớp 5",INDEX('Lớp 5 - Phân công'!$AS$14:$AS$262,$T92),IF($S92="Lớp 4",INDEX('Lớp 4 - Danh mục'!$AR$14:$AR$132,$T92),INDEX('Lớp 3 - Công việc chính'!$AO$14:$AO$73,$T92))))</f>
        <v>#REF!</v>
      </c>
      <c r="AA92" s="701" t="str">
        <f t="array" ref="AA92">IF($S92="","",IF($S92="Lớp 5",INDEX('Lớp 5 - Phân công'!$AT$14:$AT$262,$T92),IF($S92="Lớp 4",INDEX('Lớp 4 - Danh mục'!$AS$14:$AS$132,$T92),INDEX('Lớp 3 - Công việc chính'!$AP$14:$AP$73,$T92))))</f>
        <v>#REF!</v>
      </c>
      <c r="AB92" s="701" t="str">
        <f t="array" ref="AB92">IF($S92="","",IF($S92="Lớp 5",INDEX('Lớp 5 - Phân công'!$AJ$14:$AJ$262,$T92),IF($S92="Lớp 4",INDEX('Lớp 4 - Danh mục'!$AI$14:$AI$132,$T92),INDEX('Lớp 3 - Công việc chính'!$AF$14:$AF$73,$T92))))</f>
        <v>#REF!</v>
      </c>
      <c r="AC92" s="702" t="str">
        <f t="array" ref="AC92">IF($S92="","",IF($S92="Lớp 5",INDEX('Lớp 5 - Phân công'!$AV$14:$AV$262,$T92),IF($S92="Lớp 4",INDEX('Lớp 4 - Danh mục'!$AU$14:$AU$132,$T92),INDEX('Lớp 3 - Công việc chính'!$AR$14:$AR$73,$T92))))</f>
        <v>#REF!</v>
      </c>
    </row>
    <row r="93" ht="15.75" customHeight="1">
      <c r="A93" s="690" t="str">
        <f t="shared" si="1"/>
        <v>#REF!</v>
      </c>
      <c r="B93" s="690" t="str">
        <f t="array" ref="B93">IF($S93="","",IF($S93="Lớp 5",INDEX('Lớp 5 - Phân công'!$I$14:$I$262,$T93),IF($S93="Lớp 4",INDEX('Lớp 4 - Danh mục'!$I$14:$I$132,$T93),INDEX('Lớp 3 - Công việc chính'!$I$14:$I$73,$T93))))</f>
        <v>#REF!</v>
      </c>
      <c r="C93" s="690" t="str">
        <f t="array" ref="C93">IF($S93="","",IF($S93="Lớp 5",INDEX('Lớp 5 - Phân công'!$K$14:$K$262,$T93),IF($S93="Lớp 4",INDEX('Lớp 4 - Danh mục'!$J$14:$J$132,$T93),INDEX('Lớp 3 - Công việc chính'!$I$14:$I$73,$T93))))</f>
        <v>#REF!</v>
      </c>
      <c r="D93" s="690" t="str">
        <f t="array" ref="D93">IF($S93="","",IF($S93="Lớp 5",INDEX('Lớp 5 - Phân công'!$J$14:$J$262,$T93),IF($S93="Lớp 4",INDEX('Lớp 4 - Danh mục'!$I$14:$I$132,$T93),"")))</f>
        <v>#REF!</v>
      </c>
      <c r="E93" s="690" t="str">
        <f t="array" ref="E93">IF($S93="","",IF($S93="Lớp 5",INDEX('Lớp 5 - Phân công'!$L$14:$L$262,$T93),IF($S93="Lớp 4",INDEX('Lớp 4 - Danh mục'!$K$14:$K$132,$T93),INDEX('Lớp 3 - Công việc chính'!$J$14:$J$73,$T93))))</f>
        <v>#REF!</v>
      </c>
      <c r="F93" s="690" t="str">
        <f t="array" ref="F93">IF($S93="","",IF($S93="Lớp 5",INDEX('Lớp 5 - Phân công'!$M$14:$M$262,$T93),IF($S93="Lớp 4",INDEX('Lớp 4 - Danh mục'!$L$14:$L$132,$T93),INDEX('Lớp 3 - Công việc chính'!$K$14:$K$73,$T93))))</f>
        <v>#REF!</v>
      </c>
      <c r="G93" s="691" t="str">
        <f t="array" ref="G93">IF($S93="","",IF($S93="Lớp 5",INDEX('Lớp 5 - Phân công'!$N$14:$N$262,$T93),IF($S93="Lớp 4",INDEX('Lớp 4 - Danh mục'!$M$14:$M$132,$T93),INDEX('Lớp 3 - Công việc chính'!$L$14:$L$73,$T93))))</f>
        <v>#REF!</v>
      </c>
      <c r="H93" s="692" t="str">
        <f t="array" ref="H93">IF($S93="","",IF($S93="Lớp 5",INDEX('Lớp 5 - Phân công'!$O$14:$O$262,$T93),IF($S93="Lớp 4",INDEX('Lớp 4 - Danh mục'!$N$14:$N$132,$T93),INDEX('Lớp 3 - Công việc chính'!$M$14:$M$73,$T93))))</f>
        <v>#REF!</v>
      </c>
      <c r="I93" s="692" t="str">
        <f t="array" ref="I93">IF($S93="","",IF($S93="Lớp 5",INDEX('Lớp 5 - Phân công'!$P$14:$P$262,$T93),IF($S93="Lớp 4",INDEX('Lớp 4 - Danh mục'!$O$14:$O$132,$T93),"")))</f>
        <v>#REF!</v>
      </c>
      <c r="J93" s="693" t="str">
        <f t="array" ref="J93">IF($S93="","",IF($S93="Lớp 5",INDEX('Lớp 5 - Phân công'!$Q$14:$Q$262,$T93),""))</f>
        <v>#REF!</v>
      </c>
      <c r="K93" s="690" t="str">
        <f t="array" ref="K93">IF($S93="","",IF($S93="Lớp 5",INDEX('Lớp 5 - Phân công'!$AA$14:$AA$262,$T93),IF($S93="Lớp 4",INDEX('Lớp 4 - Danh mục'!$Y$14:$Y$132,$T93),INDEX('Lớp 3 - Công việc chính'!$U$14:$U$73,$T93))))</f>
        <v>#REF!</v>
      </c>
      <c r="L93" s="691" t="str">
        <f t="array" ref="L93">IF($S93="","",IF($S93="Lớp 5",INDEX('Lớp 5 - Phân công'!$Z$14:$Z$262,$T93),IF($S93="Lớp 4",INDEX('Lớp 4 - Danh mục'!$X$14:$X$132,$T93),INDEX('Lớp 3 - Công việc chính'!$W$14:$W$73,$T93))))</f>
        <v>#REF!</v>
      </c>
      <c r="M93" s="694" t="str">
        <f t="array" ref="M93">IF($S93="","",IF($S93="Lớp 5",INDEX('Lớp 5 - Phân công'!$AD$14:$AD$262,$T93),IF($S93="Lớp 4",INDEX('Lớp 4 - Danh mục'!$AC$14:$AC$132,$T93),INDEX('Lớp 3 - Công việc chính'!$Z$14:$Z$73,$T93))))</f>
        <v>#REF!</v>
      </c>
      <c r="N93" s="695" t="str">
        <f t="array" ref="N93">IF($S93="","",IF($S93="Lớp 5",INDEX('Lớp 5 - Phân công'!$AE$14:$AE$262,$T93),IF($S93="Lớp 4",INDEX('Lớp 4 - Danh mục'!$AD$14:$AD$132,$T93),INDEX('Lớp 3 - Công việc chính'!$AA$14:$AA$73,$T93))))</f>
        <v>#REF!</v>
      </c>
      <c r="O93" s="690" t="str">
        <f t="array" ref="O93">IF($S93="","",IF($S93="Lớp 5",INDEX('Lớp 5 - Phân công'!$AB$14:$AB$262,$T93),IF($S93="Lớp 4",INDEX('Lớp 4 - Danh mục'!$AA$14:$AA$132,$T93),INDEX('Lớp 3 - Công việc chính'!$X$14:$X$73,$T93))))</f>
        <v>#REF!</v>
      </c>
      <c r="P93" s="703" t="str">
        <f t="array" ref="P93">IF($S93="","",IF($S93="Lớp 5",INDEX('Lớp 5 - Phân công'!$AC$14:$AC$262,$T93),IF($S93="Lớp 4",INDEX('Lớp 4 - Danh mục'!$AB$14:$AB$132,$T93),INDEX('Lớp 3 - Công việc chính'!$Y$14:$Y$73,$T93))))</f>
        <v>#REF!</v>
      </c>
      <c r="Q93" s="697" t="str">
        <f t="array" ref="Q93">IF($S93="","",IF($S93="Lớp 5",INDEX('Lớp 5 - Phân công'!$AG$14:$AG$262,$T93),IF($S93="Lớp 4",INDEX('Lớp 4 - Danh mục'!$AF$14:$AF$132,$T93),INDEX('Lớp 3 - Công việc chính'!$AC$14:$AC$73,$T93))))</f>
        <v>#REF!</v>
      </c>
      <c r="R93" s="698" t="str">
        <f t="array" ref="R93">IF($S93="","",IF($S93="Lớp 5",INDEX('Lớp 5 - Phân công'!$X$14:$X$262,$T93),IF($S93="Lớp 4",INDEX('Lớp 4 - Danh mục'!$V$14:$V$132,$T93),INDEX('Lớp 3 - Công việc chính'!$T$14:$T$73,$T93))))</f>
        <v>#REF!</v>
      </c>
      <c r="S93" s="699" t="str">
        <f>IF(ROWS($S$14:S93)&lt;=COUNTIF('Lớp 5 - Phân công'!$I$14:$I$262,"&lt;&gt;"),"Lớp 5",IF(ROWS($S$14:S93)&lt;=COUNTIF('Lớp 5 - Phân công'!$I$14:$I$262,"&lt;&gt;")+SUMPRODUCT(--('Lớp 4 - Danh mục'!$I$14:$I$132&lt;&gt;""),--(COUNTIF('Lớp 5 - Phân công'!$J$14:$J$262,'Lớp 4 - Danh mục'!$I$14:$I$132)=0)),"Lớp 4",IF(ROWS($S$14:S93)&lt;=COUNTIF('Lớp 5 - Phân công'!$I$14:$I$262,"&lt;&gt;")+SUMPRODUCT(--('Lớp 4 - Danh mục'!$I$14:$I$132&lt;&gt;""),--(COUNTIF('Lớp 5 - Phân công'!$J$14:$J$262,'Lớp 4 - Danh mục'!$I$14:$I$132)=0))+SUMPRODUCT(--('Lớp 3 - Công việc chính'!$I$14:$I$73&lt;&gt;""),--(COUNTIF('Lớp 4 - Danh mục'!$J$14:$J$132,'Lớp 3 - Công việc chính'!$I$14:$I$73)=0)),"Lớp 3","")))</f>
        <v>#REF!</v>
      </c>
      <c r="T93" s="699" t="str">
        <f t="array" ref="T93">IF(S93="","",IF(S93="Lớp 5",IF(S92&lt;&gt;"Lớp 5",MATCH("*",'Lớp 5 - Phân công'!$I$14:$I$262,0),T92+MATCH("*",INDEX('Lớp 5 - Phân công'!$I$14:$I$262,T92+1):'Lớp 5 - Phân công'!$I$262,0)),IF(S93="Lớp 4",IF(S92&lt;&gt;"Lớp 4",MATCH(1,INDEX(('Lớp 4 - Danh mục'!$I$14:$I$132&lt;&gt;"")*(COUNTIF('Lớp 5 - Phân công'!$J$14:$J$262,'Lớp 4 - Danh mục'!$I$14:$I$132)=0),0),0),T92+MATCH(1,INDEX((INDEX('Lớp 4 - Danh mục'!$I$14:$I$132,T92+1):'Lớp 4 - Danh mục'!$I$132&lt;&gt;"")*(COUNTIF('Lớp 5 - Phân công'!$J$14:$J$262,INDEX('Lớp 4 - Danh mục'!$I$14:$I$132,T92+1):'Lớp 4 - Danh mục'!$I$132)=0),0),0)),IF(S92&lt;&gt;"Lớp 3",MATCH(1,INDEX(('Lớp 3 - Công việc chính'!$I$14:$I$73&lt;&gt;"")*(COUNTIF('Lớp 4 - Danh mục'!$J$14:$J$132,'Lớp 3 - Công việc chính'!$I$14:$I$73)=0),0),0),T92+MATCH(1,INDEX((INDEX('Lớp 3 - Công việc chính'!$I$14:$I$73,T92+1):'Lớp 3 - Công việc chính'!$I$73&lt;&gt;"")*(COUNTIF('Lớp 4 - Danh mục'!$J$14:$J$132,INDEX('Lớp 3 - Công việc chính'!$I$14:$I$73,T92+1):'Lớp 3 - Công việc chính'!$I$73)=0),0),0)))))</f>
        <v>#REF!</v>
      </c>
      <c r="Z93" s="700" t="str">
        <f t="array" ref="Z93">IF($S93="","",IF($S93="Lớp 5",INDEX('Lớp 5 - Phân công'!$AS$14:$AS$262,$T93),IF($S93="Lớp 4",INDEX('Lớp 4 - Danh mục'!$AR$14:$AR$132,$T93),INDEX('Lớp 3 - Công việc chính'!$AO$14:$AO$73,$T93))))</f>
        <v>#REF!</v>
      </c>
      <c r="AA93" s="701" t="str">
        <f t="array" ref="AA93">IF($S93="","",IF($S93="Lớp 5",INDEX('Lớp 5 - Phân công'!$AT$14:$AT$262,$T93),IF($S93="Lớp 4",INDEX('Lớp 4 - Danh mục'!$AS$14:$AS$132,$T93),INDEX('Lớp 3 - Công việc chính'!$AP$14:$AP$73,$T93))))</f>
        <v>#REF!</v>
      </c>
      <c r="AB93" s="701" t="str">
        <f t="array" ref="AB93">IF($S93="","",IF($S93="Lớp 5",INDEX('Lớp 5 - Phân công'!$AJ$14:$AJ$262,$T93),IF($S93="Lớp 4",INDEX('Lớp 4 - Danh mục'!$AI$14:$AI$132,$T93),INDEX('Lớp 3 - Công việc chính'!$AF$14:$AF$73,$T93))))</f>
        <v>#REF!</v>
      </c>
      <c r="AC93" s="702" t="str">
        <f t="array" ref="AC93">IF($S93="","",IF($S93="Lớp 5",INDEX('Lớp 5 - Phân công'!$AV$14:$AV$262,$T93),IF($S93="Lớp 4",INDEX('Lớp 4 - Danh mục'!$AU$14:$AU$132,$T93),INDEX('Lớp 3 - Công việc chính'!$AR$14:$AR$73,$T93))))</f>
        <v>#REF!</v>
      </c>
    </row>
    <row r="94" ht="15.75" customHeight="1">
      <c r="A94" s="690" t="str">
        <f t="shared" si="1"/>
        <v>#REF!</v>
      </c>
      <c r="B94" s="690" t="str">
        <f t="array" ref="B94">IF($S94="","",IF($S94="Lớp 5",INDEX('Lớp 5 - Phân công'!$I$14:$I$262,$T94),IF($S94="Lớp 4",INDEX('Lớp 4 - Danh mục'!$I$14:$I$132,$T94),INDEX('Lớp 3 - Công việc chính'!$I$14:$I$73,$T94))))</f>
        <v>#REF!</v>
      </c>
      <c r="C94" s="690" t="str">
        <f t="array" ref="C94">IF($S94="","",IF($S94="Lớp 5",INDEX('Lớp 5 - Phân công'!$K$14:$K$262,$T94),IF($S94="Lớp 4",INDEX('Lớp 4 - Danh mục'!$J$14:$J$132,$T94),INDEX('Lớp 3 - Công việc chính'!$I$14:$I$73,$T94))))</f>
        <v>#REF!</v>
      </c>
      <c r="D94" s="690" t="str">
        <f t="array" ref="D94">IF($S94="","",IF($S94="Lớp 5",INDEX('Lớp 5 - Phân công'!$J$14:$J$262,$T94),IF($S94="Lớp 4",INDEX('Lớp 4 - Danh mục'!$I$14:$I$132,$T94),"")))</f>
        <v>#REF!</v>
      </c>
      <c r="E94" s="690" t="str">
        <f t="array" ref="E94">IF($S94="","",IF($S94="Lớp 5",INDEX('Lớp 5 - Phân công'!$L$14:$L$262,$T94),IF($S94="Lớp 4",INDEX('Lớp 4 - Danh mục'!$K$14:$K$132,$T94),INDEX('Lớp 3 - Công việc chính'!$J$14:$J$73,$T94))))</f>
        <v>#REF!</v>
      </c>
      <c r="F94" s="690" t="str">
        <f t="array" ref="F94">IF($S94="","",IF($S94="Lớp 5",INDEX('Lớp 5 - Phân công'!$M$14:$M$262,$T94),IF($S94="Lớp 4",INDEX('Lớp 4 - Danh mục'!$L$14:$L$132,$T94),INDEX('Lớp 3 - Công việc chính'!$K$14:$K$73,$T94))))</f>
        <v>#REF!</v>
      </c>
      <c r="G94" s="691" t="str">
        <f t="array" ref="G94">IF($S94="","",IF($S94="Lớp 5",INDEX('Lớp 5 - Phân công'!$N$14:$N$262,$T94),IF($S94="Lớp 4",INDEX('Lớp 4 - Danh mục'!$M$14:$M$132,$T94),INDEX('Lớp 3 - Công việc chính'!$L$14:$L$73,$T94))))</f>
        <v>#REF!</v>
      </c>
      <c r="H94" s="692" t="str">
        <f t="array" ref="H94">IF($S94="","",IF($S94="Lớp 5",INDEX('Lớp 5 - Phân công'!$O$14:$O$262,$T94),IF($S94="Lớp 4",INDEX('Lớp 4 - Danh mục'!$N$14:$N$132,$T94),INDEX('Lớp 3 - Công việc chính'!$M$14:$M$73,$T94))))</f>
        <v>#REF!</v>
      </c>
      <c r="I94" s="692" t="str">
        <f t="array" ref="I94">IF($S94="","",IF($S94="Lớp 5",INDEX('Lớp 5 - Phân công'!$P$14:$P$262,$T94),IF($S94="Lớp 4",INDEX('Lớp 4 - Danh mục'!$O$14:$O$132,$T94),"")))</f>
        <v>#REF!</v>
      </c>
      <c r="J94" s="693" t="str">
        <f t="array" ref="J94">IF($S94="","",IF($S94="Lớp 5",INDEX('Lớp 5 - Phân công'!$Q$14:$Q$262,$T94),""))</f>
        <v>#REF!</v>
      </c>
      <c r="K94" s="690" t="str">
        <f t="array" ref="K94">IF($S94="","",IF($S94="Lớp 5",INDEX('Lớp 5 - Phân công'!$AA$14:$AA$262,$T94),IF($S94="Lớp 4",INDEX('Lớp 4 - Danh mục'!$Y$14:$Y$132,$T94),INDEX('Lớp 3 - Công việc chính'!$U$14:$U$73,$T94))))</f>
        <v>#REF!</v>
      </c>
      <c r="L94" s="691" t="str">
        <f t="array" ref="L94">IF($S94="","",IF($S94="Lớp 5",INDEX('Lớp 5 - Phân công'!$Z$14:$Z$262,$T94),IF($S94="Lớp 4",INDEX('Lớp 4 - Danh mục'!$X$14:$X$132,$T94),INDEX('Lớp 3 - Công việc chính'!$W$14:$W$73,$T94))))</f>
        <v>#REF!</v>
      </c>
      <c r="M94" s="694" t="str">
        <f t="array" ref="M94">IF($S94="","",IF($S94="Lớp 5",INDEX('Lớp 5 - Phân công'!$AD$14:$AD$262,$T94),IF($S94="Lớp 4",INDEX('Lớp 4 - Danh mục'!$AC$14:$AC$132,$T94),INDEX('Lớp 3 - Công việc chính'!$Z$14:$Z$73,$T94))))</f>
        <v>#REF!</v>
      </c>
      <c r="N94" s="695" t="str">
        <f t="array" ref="N94">IF($S94="","",IF($S94="Lớp 5",INDEX('Lớp 5 - Phân công'!$AE$14:$AE$262,$T94),IF($S94="Lớp 4",INDEX('Lớp 4 - Danh mục'!$AD$14:$AD$132,$T94),INDEX('Lớp 3 - Công việc chính'!$AA$14:$AA$73,$T94))))</f>
        <v>#REF!</v>
      </c>
      <c r="O94" s="690" t="str">
        <f t="array" ref="O94">IF($S94="","",IF($S94="Lớp 5",INDEX('Lớp 5 - Phân công'!$AB$14:$AB$262,$T94),IF($S94="Lớp 4",INDEX('Lớp 4 - Danh mục'!$AA$14:$AA$132,$T94),INDEX('Lớp 3 - Công việc chính'!$X$14:$X$73,$T94))))</f>
        <v>#REF!</v>
      </c>
      <c r="P94" s="703" t="str">
        <f t="array" ref="P94">IF($S94="","",IF($S94="Lớp 5",INDEX('Lớp 5 - Phân công'!$AC$14:$AC$262,$T94),IF($S94="Lớp 4",INDEX('Lớp 4 - Danh mục'!$AB$14:$AB$132,$T94),INDEX('Lớp 3 - Công việc chính'!$Y$14:$Y$73,$T94))))</f>
        <v>#REF!</v>
      </c>
      <c r="Q94" s="697" t="str">
        <f t="array" ref="Q94">IF($S94="","",IF($S94="Lớp 5",INDEX('Lớp 5 - Phân công'!$AG$14:$AG$262,$T94),IF($S94="Lớp 4",INDEX('Lớp 4 - Danh mục'!$AF$14:$AF$132,$T94),INDEX('Lớp 3 - Công việc chính'!$AC$14:$AC$73,$T94))))</f>
        <v>#REF!</v>
      </c>
      <c r="R94" s="698" t="str">
        <f t="array" ref="R94">IF($S94="","",IF($S94="Lớp 5",INDEX('Lớp 5 - Phân công'!$X$14:$X$262,$T94),IF($S94="Lớp 4",INDEX('Lớp 4 - Danh mục'!$V$14:$V$132,$T94),INDEX('Lớp 3 - Công việc chính'!$T$14:$T$73,$T94))))</f>
        <v>#REF!</v>
      </c>
      <c r="S94" s="699" t="str">
        <f>IF(ROWS($S$14:S94)&lt;=COUNTIF('Lớp 5 - Phân công'!$I$14:$I$262,"&lt;&gt;"),"Lớp 5",IF(ROWS($S$14:S94)&lt;=COUNTIF('Lớp 5 - Phân công'!$I$14:$I$262,"&lt;&gt;")+SUMPRODUCT(--('Lớp 4 - Danh mục'!$I$14:$I$132&lt;&gt;""),--(COUNTIF('Lớp 5 - Phân công'!$J$14:$J$262,'Lớp 4 - Danh mục'!$I$14:$I$132)=0)),"Lớp 4",IF(ROWS($S$14:S94)&lt;=COUNTIF('Lớp 5 - Phân công'!$I$14:$I$262,"&lt;&gt;")+SUMPRODUCT(--('Lớp 4 - Danh mục'!$I$14:$I$132&lt;&gt;""),--(COUNTIF('Lớp 5 - Phân công'!$J$14:$J$262,'Lớp 4 - Danh mục'!$I$14:$I$132)=0))+SUMPRODUCT(--('Lớp 3 - Công việc chính'!$I$14:$I$73&lt;&gt;""),--(COUNTIF('Lớp 4 - Danh mục'!$J$14:$J$132,'Lớp 3 - Công việc chính'!$I$14:$I$73)=0)),"Lớp 3","")))</f>
        <v>#REF!</v>
      </c>
      <c r="T94" s="699" t="str">
        <f t="array" ref="T94">IF(S94="","",IF(S94="Lớp 5",IF(S93&lt;&gt;"Lớp 5",MATCH("*",'Lớp 5 - Phân công'!$I$14:$I$262,0),T93+MATCH("*",INDEX('Lớp 5 - Phân công'!$I$14:$I$262,T93+1):'Lớp 5 - Phân công'!$I$262,0)),IF(S94="Lớp 4",IF(S93&lt;&gt;"Lớp 4",MATCH(1,INDEX(('Lớp 4 - Danh mục'!$I$14:$I$132&lt;&gt;"")*(COUNTIF('Lớp 5 - Phân công'!$J$14:$J$262,'Lớp 4 - Danh mục'!$I$14:$I$132)=0),0),0),T93+MATCH(1,INDEX((INDEX('Lớp 4 - Danh mục'!$I$14:$I$132,T93+1):'Lớp 4 - Danh mục'!$I$132&lt;&gt;"")*(COUNTIF('Lớp 5 - Phân công'!$J$14:$J$262,INDEX('Lớp 4 - Danh mục'!$I$14:$I$132,T93+1):'Lớp 4 - Danh mục'!$I$132)=0),0),0)),IF(S93&lt;&gt;"Lớp 3",MATCH(1,INDEX(('Lớp 3 - Công việc chính'!$I$14:$I$73&lt;&gt;"")*(COUNTIF('Lớp 4 - Danh mục'!$J$14:$J$132,'Lớp 3 - Công việc chính'!$I$14:$I$73)=0),0),0),T93+MATCH(1,INDEX((INDEX('Lớp 3 - Công việc chính'!$I$14:$I$73,T93+1):'Lớp 3 - Công việc chính'!$I$73&lt;&gt;"")*(COUNTIF('Lớp 4 - Danh mục'!$J$14:$J$132,INDEX('Lớp 3 - Công việc chính'!$I$14:$I$73,T93+1):'Lớp 3 - Công việc chính'!$I$73)=0),0),0)))))</f>
        <v>#REF!</v>
      </c>
      <c r="Z94" s="700" t="str">
        <f t="array" ref="Z94">IF($S94="","",IF($S94="Lớp 5",INDEX('Lớp 5 - Phân công'!$AS$14:$AS$262,$T94),IF($S94="Lớp 4",INDEX('Lớp 4 - Danh mục'!$AR$14:$AR$132,$T94),INDEX('Lớp 3 - Công việc chính'!$AO$14:$AO$73,$T94))))</f>
        <v>#REF!</v>
      </c>
      <c r="AA94" s="701" t="str">
        <f t="array" ref="AA94">IF($S94="","",IF($S94="Lớp 5",INDEX('Lớp 5 - Phân công'!$AT$14:$AT$262,$T94),IF($S94="Lớp 4",INDEX('Lớp 4 - Danh mục'!$AS$14:$AS$132,$T94),INDEX('Lớp 3 - Công việc chính'!$AP$14:$AP$73,$T94))))</f>
        <v>#REF!</v>
      </c>
      <c r="AB94" s="701" t="str">
        <f t="array" ref="AB94">IF($S94="","",IF($S94="Lớp 5",INDEX('Lớp 5 - Phân công'!$AJ$14:$AJ$262,$T94),IF($S94="Lớp 4",INDEX('Lớp 4 - Danh mục'!$AI$14:$AI$132,$T94),INDEX('Lớp 3 - Công việc chính'!$AF$14:$AF$73,$T94))))</f>
        <v>#REF!</v>
      </c>
      <c r="AC94" s="702" t="str">
        <f t="array" ref="AC94">IF($S94="","",IF($S94="Lớp 5",INDEX('Lớp 5 - Phân công'!$AV$14:$AV$262,$T94),IF($S94="Lớp 4",INDEX('Lớp 4 - Danh mục'!$AU$14:$AU$132,$T94),INDEX('Lớp 3 - Công việc chính'!$AR$14:$AR$73,$T94))))</f>
        <v>#REF!</v>
      </c>
    </row>
    <row r="95" ht="15.75" customHeight="1">
      <c r="A95" s="690" t="str">
        <f t="shared" si="1"/>
        <v>#REF!</v>
      </c>
      <c r="B95" s="690" t="str">
        <f t="array" ref="B95">IF($S95="","",IF($S95="Lớp 5",INDEX('Lớp 5 - Phân công'!$I$14:$I$262,$T95),IF($S95="Lớp 4",INDEX('Lớp 4 - Danh mục'!$I$14:$I$132,$T95),INDEX('Lớp 3 - Công việc chính'!$I$14:$I$73,$T95))))</f>
        <v>#REF!</v>
      </c>
      <c r="C95" s="690" t="str">
        <f t="array" ref="C95">IF($S95="","",IF($S95="Lớp 5",INDEX('Lớp 5 - Phân công'!$K$14:$K$262,$T95),IF($S95="Lớp 4",INDEX('Lớp 4 - Danh mục'!$J$14:$J$132,$T95),INDEX('Lớp 3 - Công việc chính'!$I$14:$I$73,$T95))))</f>
        <v>#REF!</v>
      </c>
      <c r="D95" s="690" t="str">
        <f t="array" ref="D95">IF($S95="","",IF($S95="Lớp 5",INDEX('Lớp 5 - Phân công'!$J$14:$J$262,$T95),IF($S95="Lớp 4",INDEX('Lớp 4 - Danh mục'!$I$14:$I$132,$T95),"")))</f>
        <v>#REF!</v>
      </c>
      <c r="E95" s="690" t="str">
        <f t="array" ref="E95">IF($S95="","",IF($S95="Lớp 5",INDEX('Lớp 5 - Phân công'!$L$14:$L$262,$T95),IF($S95="Lớp 4",INDEX('Lớp 4 - Danh mục'!$K$14:$K$132,$T95),INDEX('Lớp 3 - Công việc chính'!$J$14:$J$73,$T95))))</f>
        <v>#REF!</v>
      </c>
      <c r="F95" s="690" t="str">
        <f t="array" ref="F95">IF($S95="","",IF($S95="Lớp 5",INDEX('Lớp 5 - Phân công'!$M$14:$M$262,$T95),IF($S95="Lớp 4",INDEX('Lớp 4 - Danh mục'!$L$14:$L$132,$T95),INDEX('Lớp 3 - Công việc chính'!$K$14:$K$73,$T95))))</f>
        <v>#REF!</v>
      </c>
      <c r="G95" s="691" t="str">
        <f t="array" ref="G95">IF($S95="","",IF($S95="Lớp 5",INDEX('Lớp 5 - Phân công'!$N$14:$N$262,$T95),IF($S95="Lớp 4",INDEX('Lớp 4 - Danh mục'!$M$14:$M$132,$T95),INDEX('Lớp 3 - Công việc chính'!$L$14:$L$73,$T95))))</f>
        <v>#REF!</v>
      </c>
      <c r="H95" s="692" t="str">
        <f t="array" ref="H95">IF($S95="","",IF($S95="Lớp 5",INDEX('Lớp 5 - Phân công'!$O$14:$O$262,$T95),IF($S95="Lớp 4",INDEX('Lớp 4 - Danh mục'!$N$14:$N$132,$T95),INDEX('Lớp 3 - Công việc chính'!$M$14:$M$73,$T95))))</f>
        <v>#REF!</v>
      </c>
      <c r="I95" s="692" t="str">
        <f t="array" ref="I95">IF($S95="","",IF($S95="Lớp 5",INDEX('Lớp 5 - Phân công'!$P$14:$P$262,$T95),IF($S95="Lớp 4",INDEX('Lớp 4 - Danh mục'!$O$14:$O$132,$T95),"")))</f>
        <v>#REF!</v>
      </c>
      <c r="J95" s="693" t="str">
        <f t="array" ref="J95">IF($S95="","",IF($S95="Lớp 5",INDEX('Lớp 5 - Phân công'!$Q$14:$Q$262,$T95),""))</f>
        <v>#REF!</v>
      </c>
      <c r="K95" s="690" t="str">
        <f t="array" ref="K95">IF($S95="","",IF($S95="Lớp 5",INDEX('Lớp 5 - Phân công'!$AA$14:$AA$262,$T95),IF($S95="Lớp 4",INDEX('Lớp 4 - Danh mục'!$Y$14:$Y$132,$T95),INDEX('Lớp 3 - Công việc chính'!$U$14:$U$73,$T95))))</f>
        <v>#REF!</v>
      </c>
      <c r="L95" s="691" t="str">
        <f t="array" ref="L95">IF($S95="","",IF($S95="Lớp 5",INDEX('Lớp 5 - Phân công'!$Z$14:$Z$262,$T95),IF($S95="Lớp 4",INDEX('Lớp 4 - Danh mục'!$X$14:$X$132,$T95),INDEX('Lớp 3 - Công việc chính'!$W$14:$W$73,$T95))))</f>
        <v>#REF!</v>
      </c>
      <c r="M95" s="694" t="str">
        <f t="array" ref="M95">IF($S95="","",IF($S95="Lớp 5",INDEX('Lớp 5 - Phân công'!$AD$14:$AD$262,$T95),IF($S95="Lớp 4",INDEX('Lớp 4 - Danh mục'!$AC$14:$AC$132,$T95),INDEX('Lớp 3 - Công việc chính'!$Z$14:$Z$73,$T95))))</f>
        <v>#REF!</v>
      </c>
      <c r="N95" s="695" t="str">
        <f t="array" ref="N95">IF($S95="","",IF($S95="Lớp 5",INDEX('Lớp 5 - Phân công'!$AE$14:$AE$262,$T95),IF($S95="Lớp 4",INDEX('Lớp 4 - Danh mục'!$AD$14:$AD$132,$T95),INDEX('Lớp 3 - Công việc chính'!$AA$14:$AA$73,$T95))))</f>
        <v>#REF!</v>
      </c>
      <c r="O95" s="690" t="str">
        <f t="array" ref="O95">IF($S95="","",IF($S95="Lớp 5",INDEX('Lớp 5 - Phân công'!$AB$14:$AB$262,$T95),IF($S95="Lớp 4",INDEX('Lớp 4 - Danh mục'!$AA$14:$AA$132,$T95),INDEX('Lớp 3 - Công việc chính'!$X$14:$X$73,$T95))))</f>
        <v>#REF!</v>
      </c>
      <c r="P95" s="703" t="str">
        <f t="array" ref="P95">IF($S95="","",IF($S95="Lớp 5",INDEX('Lớp 5 - Phân công'!$AC$14:$AC$262,$T95),IF($S95="Lớp 4",INDEX('Lớp 4 - Danh mục'!$AB$14:$AB$132,$T95),INDEX('Lớp 3 - Công việc chính'!$Y$14:$Y$73,$T95))))</f>
        <v>#REF!</v>
      </c>
      <c r="Q95" s="697" t="str">
        <f t="array" ref="Q95">IF($S95="","",IF($S95="Lớp 5",INDEX('Lớp 5 - Phân công'!$AG$14:$AG$262,$T95),IF($S95="Lớp 4",INDEX('Lớp 4 - Danh mục'!$AF$14:$AF$132,$T95),INDEX('Lớp 3 - Công việc chính'!$AC$14:$AC$73,$T95))))</f>
        <v>#REF!</v>
      </c>
      <c r="R95" s="698" t="str">
        <f t="array" ref="R95">IF($S95="","",IF($S95="Lớp 5",INDEX('Lớp 5 - Phân công'!$X$14:$X$262,$T95),IF($S95="Lớp 4",INDEX('Lớp 4 - Danh mục'!$V$14:$V$132,$T95),INDEX('Lớp 3 - Công việc chính'!$T$14:$T$73,$T95))))</f>
        <v>#REF!</v>
      </c>
      <c r="S95" s="699" t="str">
        <f>IF(ROWS($S$14:S95)&lt;=COUNTIF('Lớp 5 - Phân công'!$I$14:$I$262,"&lt;&gt;"),"Lớp 5",IF(ROWS($S$14:S95)&lt;=COUNTIF('Lớp 5 - Phân công'!$I$14:$I$262,"&lt;&gt;")+SUMPRODUCT(--('Lớp 4 - Danh mục'!$I$14:$I$132&lt;&gt;""),--(COUNTIF('Lớp 5 - Phân công'!$J$14:$J$262,'Lớp 4 - Danh mục'!$I$14:$I$132)=0)),"Lớp 4",IF(ROWS($S$14:S95)&lt;=COUNTIF('Lớp 5 - Phân công'!$I$14:$I$262,"&lt;&gt;")+SUMPRODUCT(--('Lớp 4 - Danh mục'!$I$14:$I$132&lt;&gt;""),--(COUNTIF('Lớp 5 - Phân công'!$J$14:$J$262,'Lớp 4 - Danh mục'!$I$14:$I$132)=0))+SUMPRODUCT(--('Lớp 3 - Công việc chính'!$I$14:$I$73&lt;&gt;""),--(COUNTIF('Lớp 4 - Danh mục'!$J$14:$J$132,'Lớp 3 - Công việc chính'!$I$14:$I$73)=0)),"Lớp 3","")))</f>
        <v>#REF!</v>
      </c>
      <c r="T95" s="699" t="str">
        <f t="array" ref="T95">IF(S95="","",IF(S95="Lớp 5",IF(S94&lt;&gt;"Lớp 5",MATCH("*",'Lớp 5 - Phân công'!$I$14:$I$262,0),T94+MATCH("*",INDEX('Lớp 5 - Phân công'!$I$14:$I$262,T94+1):'Lớp 5 - Phân công'!$I$262,0)),IF(S95="Lớp 4",IF(S94&lt;&gt;"Lớp 4",MATCH(1,INDEX(('Lớp 4 - Danh mục'!$I$14:$I$132&lt;&gt;"")*(COUNTIF('Lớp 5 - Phân công'!$J$14:$J$262,'Lớp 4 - Danh mục'!$I$14:$I$132)=0),0),0),T94+MATCH(1,INDEX((INDEX('Lớp 4 - Danh mục'!$I$14:$I$132,T94+1):'Lớp 4 - Danh mục'!$I$132&lt;&gt;"")*(COUNTIF('Lớp 5 - Phân công'!$J$14:$J$262,INDEX('Lớp 4 - Danh mục'!$I$14:$I$132,T94+1):'Lớp 4 - Danh mục'!$I$132)=0),0),0)),IF(S94&lt;&gt;"Lớp 3",MATCH(1,INDEX(('Lớp 3 - Công việc chính'!$I$14:$I$73&lt;&gt;"")*(COUNTIF('Lớp 4 - Danh mục'!$J$14:$J$132,'Lớp 3 - Công việc chính'!$I$14:$I$73)=0),0),0),T94+MATCH(1,INDEX((INDEX('Lớp 3 - Công việc chính'!$I$14:$I$73,T94+1):'Lớp 3 - Công việc chính'!$I$73&lt;&gt;"")*(COUNTIF('Lớp 4 - Danh mục'!$J$14:$J$132,INDEX('Lớp 3 - Công việc chính'!$I$14:$I$73,T94+1):'Lớp 3 - Công việc chính'!$I$73)=0),0),0)))))</f>
        <v>#REF!</v>
      </c>
      <c r="Z95" s="700" t="str">
        <f t="array" ref="Z95">IF($S95="","",IF($S95="Lớp 5",INDEX('Lớp 5 - Phân công'!$AS$14:$AS$262,$T95),IF($S95="Lớp 4",INDEX('Lớp 4 - Danh mục'!$AR$14:$AR$132,$T95),INDEX('Lớp 3 - Công việc chính'!$AO$14:$AO$73,$T95))))</f>
        <v>#REF!</v>
      </c>
      <c r="AA95" s="701" t="str">
        <f t="array" ref="AA95">IF($S95="","",IF($S95="Lớp 5",INDEX('Lớp 5 - Phân công'!$AT$14:$AT$262,$T95),IF($S95="Lớp 4",INDEX('Lớp 4 - Danh mục'!$AS$14:$AS$132,$T95),INDEX('Lớp 3 - Công việc chính'!$AP$14:$AP$73,$T95))))</f>
        <v>#REF!</v>
      </c>
      <c r="AB95" s="701" t="str">
        <f t="array" ref="AB95">IF($S95="","",IF($S95="Lớp 5",INDEX('Lớp 5 - Phân công'!$AJ$14:$AJ$262,$T95),IF($S95="Lớp 4",INDEX('Lớp 4 - Danh mục'!$AI$14:$AI$132,$T95),INDEX('Lớp 3 - Công việc chính'!$AF$14:$AF$73,$T95))))</f>
        <v>#REF!</v>
      </c>
      <c r="AC95" s="702" t="str">
        <f t="array" ref="AC95">IF($S95="","",IF($S95="Lớp 5",INDEX('Lớp 5 - Phân công'!$AV$14:$AV$262,$T95),IF($S95="Lớp 4",INDEX('Lớp 4 - Danh mục'!$AU$14:$AU$132,$T95),INDEX('Lớp 3 - Công việc chính'!$AR$14:$AR$73,$T95))))</f>
        <v>#REF!</v>
      </c>
    </row>
    <row r="96" ht="15.75" customHeight="1">
      <c r="A96" s="690" t="str">
        <f t="shared" si="1"/>
        <v>#REF!</v>
      </c>
      <c r="B96" s="690" t="str">
        <f t="array" ref="B96">IF($S96="","",IF($S96="Lớp 5",INDEX('Lớp 5 - Phân công'!$I$14:$I$262,$T96),IF($S96="Lớp 4",INDEX('Lớp 4 - Danh mục'!$I$14:$I$132,$T96),INDEX('Lớp 3 - Công việc chính'!$I$14:$I$73,$T96))))</f>
        <v>#REF!</v>
      </c>
      <c r="C96" s="690" t="str">
        <f t="array" ref="C96">IF($S96="","",IF($S96="Lớp 5",INDEX('Lớp 5 - Phân công'!$K$14:$K$262,$T96),IF($S96="Lớp 4",INDEX('Lớp 4 - Danh mục'!$J$14:$J$132,$T96),INDEX('Lớp 3 - Công việc chính'!$I$14:$I$73,$T96))))</f>
        <v>#REF!</v>
      </c>
      <c r="D96" s="690" t="str">
        <f t="array" ref="D96">IF($S96="","",IF($S96="Lớp 5",INDEX('Lớp 5 - Phân công'!$J$14:$J$262,$T96),IF($S96="Lớp 4",INDEX('Lớp 4 - Danh mục'!$I$14:$I$132,$T96),"")))</f>
        <v>#REF!</v>
      </c>
      <c r="E96" s="690" t="str">
        <f t="array" ref="E96">IF($S96="","",IF($S96="Lớp 5",INDEX('Lớp 5 - Phân công'!$L$14:$L$262,$T96),IF($S96="Lớp 4",INDEX('Lớp 4 - Danh mục'!$K$14:$K$132,$T96),INDEX('Lớp 3 - Công việc chính'!$J$14:$J$73,$T96))))</f>
        <v>#REF!</v>
      </c>
      <c r="F96" s="690" t="str">
        <f t="array" ref="F96">IF($S96="","",IF($S96="Lớp 5",INDEX('Lớp 5 - Phân công'!$M$14:$M$262,$T96),IF($S96="Lớp 4",INDEX('Lớp 4 - Danh mục'!$L$14:$L$132,$T96),INDEX('Lớp 3 - Công việc chính'!$K$14:$K$73,$T96))))</f>
        <v>#REF!</v>
      </c>
      <c r="G96" s="691" t="str">
        <f t="array" ref="G96">IF($S96="","",IF($S96="Lớp 5",INDEX('Lớp 5 - Phân công'!$N$14:$N$262,$T96),IF($S96="Lớp 4",INDEX('Lớp 4 - Danh mục'!$M$14:$M$132,$T96),INDEX('Lớp 3 - Công việc chính'!$L$14:$L$73,$T96))))</f>
        <v>#REF!</v>
      </c>
      <c r="H96" s="692" t="str">
        <f t="array" ref="H96">IF($S96="","",IF($S96="Lớp 5",INDEX('Lớp 5 - Phân công'!$O$14:$O$262,$T96),IF($S96="Lớp 4",INDEX('Lớp 4 - Danh mục'!$N$14:$N$132,$T96),INDEX('Lớp 3 - Công việc chính'!$M$14:$M$73,$T96))))</f>
        <v>#REF!</v>
      </c>
      <c r="I96" s="692" t="str">
        <f t="array" ref="I96">IF($S96="","",IF($S96="Lớp 5",INDEX('Lớp 5 - Phân công'!$P$14:$P$262,$T96),IF($S96="Lớp 4",INDEX('Lớp 4 - Danh mục'!$O$14:$O$132,$T96),"")))</f>
        <v>#REF!</v>
      </c>
      <c r="J96" s="693" t="str">
        <f t="array" ref="J96">IF($S96="","",IF($S96="Lớp 5",INDEX('Lớp 5 - Phân công'!$Q$14:$Q$262,$T96),""))</f>
        <v>#REF!</v>
      </c>
      <c r="K96" s="690" t="str">
        <f t="array" ref="K96">IF($S96="","",IF($S96="Lớp 5",INDEX('Lớp 5 - Phân công'!$AA$14:$AA$262,$T96),IF($S96="Lớp 4",INDEX('Lớp 4 - Danh mục'!$Y$14:$Y$132,$T96),INDEX('Lớp 3 - Công việc chính'!$U$14:$U$73,$T96))))</f>
        <v>#REF!</v>
      </c>
      <c r="L96" s="691" t="str">
        <f t="array" ref="L96">IF($S96="","",IF($S96="Lớp 5",INDEX('Lớp 5 - Phân công'!$Z$14:$Z$262,$T96),IF($S96="Lớp 4",INDEX('Lớp 4 - Danh mục'!$X$14:$X$132,$T96),INDEX('Lớp 3 - Công việc chính'!$W$14:$W$73,$T96))))</f>
        <v>#REF!</v>
      </c>
      <c r="M96" s="694" t="str">
        <f t="array" ref="M96">IF($S96="","",IF($S96="Lớp 5",INDEX('Lớp 5 - Phân công'!$AD$14:$AD$262,$T96),IF($S96="Lớp 4",INDEX('Lớp 4 - Danh mục'!$AC$14:$AC$132,$T96),INDEX('Lớp 3 - Công việc chính'!$Z$14:$Z$73,$T96))))</f>
        <v>#REF!</v>
      </c>
      <c r="N96" s="695" t="str">
        <f t="array" ref="N96">IF($S96="","",IF($S96="Lớp 5",INDEX('Lớp 5 - Phân công'!$AE$14:$AE$262,$T96),IF($S96="Lớp 4",INDEX('Lớp 4 - Danh mục'!$AD$14:$AD$132,$T96),INDEX('Lớp 3 - Công việc chính'!$AA$14:$AA$73,$T96))))</f>
        <v>#REF!</v>
      </c>
      <c r="O96" s="690" t="str">
        <f t="array" ref="O96">IF($S96="","",IF($S96="Lớp 5",INDEX('Lớp 5 - Phân công'!$AB$14:$AB$262,$T96),IF($S96="Lớp 4",INDEX('Lớp 4 - Danh mục'!$AA$14:$AA$132,$T96),INDEX('Lớp 3 - Công việc chính'!$X$14:$X$73,$T96))))</f>
        <v>#REF!</v>
      </c>
      <c r="P96" s="703" t="str">
        <f t="array" ref="P96">IF($S96="","",IF($S96="Lớp 5",INDEX('Lớp 5 - Phân công'!$AC$14:$AC$262,$T96),IF($S96="Lớp 4",INDEX('Lớp 4 - Danh mục'!$AB$14:$AB$132,$T96),INDEX('Lớp 3 - Công việc chính'!$Y$14:$Y$73,$T96))))</f>
        <v>#REF!</v>
      </c>
      <c r="Q96" s="697" t="str">
        <f t="array" ref="Q96">IF($S96="","",IF($S96="Lớp 5",INDEX('Lớp 5 - Phân công'!$AG$14:$AG$262,$T96),IF($S96="Lớp 4",INDEX('Lớp 4 - Danh mục'!$AF$14:$AF$132,$T96),INDEX('Lớp 3 - Công việc chính'!$AC$14:$AC$73,$T96))))</f>
        <v>#REF!</v>
      </c>
      <c r="R96" s="698" t="str">
        <f t="array" ref="R96">IF($S96="","",IF($S96="Lớp 5",INDEX('Lớp 5 - Phân công'!$X$14:$X$262,$T96),IF($S96="Lớp 4",INDEX('Lớp 4 - Danh mục'!$V$14:$V$132,$T96),INDEX('Lớp 3 - Công việc chính'!$T$14:$T$73,$T96))))</f>
        <v>#REF!</v>
      </c>
      <c r="S96" s="699" t="str">
        <f>IF(ROWS($S$14:S96)&lt;=COUNTIF('Lớp 5 - Phân công'!$I$14:$I$262,"&lt;&gt;"),"Lớp 5",IF(ROWS($S$14:S96)&lt;=COUNTIF('Lớp 5 - Phân công'!$I$14:$I$262,"&lt;&gt;")+SUMPRODUCT(--('Lớp 4 - Danh mục'!$I$14:$I$132&lt;&gt;""),--(COUNTIF('Lớp 5 - Phân công'!$J$14:$J$262,'Lớp 4 - Danh mục'!$I$14:$I$132)=0)),"Lớp 4",IF(ROWS($S$14:S96)&lt;=COUNTIF('Lớp 5 - Phân công'!$I$14:$I$262,"&lt;&gt;")+SUMPRODUCT(--('Lớp 4 - Danh mục'!$I$14:$I$132&lt;&gt;""),--(COUNTIF('Lớp 5 - Phân công'!$J$14:$J$262,'Lớp 4 - Danh mục'!$I$14:$I$132)=0))+SUMPRODUCT(--('Lớp 3 - Công việc chính'!$I$14:$I$73&lt;&gt;""),--(COUNTIF('Lớp 4 - Danh mục'!$J$14:$J$132,'Lớp 3 - Công việc chính'!$I$14:$I$73)=0)),"Lớp 3","")))</f>
        <v>#REF!</v>
      </c>
      <c r="T96" s="699" t="str">
        <f t="array" ref="T96">IF(S96="","",IF(S96="Lớp 5",IF(S95&lt;&gt;"Lớp 5",MATCH("*",'Lớp 5 - Phân công'!$I$14:$I$262,0),T95+MATCH("*",INDEX('Lớp 5 - Phân công'!$I$14:$I$262,T95+1):'Lớp 5 - Phân công'!$I$262,0)),IF(S96="Lớp 4",IF(S95&lt;&gt;"Lớp 4",MATCH(1,INDEX(('Lớp 4 - Danh mục'!$I$14:$I$132&lt;&gt;"")*(COUNTIF('Lớp 5 - Phân công'!$J$14:$J$262,'Lớp 4 - Danh mục'!$I$14:$I$132)=0),0),0),T95+MATCH(1,INDEX((INDEX('Lớp 4 - Danh mục'!$I$14:$I$132,T95+1):'Lớp 4 - Danh mục'!$I$132&lt;&gt;"")*(COUNTIF('Lớp 5 - Phân công'!$J$14:$J$262,INDEX('Lớp 4 - Danh mục'!$I$14:$I$132,T95+1):'Lớp 4 - Danh mục'!$I$132)=0),0),0)),IF(S95&lt;&gt;"Lớp 3",MATCH(1,INDEX(('Lớp 3 - Công việc chính'!$I$14:$I$73&lt;&gt;"")*(COUNTIF('Lớp 4 - Danh mục'!$J$14:$J$132,'Lớp 3 - Công việc chính'!$I$14:$I$73)=0),0),0),T95+MATCH(1,INDEX((INDEX('Lớp 3 - Công việc chính'!$I$14:$I$73,T95+1):'Lớp 3 - Công việc chính'!$I$73&lt;&gt;"")*(COUNTIF('Lớp 4 - Danh mục'!$J$14:$J$132,INDEX('Lớp 3 - Công việc chính'!$I$14:$I$73,T95+1):'Lớp 3 - Công việc chính'!$I$73)=0),0),0)))))</f>
        <v>#REF!</v>
      </c>
      <c r="Z96" s="700" t="str">
        <f t="array" ref="Z96">IF($S96="","",IF($S96="Lớp 5",INDEX('Lớp 5 - Phân công'!$AS$14:$AS$262,$T96),IF($S96="Lớp 4",INDEX('Lớp 4 - Danh mục'!$AR$14:$AR$132,$T96),INDEX('Lớp 3 - Công việc chính'!$AO$14:$AO$73,$T96))))</f>
        <v>#REF!</v>
      </c>
      <c r="AA96" s="701" t="str">
        <f t="array" ref="AA96">IF($S96="","",IF($S96="Lớp 5",INDEX('Lớp 5 - Phân công'!$AT$14:$AT$262,$T96),IF($S96="Lớp 4",INDEX('Lớp 4 - Danh mục'!$AS$14:$AS$132,$T96),INDEX('Lớp 3 - Công việc chính'!$AP$14:$AP$73,$T96))))</f>
        <v>#REF!</v>
      </c>
      <c r="AB96" s="701" t="str">
        <f t="array" ref="AB96">IF($S96="","",IF($S96="Lớp 5",INDEX('Lớp 5 - Phân công'!$AJ$14:$AJ$262,$T96),IF($S96="Lớp 4",INDEX('Lớp 4 - Danh mục'!$AI$14:$AI$132,$T96),INDEX('Lớp 3 - Công việc chính'!$AF$14:$AF$73,$T96))))</f>
        <v>#REF!</v>
      </c>
      <c r="AC96" s="702" t="str">
        <f t="array" ref="AC96">IF($S96="","",IF($S96="Lớp 5",INDEX('Lớp 5 - Phân công'!$AV$14:$AV$262,$T96),IF($S96="Lớp 4",INDEX('Lớp 4 - Danh mục'!$AU$14:$AU$132,$T96),INDEX('Lớp 3 - Công việc chính'!$AR$14:$AR$73,$T96))))</f>
        <v>#REF!</v>
      </c>
    </row>
    <row r="97" ht="15.75" customHeight="1">
      <c r="A97" s="690" t="str">
        <f t="shared" si="1"/>
        <v>#REF!</v>
      </c>
      <c r="B97" s="690" t="str">
        <f t="array" ref="B97">IF($S97="","",IF($S97="Lớp 5",INDEX('Lớp 5 - Phân công'!$I$14:$I$262,$T97),IF($S97="Lớp 4",INDEX('Lớp 4 - Danh mục'!$I$14:$I$132,$T97),INDEX('Lớp 3 - Công việc chính'!$I$14:$I$73,$T97))))</f>
        <v>#REF!</v>
      </c>
      <c r="C97" s="690" t="str">
        <f t="array" ref="C97">IF($S97="","",IF($S97="Lớp 5",INDEX('Lớp 5 - Phân công'!$K$14:$K$262,$T97),IF($S97="Lớp 4",INDEX('Lớp 4 - Danh mục'!$J$14:$J$132,$T97),INDEX('Lớp 3 - Công việc chính'!$I$14:$I$73,$T97))))</f>
        <v>#REF!</v>
      </c>
      <c r="D97" s="690" t="str">
        <f t="array" ref="D97">IF($S97="","",IF($S97="Lớp 5",INDEX('Lớp 5 - Phân công'!$J$14:$J$262,$T97),IF($S97="Lớp 4",INDEX('Lớp 4 - Danh mục'!$I$14:$I$132,$T97),"")))</f>
        <v>#REF!</v>
      </c>
      <c r="E97" s="690" t="str">
        <f t="array" ref="E97">IF($S97="","",IF($S97="Lớp 5",INDEX('Lớp 5 - Phân công'!$L$14:$L$262,$T97),IF($S97="Lớp 4",INDEX('Lớp 4 - Danh mục'!$K$14:$K$132,$T97),INDEX('Lớp 3 - Công việc chính'!$J$14:$J$73,$T97))))</f>
        <v>#REF!</v>
      </c>
      <c r="F97" s="690" t="str">
        <f t="array" ref="F97">IF($S97="","",IF($S97="Lớp 5",INDEX('Lớp 5 - Phân công'!$M$14:$M$262,$T97),IF($S97="Lớp 4",INDEX('Lớp 4 - Danh mục'!$L$14:$L$132,$T97),INDEX('Lớp 3 - Công việc chính'!$K$14:$K$73,$T97))))</f>
        <v>#REF!</v>
      </c>
      <c r="G97" s="691" t="str">
        <f t="array" ref="G97">IF($S97="","",IF($S97="Lớp 5",INDEX('Lớp 5 - Phân công'!$N$14:$N$262,$T97),IF($S97="Lớp 4",INDEX('Lớp 4 - Danh mục'!$M$14:$M$132,$T97),INDEX('Lớp 3 - Công việc chính'!$L$14:$L$73,$T97))))</f>
        <v>#REF!</v>
      </c>
      <c r="H97" s="692" t="str">
        <f t="array" ref="H97">IF($S97="","",IF($S97="Lớp 5",INDEX('Lớp 5 - Phân công'!$O$14:$O$262,$T97),IF($S97="Lớp 4",INDEX('Lớp 4 - Danh mục'!$N$14:$N$132,$T97),INDEX('Lớp 3 - Công việc chính'!$M$14:$M$73,$T97))))</f>
        <v>#REF!</v>
      </c>
      <c r="I97" s="692" t="str">
        <f t="array" ref="I97">IF($S97="","",IF($S97="Lớp 5",INDEX('Lớp 5 - Phân công'!$P$14:$P$262,$T97),IF($S97="Lớp 4",INDEX('Lớp 4 - Danh mục'!$O$14:$O$132,$T97),"")))</f>
        <v>#REF!</v>
      </c>
      <c r="J97" s="693" t="str">
        <f t="array" ref="J97">IF($S97="","",IF($S97="Lớp 5",INDEX('Lớp 5 - Phân công'!$Q$14:$Q$262,$T97),""))</f>
        <v>#REF!</v>
      </c>
      <c r="K97" s="690" t="str">
        <f t="array" ref="K97">IF($S97="","",IF($S97="Lớp 5",INDEX('Lớp 5 - Phân công'!$AA$14:$AA$262,$T97),IF($S97="Lớp 4",INDEX('Lớp 4 - Danh mục'!$Y$14:$Y$132,$T97),INDEX('Lớp 3 - Công việc chính'!$U$14:$U$73,$T97))))</f>
        <v>#REF!</v>
      </c>
      <c r="L97" s="691" t="str">
        <f t="array" ref="L97">IF($S97="","",IF($S97="Lớp 5",INDEX('Lớp 5 - Phân công'!$Z$14:$Z$262,$T97),IF($S97="Lớp 4",INDEX('Lớp 4 - Danh mục'!$X$14:$X$132,$T97),INDEX('Lớp 3 - Công việc chính'!$W$14:$W$73,$T97))))</f>
        <v>#REF!</v>
      </c>
      <c r="M97" s="694" t="str">
        <f t="array" ref="M97">IF($S97="","",IF($S97="Lớp 5",INDEX('Lớp 5 - Phân công'!$AD$14:$AD$262,$T97),IF($S97="Lớp 4",INDEX('Lớp 4 - Danh mục'!$AC$14:$AC$132,$T97),INDEX('Lớp 3 - Công việc chính'!$Z$14:$Z$73,$T97))))</f>
        <v>#REF!</v>
      </c>
      <c r="N97" s="695" t="str">
        <f t="array" ref="N97">IF($S97="","",IF($S97="Lớp 5",INDEX('Lớp 5 - Phân công'!$AE$14:$AE$262,$T97),IF($S97="Lớp 4",INDEX('Lớp 4 - Danh mục'!$AD$14:$AD$132,$T97),INDEX('Lớp 3 - Công việc chính'!$AA$14:$AA$73,$T97))))</f>
        <v>#REF!</v>
      </c>
      <c r="O97" s="690" t="str">
        <f t="array" ref="O97">IF($S97="","",IF($S97="Lớp 5",INDEX('Lớp 5 - Phân công'!$AB$14:$AB$262,$T97),IF($S97="Lớp 4",INDEX('Lớp 4 - Danh mục'!$AA$14:$AA$132,$T97),INDEX('Lớp 3 - Công việc chính'!$X$14:$X$73,$T97))))</f>
        <v>#REF!</v>
      </c>
      <c r="P97" s="703" t="str">
        <f t="array" ref="P97">IF($S97="","",IF($S97="Lớp 5",INDEX('Lớp 5 - Phân công'!$AC$14:$AC$262,$T97),IF($S97="Lớp 4",INDEX('Lớp 4 - Danh mục'!$AB$14:$AB$132,$T97),INDEX('Lớp 3 - Công việc chính'!$Y$14:$Y$73,$T97))))</f>
        <v>#REF!</v>
      </c>
      <c r="Q97" s="697" t="str">
        <f t="array" ref="Q97">IF($S97="","",IF($S97="Lớp 5",INDEX('Lớp 5 - Phân công'!$AG$14:$AG$262,$T97),IF($S97="Lớp 4",INDEX('Lớp 4 - Danh mục'!$AF$14:$AF$132,$T97),INDEX('Lớp 3 - Công việc chính'!$AC$14:$AC$73,$T97))))</f>
        <v>#REF!</v>
      </c>
      <c r="R97" s="698" t="str">
        <f t="array" ref="R97">IF($S97="","",IF($S97="Lớp 5",INDEX('Lớp 5 - Phân công'!$X$14:$X$262,$T97),IF($S97="Lớp 4",INDEX('Lớp 4 - Danh mục'!$V$14:$V$132,$T97),INDEX('Lớp 3 - Công việc chính'!$T$14:$T$73,$T97))))</f>
        <v>#REF!</v>
      </c>
      <c r="S97" s="699" t="str">
        <f>IF(ROWS($S$14:S97)&lt;=COUNTIF('Lớp 5 - Phân công'!$I$14:$I$262,"&lt;&gt;"),"Lớp 5",IF(ROWS($S$14:S97)&lt;=COUNTIF('Lớp 5 - Phân công'!$I$14:$I$262,"&lt;&gt;")+SUMPRODUCT(--('Lớp 4 - Danh mục'!$I$14:$I$132&lt;&gt;""),--(COUNTIF('Lớp 5 - Phân công'!$J$14:$J$262,'Lớp 4 - Danh mục'!$I$14:$I$132)=0)),"Lớp 4",IF(ROWS($S$14:S97)&lt;=COUNTIF('Lớp 5 - Phân công'!$I$14:$I$262,"&lt;&gt;")+SUMPRODUCT(--('Lớp 4 - Danh mục'!$I$14:$I$132&lt;&gt;""),--(COUNTIF('Lớp 5 - Phân công'!$J$14:$J$262,'Lớp 4 - Danh mục'!$I$14:$I$132)=0))+SUMPRODUCT(--('Lớp 3 - Công việc chính'!$I$14:$I$73&lt;&gt;""),--(COUNTIF('Lớp 4 - Danh mục'!$J$14:$J$132,'Lớp 3 - Công việc chính'!$I$14:$I$73)=0)),"Lớp 3","")))</f>
        <v>#REF!</v>
      </c>
      <c r="T97" s="699" t="str">
        <f t="array" ref="T97">IF(S97="","",IF(S97="Lớp 5",IF(S96&lt;&gt;"Lớp 5",MATCH("*",'Lớp 5 - Phân công'!$I$14:$I$262,0),T96+MATCH("*",INDEX('Lớp 5 - Phân công'!$I$14:$I$262,T96+1):'Lớp 5 - Phân công'!$I$262,0)),IF(S97="Lớp 4",IF(S96&lt;&gt;"Lớp 4",MATCH(1,INDEX(('Lớp 4 - Danh mục'!$I$14:$I$132&lt;&gt;"")*(COUNTIF('Lớp 5 - Phân công'!$J$14:$J$262,'Lớp 4 - Danh mục'!$I$14:$I$132)=0),0),0),T96+MATCH(1,INDEX((INDEX('Lớp 4 - Danh mục'!$I$14:$I$132,T96+1):'Lớp 4 - Danh mục'!$I$132&lt;&gt;"")*(COUNTIF('Lớp 5 - Phân công'!$J$14:$J$262,INDEX('Lớp 4 - Danh mục'!$I$14:$I$132,T96+1):'Lớp 4 - Danh mục'!$I$132)=0),0),0)),IF(S96&lt;&gt;"Lớp 3",MATCH(1,INDEX(('Lớp 3 - Công việc chính'!$I$14:$I$73&lt;&gt;"")*(COUNTIF('Lớp 4 - Danh mục'!$J$14:$J$132,'Lớp 3 - Công việc chính'!$I$14:$I$73)=0),0),0),T96+MATCH(1,INDEX((INDEX('Lớp 3 - Công việc chính'!$I$14:$I$73,T96+1):'Lớp 3 - Công việc chính'!$I$73&lt;&gt;"")*(COUNTIF('Lớp 4 - Danh mục'!$J$14:$J$132,INDEX('Lớp 3 - Công việc chính'!$I$14:$I$73,T96+1):'Lớp 3 - Công việc chính'!$I$73)=0),0),0)))))</f>
        <v>#REF!</v>
      </c>
      <c r="Z97" s="700" t="str">
        <f t="array" ref="Z97">IF($S97="","",IF($S97="Lớp 5",INDEX('Lớp 5 - Phân công'!$AS$14:$AS$262,$T97),IF($S97="Lớp 4",INDEX('Lớp 4 - Danh mục'!$AR$14:$AR$132,$T97),INDEX('Lớp 3 - Công việc chính'!$AO$14:$AO$73,$T97))))</f>
        <v>#REF!</v>
      </c>
      <c r="AA97" s="701" t="str">
        <f t="array" ref="AA97">IF($S97="","",IF($S97="Lớp 5",INDEX('Lớp 5 - Phân công'!$AT$14:$AT$262,$T97),IF($S97="Lớp 4",INDEX('Lớp 4 - Danh mục'!$AS$14:$AS$132,$T97),INDEX('Lớp 3 - Công việc chính'!$AP$14:$AP$73,$T97))))</f>
        <v>#REF!</v>
      </c>
      <c r="AB97" s="701" t="str">
        <f t="array" ref="AB97">IF($S97="","",IF($S97="Lớp 5",INDEX('Lớp 5 - Phân công'!$AJ$14:$AJ$262,$T97),IF($S97="Lớp 4",INDEX('Lớp 4 - Danh mục'!$AI$14:$AI$132,$T97),INDEX('Lớp 3 - Công việc chính'!$AF$14:$AF$73,$T97))))</f>
        <v>#REF!</v>
      </c>
      <c r="AC97" s="702" t="str">
        <f t="array" ref="AC97">IF($S97="","",IF($S97="Lớp 5",INDEX('Lớp 5 - Phân công'!$AV$14:$AV$262,$T97),IF($S97="Lớp 4",INDEX('Lớp 4 - Danh mục'!$AU$14:$AU$132,$T97),INDEX('Lớp 3 - Công việc chính'!$AR$14:$AR$73,$T97))))</f>
        <v>#REF!</v>
      </c>
    </row>
    <row r="98" ht="15.75" customHeight="1">
      <c r="A98" s="690" t="str">
        <f t="shared" si="1"/>
        <v>#REF!</v>
      </c>
      <c r="B98" s="690" t="str">
        <f t="array" ref="B98">IF($S98="","",IF($S98="Lớp 5",INDEX('Lớp 5 - Phân công'!$I$14:$I$262,$T98),IF($S98="Lớp 4",INDEX('Lớp 4 - Danh mục'!$I$14:$I$132,$T98),INDEX('Lớp 3 - Công việc chính'!$I$14:$I$73,$T98))))</f>
        <v>#REF!</v>
      </c>
      <c r="C98" s="690" t="str">
        <f t="array" ref="C98">IF($S98="","",IF($S98="Lớp 5",INDEX('Lớp 5 - Phân công'!$K$14:$K$262,$T98),IF($S98="Lớp 4",INDEX('Lớp 4 - Danh mục'!$J$14:$J$132,$T98),INDEX('Lớp 3 - Công việc chính'!$I$14:$I$73,$T98))))</f>
        <v>#REF!</v>
      </c>
      <c r="D98" s="690" t="str">
        <f t="array" ref="D98">IF($S98="","",IF($S98="Lớp 5",INDEX('Lớp 5 - Phân công'!$J$14:$J$262,$T98),IF($S98="Lớp 4",INDEX('Lớp 4 - Danh mục'!$I$14:$I$132,$T98),"")))</f>
        <v>#REF!</v>
      </c>
      <c r="E98" s="690" t="str">
        <f t="array" ref="E98">IF($S98="","",IF($S98="Lớp 5",INDEX('Lớp 5 - Phân công'!$L$14:$L$262,$T98),IF($S98="Lớp 4",INDEX('Lớp 4 - Danh mục'!$K$14:$K$132,$T98),INDEX('Lớp 3 - Công việc chính'!$J$14:$J$73,$T98))))</f>
        <v>#REF!</v>
      </c>
      <c r="F98" s="690" t="str">
        <f t="array" ref="F98">IF($S98="","",IF($S98="Lớp 5",INDEX('Lớp 5 - Phân công'!$M$14:$M$262,$T98),IF($S98="Lớp 4",INDEX('Lớp 4 - Danh mục'!$L$14:$L$132,$T98),INDEX('Lớp 3 - Công việc chính'!$K$14:$K$73,$T98))))</f>
        <v>#REF!</v>
      </c>
      <c r="G98" s="691" t="str">
        <f t="array" ref="G98">IF($S98="","",IF($S98="Lớp 5",INDEX('Lớp 5 - Phân công'!$N$14:$N$262,$T98),IF($S98="Lớp 4",INDEX('Lớp 4 - Danh mục'!$M$14:$M$132,$T98),INDEX('Lớp 3 - Công việc chính'!$L$14:$L$73,$T98))))</f>
        <v>#REF!</v>
      </c>
      <c r="H98" s="692" t="str">
        <f t="array" ref="H98">IF($S98="","",IF($S98="Lớp 5",INDEX('Lớp 5 - Phân công'!$O$14:$O$262,$T98),IF($S98="Lớp 4",INDEX('Lớp 4 - Danh mục'!$N$14:$N$132,$T98),INDEX('Lớp 3 - Công việc chính'!$M$14:$M$73,$T98))))</f>
        <v>#REF!</v>
      </c>
      <c r="I98" s="692" t="str">
        <f t="array" ref="I98">IF($S98="","",IF($S98="Lớp 5",INDEX('Lớp 5 - Phân công'!$P$14:$P$262,$T98),IF($S98="Lớp 4",INDEX('Lớp 4 - Danh mục'!$O$14:$O$132,$T98),"")))</f>
        <v>#REF!</v>
      </c>
      <c r="J98" s="693" t="str">
        <f t="array" ref="J98">IF($S98="","",IF($S98="Lớp 5",INDEX('Lớp 5 - Phân công'!$Q$14:$Q$262,$T98),""))</f>
        <v>#REF!</v>
      </c>
      <c r="K98" s="690" t="str">
        <f t="array" ref="K98">IF($S98="","",IF($S98="Lớp 5",INDEX('Lớp 5 - Phân công'!$AA$14:$AA$262,$T98),IF($S98="Lớp 4",INDEX('Lớp 4 - Danh mục'!$Y$14:$Y$132,$T98),INDEX('Lớp 3 - Công việc chính'!$U$14:$U$73,$T98))))</f>
        <v>#REF!</v>
      </c>
      <c r="L98" s="691" t="str">
        <f t="array" ref="L98">IF($S98="","",IF($S98="Lớp 5",INDEX('Lớp 5 - Phân công'!$Z$14:$Z$262,$T98),IF($S98="Lớp 4",INDEX('Lớp 4 - Danh mục'!$X$14:$X$132,$T98),INDEX('Lớp 3 - Công việc chính'!$W$14:$W$73,$T98))))</f>
        <v>#REF!</v>
      </c>
      <c r="M98" s="694" t="str">
        <f t="array" ref="M98">IF($S98="","",IF($S98="Lớp 5",INDEX('Lớp 5 - Phân công'!$AD$14:$AD$262,$T98),IF($S98="Lớp 4",INDEX('Lớp 4 - Danh mục'!$AC$14:$AC$132,$T98),INDEX('Lớp 3 - Công việc chính'!$Z$14:$Z$73,$T98))))</f>
        <v>#REF!</v>
      </c>
      <c r="N98" s="695" t="str">
        <f t="array" ref="N98">IF($S98="","",IF($S98="Lớp 5",INDEX('Lớp 5 - Phân công'!$AE$14:$AE$262,$T98),IF($S98="Lớp 4",INDEX('Lớp 4 - Danh mục'!$AD$14:$AD$132,$T98),INDEX('Lớp 3 - Công việc chính'!$AA$14:$AA$73,$T98))))</f>
        <v>#REF!</v>
      </c>
      <c r="O98" s="690" t="str">
        <f t="array" ref="O98">IF($S98="","",IF($S98="Lớp 5",INDEX('Lớp 5 - Phân công'!$AB$14:$AB$262,$T98),IF($S98="Lớp 4",INDEX('Lớp 4 - Danh mục'!$AA$14:$AA$132,$T98),INDEX('Lớp 3 - Công việc chính'!$X$14:$X$73,$T98))))</f>
        <v>#REF!</v>
      </c>
      <c r="P98" s="703" t="str">
        <f t="array" ref="P98">IF($S98="","",IF($S98="Lớp 5",INDEX('Lớp 5 - Phân công'!$AC$14:$AC$262,$T98),IF($S98="Lớp 4",INDEX('Lớp 4 - Danh mục'!$AB$14:$AB$132,$T98),INDEX('Lớp 3 - Công việc chính'!$Y$14:$Y$73,$T98))))</f>
        <v>#REF!</v>
      </c>
      <c r="Q98" s="697" t="str">
        <f t="array" ref="Q98">IF($S98="","",IF($S98="Lớp 5",INDEX('Lớp 5 - Phân công'!$AG$14:$AG$262,$T98),IF($S98="Lớp 4",INDEX('Lớp 4 - Danh mục'!$AF$14:$AF$132,$T98),INDEX('Lớp 3 - Công việc chính'!$AC$14:$AC$73,$T98))))</f>
        <v>#REF!</v>
      </c>
      <c r="R98" s="698" t="str">
        <f t="array" ref="R98">IF($S98="","",IF($S98="Lớp 5",INDEX('Lớp 5 - Phân công'!$X$14:$X$262,$T98),IF($S98="Lớp 4",INDEX('Lớp 4 - Danh mục'!$V$14:$V$132,$T98),INDEX('Lớp 3 - Công việc chính'!$T$14:$T$73,$T98))))</f>
        <v>#REF!</v>
      </c>
      <c r="S98" s="699" t="str">
        <f>IF(ROWS($S$14:S98)&lt;=COUNTIF('Lớp 5 - Phân công'!$I$14:$I$262,"&lt;&gt;"),"Lớp 5",IF(ROWS($S$14:S98)&lt;=COUNTIF('Lớp 5 - Phân công'!$I$14:$I$262,"&lt;&gt;")+SUMPRODUCT(--('Lớp 4 - Danh mục'!$I$14:$I$132&lt;&gt;""),--(COUNTIF('Lớp 5 - Phân công'!$J$14:$J$262,'Lớp 4 - Danh mục'!$I$14:$I$132)=0)),"Lớp 4",IF(ROWS($S$14:S98)&lt;=COUNTIF('Lớp 5 - Phân công'!$I$14:$I$262,"&lt;&gt;")+SUMPRODUCT(--('Lớp 4 - Danh mục'!$I$14:$I$132&lt;&gt;""),--(COUNTIF('Lớp 5 - Phân công'!$J$14:$J$262,'Lớp 4 - Danh mục'!$I$14:$I$132)=0))+SUMPRODUCT(--('Lớp 3 - Công việc chính'!$I$14:$I$73&lt;&gt;""),--(COUNTIF('Lớp 4 - Danh mục'!$J$14:$J$132,'Lớp 3 - Công việc chính'!$I$14:$I$73)=0)),"Lớp 3","")))</f>
        <v>#REF!</v>
      </c>
      <c r="T98" s="699" t="str">
        <f t="array" ref="T98">IF(S98="","",IF(S98="Lớp 5",IF(S97&lt;&gt;"Lớp 5",MATCH("*",'Lớp 5 - Phân công'!$I$14:$I$262,0),T97+MATCH("*",INDEX('Lớp 5 - Phân công'!$I$14:$I$262,T97+1):'Lớp 5 - Phân công'!$I$262,0)),IF(S98="Lớp 4",IF(S97&lt;&gt;"Lớp 4",MATCH(1,INDEX(('Lớp 4 - Danh mục'!$I$14:$I$132&lt;&gt;"")*(COUNTIF('Lớp 5 - Phân công'!$J$14:$J$262,'Lớp 4 - Danh mục'!$I$14:$I$132)=0),0),0),T97+MATCH(1,INDEX((INDEX('Lớp 4 - Danh mục'!$I$14:$I$132,T97+1):'Lớp 4 - Danh mục'!$I$132&lt;&gt;"")*(COUNTIF('Lớp 5 - Phân công'!$J$14:$J$262,INDEX('Lớp 4 - Danh mục'!$I$14:$I$132,T97+1):'Lớp 4 - Danh mục'!$I$132)=0),0),0)),IF(S97&lt;&gt;"Lớp 3",MATCH(1,INDEX(('Lớp 3 - Công việc chính'!$I$14:$I$73&lt;&gt;"")*(COUNTIF('Lớp 4 - Danh mục'!$J$14:$J$132,'Lớp 3 - Công việc chính'!$I$14:$I$73)=0),0),0),T97+MATCH(1,INDEX((INDEX('Lớp 3 - Công việc chính'!$I$14:$I$73,T97+1):'Lớp 3 - Công việc chính'!$I$73&lt;&gt;"")*(COUNTIF('Lớp 4 - Danh mục'!$J$14:$J$132,INDEX('Lớp 3 - Công việc chính'!$I$14:$I$73,T97+1):'Lớp 3 - Công việc chính'!$I$73)=0),0),0)))))</f>
        <v>#REF!</v>
      </c>
      <c r="Z98" s="700" t="str">
        <f t="array" ref="Z98">IF($S98="","",IF($S98="Lớp 5",INDEX('Lớp 5 - Phân công'!$AS$14:$AS$262,$T98),IF($S98="Lớp 4",INDEX('Lớp 4 - Danh mục'!$AR$14:$AR$132,$T98),INDEX('Lớp 3 - Công việc chính'!$AO$14:$AO$73,$T98))))</f>
        <v>#REF!</v>
      </c>
      <c r="AA98" s="701" t="str">
        <f t="array" ref="AA98">IF($S98="","",IF($S98="Lớp 5",INDEX('Lớp 5 - Phân công'!$AT$14:$AT$262,$T98),IF($S98="Lớp 4",INDEX('Lớp 4 - Danh mục'!$AS$14:$AS$132,$T98),INDEX('Lớp 3 - Công việc chính'!$AP$14:$AP$73,$T98))))</f>
        <v>#REF!</v>
      </c>
      <c r="AB98" s="701" t="str">
        <f t="array" ref="AB98">IF($S98="","",IF($S98="Lớp 5",INDEX('Lớp 5 - Phân công'!$AJ$14:$AJ$262,$T98),IF($S98="Lớp 4",INDEX('Lớp 4 - Danh mục'!$AI$14:$AI$132,$T98),INDEX('Lớp 3 - Công việc chính'!$AF$14:$AF$73,$T98))))</f>
        <v>#REF!</v>
      </c>
      <c r="AC98" s="702" t="str">
        <f t="array" ref="AC98">IF($S98="","",IF($S98="Lớp 5",INDEX('Lớp 5 - Phân công'!$AV$14:$AV$262,$T98),IF($S98="Lớp 4",INDEX('Lớp 4 - Danh mục'!$AU$14:$AU$132,$T98),INDEX('Lớp 3 - Công việc chính'!$AR$14:$AR$73,$T98))))</f>
        <v>#REF!</v>
      </c>
    </row>
    <row r="99" ht="15.75" customHeight="1">
      <c r="A99" s="690" t="str">
        <f t="shared" si="1"/>
        <v>#REF!</v>
      </c>
      <c r="B99" s="690" t="str">
        <f t="array" ref="B99">IF($S99="","",IF($S99="Lớp 5",INDEX('Lớp 5 - Phân công'!$I$14:$I$262,$T99),IF($S99="Lớp 4",INDEX('Lớp 4 - Danh mục'!$I$14:$I$132,$T99),INDEX('Lớp 3 - Công việc chính'!$I$14:$I$73,$T99))))</f>
        <v>#REF!</v>
      </c>
      <c r="C99" s="690" t="str">
        <f t="array" ref="C99">IF($S99="","",IF($S99="Lớp 5",INDEX('Lớp 5 - Phân công'!$K$14:$K$262,$T99),IF($S99="Lớp 4",INDEX('Lớp 4 - Danh mục'!$J$14:$J$132,$T99),INDEX('Lớp 3 - Công việc chính'!$I$14:$I$73,$T99))))</f>
        <v>#REF!</v>
      </c>
      <c r="D99" s="690" t="str">
        <f t="array" ref="D99">IF($S99="","",IF($S99="Lớp 5",INDEX('Lớp 5 - Phân công'!$J$14:$J$262,$T99),IF($S99="Lớp 4",INDEX('Lớp 4 - Danh mục'!$I$14:$I$132,$T99),"")))</f>
        <v>#REF!</v>
      </c>
      <c r="E99" s="690" t="str">
        <f t="array" ref="E99">IF($S99="","",IF($S99="Lớp 5",INDEX('Lớp 5 - Phân công'!$L$14:$L$262,$T99),IF($S99="Lớp 4",INDEX('Lớp 4 - Danh mục'!$K$14:$K$132,$T99),INDEX('Lớp 3 - Công việc chính'!$J$14:$J$73,$T99))))</f>
        <v>#REF!</v>
      </c>
      <c r="F99" s="690" t="str">
        <f t="array" ref="F99">IF($S99="","",IF($S99="Lớp 5",INDEX('Lớp 5 - Phân công'!$M$14:$M$262,$T99),IF($S99="Lớp 4",INDEX('Lớp 4 - Danh mục'!$L$14:$L$132,$T99),INDEX('Lớp 3 - Công việc chính'!$K$14:$K$73,$T99))))</f>
        <v>#REF!</v>
      </c>
      <c r="G99" s="691" t="str">
        <f t="array" ref="G99">IF($S99="","",IF($S99="Lớp 5",INDEX('Lớp 5 - Phân công'!$N$14:$N$262,$T99),IF($S99="Lớp 4",INDEX('Lớp 4 - Danh mục'!$M$14:$M$132,$T99),INDEX('Lớp 3 - Công việc chính'!$L$14:$L$73,$T99))))</f>
        <v>#REF!</v>
      </c>
      <c r="H99" s="692" t="str">
        <f t="array" ref="H99">IF($S99="","",IF($S99="Lớp 5",INDEX('Lớp 5 - Phân công'!$O$14:$O$262,$T99),IF($S99="Lớp 4",INDEX('Lớp 4 - Danh mục'!$N$14:$N$132,$T99),INDEX('Lớp 3 - Công việc chính'!$M$14:$M$73,$T99))))</f>
        <v>#REF!</v>
      </c>
      <c r="I99" s="692" t="str">
        <f t="array" ref="I99">IF($S99="","",IF($S99="Lớp 5",INDEX('Lớp 5 - Phân công'!$P$14:$P$262,$T99),IF($S99="Lớp 4",INDEX('Lớp 4 - Danh mục'!$O$14:$O$132,$T99),"")))</f>
        <v>#REF!</v>
      </c>
      <c r="J99" s="693" t="str">
        <f t="array" ref="J99">IF($S99="","",IF($S99="Lớp 5",INDEX('Lớp 5 - Phân công'!$Q$14:$Q$262,$T99),""))</f>
        <v>#REF!</v>
      </c>
      <c r="K99" s="690" t="str">
        <f t="array" ref="K99">IF($S99="","",IF($S99="Lớp 5",INDEX('Lớp 5 - Phân công'!$AA$14:$AA$262,$T99),IF($S99="Lớp 4",INDEX('Lớp 4 - Danh mục'!$Y$14:$Y$132,$T99),INDEX('Lớp 3 - Công việc chính'!$U$14:$U$73,$T99))))</f>
        <v>#REF!</v>
      </c>
      <c r="L99" s="691" t="str">
        <f t="array" ref="L99">IF($S99="","",IF($S99="Lớp 5",INDEX('Lớp 5 - Phân công'!$Z$14:$Z$262,$T99),IF($S99="Lớp 4",INDEX('Lớp 4 - Danh mục'!$X$14:$X$132,$T99),INDEX('Lớp 3 - Công việc chính'!$W$14:$W$73,$T99))))</f>
        <v>#REF!</v>
      </c>
      <c r="M99" s="694" t="str">
        <f t="array" ref="M99">IF($S99="","",IF($S99="Lớp 5",INDEX('Lớp 5 - Phân công'!$AD$14:$AD$262,$T99),IF($S99="Lớp 4",INDEX('Lớp 4 - Danh mục'!$AC$14:$AC$132,$T99),INDEX('Lớp 3 - Công việc chính'!$Z$14:$Z$73,$T99))))</f>
        <v>#REF!</v>
      </c>
      <c r="N99" s="695" t="str">
        <f t="array" ref="N99">IF($S99="","",IF($S99="Lớp 5",INDEX('Lớp 5 - Phân công'!$AE$14:$AE$262,$T99),IF($S99="Lớp 4",INDEX('Lớp 4 - Danh mục'!$AD$14:$AD$132,$T99),INDEX('Lớp 3 - Công việc chính'!$AA$14:$AA$73,$T99))))</f>
        <v>#REF!</v>
      </c>
      <c r="O99" s="690" t="str">
        <f t="array" ref="O99">IF($S99="","",IF($S99="Lớp 5",INDEX('Lớp 5 - Phân công'!$AB$14:$AB$262,$T99),IF($S99="Lớp 4",INDEX('Lớp 4 - Danh mục'!$AA$14:$AA$132,$T99),INDEX('Lớp 3 - Công việc chính'!$X$14:$X$73,$T99))))</f>
        <v>#REF!</v>
      </c>
      <c r="P99" s="703" t="str">
        <f t="array" ref="P99">IF($S99="","",IF($S99="Lớp 5",INDEX('Lớp 5 - Phân công'!$AC$14:$AC$262,$T99),IF($S99="Lớp 4",INDEX('Lớp 4 - Danh mục'!$AB$14:$AB$132,$T99),INDEX('Lớp 3 - Công việc chính'!$Y$14:$Y$73,$T99))))</f>
        <v>#REF!</v>
      </c>
      <c r="Q99" s="697" t="str">
        <f t="array" ref="Q99">IF($S99="","",IF($S99="Lớp 5",INDEX('Lớp 5 - Phân công'!$AG$14:$AG$262,$T99),IF($S99="Lớp 4",INDEX('Lớp 4 - Danh mục'!$AF$14:$AF$132,$T99),INDEX('Lớp 3 - Công việc chính'!$AC$14:$AC$73,$T99))))</f>
        <v>#REF!</v>
      </c>
      <c r="R99" s="698" t="str">
        <f t="array" ref="R99">IF($S99="","",IF($S99="Lớp 5",INDEX('Lớp 5 - Phân công'!$X$14:$X$262,$T99),IF($S99="Lớp 4",INDEX('Lớp 4 - Danh mục'!$V$14:$V$132,$T99),INDEX('Lớp 3 - Công việc chính'!$T$14:$T$73,$T99))))</f>
        <v>#REF!</v>
      </c>
      <c r="S99" s="699" t="str">
        <f>IF(ROWS($S$14:S99)&lt;=COUNTIF('Lớp 5 - Phân công'!$I$14:$I$262,"&lt;&gt;"),"Lớp 5",IF(ROWS($S$14:S99)&lt;=COUNTIF('Lớp 5 - Phân công'!$I$14:$I$262,"&lt;&gt;")+SUMPRODUCT(--('Lớp 4 - Danh mục'!$I$14:$I$132&lt;&gt;""),--(COUNTIF('Lớp 5 - Phân công'!$J$14:$J$262,'Lớp 4 - Danh mục'!$I$14:$I$132)=0)),"Lớp 4",IF(ROWS($S$14:S99)&lt;=COUNTIF('Lớp 5 - Phân công'!$I$14:$I$262,"&lt;&gt;")+SUMPRODUCT(--('Lớp 4 - Danh mục'!$I$14:$I$132&lt;&gt;""),--(COUNTIF('Lớp 5 - Phân công'!$J$14:$J$262,'Lớp 4 - Danh mục'!$I$14:$I$132)=0))+SUMPRODUCT(--('Lớp 3 - Công việc chính'!$I$14:$I$73&lt;&gt;""),--(COUNTIF('Lớp 4 - Danh mục'!$J$14:$J$132,'Lớp 3 - Công việc chính'!$I$14:$I$73)=0)),"Lớp 3","")))</f>
        <v>#REF!</v>
      </c>
      <c r="T99" s="699" t="str">
        <f t="array" ref="T99">IF(S99="","",IF(S99="Lớp 5",IF(S98&lt;&gt;"Lớp 5",MATCH("*",'Lớp 5 - Phân công'!$I$14:$I$262,0),T98+MATCH("*",INDEX('Lớp 5 - Phân công'!$I$14:$I$262,T98+1):'Lớp 5 - Phân công'!$I$262,0)),IF(S99="Lớp 4",IF(S98&lt;&gt;"Lớp 4",MATCH(1,INDEX(('Lớp 4 - Danh mục'!$I$14:$I$132&lt;&gt;"")*(COUNTIF('Lớp 5 - Phân công'!$J$14:$J$262,'Lớp 4 - Danh mục'!$I$14:$I$132)=0),0),0),T98+MATCH(1,INDEX((INDEX('Lớp 4 - Danh mục'!$I$14:$I$132,T98+1):'Lớp 4 - Danh mục'!$I$132&lt;&gt;"")*(COUNTIF('Lớp 5 - Phân công'!$J$14:$J$262,INDEX('Lớp 4 - Danh mục'!$I$14:$I$132,T98+1):'Lớp 4 - Danh mục'!$I$132)=0),0),0)),IF(S98&lt;&gt;"Lớp 3",MATCH(1,INDEX(('Lớp 3 - Công việc chính'!$I$14:$I$73&lt;&gt;"")*(COUNTIF('Lớp 4 - Danh mục'!$J$14:$J$132,'Lớp 3 - Công việc chính'!$I$14:$I$73)=0),0),0),T98+MATCH(1,INDEX((INDEX('Lớp 3 - Công việc chính'!$I$14:$I$73,T98+1):'Lớp 3 - Công việc chính'!$I$73&lt;&gt;"")*(COUNTIF('Lớp 4 - Danh mục'!$J$14:$J$132,INDEX('Lớp 3 - Công việc chính'!$I$14:$I$73,T98+1):'Lớp 3 - Công việc chính'!$I$73)=0),0),0)))))</f>
        <v>#REF!</v>
      </c>
      <c r="Z99" s="700" t="str">
        <f t="array" ref="Z99">IF($S99="","",IF($S99="Lớp 5",INDEX('Lớp 5 - Phân công'!$AS$14:$AS$262,$T99),IF($S99="Lớp 4",INDEX('Lớp 4 - Danh mục'!$AR$14:$AR$132,$T99),INDEX('Lớp 3 - Công việc chính'!$AO$14:$AO$73,$T99))))</f>
        <v>#REF!</v>
      </c>
      <c r="AA99" s="701" t="str">
        <f t="array" ref="AA99">IF($S99="","",IF($S99="Lớp 5",INDEX('Lớp 5 - Phân công'!$AT$14:$AT$262,$T99),IF($S99="Lớp 4",INDEX('Lớp 4 - Danh mục'!$AS$14:$AS$132,$T99),INDEX('Lớp 3 - Công việc chính'!$AP$14:$AP$73,$T99))))</f>
        <v>#REF!</v>
      </c>
      <c r="AB99" s="701" t="str">
        <f t="array" ref="AB99">IF($S99="","",IF($S99="Lớp 5",INDEX('Lớp 5 - Phân công'!$AJ$14:$AJ$262,$T99),IF($S99="Lớp 4",INDEX('Lớp 4 - Danh mục'!$AI$14:$AI$132,$T99),INDEX('Lớp 3 - Công việc chính'!$AF$14:$AF$73,$T99))))</f>
        <v>#REF!</v>
      </c>
      <c r="AC99" s="702" t="str">
        <f t="array" ref="AC99">IF($S99="","",IF($S99="Lớp 5",INDEX('Lớp 5 - Phân công'!$AV$14:$AV$262,$T99),IF($S99="Lớp 4",INDEX('Lớp 4 - Danh mục'!$AU$14:$AU$132,$T99),INDEX('Lớp 3 - Công việc chính'!$AR$14:$AR$73,$T99))))</f>
        <v>#REF!</v>
      </c>
    </row>
    <row r="100" ht="15.75" customHeight="1">
      <c r="A100" s="690" t="str">
        <f t="shared" si="1"/>
        <v>#REF!</v>
      </c>
      <c r="B100" s="690" t="str">
        <f t="array" ref="B100">IF($S100="","",IF($S100="Lớp 5",INDEX('Lớp 5 - Phân công'!$I$14:$I$262,$T100),IF($S100="Lớp 4",INDEX('Lớp 4 - Danh mục'!$I$14:$I$132,$T100),INDEX('Lớp 3 - Công việc chính'!$I$14:$I$73,$T100))))</f>
        <v>#REF!</v>
      </c>
      <c r="C100" s="690" t="str">
        <f t="array" ref="C100">IF($S100="","",IF($S100="Lớp 5",INDEX('Lớp 5 - Phân công'!$K$14:$K$262,$T100),IF($S100="Lớp 4",INDEX('Lớp 4 - Danh mục'!$J$14:$J$132,$T100),INDEX('Lớp 3 - Công việc chính'!$I$14:$I$73,$T100))))</f>
        <v>#REF!</v>
      </c>
      <c r="D100" s="690" t="str">
        <f t="array" ref="D100">IF($S100="","",IF($S100="Lớp 5",INDEX('Lớp 5 - Phân công'!$J$14:$J$262,$T100),IF($S100="Lớp 4",INDEX('Lớp 4 - Danh mục'!$I$14:$I$132,$T100),"")))</f>
        <v>#REF!</v>
      </c>
      <c r="E100" s="690" t="str">
        <f t="array" ref="E100">IF($S100="","",IF($S100="Lớp 5",INDEX('Lớp 5 - Phân công'!$L$14:$L$262,$T100),IF($S100="Lớp 4",INDEX('Lớp 4 - Danh mục'!$K$14:$K$132,$T100),INDEX('Lớp 3 - Công việc chính'!$J$14:$J$73,$T100))))</f>
        <v>#REF!</v>
      </c>
      <c r="F100" s="690" t="str">
        <f t="array" ref="F100">IF($S100="","",IF($S100="Lớp 5",INDEX('Lớp 5 - Phân công'!$M$14:$M$262,$T100),IF($S100="Lớp 4",INDEX('Lớp 4 - Danh mục'!$L$14:$L$132,$T100),INDEX('Lớp 3 - Công việc chính'!$K$14:$K$73,$T100))))</f>
        <v>#REF!</v>
      </c>
      <c r="G100" s="691" t="str">
        <f t="array" ref="G100">IF($S100="","",IF($S100="Lớp 5",INDEX('Lớp 5 - Phân công'!$N$14:$N$262,$T100),IF($S100="Lớp 4",INDEX('Lớp 4 - Danh mục'!$M$14:$M$132,$T100),INDEX('Lớp 3 - Công việc chính'!$L$14:$L$73,$T100))))</f>
        <v>#REF!</v>
      </c>
      <c r="H100" s="692" t="str">
        <f t="array" ref="H100">IF($S100="","",IF($S100="Lớp 5",INDEX('Lớp 5 - Phân công'!$O$14:$O$262,$T100),IF($S100="Lớp 4",INDEX('Lớp 4 - Danh mục'!$N$14:$N$132,$T100),INDEX('Lớp 3 - Công việc chính'!$M$14:$M$73,$T100))))</f>
        <v>#REF!</v>
      </c>
      <c r="I100" s="692" t="str">
        <f t="array" ref="I100">IF($S100="","",IF($S100="Lớp 5",INDEX('Lớp 5 - Phân công'!$P$14:$P$262,$T100),IF($S100="Lớp 4",INDEX('Lớp 4 - Danh mục'!$O$14:$O$132,$T100),"")))</f>
        <v>#REF!</v>
      </c>
      <c r="J100" s="693" t="str">
        <f t="array" ref="J100">IF($S100="","",IF($S100="Lớp 5",INDEX('Lớp 5 - Phân công'!$Q$14:$Q$262,$T100),""))</f>
        <v>#REF!</v>
      </c>
      <c r="K100" s="690" t="str">
        <f t="array" ref="K100">IF($S100="","",IF($S100="Lớp 5",INDEX('Lớp 5 - Phân công'!$AA$14:$AA$262,$T100),IF($S100="Lớp 4",INDEX('Lớp 4 - Danh mục'!$Y$14:$Y$132,$T100),INDEX('Lớp 3 - Công việc chính'!$U$14:$U$73,$T100))))</f>
        <v>#REF!</v>
      </c>
      <c r="L100" s="691" t="str">
        <f t="array" ref="L100">IF($S100="","",IF($S100="Lớp 5",INDEX('Lớp 5 - Phân công'!$Z$14:$Z$262,$T100),IF($S100="Lớp 4",INDEX('Lớp 4 - Danh mục'!$X$14:$X$132,$T100),INDEX('Lớp 3 - Công việc chính'!$W$14:$W$73,$T100))))</f>
        <v>#REF!</v>
      </c>
      <c r="M100" s="694" t="str">
        <f t="array" ref="M100">IF($S100="","",IF($S100="Lớp 5",INDEX('Lớp 5 - Phân công'!$AD$14:$AD$262,$T100),IF($S100="Lớp 4",INDEX('Lớp 4 - Danh mục'!$AC$14:$AC$132,$T100),INDEX('Lớp 3 - Công việc chính'!$Z$14:$Z$73,$T100))))</f>
        <v>#REF!</v>
      </c>
      <c r="N100" s="695" t="str">
        <f t="array" ref="N100">IF($S100="","",IF($S100="Lớp 5",INDEX('Lớp 5 - Phân công'!$AE$14:$AE$262,$T100),IF($S100="Lớp 4",INDEX('Lớp 4 - Danh mục'!$AD$14:$AD$132,$T100),INDEX('Lớp 3 - Công việc chính'!$AA$14:$AA$73,$T100))))</f>
        <v>#REF!</v>
      </c>
      <c r="O100" s="690" t="str">
        <f t="array" ref="O100">IF($S100="","",IF($S100="Lớp 5",INDEX('Lớp 5 - Phân công'!$AB$14:$AB$262,$T100),IF($S100="Lớp 4",INDEX('Lớp 4 - Danh mục'!$AA$14:$AA$132,$T100),INDEX('Lớp 3 - Công việc chính'!$X$14:$X$73,$T100))))</f>
        <v>#REF!</v>
      </c>
      <c r="P100" s="703" t="str">
        <f t="array" ref="P100">IF($S100="","",IF($S100="Lớp 5",INDEX('Lớp 5 - Phân công'!$AC$14:$AC$262,$T100),IF($S100="Lớp 4",INDEX('Lớp 4 - Danh mục'!$AB$14:$AB$132,$T100),INDEX('Lớp 3 - Công việc chính'!$Y$14:$Y$73,$T100))))</f>
        <v>#REF!</v>
      </c>
      <c r="Q100" s="697" t="str">
        <f t="array" ref="Q100">IF($S100="","",IF($S100="Lớp 5",INDEX('Lớp 5 - Phân công'!$AG$14:$AG$262,$T100),IF($S100="Lớp 4",INDEX('Lớp 4 - Danh mục'!$AF$14:$AF$132,$T100),INDEX('Lớp 3 - Công việc chính'!$AC$14:$AC$73,$T100))))</f>
        <v>#REF!</v>
      </c>
      <c r="R100" s="698" t="str">
        <f t="array" ref="R100">IF($S100="","",IF($S100="Lớp 5",INDEX('Lớp 5 - Phân công'!$X$14:$X$262,$T100),IF($S100="Lớp 4",INDEX('Lớp 4 - Danh mục'!$V$14:$V$132,$T100),INDEX('Lớp 3 - Công việc chính'!$T$14:$T$73,$T100))))</f>
        <v>#REF!</v>
      </c>
      <c r="S100" s="699" t="str">
        <f>IF(ROWS($S$14:S100)&lt;=COUNTIF('Lớp 5 - Phân công'!$I$14:$I$262,"&lt;&gt;"),"Lớp 5",IF(ROWS($S$14:S100)&lt;=COUNTIF('Lớp 5 - Phân công'!$I$14:$I$262,"&lt;&gt;")+SUMPRODUCT(--('Lớp 4 - Danh mục'!$I$14:$I$132&lt;&gt;""),--(COUNTIF('Lớp 5 - Phân công'!$J$14:$J$262,'Lớp 4 - Danh mục'!$I$14:$I$132)=0)),"Lớp 4",IF(ROWS($S$14:S100)&lt;=COUNTIF('Lớp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0" s="699" t="str">
        <f t="array" ref="T100">IF(S100="","",IF(S100="Lớp 5",IF(S99&lt;&gt;"Lớp 5",MATCH("*",'Lớp 5 - Phân công'!$I$14:$I$262,0),T99+MATCH("*",INDEX('Lớp 5 - Phân công'!$I$14:$I$262,T99+1):'Lớp 5 - Phân công'!$I$262,0)),IF(S100="Lớp 4",IF(S99&lt;&gt;"Lớp 4",MATCH(1,INDEX(('Lớp 4 - Danh mục'!$I$14:$I$132&lt;&gt;"")*(COUNTIF('Lớp 5 - Phân công'!$J$14:$J$262,'Lớp 4 - Danh mục'!$I$14:$I$132)=0),0),0),T99+MATCH(1,INDEX((INDEX('Lớp 4 - Danh mục'!$I$14:$I$132,T99+1):'Lớp 4 - Danh mục'!$I$132&lt;&gt;"")*(COUNTIF('Lớp 5 - Phân công'!$J$14:$J$262,INDEX('Lớp 4 - Danh mục'!$I$14:$I$132,T99+1):'Lớp 4 - Danh mục'!$I$132)=0),0),0)),IF(S99&lt;&gt;"Lớp 3",MATCH(1,INDEX(('Lớp 3 - Công việc chính'!$I$14:$I$73&lt;&gt;"")*(COUNTIF('Lớp 4 - Danh mục'!$J$14:$J$132,'Lớp 3 - Công việc chính'!$I$14:$I$73)=0),0),0),T99+MATCH(1,INDEX((INDEX('Lớp 3 - Công việc chính'!$I$14:$I$73,T99+1):'Lớp 3 - Công việc chính'!$I$73&lt;&gt;"")*(COUNTIF('Lớp 4 - Danh mục'!$J$14:$J$132,INDEX('Lớp 3 - Công việc chính'!$I$14:$I$73,T99+1):'Lớp 3 - Công việc chính'!$I$73)=0),0),0)))))</f>
        <v>#REF!</v>
      </c>
      <c r="Z100" s="700" t="str">
        <f t="array" ref="Z100">IF($S100="","",IF($S100="Lớp 5",INDEX('Lớp 5 - Phân công'!$AS$14:$AS$262,$T100),IF($S100="Lớp 4",INDEX('Lớp 4 - Danh mục'!$AR$14:$AR$132,$T100),INDEX('Lớp 3 - Công việc chính'!$AO$14:$AO$73,$T100))))</f>
        <v>#REF!</v>
      </c>
      <c r="AA100" s="701" t="str">
        <f t="array" ref="AA100">IF($S100="","",IF($S100="Lớp 5",INDEX('Lớp 5 - Phân công'!$AT$14:$AT$262,$T100),IF($S100="Lớp 4",INDEX('Lớp 4 - Danh mục'!$AS$14:$AS$132,$T100),INDEX('Lớp 3 - Công việc chính'!$AP$14:$AP$73,$T100))))</f>
        <v>#REF!</v>
      </c>
      <c r="AB100" s="701" t="str">
        <f t="array" ref="AB100">IF($S100="","",IF($S100="Lớp 5",INDEX('Lớp 5 - Phân công'!$AJ$14:$AJ$262,$T100),IF($S100="Lớp 4",INDEX('Lớp 4 - Danh mục'!$AI$14:$AI$132,$T100),INDEX('Lớp 3 - Công việc chính'!$AF$14:$AF$73,$T100))))</f>
        <v>#REF!</v>
      </c>
      <c r="AC100" s="702" t="str">
        <f t="array" ref="AC100">IF($S100="","",IF($S100="Lớp 5",INDEX('Lớp 5 - Phân công'!$AV$14:$AV$262,$T100),IF($S100="Lớp 4",INDEX('Lớp 4 - Danh mục'!$AU$14:$AU$132,$T100),INDEX('Lớp 3 - Công việc chính'!$AR$14:$AR$73,$T100))))</f>
        <v>#REF!</v>
      </c>
    </row>
    <row r="101" ht="15.75" customHeight="1">
      <c r="A101" s="690" t="str">
        <f t="shared" si="1"/>
        <v>#REF!</v>
      </c>
      <c r="B101" s="690" t="str">
        <f t="array" ref="B101">IF($S101="","",IF($S101="Lớp 5",INDEX('Lớp 5 - Phân công'!$I$14:$I$262,$T101),IF($S101="Lớp 4",INDEX('Lớp 4 - Danh mục'!$I$14:$I$132,$T101),INDEX('Lớp 3 - Công việc chính'!$I$14:$I$73,$T101))))</f>
        <v>#REF!</v>
      </c>
      <c r="C101" s="690" t="str">
        <f t="array" ref="C101">IF($S101="","",IF($S101="Lớp 5",INDEX('Lớp 5 - Phân công'!$K$14:$K$262,$T101),IF($S101="Lớp 4",INDEX('Lớp 4 - Danh mục'!$J$14:$J$132,$T101),INDEX('Lớp 3 - Công việc chính'!$I$14:$I$73,$T101))))</f>
        <v>#REF!</v>
      </c>
      <c r="D101" s="690" t="str">
        <f t="array" ref="D101">IF($S101="","",IF($S101="Lớp 5",INDEX('Lớp 5 - Phân công'!$J$14:$J$262,$T101),IF($S101="Lớp 4",INDEX('Lớp 4 - Danh mục'!$I$14:$I$132,$T101),"")))</f>
        <v>#REF!</v>
      </c>
      <c r="E101" s="690" t="str">
        <f t="array" ref="E101">IF($S101="","",IF($S101="Lớp 5",INDEX('Lớp 5 - Phân công'!$L$14:$L$262,$T101),IF($S101="Lớp 4",INDEX('Lớp 4 - Danh mục'!$K$14:$K$132,$T101),INDEX('Lớp 3 - Công việc chính'!$J$14:$J$73,$T101))))</f>
        <v>#REF!</v>
      </c>
      <c r="F101" s="690" t="str">
        <f t="array" ref="F101">IF($S101="","",IF($S101="Lớp 5",INDEX('Lớp 5 - Phân công'!$M$14:$M$262,$T101),IF($S101="Lớp 4",INDEX('Lớp 4 - Danh mục'!$L$14:$L$132,$T101),INDEX('Lớp 3 - Công việc chính'!$K$14:$K$73,$T101))))</f>
        <v>#REF!</v>
      </c>
      <c r="G101" s="691" t="str">
        <f t="array" ref="G101">IF($S101="","",IF($S101="Lớp 5",INDEX('Lớp 5 - Phân công'!$N$14:$N$262,$T101),IF($S101="Lớp 4",INDEX('Lớp 4 - Danh mục'!$M$14:$M$132,$T101),INDEX('Lớp 3 - Công việc chính'!$L$14:$L$73,$T101))))</f>
        <v>#REF!</v>
      </c>
      <c r="H101" s="692" t="str">
        <f t="array" ref="H101">IF($S101="","",IF($S101="Lớp 5",INDEX('Lớp 5 - Phân công'!$O$14:$O$262,$T101),IF($S101="Lớp 4",INDEX('Lớp 4 - Danh mục'!$N$14:$N$132,$T101),INDEX('Lớp 3 - Công việc chính'!$M$14:$M$73,$T101))))</f>
        <v>#REF!</v>
      </c>
      <c r="I101" s="692" t="str">
        <f t="array" ref="I101">IF($S101="","",IF($S101="Lớp 5",INDEX('Lớp 5 - Phân công'!$P$14:$P$262,$T101),IF($S101="Lớp 4",INDEX('Lớp 4 - Danh mục'!$O$14:$O$132,$T101),"")))</f>
        <v>#REF!</v>
      </c>
      <c r="J101" s="693" t="str">
        <f t="array" ref="J101">IF($S101="","",IF($S101="Lớp 5",INDEX('Lớp 5 - Phân công'!$Q$14:$Q$262,$T101),""))</f>
        <v>#REF!</v>
      </c>
      <c r="K101" s="690" t="str">
        <f t="array" ref="K101">IF($S101="","",IF($S101="Lớp 5",INDEX('Lớp 5 - Phân công'!$AA$14:$AA$262,$T101),IF($S101="Lớp 4",INDEX('Lớp 4 - Danh mục'!$Y$14:$Y$132,$T101),INDEX('Lớp 3 - Công việc chính'!$U$14:$U$73,$T101))))</f>
        <v>#REF!</v>
      </c>
      <c r="L101" s="691" t="str">
        <f t="array" ref="L101">IF($S101="","",IF($S101="Lớp 5",INDEX('Lớp 5 - Phân công'!$Z$14:$Z$262,$T101),IF($S101="Lớp 4",INDEX('Lớp 4 - Danh mục'!$X$14:$X$132,$T101),INDEX('Lớp 3 - Công việc chính'!$W$14:$W$73,$T101))))</f>
        <v>#REF!</v>
      </c>
      <c r="M101" s="694" t="str">
        <f t="array" ref="M101">IF($S101="","",IF($S101="Lớp 5",INDEX('Lớp 5 - Phân công'!$AD$14:$AD$262,$T101),IF($S101="Lớp 4",INDEX('Lớp 4 - Danh mục'!$AC$14:$AC$132,$T101),INDEX('Lớp 3 - Công việc chính'!$Z$14:$Z$73,$T101))))</f>
        <v>#REF!</v>
      </c>
      <c r="N101" s="695" t="str">
        <f t="array" ref="N101">IF($S101="","",IF($S101="Lớp 5",INDEX('Lớp 5 - Phân công'!$AE$14:$AE$262,$T101),IF($S101="Lớp 4",INDEX('Lớp 4 - Danh mục'!$AD$14:$AD$132,$T101),INDEX('Lớp 3 - Công việc chính'!$AA$14:$AA$73,$T101))))</f>
        <v>#REF!</v>
      </c>
      <c r="O101" s="690" t="str">
        <f t="array" ref="O101">IF($S101="","",IF($S101="Lớp 5",INDEX('Lớp 5 - Phân công'!$AB$14:$AB$262,$T101),IF($S101="Lớp 4",INDEX('Lớp 4 - Danh mục'!$AA$14:$AA$132,$T101),INDEX('Lớp 3 - Công việc chính'!$X$14:$X$73,$T101))))</f>
        <v>#REF!</v>
      </c>
      <c r="P101" s="703" t="str">
        <f t="array" ref="P101">IF($S101="","",IF($S101="Lớp 5",INDEX('Lớp 5 - Phân công'!$AC$14:$AC$262,$T101),IF($S101="Lớp 4",INDEX('Lớp 4 - Danh mục'!$AB$14:$AB$132,$T101),INDEX('Lớp 3 - Công việc chính'!$Y$14:$Y$73,$T101))))</f>
        <v>#REF!</v>
      </c>
      <c r="Q101" s="697" t="str">
        <f t="array" ref="Q101">IF($S101="","",IF($S101="Lớp 5",INDEX('Lớp 5 - Phân công'!$AG$14:$AG$262,$T101),IF($S101="Lớp 4",INDEX('Lớp 4 - Danh mục'!$AF$14:$AF$132,$T101),INDEX('Lớp 3 - Công việc chính'!$AC$14:$AC$73,$T101))))</f>
        <v>#REF!</v>
      </c>
      <c r="R101" s="698" t="str">
        <f t="array" ref="R101">IF($S101="","",IF($S101="Lớp 5",INDEX('Lớp 5 - Phân công'!$X$14:$X$262,$T101),IF($S101="Lớp 4",INDEX('Lớp 4 - Danh mục'!$V$14:$V$132,$T101),INDEX('Lớp 3 - Công việc chính'!$T$14:$T$73,$T101))))</f>
        <v>#REF!</v>
      </c>
      <c r="S101" s="699" t="str">
        <f>IF(ROWS($S$14:S101)&lt;=COUNTIF('Lớp 5 - Phân công'!$I$14:$I$262,"&lt;&gt;"),"Lớp 5",IF(ROWS($S$14:S101)&lt;=COUNTIF('Lớp 5 - Phân công'!$I$14:$I$262,"&lt;&gt;")+SUMPRODUCT(--('Lớp 4 - Danh mục'!$I$14:$I$132&lt;&gt;""),--(COUNTIF('Lớp 5 - Phân công'!$J$14:$J$262,'Lớp 4 - Danh mục'!$I$14:$I$132)=0)),"Lớp 4",IF(ROWS($S$14:S101)&lt;=COUNTIF('Lớp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1" s="699" t="str">
        <f t="array" ref="T101">IF(S101="","",IF(S101="Lớp 5",IF(S100&lt;&gt;"Lớp 5",MATCH("*",'Lớp 5 - Phân công'!$I$14:$I$262,0),T100+MATCH("*",INDEX('Lớp 5 - Phân công'!$I$14:$I$262,T100+1):'Lớp 5 - Phân công'!$I$262,0)),IF(S101="Lớp 4",IF(S100&lt;&gt;"Lớp 4",MATCH(1,INDEX(('Lớp 4 - Danh mục'!$I$14:$I$132&lt;&gt;"")*(COUNTIF('Lớp 5 - Phân công'!$J$14:$J$262,'Lớp 4 - Danh mục'!$I$14:$I$132)=0),0),0),T100+MATCH(1,INDEX((INDEX('Lớp 4 - Danh mục'!$I$14:$I$132,T100+1):'Lớp 4 - Danh mục'!$I$132&lt;&gt;"")*(COUNTIF('Lớp 5 - Phân công'!$J$14:$J$262,INDEX('Lớp 4 - Danh mục'!$I$14:$I$132,T100+1):'Lớp 4 - Danh mục'!$I$132)=0),0),0)),IF(S100&lt;&gt;"Lớp 3",MATCH(1,INDEX(('Lớp 3 - Công việc chính'!$I$14:$I$73&lt;&gt;"")*(COUNTIF('Lớp 4 - Danh mục'!$J$14:$J$132,'Lớp 3 - Công việc chính'!$I$14:$I$73)=0),0),0),T100+MATCH(1,INDEX((INDEX('Lớp 3 - Công việc chính'!$I$14:$I$73,T100+1):'Lớp 3 - Công việc chính'!$I$73&lt;&gt;"")*(COUNTIF('Lớp 4 - Danh mục'!$J$14:$J$132,INDEX('Lớp 3 - Công việc chính'!$I$14:$I$73,T100+1):'Lớp 3 - Công việc chính'!$I$73)=0),0),0)))))</f>
        <v>#REF!</v>
      </c>
      <c r="Z101" s="700" t="str">
        <f t="array" ref="Z101">IF($S101="","",IF($S101="Lớp 5",INDEX('Lớp 5 - Phân công'!$AS$14:$AS$262,$T101),IF($S101="Lớp 4",INDEX('Lớp 4 - Danh mục'!$AR$14:$AR$132,$T101),INDEX('Lớp 3 - Công việc chính'!$AO$14:$AO$73,$T101))))</f>
        <v>#REF!</v>
      </c>
      <c r="AA101" s="701" t="str">
        <f t="array" ref="AA101">IF($S101="","",IF($S101="Lớp 5",INDEX('Lớp 5 - Phân công'!$AT$14:$AT$262,$T101),IF($S101="Lớp 4",INDEX('Lớp 4 - Danh mục'!$AS$14:$AS$132,$T101),INDEX('Lớp 3 - Công việc chính'!$AP$14:$AP$73,$T101))))</f>
        <v>#REF!</v>
      </c>
      <c r="AB101" s="701" t="str">
        <f t="array" ref="AB101">IF($S101="","",IF($S101="Lớp 5",INDEX('Lớp 5 - Phân công'!$AJ$14:$AJ$262,$T101),IF($S101="Lớp 4",INDEX('Lớp 4 - Danh mục'!$AI$14:$AI$132,$T101),INDEX('Lớp 3 - Công việc chính'!$AF$14:$AF$73,$T101))))</f>
        <v>#REF!</v>
      </c>
      <c r="AC101" s="702" t="str">
        <f t="array" ref="AC101">IF($S101="","",IF($S101="Lớp 5",INDEX('Lớp 5 - Phân công'!$AV$14:$AV$262,$T101),IF($S101="Lớp 4",INDEX('Lớp 4 - Danh mục'!$AU$14:$AU$132,$T101),INDEX('Lớp 3 - Công việc chính'!$AR$14:$AR$73,$T101))))</f>
        <v>#REF!</v>
      </c>
    </row>
    <row r="102" ht="15.75" customHeight="1">
      <c r="A102" s="690" t="str">
        <f t="shared" si="1"/>
        <v>#REF!</v>
      </c>
      <c r="B102" s="690" t="str">
        <f t="array" ref="B102">IF($S102="","",IF($S102="Lớp 5",INDEX('Lớp 5 - Phân công'!$I$14:$I$262,$T102),IF($S102="Lớp 4",INDEX('Lớp 4 - Danh mục'!$I$14:$I$132,$T102),INDEX('Lớp 3 - Công việc chính'!$I$14:$I$73,$T102))))</f>
        <v>#REF!</v>
      </c>
      <c r="C102" s="690" t="str">
        <f t="array" ref="C102">IF($S102="","",IF($S102="Lớp 5",INDEX('Lớp 5 - Phân công'!$K$14:$K$262,$T102),IF($S102="Lớp 4",INDEX('Lớp 4 - Danh mục'!$J$14:$J$132,$T102),INDEX('Lớp 3 - Công việc chính'!$I$14:$I$73,$T102))))</f>
        <v>#REF!</v>
      </c>
      <c r="D102" s="690" t="str">
        <f t="array" ref="D102">IF($S102="","",IF($S102="Lớp 5",INDEX('Lớp 5 - Phân công'!$J$14:$J$262,$T102),IF($S102="Lớp 4",INDEX('Lớp 4 - Danh mục'!$I$14:$I$132,$T102),"")))</f>
        <v>#REF!</v>
      </c>
      <c r="E102" s="690" t="str">
        <f t="array" ref="E102">IF($S102="","",IF($S102="Lớp 5",INDEX('Lớp 5 - Phân công'!$L$14:$L$262,$T102),IF($S102="Lớp 4",INDEX('Lớp 4 - Danh mục'!$K$14:$K$132,$T102),INDEX('Lớp 3 - Công việc chính'!$J$14:$J$73,$T102))))</f>
        <v>#REF!</v>
      </c>
      <c r="F102" s="690" t="str">
        <f t="array" ref="F102">IF($S102="","",IF($S102="Lớp 5",INDEX('Lớp 5 - Phân công'!$M$14:$M$262,$T102),IF($S102="Lớp 4",INDEX('Lớp 4 - Danh mục'!$L$14:$L$132,$T102),INDEX('Lớp 3 - Công việc chính'!$K$14:$K$73,$T102))))</f>
        <v>#REF!</v>
      </c>
      <c r="G102" s="691" t="str">
        <f t="array" ref="G102">IF($S102="","",IF($S102="Lớp 5",INDEX('Lớp 5 - Phân công'!$N$14:$N$262,$T102),IF($S102="Lớp 4",INDEX('Lớp 4 - Danh mục'!$M$14:$M$132,$T102),INDEX('Lớp 3 - Công việc chính'!$L$14:$L$73,$T102))))</f>
        <v>#REF!</v>
      </c>
      <c r="H102" s="692" t="str">
        <f t="array" ref="H102">IF($S102="","",IF($S102="Lớp 5",INDEX('Lớp 5 - Phân công'!$O$14:$O$262,$T102),IF($S102="Lớp 4",INDEX('Lớp 4 - Danh mục'!$N$14:$N$132,$T102),INDEX('Lớp 3 - Công việc chính'!$M$14:$M$73,$T102))))</f>
        <v>#REF!</v>
      </c>
      <c r="I102" s="692" t="str">
        <f t="array" ref="I102">IF($S102="","",IF($S102="Lớp 5",INDEX('Lớp 5 - Phân công'!$P$14:$P$262,$T102),IF($S102="Lớp 4",INDEX('Lớp 4 - Danh mục'!$O$14:$O$132,$T102),"")))</f>
        <v>#REF!</v>
      </c>
      <c r="J102" s="693" t="str">
        <f t="array" ref="J102">IF($S102="","",IF($S102="Lớp 5",INDEX('Lớp 5 - Phân công'!$Q$14:$Q$262,$T102),""))</f>
        <v>#REF!</v>
      </c>
      <c r="K102" s="690" t="str">
        <f t="array" ref="K102">IF($S102="","",IF($S102="Lớp 5",INDEX('Lớp 5 - Phân công'!$AA$14:$AA$262,$T102),IF($S102="Lớp 4",INDEX('Lớp 4 - Danh mục'!$Y$14:$Y$132,$T102),INDEX('Lớp 3 - Công việc chính'!$U$14:$U$73,$T102))))</f>
        <v>#REF!</v>
      </c>
      <c r="L102" s="691" t="str">
        <f t="array" ref="L102">IF($S102="","",IF($S102="Lớp 5",INDEX('Lớp 5 - Phân công'!$Z$14:$Z$262,$T102),IF($S102="Lớp 4",INDEX('Lớp 4 - Danh mục'!$X$14:$X$132,$T102),INDEX('Lớp 3 - Công việc chính'!$W$14:$W$73,$T102))))</f>
        <v>#REF!</v>
      </c>
      <c r="M102" s="694" t="str">
        <f t="array" ref="M102">IF($S102="","",IF($S102="Lớp 5",INDEX('Lớp 5 - Phân công'!$AD$14:$AD$262,$T102),IF($S102="Lớp 4",INDEX('Lớp 4 - Danh mục'!$AC$14:$AC$132,$T102),INDEX('Lớp 3 - Công việc chính'!$Z$14:$Z$73,$T102))))</f>
        <v>#REF!</v>
      </c>
      <c r="N102" s="695" t="str">
        <f t="array" ref="N102">IF($S102="","",IF($S102="Lớp 5",INDEX('Lớp 5 - Phân công'!$AE$14:$AE$262,$T102),IF($S102="Lớp 4",INDEX('Lớp 4 - Danh mục'!$AD$14:$AD$132,$T102),INDEX('Lớp 3 - Công việc chính'!$AA$14:$AA$73,$T102))))</f>
        <v>#REF!</v>
      </c>
      <c r="O102" s="690" t="str">
        <f t="array" ref="O102">IF($S102="","",IF($S102="Lớp 5",INDEX('Lớp 5 - Phân công'!$AB$14:$AB$262,$T102),IF($S102="Lớp 4",INDEX('Lớp 4 - Danh mục'!$AA$14:$AA$132,$T102),INDEX('Lớp 3 - Công việc chính'!$X$14:$X$73,$T102))))</f>
        <v>#REF!</v>
      </c>
      <c r="P102" s="703" t="str">
        <f t="array" ref="P102">IF($S102="","",IF($S102="Lớp 5",INDEX('Lớp 5 - Phân công'!$AC$14:$AC$262,$T102),IF($S102="Lớp 4",INDEX('Lớp 4 - Danh mục'!$AB$14:$AB$132,$T102),INDEX('Lớp 3 - Công việc chính'!$Y$14:$Y$73,$T102))))</f>
        <v>#REF!</v>
      </c>
      <c r="Q102" s="697" t="str">
        <f t="array" ref="Q102">IF($S102="","",IF($S102="Lớp 5",INDEX('Lớp 5 - Phân công'!$AG$14:$AG$262,$T102),IF($S102="Lớp 4",INDEX('Lớp 4 - Danh mục'!$AF$14:$AF$132,$T102),INDEX('Lớp 3 - Công việc chính'!$AC$14:$AC$73,$T102))))</f>
        <v>#REF!</v>
      </c>
      <c r="R102" s="698" t="str">
        <f t="array" ref="R102">IF($S102="","",IF($S102="Lớp 5",INDEX('Lớp 5 - Phân công'!$X$14:$X$262,$T102),IF($S102="Lớp 4",INDEX('Lớp 4 - Danh mục'!$V$14:$V$132,$T102),INDEX('Lớp 3 - Công việc chính'!$T$14:$T$73,$T102))))</f>
        <v>#REF!</v>
      </c>
      <c r="S102" s="699" t="str">
        <f>IF(ROWS($S$14:S102)&lt;=COUNTIF('Lớp 5 - Phân công'!$I$14:$I$262,"&lt;&gt;"),"Lớp 5",IF(ROWS($S$14:S102)&lt;=COUNTIF('Lớp 5 - Phân công'!$I$14:$I$262,"&lt;&gt;")+SUMPRODUCT(--('Lớp 4 - Danh mục'!$I$14:$I$132&lt;&gt;""),--(COUNTIF('Lớp 5 - Phân công'!$J$14:$J$262,'Lớp 4 - Danh mục'!$I$14:$I$132)=0)),"Lớp 4",IF(ROWS($S$14:S102)&lt;=COUNTIF('Lớp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2" s="699" t="str">
        <f t="array" ref="T102">IF(S102="","",IF(S102="Lớp 5",IF(S101&lt;&gt;"Lớp 5",MATCH("*",'Lớp 5 - Phân công'!$I$14:$I$262,0),T101+MATCH("*",INDEX('Lớp 5 - Phân công'!$I$14:$I$262,T101+1):'Lớp 5 - Phân công'!$I$262,0)),IF(S102="Lớp 4",IF(S101&lt;&gt;"Lớp 4",MATCH(1,INDEX(('Lớp 4 - Danh mục'!$I$14:$I$132&lt;&gt;"")*(COUNTIF('Lớp 5 - Phân công'!$J$14:$J$262,'Lớp 4 - Danh mục'!$I$14:$I$132)=0),0),0),T101+MATCH(1,INDEX((INDEX('Lớp 4 - Danh mục'!$I$14:$I$132,T101+1):'Lớp 4 - Danh mục'!$I$132&lt;&gt;"")*(COUNTIF('Lớp 5 - Phân công'!$J$14:$J$262,INDEX('Lớp 4 - Danh mục'!$I$14:$I$132,T101+1):'Lớp 4 - Danh mục'!$I$132)=0),0),0)),IF(S101&lt;&gt;"Lớp 3",MATCH(1,INDEX(('Lớp 3 - Công việc chính'!$I$14:$I$73&lt;&gt;"")*(COUNTIF('Lớp 4 - Danh mục'!$J$14:$J$132,'Lớp 3 - Công việc chính'!$I$14:$I$73)=0),0),0),T101+MATCH(1,INDEX((INDEX('Lớp 3 - Công việc chính'!$I$14:$I$73,T101+1):'Lớp 3 - Công việc chính'!$I$73&lt;&gt;"")*(COUNTIF('Lớp 4 - Danh mục'!$J$14:$J$132,INDEX('Lớp 3 - Công việc chính'!$I$14:$I$73,T101+1):'Lớp 3 - Công việc chính'!$I$73)=0),0),0)))))</f>
        <v>#REF!</v>
      </c>
      <c r="Z102" s="700" t="str">
        <f t="array" ref="Z102">IF($S102="","",IF($S102="Lớp 5",INDEX('Lớp 5 - Phân công'!$AS$14:$AS$262,$T102),IF($S102="Lớp 4",INDEX('Lớp 4 - Danh mục'!$AR$14:$AR$132,$T102),INDEX('Lớp 3 - Công việc chính'!$AO$14:$AO$73,$T102))))</f>
        <v>#REF!</v>
      </c>
      <c r="AA102" s="701" t="str">
        <f t="array" ref="AA102">IF($S102="","",IF($S102="Lớp 5",INDEX('Lớp 5 - Phân công'!$AT$14:$AT$262,$T102),IF($S102="Lớp 4",INDEX('Lớp 4 - Danh mục'!$AS$14:$AS$132,$T102),INDEX('Lớp 3 - Công việc chính'!$AP$14:$AP$73,$T102))))</f>
        <v>#REF!</v>
      </c>
      <c r="AB102" s="701" t="str">
        <f t="array" ref="AB102">IF($S102="","",IF($S102="Lớp 5",INDEX('Lớp 5 - Phân công'!$AJ$14:$AJ$262,$T102),IF($S102="Lớp 4",INDEX('Lớp 4 - Danh mục'!$AI$14:$AI$132,$T102),INDEX('Lớp 3 - Công việc chính'!$AF$14:$AF$73,$T102))))</f>
        <v>#REF!</v>
      </c>
      <c r="AC102" s="702" t="str">
        <f t="array" ref="AC102">IF($S102="","",IF($S102="Lớp 5",INDEX('Lớp 5 - Phân công'!$AV$14:$AV$262,$T102),IF($S102="Lớp 4",INDEX('Lớp 4 - Danh mục'!$AU$14:$AU$132,$T102),INDEX('Lớp 3 - Công việc chính'!$AR$14:$AR$73,$T102))))</f>
        <v>#REF!</v>
      </c>
    </row>
    <row r="103" ht="15.75" customHeight="1">
      <c r="A103" s="690" t="str">
        <f t="shared" si="1"/>
        <v>#REF!</v>
      </c>
      <c r="B103" s="690" t="str">
        <f t="array" ref="B103">IF($S103="","",IF($S103="Lớp 5",INDEX('Lớp 5 - Phân công'!$I$14:$I$262,$T103),IF($S103="Lớp 4",INDEX('Lớp 4 - Danh mục'!$I$14:$I$132,$T103),INDEX('Lớp 3 - Công việc chính'!$I$14:$I$73,$T103))))</f>
        <v>#REF!</v>
      </c>
      <c r="C103" s="690" t="str">
        <f t="array" ref="C103">IF($S103="","",IF($S103="Lớp 5",INDEX('Lớp 5 - Phân công'!$K$14:$K$262,$T103),IF($S103="Lớp 4",INDEX('Lớp 4 - Danh mục'!$J$14:$J$132,$T103),INDEX('Lớp 3 - Công việc chính'!$I$14:$I$73,$T103))))</f>
        <v>#REF!</v>
      </c>
      <c r="D103" s="690" t="str">
        <f t="array" ref="D103">IF($S103="","",IF($S103="Lớp 5",INDEX('Lớp 5 - Phân công'!$J$14:$J$262,$T103),IF($S103="Lớp 4",INDEX('Lớp 4 - Danh mục'!$I$14:$I$132,$T103),"")))</f>
        <v>#REF!</v>
      </c>
      <c r="E103" s="690" t="str">
        <f t="array" ref="E103">IF($S103="","",IF($S103="Lớp 5",INDEX('Lớp 5 - Phân công'!$L$14:$L$262,$T103),IF($S103="Lớp 4",INDEX('Lớp 4 - Danh mục'!$K$14:$K$132,$T103),INDEX('Lớp 3 - Công việc chính'!$J$14:$J$73,$T103))))</f>
        <v>#REF!</v>
      </c>
      <c r="F103" s="690" t="str">
        <f t="array" ref="F103">IF($S103="","",IF($S103="Lớp 5",INDEX('Lớp 5 - Phân công'!$M$14:$M$262,$T103),IF($S103="Lớp 4",INDEX('Lớp 4 - Danh mục'!$L$14:$L$132,$T103),INDEX('Lớp 3 - Công việc chính'!$K$14:$K$73,$T103))))</f>
        <v>#REF!</v>
      </c>
      <c r="G103" s="691" t="str">
        <f t="array" ref="G103">IF($S103="","",IF($S103="Lớp 5",INDEX('Lớp 5 - Phân công'!$N$14:$N$262,$T103),IF($S103="Lớp 4",INDEX('Lớp 4 - Danh mục'!$M$14:$M$132,$T103),INDEX('Lớp 3 - Công việc chính'!$L$14:$L$73,$T103))))</f>
        <v>#REF!</v>
      </c>
      <c r="H103" s="692" t="str">
        <f t="array" ref="H103">IF($S103="","",IF($S103="Lớp 5",INDEX('Lớp 5 - Phân công'!$O$14:$O$262,$T103),IF($S103="Lớp 4",INDEX('Lớp 4 - Danh mục'!$N$14:$N$132,$T103),INDEX('Lớp 3 - Công việc chính'!$M$14:$M$73,$T103))))</f>
        <v>#REF!</v>
      </c>
      <c r="I103" s="692" t="str">
        <f t="array" ref="I103">IF($S103="","",IF($S103="Lớp 5",INDEX('Lớp 5 - Phân công'!$P$14:$P$262,$T103),IF($S103="Lớp 4",INDEX('Lớp 4 - Danh mục'!$O$14:$O$132,$T103),"")))</f>
        <v>#REF!</v>
      </c>
      <c r="J103" s="693" t="str">
        <f t="array" ref="J103">IF($S103="","",IF($S103="Lớp 5",INDEX('Lớp 5 - Phân công'!$Q$14:$Q$262,$T103),""))</f>
        <v>#REF!</v>
      </c>
      <c r="K103" s="690" t="str">
        <f t="array" ref="K103">IF($S103="","",IF($S103="Lớp 5",INDEX('Lớp 5 - Phân công'!$AA$14:$AA$262,$T103),IF($S103="Lớp 4",INDEX('Lớp 4 - Danh mục'!$Y$14:$Y$132,$T103),INDEX('Lớp 3 - Công việc chính'!$U$14:$U$73,$T103))))</f>
        <v>#REF!</v>
      </c>
      <c r="L103" s="691" t="str">
        <f t="array" ref="L103">IF($S103="","",IF($S103="Lớp 5",INDEX('Lớp 5 - Phân công'!$Z$14:$Z$262,$T103),IF($S103="Lớp 4",INDEX('Lớp 4 - Danh mục'!$X$14:$X$132,$T103),INDEX('Lớp 3 - Công việc chính'!$W$14:$W$73,$T103))))</f>
        <v>#REF!</v>
      </c>
      <c r="M103" s="694" t="str">
        <f t="array" ref="M103">IF($S103="","",IF($S103="Lớp 5",INDEX('Lớp 5 - Phân công'!$AD$14:$AD$262,$T103),IF($S103="Lớp 4",INDEX('Lớp 4 - Danh mục'!$AC$14:$AC$132,$T103),INDEX('Lớp 3 - Công việc chính'!$Z$14:$Z$73,$T103))))</f>
        <v>#REF!</v>
      </c>
      <c r="N103" s="695" t="str">
        <f t="array" ref="N103">IF($S103="","",IF($S103="Lớp 5",INDEX('Lớp 5 - Phân công'!$AE$14:$AE$262,$T103),IF($S103="Lớp 4",INDEX('Lớp 4 - Danh mục'!$AD$14:$AD$132,$T103),INDEX('Lớp 3 - Công việc chính'!$AA$14:$AA$73,$T103))))</f>
        <v>#REF!</v>
      </c>
      <c r="O103" s="690" t="str">
        <f t="array" ref="O103">IF($S103="","",IF($S103="Lớp 5",INDEX('Lớp 5 - Phân công'!$AB$14:$AB$262,$T103),IF($S103="Lớp 4",INDEX('Lớp 4 - Danh mục'!$AA$14:$AA$132,$T103),INDEX('Lớp 3 - Công việc chính'!$X$14:$X$73,$T103))))</f>
        <v>#REF!</v>
      </c>
      <c r="P103" s="703" t="str">
        <f t="array" ref="P103">IF($S103="","",IF($S103="Lớp 5",INDEX('Lớp 5 - Phân công'!$AC$14:$AC$262,$T103),IF($S103="Lớp 4",INDEX('Lớp 4 - Danh mục'!$AB$14:$AB$132,$T103),INDEX('Lớp 3 - Công việc chính'!$Y$14:$Y$73,$T103))))</f>
        <v>#REF!</v>
      </c>
      <c r="Q103" s="697" t="str">
        <f t="array" ref="Q103">IF($S103="","",IF($S103="Lớp 5",INDEX('Lớp 5 - Phân công'!$AG$14:$AG$262,$T103),IF($S103="Lớp 4",INDEX('Lớp 4 - Danh mục'!$AF$14:$AF$132,$T103),INDEX('Lớp 3 - Công việc chính'!$AC$14:$AC$73,$T103))))</f>
        <v>#REF!</v>
      </c>
      <c r="R103" s="698" t="str">
        <f t="array" ref="R103">IF($S103="","",IF($S103="Lớp 5",INDEX('Lớp 5 - Phân công'!$X$14:$X$262,$T103),IF($S103="Lớp 4",INDEX('Lớp 4 - Danh mục'!$V$14:$V$132,$T103),INDEX('Lớp 3 - Công việc chính'!$T$14:$T$73,$T103))))</f>
        <v>#REF!</v>
      </c>
      <c r="S103" s="699" t="str">
        <f>IF(ROWS($S$14:S103)&lt;=COUNTIF('Lớp 5 - Phân công'!$I$14:$I$262,"&lt;&gt;"),"Lớp 5",IF(ROWS($S$14:S103)&lt;=COUNTIF('Lớp 5 - Phân công'!$I$14:$I$262,"&lt;&gt;")+SUMPRODUCT(--('Lớp 4 - Danh mục'!$I$14:$I$132&lt;&gt;""),--(COUNTIF('Lớp 5 - Phân công'!$J$14:$J$262,'Lớp 4 - Danh mục'!$I$14:$I$132)=0)),"Lớp 4",IF(ROWS($S$14:S103)&lt;=COUNTIF('Lớp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3" s="699" t="str">
        <f t="array" ref="T103">IF(S103="","",IF(S103="Lớp 5",IF(S102&lt;&gt;"Lớp 5",MATCH("*",'Lớp 5 - Phân công'!$I$14:$I$262,0),T102+MATCH("*",INDEX('Lớp 5 - Phân công'!$I$14:$I$262,T102+1):'Lớp 5 - Phân công'!$I$262,0)),IF(S103="Lớp 4",IF(S102&lt;&gt;"Lớp 4",MATCH(1,INDEX(('Lớp 4 - Danh mục'!$I$14:$I$132&lt;&gt;"")*(COUNTIF('Lớp 5 - Phân công'!$J$14:$J$262,'Lớp 4 - Danh mục'!$I$14:$I$132)=0),0),0),T102+MATCH(1,INDEX((INDEX('Lớp 4 - Danh mục'!$I$14:$I$132,T102+1):'Lớp 4 - Danh mục'!$I$132&lt;&gt;"")*(COUNTIF('Lớp 5 - Phân công'!$J$14:$J$262,INDEX('Lớp 4 - Danh mục'!$I$14:$I$132,T102+1):'Lớp 4 - Danh mục'!$I$132)=0),0),0)),IF(S102&lt;&gt;"Lớp 3",MATCH(1,INDEX(('Lớp 3 - Công việc chính'!$I$14:$I$73&lt;&gt;"")*(COUNTIF('Lớp 4 - Danh mục'!$J$14:$J$132,'Lớp 3 - Công việc chính'!$I$14:$I$73)=0),0),0),T102+MATCH(1,INDEX((INDEX('Lớp 3 - Công việc chính'!$I$14:$I$73,T102+1):'Lớp 3 - Công việc chính'!$I$73&lt;&gt;"")*(COUNTIF('Lớp 4 - Danh mục'!$J$14:$J$132,INDEX('Lớp 3 - Công việc chính'!$I$14:$I$73,T102+1):'Lớp 3 - Công việc chính'!$I$73)=0),0),0)))))</f>
        <v>#REF!</v>
      </c>
      <c r="Z103" s="700" t="str">
        <f t="array" ref="Z103">IF($S103="","",IF($S103="Lớp 5",INDEX('Lớp 5 - Phân công'!$AS$14:$AS$262,$T103),IF($S103="Lớp 4",INDEX('Lớp 4 - Danh mục'!$AR$14:$AR$132,$T103),INDEX('Lớp 3 - Công việc chính'!$AO$14:$AO$73,$T103))))</f>
        <v>#REF!</v>
      </c>
      <c r="AA103" s="701" t="str">
        <f t="array" ref="AA103">IF($S103="","",IF($S103="Lớp 5",INDEX('Lớp 5 - Phân công'!$AT$14:$AT$262,$T103),IF($S103="Lớp 4",INDEX('Lớp 4 - Danh mục'!$AS$14:$AS$132,$T103),INDEX('Lớp 3 - Công việc chính'!$AP$14:$AP$73,$T103))))</f>
        <v>#REF!</v>
      </c>
      <c r="AB103" s="701" t="str">
        <f t="array" ref="AB103">IF($S103="","",IF($S103="Lớp 5",INDEX('Lớp 5 - Phân công'!$AJ$14:$AJ$262,$T103),IF($S103="Lớp 4",INDEX('Lớp 4 - Danh mục'!$AI$14:$AI$132,$T103),INDEX('Lớp 3 - Công việc chính'!$AF$14:$AF$73,$T103))))</f>
        <v>#REF!</v>
      </c>
      <c r="AC103" s="702" t="str">
        <f t="array" ref="AC103">IF($S103="","",IF($S103="Lớp 5",INDEX('Lớp 5 - Phân công'!$AV$14:$AV$262,$T103),IF($S103="Lớp 4",INDEX('Lớp 4 - Danh mục'!$AU$14:$AU$132,$T103),INDEX('Lớp 3 - Công việc chính'!$AR$14:$AR$73,$T103))))</f>
        <v>#REF!</v>
      </c>
    </row>
    <row r="104" ht="15.75" customHeight="1">
      <c r="A104" s="690" t="str">
        <f t="shared" si="1"/>
        <v>#REF!</v>
      </c>
      <c r="B104" s="690" t="str">
        <f t="array" ref="B104">IF($S104="","",IF($S104="Lớp 5",INDEX('Lớp 5 - Phân công'!$I$14:$I$262,$T104),IF($S104="Lớp 4",INDEX('Lớp 4 - Danh mục'!$I$14:$I$132,$T104),INDEX('Lớp 3 - Công việc chính'!$I$14:$I$73,$T104))))</f>
        <v>#REF!</v>
      </c>
      <c r="C104" s="690" t="str">
        <f t="array" ref="C104">IF($S104="","",IF($S104="Lớp 5",INDEX('Lớp 5 - Phân công'!$K$14:$K$262,$T104),IF($S104="Lớp 4",INDEX('Lớp 4 - Danh mục'!$J$14:$J$132,$T104),INDEX('Lớp 3 - Công việc chính'!$I$14:$I$73,$T104))))</f>
        <v>#REF!</v>
      </c>
      <c r="D104" s="690" t="str">
        <f t="array" ref="D104">IF($S104="","",IF($S104="Lớp 5",INDEX('Lớp 5 - Phân công'!$J$14:$J$262,$T104),IF($S104="Lớp 4",INDEX('Lớp 4 - Danh mục'!$I$14:$I$132,$T104),"")))</f>
        <v>#REF!</v>
      </c>
      <c r="E104" s="690" t="str">
        <f t="array" ref="E104">IF($S104="","",IF($S104="Lớp 5",INDEX('Lớp 5 - Phân công'!$L$14:$L$262,$T104),IF($S104="Lớp 4",INDEX('Lớp 4 - Danh mục'!$K$14:$K$132,$T104),INDEX('Lớp 3 - Công việc chính'!$J$14:$J$73,$T104))))</f>
        <v>#REF!</v>
      </c>
      <c r="F104" s="690" t="str">
        <f t="array" ref="F104">IF($S104="","",IF($S104="Lớp 5",INDEX('Lớp 5 - Phân công'!$M$14:$M$262,$T104),IF($S104="Lớp 4",INDEX('Lớp 4 - Danh mục'!$L$14:$L$132,$T104),INDEX('Lớp 3 - Công việc chính'!$K$14:$K$73,$T104))))</f>
        <v>#REF!</v>
      </c>
      <c r="G104" s="691" t="str">
        <f t="array" ref="G104">IF($S104="","",IF($S104="Lớp 5",INDEX('Lớp 5 - Phân công'!$N$14:$N$262,$T104),IF($S104="Lớp 4",INDEX('Lớp 4 - Danh mục'!$M$14:$M$132,$T104),INDEX('Lớp 3 - Công việc chính'!$L$14:$L$73,$T104))))</f>
        <v>#REF!</v>
      </c>
      <c r="H104" s="692" t="str">
        <f t="array" ref="H104">IF($S104="","",IF($S104="Lớp 5",INDEX('Lớp 5 - Phân công'!$O$14:$O$262,$T104),IF($S104="Lớp 4",INDEX('Lớp 4 - Danh mục'!$N$14:$N$132,$T104),INDEX('Lớp 3 - Công việc chính'!$M$14:$M$73,$T104))))</f>
        <v>#REF!</v>
      </c>
      <c r="I104" s="692" t="str">
        <f t="array" ref="I104">IF($S104="","",IF($S104="Lớp 5",INDEX('Lớp 5 - Phân công'!$P$14:$P$262,$T104),IF($S104="Lớp 4",INDEX('Lớp 4 - Danh mục'!$O$14:$O$132,$T104),"")))</f>
        <v>#REF!</v>
      </c>
      <c r="J104" s="693" t="str">
        <f t="array" ref="J104">IF($S104="","",IF($S104="Lớp 5",INDEX('Lớp 5 - Phân công'!$Q$14:$Q$262,$T104),""))</f>
        <v>#REF!</v>
      </c>
      <c r="K104" s="690" t="str">
        <f t="array" ref="K104">IF($S104="","",IF($S104="Lớp 5",INDEX('Lớp 5 - Phân công'!$AA$14:$AA$262,$T104),IF($S104="Lớp 4",INDEX('Lớp 4 - Danh mục'!$Y$14:$Y$132,$T104),INDEX('Lớp 3 - Công việc chính'!$U$14:$U$73,$T104))))</f>
        <v>#REF!</v>
      </c>
      <c r="L104" s="691" t="str">
        <f t="array" ref="L104">IF($S104="","",IF($S104="Lớp 5",INDEX('Lớp 5 - Phân công'!$Z$14:$Z$262,$T104),IF($S104="Lớp 4",INDEX('Lớp 4 - Danh mục'!$X$14:$X$132,$T104),INDEX('Lớp 3 - Công việc chính'!$W$14:$W$73,$T104))))</f>
        <v>#REF!</v>
      </c>
      <c r="M104" s="694" t="str">
        <f t="array" ref="M104">IF($S104="","",IF($S104="Lớp 5",INDEX('Lớp 5 - Phân công'!$AD$14:$AD$262,$T104),IF($S104="Lớp 4",INDEX('Lớp 4 - Danh mục'!$AC$14:$AC$132,$T104),INDEX('Lớp 3 - Công việc chính'!$Z$14:$Z$73,$T104))))</f>
        <v>#REF!</v>
      </c>
      <c r="N104" s="695" t="str">
        <f t="array" ref="N104">IF($S104="","",IF($S104="Lớp 5",INDEX('Lớp 5 - Phân công'!$AE$14:$AE$262,$T104),IF($S104="Lớp 4",INDEX('Lớp 4 - Danh mục'!$AD$14:$AD$132,$T104),INDEX('Lớp 3 - Công việc chính'!$AA$14:$AA$73,$T104))))</f>
        <v>#REF!</v>
      </c>
      <c r="O104" s="690" t="str">
        <f t="array" ref="O104">IF($S104="","",IF($S104="Lớp 5",INDEX('Lớp 5 - Phân công'!$AB$14:$AB$262,$T104),IF($S104="Lớp 4",INDEX('Lớp 4 - Danh mục'!$AA$14:$AA$132,$T104),INDEX('Lớp 3 - Công việc chính'!$X$14:$X$73,$T104))))</f>
        <v>#REF!</v>
      </c>
      <c r="P104" s="703" t="str">
        <f t="array" ref="P104">IF($S104="","",IF($S104="Lớp 5",INDEX('Lớp 5 - Phân công'!$AC$14:$AC$262,$T104),IF($S104="Lớp 4",INDEX('Lớp 4 - Danh mục'!$AB$14:$AB$132,$T104),INDEX('Lớp 3 - Công việc chính'!$Y$14:$Y$73,$T104))))</f>
        <v>#REF!</v>
      </c>
      <c r="Q104" s="697" t="str">
        <f t="array" ref="Q104">IF($S104="","",IF($S104="Lớp 5",INDEX('Lớp 5 - Phân công'!$AG$14:$AG$262,$T104),IF($S104="Lớp 4",INDEX('Lớp 4 - Danh mục'!$AF$14:$AF$132,$T104),INDEX('Lớp 3 - Công việc chính'!$AC$14:$AC$73,$T104))))</f>
        <v>#REF!</v>
      </c>
      <c r="R104" s="698" t="str">
        <f t="array" ref="R104">IF($S104="","",IF($S104="Lớp 5",INDEX('Lớp 5 - Phân công'!$X$14:$X$262,$T104),IF($S104="Lớp 4",INDEX('Lớp 4 - Danh mục'!$V$14:$V$132,$T104),INDEX('Lớp 3 - Công việc chính'!$T$14:$T$73,$T104))))</f>
        <v>#REF!</v>
      </c>
      <c r="S104" s="699" t="str">
        <f>IF(ROWS($S$14:S104)&lt;=COUNTIF('Lớp 5 - Phân công'!$I$14:$I$262,"&lt;&gt;"),"Lớp 5",IF(ROWS($S$14:S104)&lt;=COUNTIF('Lớp 5 - Phân công'!$I$14:$I$262,"&lt;&gt;")+SUMPRODUCT(--('Lớp 4 - Danh mục'!$I$14:$I$132&lt;&gt;""),--(COUNTIF('Lớp 5 - Phân công'!$J$14:$J$262,'Lớp 4 - Danh mục'!$I$14:$I$132)=0)),"Lớp 4",IF(ROWS($S$14:S104)&lt;=COUNTIF('Lớp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4" s="699" t="str">
        <f t="array" ref="T104">IF(S104="","",IF(S104="Lớp 5",IF(S103&lt;&gt;"Lớp 5",MATCH("*",'Lớp 5 - Phân công'!$I$14:$I$262,0),T103+MATCH("*",INDEX('Lớp 5 - Phân công'!$I$14:$I$262,T103+1):'Lớp 5 - Phân công'!$I$262,0)),IF(S104="Lớp 4",IF(S103&lt;&gt;"Lớp 4",MATCH(1,INDEX(('Lớp 4 - Danh mục'!$I$14:$I$132&lt;&gt;"")*(COUNTIF('Lớp 5 - Phân công'!$J$14:$J$262,'Lớp 4 - Danh mục'!$I$14:$I$132)=0),0),0),T103+MATCH(1,INDEX((INDEX('Lớp 4 - Danh mục'!$I$14:$I$132,T103+1):'Lớp 4 - Danh mục'!$I$132&lt;&gt;"")*(COUNTIF('Lớp 5 - Phân công'!$J$14:$J$262,INDEX('Lớp 4 - Danh mục'!$I$14:$I$132,T103+1):'Lớp 4 - Danh mục'!$I$132)=0),0),0)),IF(S103&lt;&gt;"Lớp 3",MATCH(1,INDEX(('Lớp 3 - Công việc chính'!$I$14:$I$73&lt;&gt;"")*(COUNTIF('Lớp 4 - Danh mục'!$J$14:$J$132,'Lớp 3 - Công việc chính'!$I$14:$I$73)=0),0),0),T103+MATCH(1,INDEX((INDEX('Lớp 3 - Công việc chính'!$I$14:$I$73,T103+1):'Lớp 3 - Công việc chính'!$I$73&lt;&gt;"")*(COUNTIF('Lớp 4 - Danh mục'!$J$14:$J$132,INDEX('Lớp 3 - Công việc chính'!$I$14:$I$73,T103+1):'Lớp 3 - Công việc chính'!$I$73)=0),0),0)))))</f>
        <v>#REF!</v>
      </c>
      <c r="Z104" s="700" t="str">
        <f t="array" ref="Z104">IF($S104="","",IF($S104="Lớp 5",INDEX('Lớp 5 - Phân công'!$AS$14:$AS$262,$T104),IF($S104="Lớp 4",INDEX('Lớp 4 - Danh mục'!$AR$14:$AR$132,$T104),INDEX('Lớp 3 - Công việc chính'!$AO$14:$AO$73,$T104))))</f>
        <v>#REF!</v>
      </c>
      <c r="AA104" s="701" t="str">
        <f t="array" ref="AA104">IF($S104="","",IF($S104="Lớp 5",INDEX('Lớp 5 - Phân công'!$AT$14:$AT$262,$T104),IF($S104="Lớp 4",INDEX('Lớp 4 - Danh mục'!$AS$14:$AS$132,$T104),INDEX('Lớp 3 - Công việc chính'!$AP$14:$AP$73,$T104))))</f>
        <v>#REF!</v>
      </c>
      <c r="AB104" s="701" t="str">
        <f t="array" ref="AB104">IF($S104="","",IF($S104="Lớp 5",INDEX('Lớp 5 - Phân công'!$AJ$14:$AJ$262,$T104),IF($S104="Lớp 4",INDEX('Lớp 4 - Danh mục'!$AI$14:$AI$132,$T104),INDEX('Lớp 3 - Công việc chính'!$AF$14:$AF$73,$T104))))</f>
        <v>#REF!</v>
      </c>
      <c r="AC104" s="702" t="str">
        <f t="array" ref="AC104">IF($S104="","",IF($S104="Lớp 5",INDEX('Lớp 5 - Phân công'!$AV$14:$AV$262,$T104),IF($S104="Lớp 4",INDEX('Lớp 4 - Danh mục'!$AU$14:$AU$132,$T104),INDEX('Lớp 3 - Công việc chính'!$AR$14:$AR$73,$T104))))</f>
        <v>#REF!</v>
      </c>
    </row>
    <row r="105" ht="15.75" customHeight="1">
      <c r="A105" s="690" t="str">
        <f t="shared" si="1"/>
        <v>#REF!</v>
      </c>
      <c r="B105" s="690" t="str">
        <f t="array" ref="B105">IF($S105="","",IF($S105="Lớp 5",INDEX('Lớp 5 - Phân công'!$I$14:$I$262,$T105),IF($S105="Lớp 4",INDEX('Lớp 4 - Danh mục'!$I$14:$I$132,$T105),INDEX('Lớp 3 - Công việc chính'!$I$14:$I$73,$T105))))</f>
        <v>#REF!</v>
      </c>
      <c r="C105" s="690" t="str">
        <f t="array" ref="C105">IF($S105="","",IF($S105="Lớp 5",INDEX('Lớp 5 - Phân công'!$K$14:$K$262,$T105),IF($S105="Lớp 4",INDEX('Lớp 4 - Danh mục'!$J$14:$J$132,$T105),INDEX('Lớp 3 - Công việc chính'!$I$14:$I$73,$T105))))</f>
        <v>#REF!</v>
      </c>
      <c r="D105" s="690" t="str">
        <f t="array" ref="D105">IF($S105="","",IF($S105="Lớp 5",INDEX('Lớp 5 - Phân công'!$J$14:$J$262,$T105),IF($S105="Lớp 4",INDEX('Lớp 4 - Danh mục'!$I$14:$I$132,$T105),"")))</f>
        <v>#REF!</v>
      </c>
      <c r="E105" s="690" t="str">
        <f t="array" ref="E105">IF($S105="","",IF($S105="Lớp 5",INDEX('Lớp 5 - Phân công'!$L$14:$L$262,$T105),IF($S105="Lớp 4",INDEX('Lớp 4 - Danh mục'!$K$14:$K$132,$T105),INDEX('Lớp 3 - Công việc chính'!$J$14:$J$73,$T105))))</f>
        <v>#REF!</v>
      </c>
      <c r="F105" s="690" t="str">
        <f t="array" ref="F105">IF($S105="","",IF($S105="Lớp 5",INDEX('Lớp 5 - Phân công'!$M$14:$M$262,$T105),IF($S105="Lớp 4",INDEX('Lớp 4 - Danh mục'!$L$14:$L$132,$T105),INDEX('Lớp 3 - Công việc chính'!$K$14:$K$73,$T105))))</f>
        <v>#REF!</v>
      </c>
      <c r="G105" s="691" t="str">
        <f t="array" ref="G105">IF($S105="","",IF($S105="Lớp 5",INDEX('Lớp 5 - Phân công'!$N$14:$N$262,$T105),IF($S105="Lớp 4",INDEX('Lớp 4 - Danh mục'!$M$14:$M$132,$T105),INDEX('Lớp 3 - Công việc chính'!$L$14:$L$73,$T105))))</f>
        <v>#REF!</v>
      </c>
      <c r="H105" s="692" t="str">
        <f t="array" ref="H105">IF($S105="","",IF($S105="Lớp 5",INDEX('Lớp 5 - Phân công'!$O$14:$O$262,$T105),IF($S105="Lớp 4",INDEX('Lớp 4 - Danh mục'!$N$14:$N$132,$T105),INDEX('Lớp 3 - Công việc chính'!$M$14:$M$73,$T105))))</f>
        <v>#REF!</v>
      </c>
      <c r="I105" s="692" t="str">
        <f t="array" ref="I105">IF($S105="","",IF($S105="Lớp 5",INDEX('Lớp 5 - Phân công'!$P$14:$P$262,$T105),IF($S105="Lớp 4",INDEX('Lớp 4 - Danh mục'!$O$14:$O$132,$T105),"")))</f>
        <v>#REF!</v>
      </c>
      <c r="J105" s="693" t="str">
        <f t="array" ref="J105">IF($S105="","",IF($S105="Lớp 5",INDEX('Lớp 5 - Phân công'!$Q$14:$Q$262,$T105),""))</f>
        <v>#REF!</v>
      </c>
      <c r="K105" s="690" t="str">
        <f t="array" ref="K105">IF($S105="","",IF($S105="Lớp 5",INDEX('Lớp 5 - Phân công'!$AA$14:$AA$262,$T105),IF($S105="Lớp 4",INDEX('Lớp 4 - Danh mục'!$Y$14:$Y$132,$T105),INDEX('Lớp 3 - Công việc chính'!$U$14:$U$73,$T105))))</f>
        <v>#REF!</v>
      </c>
      <c r="L105" s="691" t="str">
        <f t="array" ref="L105">IF($S105="","",IF($S105="Lớp 5",INDEX('Lớp 5 - Phân công'!$Z$14:$Z$262,$T105),IF($S105="Lớp 4",INDEX('Lớp 4 - Danh mục'!$X$14:$X$132,$T105),INDEX('Lớp 3 - Công việc chính'!$W$14:$W$73,$T105))))</f>
        <v>#REF!</v>
      </c>
      <c r="M105" s="694" t="str">
        <f t="array" ref="M105">IF($S105="","",IF($S105="Lớp 5",INDEX('Lớp 5 - Phân công'!$AD$14:$AD$262,$T105),IF($S105="Lớp 4",INDEX('Lớp 4 - Danh mục'!$AC$14:$AC$132,$T105),INDEX('Lớp 3 - Công việc chính'!$Z$14:$Z$73,$T105))))</f>
        <v>#REF!</v>
      </c>
      <c r="N105" s="695" t="str">
        <f t="array" ref="N105">IF($S105="","",IF($S105="Lớp 5",INDEX('Lớp 5 - Phân công'!$AE$14:$AE$262,$T105),IF($S105="Lớp 4",INDEX('Lớp 4 - Danh mục'!$AD$14:$AD$132,$T105),INDEX('Lớp 3 - Công việc chính'!$AA$14:$AA$73,$T105))))</f>
        <v>#REF!</v>
      </c>
      <c r="O105" s="690" t="str">
        <f t="array" ref="O105">IF($S105="","",IF($S105="Lớp 5",INDEX('Lớp 5 - Phân công'!$AB$14:$AB$262,$T105),IF($S105="Lớp 4",INDEX('Lớp 4 - Danh mục'!$AA$14:$AA$132,$T105),INDEX('Lớp 3 - Công việc chính'!$X$14:$X$73,$T105))))</f>
        <v>#REF!</v>
      </c>
      <c r="P105" s="703" t="str">
        <f t="array" ref="P105">IF($S105="","",IF($S105="Lớp 5",INDEX('Lớp 5 - Phân công'!$AC$14:$AC$262,$T105),IF($S105="Lớp 4",INDEX('Lớp 4 - Danh mục'!$AB$14:$AB$132,$T105),INDEX('Lớp 3 - Công việc chính'!$Y$14:$Y$73,$T105))))</f>
        <v>#REF!</v>
      </c>
      <c r="Q105" s="697" t="str">
        <f t="array" ref="Q105">IF($S105="","",IF($S105="Lớp 5",INDEX('Lớp 5 - Phân công'!$AG$14:$AG$262,$T105),IF($S105="Lớp 4",INDEX('Lớp 4 - Danh mục'!$AF$14:$AF$132,$T105),INDEX('Lớp 3 - Công việc chính'!$AC$14:$AC$73,$T105))))</f>
        <v>#REF!</v>
      </c>
      <c r="R105" s="698" t="str">
        <f t="array" ref="R105">IF($S105="","",IF($S105="Lớp 5",INDEX('Lớp 5 - Phân công'!$X$14:$X$262,$T105),IF($S105="Lớp 4",INDEX('Lớp 4 - Danh mục'!$V$14:$V$132,$T105),INDEX('Lớp 3 - Công việc chính'!$T$14:$T$73,$T105))))</f>
        <v>#REF!</v>
      </c>
      <c r="S105" s="699" t="str">
        <f>IF(ROWS($S$14:S105)&lt;=COUNTIF('Lớp 5 - Phân công'!$I$14:$I$262,"&lt;&gt;"),"Lớp 5",IF(ROWS($S$14:S105)&lt;=COUNTIF('Lớp 5 - Phân công'!$I$14:$I$262,"&lt;&gt;")+SUMPRODUCT(--('Lớp 4 - Danh mục'!$I$14:$I$132&lt;&gt;""),--(COUNTIF('Lớp 5 - Phân công'!$J$14:$J$262,'Lớp 4 - Danh mục'!$I$14:$I$132)=0)),"Lớp 4",IF(ROWS($S$14:S105)&lt;=COUNTIF('Lớp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5" s="699" t="str">
        <f t="array" ref="T105">IF(S105="","",IF(S105="Lớp 5",IF(S104&lt;&gt;"Lớp 5",MATCH("*",'Lớp 5 - Phân công'!$I$14:$I$262,0),T104+MATCH("*",INDEX('Lớp 5 - Phân công'!$I$14:$I$262,T104+1):'Lớp 5 - Phân công'!$I$262,0)),IF(S105="Lớp 4",IF(S104&lt;&gt;"Lớp 4",MATCH(1,INDEX(('Lớp 4 - Danh mục'!$I$14:$I$132&lt;&gt;"")*(COUNTIF('Lớp 5 - Phân công'!$J$14:$J$262,'Lớp 4 - Danh mục'!$I$14:$I$132)=0),0),0),T104+MATCH(1,INDEX((INDEX('Lớp 4 - Danh mục'!$I$14:$I$132,T104+1):'Lớp 4 - Danh mục'!$I$132&lt;&gt;"")*(COUNTIF('Lớp 5 - Phân công'!$J$14:$J$262,INDEX('Lớp 4 - Danh mục'!$I$14:$I$132,T104+1):'Lớp 4 - Danh mục'!$I$132)=0),0),0)),IF(S104&lt;&gt;"Lớp 3",MATCH(1,INDEX(('Lớp 3 - Công việc chính'!$I$14:$I$73&lt;&gt;"")*(COUNTIF('Lớp 4 - Danh mục'!$J$14:$J$132,'Lớp 3 - Công việc chính'!$I$14:$I$73)=0),0),0),T104+MATCH(1,INDEX((INDEX('Lớp 3 - Công việc chính'!$I$14:$I$73,T104+1):'Lớp 3 - Công việc chính'!$I$73&lt;&gt;"")*(COUNTIF('Lớp 4 - Danh mục'!$J$14:$J$132,INDEX('Lớp 3 - Công việc chính'!$I$14:$I$73,T104+1):'Lớp 3 - Công việc chính'!$I$73)=0),0),0)))))</f>
        <v>#REF!</v>
      </c>
      <c r="Z105" s="700" t="str">
        <f t="array" ref="Z105">IF($S105="","",IF($S105="Lớp 5",INDEX('Lớp 5 - Phân công'!$AS$14:$AS$262,$T105),IF($S105="Lớp 4",INDEX('Lớp 4 - Danh mục'!$AR$14:$AR$132,$T105),INDEX('Lớp 3 - Công việc chính'!$AO$14:$AO$73,$T105))))</f>
        <v>#REF!</v>
      </c>
      <c r="AA105" s="701" t="str">
        <f t="array" ref="AA105">IF($S105="","",IF($S105="Lớp 5",INDEX('Lớp 5 - Phân công'!$AT$14:$AT$262,$T105),IF($S105="Lớp 4",INDEX('Lớp 4 - Danh mục'!$AS$14:$AS$132,$T105),INDEX('Lớp 3 - Công việc chính'!$AP$14:$AP$73,$T105))))</f>
        <v>#REF!</v>
      </c>
      <c r="AB105" s="701" t="str">
        <f t="array" ref="AB105">IF($S105="","",IF($S105="Lớp 5",INDEX('Lớp 5 - Phân công'!$AJ$14:$AJ$262,$T105),IF($S105="Lớp 4",INDEX('Lớp 4 - Danh mục'!$AI$14:$AI$132,$T105),INDEX('Lớp 3 - Công việc chính'!$AF$14:$AF$73,$T105))))</f>
        <v>#REF!</v>
      </c>
      <c r="AC105" s="702" t="str">
        <f t="array" ref="AC105">IF($S105="","",IF($S105="Lớp 5",INDEX('Lớp 5 - Phân công'!$AV$14:$AV$262,$T105),IF($S105="Lớp 4",INDEX('Lớp 4 - Danh mục'!$AU$14:$AU$132,$T105),INDEX('Lớp 3 - Công việc chính'!$AR$14:$AR$73,$T105))))</f>
        <v>#REF!</v>
      </c>
    </row>
    <row r="106" ht="15.75" customHeight="1">
      <c r="A106" s="690" t="str">
        <f t="shared" si="1"/>
        <v>#REF!</v>
      </c>
      <c r="B106" s="690" t="str">
        <f t="array" ref="B106">IF($S106="","",IF($S106="Lớp 5",INDEX('Lớp 5 - Phân công'!$I$14:$I$262,$T106),IF($S106="Lớp 4",INDEX('Lớp 4 - Danh mục'!$I$14:$I$132,$T106),INDEX('Lớp 3 - Công việc chính'!$I$14:$I$73,$T106))))</f>
        <v>#REF!</v>
      </c>
      <c r="C106" s="690" t="str">
        <f t="array" ref="C106">IF($S106="","",IF($S106="Lớp 5",INDEX('Lớp 5 - Phân công'!$K$14:$K$262,$T106),IF($S106="Lớp 4",INDEX('Lớp 4 - Danh mục'!$J$14:$J$132,$T106),INDEX('Lớp 3 - Công việc chính'!$I$14:$I$73,$T106))))</f>
        <v>#REF!</v>
      </c>
      <c r="D106" s="690" t="str">
        <f t="array" ref="D106">IF($S106="","",IF($S106="Lớp 5",INDEX('Lớp 5 - Phân công'!$J$14:$J$262,$T106),IF($S106="Lớp 4",INDEX('Lớp 4 - Danh mục'!$I$14:$I$132,$T106),"")))</f>
        <v>#REF!</v>
      </c>
      <c r="E106" s="690" t="str">
        <f t="array" ref="E106">IF($S106="","",IF($S106="Lớp 5",INDEX('Lớp 5 - Phân công'!$L$14:$L$262,$T106),IF($S106="Lớp 4",INDEX('Lớp 4 - Danh mục'!$K$14:$K$132,$T106),INDEX('Lớp 3 - Công việc chính'!$J$14:$J$73,$T106))))</f>
        <v>#REF!</v>
      </c>
      <c r="F106" s="690" t="str">
        <f t="array" ref="F106">IF($S106="","",IF($S106="Lớp 5",INDEX('Lớp 5 - Phân công'!$M$14:$M$262,$T106),IF($S106="Lớp 4",INDEX('Lớp 4 - Danh mục'!$L$14:$L$132,$T106),INDEX('Lớp 3 - Công việc chính'!$K$14:$K$73,$T106))))</f>
        <v>#REF!</v>
      </c>
      <c r="G106" s="691" t="str">
        <f t="array" ref="G106">IF($S106="","",IF($S106="Lớp 5",INDEX('Lớp 5 - Phân công'!$N$14:$N$262,$T106),IF($S106="Lớp 4",INDEX('Lớp 4 - Danh mục'!$M$14:$M$132,$T106),INDEX('Lớp 3 - Công việc chính'!$L$14:$L$73,$T106))))</f>
        <v>#REF!</v>
      </c>
      <c r="H106" s="692" t="str">
        <f t="array" ref="H106">IF($S106="","",IF($S106="Lớp 5",INDEX('Lớp 5 - Phân công'!$O$14:$O$262,$T106),IF($S106="Lớp 4",INDEX('Lớp 4 - Danh mục'!$N$14:$N$132,$T106),INDEX('Lớp 3 - Công việc chính'!$M$14:$M$73,$T106))))</f>
        <v>#REF!</v>
      </c>
      <c r="I106" s="692" t="str">
        <f t="array" ref="I106">IF($S106="","",IF($S106="Lớp 5",INDEX('Lớp 5 - Phân công'!$P$14:$P$262,$T106),IF($S106="Lớp 4",INDEX('Lớp 4 - Danh mục'!$O$14:$O$132,$T106),"")))</f>
        <v>#REF!</v>
      </c>
      <c r="J106" s="693" t="str">
        <f t="array" ref="J106">IF($S106="","",IF($S106="Lớp 5",INDEX('Lớp 5 - Phân công'!$Q$14:$Q$262,$T106),""))</f>
        <v>#REF!</v>
      </c>
      <c r="K106" s="690" t="str">
        <f t="array" ref="K106">IF($S106="","",IF($S106="Lớp 5",INDEX('Lớp 5 - Phân công'!$AA$14:$AA$262,$T106),IF($S106="Lớp 4",INDEX('Lớp 4 - Danh mục'!$Y$14:$Y$132,$T106),INDEX('Lớp 3 - Công việc chính'!$U$14:$U$73,$T106))))</f>
        <v>#REF!</v>
      </c>
      <c r="L106" s="691" t="str">
        <f t="array" ref="L106">IF($S106="","",IF($S106="Lớp 5",INDEX('Lớp 5 - Phân công'!$Z$14:$Z$262,$T106),IF($S106="Lớp 4",INDEX('Lớp 4 - Danh mục'!$X$14:$X$132,$T106),INDEX('Lớp 3 - Công việc chính'!$W$14:$W$73,$T106))))</f>
        <v>#REF!</v>
      </c>
      <c r="M106" s="694" t="str">
        <f t="array" ref="M106">IF($S106="","",IF($S106="Lớp 5",INDEX('Lớp 5 - Phân công'!$AD$14:$AD$262,$T106),IF($S106="Lớp 4",INDEX('Lớp 4 - Danh mục'!$AC$14:$AC$132,$T106),INDEX('Lớp 3 - Công việc chính'!$Z$14:$Z$73,$T106))))</f>
        <v>#REF!</v>
      </c>
      <c r="N106" s="695" t="str">
        <f t="array" ref="N106">IF($S106="","",IF($S106="Lớp 5",INDEX('Lớp 5 - Phân công'!$AE$14:$AE$262,$T106),IF($S106="Lớp 4",INDEX('Lớp 4 - Danh mục'!$AD$14:$AD$132,$T106),INDEX('Lớp 3 - Công việc chính'!$AA$14:$AA$73,$T106))))</f>
        <v>#REF!</v>
      </c>
      <c r="O106" s="690" t="str">
        <f t="array" ref="O106">IF($S106="","",IF($S106="Lớp 5",INDEX('Lớp 5 - Phân công'!$AB$14:$AB$262,$T106),IF($S106="Lớp 4",INDEX('Lớp 4 - Danh mục'!$AA$14:$AA$132,$T106),INDEX('Lớp 3 - Công việc chính'!$X$14:$X$73,$T106))))</f>
        <v>#REF!</v>
      </c>
      <c r="P106" s="703" t="str">
        <f t="array" ref="P106">IF($S106="","",IF($S106="Lớp 5",INDEX('Lớp 5 - Phân công'!$AC$14:$AC$262,$T106),IF($S106="Lớp 4",INDEX('Lớp 4 - Danh mục'!$AB$14:$AB$132,$T106),INDEX('Lớp 3 - Công việc chính'!$Y$14:$Y$73,$T106))))</f>
        <v>#REF!</v>
      </c>
      <c r="Q106" s="697" t="str">
        <f t="array" ref="Q106">IF($S106="","",IF($S106="Lớp 5",INDEX('Lớp 5 - Phân công'!$AG$14:$AG$262,$T106),IF($S106="Lớp 4",INDEX('Lớp 4 - Danh mục'!$AF$14:$AF$132,$T106),INDEX('Lớp 3 - Công việc chính'!$AC$14:$AC$73,$T106))))</f>
        <v>#REF!</v>
      </c>
      <c r="R106" s="698" t="str">
        <f t="array" ref="R106">IF($S106="","",IF($S106="Lớp 5",INDEX('Lớp 5 - Phân công'!$X$14:$X$262,$T106),IF($S106="Lớp 4",INDEX('Lớp 4 - Danh mục'!$V$14:$V$132,$T106),INDEX('Lớp 3 - Công việc chính'!$T$14:$T$73,$T106))))</f>
        <v>#REF!</v>
      </c>
      <c r="S106" s="699" t="str">
        <f>IF(ROWS($S$14:S106)&lt;=COUNTIF('Lớp 5 - Phân công'!$I$14:$I$262,"&lt;&gt;"),"Lớp 5",IF(ROWS($S$14:S106)&lt;=COUNTIF('Lớp 5 - Phân công'!$I$14:$I$262,"&lt;&gt;")+SUMPRODUCT(--('Lớp 4 - Danh mục'!$I$14:$I$132&lt;&gt;""),--(COUNTIF('Lớp 5 - Phân công'!$J$14:$J$262,'Lớp 4 - Danh mục'!$I$14:$I$132)=0)),"Lớp 4",IF(ROWS($S$14:S106)&lt;=COUNTIF('Lớp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6" s="699" t="str">
        <f t="array" ref="T106">IF(S106="","",IF(S106="Lớp 5",IF(S105&lt;&gt;"Lớp 5",MATCH("*",'Lớp 5 - Phân công'!$I$14:$I$262,0),T105+MATCH("*",INDEX('Lớp 5 - Phân công'!$I$14:$I$262,T105+1):'Lớp 5 - Phân công'!$I$262,0)),IF(S106="Lớp 4",IF(S105&lt;&gt;"Lớp 4",MATCH(1,INDEX(('Lớp 4 - Danh mục'!$I$14:$I$132&lt;&gt;"")*(COUNTIF('Lớp 5 - Phân công'!$J$14:$J$262,'Lớp 4 - Danh mục'!$I$14:$I$132)=0),0),0),T105+MATCH(1,INDEX((INDEX('Lớp 4 - Danh mục'!$I$14:$I$132,T105+1):'Lớp 4 - Danh mục'!$I$132&lt;&gt;"")*(COUNTIF('Lớp 5 - Phân công'!$J$14:$J$262,INDEX('Lớp 4 - Danh mục'!$I$14:$I$132,T105+1):'Lớp 4 - Danh mục'!$I$132)=0),0),0)),IF(S105&lt;&gt;"Lớp 3",MATCH(1,INDEX(('Lớp 3 - Công việc chính'!$I$14:$I$73&lt;&gt;"")*(COUNTIF('Lớp 4 - Danh mục'!$J$14:$J$132,'Lớp 3 - Công việc chính'!$I$14:$I$73)=0),0),0),T105+MATCH(1,INDEX((INDEX('Lớp 3 - Công việc chính'!$I$14:$I$73,T105+1):'Lớp 3 - Công việc chính'!$I$73&lt;&gt;"")*(COUNTIF('Lớp 4 - Danh mục'!$J$14:$J$132,INDEX('Lớp 3 - Công việc chính'!$I$14:$I$73,T105+1):'Lớp 3 - Công việc chính'!$I$73)=0),0),0)))))</f>
        <v>#REF!</v>
      </c>
      <c r="Z106" s="700" t="str">
        <f t="array" ref="Z106">IF($S106="","",IF($S106="Lớp 5",INDEX('Lớp 5 - Phân công'!$AS$14:$AS$262,$T106),IF($S106="Lớp 4",INDEX('Lớp 4 - Danh mục'!$AR$14:$AR$132,$T106),INDEX('Lớp 3 - Công việc chính'!$AO$14:$AO$73,$T106))))</f>
        <v>#REF!</v>
      </c>
      <c r="AA106" s="701" t="str">
        <f t="array" ref="AA106">IF($S106="","",IF($S106="Lớp 5",INDEX('Lớp 5 - Phân công'!$AT$14:$AT$262,$T106),IF($S106="Lớp 4",INDEX('Lớp 4 - Danh mục'!$AS$14:$AS$132,$T106),INDEX('Lớp 3 - Công việc chính'!$AP$14:$AP$73,$T106))))</f>
        <v>#REF!</v>
      </c>
      <c r="AB106" s="701" t="str">
        <f t="array" ref="AB106">IF($S106="","",IF($S106="Lớp 5",INDEX('Lớp 5 - Phân công'!$AJ$14:$AJ$262,$T106),IF($S106="Lớp 4",INDEX('Lớp 4 - Danh mục'!$AI$14:$AI$132,$T106),INDEX('Lớp 3 - Công việc chính'!$AF$14:$AF$73,$T106))))</f>
        <v>#REF!</v>
      </c>
      <c r="AC106" s="702" t="str">
        <f t="array" ref="AC106">IF($S106="","",IF($S106="Lớp 5",INDEX('Lớp 5 - Phân công'!$AV$14:$AV$262,$T106),IF($S106="Lớp 4",INDEX('Lớp 4 - Danh mục'!$AU$14:$AU$132,$T106),INDEX('Lớp 3 - Công việc chính'!$AR$14:$AR$73,$T106))))</f>
        <v>#REF!</v>
      </c>
    </row>
    <row r="107" ht="15.75" customHeight="1">
      <c r="A107" s="690" t="str">
        <f t="shared" si="1"/>
        <v>#REF!</v>
      </c>
      <c r="B107" s="690" t="str">
        <f t="array" ref="B107">IF($S107="","",IF($S107="Lớp 5",INDEX('Lớp 5 - Phân công'!$I$14:$I$262,$T107),IF($S107="Lớp 4",INDEX('Lớp 4 - Danh mục'!$I$14:$I$132,$T107),INDEX('Lớp 3 - Công việc chính'!$I$14:$I$73,$T107))))</f>
        <v>#REF!</v>
      </c>
      <c r="C107" s="690" t="str">
        <f t="array" ref="C107">IF($S107="","",IF($S107="Lớp 5",INDEX('Lớp 5 - Phân công'!$K$14:$K$262,$T107),IF($S107="Lớp 4",INDEX('Lớp 4 - Danh mục'!$J$14:$J$132,$T107),INDEX('Lớp 3 - Công việc chính'!$I$14:$I$73,$T107))))</f>
        <v>#REF!</v>
      </c>
      <c r="D107" s="690" t="str">
        <f t="array" ref="D107">IF($S107="","",IF($S107="Lớp 5",INDEX('Lớp 5 - Phân công'!$J$14:$J$262,$T107),IF($S107="Lớp 4",INDEX('Lớp 4 - Danh mục'!$I$14:$I$132,$T107),"")))</f>
        <v>#REF!</v>
      </c>
      <c r="E107" s="690" t="str">
        <f t="array" ref="E107">IF($S107="","",IF($S107="Lớp 5",INDEX('Lớp 5 - Phân công'!$L$14:$L$262,$T107),IF($S107="Lớp 4",INDEX('Lớp 4 - Danh mục'!$K$14:$K$132,$T107),INDEX('Lớp 3 - Công việc chính'!$J$14:$J$73,$T107))))</f>
        <v>#REF!</v>
      </c>
      <c r="F107" s="690" t="str">
        <f t="array" ref="F107">IF($S107="","",IF($S107="Lớp 5",INDEX('Lớp 5 - Phân công'!$M$14:$M$262,$T107),IF($S107="Lớp 4",INDEX('Lớp 4 - Danh mục'!$L$14:$L$132,$T107),INDEX('Lớp 3 - Công việc chính'!$K$14:$K$73,$T107))))</f>
        <v>#REF!</v>
      </c>
      <c r="G107" s="691" t="str">
        <f t="array" ref="G107">IF($S107="","",IF($S107="Lớp 5",INDEX('Lớp 5 - Phân công'!$N$14:$N$262,$T107),IF($S107="Lớp 4",INDEX('Lớp 4 - Danh mục'!$M$14:$M$132,$T107),INDEX('Lớp 3 - Công việc chính'!$L$14:$L$73,$T107))))</f>
        <v>#REF!</v>
      </c>
      <c r="H107" s="692" t="str">
        <f t="array" ref="H107">IF($S107="","",IF($S107="Lớp 5",INDEX('Lớp 5 - Phân công'!$O$14:$O$262,$T107),IF($S107="Lớp 4",INDEX('Lớp 4 - Danh mục'!$N$14:$N$132,$T107),INDEX('Lớp 3 - Công việc chính'!$M$14:$M$73,$T107))))</f>
        <v>#REF!</v>
      </c>
      <c r="I107" s="692" t="str">
        <f t="array" ref="I107">IF($S107="","",IF($S107="Lớp 5",INDEX('Lớp 5 - Phân công'!$P$14:$P$262,$T107),IF($S107="Lớp 4",INDEX('Lớp 4 - Danh mục'!$O$14:$O$132,$T107),"")))</f>
        <v>#REF!</v>
      </c>
      <c r="J107" s="693" t="str">
        <f t="array" ref="J107">IF($S107="","",IF($S107="Lớp 5",INDEX('Lớp 5 - Phân công'!$Q$14:$Q$262,$T107),""))</f>
        <v>#REF!</v>
      </c>
      <c r="K107" s="690" t="str">
        <f t="array" ref="K107">IF($S107="","",IF($S107="Lớp 5",INDEX('Lớp 5 - Phân công'!$AA$14:$AA$262,$T107),IF($S107="Lớp 4",INDEX('Lớp 4 - Danh mục'!$Y$14:$Y$132,$T107),INDEX('Lớp 3 - Công việc chính'!$U$14:$U$73,$T107))))</f>
        <v>#REF!</v>
      </c>
      <c r="L107" s="691" t="str">
        <f t="array" ref="L107">IF($S107="","",IF($S107="Lớp 5",INDEX('Lớp 5 - Phân công'!$Z$14:$Z$262,$T107),IF($S107="Lớp 4",INDEX('Lớp 4 - Danh mục'!$X$14:$X$132,$T107),INDEX('Lớp 3 - Công việc chính'!$W$14:$W$73,$T107))))</f>
        <v>#REF!</v>
      </c>
      <c r="M107" s="694" t="str">
        <f t="array" ref="M107">IF($S107="","",IF($S107="Lớp 5",INDEX('Lớp 5 - Phân công'!$AD$14:$AD$262,$T107),IF($S107="Lớp 4",INDEX('Lớp 4 - Danh mục'!$AC$14:$AC$132,$T107),INDEX('Lớp 3 - Công việc chính'!$Z$14:$Z$73,$T107))))</f>
        <v>#REF!</v>
      </c>
      <c r="N107" s="695" t="str">
        <f t="array" ref="N107">IF($S107="","",IF($S107="Lớp 5",INDEX('Lớp 5 - Phân công'!$AE$14:$AE$262,$T107),IF($S107="Lớp 4",INDEX('Lớp 4 - Danh mục'!$AD$14:$AD$132,$T107),INDEX('Lớp 3 - Công việc chính'!$AA$14:$AA$73,$T107))))</f>
        <v>#REF!</v>
      </c>
      <c r="O107" s="690" t="str">
        <f t="array" ref="O107">IF($S107="","",IF($S107="Lớp 5",INDEX('Lớp 5 - Phân công'!$AB$14:$AB$262,$T107),IF($S107="Lớp 4",INDEX('Lớp 4 - Danh mục'!$AA$14:$AA$132,$T107),INDEX('Lớp 3 - Công việc chính'!$X$14:$X$73,$T107))))</f>
        <v>#REF!</v>
      </c>
      <c r="P107" s="703" t="str">
        <f t="array" ref="P107">IF($S107="","",IF($S107="Lớp 5",INDEX('Lớp 5 - Phân công'!$AC$14:$AC$262,$T107),IF($S107="Lớp 4",INDEX('Lớp 4 - Danh mục'!$AB$14:$AB$132,$T107),INDEX('Lớp 3 - Công việc chính'!$Y$14:$Y$73,$T107))))</f>
        <v>#REF!</v>
      </c>
      <c r="Q107" s="697" t="str">
        <f t="array" ref="Q107">IF($S107="","",IF($S107="Lớp 5",INDEX('Lớp 5 - Phân công'!$AG$14:$AG$262,$T107),IF($S107="Lớp 4",INDEX('Lớp 4 - Danh mục'!$AF$14:$AF$132,$T107),INDEX('Lớp 3 - Công việc chính'!$AC$14:$AC$73,$T107))))</f>
        <v>#REF!</v>
      </c>
      <c r="R107" s="698" t="str">
        <f t="array" ref="R107">IF($S107="","",IF($S107="Lớp 5",INDEX('Lớp 5 - Phân công'!$X$14:$X$262,$T107),IF($S107="Lớp 4",INDEX('Lớp 4 - Danh mục'!$V$14:$V$132,$T107),INDEX('Lớp 3 - Công việc chính'!$T$14:$T$73,$T107))))</f>
        <v>#REF!</v>
      </c>
      <c r="S107" s="699" t="str">
        <f>IF(ROWS($S$14:S107)&lt;=COUNTIF('Lớp 5 - Phân công'!$I$14:$I$262,"&lt;&gt;"),"Lớp 5",IF(ROWS($S$14:S107)&lt;=COUNTIF('Lớp 5 - Phân công'!$I$14:$I$262,"&lt;&gt;")+SUMPRODUCT(--('Lớp 4 - Danh mục'!$I$14:$I$132&lt;&gt;""),--(COUNTIF('Lớp 5 - Phân công'!$J$14:$J$262,'Lớp 4 - Danh mục'!$I$14:$I$132)=0)),"Lớp 4",IF(ROWS($S$14:S107)&lt;=COUNTIF('Lớp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7" s="699" t="str">
        <f t="array" ref="T107">IF(S107="","",IF(S107="Lớp 5",IF(S106&lt;&gt;"Lớp 5",MATCH("*",'Lớp 5 - Phân công'!$I$14:$I$262,0),T106+MATCH("*",INDEX('Lớp 5 - Phân công'!$I$14:$I$262,T106+1):'Lớp 5 - Phân công'!$I$262,0)),IF(S107="Lớp 4",IF(S106&lt;&gt;"Lớp 4",MATCH(1,INDEX(('Lớp 4 - Danh mục'!$I$14:$I$132&lt;&gt;"")*(COUNTIF('Lớp 5 - Phân công'!$J$14:$J$262,'Lớp 4 - Danh mục'!$I$14:$I$132)=0),0),0),T106+MATCH(1,INDEX((INDEX('Lớp 4 - Danh mục'!$I$14:$I$132,T106+1):'Lớp 4 - Danh mục'!$I$132&lt;&gt;"")*(COUNTIF('Lớp 5 - Phân công'!$J$14:$J$262,INDEX('Lớp 4 - Danh mục'!$I$14:$I$132,T106+1):'Lớp 4 - Danh mục'!$I$132)=0),0),0)),IF(S106&lt;&gt;"Lớp 3",MATCH(1,INDEX(('Lớp 3 - Công việc chính'!$I$14:$I$73&lt;&gt;"")*(COUNTIF('Lớp 4 - Danh mục'!$J$14:$J$132,'Lớp 3 - Công việc chính'!$I$14:$I$73)=0),0),0),T106+MATCH(1,INDEX((INDEX('Lớp 3 - Công việc chính'!$I$14:$I$73,T106+1):'Lớp 3 - Công việc chính'!$I$73&lt;&gt;"")*(COUNTIF('Lớp 4 - Danh mục'!$J$14:$J$132,INDEX('Lớp 3 - Công việc chính'!$I$14:$I$73,T106+1):'Lớp 3 - Công việc chính'!$I$73)=0),0),0)))))</f>
        <v>#REF!</v>
      </c>
      <c r="Z107" s="700" t="str">
        <f t="array" ref="Z107">IF($S107="","",IF($S107="Lớp 5",INDEX('Lớp 5 - Phân công'!$AS$14:$AS$262,$T107),IF($S107="Lớp 4",INDEX('Lớp 4 - Danh mục'!$AR$14:$AR$132,$T107),INDEX('Lớp 3 - Công việc chính'!$AO$14:$AO$73,$T107))))</f>
        <v>#REF!</v>
      </c>
      <c r="AA107" s="701" t="str">
        <f t="array" ref="AA107">IF($S107="","",IF($S107="Lớp 5",INDEX('Lớp 5 - Phân công'!$AT$14:$AT$262,$T107),IF($S107="Lớp 4",INDEX('Lớp 4 - Danh mục'!$AS$14:$AS$132,$T107),INDEX('Lớp 3 - Công việc chính'!$AP$14:$AP$73,$T107))))</f>
        <v>#REF!</v>
      </c>
      <c r="AB107" s="701" t="str">
        <f t="array" ref="AB107">IF($S107="","",IF($S107="Lớp 5",INDEX('Lớp 5 - Phân công'!$AJ$14:$AJ$262,$T107),IF($S107="Lớp 4",INDEX('Lớp 4 - Danh mục'!$AI$14:$AI$132,$T107),INDEX('Lớp 3 - Công việc chính'!$AF$14:$AF$73,$T107))))</f>
        <v>#REF!</v>
      </c>
      <c r="AC107" s="702" t="str">
        <f t="array" ref="AC107">IF($S107="","",IF($S107="Lớp 5",INDEX('Lớp 5 - Phân công'!$AV$14:$AV$262,$T107),IF($S107="Lớp 4",INDEX('Lớp 4 - Danh mục'!$AU$14:$AU$132,$T107),INDEX('Lớp 3 - Công việc chính'!$AR$14:$AR$73,$T107))))</f>
        <v>#REF!</v>
      </c>
    </row>
    <row r="108" ht="15.75" customHeight="1">
      <c r="A108" s="690" t="str">
        <f t="shared" si="1"/>
        <v>#REF!</v>
      </c>
      <c r="B108" s="690" t="str">
        <f t="array" ref="B108">IF($S108="","",IF($S108="Lớp 5",INDEX('Lớp 5 - Phân công'!$I$14:$I$262,$T108),IF($S108="Lớp 4",INDEX('Lớp 4 - Danh mục'!$I$14:$I$132,$T108),INDEX('Lớp 3 - Công việc chính'!$I$14:$I$73,$T108))))</f>
        <v>#REF!</v>
      </c>
      <c r="C108" s="690" t="str">
        <f t="array" ref="C108">IF($S108="","",IF($S108="Lớp 5",INDEX('Lớp 5 - Phân công'!$K$14:$K$262,$T108),IF($S108="Lớp 4",INDEX('Lớp 4 - Danh mục'!$J$14:$J$132,$T108),INDEX('Lớp 3 - Công việc chính'!$I$14:$I$73,$T108))))</f>
        <v>#REF!</v>
      </c>
      <c r="D108" s="690" t="str">
        <f t="array" ref="D108">IF($S108="","",IF($S108="Lớp 5",INDEX('Lớp 5 - Phân công'!$J$14:$J$262,$T108),IF($S108="Lớp 4",INDEX('Lớp 4 - Danh mục'!$I$14:$I$132,$T108),"")))</f>
        <v>#REF!</v>
      </c>
      <c r="E108" s="690" t="str">
        <f t="array" ref="E108">IF($S108="","",IF($S108="Lớp 5",INDEX('Lớp 5 - Phân công'!$L$14:$L$262,$T108),IF($S108="Lớp 4",INDEX('Lớp 4 - Danh mục'!$K$14:$K$132,$T108),INDEX('Lớp 3 - Công việc chính'!$J$14:$J$73,$T108))))</f>
        <v>#REF!</v>
      </c>
      <c r="F108" s="690" t="str">
        <f t="array" ref="F108">IF($S108="","",IF($S108="Lớp 5",INDEX('Lớp 5 - Phân công'!$M$14:$M$262,$T108),IF($S108="Lớp 4",INDEX('Lớp 4 - Danh mục'!$L$14:$L$132,$T108),INDEX('Lớp 3 - Công việc chính'!$K$14:$K$73,$T108))))</f>
        <v>#REF!</v>
      </c>
      <c r="G108" s="691" t="str">
        <f t="array" ref="G108">IF($S108="","",IF($S108="Lớp 5",INDEX('Lớp 5 - Phân công'!$N$14:$N$262,$T108),IF($S108="Lớp 4",INDEX('Lớp 4 - Danh mục'!$M$14:$M$132,$T108),INDEX('Lớp 3 - Công việc chính'!$L$14:$L$73,$T108))))</f>
        <v>#REF!</v>
      </c>
      <c r="H108" s="692" t="str">
        <f t="array" ref="H108">IF($S108="","",IF($S108="Lớp 5",INDEX('Lớp 5 - Phân công'!$O$14:$O$262,$T108),IF($S108="Lớp 4",INDEX('Lớp 4 - Danh mục'!$N$14:$N$132,$T108),INDEX('Lớp 3 - Công việc chính'!$M$14:$M$73,$T108))))</f>
        <v>#REF!</v>
      </c>
      <c r="I108" s="692" t="str">
        <f t="array" ref="I108">IF($S108="","",IF($S108="Lớp 5",INDEX('Lớp 5 - Phân công'!$P$14:$P$262,$T108),IF($S108="Lớp 4",INDEX('Lớp 4 - Danh mục'!$O$14:$O$132,$T108),"")))</f>
        <v>#REF!</v>
      </c>
      <c r="J108" s="693" t="str">
        <f t="array" ref="J108">IF($S108="","",IF($S108="Lớp 5",INDEX('Lớp 5 - Phân công'!$Q$14:$Q$262,$T108),""))</f>
        <v>#REF!</v>
      </c>
      <c r="K108" s="690" t="str">
        <f t="array" ref="K108">IF($S108="","",IF($S108="Lớp 5",INDEX('Lớp 5 - Phân công'!$AA$14:$AA$262,$T108),IF($S108="Lớp 4",INDEX('Lớp 4 - Danh mục'!$Y$14:$Y$132,$T108),INDEX('Lớp 3 - Công việc chính'!$U$14:$U$73,$T108))))</f>
        <v>#REF!</v>
      </c>
      <c r="L108" s="691" t="str">
        <f t="array" ref="L108">IF($S108="","",IF($S108="Lớp 5",INDEX('Lớp 5 - Phân công'!$Z$14:$Z$262,$T108),IF($S108="Lớp 4",INDEX('Lớp 4 - Danh mục'!$X$14:$X$132,$T108),INDEX('Lớp 3 - Công việc chính'!$W$14:$W$73,$T108))))</f>
        <v>#REF!</v>
      </c>
      <c r="M108" s="694" t="str">
        <f t="array" ref="M108">IF($S108="","",IF($S108="Lớp 5",INDEX('Lớp 5 - Phân công'!$AD$14:$AD$262,$T108),IF($S108="Lớp 4",INDEX('Lớp 4 - Danh mục'!$AC$14:$AC$132,$T108),INDEX('Lớp 3 - Công việc chính'!$Z$14:$Z$73,$T108))))</f>
        <v>#REF!</v>
      </c>
      <c r="N108" s="695" t="str">
        <f t="array" ref="N108">IF($S108="","",IF($S108="Lớp 5",INDEX('Lớp 5 - Phân công'!$AE$14:$AE$262,$T108),IF($S108="Lớp 4",INDEX('Lớp 4 - Danh mục'!$AD$14:$AD$132,$T108),INDEX('Lớp 3 - Công việc chính'!$AA$14:$AA$73,$T108))))</f>
        <v>#REF!</v>
      </c>
      <c r="O108" s="690" t="str">
        <f t="array" ref="O108">IF($S108="","",IF($S108="Lớp 5",INDEX('Lớp 5 - Phân công'!$AB$14:$AB$262,$T108),IF($S108="Lớp 4",INDEX('Lớp 4 - Danh mục'!$AA$14:$AA$132,$T108),INDEX('Lớp 3 - Công việc chính'!$X$14:$X$73,$T108))))</f>
        <v>#REF!</v>
      </c>
      <c r="P108" s="703" t="str">
        <f t="array" ref="P108">IF($S108="","",IF($S108="Lớp 5",INDEX('Lớp 5 - Phân công'!$AC$14:$AC$262,$T108),IF($S108="Lớp 4",INDEX('Lớp 4 - Danh mục'!$AB$14:$AB$132,$T108),INDEX('Lớp 3 - Công việc chính'!$Y$14:$Y$73,$T108))))</f>
        <v>#REF!</v>
      </c>
      <c r="Q108" s="697" t="str">
        <f t="array" ref="Q108">IF($S108="","",IF($S108="Lớp 5",INDEX('Lớp 5 - Phân công'!$AG$14:$AG$262,$T108),IF($S108="Lớp 4",INDEX('Lớp 4 - Danh mục'!$AF$14:$AF$132,$T108),INDEX('Lớp 3 - Công việc chính'!$AC$14:$AC$73,$T108))))</f>
        <v>#REF!</v>
      </c>
      <c r="R108" s="698" t="str">
        <f t="array" ref="R108">IF($S108="","",IF($S108="Lớp 5",INDEX('Lớp 5 - Phân công'!$X$14:$X$262,$T108),IF($S108="Lớp 4",INDEX('Lớp 4 - Danh mục'!$V$14:$V$132,$T108),INDEX('Lớp 3 - Công việc chính'!$T$14:$T$73,$T108))))</f>
        <v>#REF!</v>
      </c>
      <c r="S108" s="699" t="str">
        <f>IF(ROWS($S$14:S108)&lt;=COUNTIF('Lớp 5 - Phân công'!$I$14:$I$262,"&lt;&gt;"),"Lớp 5",IF(ROWS($S$14:S108)&lt;=COUNTIF('Lớp 5 - Phân công'!$I$14:$I$262,"&lt;&gt;")+SUMPRODUCT(--('Lớp 4 - Danh mục'!$I$14:$I$132&lt;&gt;""),--(COUNTIF('Lớp 5 - Phân công'!$J$14:$J$262,'Lớp 4 - Danh mục'!$I$14:$I$132)=0)),"Lớp 4",IF(ROWS($S$14:S108)&lt;=COUNTIF('Lớp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8" s="699" t="str">
        <f t="array" ref="T108">IF(S108="","",IF(S108="Lớp 5",IF(S107&lt;&gt;"Lớp 5",MATCH("*",'Lớp 5 - Phân công'!$I$14:$I$262,0),T107+MATCH("*",INDEX('Lớp 5 - Phân công'!$I$14:$I$262,T107+1):'Lớp 5 - Phân công'!$I$262,0)),IF(S108="Lớp 4",IF(S107&lt;&gt;"Lớp 4",MATCH(1,INDEX(('Lớp 4 - Danh mục'!$I$14:$I$132&lt;&gt;"")*(COUNTIF('Lớp 5 - Phân công'!$J$14:$J$262,'Lớp 4 - Danh mục'!$I$14:$I$132)=0),0),0),T107+MATCH(1,INDEX((INDEX('Lớp 4 - Danh mục'!$I$14:$I$132,T107+1):'Lớp 4 - Danh mục'!$I$132&lt;&gt;"")*(COUNTIF('Lớp 5 - Phân công'!$J$14:$J$262,INDEX('Lớp 4 - Danh mục'!$I$14:$I$132,T107+1):'Lớp 4 - Danh mục'!$I$132)=0),0),0)),IF(S107&lt;&gt;"Lớp 3",MATCH(1,INDEX(('Lớp 3 - Công việc chính'!$I$14:$I$73&lt;&gt;"")*(COUNTIF('Lớp 4 - Danh mục'!$J$14:$J$132,'Lớp 3 - Công việc chính'!$I$14:$I$73)=0),0),0),T107+MATCH(1,INDEX((INDEX('Lớp 3 - Công việc chính'!$I$14:$I$73,T107+1):'Lớp 3 - Công việc chính'!$I$73&lt;&gt;"")*(COUNTIF('Lớp 4 - Danh mục'!$J$14:$J$132,INDEX('Lớp 3 - Công việc chính'!$I$14:$I$73,T107+1):'Lớp 3 - Công việc chính'!$I$73)=0),0),0)))))</f>
        <v>#REF!</v>
      </c>
      <c r="Z108" s="700" t="str">
        <f t="array" ref="Z108">IF($S108="","",IF($S108="Lớp 5",INDEX('Lớp 5 - Phân công'!$AS$14:$AS$262,$T108),IF($S108="Lớp 4",INDEX('Lớp 4 - Danh mục'!$AR$14:$AR$132,$T108),INDEX('Lớp 3 - Công việc chính'!$AO$14:$AO$73,$T108))))</f>
        <v>#REF!</v>
      </c>
      <c r="AA108" s="701" t="str">
        <f t="array" ref="AA108">IF($S108="","",IF($S108="Lớp 5",INDEX('Lớp 5 - Phân công'!$AT$14:$AT$262,$T108),IF($S108="Lớp 4",INDEX('Lớp 4 - Danh mục'!$AS$14:$AS$132,$T108),INDEX('Lớp 3 - Công việc chính'!$AP$14:$AP$73,$T108))))</f>
        <v>#REF!</v>
      </c>
      <c r="AB108" s="701" t="str">
        <f t="array" ref="AB108">IF($S108="","",IF($S108="Lớp 5",INDEX('Lớp 5 - Phân công'!$AJ$14:$AJ$262,$T108),IF($S108="Lớp 4",INDEX('Lớp 4 - Danh mục'!$AI$14:$AI$132,$T108),INDEX('Lớp 3 - Công việc chính'!$AF$14:$AF$73,$T108))))</f>
        <v>#REF!</v>
      </c>
      <c r="AC108" s="702" t="str">
        <f t="array" ref="AC108">IF($S108="","",IF($S108="Lớp 5",INDEX('Lớp 5 - Phân công'!$AV$14:$AV$262,$T108),IF($S108="Lớp 4",INDEX('Lớp 4 - Danh mục'!$AU$14:$AU$132,$T108),INDEX('Lớp 3 - Công việc chính'!$AR$14:$AR$73,$T108))))</f>
        <v>#REF!</v>
      </c>
    </row>
    <row r="109" ht="15.75" customHeight="1">
      <c r="A109" s="690" t="str">
        <f t="shared" si="1"/>
        <v>#REF!</v>
      </c>
      <c r="B109" s="690" t="str">
        <f t="array" ref="B109">IF($S109="","",IF($S109="Lớp 5",INDEX('Lớp 5 - Phân công'!$I$14:$I$262,$T109),IF($S109="Lớp 4",INDEX('Lớp 4 - Danh mục'!$I$14:$I$132,$T109),INDEX('Lớp 3 - Công việc chính'!$I$14:$I$73,$T109))))</f>
        <v>#REF!</v>
      </c>
      <c r="C109" s="690" t="str">
        <f t="array" ref="C109">IF($S109="","",IF($S109="Lớp 5",INDEX('Lớp 5 - Phân công'!$K$14:$K$262,$T109),IF($S109="Lớp 4",INDEX('Lớp 4 - Danh mục'!$J$14:$J$132,$T109),INDEX('Lớp 3 - Công việc chính'!$I$14:$I$73,$T109))))</f>
        <v>#REF!</v>
      </c>
      <c r="D109" s="690" t="str">
        <f t="array" ref="D109">IF($S109="","",IF($S109="Lớp 5",INDEX('Lớp 5 - Phân công'!$J$14:$J$262,$T109),IF($S109="Lớp 4",INDEX('Lớp 4 - Danh mục'!$I$14:$I$132,$T109),"")))</f>
        <v>#REF!</v>
      </c>
      <c r="E109" s="690" t="str">
        <f t="array" ref="E109">IF($S109="","",IF($S109="Lớp 5",INDEX('Lớp 5 - Phân công'!$L$14:$L$262,$T109),IF($S109="Lớp 4",INDEX('Lớp 4 - Danh mục'!$K$14:$K$132,$T109),INDEX('Lớp 3 - Công việc chính'!$J$14:$J$73,$T109))))</f>
        <v>#REF!</v>
      </c>
      <c r="F109" s="690" t="str">
        <f t="array" ref="F109">IF($S109="","",IF($S109="Lớp 5",INDEX('Lớp 5 - Phân công'!$M$14:$M$262,$T109),IF($S109="Lớp 4",INDEX('Lớp 4 - Danh mục'!$L$14:$L$132,$T109),INDEX('Lớp 3 - Công việc chính'!$K$14:$K$73,$T109))))</f>
        <v>#REF!</v>
      </c>
      <c r="G109" s="691" t="str">
        <f t="array" ref="G109">IF($S109="","",IF($S109="Lớp 5",INDEX('Lớp 5 - Phân công'!$N$14:$N$262,$T109),IF($S109="Lớp 4",INDEX('Lớp 4 - Danh mục'!$M$14:$M$132,$T109),INDEX('Lớp 3 - Công việc chính'!$L$14:$L$73,$T109))))</f>
        <v>#REF!</v>
      </c>
      <c r="H109" s="692" t="str">
        <f t="array" ref="H109">IF($S109="","",IF($S109="Lớp 5",INDEX('Lớp 5 - Phân công'!$O$14:$O$262,$T109),IF($S109="Lớp 4",INDEX('Lớp 4 - Danh mục'!$N$14:$N$132,$T109),INDEX('Lớp 3 - Công việc chính'!$M$14:$M$73,$T109))))</f>
        <v>#REF!</v>
      </c>
      <c r="I109" s="692" t="str">
        <f t="array" ref="I109">IF($S109="","",IF($S109="Lớp 5",INDEX('Lớp 5 - Phân công'!$P$14:$P$262,$T109),IF($S109="Lớp 4",INDEX('Lớp 4 - Danh mục'!$O$14:$O$132,$T109),"")))</f>
        <v>#REF!</v>
      </c>
      <c r="J109" s="693" t="str">
        <f t="array" ref="J109">IF($S109="","",IF($S109="Lớp 5",INDEX('Lớp 5 - Phân công'!$Q$14:$Q$262,$T109),""))</f>
        <v>#REF!</v>
      </c>
      <c r="K109" s="690" t="str">
        <f t="array" ref="K109">IF($S109="","",IF($S109="Lớp 5",INDEX('Lớp 5 - Phân công'!$AA$14:$AA$262,$T109),IF($S109="Lớp 4",INDEX('Lớp 4 - Danh mục'!$Y$14:$Y$132,$T109),INDEX('Lớp 3 - Công việc chính'!$U$14:$U$73,$T109))))</f>
        <v>#REF!</v>
      </c>
      <c r="L109" s="691" t="str">
        <f t="array" ref="L109">IF($S109="","",IF($S109="Lớp 5",INDEX('Lớp 5 - Phân công'!$Z$14:$Z$262,$T109),IF($S109="Lớp 4",INDEX('Lớp 4 - Danh mục'!$X$14:$X$132,$T109),INDEX('Lớp 3 - Công việc chính'!$W$14:$W$73,$T109))))</f>
        <v>#REF!</v>
      </c>
      <c r="M109" s="694" t="str">
        <f t="array" ref="M109">IF($S109="","",IF($S109="Lớp 5",INDEX('Lớp 5 - Phân công'!$AD$14:$AD$262,$T109),IF($S109="Lớp 4",INDEX('Lớp 4 - Danh mục'!$AC$14:$AC$132,$T109),INDEX('Lớp 3 - Công việc chính'!$Z$14:$Z$73,$T109))))</f>
        <v>#REF!</v>
      </c>
      <c r="N109" s="695" t="str">
        <f t="array" ref="N109">IF($S109="","",IF($S109="Lớp 5",INDEX('Lớp 5 - Phân công'!$AE$14:$AE$262,$T109),IF($S109="Lớp 4",INDEX('Lớp 4 - Danh mục'!$AD$14:$AD$132,$T109),INDEX('Lớp 3 - Công việc chính'!$AA$14:$AA$73,$T109))))</f>
        <v>#REF!</v>
      </c>
      <c r="O109" s="690" t="str">
        <f t="array" ref="O109">IF($S109="","",IF($S109="Lớp 5",INDEX('Lớp 5 - Phân công'!$AB$14:$AB$262,$T109),IF($S109="Lớp 4",INDEX('Lớp 4 - Danh mục'!$AA$14:$AA$132,$T109),INDEX('Lớp 3 - Công việc chính'!$X$14:$X$73,$T109))))</f>
        <v>#REF!</v>
      </c>
      <c r="P109" s="703" t="str">
        <f t="array" ref="P109">IF($S109="","",IF($S109="Lớp 5",INDEX('Lớp 5 - Phân công'!$AC$14:$AC$262,$T109),IF($S109="Lớp 4",INDEX('Lớp 4 - Danh mục'!$AB$14:$AB$132,$T109),INDEX('Lớp 3 - Công việc chính'!$Y$14:$Y$73,$T109))))</f>
        <v>#REF!</v>
      </c>
      <c r="Q109" s="697" t="str">
        <f t="array" ref="Q109">IF($S109="","",IF($S109="Lớp 5",INDEX('Lớp 5 - Phân công'!$AG$14:$AG$262,$T109),IF($S109="Lớp 4",INDEX('Lớp 4 - Danh mục'!$AF$14:$AF$132,$T109),INDEX('Lớp 3 - Công việc chính'!$AC$14:$AC$73,$T109))))</f>
        <v>#REF!</v>
      </c>
      <c r="R109" s="698" t="str">
        <f t="array" ref="R109">IF($S109="","",IF($S109="Lớp 5",INDEX('Lớp 5 - Phân công'!$X$14:$X$262,$T109),IF($S109="Lớp 4",INDEX('Lớp 4 - Danh mục'!$V$14:$V$132,$T109),INDEX('Lớp 3 - Công việc chính'!$T$14:$T$73,$T109))))</f>
        <v>#REF!</v>
      </c>
      <c r="S109" s="699" t="str">
        <f>IF(ROWS($S$14:S109)&lt;=COUNTIF('Lớp 5 - Phân công'!$I$14:$I$262,"&lt;&gt;"),"Lớp 5",IF(ROWS($S$14:S109)&lt;=COUNTIF('Lớp 5 - Phân công'!$I$14:$I$262,"&lt;&gt;")+SUMPRODUCT(--('Lớp 4 - Danh mục'!$I$14:$I$132&lt;&gt;""),--(COUNTIF('Lớp 5 - Phân công'!$J$14:$J$262,'Lớp 4 - Danh mục'!$I$14:$I$132)=0)),"Lớp 4",IF(ROWS($S$14:S109)&lt;=COUNTIF('Lớp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09" s="699" t="str">
        <f t="array" ref="T109">IF(S109="","",IF(S109="Lớp 5",IF(S108&lt;&gt;"Lớp 5",MATCH("*",'Lớp 5 - Phân công'!$I$14:$I$262,0),T108+MATCH("*",INDEX('Lớp 5 - Phân công'!$I$14:$I$262,T108+1):'Lớp 5 - Phân công'!$I$262,0)),IF(S109="Lớp 4",IF(S108&lt;&gt;"Lớp 4",MATCH(1,INDEX(('Lớp 4 - Danh mục'!$I$14:$I$132&lt;&gt;"")*(COUNTIF('Lớp 5 - Phân công'!$J$14:$J$262,'Lớp 4 - Danh mục'!$I$14:$I$132)=0),0),0),T108+MATCH(1,INDEX((INDEX('Lớp 4 - Danh mục'!$I$14:$I$132,T108+1):'Lớp 4 - Danh mục'!$I$132&lt;&gt;"")*(COUNTIF('Lớp 5 - Phân công'!$J$14:$J$262,INDEX('Lớp 4 - Danh mục'!$I$14:$I$132,T108+1):'Lớp 4 - Danh mục'!$I$132)=0),0),0)),IF(S108&lt;&gt;"Lớp 3",MATCH(1,INDEX(('Lớp 3 - Công việc chính'!$I$14:$I$73&lt;&gt;"")*(COUNTIF('Lớp 4 - Danh mục'!$J$14:$J$132,'Lớp 3 - Công việc chính'!$I$14:$I$73)=0),0),0),T108+MATCH(1,INDEX((INDEX('Lớp 3 - Công việc chính'!$I$14:$I$73,T108+1):'Lớp 3 - Công việc chính'!$I$73&lt;&gt;"")*(COUNTIF('Lớp 4 - Danh mục'!$J$14:$J$132,INDEX('Lớp 3 - Công việc chính'!$I$14:$I$73,T108+1):'Lớp 3 - Công việc chính'!$I$73)=0),0),0)))))</f>
        <v>#REF!</v>
      </c>
      <c r="Z109" s="700" t="str">
        <f t="array" ref="Z109">IF($S109="","",IF($S109="Lớp 5",INDEX('Lớp 5 - Phân công'!$AS$14:$AS$262,$T109),IF($S109="Lớp 4",INDEX('Lớp 4 - Danh mục'!$AR$14:$AR$132,$T109),INDEX('Lớp 3 - Công việc chính'!$AO$14:$AO$73,$T109))))</f>
        <v>#REF!</v>
      </c>
      <c r="AA109" s="701" t="str">
        <f t="array" ref="AA109">IF($S109="","",IF($S109="Lớp 5",INDEX('Lớp 5 - Phân công'!$AT$14:$AT$262,$T109),IF($S109="Lớp 4",INDEX('Lớp 4 - Danh mục'!$AS$14:$AS$132,$T109),INDEX('Lớp 3 - Công việc chính'!$AP$14:$AP$73,$T109))))</f>
        <v>#REF!</v>
      </c>
      <c r="AB109" s="701" t="str">
        <f t="array" ref="AB109">IF($S109="","",IF($S109="Lớp 5",INDEX('Lớp 5 - Phân công'!$AJ$14:$AJ$262,$T109),IF($S109="Lớp 4",INDEX('Lớp 4 - Danh mục'!$AI$14:$AI$132,$T109),INDEX('Lớp 3 - Công việc chính'!$AF$14:$AF$73,$T109))))</f>
        <v>#REF!</v>
      </c>
      <c r="AC109" s="702" t="str">
        <f t="array" ref="AC109">IF($S109="","",IF($S109="Lớp 5",INDEX('Lớp 5 - Phân công'!$AV$14:$AV$262,$T109),IF($S109="Lớp 4",INDEX('Lớp 4 - Danh mục'!$AU$14:$AU$132,$T109),INDEX('Lớp 3 - Công việc chính'!$AR$14:$AR$73,$T109))))</f>
        <v>#REF!</v>
      </c>
    </row>
    <row r="110" ht="15.75" customHeight="1">
      <c r="A110" s="690" t="str">
        <f t="shared" si="1"/>
        <v>#REF!</v>
      </c>
      <c r="B110" s="690" t="str">
        <f t="array" ref="B110">IF($S110="","",IF($S110="Lớp 5",INDEX('Lớp 5 - Phân công'!$I$14:$I$262,$T110),IF($S110="Lớp 4",INDEX('Lớp 4 - Danh mục'!$I$14:$I$132,$T110),INDEX('Lớp 3 - Công việc chính'!$I$14:$I$73,$T110))))</f>
        <v>#REF!</v>
      </c>
      <c r="C110" s="690" t="str">
        <f t="array" ref="C110">IF($S110="","",IF($S110="Lớp 5",INDEX('Lớp 5 - Phân công'!$K$14:$K$262,$T110),IF($S110="Lớp 4",INDEX('Lớp 4 - Danh mục'!$J$14:$J$132,$T110),INDEX('Lớp 3 - Công việc chính'!$I$14:$I$73,$T110))))</f>
        <v>#REF!</v>
      </c>
      <c r="D110" s="690" t="str">
        <f t="array" ref="D110">IF($S110="","",IF($S110="Lớp 5",INDEX('Lớp 5 - Phân công'!$J$14:$J$262,$T110),IF($S110="Lớp 4",INDEX('Lớp 4 - Danh mục'!$I$14:$I$132,$T110),"")))</f>
        <v>#REF!</v>
      </c>
      <c r="E110" s="690" t="str">
        <f t="array" ref="E110">IF($S110="","",IF($S110="Lớp 5",INDEX('Lớp 5 - Phân công'!$L$14:$L$262,$T110),IF($S110="Lớp 4",INDEX('Lớp 4 - Danh mục'!$K$14:$K$132,$T110),INDEX('Lớp 3 - Công việc chính'!$J$14:$J$73,$T110))))</f>
        <v>#REF!</v>
      </c>
      <c r="F110" s="690" t="str">
        <f t="array" ref="F110">IF($S110="","",IF($S110="Lớp 5",INDEX('Lớp 5 - Phân công'!$M$14:$M$262,$T110),IF($S110="Lớp 4",INDEX('Lớp 4 - Danh mục'!$L$14:$L$132,$T110),INDEX('Lớp 3 - Công việc chính'!$K$14:$K$73,$T110))))</f>
        <v>#REF!</v>
      </c>
      <c r="G110" s="691" t="str">
        <f t="array" ref="G110">IF($S110="","",IF($S110="Lớp 5",INDEX('Lớp 5 - Phân công'!$N$14:$N$262,$T110),IF($S110="Lớp 4",INDEX('Lớp 4 - Danh mục'!$M$14:$M$132,$T110),INDEX('Lớp 3 - Công việc chính'!$L$14:$L$73,$T110))))</f>
        <v>#REF!</v>
      </c>
      <c r="H110" s="692" t="str">
        <f t="array" ref="H110">IF($S110="","",IF($S110="Lớp 5",INDEX('Lớp 5 - Phân công'!$O$14:$O$262,$T110),IF($S110="Lớp 4",INDEX('Lớp 4 - Danh mục'!$N$14:$N$132,$T110),INDEX('Lớp 3 - Công việc chính'!$M$14:$M$73,$T110))))</f>
        <v>#REF!</v>
      </c>
      <c r="I110" s="692" t="str">
        <f t="array" ref="I110">IF($S110="","",IF($S110="Lớp 5",INDEX('Lớp 5 - Phân công'!$P$14:$P$262,$T110),IF($S110="Lớp 4",INDEX('Lớp 4 - Danh mục'!$O$14:$O$132,$T110),"")))</f>
        <v>#REF!</v>
      </c>
      <c r="J110" s="693" t="str">
        <f t="array" ref="J110">IF($S110="","",IF($S110="Lớp 5",INDEX('Lớp 5 - Phân công'!$Q$14:$Q$262,$T110),""))</f>
        <v>#REF!</v>
      </c>
      <c r="K110" s="690" t="str">
        <f t="array" ref="K110">IF($S110="","",IF($S110="Lớp 5",INDEX('Lớp 5 - Phân công'!$AA$14:$AA$262,$T110),IF($S110="Lớp 4",INDEX('Lớp 4 - Danh mục'!$Y$14:$Y$132,$T110),INDEX('Lớp 3 - Công việc chính'!$U$14:$U$73,$T110))))</f>
        <v>#REF!</v>
      </c>
      <c r="L110" s="691" t="str">
        <f t="array" ref="L110">IF($S110="","",IF($S110="Lớp 5",INDEX('Lớp 5 - Phân công'!$Z$14:$Z$262,$T110),IF($S110="Lớp 4",INDEX('Lớp 4 - Danh mục'!$X$14:$X$132,$T110),INDEX('Lớp 3 - Công việc chính'!$W$14:$W$73,$T110))))</f>
        <v>#REF!</v>
      </c>
      <c r="M110" s="694" t="str">
        <f t="array" ref="M110">IF($S110="","",IF($S110="Lớp 5",INDEX('Lớp 5 - Phân công'!$AD$14:$AD$262,$T110),IF($S110="Lớp 4",INDEX('Lớp 4 - Danh mục'!$AC$14:$AC$132,$T110),INDEX('Lớp 3 - Công việc chính'!$Z$14:$Z$73,$T110))))</f>
        <v>#REF!</v>
      </c>
      <c r="N110" s="695" t="str">
        <f t="array" ref="N110">IF($S110="","",IF($S110="Lớp 5",INDEX('Lớp 5 - Phân công'!$AE$14:$AE$262,$T110),IF($S110="Lớp 4",INDEX('Lớp 4 - Danh mục'!$AD$14:$AD$132,$T110),INDEX('Lớp 3 - Công việc chính'!$AA$14:$AA$73,$T110))))</f>
        <v>#REF!</v>
      </c>
      <c r="O110" s="690" t="str">
        <f t="array" ref="O110">IF($S110="","",IF($S110="Lớp 5",INDEX('Lớp 5 - Phân công'!$AB$14:$AB$262,$T110),IF($S110="Lớp 4",INDEX('Lớp 4 - Danh mục'!$AA$14:$AA$132,$T110),INDEX('Lớp 3 - Công việc chính'!$X$14:$X$73,$T110))))</f>
        <v>#REF!</v>
      </c>
      <c r="P110" s="703" t="str">
        <f t="array" ref="P110">IF($S110="","",IF($S110="Lớp 5",INDEX('Lớp 5 - Phân công'!$AC$14:$AC$262,$T110),IF($S110="Lớp 4",INDEX('Lớp 4 - Danh mục'!$AB$14:$AB$132,$T110),INDEX('Lớp 3 - Công việc chính'!$Y$14:$Y$73,$T110))))</f>
        <v>#REF!</v>
      </c>
      <c r="Q110" s="697" t="str">
        <f t="array" ref="Q110">IF($S110="","",IF($S110="Lớp 5",INDEX('Lớp 5 - Phân công'!$AG$14:$AG$262,$T110),IF($S110="Lớp 4",INDEX('Lớp 4 - Danh mục'!$AF$14:$AF$132,$T110),INDEX('Lớp 3 - Công việc chính'!$AC$14:$AC$73,$T110))))</f>
        <v>#REF!</v>
      </c>
      <c r="R110" s="698" t="str">
        <f t="array" ref="R110">IF($S110="","",IF($S110="Lớp 5",INDEX('Lớp 5 - Phân công'!$X$14:$X$262,$T110),IF($S110="Lớp 4",INDEX('Lớp 4 - Danh mục'!$V$14:$V$132,$T110),INDEX('Lớp 3 - Công việc chính'!$T$14:$T$73,$T110))))</f>
        <v>#REF!</v>
      </c>
      <c r="S110" s="699" t="str">
        <f>IF(ROWS($S$14:S110)&lt;=COUNTIF('Lớp 5 - Phân công'!$I$14:$I$262,"&lt;&gt;"),"Lớp 5",IF(ROWS($S$14:S110)&lt;=COUNTIF('Lớp 5 - Phân công'!$I$14:$I$262,"&lt;&gt;")+SUMPRODUCT(--('Lớp 4 - Danh mục'!$I$14:$I$132&lt;&gt;""),--(COUNTIF('Lớp 5 - Phân công'!$J$14:$J$262,'Lớp 4 - Danh mục'!$I$14:$I$132)=0)),"Lớp 4",IF(ROWS($S$14:S110)&lt;=COUNTIF('Lớp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0" s="699" t="str">
        <f t="array" ref="T110">IF(S110="","",IF(S110="Lớp 5",IF(S109&lt;&gt;"Lớp 5",MATCH("*",'Lớp 5 - Phân công'!$I$14:$I$262,0),T109+MATCH("*",INDEX('Lớp 5 - Phân công'!$I$14:$I$262,T109+1):'Lớp 5 - Phân công'!$I$262,0)),IF(S110="Lớp 4",IF(S109&lt;&gt;"Lớp 4",MATCH(1,INDEX(('Lớp 4 - Danh mục'!$I$14:$I$132&lt;&gt;"")*(COUNTIF('Lớp 5 - Phân công'!$J$14:$J$262,'Lớp 4 - Danh mục'!$I$14:$I$132)=0),0),0),T109+MATCH(1,INDEX((INDEX('Lớp 4 - Danh mục'!$I$14:$I$132,T109+1):'Lớp 4 - Danh mục'!$I$132&lt;&gt;"")*(COUNTIF('Lớp 5 - Phân công'!$J$14:$J$262,INDEX('Lớp 4 - Danh mục'!$I$14:$I$132,T109+1):'Lớp 4 - Danh mục'!$I$132)=0),0),0)),IF(S109&lt;&gt;"Lớp 3",MATCH(1,INDEX(('Lớp 3 - Công việc chính'!$I$14:$I$73&lt;&gt;"")*(COUNTIF('Lớp 4 - Danh mục'!$J$14:$J$132,'Lớp 3 - Công việc chính'!$I$14:$I$73)=0),0),0),T109+MATCH(1,INDEX((INDEX('Lớp 3 - Công việc chính'!$I$14:$I$73,T109+1):'Lớp 3 - Công việc chính'!$I$73&lt;&gt;"")*(COUNTIF('Lớp 4 - Danh mục'!$J$14:$J$132,INDEX('Lớp 3 - Công việc chính'!$I$14:$I$73,T109+1):'Lớp 3 - Công việc chính'!$I$73)=0),0),0)))))</f>
        <v>#REF!</v>
      </c>
      <c r="Z110" s="700" t="str">
        <f t="array" ref="Z110">IF($S110="","",IF($S110="Lớp 5",INDEX('Lớp 5 - Phân công'!$AS$14:$AS$262,$T110),IF($S110="Lớp 4",INDEX('Lớp 4 - Danh mục'!$AR$14:$AR$132,$T110),INDEX('Lớp 3 - Công việc chính'!$AO$14:$AO$73,$T110))))</f>
        <v>#REF!</v>
      </c>
      <c r="AA110" s="701" t="str">
        <f t="array" ref="AA110">IF($S110="","",IF($S110="Lớp 5",INDEX('Lớp 5 - Phân công'!$AT$14:$AT$262,$T110),IF($S110="Lớp 4",INDEX('Lớp 4 - Danh mục'!$AS$14:$AS$132,$T110),INDEX('Lớp 3 - Công việc chính'!$AP$14:$AP$73,$T110))))</f>
        <v>#REF!</v>
      </c>
      <c r="AB110" s="701" t="str">
        <f t="array" ref="AB110">IF($S110="","",IF($S110="Lớp 5",INDEX('Lớp 5 - Phân công'!$AJ$14:$AJ$262,$T110),IF($S110="Lớp 4",INDEX('Lớp 4 - Danh mục'!$AI$14:$AI$132,$T110),INDEX('Lớp 3 - Công việc chính'!$AF$14:$AF$73,$T110))))</f>
        <v>#REF!</v>
      </c>
      <c r="AC110" s="702" t="str">
        <f t="array" ref="AC110">IF($S110="","",IF($S110="Lớp 5",INDEX('Lớp 5 - Phân công'!$AV$14:$AV$262,$T110),IF($S110="Lớp 4",INDEX('Lớp 4 - Danh mục'!$AU$14:$AU$132,$T110),INDEX('Lớp 3 - Công việc chính'!$AR$14:$AR$73,$T110))))</f>
        <v>#REF!</v>
      </c>
    </row>
    <row r="111" ht="15.75" customHeight="1">
      <c r="A111" s="690" t="str">
        <f t="shared" si="1"/>
        <v>#REF!</v>
      </c>
      <c r="B111" s="690" t="str">
        <f t="array" ref="B111">IF($S111="","",IF($S111="Lớp 5",INDEX('Lớp 5 - Phân công'!$I$14:$I$262,$T111),IF($S111="Lớp 4",INDEX('Lớp 4 - Danh mục'!$I$14:$I$132,$T111),INDEX('Lớp 3 - Công việc chính'!$I$14:$I$73,$T111))))</f>
        <v>#REF!</v>
      </c>
      <c r="C111" s="690" t="str">
        <f t="array" ref="C111">IF($S111="","",IF($S111="Lớp 5",INDEX('Lớp 5 - Phân công'!$K$14:$K$262,$T111),IF($S111="Lớp 4",INDEX('Lớp 4 - Danh mục'!$J$14:$J$132,$T111),INDEX('Lớp 3 - Công việc chính'!$I$14:$I$73,$T111))))</f>
        <v>#REF!</v>
      </c>
      <c r="D111" s="690" t="str">
        <f t="array" ref="D111">IF($S111="","",IF($S111="Lớp 5",INDEX('Lớp 5 - Phân công'!$J$14:$J$262,$T111),IF($S111="Lớp 4",INDEX('Lớp 4 - Danh mục'!$I$14:$I$132,$T111),"")))</f>
        <v>#REF!</v>
      </c>
      <c r="E111" s="690" t="str">
        <f t="array" ref="E111">IF($S111="","",IF($S111="Lớp 5",INDEX('Lớp 5 - Phân công'!$L$14:$L$262,$T111),IF($S111="Lớp 4",INDEX('Lớp 4 - Danh mục'!$K$14:$K$132,$T111),INDEX('Lớp 3 - Công việc chính'!$J$14:$J$73,$T111))))</f>
        <v>#REF!</v>
      </c>
      <c r="F111" s="690" t="str">
        <f t="array" ref="F111">IF($S111="","",IF($S111="Lớp 5",INDEX('Lớp 5 - Phân công'!$M$14:$M$262,$T111),IF($S111="Lớp 4",INDEX('Lớp 4 - Danh mục'!$L$14:$L$132,$T111),INDEX('Lớp 3 - Công việc chính'!$K$14:$K$73,$T111))))</f>
        <v>#REF!</v>
      </c>
      <c r="G111" s="691" t="str">
        <f t="array" ref="G111">IF($S111="","",IF($S111="Lớp 5",INDEX('Lớp 5 - Phân công'!$N$14:$N$262,$T111),IF($S111="Lớp 4",INDEX('Lớp 4 - Danh mục'!$M$14:$M$132,$T111),INDEX('Lớp 3 - Công việc chính'!$L$14:$L$73,$T111))))</f>
        <v>#REF!</v>
      </c>
      <c r="H111" s="692" t="str">
        <f t="array" ref="H111">IF($S111="","",IF($S111="Lớp 5",INDEX('Lớp 5 - Phân công'!$O$14:$O$262,$T111),IF($S111="Lớp 4",INDEX('Lớp 4 - Danh mục'!$N$14:$N$132,$T111),INDEX('Lớp 3 - Công việc chính'!$M$14:$M$73,$T111))))</f>
        <v>#REF!</v>
      </c>
      <c r="I111" s="692" t="str">
        <f t="array" ref="I111">IF($S111="","",IF($S111="Lớp 5",INDEX('Lớp 5 - Phân công'!$P$14:$P$262,$T111),IF($S111="Lớp 4",INDEX('Lớp 4 - Danh mục'!$O$14:$O$132,$T111),"")))</f>
        <v>#REF!</v>
      </c>
      <c r="J111" s="693" t="str">
        <f t="array" ref="J111">IF($S111="","",IF($S111="Lớp 5",INDEX('Lớp 5 - Phân công'!$Q$14:$Q$262,$T111),""))</f>
        <v>#REF!</v>
      </c>
      <c r="K111" s="690" t="str">
        <f t="array" ref="K111">IF($S111="","",IF($S111="Lớp 5",INDEX('Lớp 5 - Phân công'!$AA$14:$AA$262,$T111),IF($S111="Lớp 4",INDEX('Lớp 4 - Danh mục'!$Y$14:$Y$132,$T111),INDEX('Lớp 3 - Công việc chính'!$U$14:$U$73,$T111))))</f>
        <v>#REF!</v>
      </c>
      <c r="L111" s="691" t="str">
        <f t="array" ref="L111">IF($S111="","",IF($S111="Lớp 5",INDEX('Lớp 5 - Phân công'!$Z$14:$Z$262,$T111),IF($S111="Lớp 4",INDEX('Lớp 4 - Danh mục'!$X$14:$X$132,$T111),INDEX('Lớp 3 - Công việc chính'!$W$14:$W$73,$T111))))</f>
        <v>#REF!</v>
      </c>
      <c r="M111" s="694" t="str">
        <f t="array" ref="M111">IF($S111="","",IF($S111="Lớp 5",INDEX('Lớp 5 - Phân công'!$AD$14:$AD$262,$T111),IF($S111="Lớp 4",INDEX('Lớp 4 - Danh mục'!$AC$14:$AC$132,$T111),INDEX('Lớp 3 - Công việc chính'!$Z$14:$Z$73,$T111))))</f>
        <v>#REF!</v>
      </c>
      <c r="N111" s="695" t="str">
        <f t="array" ref="N111">IF($S111="","",IF($S111="Lớp 5",INDEX('Lớp 5 - Phân công'!$AE$14:$AE$262,$T111),IF($S111="Lớp 4",INDEX('Lớp 4 - Danh mục'!$AD$14:$AD$132,$T111),INDEX('Lớp 3 - Công việc chính'!$AA$14:$AA$73,$T111))))</f>
        <v>#REF!</v>
      </c>
      <c r="O111" s="690" t="str">
        <f t="array" ref="O111">IF($S111="","",IF($S111="Lớp 5",INDEX('Lớp 5 - Phân công'!$AB$14:$AB$262,$T111),IF($S111="Lớp 4",INDEX('Lớp 4 - Danh mục'!$AA$14:$AA$132,$T111),INDEX('Lớp 3 - Công việc chính'!$X$14:$X$73,$T111))))</f>
        <v>#REF!</v>
      </c>
      <c r="P111" s="703" t="str">
        <f t="array" ref="P111">IF($S111="","",IF($S111="Lớp 5",INDEX('Lớp 5 - Phân công'!$AC$14:$AC$262,$T111),IF($S111="Lớp 4",INDEX('Lớp 4 - Danh mục'!$AB$14:$AB$132,$T111),INDEX('Lớp 3 - Công việc chính'!$Y$14:$Y$73,$T111))))</f>
        <v>#REF!</v>
      </c>
      <c r="Q111" s="697" t="str">
        <f t="array" ref="Q111">IF($S111="","",IF($S111="Lớp 5",INDEX('Lớp 5 - Phân công'!$AG$14:$AG$262,$T111),IF($S111="Lớp 4",INDEX('Lớp 4 - Danh mục'!$AF$14:$AF$132,$T111),INDEX('Lớp 3 - Công việc chính'!$AC$14:$AC$73,$T111))))</f>
        <v>#REF!</v>
      </c>
      <c r="R111" s="698" t="str">
        <f t="array" ref="R111">IF($S111="","",IF($S111="Lớp 5",INDEX('Lớp 5 - Phân công'!$X$14:$X$262,$T111),IF($S111="Lớp 4",INDEX('Lớp 4 - Danh mục'!$V$14:$V$132,$T111),INDEX('Lớp 3 - Công việc chính'!$T$14:$T$73,$T111))))</f>
        <v>#REF!</v>
      </c>
      <c r="S111" s="699" t="str">
        <f>IF(ROWS($S$14:S111)&lt;=COUNTIF('Lớp 5 - Phân công'!$I$14:$I$262,"&lt;&gt;"),"Lớp 5",IF(ROWS($S$14:S111)&lt;=COUNTIF('Lớp 5 - Phân công'!$I$14:$I$262,"&lt;&gt;")+SUMPRODUCT(--('Lớp 4 - Danh mục'!$I$14:$I$132&lt;&gt;""),--(COUNTIF('Lớp 5 - Phân công'!$J$14:$J$262,'Lớp 4 - Danh mục'!$I$14:$I$132)=0)),"Lớp 4",IF(ROWS($S$14:S111)&lt;=COUNTIF('Lớp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1" s="699" t="str">
        <f t="array" ref="T111">IF(S111="","",IF(S111="Lớp 5",IF(S110&lt;&gt;"Lớp 5",MATCH("*",'Lớp 5 - Phân công'!$I$14:$I$262,0),T110+MATCH("*",INDEX('Lớp 5 - Phân công'!$I$14:$I$262,T110+1):'Lớp 5 - Phân công'!$I$262,0)),IF(S111="Lớp 4",IF(S110&lt;&gt;"Lớp 4",MATCH(1,INDEX(('Lớp 4 - Danh mục'!$I$14:$I$132&lt;&gt;"")*(COUNTIF('Lớp 5 - Phân công'!$J$14:$J$262,'Lớp 4 - Danh mục'!$I$14:$I$132)=0),0),0),T110+MATCH(1,INDEX((INDEX('Lớp 4 - Danh mục'!$I$14:$I$132,T110+1):'Lớp 4 - Danh mục'!$I$132&lt;&gt;"")*(COUNTIF('Lớp 5 - Phân công'!$J$14:$J$262,INDEX('Lớp 4 - Danh mục'!$I$14:$I$132,T110+1):'Lớp 4 - Danh mục'!$I$132)=0),0),0)),IF(S110&lt;&gt;"Lớp 3",MATCH(1,INDEX(('Lớp 3 - Công việc chính'!$I$14:$I$73&lt;&gt;"")*(COUNTIF('Lớp 4 - Danh mục'!$J$14:$J$132,'Lớp 3 - Công việc chính'!$I$14:$I$73)=0),0),0),T110+MATCH(1,INDEX((INDEX('Lớp 3 - Công việc chính'!$I$14:$I$73,T110+1):'Lớp 3 - Công việc chính'!$I$73&lt;&gt;"")*(COUNTIF('Lớp 4 - Danh mục'!$J$14:$J$132,INDEX('Lớp 3 - Công việc chính'!$I$14:$I$73,T110+1):'Lớp 3 - Công việc chính'!$I$73)=0),0),0)))))</f>
        <v>#REF!</v>
      </c>
      <c r="Z111" s="700" t="str">
        <f t="array" ref="Z111">IF($S111="","",IF($S111="Lớp 5",INDEX('Lớp 5 - Phân công'!$AS$14:$AS$262,$T111),IF($S111="Lớp 4",INDEX('Lớp 4 - Danh mục'!$AR$14:$AR$132,$T111),INDEX('Lớp 3 - Công việc chính'!$AO$14:$AO$73,$T111))))</f>
        <v>#REF!</v>
      </c>
      <c r="AA111" s="701" t="str">
        <f t="array" ref="AA111">IF($S111="","",IF($S111="Lớp 5",INDEX('Lớp 5 - Phân công'!$AT$14:$AT$262,$T111),IF($S111="Lớp 4",INDEX('Lớp 4 - Danh mục'!$AS$14:$AS$132,$T111),INDEX('Lớp 3 - Công việc chính'!$AP$14:$AP$73,$T111))))</f>
        <v>#REF!</v>
      </c>
      <c r="AB111" s="701" t="str">
        <f t="array" ref="AB111">IF($S111="","",IF($S111="Lớp 5",INDEX('Lớp 5 - Phân công'!$AJ$14:$AJ$262,$T111),IF($S111="Lớp 4",INDEX('Lớp 4 - Danh mục'!$AI$14:$AI$132,$T111),INDEX('Lớp 3 - Công việc chính'!$AF$14:$AF$73,$T111))))</f>
        <v>#REF!</v>
      </c>
      <c r="AC111" s="702" t="str">
        <f t="array" ref="AC111">IF($S111="","",IF($S111="Lớp 5",INDEX('Lớp 5 - Phân công'!$AV$14:$AV$262,$T111),IF($S111="Lớp 4",INDEX('Lớp 4 - Danh mục'!$AU$14:$AU$132,$T111),INDEX('Lớp 3 - Công việc chính'!$AR$14:$AR$73,$T111))))</f>
        <v>#REF!</v>
      </c>
    </row>
    <row r="112" ht="15.75" customHeight="1">
      <c r="A112" s="690" t="str">
        <f t="shared" si="1"/>
        <v>#REF!</v>
      </c>
      <c r="B112" s="690" t="str">
        <f t="array" ref="B112">IF($S112="","",IF($S112="Lớp 5",INDEX('Lớp 5 - Phân công'!$I$14:$I$262,$T112),IF($S112="Lớp 4",INDEX('Lớp 4 - Danh mục'!$I$14:$I$132,$T112),INDEX('Lớp 3 - Công việc chính'!$I$14:$I$73,$T112))))</f>
        <v>#REF!</v>
      </c>
      <c r="C112" s="690" t="str">
        <f t="array" ref="C112">IF($S112="","",IF($S112="Lớp 5",INDEX('Lớp 5 - Phân công'!$K$14:$K$262,$T112),IF($S112="Lớp 4",INDEX('Lớp 4 - Danh mục'!$J$14:$J$132,$T112),INDEX('Lớp 3 - Công việc chính'!$I$14:$I$73,$T112))))</f>
        <v>#REF!</v>
      </c>
      <c r="D112" s="690" t="str">
        <f t="array" ref="D112">IF($S112="","",IF($S112="Lớp 5",INDEX('Lớp 5 - Phân công'!$J$14:$J$262,$T112),IF($S112="Lớp 4",INDEX('Lớp 4 - Danh mục'!$I$14:$I$132,$T112),"")))</f>
        <v>#REF!</v>
      </c>
      <c r="E112" s="690" t="str">
        <f t="array" ref="E112">IF($S112="","",IF($S112="Lớp 5",INDEX('Lớp 5 - Phân công'!$L$14:$L$262,$T112),IF($S112="Lớp 4",INDEX('Lớp 4 - Danh mục'!$K$14:$K$132,$T112),INDEX('Lớp 3 - Công việc chính'!$J$14:$J$73,$T112))))</f>
        <v>#REF!</v>
      </c>
      <c r="F112" s="690" t="str">
        <f t="array" ref="F112">IF($S112="","",IF($S112="Lớp 5",INDEX('Lớp 5 - Phân công'!$M$14:$M$262,$T112),IF($S112="Lớp 4",INDEX('Lớp 4 - Danh mục'!$L$14:$L$132,$T112),INDEX('Lớp 3 - Công việc chính'!$K$14:$K$73,$T112))))</f>
        <v>#REF!</v>
      </c>
      <c r="G112" s="691" t="str">
        <f t="array" ref="G112">IF($S112="","",IF($S112="Lớp 5",INDEX('Lớp 5 - Phân công'!$N$14:$N$262,$T112),IF($S112="Lớp 4",INDEX('Lớp 4 - Danh mục'!$M$14:$M$132,$T112),INDEX('Lớp 3 - Công việc chính'!$L$14:$L$73,$T112))))</f>
        <v>#REF!</v>
      </c>
      <c r="H112" s="692" t="str">
        <f t="array" ref="H112">IF($S112="","",IF($S112="Lớp 5",INDEX('Lớp 5 - Phân công'!$O$14:$O$262,$T112),IF($S112="Lớp 4",INDEX('Lớp 4 - Danh mục'!$N$14:$N$132,$T112),INDEX('Lớp 3 - Công việc chính'!$M$14:$M$73,$T112))))</f>
        <v>#REF!</v>
      </c>
      <c r="I112" s="692" t="str">
        <f t="array" ref="I112">IF($S112="","",IF($S112="Lớp 5",INDEX('Lớp 5 - Phân công'!$P$14:$P$262,$T112),IF($S112="Lớp 4",INDEX('Lớp 4 - Danh mục'!$O$14:$O$132,$T112),"")))</f>
        <v>#REF!</v>
      </c>
      <c r="J112" s="693" t="str">
        <f t="array" ref="J112">IF($S112="","",IF($S112="Lớp 5",INDEX('Lớp 5 - Phân công'!$Q$14:$Q$262,$T112),""))</f>
        <v>#REF!</v>
      </c>
      <c r="K112" s="690" t="str">
        <f t="array" ref="K112">IF($S112="","",IF($S112="Lớp 5",INDEX('Lớp 5 - Phân công'!$AA$14:$AA$262,$T112),IF($S112="Lớp 4",INDEX('Lớp 4 - Danh mục'!$Y$14:$Y$132,$T112),INDEX('Lớp 3 - Công việc chính'!$U$14:$U$73,$T112))))</f>
        <v>#REF!</v>
      </c>
      <c r="L112" s="691" t="str">
        <f t="array" ref="L112">IF($S112="","",IF($S112="Lớp 5",INDEX('Lớp 5 - Phân công'!$Z$14:$Z$262,$T112),IF($S112="Lớp 4",INDEX('Lớp 4 - Danh mục'!$X$14:$X$132,$T112),INDEX('Lớp 3 - Công việc chính'!$W$14:$W$73,$T112))))</f>
        <v>#REF!</v>
      </c>
      <c r="M112" s="694" t="str">
        <f t="array" ref="M112">IF($S112="","",IF($S112="Lớp 5",INDEX('Lớp 5 - Phân công'!$AD$14:$AD$262,$T112),IF($S112="Lớp 4",INDEX('Lớp 4 - Danh mục'!$AC$14:$AC$132,$T112),INDEX('Lớp 3 - Công việc chính'!$Z$14:$Z$73,$T112))))</f>
        <v>#REF!</v>
      </c>
      <c r="N112" s="695" t="str">
        <f t="array" ref="N112">IF($S112="","",IF($S112="Lớp 5",INDEX('Lớp 5 - Phân công'!$AE$14:$AE$262,$T112),IF($S112="Lớp 4",INDEX('Lớp 4 - Danh mục'!$AD$14:$AD$132,$T112),INDEX('Lớp 3 - Công việc chính'!$AA$14:$AA$73,$T112))))</f>
        <v>#REF!</v>
      </c>
      <c r="O112" s="690" t="str">
        <f t="array" ref="O112">IF($S112="","",IF($S112="Lớp 5",INDEX('Lớp 5 - Phân công'!$AB$14:$AB$262,$T112),IF($S112="Lớp 4",INDEX('Lớp 4 - Danh mục'!$AA$14:$AA$132,$T112),INDEX('Lớp 3 - Công việc chính'!$X$14:$X$73,$T112))))</f>
        <v>#REF!</v>
      </c>
      <c r="P112" s="703" t="str">
        <f t="array" ref="P112">IF($S112="","",IF($S112="Lớp 5",INDEX('Lớp 5 - Phân công'!$AC$14:$AC$262,$T112),IF($S112="Lớp 4",INDEX('Lớp 4 - Danh mục'!$AB$14:$AB$132,$T112),INDEX('Lớp 3 - Công việc chính'!$Y$14:$Y$73,$T112))))</f>
        <v>#REF!</v>
      </c>
      <c r="Q112" s="697" t="str">
        <f t="array" ref="Q112">IF($S112="","",IF($S112="Lớp 5",INDEX('Lớp 5 - Phân công'!$AG$14:$AG$262,$T112),IF($S112="Lớp 4",INDEX('Lớp 4 - Danh mục'!$AF$14:$AF$132,$T112),INDEX('Lớp 3 - Công việc chính'!$AC$14:$AC$73,$T112))))</f>
        <v>#REF!</v>
      </c>
      <c r="R112" s="698" t="str">
        <f t="array" ref="R112">IF($S112="","",IF($S112="Lớp 5",INDEX('Lớp 5 - Phân công'!$X$14:$X$262,$T112),IF($S112="Lớp 4",INDEX('Lớp 4 - Danh mục'!$V$14:$V$132,$T112),INDEX('Lớp 3 - Công việc chính'!$T$14:$T$73,$T112))))</f>
        <v>#REF!</v>
      </c>
      <c r="S112" s="699" t="str">
        <f>IF(ROWS($S$14:S112)&lt;=COUNTIF('Lớp 5 - Phân công'!$I$14:$I$262,"&lt;&gt;"),"Lớp 5",IF(ROWS($S$14:S112)&lt;=COUNTIF('Lớp 5 - Phân công'!$I$14:$I$262,"&lt;&gt;")+SUMPRODUCT(--('Lớp 4 - Danh mục'!$I$14:$I$132&lt;&gt;""),--(COUNTIF('Lớp 5 - Phân công'!$J$14:$J$262,'Lớp 4 - Danh mục'!$I$14:$I$132)=0)),"Lớp 4",IF(ROWS($S$14:S112)&lt;=COUNTIF('Lớp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2" s="699" t="str">
        <f t="array" ref="T112">IF(S112="","",IF(S112="Lớp 5",IF(S111&lt;&gt;"Lớp 5",MATCH("*",'Lớp 5 - Phân công'!$I$14:$I$262,0),T111+MATCH("*",INDEX('Lớp 5 - Phân công'!$I$14:$I$262,T111+1):'Lớp 5 - Phân công'!$I$262,0)),IF(S112="Lớp 4",IF(S111&lt;&gt;"Lớp 4",MATCH(1,INDEX(('Lớp 4 - Danh mục'!$I$14:$I$132&lt;&gt;"")*(COUNTIF('Lớp 5 - Phân công'!$J$14:$J$262,'Lớp 4 - Danh mục'!$I$14:$I$132)=0),0),0),T111+MATCH(1,INDEX((INDEX('Lớp 4 - Danh mục'!$I$14:$I$132,T111+1):'Lớp 4 - Danh mục'!$I$132&lt;&gt;"")*(COUNTIF('Lớp 5 - Phân công'!$J$14:$J$262,INDEX('Lớp 4 - Danh mục'!$I$14:$I$132,T111+1):'Lớp 4 - Danh mục'!$I$132)=0),0),0)),IF(S111&lt;&gt;"Lớp 3",MATCH(1,INDEX(('Lớp 3 - Công việc chính'!$I$14:$I$73&lt;&gt;"")*(COUNTIF('Lớp 4 - Danh mục'!$J$14:$J$132,'Lớp 3 - Công việc chính'!$I$14:$I$73)=0),0),0),T111+MATCH(1,INDEX((INDEX('Lớp 3 - Công việc chính'!$I$14:$I$73,T111+1):'Lớp 3 - Công việc chính'!$I$73&lt;&gt;"")*(COUNTIF('Lớp 4 - Danh mục'!$J$14:$J$132,INDEX('Lớp 3 - Công việc chính'!$I$14:$I$73,T111+1):'Lớp 3 - Công việc chính'!$I$73)=0),0),0)))))</f>
        <v>#REF!</v>
      </c>
      <c r="Z112" s="700" t="str">
        <f t="array" ref="Z112">IF($S112="","",IF($S112="Lớp 5",INDEX('Lớp 5 - Phân công'!$AS$14:$AS$262,$T112),IF($S112="Lớp 4",INDEX('Lớp 4 - Danh mục'!$AR$14:$AR$132,$T112),INDEX('Lớp 3 - Công việc chính'!$AO$14:$AO$73,$T112))))</f>
        <v>#REF!</v>
      </c>
      <c r="AA112" s="701" t="str">
        <f t="array" ref="AA112">IF($S112="","",IF($S112="Lớp 5",INDEX('Lớp 5 - Phân công'!$AT$14:$AT$262,$T112),IF($S112="Lớp 4",INDEX('Lớp 4 - Danh mục'!$AS$14:$AS$132,$T112),INDEX('Lớp 3 - Công việc chính'!$AP$14:$AP$73,$T112))))</f>
        <v>#REF!</v>
      </c>
      <c r="AB112" s="701" t="str">
        <f t="array" ref="AB112">IF($S112="","",IF($S112="Lớp 5",INDEX('Lớp 5 - Phân công'!$AJ$14:$AJ$262,$T112),IF($S112="Lớp 4",INDEX('Lớp 4 - Danh mục'!$AI$14:$AI$132,$T112),INDEX('Lớp 3 - Công việc chính'!$AF$14:$AF$73,$T112))))</f>
        <v>#REF!</v>
      </c>
      <c r="AC112" s="702" t="str">
        <f t="array" ref="AC112">IF($S112="","",IF($S112="Lớp 5",INDEX('Lớp 5 - Phân công'!$AV$14:$AV$262,$T112),IF($S112="Lớp 4",INDEX('Lớp 4 - Danh mục'!$AU$14:$AU$132,$T112),INDEX('Lớp 3 - Công việc chính'!$AR$14:$AR$73,$T112))))</f>
        <v>#REF!</v>
      </c>
    </row>
    <row r="113" ht="15.75" customHeight="1">
      <c r="A113" s="690" t="str">
        <f t="shared" si="1"/>
        <v>#REF!</v>
      </c>
      <c r="B113" s="690" t="str">
        <f t="array" ref="B113">IF($S113="","",IF($S113="Lớp 5",INDEX('Lớp 5 - Phân công'!$I$14:$I$262,$T113),IF($S113="Lớp 4",INDEX('Lớp 4 - Danh mục'!$I$14:$I$132,$T113),INDEX('Lớp 3 - Công việc chính'!$I$14:$I$73,$T113))))</f>
        <v>#REF!</v>
      </c>
      <c r="C113" s="690" t="str">
        <f t="array" ref="C113">IF($S113="","",IF($S113="Lớp 5",INDEX('Lớp 5 - Phân công'!$K$14:$K$262,$T113),IF($S113="Lớp 4",INDEX('Lớp 4 - Danh mục'!$J$14:$J$132,$T113),INDEX('Lớp 3 - Công việc chính'!$I$14:$I$73,$T113))))</f>
        <v>#REF!</v>
      </c>
      <c r="D113" s="690" t="str">
        <f t="array" ref="D113">IF($S113="","",IF($S113="Lớp 5",INDEX('Lớp 5 - Phân công'!$J$14:$J$262,$T113),IF($S113="Lớp 4",INDEX('Lớp 4 - Danh mục'!$I$14:$I$132,$T113),"")))</f>
        <v>#REF!</v>
      </c>
      <c r="E113" s="690" t="str">
        <f t="array" ref="E113">IF($S113="","",IF($S113="Lớp 5",INDEX('Lớp 5 - Phân công'!$L$14:$L$262,$T113),IF($S113="Lớp 4",INDEX('Lớp 4 - Danh mục'!$K$14:$K$132,$T113),INDEX('Lớp 3 - Công việc chính'!$J$14:$J$73,$T113))))</f>
        <v>#REF!</v>
      </c>
      <c r="F113" s="690" t="str">
        <f t="array" ref="F113">IF($S113="","",IF($S113="Lớp 5",INDEX('Lớp 5 - Phân công'!$M$14:$M$262,$T113),IF($S113="Lớp 4",INDEX('Lớp 4 - Danh mục'!$L$14:$L$132,$T113),INDEX('Lớp 3 - Công việc chính'!$K$14:$K$73,$T113))))</f>
        <v>#REF!</v>
      </c>
      <c r="G113" s="691" t="str">
        <f t="array" ref="G113">IF($S113="","",IF($S113="Lớp 5",INDEX('Lớp 5 - Phân công'!$N$14:$N$262,$T113),IF($S113="Lớp 4",INDEX('Lớp 4 - Danh mục'!$M$14:$M$132,$T113),INDEX('Lớp 3 - Công việc chính'!$L$14:$L$73,$T113))))</f>
        <v>#REF!</v>
      </c>
      <c r="H113" s="692" t="str">
        <f t="array" ref="H113">IF($S113="","",IF($S113="Lớp 5",INDEX('Lớp 5 - Phân công'!$O$14:$O$262,$T113),IF($S113="Lớp 4",INDEX('Lớp 4 - Danh mục'!$N$14:$N$132,$T113),INDEX('Lớp 3 - Công việc chính'!$M$14:$M$73,$T113))))</f>
        <v>#REF!</v>
      </c>
      <c r="I113" s="692" t="str">
        <f t="array" ref="I113">IF($S113="","",IF($S113="Lớp 5",INDEX('Lớp 5 - Phân công'!$P$14:$P$262,$T113),IF($S113="Lớp 4",INDEX('Lớp 4 - Danh mục'!$O$14:$O$132,$T113),"")))</f>
        <v>#REF!</v>
      </c>
      <c r="J113" s="693" t="str">
        <f t="array" ref="J113">IF($S113="","",IF($S113="Lớp 5",INDEX('Lớp 5 - Phân công'!$Q$14:$Q$262,$T113),""))</f>
        <v>#REF!</v>
      </c>
      <c r="K113" s="690" t="str">
        <f t="array" ref="K113">IF($S113="","",IF($S113="Lớp 5",INDEX('Lớp 5 - Phân công'!$AA$14:$AA$262,$T113),IF($S113="Lớp 4",INDEX('Lớp 4 - Danh mục'!$Y$14:$Y$132,$T113),INDEX('Lớp 3 - Công việc chính'!$U$14:$U$73,$T113))))</f>
        <v>#REF!</v>
      </c>
      <c r="L113" s="691" t="str">
        <f t="array" ref="L113">IF($S113="","",IF($S113="Lớp 5",INDEX('Lớp 5 - Phân công'!$Z$14:$Z$262,$T113),IF($S113="Lớp 4",INDEX('Lớp 4 - Danh mục'!$X$14:$X$132,$T113),INDEX('Lớp 3 - Công việc chính'!$W$14:$W$73,$T113))))</f>
        <v>#REF!</v>
      </c>
      <c r="M113" s="694" t="str">
        <f t="array" ref="M113">IF($S113="","",IF($S113="Lớp 5",INDEX('Lớp 5 - Phân công'!$AD$14:$AD$262,$T113),IF($S113="Lớp 4",INDEX('Lớp 4 - Danh mục'!$AC$14:$AC$132,$T113),INDEX('Lớp 3 - Công việc chính'!$Z$14:$Z$73,$T113))))</f>
        <v>#REF!</v>
      </c>
      <c r="N113" s="695" t="str">
        <f t="array" ref="N113">IF($S113="","",IF($S113="Lớp 5",INDEX('Lớp 5 - Phân công'!$AE$14:$AE$262,$T113),IF($S113="Lớp 4",INDEX('Lớp 4 - Danh mục'!$AD$14:$AD$132,$T113),INDEX('Lớp 3 - Công việc chính'!$AA$14:$AA$73,$T113))))</f>
        <v>#REF!</v>
      </c>
      <c r="O113" s="690" t="str">
        <f t="array" ref="O113">IF($S113="","",IF($S113="Lớp 5",INDEX('Lớp 5 - Phân công'!$AB$14:$AB$262,$T113),IF($S113="Lớp 4",INDEX('Lớp 4 - Danh mục'!$AA$14:$AA$132,$T113),INDEX('Lớp 3 - Công việc chính'!$X$14:$X$73,$T113))))</f>
        <v>#REF!</v>
      </c>
      <c r="P113" s="703" t="str">
        <f t="array" ref="P113">IF($S113="","",IF($S113="Lớp 5",INDEX('Lớp 5 - Phân công'!$AC$14:$AC$262,$T113),IF($S113="Lớp 4",INDEX('Lớp 4 - Danh mục'!$AB$14:$AB$132,$T113),INDEX('Lớp 3 - Công việc chính'!$Y$14:$Y$73,$T113))))</f>
        <v>#REF!</v>
      </c>
      <c r="Q113" s="697" t="str">
        <f t="array" ref="Q113">IF($S113="","",IF($S113="Lớp 5",INDEX('Lớp 5 - Phân công'!$AG$14:$AG$262,$T113),IF($S113="Lớp 4",INDEX('Lớp 4 - Danh mục'!$AF$14:$AF$132,$T113),INDEX('Lớp 3 - Công việc chính'!$AC$14:$AC$73,$T113))))</f>
        <v>#REF!</v>
      </c>
      <c r="R113" s="698" t="str">
        <f t="array" ref="R113">IF($S113="","",IF($S113="Lớp 5",INDEX('Lớp 5 - Phân công'!$X$14:$X$262,$T113),IF($S113="Lớp 4",INDEX('Lớp 4 - Danh mục'!$V$14:$V$132,$T113),INDEX('Lớp 3 - Công việc chính'!$T$14:$T$73,$T113))))</f>
        <v>#REF!</v>
      </c>
      <c r="S113" s="699" t="str">
        <f>IF(ROWS($S$14:S113)&lt;=COUNTIF('Lớp 5 - Phân công'!$I$14:$I$262,"&lt;&gt;"),"Lớp 5",IF(ROWS($S$14:S113)&lt;=COUNTIF('Lớp 5 - Phân công'!$I$14:$I$262,"&lt;&gt;")+SUMPRODUCT(--('Lớp 4 - Danh mục'!$I$14:$I$132&lt;&gt;""),--(COUNTIF('Lớp 5 - Phân công'!$J$14:$J$262,'Lớp 4 - Danh mục'!$I$14:$I$132)=0)),"Lớp 4",IF(ROWS($S$14:S113)&lt;=COUNTIF('Lớp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3" s="699" t="str">
        <f t="array" ref="T113">IF(S113="","",IF(S113="Lớp 5",IF(S112&lt;&gt;"Lớp 5",MATCH("*",'Lớp 5 - Phân công'!$I$14:$I$262,0),T112+MATCH("*",INDEX('Lớp 5 - Phân công'!$I$14:$I$262,T112+1):'Lớp 5 - Phân công'!$I$262,0)),IF(S113="Lớp 4",IF(S112&lt;&gt;"Lớp 4",MATCH(1,INDEX(('Lớp 4 - Danh mục'!$I$14:$I$132&lt;&gt;"")*(COUNTIF('Lớp 5 - Phân công'!$J$14:$J$262,'Lớp 4 - Danh mục'!$I$14:$I$132)=0),0),0),T112+MATCH(1,INDEX((INDEX('Lớp 4 - Danh mục'!$I$14:$I$132,T112+1):'Lớp 4 - Danh mục'!$I$132&lt;&gt;"")*(COUNTIF('Lớp 5 - Phân công'!$J$14:$J$262,INDEX('Lớp 4 - Danh mục'!$I$14:$I$132,T112+1):'Lớp 4 - Danh mục'!$I$132)=0),0),0)),IF(S112&lt;&gt;"Lớp 3",MATCH(1,INDEX(('Lớp 3 - Công việc chính'!$I$14:$I$73&lt;&gt;"")*(COUNTIF('Lớp 4 - Danh mục'!$J$14:$J$132,'Lớp 3 - Công việc chính'!$I$14:$I$73)=0),0),0),T112+MATCH(1,INDEX((INDEX('Lớp 3 - Công việc chính'!$I$14:$I$73,T112+1):'Lớp 3 - Công việc chính'!$I$73&lt;&gt;"")*(COUNTIF('Lớp 4 - Danh mục'!$J$14:$J$132,INDEX('Lớp 3 - Công việc chính'!$I$14:$I$73,T112+1):'Lớp 3 - Công việc chính'!$I$73)=0),0),0)))))</f>
        <v>#REF!</v>
      </c>
      <c r="Z113" s="700" t="str">
        <f t="array" ref="Z113">IF($S113="","",IF($S113="Lớp 5",INDEX('Lớp 5 - Phân công'!$AS$14:$AS$262,$T113),IF($S113="Lớp 4",INDEX('Lớp 4 - Danh mục'!$AR$14:$AR$132,$T113),INDEX('Lớp 3 - Công việc chính'!$AO$14:$AO$73,$T113))))</f>
        <v>#REF!</v>
      </c>
      <c r="AA113" s="701" t="str">
        <f t="array" ref="AA113">IF($S113="","",IF($S113="Lớp 5",INDEX('Lớp 5 - Phân công'!$AT$14:$AT$262,$T113),IF($S113="Lớp 4",INDEX('Lớp 4 - Danh mục'!$AS$14:$AS$132,$T113),INDEX('Lớp 3 - Công việc chính'!$AP$14:$AP$73,$T113))))</f>
        <v>#REF!</v>
      </c>
      <c r="AB113" s="701" t="str">
        <f t="array" ref="AB113">IF($S113="","",IF($S113="Lớp 5",INDEX('Lớp 5 - Phân công'!$AJ$14:$AJ$262,$T113),IF($S113="Lớp 4",INDEX('Lớp 4 - Danh mục'!$AI$14:$AI$132,$T113),INDEX('Lớp 3 - Công việc chính'!$AF$14:$AF$73,$T113))))</f>
        <v>#REF!</v>
      </c>
      <c r="AC113" s="702" t="str">
        <f t="array" ref="AC113">IF($S113="","",IF($S113="Lớp 5",INDEX('Lớp 5 - Phân công'!$AV$14:$AV$262,$T113),IF($S113="Lớp 4",INDEX('Lớp 4 - Danh mục'!$AU$14:$AU$132,$T113),INDEX('Lớp 3 - Công việc chính'!$AR$14:$AR$73,$T113))))</f>
        <v>#REF!</v>
      </c>
    </row>
    <row r="114" ht="15.75" customHeight="1">
      <c r="A114" s="690" t="str">
        <f t="shared" si="1"/>
        <v>#REF!</v>
      </c>
      <c r="B114" s="690" t="str">
        <f t="array" ref="B114">IF($S114="","",IF($S114="Lớp 5",INDEX('Lớp 5 - Phân công'!$I$14:$I$262,$T114),IF($S114="Lớp 4",INDEX('Lớp 4 - Danh mục'!$I$14:$I$132,$T114),INDEX('Lớp 3 - Công việc chính'!$I$14:$I$73,$T114))))</f>
        <v>#REF!</v>
      </c>
      <c r="C114" s="690" t="str">
        <f t="array" ref="C114">IF($S114="","",IF($S114="Lớp 5",INDEX('Lớp 5 - Phân công'!$K$14:$K$262,$T114),IF($S114="Lớp 4",INDEX('Lớp 4 - Danh mục'!$J$14:$J$132,$T114),INDEX('Lớp 3 - Công việc chính'!$I$14:$I$73,$T114))))</f>
        <v>#REF!</v>
      </c>
      <c r="D114" s="690" t="str">
        <f t="array" ref="D114">IF($S114="","",IF($S114="Lớp 5",INDEX('Lớp 5 - Phân công'!$J$14:$J$262,$T114),IF($S114="Lớp 4",INDEX('Lớp 4 - Danh mục'!$I$14:$I$132,$T114),"")))</f>
        <v>#REF!</v>
      </c>
      <c r="E114" s="690" t="str">
        <f t="array" ref="E114">IF($S114="","",IF($S114="Lớp 5",INDEX('Lớp 5 - Phân công'!$L$14:$L$262,$T114),IF($S114="Lớp 4",INDEX('Lớp 4 - Danh mục'!$K$14:$K$132,$T114),INDEX('Lớp 3 - Công việc chính'!$J$14:$J$73,$T114))))</f>
        <v>#REF!</v>
      </c>
      <c r="F114" s="690" t="str">
        <f t="array" ref="F114">IF($S114="","",IF($S114="Lớp 5",INDEX('Lớp 5 - Phân công'!$M$14:$M$262,$T114),IF($S114="Lớp 4",INDEX('Lớp 4 - Danh mục'!$L$14:$L$132,$T114),INDEX('Lớp 3 - Công việc chính'!$K$14:$K$73,$T114))))</f>
        <v>#REF!</v>
      </c>
      <c r="G114" s="691" t="str">
        <f t="array" ref="G114">IF($S114="","",IF($S114="Lớp 5",INDEX('Lớp 5 - Phân công'!$N$14:$N$262,$T114),IF($S114="Lớp 4",INDEX('Lớp 4 - Danh mục'!$M$14:$M$132,$T114),INDEX('Lớp 3 - Công việc chính'!$L$14:$L$73,$T114))))</f>
        <v>#REF!</v>
      </c>
      <c r="H114" s="692" t="str">
        <f t="array" ref="H114">IF($S114="","",IF($S114="Lớp 5",INDEX('Lớp 5 - Phân công'!$O$14:$O$262,$T114),IF($S114="Lớp 4",INDEX('Lớp 4 - Danh mục'!$N$14:$N$132,$T114),INDEX('Lớp 3 - Công việc chính'!$M$14:$M$73,$T114))))</f>
        <v>#REF!</v>
      </c>
      <c r="I114" s="692" t="str">
        <f t="array" ref="I114">IF($S114="","",IF($S114="Lớp 5",INDEX('Lớp 5 - Phân công'!$P$14:$P$262,$T114),IF($S114="Lớp 4",INDEX('Lớp 4 - Danh mục'!$O$14:$O$132,$T114),"")))</f>
        <v>#REF!</v>
      </c>
      <c r="J114" s="693" t="str">
        <f t="array" ref="J114">IF($S114="","",IF($S114="Lớp 5",INDEX('Lớp 5 - Phân công'!$Q$14:$Q$262,$T114),""))</f>
        <v>#REF!</v>
      </c>
      <c r="K114" s="690" t="str">
        <f t="array" ref="K114">IF($S114="","",IF($S114="Lớp 5",INDEX('Lớp 5 - Phân công'!$AA$14:$AA$262,$T114),IF($S114="Lớp 4",INDEX('Lớp 4 - Danh mục'!$Y$14:$Y$132,$T114),INDEX('Lớp 3 - Công việc chính'!$U$14:$U$73,$T114))))</f>
        <v>#REF!</v>
      </c>
      <c r="L114" s="691" t="str">
        <f t="array" ref="L114">IF($S114="","",IF($S114="Lớp 5",INDEX('Lớp 5 - Phân công'!$Z$14:$Z$262,$T114),IF($S114="Lớp 4",INDEX('Lớp 4 - Danh mục'!$X$14:$X$132,$T114),INDEX('Lớp 3 - Công việc chính'!$W$14:$W$73,$T114))))</f>
        <v>#REF!</v>
      </c>
      <c r="M114" s="694" t="str">
        <f t="array" ref="M114">IF($S114="","",IF($S114="Lớp 5",INDEX('Lớp 5 - Phân công'!$AD$14:$AD$262,$T114),IF($S114="Lớp 4",INDEX('Lớp 4 - Danh mục'!$AC$14:$AC$132,$T114),INDEX('Lớp 3 - Công việc chính'!$Z$14:$Z$73,$T114))))</f>
        <v>#REF!</v>
      </c>
      <c r="N114" s="695" t="str">
        <f t="array" ref="N114">IF($S114="","",IF($S114="Lớp 5",INDEX('Lớp 5 - Phân công'!$AE$14:$AE$262,$T114),IF($S114="Lớp 4",INDEX('Lớp 4 - Danh mục'!$AD$14:$AD$132,$T114),INDEX('Lớp 3 - Công việc chính'!$AA$14:$AA$73,$T114))))</f>
        <v>#REF!</v>
      </c>
      <c r="O114" s="690" t="str">
        <f t="array" ref="O114">IF($S114="","",IF($S114="Lớp 5",INDEX('Lớp 5 - Phân công'!$AB$14:$AB$262,$T114),IF($S114="Lớp 4",INDEX('Lớp 4 - Danh mục'!$AA$14:$AA$132,$T114),INDEX('Lớp 3 - Công việc chính'!$X$14:$X$73,$T114))))</f>
        <v>#REF!</v>
      </c>
      <c r="P114" s="703" t="str">
        <f t="array" ref="P114">IF($S114="","",IF($S114="Lớp 5",INDEX('Lớp 5 - Phân công'!$AC$14:$AC$262,$T114),IF($S114="Lớp 4",INDEX('Lớp 4 - Danh mục'!$AB$14:$AB$132,$T114),INDEX('Lớp 3 - Công việc chính'!$Y$14:$Y$73,$T114))))</f>
        <v>#REF!</v>
      </c>
      <c r="Q114" s="697" t="str">
        <f t="array" ref="Q114">IF($S114="","",IF($S114="Lớp 5",INDEX('Lớp 5 - Phân công'!$AG$14:$AG$262,$T114),IF($S114="Lớp 4",INDEX('Lớp 4 - Danh mục'!$AF$14:$AF$132,$T114),INDEX('Lớp 3 - Công việc chính'!$AC$14:$AC$73,$T114))))</f>
        <v>#REF!</v>
      </c>
      <c r="R114" s="698" t="str">
        <f t="array" ref="R114">IF($S114="","",IF($S114="Lớp 5",INDEX('Lớp 5 - Phân công'!$X$14:$X$262,$T114),IF($S114="Lớp 4",INDEX('Lớp 4 - Danh mục'!$V$14:$V$132,$T114),INDEX('Lớp 3 - Công việc chính'!$T$14:$T$73,$T114))))</f>
        <v>#REF!</v>
      </c>
      <c r="S114" s="699" t="str">
        <f>IF(ROWS($S$14:S114)&lt;=COUNTIF('Lớp 5 - Phân công'!$I$14:$I$262,"&lt;&gt;"),"Lớp 5",IF(ROWS($S$14:S114)&lt;=COUNTIF('Lớp 5 - Phân công'!$I$14:$I$262,"&lt;&gt;")+SUMPRODUCT(--('Lớp 4 - Danh mục'!$I$14:$I$132&lt;&gt;""),--(COUNTIF('Lớp 5 - Phân công'!$J$14:$J$262,'Lớp 4 - Danh mục'!$I$14:$I$132)=0)),"Lớp 4",IF(ROWS($S$14:S114)&lt;=COUNTIF('Lớp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4" s="699" t="str">
        <f t="array" ref="T114">IF(S114="","",IF(S114="Lớp 5",IF(S113&lt;&gt;"Lớp 5",MATCH("*",'Lớp 5 - Phân công'!$I$14:$I$262,0),T113+MATCH("*",INDEX('Lớp 5 - Phân công'!$I$14:$I$262,T113+1):'Lớp 5 - Phân công'!$I$262,0)),IF(S114="Lớp 4",IF(S113&lt;&gt;"Lớp 4",MATCH(1,INDEX(('Lớp 4 - Danh mục'!$I$14:$I$132&lt;&gt;"")*(COUNTIF('Lớp 5 - Phân công'!$J$14:$J$262,'Lớp 4 - Danh mục'!$I$14:$I$132)=0),0),0),T113+MATCH(1,INDEX((INDEX('Lớp 4 - Danh mục'!$I$14:$I$132,T113+1):'Lớp 4 - Danh mục'!$I$132&lt;&gt;"")*(COUNTIF('Lớp 5 - Phân công'!$J$14:$J$262,INDEX('Lớp 4 - Danh mục'!$I$14:$I$132,T113+1):'Lớp 4 - Danh mục'!$I$132)=0),0),0)),IF(S113&lt;&gt;"Lớp 3",MATCH(1,INDEX(('Lớp 3 - Công việc chính'!$I$14:$I$73&lt;&gt;"")*(COUNTIF('Lớp 4 - Danh mục'!$J$14:$J$132,'Lớp 3 - Công việc chính'!$I$14:$I$73)=0),0),0),T113+MATCH(1,INDEX((INDEX('Lớp 3 - Công việc chính'!$I$14:$I$73,T113+1):'Lớp 3 - Công việc chính'!$I$73&lt;&gt;"")*(COUNTIF('Lớp 4 - Danh mục'!$J$14:$J$132,INDEX('Lớp 3 - Công việc chính'!$I$14:$I$73,T113+1):'Lớp 3 - Công việc chính'!$I$73)=0),0),0)))))</f>
        <v>#REF!</v>
      </c>
      <c r="Z114" s="700" t="str">
        <f t="array" ref="Z114">IF($S114="","",IF($S114="Lớp 5",INDEX('Lớp 5 - Phân công'!$AS$14:$AS$262,$T114),IF($S114="Lớp 4",INDEX('Lớp 4 - Danh mục'!$AR$14:$AR$132,$T114),INDEX('Lớp 3 - Công việc chính'!$AO$14:$AO$73,$T114))))</f>
        <v>#REF!</v>
      </c>
      <c r="AA114" s="701" t="str">
        <f t="array" ref="AA114">IF($S114="","",IF($S114="Lớp 5",INDEX('Lớp 5 - Phân công'!$AT$14:$AT$262,$T114),IF($S114="Lớp 4",INDEX('Lớp 4 - Danh mục'!$AS$14:$AS$132,$T114),INDEX('Lớp 3 - Công việc chính'!$AP$14:$AP$73,$T114))))</f>
        <v>#REF!</v>
      </c>
      <c r="AB114" s="701" t="str">
        <f t="array" ref="AB114">IF($S114="","",IF($S114="Lớp 5",INDEX('Lớp 5 - Phân công'!$AJ$14:$AJ$262,$T114),IF($S114="Lớp 4",INDEX('Lớp 4 - Danh mục'!$AI$14:$AI$132,$T114),INDEX('Lớp 3 - Công việc chính'!$AF$14:$AF$73,$T114))))</f>
        <v>#REF!</v>
      </c>
      <c r="AC114" s="702" t="str">
        <f t="array" ref="AC114">IF($S114="","",IF($S114="Lớp 5",INDEX('Lớp 5 - Phân công'!$AV$14:$AV$262,$T114),IF($S114="Lớp 4",INDEX('Lớp 4 - Danh mục'!$AU$14:$AU$132,$T114),INDEX('Lớp 3 - Công việc chính'!$AR$14:$AR$73,$T114))))</f>
        <v>#REF!</v>
      </c>
    </row>
    <row r="115" ht="15.75" customHeight="1">
      <c r="A115" s="690" t="str">
        <f t="shared" si="1"/>
        <v>#REF!</v>
      </c>
      <c r="B115" s="690" t="str">
        <f t="array" ref="B115">IF($S115="","",IF($S115="Lớp 5",INDEX('Lớp 5 - Phân công'!$I$14:$I$262,$T115),IF($S115="Lớp 4",INDEX('Lớp 4 - Danh mục'!$I$14:$I$132,$T115),INDEX('Lớp 3 - Công việc chính'!$I$14:$I$73,$T115))))</f>
        <v>#REF!</v>
      </c>
      <c r="C115" s="690" t="str">
        <f t="array" ref="C115">IF($S115="","",IF($S115="Lớp 5",INDEX('Lớp 5 - Phân công'!$K$14:$K$262,$T115),IF($S115="Lớp 4",INDEX('Lớp 4 - Danh mục'!$J$14:$J$132,$T115),INDEX('Lớp 3 - Công việc chính'!$I$14:$I$73,$T115))))</f>
        <v>#REF!</v>
      </c>
      <c r="D115" s="690" t="str">
        <f t="array" ref="D115">IF($S115="","",IF($S115="Lớp 5",INDEX('Lớp 5 - Phân công'!$J$14:$J$262,$T115),IF($S115="Lớp 4",INDEX('Lớp 4 - Danh mục'!$I$14:$I$132,$T115),"")))</f>
        <v>#REF!</v>
      </c>
      <c r="E115" s="690" t="str">
        <f t="array" ref="E115">IF($S115="","",IF($S115="Lớp 5",INDEX('Lớp 5 - Phân công'!$L$14:$L$262,$T115),IF($S115="Lớp 4",INDEX('Lớp 4 - Danh mục'!$K$14:$K$132,$T115),INDEX('Lớp 3 - Công việc chính'!$J$14:$J$73,$T115))))</f>
        <v>#REF!</v>
      </c>
      <c r="F115" s="690" t="str">
        <f t="array" ref="F115">IF($S115="","",IF($S115="Lớp 5",INDEX('Lớp 5 - Phân công'!$M$14:$M$262,$T115),IF($S115="Lớp 4",INDEX('Lớp 4 - Danh mục'!$L$14:$L$132,$T115),INDEX('Lớp 3 - Công việc chính'!$K$14:$K$73,$T115))))</f>
        <v>#REF!</v>
      </c>
      <c r="G115" s="691" t="str">
        <f t="array" ref="G115">IF($S115="","",IF($S115="Lớp 5",INDEX('Lớp 5 - Phân công'!$N$14:$N$262,$T115),IF($S115="Lớp 4",INDEX('Lớp 4 - Danh mục'!$M$14:$M$132,$T115),INDEX('Lớp 3 - Công việc chính'!$L$14:$L$73,$T115))))</f>
        <v>#REF!</v>
      </c>
      <c r="H115" s="692" t="str">
        <f t="array" ref="H115">IF($S115="","",IF($S115="Lớp 5",INDEX('Lớp 5 - Phân công'!$O$14:$O$262,$T115),IF($S115="Lớp 4",INDEX('Lớp 4 - Danh mục'!$N$14:$N$132,$T115),INDEX('Lớp 3 - Công việc chính'!$M$14:$M$73,$T115))))</f>
        <v>#REF!</v>
      </c>
      <c r="I115" s="692" t="str">
        <f t="array" ref="I115">IF($S115="","",IF($S115="Lớp 5",INDEX('Lớp 5 - Phân công'!$P$14:$P$262,$T115),IF($S115="Lớp 4",INDEX('Lớp 4 - Danh mục'!$O$14:$O$132,$T115),"")))</f>
        <v>#REF!</v>
      </c>
      <c r="J115" s="693" t="str">
        <f t="array" ref="J115">IF($S115="","",IF($S115="Lớp 5",INDEX('Lớp 5 - Phân công'!$Q$14:$Q$262,$T115),""))</f>
        <v>#REF!</v>
      </c>
      <c r="K115" s="690" t="str">
        <f t="array" ref="K115">IF($S115="","",IF($S115="Lớp 5",INDEX('Lớp 5 - Phân công'!$AA$14:$AA$262,$T115),IF($S115="Lớp 4",INDEX('Lớp 4 - Danh mục'!$Y$14:$Y$132,$T115),INDEX('Lớp 3 - Công việc chính'!$U$14:$U$73,$T115))))</f>
        <v>#REF!</v>
      </c>
      <c r="L115" s="691" t="str">
        <f t="array" ref="L115">IF($S115="","",IF($S115="Lớp 5",INDEX('Lớp 5 - Phân công'!$Z$14:$Z$262,$T115),IF($S115="Lớp 4",INDEX('Lớp 4 - Danh mục'!$X$14:$X$132,$T115),INDEX('Lớp 3 - Công việc chính'!$W$14:$W$73,$T115))))</f>
        <v>#REF!</v>
      </c>
      <c r="M115" s="694" t="str">
        <f t="array" ref="M115">IF($S115="","",IF($S115="Lớp 5",INDEX('Lớp 5 - Phân công'!$AD$14:$AD$262,$T115),IF($S115="Lớp 4",INDEX('Lớp 4 - Danh mục'!$AC$14:$AC$132,$T115),INDEX('Lớp 3 - Công việc chính'!$Z$14:$Z$73,$T115))))</f>
        <v>#REF!</v>
      </c>
      <c r="N115" s="695" t="str">
        <f t="array" ref="N115">IF($S115="","",IF($S115="Lớp 5",INDEX('Lớp 5 - Phân công'!$AE$14:$AE$262,$T115),IF($S115="Lớp 4",INDEX('Lớp 4 - Danh mục'!$AD$14:$AD$132,$T115),INDEX('Lớp 3 - Công việc chính'!$AA$14:$AA$73,$T115))))</f>
        <v>#REF!</v>
      </c>
      <c r="O115" s="690" t="str">
        <f t="array" ref="O115">IF($S115="","",IF($S115="Lớp 5",INDEX('Lớp 5 - Phân công'!$AB$14:$AB$262,$T115),IF($S115="Lớp 4",INDEX('Lớp 4 - Danh mục'!$AA$14:$AA$132,$T115),INDEX('Lớp 3 - Công việc chính'!$X$14:$X$73,$T115))))</f>
        <v>#REF!</v>
      </c>
      <c r="P115" s="703" t="str">
        <f t="array" ref="P115">IF($S115="","",IF($S115="Lớp 5",INDEX('Lớp 5 - Phân công'!$AC$14:$AC$262,$T115),IF($S115="Lớp 4",INDEX('Lớp 4 - Danh mục'!$AB$14:$AB$132,$T115),INDEX('Lớp 3 - Công việc chính'!$Y$14:$Y$73,$T115))))</f>
        <v>#REF!</v>
      </c>
      <c r="Q115" s="697" t="str">
        <f t="array" ref="Q115">IF($S115="","",IF($S115="Lớp 5",INDEX('Lớp 5 - Phân công'!$AG$14:$AG$262,$T115),IF($S115="Lớp 4",INDEX('Lớp 4 - Danh mục'!$AF$14:$AF$132,$T115),INDEX('Lớp 3 - Công việc chính'!$AC$14:$AC$73,$T115))))</f>
        <v>#REF!</v>
      </c>
      <c r="R115" s="698" t="str">
        <f t="array" ref="R115">IF($S115="","",IF($S115="Lớp 5",INDEX('Lớp 5 - Phân công'!$X$14:$X$262,$T115),IF($S115="Lớp 4",INDEX('Lớp 4 - Danh mục'!$V$14:$V$132,$T115),INDEX('Lớp 3 - Công việc chính'!$T$14:$T$73,$T115))))</f>
        <v>#REF!</v>
      </c>
      <c r="S115" s="699" t="str">
        <f>IF(ROWS($S$14:S115)&lt;=COUNTIF('Lớp 5 - Phân công'!$I$14:$I$262,"&lt;&gt;"),"Lớp 5",IF(ROWS($S$14:S115)&lt;=COUNTIF('Lớp 5 - Phân công'!$I$14:$I$262,"&lt;&gt;")+SUMPRODUCT(--('Lớp 4 - Danh mục'!$I$14:$I$132&lt;&gt;""),--(COUNTIF('Lớp 5 - Phân công'!$J$14:$J$262,'Lớp 4 - Danh mục'!$I$14:$I$132)=0)),"Lớp 4",IF(ROWS($S$14:S115)&lt;=COUNTIF('Lớp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5" s="699" t="str">
        <f t="array" ref="T115">IF(S115="","",IF(S115="Lớp 5",IF(S114&lt;&gt;"Lớp 5",MATCH("*",'Lớp 5 - Phân công'!$I$14:$I$262,0),T114+MATCH("*",INDEX('Lớp 5 - Phân công'!$I$14:$I$262,T114+1):'Lớp 5 - Phân công'!$I$262,0)),IF(S115="Lớp 4",IF(S114&lt;&gt;"Lớp 4",MATCH(1,INDEX(('Lớp 4 - Danh mục'!$I$14:$I$132&lt;&gt;"")*(COUNTIF('Lớp 5 - Phân công'!$J$14:$J$262,'Lớp 4 - Danh mục'!$I$14:$I$132)=0),0),0),T114+MATCH(1,INDEX((INDEX('Lớp 4 - Danh mục'!$I$14:$I$132,T114+1):'Lớp 4 - Danh mục'!$I$132&lt;&gt;"")*(COUNTIF('Lớp 5 - Phân công'!$J$14:$J$262,INDEX('Lớp 4 - Danh mục'!$I$14:$I$132,T114+1):'Lớp 4 - Danh mục'!$I$132)=0),0),0)),IF(S114&lt;&gt;"Lớp 3",MATCH(1,INDEX(('Lớp 3 - Công việc chính'!$I$14:$I$73&lt;&gt;"")*(COUNTIF('Lớp 4 - Danh mục'!$J$14:$J$132,'Lớp 3 - Công việc chính'!$I$14:$I$73)=0),0),0),T114+MATCH(1,INDEX((INDEX('Lớp 3 - Công việc chính'!$I$14:$I$73,T114+1):'Lớp 3 - Công việc chính'!$I$73&lt;&gt;"")*(COUNTIF('Lớp 4 - Danh mục'!$J$14:$J$132,INDEX('Lớp 3 - Công việc chính'!$I$14:$I$73,T114+1):'Lớp 3 - Công việc chính'!$I$73)=0),0),0)))))</f>
        <v>#REF!</v>
      </c>
      <c r="Z115" s="700" t="str">
        <f t="array" ref="Z115">IF($S115="","",IF($S115="Lớp 5",INDEX('Lớp 5 - Phân công'!$AS$14:$AS$262,$T115),IF($S115="Lớp 4",INDEX('Lớp 4 - Danh mục'!$AR$14:$AR$132,$T115),INDEX('Lớp 3 - Công việc chính'!$AO$14:$AO$73,$T115))))</f>
        <v>#REF!</v>
      </c>
      <c r="AA115" s="701" t="str">
        <f t="array" ref="AA115">IF($S115="","",IF($S115="Lớp 5",INDEX('Lớp 5 - Phân công'!$AT$14:$AT$262,$T115),IF($S115="Lớp 4",INDEX('Lớp 4 - Danh mục'!$AS$14:$AS$132,$T115),INDEX('Lớp 3 - Công việc chính'!$AP$14:$AP$73,$T115))))</f>
        <v>#REF!</v>
      </c>
      <c r="AB115" s="701" t="str">
        <f t="array" ref="AB115">IF($S115="","",IF($S115="Lớp 5",INDEX('Lớp 5 - Phân công'!$AJ$14:$AJ$262,$T115),IF($S115="Lớp 4",INDEX('Lớp 4 - Danh mục'!$AI$14:$AI$132,$T115),INDEX('Lớp 3 - Công việc chính'!$AF$14:$AF$73,$T115))))</f>
        <v>#REF!</v>
      </c>
      <c r="AC115" s="702" t="str">
        <f t="array" ref="AC115">IF($S115="","",IF($S115="Lớp 5",INDEX('Lớp 5 - Phân công'!$AV$14:$AV$262,$T115),IF($S115="Lớp 4",INDEX('Lớp 4 - Danh mục'!$AU$14:$AU$132,$T115),INDEX('Lớp 3 - Công việc chính'!$AR$14:$AR$73,$T115))))</f>
        <v>#REF!</v>
      </c>
    </row>
    <row r="116" ht="15.75" customHeight="1">
      <c r="A116" s="690" t="str">
        <f t="shared" si="1"/>
        <v>#REF!</v>
      </c>
      <c r="B116" s="690" t="str">
        <f t="array" ref="B116">IF($S116="","",IF($S116="Lớp 5",INDEX('Lớp 5 - Phân công'!$I$14:$I$262,$T116),IF($S116="Lớp 4",INDEX('Lớp 4 - Danh mục'!$I$14:$I$132,$T116),INDEX('Lớp 3 - Công việc chính'!$I$14:$I$73,$T116))))</f>
        <v>#REF!</v>
      </c>
      <c r="C116" s="690" t="str">
        <f t="array" ref="C116">IF($S116="","",IF($S116="Lớp 5",INDEX('Lớp 5 - Phân công'!$K$14:$K$262,$T116),IF($S116="Lớp 4",INDEX('Lớp 4 - Danh mục'!$J$14:$J$132,$T116),INDEX('Lớp 3 - Công việc chính'!$I$14:$I$73,$T116))))</f>
        <v>#REF!</v>
      </c>
      <c r="D116" s="690" t="str">
        <f t="array" ref="D116">IF($S116="","",IF($S116="Lớp 5",INDEX('Lớp 5 - Phân công'!$J$14:$J$262,$T116),IF($S116="Lớp 4",INDEX('Lớp 4 - Danh mục'!$I$14:$I$132,$T116),"")))</f>
        <v>#REF!</v>
      </c>
      <c r="E116" s="690" t="str">
        <f t="array" ref="E116">IF($S116="","",IF($S116="Lớp 5",INDEX('Lớp 5 - Phân công'!$L$14:$L$262,$T116),IF($S116="Lớp 4",INDEX('Lớp 4 - Danh mục'!$K$14:$K$132,$T116),INDEX('Lớp 3 - Công việc chính'!$J$14:$J$73,$T116))))</f>
        <v>#REF!</v>
      </c>
      <c r="F116" s="690" t="str">
        <f t="array" ref="F116">IF($S116="","",IF($S116="Lớp 5",INDEX('Lớp 5 - Phân công'!$M$14:$M$262,$T116),IF($S116="Lớp 4",INDEX('Lớp 4 - Danh mục'!$L$14:$L$132,$T116),INDEX('Lớp 3 - Công việc chính'!$K$14:$K$73,$T116))))</f>
        <v>#REF!</v>
      </c>
      <c r="G116" s="691" t="str">
        <f t="array" ref="G116">IF($S116="","",IF($S116="Lớp 5",INDEX('Lớp 5 - Phân công'!$N$14:$N$262,$T116),IF($S116="Lớp 4",INDEX('Lớp 4 - Danh mục'!$M$14:$M$132,$T116),INDEX('Lớp 3 - Công việc chính'!$L$14:$L$73,$T116))))</f>
        <v>#REF!</v>
      </c>
      <c r="H116" s="692" t="str">
        <f t="array" ref="H116">IF($S116="","",IF($S116="Lớp 5",INDEX('Lớp 5 - Phân công'!$O$14:$O$262,$T116),IF($S116="Lớp 4",INDEX('Lớp 4 - Danh mục'!$N$14:$N$132,$T116),INDEX('Lớp 3 - Công việc chính'!$M$14:$M$73,$T116))))</f>
        <v>#REF!</v>
      </c>
      <c r="I116" s="692" t="str">
        <f t="array" ref="I116">IF($S116="","",IF($S116="Lớp 5",INDEX('Lớp 5 - Phân công'!$P$14:$P$262,$T116),IF($S116="Lớp 4",INDEX('Lớp 4 - Danh mục'!$O$14:$O$132,$T116),"")))</f>
        <v>#REF!</v>
      </c>
      <c r="J116" s="693" t="str">
        <f t="array" ref="J116">IF($S116="","",IF($S116="Lớp 5",INDEX('Lớp 5 - Phân công'!$Q$14:$Q$262,$T116),""))</f>
        <v>#REF!</v>
      </c>
      <c r="K116" s="690" t="str">
        <f t="array" ref="K116">IF($S116="","",IF($S116="Lớp 5",INDEX('Lớp 5 - Phân công'!$AA$14:$AA$262,$T116),IF($S116="Lớp 4",INDEX('Lớp 4 - Danh mục'!$Y$14:$Y$132,$T116),INDEX('Lớp 3 - Công việc chính'!$U$14:$U$73,$T116))))</f>
        <v>#REF!</v>
      </c>
      <c r="L116" s="691" t="str">
        <f t="array" ref="L116">IF($S116="","",IF($S116="Lớp 5",INDEX('Lớp 5 - Phân công'!$Z$14:$Z$262,$T116),IF($S116="Lớp 4",INDEX('Lớp 4 - Danh mục'!$X$14:$X$132,$T116),INDEX('Lớp 3 - Công việc chính'!$W$14:$W$73,$T116))))</f>
        <v>#REF!</v>
      </c>
      <c r="M116" s="694" t="str">
        <f t="array" ref="M116">IF($S116="","",IF($S116="Lớp 5",INDEX('Lớp 5 - Phân công'!$AD$14:$AD$262,$T116),IF($S116="Lớp 4",INDEX('Lớp 4 - Danh mục'!$AC$14:$AC$132,$T116),INDEX('Lớp 3 - Công việc chính'!$Z$14:$Z$73,$T116))))</f>
        <v>#REF!</v>
      </c>
      <c r="N116" s="695" t="str">
        <f t="array" ref="N116">IF($S116="","",IF($S116="Lớp 5",INDEX('Lớp 5 - Phân công'!$AE$14:$AE$262,$T116),IF($S116="Lớp 4",INDEX('Lớp 4 - Danh mục'!$AD$14:$AD$132,$T116),INDEX('Lớp 3 - Công việc chính'!$AA$14:$AA$73,$T116))))</f>
        <v>#REF!</v>
      </c>
      <c r="O116" s="690" t="str">
        <f t="array" ref="O116">IF($S116="","",IF($S116="Lớp 5",INDEX('Lớp 5 - Phân công'!$AB$14:$AB$262,$T116),IF($S116="Lớp 4",INDEX('Lớp 4 - Danh mục'!$AA$14:$AA$132,$T116),INDEX('Lớp 3 - Công việc chính'!$X$14:$X$73,$T116))))</f>
        <v>#REF!</v>
      </c>
      <c r="P116" s="703" t="str">
        <f t="array" ref="P116">IF($S116="","",IF($S116="Lớp 5",INDEX('Lớp 5 - Phân công'!$AC$14:$AC$262,$T116),IF($S116="Lớp 4",INDEX('Lớp 4 - Danh mục'!$AB$14:$AB$132,$T116),INDEX('Lớp 3 - Công việc chính'!$Y$14:$Y$73,$T116))))</f>
        <v>#REF!</v>
      </c>
      <c r="Q116" s="697" t="str">
        <f t="array" ref="Q116">IF($S116="","",IF($S116="Lớp 5",INDEX('Lớp 5 - Phân công'!$AG$14:$AG$262,$T116),IF($S116="Lớp 4",INDEX('Lớp 4 - Danh mục'!$AF$14:$AF$132,$T116),INDEX('Lớp 3 - Công việc chính'!$AC$14:$AC$73,$T116))))</f>
        <v>#REF!</v>
      </c>
      <c r="R116" s="698" t="str">
        <f t="array" ref="R116">IF($S116="","",IF($S116="Lớp 5",INDEX('Lớp 5 - Phân công'!$X$14:$X$262,$T116),IF($S116="Lớp 4",INDEX('Lớp 4 - Danh mục'!$V$14:$V$132,$T116),INDEX('Lớp 3 - Công việc chính'!$T$14:$T$73,$T116))))</f>
        <v>#REF!</v>
      </c>
      <c r="S116" s="699" t="str">
        <f>IF(ROWS($S$14:S116)&lt;=COUNTIF('Lớp 5 - Phân công'!$I$14:$I$262,"&lt;&gt;"),"Lớp 5",IF(ROWS($S$14:S116)&lt;=COUNTIF('Lớp 5 - Phân công'!$I$14:$I$262,"&lt;&gt;")+SUMPRODUCT(--('Lớp 4 - Danh mục'!$I$14:$I$132&lt;&gt;""),--(COUNTIF('Lớp 5 - Phân công'!$J$14:$J$262,'Lớp 4 - Danh mục'!$I$14:$I$132)=0)),"Lớp 4",IF(ROWS($S$14:S116)&lt;=COUNTIF('Lớp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6" s="699" t="str">
        <f t="array" ref="T116">IF(S116="","",IF(S116="Lớp 5",IF(S115&lt;&gt;"Lớp 5",MATCH("*",'Lớp 5 - Phân công'!$I$14:$I$262,0),T115+MATCH("*",INDEX('Lớp 5 - Phân công'!$I$14:$I$262,T115+1):'Lớp 5 - Phân công'!$I$262,0)),IF(S116="Lớp 4",IF(S115&lt;&gt;"Lớp 4",MATCH(1,INDEX(('Lớp 4 - Danh mục'!$I$14:$I$132&lt;&gt;"")*(COUNTIF('Lớp 5 - Phân công'!$J$14:$J$262,'Lớp 4 - Danh mục'!$I$14:$I$132)=0),0),0),T115+MATCH(1,INDEX((INDEX('Lớp 4 - Danh mục'!$I$14:$I$132,T115+1):'Lớp 4 - Danh mục'!$I$132&lt;&gt;"")*(COUNTIF('Lớp 5 - Phân công'!$J$14:$J$262,INDEX('Lớp 4 - Danh mục'!$I$14:$I$132,T115+1):'Lớp 4 - Danh mục'!$I$132)=0),0),0)),IF(S115&lt;&gt;"Lớp 3",MATCH(1,INDEX(('Lớp 3 - Công việc chính'!$I$14:$I$73&lt;&gt;"")*(COUNTIF('Lớp 4 - Danh mục'!$J$14:$J$132,'Lớp 3 - Công việc chính'!$I$14:$I$73)=0),0),0),T115+MATCH(1,INDEX((INDEX('Lớp 3 - Công việc chính'!$I$14:$I$73,T115+1):'Lớp 3 - Công việc chính'!$I$73&lt;&gt;"")*(COUNTIF('Lớp 4 - Danh mục'!$J$14:$J$132,INDEX('Lớp 3 - Công việc chính'!$I$14:$I$73,T115+1):'Lớp 3 - Công việc chính'!$I$73)=0),0),0)))))</f>
        <v>#REF!</v>
      </c>
      <c r="Z116" s="700" t="str">
        <f t="array" ref="Z116">IF($S116="","",IF($S116="Lớp 5",INDEX('Lớp 5 - Phân công'!$AS$14:$AS$262,$T116),IF($S116="Lớp 4",INDEX('Lớp 4 - Danh mục'!$AR$14:$AR$132,$T116),INDEX('Lớp 3 - Công việc chính'!$AO$14:$AO$73,$T116))))</f>
        <v>#REF!</v>
      </c>
      <c r="AA116" s="701" t="str">
        <f t="array" ref="AA116">IF($S116="","",IF($S116="Lớp 5",INDEX('Lớp 5 - Phân công'!$AT$14:$AT$262,$T116),IF($S116="Lớp 4",INDEX('Lớp 4 - Danh mục'!$AS$14:$AS$132,$T116),INDEX('Lớp 3 - Công việc chính'!$AP$14:$AP$73,$T116))))</f>
        <v>#REF!</v>
      </c>
      <c r="AB116" s="701" t="str">
        <f t="array" ref="AB116">IF($S116="","",IF($S116="Lớp 5",INDEX('Lớp 5 - Phân công'!$AJ$14:$AJ$262,$T116),IF($S116="Lớp 4",INDEX('Lớp 4 - Danh mục'!$AI$14:$AI$132,$T116),INDEX('Lớp 3 - Công việc chính'!$AF$14:$AF$73,$T116))))</f>
        <v>#REF!</v>
      </c>
      <c r="AC116" s="702" t="str">
        <f t="array" ref="AC116">IF($S116="","",IF($S116="Lớp 5",INDEX('Lớp 5 - Phân công'!$AV$14:$AV$262,$T116),IF($S116="Lớp 4",INDEX('Lớp 4 - Danh mục'!$AU$14:$AU$132,$T116),INDEX('Lớp 3 - Công việc chính'!$AR$14:$AR$73,$T116))))</f>
        <v>#REF!</v>
      </c>
    </row>
    <row r="117" ht="15.75" customHeight="1">
      <c r="A117" s="690" t="str">
        <f t="shared" si="1"/>
        <v>#REF!</v>
      </c>
      <c r="B117" s="690" t="str">
        <f t="array" ref="B117">IF($S117="","",IF($S117="Lớp 5",INDEX('Lớp 5 - Phân công'!$I$14:$I$262,$T117),IF($S117="Lớp 4",INDEX('Lớp 4 - Danh mục'!$I$14:$I$132,$T117),INDEX('Lớp 3 - Công việc chính'!$I$14:$I$73,$T117))))</f>
        <v>#REF!</v>
      </c>
      <c r="C117" s="690" t="str">
        <f t="array" ref="C117">IF($S117="","",IF($S117="Lớp 5",INDEX('Lớp 5 - Phân công'!$K$14:$K$262,$T117),IF($S117="Lớp 4",INDEX('Lớp 4 - Danh mục'!$J$14:$J$132,$T117),INDEX('Lớp 3 - Công việc chính'!$I$14:$I$73,$T117))))</f>
        <v>#REF!</v>
      </c>
      <c r="D117" s="690" t="str">
        <f t="array" ref="D117">IF($S117="","",IF($S117="Lớp 5",INDEX('Lớp 5 - Phân công'!$J$14:$J$262,$T117),IF($S117="Lớp 4",INDEX('Lớp 4 - Danh mục'!$I$14:$I$132,$T117),"")))</f>
        <v>#REF!</v>
      </c>
      <c r="E117" s="690" t="str">
        <f t="array" ref="E117">IF($S117="","",IF($S117="Lớp 5",INDEX('Lớp 5 - Phân công'!$L$14:$L$262,$T117),IF($S117="Lớp 4",INDEX('Lớp 4 - Danh mục'!$K$14:$K$132,$T117),INDEX('Lớp 3 - Công việc chính'!$J$14:$J$73,$T117))))</f>
        <v>#REF!</v>
      </c>
      <c r="F117" s="690" t="str">
        <f t="array" ref="F117">IF($S117="","",IF($S117="Lớp 5",INDEX('Lớp 5 - Phân công'!$M$14:$M$262,$T117),IF($S117="Lớp 4",INDEX('Lớp 4 - Danh mục'!$L$14:$L$132,$T117),INDEX('Lớp 3 - Công việc chính'!$K$14:$K$73,$T117))))</f>
        <v>#REF!</v>
      </c>
      <c r="G117" s="691" t="str">
        <f t="array" ref="G117">IF($S117="","",IF($S117="Lớp 5",INDEX('Lớp 5 - Phân công'!$N$14:$N$262,$T117),IF($S117="Lớp 4",INDEX('Lớp 4 - Danh mục'!$M$14:$M$132,$T117),INDEX('Lớp 3 - Công việc chính'!$L$14:$L$73,$T117))))</f>
        <v>#REF!</v>
      </c>
      <c r="H117" s="692" t="str">
        <f t="array" ref="H117">IF($S117="","",IF($S117="Lớp 5",INDEX('Lớp 5 - Phân công'!$O$14:$O$262,$T117),IF($S117="Lớp 4",INDEX('Lớp 4 - Danh mục'!$N$14:$N$132,$T117),INDEX('Lớp 3 - Công việc chính'!$M$14:$M$73,$T117))))</f>
        <v>#REF!</v>
      </c>
      <c r="I117" s="692" t="str">
        <f t="array" ref="I117">IF($S117="","",IF($S117="Lớp 5",INDEX('Lớp 5 - Phân công'!$P$14:$P$262,$T117),IF($S117="Lớp 4",INDEX('Lớp 4 - Danh mục'!$O$14:$O$132,$T117),"")))</f>
        <v>#REF!</v>
      </c>
      <c r="J117" s="693" t="str">
        <f t="array" ref="J117">IF($S117="","",IF($S117="Lớp 5",INDEX('Lớp 5 - Phân công'!$Q$14:$Q$262,$T117),""))</f>
        <v>#REF!</v>
      </c>
      <c r="K117" s="690" t="str">
        <f t="array" ref="K117">IF($S117="","",IF($S117="Lớp 5",INDEX('Lớp 5 - Phân công'!$AA$14:$AA$262,$T117),IF($S117="Lớp 4",INDEX('Lớp 4 - Danh mục'!$Y$14:$Y$132,$T117),INDEX('Lớp 3 - Công việc chính'!$U$14:$U$73,$T117))))</f>
        <v>#REF!</v>
      </c>
      <c r="L117" s="691" t="str">
        <f t="array" ref="L117">IF($S117="","",IF($S117="Lớp 5",INDEX('Lớp 5 - Phân công'!$Z$14:$Z$262,$T117),IF($S117="Lớp 4",INDEX('Lớp 4 - Danh mục'!$X$14:$X$132,$T117),INDEX('Lớp 3 - Công việc chính'!$W$14:$W$73,$T117))))</f>
        <v>#REF!</v>
      </c>
      <c r="M117" s="694" t="str">
        <f t="array" ref="M117">IF($S117="","",IF($S117="Lớp 5",INDEX('Lớp 5 - Phân công'!$AD$14:$AD$262,$T117),IF($S117="Lớp 4",INDEX('Lớp 4 - Danh mục'!$AC$14:$AC$132,$T117),INDEX('Lớp 3 - Công việc chính'!$Z$14:$Z$73,$T117))))</f>
        <v>#REF!</v>
      </c>
      <c r="N117" s="695" t="str">
        <f t="array" ref="N117">IF($S117="","",IF($S117="Lớp 5",INDEX('Lớp 5 - Phân công'!$AE$14:$AE$262,$T117),IF($S117="Lớp 4",INDEX('Lớp 4 - Danh mục'!$AD$14:$AD$132,$T117),INDEX('Lớp 3 - Công việc chính'!$AA$14:$AA$73,$T117))))</f>
        <v>#REF!</v>
      </c>
      <c r="O117" s="690" t="str">
        <f t="array" ref="O117">IF($S117="","",IF($S117="Lớp 5",INDEX('Lớp 5 - Phân công'!$AB$14:$AB$262,$T117),IF($S117="Lớp 4",INDEX('Lớp 4 - Danh mục'!$AA$14:$AA$132,$T117),INDEX('Lớp 3 - Công việc chính'!$X$14:$X$73,$T117))))</f>
        <v>#REF!</v>
      </c>
      <c r="P117" s="703" t="str">
        <f t="array" ref="P117">IF($S117="","",IF($S117="Lớp 5",INDEX('Lớp 5 - Phân công'!$AC$14:$AC$262,$T117),IF($S117="Lớp 4",INDEX('Lớp 4 - Danh mục'!$AB$14:$AB$132,$T117),INDEX('Lớp 3 - Công việc chính'!$Y$14:$Y$73,$T117))))</f>
        <v>#REF!</v>
      </c>
      <c r="Q117" s="697" t="str">
        <f t="array" ref="Q117">IF($S117="","",IF($S117="Lớp 5",INDEX('Lớp 5 - Phân công'!$AG$14:$AG$262,$T117),IF($S117="Lớp 4",INDEX('Lớp 4 - Danh mục'!$AF$14:$AF$132,$T117),INDEX('Lớp 3 - Công việc chính'!$AC$14:$AC$73,$T117))))</f>
        <v>#REF!</v>
      </c>
      <c r="R117" s="698" t="str">
        <f t="array" ref="R117">IF($S117="","",IF($S117="Lớp 5",INDEX('Lớp 5 - Phân công'!$X$14:$X$262,$T117),IF($S117="Lớp 4",INDEX('Lớp 4 - Danh mục'!$V$14:$V$132,$T117),INDEX('Lớp 3 - Công việc chính'!$T$14:$T$73,$T117))))</f>
        <v>#REF!</v>
      </c>
      <c r="S117" s="699" t="str">
        <f>IF(ROWS($S$14:S117)&lt;=COUNTIF('Lớp 5 - Phân công'!$I$14:$I$262,"&lt;&gt;"),"Lớp 5",IF(ROWS($S$14:S117)&lt;=COUNTIF('Lớp 5 - Phân công'!$I$14:$I$262,"&lt;&gt;")+SUMPRODUCT(--('Lớp 4 - Danh mục'!$I$14:$I$132&lt;&gt;""),--(COUNTIF('Lớp 5 - Phân công'!$J$14:$J$262,'Lớp 4 - Danh mục'!$I$14:$I$132)=0)),"Lớp 4",IF(ROWS($S$14:S117)&lt;=COUNTIF('Lớp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7" s="699" t="str">
        <f t="array" ref="T117">IF(S117="","",IF(S117="Lớp 5",IF(S116&lt;&gt;"Lớp 5",MATCH("*",'Lớp 5 - Phân công'!$I$14:$I$262,0),T116+MATCH("*",INDEX('Lớp 5 - Phân công'!$I$14:$I$262,T116+1):'Lớp 5 - Phân công'!$I$262,0)),IF(S117="Lớp 4",IF(S116&lt;&gt;"Lớp 4",MATCH(1,INDEX(('Lớp 4 - Danh mục'!$I$14:$I$132&lt;&gt;"")*(COUNTIF('Lớp 5 - Phân công'!$J$14:$J$262,'Lớp 4 - Danh mục'!$I$14:$I$132)=0),0),0),T116+MATCH(1,INDEX((INDEX('Lớp 4 - Danh mục'!$I$14:$I$132,T116+1):'Lớp 4 - Danh mục'!$I$132&lt;&gt;"")*(COUNTIF('Lớp 5 - Phân công'!$J$14:$J$262,INDEX('Lớp 4 - Danh mục'!$I$14:$I$132,T116+1):'Lớp 4 - Danh mục'!$I$132)=0),0),0)),IF(S116&lt;&gt;"Lớp 3",MATCH(1,INDEX(('Lớp 3 - Công việc chính'!$I$14:$I$73&lt;&gt;"")*(COUNTIF('Lớp 4 - Danh mục'!$J$14:$J$132,'Lớp 3 - Công việc chính'!$I$14:$I$73)=0),0),0),T116+MATCH(1,INDEX((INDEX('Lớp 3 - Công việc chính'!$I$14:$I$73,T116+1):'Lớp 3 - Công việc chính'!$I$73&lt;&gt;"")*(COUNTIF('Lớp 4 - Danh mục'!$J$14:$J$132,INDEX('Lớp 3 - Công việc chính'!$I$14:$I$73,T116+1):'Lớp 3 - Công việc chính'!$I$73)=0),0),0)))))</f>
        <v>#REF!</v>
      </c>
      <c r="Z117" s="700" t="str">
        <f t="array" ref="Z117">IF($S117="","",IF($S117="Lớp 5",INDEX('Lớp 5 - Phân công'!$AS$14:$AS$262,$T117),IF($S117="Lớp 4",INDEX('Lớp 4 - Danh mục'!$AR$14:$AR$132,$T117),INDEX('Lớp 3 - Công việc chính'!$AO$14:$AO$73,$T117))))</f>
        <v>#REF!</v>
      </c>
      <c r="AA117" s="701" t="str">
        <f t="array" ref="AA117">IF($S117="","",IF($S117="Lớp 5",INDEX('Lớp 5 - Phân công'!$AT$14:$AT$262,$T117),IF($S117="Lớp 4",INDEX('Lớp 4 - Danh mục'!$AS$14:$AS$132,$T117),INDEX('Lớp 3 - Công việc chính'!$AP$14:$AP$73,$T117))))</f>
        <v>#REF!</v>
      </c>
      <c r="AB117" s="701" t="str">
        <f t="array" ref="AB117">IF($S117="","",IF($S117="Lớp 5",INDEX('Lớp 5 - Phân công'!$AJ$14:$AJ$262,$T117),IF($S117="Lớp 4",INDEX('Lớp 4 - Danh mục'!$AI$14:$AI$132,$T117),INDEX('Lớp 3 - Công việc chính'!$AF$14:$AF$73,$T117))))</f>
        <v>#REF!</v>
      </c>
      <c r="AC117" s="702" t="str">
        <f t="array" ref="AC117">IF($S117="","",IF($S117="Lớp 5",INDEX('Lớp 5 - Phân công'!$AV$14:$AV$262,$T117),IF($S117="Lớp 4",INDEX('Lớp 4 - Danh mục'!$AU$14:$AU$132,$T117),INDEX('Lớp 3 - Công việc chính'!$AR$14:$AR$73,$T117))))</f>
        <v>#REF!</v>
      </c>
    </row>
    <row r="118" ht="15.75" customHeight="1">
      <c r="A118" s="690" t="str">
        <f t="shared" si="1"/>
        <v>#REF!</v>
      </c>
      <c r="B118" s="690" t="str">
        <f t="array" ref="B118">IF($S118="","",IF($S118="Lớp 5",INDEX('Lớp 5 - Phân công'!$I$14:$I$262,$T118),IF($S118="Lớp 4",INDEX('Lớp 4 - Danh mục'!$I$14:$I$132,$T118),INDEX('Lớp 3 - Công việc chính'!$I$14:$I$73,$T118))))</f>
        <v>#REF!</v>
      </c>
      <c r="C118" s="690" t="str">
        <f t="array" ref="C118">IF($S118="","",IF($S118="Lớp 5",INDEX('Lớp 5 - Phân công'!$K$14:$K$262,$T118),IF($S118="Lớp 4",INDEX('Lớp 4 - Danh mục'!$J$14:$J$132,$T118),INDEX('Lớp 3 - Công việc chính'!$I$14:$I$73,$T118))))</f>
        <v>#REF!</v>
      </c>
      <c r="D118" s="690" t="str">
        <f t="array" ref="D118">IF($S118="","",IF($S118="Lớp 5",INDEX('Lớp 5 - Phân công'!$J$14:$J$262,$T118),IF($S118="Lớp 4",INDEX('Lớp 4 - Danh mục'!$I$14:$I$132,$T118),"")))</f>
        <v>#REF!</v>
      </c>
      <c r="E118" s="690" t="str">
        <f t="array" ref="E118">IF($S118="","",IF($S118="Lớp 5",INDEX('Lớp 5 - Phân công'!$L$14:$L$262,$T118),IF($S118="Lớp 4",INDEX('Lớp 4 - Danh mục'!$K$14:$K$132,$T118),INDEX('Lớp 3 - Công việc chính'!$J$14:$J$73,$T118))))</f>
        <v>#REF!</v>
      </c>
      <c r="F118" s="690" t="str">
        <f t="array" ref="F118">IF($S118="","",IF($S118="Lớp 5",INDEX('Lớp 5 - Phân công'!$M$14:$M$262,$T118),IF($S118="Lớp 4",INDEX('Lớp 4 - Danh mục'!$L$14:$L$132,$T118),INDEX('Lớp 3 - Công việc chính'!$K$14:$K$73,$T118))))</f>
        <v>#REF!</v>
      </c>
      <c r="G118" s="691" t="str">
        <f t="array" ref="G118">IF($S118="","",IF($S118="Lớp 5",INDEX('Lớp 5 - Phân công'!$N$14:$N$262,$T118),IF($S118="Lớp 4",INDEX('Lớp 4 - Danh mục'!$M$14:$M$132,$T118),INDEX('Lớp 3 - Công việc chính'!$L$14:$L$73,$T118))))</f>
        <v>#REF!</v>
      </c>
      <c r="H118" s="692" t="str">
        <f t="array" ref="H118">IF($S118="","",IF($S118="Lớp 5",INDEX('Lớp 5 - Phân công'!$O$14:$O$262,$T118),IF($S118="Lớp 4",INDEX('Lớp 4 - Danh mục'!$N$14:$N$132,$T118),INDEX('Lớp 3 - Công việc chính'!$M$14:$M$73,$T118))))</f>
        <v>#REF!</v>
      </c>
      <c r="I118" s="692" t="str">
        <f t="array" ref="I118">IF($S118="","",IF($S118="Lớp 5",INDEX('Lớp 5 - Phân công'!$P$14:$P$262,$T118),IF($S118="Lớp 4",INDEX('Lớp 4 - Danh mục'!$O$14:$O$132,$T118),"")))</f>
        <v>#REF!</v>
      </c>
      <c r="J118" s="693" t="str">
        <f t="array" ref="J118">IF($S118="","",IF($S118="Lớp 5",INDEX('Lớp 5 - Phân công'!$Q$14:$Q$262,$T118),""))</f>
        <v>#REF!</v>
      </c>
      <c r="K118" s="690" t="str">
        <f t="array" ref="K118">IF($S118="","",IF($S118="Lớp 5",INDEX('Lớp 5 - Phân công'!$AA$14:$AA$262,$T118),IF($S118="Lớp 4",INDEX('Lớp 4 - Danh mục'!$Y$14:$Y$132,$T118),INDEX('Lớp 3 - Công việc chính'!$U$14:$U$73,$T118))))</f>
        <v>#REF!</v>
      </c>
      <c r="L118" s="691" t="str">
        <f t="array" ref="L118">IF($S118="","",IF($S118="Lớp 5",INDEX('Lớp 5 - Phân công'!$Z$14:$Z$262,$T118),IF($S118="Lớp 4",INDEX('Lớp 4 - Danh mục'!$X$14:$X$132,$T118),INDEX('Lớp 3 - Công việc chính'!$W$14:$W$73,$T118))))</f>
        <v>#REF!</v>
      </c>
      <c r="M118" s="694" t="str">
        <f t="array" ref="M118">IF($S118="","",IF($S118="Lớp 5",INDEX('Lớp 5 - Phân công'!$AD$14:$AD$262,$T118),IF($S118="Lớp 4",INDEX('Lớp 4 - Danh mục'!$AC$14:$AC$132,$T118),INDEX('Lớp 3 - Công việc chính'!$Z$14:$Z$73,$T118))))</f>
        <v>#REF!</v>
      </c>
      <c r="N118" s="695" t="str">
        <f t="array" ref="N118">IF($S118="","",IF($S118="Lớp 5",INDEX('Lớp 5 - Phân công'!$AE$14:$AE$262,$T118),IF($S118="Lớp 4",INDEX('Lớp 4 - Danh mục'!$AD$14:$AD$132,$T118),INDEX('Lớp 3 - Công việc chính'!$AA$14:$AA$73,$T118))))</f>
        <v>#REF!</v>
      </c>
      <c r="O118" s="690" t="str">
        <f t="array" ref="O118">IF($S118="","",IF($S118="Lớp 5",INDEX('Lớp 5 - Phân công'!$AB$14:$AB$262,$T118),IF($S118="Lớp 4",INDEX('Lớp 4 - Danh mục'!$AA$14:$AA$132,$T118),INDEX('Lớp 3 - Công việc chính'!$X$14:$X$73,$T118))))</f>
        <v>#REF!</v>
      </c>
      <c r="P118" s="703" t="str">
        <f t="array" ref="P118">IF($S118="","",IF($S118="Lớp 5",INDEX('Lớp 5 - Phân công'!$AC$14:$AC$262,$T118),IF($S118="Lớp 4",INDEX('Lớp 4 - Danh mục'!$AB$14:$AB$132,$T118),INDEX('Lớp 3 - Công việc chính'!$Y$14:$Y$73,$T118))))</f>
        <v>#REF!</v>
      </c>
      <c r="Q118" s="697" t="str">
        <f t="array" ref="Q118">IF($S118="","",IF($S118="Lớp 5",INDEX('Lớp 5 - Phân công'!$AG$14:$AG$262,$T118),IF($S118="Lớp 4",INDEX('Lớp 4 - Danh mục'!$AF$14:$AF$132,$T118),INDEX('Lớp 3 - Công việc chính'!$AC$14:$AC$73,$T118))))</f>
        <v>#REF!</v>
      </c>
      <c r="R118" s="698" t="str">
        <f t="array" ref="R118">IF($S118="","",IF($S118="Lớp 5",INDEX('Lớp 5 - Phân công'!$X$14:$X$262,$T118),IF($S118="Lớp 4",INDEX('Lớp 4 - Danh mục'!$V$14:$V$132,$T118),INDEX('Lớp 3 - Công việc chính'!$T$14:$T$73,$T118))))</f>
        <v>#REF!</v>
      </c>
      <c r="S118" s="699" t="str">
        <f>IF(ROWS($S$14:S118)&lt;=COUNTIF('Lớp 5 - Phân công'!$I$14:$I$262,"&lt;&gt;"),"Lớp 5",IF(ROWS($S$14:S118)&lt;=COUNTIF('Lớp 5 - Phân công'!$I$14:$I$262,"&lt;&gt;")+SUMPRODUCT(--('Lớp 4 - Danh mục'!$I$14:$I$132&lt;&gt;""),--(COUNTIF('Lớp 5 - Phân công'!$J$14:$J$262,'Lớp 4 - Danh mục'!$I$14:$I$132)=0)),"Lớp 4",IF(ROWS($S$14:S118)&lt;=COUNTIF('Lớp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8" s="699" t="str">
        <f t="array" ref="T118">IF(S118="","",IF(S118="Lớp 5",IF(S117&lt;&gt;"Lớp 5",MATCH("*",'Lớp 5 - Phân công'!$I$14:$I$262,0),T117+MATCH("*",INDEX('Lớp 5 - Phân công'!$I$14:$I$262,T117+1):'Lớp 5 - Phân công'!$I$262,0)),IF(S118="Lớp 4",IF(S117&lt;&gt;"Lớp 4",MATCH(1,INDEX(('Lớp 4 - Danh mục'!$I$14:$I$132&lt;&gt;"")*(COUNTIF('Lớp 5 - Phân công'!$J$14:$J$262,'Lớp 4 - Danh mục'!$I$14:$I$132)=0),0),0),T117+MATCH(1,INDEX((INDEX('Lớp 4 - Danh mục'!$I$14:$I$132,T117+1):'Lớp 4 - Danh mục'!$I$132&lt;&gt;"")*(COUNTIF('Lớp 5 - Phân công'!$J$14:$J$262,INDEX('Lớp 4 - Danh mục'!$I$14:$I$132,T117+1):'Lớp 4 - Danh mục'!$I$132)=0),0),0)),IF(S117&lt;&gt;"Lớp 3",MATCH(1,INDEX(('Lớp 3 - Công việc chính'!$I$14:$I$73&lt;&gt;"")*(COUNTIF('Lớp 4 - Danh mục'!$J$14:$J$132,'Lớp 3 - Công việc chính'!$I$14:$I$73)=0),0),0),T117+MATCH(1,INDEX((INDEX('Lớp 3 - Công việc chính'!$I$14:$I$73,T117+1):'Lớp 3 - Công việc chính'!$I$73&lt;&gt;"")*(COUNTIF('Lớp 4 - Danh mục'!$J$14:$J$132,INDEX('Lớp 3 - Công việc chính'!$I$14:$I$73,T117+1):'Lớp 3 - Công việc chính'!$I$73)=0),0),0)))))</f>
        <v>#REF!</v>
      </c>
      <c r="Z118" s="700" t="str">
        <f t="array" ref="Z118">IF($S118="","",IF($S118="Lớp 5",INDEX('Lớp 5 - Phân công'!$AS$14:$AS$262,$T118),IF($S118="Lớp 4",INDEX('Lớp 4 - Danh mục'!$AR$14:$AR$132,$T118),INDEX('Lớp 3 - Công việc chính'!$AO$14:$AO$73,$T118))))</f>
        <v>#REF!</v>
      </c>
      <c r="AA118" s="701" t="str">
        <f t="array" ref="AA118">IF($S118="","",IF($S118="Lớp 5",INDEX('Lớp 5 - Phân công'!$AT$14:$AT$262,$T118),IF($S118="Lớp 4",INDEX('Lớp 4 - Danh mục'!$AS$14:$AS$132,$T118),INDEX('Lớp 3 - Công việc chính'!$AP$14:$AP$73,$T118))))</f>
        <v>#REF!</v>
      </c>
      <c r="AB118" s="701" t="str">
        <f t="array" ref="AB118">IF($S118="","",IF($S118="Lớp 5",INDEX('Lớp 5 - Phân công'!$AJ$14:$AJ$262,$T118),IF($S118="Lớp 4",INDEX('Lớp 4 - Danh mục'!$AI$14:$AI$132,$T118),INDEX('Lớp 3 - Công việc chính'!$AF$14:$AF$73,$T118))))</f>
        <v>#REF!</v>
      </c>
      <c r="AC118" s="702" t="str">
        <f t="array" ref="AC118">IF($S118="","",IF($S118="Lớp 5",INDEX('Lớp 5 - Phân công'!$AV$14:$AV$262,$T118),IF($S118="Lớp 4",INDEX('Lớp 4 - Danh mục'!$AU$14:$AU$132,$T118),INDEX('Lớp 3 - Công việc chính'!$AR$14:$AR$73,$T118))))</f>
        <v>#REF!</v>
      </c>
    </row>
    <row r="119" ht="15.75" customHeight="1">
      <c r="A119" s="690" t="str">
        <f t="shared" si="1"/>
        <v>#REF!</v>
      </c>
      <c r="B119" s="690" t="str">
        <f t="array" ref="B119">IF($S119="","",IF($S119="Lớp 5",INDEX('Lớp 5 - Phân công'!$I$14:$I$262,$T119),IF($S119="Lớp 4",INDEX('Lớp 4 - Danh mục'!$I$14:$I$132,$T119),INDEX('Lớp 3 - Công việc chính'!$I$14:$I$73,$T119))))</f>
        <v>#REF!</v>
      </c>
      <c r="C119" s="690" t="str">
        <f t="array" ref="C119">IF($S119="","",IF($S119="Lớp 5",INDEX('Lớp 5 - Phân công'!$K$14:$K$262,$T119),IF($S119="Lớp 4",INDEX('Lớp 4 - Danh mục'!$J$14:$J$132,$T119),INDEX('Lớp 3 - Công việc chính'!$I$14:$I$73,$T119))))</f>
        <v>#REF!</v>
      </c>
      <c r="D119" s="690" t="str">
        <f t="array" ref="D119">IF($S119="","",IF($S119="Lớp 5",INDEX('Lớp 5 - Phân công'!$J$14:$J$262,$T119),IF($S119="Lớp 4",INDEX('Lớp 4 - Danh mục'!$I$14:$I$132,$T119),"")))</f>
        <v>#REF!</v>
      </c>
      <c r="E119" s="690" t="str">
        <f t="array" ref="E119">IF($S119="","",IF($S119="Lớp 5",INDEX('Lớp 5 - Phân công'!$L$14:$L$262,$T119),IF($S119="Lớp 4",INDEX('Lớp 4 - Danh mục'!$K$14:$K$132,$T119),INDEX('Lớp 3 - Công việc chính'!$J$14:$J$73,$T119))))</f>
        <v>#REF!</v>
      </c>
      <c r="F119" s="690" t="str">
        <f t="array" ref="F119">IF($S119="","",IF($S119="Lớp 5",INDEX('Lớp 5 - Phân công'!$M$14:$M$262,$T119),IF($S119="Lớp 4",INDEX('Lớp 4 - Danh mục'!$L$14:$L$132,$T119),INDEX('Lớp 3 - Công việc chính'!$K$14:$K$73,$T119))))</f>
        <v>#REF!</v>
      </c>
      <c r="G119" s="691" t="str">
        <f t="array" ref="G119">IF($S119="","",IF($S119="Lớp 5",INDEX('Lớp 5 - Phân công'!$N$14:$N$262,$T119),IF($S119="Lớp 4",INDEX('Lớp 4 - Danh mục'!$M$14:$M$132,$T119),INDEX('Lớp 3 - Công việc chính'!$L$14:$L$73,$T119))))</f>
        <v>#REF!</v>
      </c>
      <c r="H119" s="692" t="str">
        <f t="array" ref="H119">IF($S119="","",IF($S119="Lớp 5",INDEX('Lớp 5 - Phân công'!$O$14:$O$262,$T119),IF($S119="Lớp 4",INDEX('Lớp 4 - Danh mục'!$N$14:$N$132,$T119),INDEX('Lớp 3 - Công việc chính'!$M$14:$M$73,$T119))))</f>
        <v>#REF!</v>
      </c>
      <c r="I119" s="692" t="str">
        <f t="array" ref="I119">IF($S119="","",IF($S119="Lớp 5",INDEX('Lớp 5 - Phân công'!$P$14:$P$262,$T119),IF($S119="Lớp 4",INDEX('Lớp 4 - Danh mục'!$O$14:$O$132,$T119),"")))</f>
        <v>#REF!</v>
      </c>
      <c r="J119" s="693" t="str">
        <f t="array" ref="J119">IF($S119="","",IF($S119="Lớp 5",INDEX('Lớp 5 - Phân công'!$Q$14:$Q$262,$T119),""))</f>
        <v>#REF!</v>
      </c>
      <c r="K119" s="690" t="str">
        <f t="array" ref="K119">IF($S119="","",IF($S119="Lớp 5",INDEX('Lớp 5 - Phân công'!$AA$14:$AA$262,$T119),IF($S119="Lớp 4",INDEX('Lớp 4 - Danh mục'!$Y$14:$Y$132,$T119),INDEX('Lớp 3 - Công việc chính'!$U$14:$U$73,$T119))))</f>
        <v>#REF!</v>
      </c>
      <c r="L119" s="691" t="str">
        <f t="array" ref="L119">IF($S119="","",IF($S119="Lớp 5",INDEX('Lớp 5 - Phân công'!$Z$14:$Z$262,$T119),IF($S119="Lớp 4",INDEX('Lớp 4 - Danh mục'!$X$14:$X$132,$T119),INDEX('Lớp 3 - Công việc chính'!$W$14:$W$73,$T119))))</f>
        <v>#REF!</v>
      </c>
      <c r="M119" s="694" t="str">
        <f t="array" ref="M119">IF($S119="","",IF($S119="Lớp 5",INDEX('Lớp 5 - Phân công'!$AD$14:$AD$262,$T119),IF($S119="Lớp 4",INDEX('Lớp 4 - Danh mục'!$AC$14:$AC$132,$T119),INDEX('Lớp 3 - Công việc chính'!$Z$14:$Z$73,$T119))))</f>
        <v>#REF!</v>
      </c>
      <c r="N119" s="695" t="str">
        <f t="array" ref="N119">IF($S119="","",IF($S119="Lớp 5",INDEX('Lớp 5 - Phân công'!$AE$14:$AE$262,$T119),IF($S119="Lớp 4",INDEX('Lớp 4 - Danh mục'!$AD$14:$AD$132,$T119),INDEX('Lớp 3 - Công việc chính'!$AA$14:$AA$73,$T119))))</f>
        <v>#REF!</v>
      </c>
      <c r="O119" s="690" t="str">
        <f t="array" ref="O119">IF($S119="","",IF($S119="Lớp 5",INDEX('Lớp 5 - Phân công'!$AB$14:$AB$262,$T119),IF($S119="Lớp 4",INDEX('Lớp 4 - Danh mục'!$AA$14:$AA$132,$T119),INDEX('Lớp 3 - Công việc chính'!$X$14:$X$73,$T119))))</f>
        <v>#REF!</v>
      </c>
      <c r="P119" s="703" t="str">
        <f t="array" ref="P119">IF($S119="","",IF($S119="Lớp 5",INDEX('Lớp 5 - Phân công'!$AC$14:$AC$262,$T119),IF($S119="Lớp 4",INDEX('Lớp 4 - Danh mục'!$AB$14:$AB$132,$T119),INDEX('Lớp 3 - Công việc chính'!$Y$14:$Y$73,$T119))))</f>
        <v>#REF!</v>
      </c>
      <c r="Q119" s="697" t="str">
        <f t="array" ref="Q119">IF($S119="","",IF($S119="Lớp 5",INDEX('Lớp 5 - Phân công'!$AG$14:$AG$262,$T119),IF($S119="Lớp 4",INDEX('Lớp 4 - Danh mục'!$AF$14:$AF$132,$T119),INDEX('Lớp 3 - Công việc chính'!$AC$14:$AC$73,$T119))))</f>
        <v>#REF!</v>
      </c>
      <c r="R119" s="698" t="str">
        <f t="array" ref="R119">IF($S119="","",IF($S119="Lớp 5",INDEX('Lớp 5 - Phân công'!$X$14:$X$262,$T119),IF($S119="Lớp 4",INDEX('Lớp 4 - Danh mục'!$V$14:$V$132,$T119),INDEX('Lớp 3 - Công việc chính'!$T$14:$T$73,$T119))))</f>
        <v>#REF!</v>
      </c>
      <c r="S119" s="699" t="str">
        <f>IF(ROWS($S$14:S119)&lt;=COUNTIF('Lớp 5 - Phân công'!$I$14:$I$262,"&lt;&gt;"),"Lớp 5",IF(ROWS($S$14:S119)&lt;=COUNTIF('Lớp 5 - Phân công'!$I$14:$I$262,"&lt;&gt;")+SUMPRODUCT(--('Lớp 4 - Danh mục'!$I$14:$I$132&lt;&gt;""),--(COUNTIF('Lớp 5 - Phân công'!$J$14:$J$262,'Lớp 4 - Danh mục'!$I$14:$I$132)=0)),"Lớp 4",IF(ROWS($S$14:S119)&lt;=COUNTIF('Lớp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19" s="699" t="str">
        <f t="array" ref="T119">IF(S119="","",IF(S119="Lớp 5",IF(S118&lt;&gt;"Lớp 5",MATCH("*",'Lớp 5 - Phân công'!$I$14:$I$262,0),T118+MATCH("*",INDEX('Lớp 5 - Phân công'!$I$14:$I$262,T118+1):'Lớp 5 - Phân công'!$I$262,0)),IF(S119="Lớp 4",IF(S118&lt;&gt;"Lớp 4",MATCH(1,INDEX(('Lớp 4 - Danh mục'!$I$14:$I$132&lt;&gt;"")*(COUNTIF('Lớp 5 - Phân công'!$J$14:$J$262,'Lớp 4 - Danh mục'!$I$14:$I$132)=0),0),0),T118+MATCH(1,INDEX((INDEX('Lớp 4 - Danh mục'!$I$14:$I$132,T118+1):'Lớp 4 - Danh mục'!$I$132&lt;&gt;"")*(COUNTIF('Lớp 5 - Phân công'!$J$14:$J$262,INDEX('Lớp 4 - Danh mục'!$I$14:$I$132,T118+1):'Lớp 4 - Danh mục'!$I$132)=0),0),0)),IF(S118&lt;&gt;"Lớp 3",MATCH(1,INDEX(('Lớp 3 - Công việc chính'!$I$14:$I$73&lt;&gt;"")*(COUNTIF('Lớp 4 - Danh mục'!$J$14:$J$132,'Lớp 3 - Công việc chính'!$I$14:$I$73)=0),0),0),T118+MATCH(1,INDEX((INDEX('Lớp 3 - Công việc chính'!$I$14:$I$73,T118+1):'Lớp 3 - Công việc chính'!$I$73&lt;&gt;"")*(COUNTIF('Lớp 4 - Danh mục'!$J$14:$J$132,INDEX('Lớp 3 - Công việc chính'!$I$14:$I$73,T118+1):'Lớp 3 - Công việc chính'!$I$73)=0),0),0)))))</f>
        <v>#REF!</v>
      </c>
      <c r="Z119" s="700" t="str">
        <f t="array" ref="Z119">IF($S119="","",IF($S119="Lớp 5",INDEX('Lớp 5 - Phân công'!$AS$14:$AS$262,$T119),IF($S119="Lớp 4",INDEX('Lớp 4 - Danh mục'!$AR$14:$AR$132,$T119),INDEX('Lớp 3 - Công việc chính'!$AO$14:$AO$73,$T119))))</f>
        <v>#REF!</v>
      </c>
      <c r="AA119" s="701" t="str">
        <f t="array" ref="AA119">IF($S119="","",IF($S119="Lớp 5",INDEX('Lớp 5 - Phân công'!$AT$14:$AT$262,$T119),IF($S119="Lớp 4",INDEX('Lớp 4 - Danh mục'!$AS$14:$AS$132,$T119),INDEX('Lớp 3 - Công việc chính'!$AP$14:$AP$73,$T119))))</f>
        <v>#REF!</v>
      </c>
      <c r="AB119" s="701" t="str">
        <f t="array" ref="AB119">IF($S119="","",IF($S119="Lớp 5",INDEX('Lớp 5 - Phân công'!$AJ$14:$AJ$262,$T119),IF($S119="Lớp 4",INDEX('Lớp 4 - Danh mục'!$AI$14:$AI$132,$T119),INDEX('Lớp 3 - Công việc chính'!$AF$14:$AF$73,$T119))))</f>
        <v>#REF!</v>
      </c>
      <c r="AC119" s="702" t="str">
        <f t="array" ref="AC119">IF($S119="","",IF($S119="Lớp 5",INDEX('Lớp 5 - Phân công'!$AV$14:$AV$262,$T119),IF($S119="Lớp 4",INDEX('Lớp 4 - Danh mục'!$AU$14:$AU$132,$T119),INDEX('Lớp 3 - Công việc chính'!$AR$14:$AR$73,$T119))))</f>
        <v>#REF!</v>
      </c>
    </row>
    <row r="120" ht="15.75" customHeight="1">
      <c r="A120" s="690" t="str">
        <f t="shared" si="1"/>
        <v>#REF!</v>
      </c>
      <c r="B120" s="690" t="str">
        <f t="array" ref="B120">IF($S120="","",IF($S120="Lớp 5",INDEX('Lớp 5 - Phân công'!$I$14:$I$262,$T120),IF($S120="Lớp 4",INDEX('Lớp 4 - Danh mục'!$I$14:$I$132,$T120),INDEX('Lớp 3 - Công việc chính'!$I$14:$I$73,$T120))))</f>
        <v>#REF!</v>
      </c>
      <c r="C120" s="690" t="str">
        <f t="array" ref="C120">IF($S120="","",IF($S120="Lớp 5",INDEX('Lớp 5 - Phân công'!$K$14:$K$262,$T120),IF($S120="Lớp 4",INDEX('Lớp 4 - Danh mục'!$J$14:$J$132,$T120),INDEX('Lớp 3 - Công việc chính'!$I$14:$I$73,$T120))))</f>
        <v>#REF!</v>
      </c>
      <c r="D120" s="690" t="str">
        <f t="array" ref="D120">IF($S120="","",IF($S120="Lớp 5",INDEX('Lớp 5 - Phân công'!$J$14:$J$262,$T120),IF($S120="Lớp 4",INDEX('Lớp 4 - Danh mục'!$I$14:$I$132,$T120),"")))</f>
        <v>#REF!</v>
      </c>
      <c r="E120" s="690" t="str">
        <f t="array" ref="E120">IF($S120="","",IF($S120="Lớp 5",INDEX('Lớp 5 - Phân công'!$L$14:$L$262,$T120),IF($S120="Lớp 4",INDEX('Lớp 4 - Danh mục'!$K$14:$K$132,$T120),INDEX('Lớp 3 - Công việc chính'!$J$14:$J$73,$T120))))</f>
        <v>#REF!</v>
      </c>
      <c r="F120" s="690" t="str">
        <f t="array" ref="F120">IF($S120="","",IF($S120="Lớp 5",INDEX('Lớp 5 - Phân công'!$M$14:$M$262,$T120),IF($S120="Lớp 4",INDEX('Lớp 4 - Danh mục'!$L$14:$L$132,$T120),INDEX('Lớp 3 - Công việc chính'!$K$14:$K$73,$T120))))</f>
        <v>#REF!</v>
      </c>
      <c r="G120" s="691" t="str">
        <f t="array" ref="G120">IF($S120="","",IF($S120="Lớp 5",INDEX('Lớp 5 - Phân công'!$N$14:$N$262,$T120),IF($S120="Lớp 4",INDEX('Lớp 4 - Danh mục'!$M$14:$M$132,$T120),INDEX('Lớp 3 - Công việc chính'!$L$14:$L$73,$T120))))</f>
        <v>#REF!</v>
      </c>
      <c r="H120" s="692" t="str">
        <f t="array" ref="H120">IF($S120="","",IF($S120="Lớp 5",INDEX('Lớp 5 - Phân công'!$O$14:$O$262,$T120),IF($S120="Lớp 4",INDEX('Lớp 4 - Danh mục'!$N$14:$N$132,$T120),INDEX('Lớp 3 - Công việc chính'!$M$14:$M$73,$T120))))</f>
        <v>#REF!</v>
      </c>
      <c r="I120" s="692" t="str">
        <f t="array" ref="I120">IF($S120="","",IF($S120="Lớp 5",INDEX('Lớp 5 - Phân công'!$P$14:$P$262,$T120),IF($S120="Lớp 4",INDEX('Lớp 4 - Danh mục'!$O$14:$O$132,$T120),"")))</f>
        <v>#REF!</v>
      </c>
      <c r="J120" s="693" t="str">
        <f t="array" ref="J120">IF($S120="","",IF($S120="Lớp 5",INDEX('Lớp 5 - Phân công'!$Q$14:$Q$262,$T120),""))</f>
        <v>#REF!</v>
      </c>
      <c r="K120" s="690" t="str">
        <f t="array" ref="K120">IF($S120="","",IF($S120="Lớp 5",INDEX('Lớp 5 - Phân công'!$AA$14:$AA$262,$T120),IF($S120="Lớp 4",INDEX('Lớp 4 - Danh mục'!$Y$14:$Y$132,$T120),INDEX('Lớp 3 - Công việc chính'!$U$14:$U$73,$T120))))</f>
        <v>#REF!</v>
      </c>
      <c r="L120" s="691" t="str">
        <f t="array" ref="L120">IF($S120="","",IF($S120="Lớp 5",INDEX('Lớp 5 - Phân công'!$Z$14:$Z$262,$T120),IF($S120="Lớp 4",INDEX('Lớp 4 - Danh mục'!$X$14:$X$132,$T120),INDEX('Lớp 3 - Công việc chính'!$W$14:$W$73,$T120))))</f>
        <v>#REF!</v>
      </c>
      <c r="M120" s="694" t="str">
        <f t="array" ref="M120">IF($S120="","",IF($S120="Lớp 5",INDEX('Lớp 5 - Phân công'!$AD$14:$AD$262,$T120),IF($S120="Lớp 4",INDEX('Lớp 4 - Danh mục'!$AC$14:$AC$132,$T120),INDEX('Lớp 3 - Công việc chính'!$Z$14:$Z$73,$T120))))</f>
        <v>#REF!</v>
      </c>
      <c r="N120" s="695" t="str">
        <f t="array" ref="N120">IF($S120="","",IF($S120="Lớp 5",INDEX('Lớp 5 - Phân công'!$AE$14:$AE$262,$T120),IF($S120="Lớp 4",INDEX('Lớp 4 - Danh mục'!$AD$14:$AD$132,$T120),INDEX('Lớp 3 - Công việc chính'!$AA$14:$AA$73,$T120))))</f>
        <v>#REF!</v>
      </c>
      <c r="O120" s="690" t="str">
        <f t="array" ref="O120">IF($S120="","",IF($S120="Lớp 5",INDEX('Lớp 5 - Phân công'!$AB$14:$AB$262,$T120),IF($S120="Lớp 4",INDEX('Lớp 4 - Danh mục'!$AA$14:$AA$132,$T120),INDEX('Lớp 3 - Công việc chính'!$X$14:$X$73,$T120))))</f>
        <v>#REF!</v>
      </c>
      <c r="P120" s="703" t="str">
        <f t="array" ref="P120">IF($S120="","",IF($S120="Lớp 5",INDEX('Lớp 5 - Phân công'!$AC$14:$AC$262,$T120),IF($S120="Lớp 4",INDEX('Lớp 4 - Danh mục'!$AB$14:$AB$132,$T120),INDEX('Lớp 3 - Công việc chính'!$Y$14:$Y$73,$T120))))</f>
        <v>#REF!</v>
      </c>
      <c r="Q120" s="697" t="str">
        <f t="array" ref="Q120">IF($S120="","",IF($S120="Lớp 5",INDEX('Lớp 5 - Phân công'!$AG$14:$AG$262,$T120),IF($S120="Lớp 4",INDEX('Lớp 4 - Danh mục'!$AF$14:$AF$132,$T120),INDEX('Lớp 3 - Công việc chính'!$AC$14:$AC$73,$T120))))</f>
        <v>#REF!</v>
      </c>
      <c r="R120" s="698" t="str">
        <f t="array" ref="R120">IF($S120="","",IF($S120="Lớp 5",INDEX('Lớp 5 - Phân công'!$X$14:$X$262,$T120),IF($S120="Lớp 4",INDEX('Lớp 4 - Danh mục'!$V$14:$V$132,$T120),INDEX('Lớp 3 - Công việc chính'!$T$14:$T$73,$T120))))</f>
        <v>#REF!</v>
      </c>
      <c r="S120" s="699" t="str">
        <f>IF(ROWS($S$14:S120)&lt;=COUNTIF('Lớp 5 - Phân công'!$I$14:$I$262,"&lt;&gt;"),"Lớp 5",IF(ROWS($S$14:S120)&lt;=COUNTIF('Lớp 5 - Phân công'!$I$14:$I$262,"&lt;&gt;")+SUMPRODUCT(--('Lớp 4 - Danh mục'!$I$14:$I$132&lt;&gt;""),--(COUNTIF('Lớp 5 - Phân công'!$J$14:$J$262,'Lớp 4 - Danh mục'!$I$14:$I$132)=0)),"Lớp 4",IF(ROWS($S$14:S120)&lt;=COUNTIF('Lớp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0" s="699" t="str">
        <f t="array" ref="T120">IF(S120="","",IF(S120="Lớp 5",IF(S119&lt;&gt;"Lớp 5",MATCH("*",'Lớp 5 - Phân công'!$I$14:$I$262,0),T119+MATCH("*",INDEX('Lớp 5 - Phân công'!$I$14:$I$262,T119+1):'Lớp 5 - Phân công'!$I$262,0)),IF(S120="Lớp 4",IF(S119&lt;&gt;"Lớp 4",MATCH(1,INDEX(('Lớp 4 - Danh mục'!$I$14:$I$132&lt;&gt;"")*(COUNTIF('Lớp 5 - Phân công'!$J$14:$J$262,'Lớp 4 - Danh mục'!$I$14:$I$132)=0),0),0),T119+MATCH(1,INDEX((INDEX('Lớp 4 - Danh mục'!$I$14:$I$132,T119+1):'Lớp 4 - Danh mục'!$I$132&lt;&gt;"")*(COUNTIF('Lớp 5 - Phân công'!$J$14:$J$262,INDEX('Lớp 4 - Danh mục'!$I$14:$I$132,T119+1):'Lớp 4 - Danh mục'!$I$132)=0),0),0)),IF(S119&lt;&gt;"Lớp 3",MATCH(1,INDEX(('Lớp 3 - Công việc chính'!$I$14:$I$73&lt;&gt;"")*(COUNTIF('Lớp 4 - Danh mục'!$J$14:$J$132,'Lớp 3 - Công việc chính'!$I$14:$I$73)=0),0),0),T119+MATCH(1,INDEX((INDEX('Lớp 3 - Công việc chính'!$I$14:$I$73,T119+1):'Lớp 3 - Công việc chính'!$I$73&lt;&gt;"")*(COUNTIF('Lớp 4 - Danh mục'!$J$14:$J$132,INDEX('Lớp 3 - Công việc chính'!$I$14:$I$73,T119+1):'Lớp 3 - Công việc chính'!$I$73)=0),0),0)))))</f>
        <v>#REF!</v>
      </c>
      <c r="Z120" s="700" t="str">
        <f t="array" ref="Z120">IF($S120="","",IF($S120="Lớp 5",INDEX('Lớp 5 - Phân công'!$AS$14:$AS$262,$T120),IF($S120="Lớp 4",INDEX('Lớp 4 - Danh mục'!$AR$14:$AR$132,$T120),INDEX('Lớp 3 - Công việc chính'!$AO$14:$AO$73,$T120))))</f>
        <v>#REF!</v>
      </c>
      <c r="AA120" s="701" t="str">
        <f t="array" ref="AA120">IF($S120="","",IF($S120="Lớp 5",INDEX('Lớp 5 - Phân công'!$AT$14:$AT$262,$T120),IF($S120="Lớp 4",INDEX('Lớp 4 - Danh mục'!$AS$14:$AS$132,$T120),INDEX('Lớp 3 - Công việc chính'!$AP$14:$AP$73,$T120))))</f>
        <v>#REF!</v>
      </c>
      <c r="AB120" s="701" t="str">
        <f t="array" ref="AB120">IF($S120="","",IF($S120="Lớp 5",INDEX('Lớp 5 - Phân công'!$AJ$14:$AJ$262,$T120),IF($S120="Lớp 4",INDEX('Lớp 4 - Danh mục'!$AI$14:$AI$132,$T120),INDEX('Lớp 3 - Công việc chính'!$AF$14:$AF$73,$T120))))</f>
        <v>#REF!</v>
      </c>
      <c r="AC120" s="702" t="str">
        <f t="array" ref="AC120">IF($S120="","",IF($S120="Lớp 5",INDEX('Lớp 5 - Phân công'!$AV$14:$AV$262,$T120),IF($S120="Lớp 4",INDEX('Lớp 4 - Danh mục'!$AU$14:$AU$132,$T120),INDEX('Lớp 3 - Công việc chính'!$AR$14:$AR$73,$T120))))</f>
        <v>#REF!</v>
      </c>
    </row>
    <row r="121" ht="15.75" customHeight="1">
      <c r="A121" s="690" t="str">
        <f t="shared" si="1"/>
        <v>#REF!</v>
      </c>
      <c r="B121" s="690" t="str">
        <f t="array" ref="B121">IF($S121="","",IF($S121="Lớp 5",INDEX('Lớp 5 - Phân công'!$I$14:$I$262,$T121),IF($S121="Lớp 4",INDEX('Lớp 4 - Danh mục'!$I$14:$I$132,$T121),INDEX('Lớp 3 - Công việc chính'!$I$14:$I$73,$T121))))</f>
        <v>#REF!</v>
      </c>
      <c r="C121" s="690" t="str">
        <f t="array" ref="C121">IF($S121="","",IF($S121="Lớp 5",INDEX('Lớp 5 - Phân công'!$K$14:$K$262,$T121),IF($S121="Lớp 4",INDEX('Lớp 4 - Danh mục'!$J$14:$J$132,$T121),INDEX('Lớp 3 - Công việc chính'!$I$14:$I$73,$T121))))</f>
        <v>#REF!</v>
      </c>
      <c r="D121" s="690" t="str">
        <f t="array" ref="D121">IF($S121="","",IF($S121="Lớp 5",INDEX('Lớp 5 - Phân công'!$J$14:$J$262,$T121),IF($S121="Lớp 4",INDEX('Lớp 4 - Danh mục'!$I$14:$I$132,$T121),"")))</f>
        <v>#REF!</v>
      </c>
      <c r="E121" s="690" t="str">
        <f t="array" ref="E121">IF($S121="","",IF($S121="Lớp 5",INDEX('Lớp 5 - Phân công'!$L$14:$L$262,$T121),IF($S121="Lớp 4",INDEX('Lớp 4 - Danh mục'!$K$14:$K$132,$T121),INDEX('Lớp 3 - Công việc chính'!$J$14:$J$73,$T121))))</f>
        <v>#REF!</v>
      </c>
      <c r="F121" s="690" t="str">
        <f t="array" ref="F121">IF($S121="","",IF($S121="Lớp 5",INDEX('Lớp 5 - Phân công'!$M$14:$M$262,$T121),IF($S121="Lớp 4",INDEX('Lớp 4 - Danh mục'!$L$14:$L$132,$T121),INDEX('Lớp 3 - Công việc chính'!$K$14:$K$73,$T121))))</f>
        <v>#REF!</v>
      </c>
      <c r="G121" s="691" t="str">
        <f t="array" ref="G121">IF($S121="","",IF($S121="Lớp 5",INDEX('Lớp 5 - Phân công'!$N$14:$N$262,$T121),IF($S121="Lớp 4",INDEX('Lớp 4 - Danh mục'!$M$14:$M$132,$T121),INDEX('Lớp 3 - Công việc chính'!$L$14:$L$73,$T121))))</f>
        <v>#REF!</v>
      </c>
      <c r="H121" s="692" t="str">
        <f t="array" ref="H121">IF($S121="","",IF($S121="Lớp 5",INDEX('Lớp 5 - Phân công'!$O$14:$O$262,$T121),IF($S121="Lớp 4",INDEX('Lớp 4 - Danh mục'!$N$14:$N$132,$T121),INDEX('Lớp 3 - Công việc chính'!$M$14:$M$73,$T121))))</f>
        <v>#REF!</v>
      </c>
      <c r="I121" s="692" t="str">
        <f t="array" ref="I121">IF($S121="","",IF($S121="Lớp 5",INDEX('Lớp 5 - Phân công'!$P$14:$P$262,$T121),IF($S121="Lớp 4",INDEX('Lớp 4 - Danh mục'!$O$14:$O$132,$T121),"")))</f>
        <v>#REF!</v>
      </c>
      <c r="J121" s="693" t="str">
        <f t="array" ref="J121">IF($S121="","",IF($S121="Lớp 5",INDEX('Lớp 5 - Phân công'!$Q$14:$Q$262,$T121),""))</f>
        <v>#REF!</v>
      </c>
      <c r="K121" s="690" t="str">
        <f t="array" ref="K121">IF($S121="","",IF($S121="Lớp 5",INDEX('Lớp 5 - Phân công'!$AA$14:$AA$262,$T121),IF($S121="Lớp 4",INDEX('Lớp 4 - Danh mục'!$Y$14:$Y$132,$T121),INDEX('Lớp 3 - Công việc chính'!$U$14:$U$73,$T121))))</f>
        <v>#REF!</v>
      </c>
      <c r="L121" s="691" t="str">
        <f t="array" ref="L121">IF($S121="","",IF($S121="Lớp 5",INDEX('Lớp 5 - Phân công'!$Z$14:$Z$262,$T121),IF($S121="Lớp 4",INDEX('Lớp 4 - Danh mục'!$X$14:$X$132,$T121),INDEX('Lớp 3 - Công việc chính'!$W$14:$W$73,$T121))))</f>
        <v>#REF!</v>
      </c>
      <c r="M121" s="694" t="str">
        <f t="array" ref="M121">IF($S121="","",IF($S121="Lớp 5",INDEX('Lớp 5 - Phân công'!$AD$14:$AD$262,$T121),IF($S121="Lớp 4",INDEX('Lớp 4 - Danh mục'!$AC$14:$AC$132,$T121),INDEX('Lớp 3 - Công việc chính'!$Z$14:$Z$73,$T121))))</f>
        <v>#REF!</v>
      </c>
      <c r="N121" s="695" t="str">
        <f t="array" ref="N121">IF($S121="","",IF($S121="Lớp 5",INDEX('Lớp 5 - Phân công'!$AE$14:$AE$262,$T121),IF($S121="Lớp 4",INDEX('Lớp 4 - Danh mục'!$AD$14:$AD$132,$T121),INDEX('Lớp 3 - Công việc chính'!$AA$14:$AA$73,$T121))))</f>
        <v>#REF!</v>
      </c>
      <c r="O121" s="690" t="str">
        <f t="array" ref="O121">IF($S121="","",IF($S121="Lớp 5",INDEX('Lớp 5 - Phân công'!$AB$14:$AB$262,$T121),IF($S121="Lớp 4",INDEX('Lớp 4 - Danh mục'!$AA$14:$AA$132,$T121),INDEX('Lớp 3 - Công việc chính'!$X$14:$X$73,$T121))))</f>
        <v>#REF!</v>
      </c>
      <c r="P121" s="703" t="str">
        <f t="array" ref="P121">IF($S121="","",IF($S121="Lớp 5",INDEX('Lớp 5 - Phân công'!$AC$14:$AC$262,$T121),IF($S121="Lớp 4",INDEX('Lớp 4 - Danh mục'!$AB$14:$AB$132,$T121),INDEX('Lớp 3 - Công việc chính'!$Y$14:$Y$73,$T121))))</f>
        <v>#REF!</v>
      </c>
      <c r="Q121" s="697" t="str">
        <f t="array" ref="Q121">IF($S121="","",IF($S121="Lớp 5",INDEX('Lớp 5 - Phân công'!$AG$14:$AG$262,$T121),IF($S121="Lớp 4",INDEX('Lớp 4 - Danh mục'!$AF$14:$AF$132,$T121),INDEX('Lớp 3 - Công việc chính'!$AC$14:$AC$73,$T121))))</f>
        <v>#REF!</v>
      </c>
      <c r="R121" s="698" t="str">
        <f t="array" ref="R121">IF($S121="","",IF($S121="Lớp 5",INDEX('Lớp 5 - Phân công'!$X$14:$X$262,$T121),IF($S121="Lớp 4",INDEX('Lớp 4 - Danh mục'!$V$14:$V$132,$T121),INDEX('Lớp 3 - Công việc chính'!$T$14:$T$73,$T121))))</f>
        <v>#REF!</v>
      </c>
      <c r="S121" s="699" t="str">
        <f>IF(ROWS($S$14:S121)&lt;=COUNTIF('Lớp 5 - Phân công'!$I$14:$I$262,"&lt;&gt;"),"Lớp 5",IF(ROWS($S$14:S121)&lt;=COUNTIF('Lớp 5 - Phân công'!$I$14:$I$262,"&lt;&gt;")+SUMPRODUCT(--('Lớp 4 - Danh mục'!$I$14:$I$132&lt;&gt;""),--(COUNTIF('Lớp 5 - Phân công'!$J$14:$J$262,'Lớp 4 - Danh mục'!$I$14:$I$132)=0)),"Lớp 4",IF(ROWS($S$14:S121)&lt;=COUNTIF('Lớp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1" s="699" t="str">
        <f t="array" ref="T121">IF(S121="","",IF(S121="Lớp 5",IF(S120&lt;&gt;"Lớp 5",MATCH("*",'Lớp 5 - Phân công'!$I$14:$I$262,0),T120+MATCH("*",INDEX('Lớp 5 - Phân công'!$I$14:$I$262,T120+1):'Lớp 5 - Phân công'!$I$262,0)),IF(S121="Lớp 4",IF(S120&lt;&gt;"Lớp 4",MATCH(1,INDEX(('Lớp 4 - Danh mục'!$I$14:$I$132&lt;&gt;"")*(COUNTIF('Lớp 5 - Phân công'!$J$14:$J$262,'Lớp 4 - Danh mục'!$I$14:$I$132)=0),0),0),T120+MATCH(1,INDEX((INDEX('Lớp 4 - Danh mục'!$I$14:$I$132,T120+1):'Lớp 4 - Danh mục'!$I$132&lt;&gt;"")*(COUNTIF('Lớp 5 - Phân công'!$J$14:$J$262,INDEX('Lớp 4 - Danh mục'!$I$14:$I$132,T120+1):'Lớp 4 - Danh mục'!$I$132)=0),0),0)),IF(S120&lt;&gt;"Lớp 3",MATCH(1,INDEX(('Lớp 3 - Công việc chính'!$I$14:$I$73&lt;&gt;"")*(COUNTIF('Lớp 4 - Danh mục'!$J$14:$J$132,'Lớp 3 - Công việc chính'!$I$14:$I$73)=0),0),0),T120+MATCH(1,INDEX((INDEX('Lớp 3 - Công việc chính'!$I$14:$I$73,T120+1):'Lớp 3 - Công việc chính'!$I$73&lt;&gt;"")*(COUNTIF('Lớp 4 - Danh mục'!$J$14:$J$132,INDEX('Lớp 3 - Công việc chính'!$I$14:$I$73,T120+1):'Lớp 3 - Công việc chính'!$I$73)=0),0),0)))))</f>
        <v>#REF!</v>
      </c>
      <c r="Z121" s="700" t="str">
        <f t="array" ref="Z121">IF($S121="","",IF($S121="Lớp 5",INDEX('Lớp 5 - Phân công'!$AS$14:$AS$262,$T121),IF($S121="Lớp 4",INDEX('Lớp 4 - Danh mục'!$AR$14:$AR$132,$T121),INDEX('Lớp 3 - Công việc chính'!$AO$14:$AO$73,$T121))))</f>
        <v>#REF!</v>
      </c>
      <c r="AA121" s="701" t="str">
        <f t="array" ref="AA121">IF($S121="","",IF($S121="Lớp 5",INDEX('Lớp 5 - Phân công'!$AT$14:$AT$262,$T121),IF($S121="Lớp 4",INDEX('Lớp 4 - Danh mục'!$AS$14:$AS$132,$T121),INDEX('Lớp 3 - Công việc chính'!$AP$14:$AP$73,$T121))))</f>
        <v>#REF!</v>
      </c>
      <c r="AB121" s="701" t="str">
        <f t="array" ref="AB121">IF($S121="","",IF($S121="Lớp 5",INDEX('Lớp 5 - Phân công'!$AJ$14:$AJ$262,$T121),IF($S121="Lớp 4",INDEX('Lớp 4 - Danh mục'!$AI$14:$AI$132,$T121),INDEX('Lớp 3 - Công việc chính'!$AF$14:$AF$73,$T121))))</f>
        <v>#REF!</v>
      </c>
      <c r="AC121" s="702" t="str">
        <f t="array" ref="AC121">IF($S121="","",IF($S121="Lớp 5",INDEX('Lớp 5 - Phân công'!$AV$14:$AV$262,$T121),IF($S121="Lớp 4",INDEX('Lớp 4 - Danh mục'!$AU$14:$AU$132,$T121),INDEX('Lớp 3 - Công việc chính'!$AR$14:$AR$73,$T121))))</f>
        <v>#REF!</v>
      </c>
    </row>
    <row r="122" ht="15.75" customHeight="1">
      <c r="A122" s="690" t="str">
        <f t="shared" si="1"/>
        <v>#REF!</v>
      </c>
      <c r="B122" s="690" t="str">
        <f t="array" ref="B122">IF($S122="","",IF($S122="Lớp 5",INDEX('Lớp 5 - Phân công'!$I$14:$I$262,$T122),IF($S122="Lớp 4",INDEX('Lớp 4 - Danh mục'!$I$14:$I$132,$T122),INDEX('Lớp 3 - Công việc chính'!$I$14:$I$73,$T122))))</f>
        <v>#REF!</v>
      </c>
      <c r="C122" s="690" t="str">
        <f t="array" ref="C122">IF($S122="","",IF($S122="Lớp 5",INDEX('Lớp 5 - Phân công'!$K$14:$K$262,$T122),IF($S122="Lớp 4",INDEX('Lớp 4 - Danh mục'!$J$14:$J$132,$T122),INDEX('Lớp 3 - Công việc chính'!$I$14:$I$73,$T122))))</f>
        <v>#REF!</v>
      </c>
      <c r="D122" s="690" t="str">
        <f t="array" ref="D122">IF($S122="","",IF($S122="Lớp 5",INDEX('Lớp 5 - Phân công'!$J$14:$J$262,$T122),IF($S122="Lớp 4",INDEX('Lớp 4 - Danh mục'!$I$14:$I$132,$T122),"")))</f>
        <v>#REF!</v>
      </c>
      <c r="E122" s="690" t="str">
        <f t="array" ref="E122">IF($S122="","",IF($S122="Lớp 5",INDEX('Lớp 5 - Phân công'!$L$14:$L$262,$T122),IF($S122="Lớp 4",INDEX('Lớp 4 - Danh mục'!$K$14:$K$132,$T122),INDEX('Lớp 3 - Công việc chính'!$J$14:$J$73,$T122))))</f>
        <v>#REF!</v>
      </c>
      <c r="F122" s="690" t="str">
        <f t="array" ref="F122">IF($S122="","",IF($S122="Lớp 5",INDEX('Lớp 5 - Phân công'!$M$14:$M$262,$T122),IF($S122="Lớp 4",INDEX('Lớp 4 - Danh mục'!$L$14:$L$132,$T122),INDEX('Lớp 3 - Công việc chính'!$K$14:$K$73,$T122))))</f>
        <v>#REF!</v>
      </c>
      <c r="G122" s="691" t="str">
        <f t="array" ref="G122">IF($S122="","",IF($S122="Lớp 5",INDEX('Lớp 5 - Phân công'!$N$14:$N$262,$T122),IF($S122="Lớp 4",INDEX('Lớp 4 - Danh mục'!$M$14:$M$132,$T122),INDEX('Lớp 3 - Công việc chính'!$L$14:$L$73,$T122))))</f>
        <v>#REF!</v>
      </c>
      <c r="H122" s="692" t="str">
        <f t="array" ref="H122">IF($S122="","",IF($S122="Lớp 5",INDEX('Lớp 5 - Phân công'!$O$14:$O$262,$T122),IF($S122="Lớp 4",INDEX('Lớp 4 - Danh mục'!$N$14:$N$132,$T122),INDEX('Lớp 3 - Công việc chính'!$M$14:$M$73,$T122))))</f>
        <v>#REF!</v>
      </c>
      <c r="I122" s="692" t="str">
        <f t="array" ref="I122">IF($S122="","",IF($S122="Lớp 5",INDEX('Lớp 5 - Phân công'!$P$14:$P$262,$T122),IF($S122="Lớp 4",INDEX('Lớp 4 - Danh mục'!$O$14:$O$132,$T122),"")))</f>
        <v>#REF!</v>
      </c>
      <c r="J122" s="693" t="str">
        <f t="array" ref="J122">IF($S122="","",IF($S122="Lớp 5",INDEX('Lớp 5 - Phân công'!$Q$14:$Q$262,$T122),""))</f>
        <v>#REF!</v>
      </c>
      <c r="K122" s="690" t="str">
        <f t="array" ref="K122">IF($S122="","",IF($S122="Lớp 5",INDEX('Lớp 5 - Phân công'!$AA$14:$AA$262,$T122),IF($S122="Lớp 4",INDEX('Lớp 4 - Danh mục'!$Y$14:$Y$132,$T122),INDEX('Lớp 3 - Công việc chính'!$U$14:$U$73,$T122))))</f>
        <v>#REF!</v>
      </c>
      <c r="L122" s="691" t="str">
        <f t="array" ref="L122">IF($S122="","",IF($S122="Lớp 5",INDEX('Lớp 5 - Phân công'!$Z$14:$Z$262,$T122),IF($S122="Lớp 4",INDEX('Lớp 4 - Danh mục'!$X$14:$X$132,$T122),INDEX('Lớp 3 - Công việc chính'!$W$14:$W$73,$T122))))</f>
        <v>#REF!</v>
      </c>
      <c r="M122" s="694" t="str">
        <f t="array" ref="M122">IF($S122="","",IF($S122="Lớp 5",INDEX('Lớp 5 - Phân công'!$AD$14:$AD$262,$T122),IF($S122="Lớp 4",INDEX('Lớp 4 - Danh mục'!$AC$14:$AC$132,$T122),INDEX('Lớp 3 - Công việc chính'!$Z$14:$Z$73,$T122))))</f>
        <v>#REF!</v>
      </c>
      <c r="N122" s="695" t="str">
        <f t="array" ref="N122">IF($S122="","",IF($S122="Lớp 5",INDEX('Lớp 5 - Phân công'!$AE$14:$AE$262,$T122),IF($S122="Lớp 4",INDEX('Lớp 4 - Danh mục'!$AD$14:$AD$132,$T122),INDEX('Lớp 3 - Công việc chính'!$AA$14:$AA$73,$T122))))</f>
        <v>#REF!</v>
      </c>
      <c r="O122" s="690" t="str">
        <f t="array" ref="O122">IF($S122="","",IF($S122="Lớp 5",INDEX('Lớp 5 - Phân công'!$AB$14:$AB$262,$T122),IF($S122="Lớp 4",INDEX('Lớp 4 - Danh mục'!$AA$14:$AA$132,$T122),INDEX('Lớp 3 - Công việc chính'!$X$14:$X$73,$T122))))</f>
        <v>#REF!</v>
      </c>
      <c r="P122" s="703" t="str">
        <f t="array" ref="P122">IF($S122="","",IF($S122="Lớp 5",INDEX('Lớp 5 - Phân công'!$AC$14:$AC$262,$T122),IF($S122="Lớp 4",INDEX('Lớp 4 - Danh mục'!$AB$14:$AB$132,$T122),INDEX('Lớp 3 - Công việc chính'!$Y$14:$Y$73,$T122))))</f>
        <v>#REF!</v>
      </c>
      <c r="Q122" s="697" t="str">
        <f t="array" ref="Q122">IF($S122="","",IF($S122="Lớp 5",INDEX('Lớp 5 - Phân công'!$AG$14:$AG$262,$T122),IF($S122="Lớp 4",INDEX('Lớp 4 - Danh mục'!$AF$14:$AF$132,$T122),INDEX('Lớp 3 - Công việc chính'!$AC$14:$AC$73,$T122))))</f>
        <v>#REF!</v>
      </c>
      <c r="R122" s="698" t="str">
        <f t="array" ref="R122">IF($S122="","",IF($S122="Lớp 5",INDEX('Lớp 5 - Phân công'!$X$14:$X$262,$T122),IF($S122="Lớp 4",INDEX('Lớp 4 - Danh mục'!$V$14:$V$132,$T122),INDEX('Lớp 3 - Công việc chính'!$T$14:$T$73,$T122))))</f>
        <v>#REF!</v>
      </c>
      <c r="S122" s="699" t="str">
        <f>IF(ROWS($S$14:S122)&lt;=COUNTIF('Lớp 5 - Phân công'!$I$14:$I$262,"&lt;&gt;"),"Lớp 5",IF(ROWS($S$14:S122)&lt;=COUNTIF('Lớp 5 - Phân công'!$I$14:$I$262,"&lt;&gt;")+SUMPRODUCT(--('Lớp 4 - Danh mục'!$I$14:$I$132&lt;&gt;""),--(COUNTIF('Lớp 5 - Phân công'!$J$14:$J$262,'Lớp 4 - Danh mục'!$I$14:$I$132)=0)),"Lớp 4",IF(ROWS($S$14:S122)&lt;=COUNTIF('Lớp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2" s="699" t="str">
        <f t="array" ref="T122">IF(S122="","",IF(S122="Lớp 5",IF(S121&lt;&gt;"Lớp 5",MATCH("*",'Lớp 5 - Phân công'!$I$14:$I$262,0),T121+MATCH("*",INDEX('Lớp 5 - Phân công'!$I$14:$I$262,T121+1):'Lớp 5 - Phân công'!$I$262,0)),IF(S122="Lớp 4",IF(S121&lt;&gt;"Lớp 4",MATCH(1,INDEX(('Lớp 4 - Danh mục'!$I$14:$I$132&lt;&gt;"")*(COUNTIF('Lớp 5 - Phân công'!$J$14:$J$262,'Lớp 4 - Danh mục'!$I$14:$I$132)=0),0),0),T121+MATCH(1,INDEX((INDEX('Lớp 4 - Danh mục'!$I$14:$I$132,T121+1):'Lớp 4 - Danh mục'!$I$132&lt;&gt;"")*(COUNTIF('Lớp 5 - Phân công'!$J$14:$J$262,INDEX('Lớp 4 - Danh mục'!$I$14:$I$132,T121+1):'Lớp 4 - Danh mục'!$I$132)=0),0),0)),IF(S121&lt;&gt;"Lớp 3",MATCH(1,INDEX(('Lớp 3 - Công việc chính'!$I$14:$I$73&lt;&gt;"")*(COUNTIF('Lớp 4 - Danh mục'!$J$14:$J$132,'Lớp 3 - Công việc chính'!$I$14:$I$73)=0),0),0),T121+MATCH(1,INDEX((INDEX('Lớp 3 - Công việc chính'!$I$14:$I$73,T121+1):'Lớp 3 - Công việc chính'!$I$73&lt;&gt;"")*(COUNTIF('Lớp 4 - Danh mục'!$J$14:$J$132,INDEX('Lớp 3 - Công việc chính'!$I$14:$I$73,T121+1):'Lớp 3 - Công việc chính'!$I$73)=0),0),0)))))</f>
        <v>#REF!</v>
      </c>
      <c r="Z122" s="700" t="str">
        <f t="array" ref="Z122">IF($S122="","",IF($S122="Lớp 5",INDEX('Lớp 5 - Phân công'!$AS$14:$AS$262,$T122),IF($S122="Lớp 4",INDEX('Lớp 4 - Danh mục'!$AR$14:$AR$132,$T122),INDEX('Lớp 3 - Công việc chính'!$AO$14:$AO$73,$T122))))</f>
        <v>#REF!</v>
      </c>
      <c r="AA122" s="701" t="str">
        <f t="array" ref="AA122">IF($S122="","",IF($S122="Lớp 5",INDEX('Lớp 5 - Phân công'!$AT$14:$AT$262,$T122),IF($S122="Lớp 4",INDEX('Lớp 4 - Danh mục'!$AS$14:$AS$132,$T122),INDEX('Lớp 3 - Công việc chính'!$AP$14:$AP$73,$T122))))</f>
        <v>#REF!</v>
      </c>
      <c r="AB122" s="701" t="str">
        <f t="array" ref="AB122">IF($S122="","",IF($S122="Lớp 5",INDEX('Lớp 5 - Phân công'!$AJ$14:$AJ$262,$T122),IF($S122="Lớp 4",INDEX('Lớp 4 - Danh mục'!$AI$14:$AI$132,$T122),INDEX('Lớp 3 - Công việc chính'!$AF$14:$AF$73,$T122))))</f>
        <v>#REF!</v>
      </c>
      <c r="AC122" s="702" t="str">
        <f t="array" ref="AC122">IF($S122="","",IF($S122="Lớp 5",INDEX('Lớp 5 - Phân công'!$AV$14:$AV$262,$T122),IF($S122="Lớp 4",INDEX('Lớp 4 - Danh mục'!$AU$14:$AU$132,$T122),INDEX('Lớp 3 - Công việc chính'!$AR$14:$AR$73,$T122))))</f>
        <v>#REF!</v>
      </c>
    </row>
    <row r="123" ht="15.75" customHeight="1">
      <c r="A123" s="690" t="str">
        <f t="shared" si="1"/>
        <v>#REF!</v>
      </c>
      <c r="B123" s="690" t="str">
        <f t="array" ref="B123">IF($S123="","",IF($S123="Lớp 5",INDEX('Lớp 5 - Phân công'!$I$14:$I$262,$T123),IF($S123="Lớp 4",INDEX('Lớp 4 - Danh mục'!$I$14:$I$132,$T123),INDEX('Lớp 3 - Công việc chính'!$I$14:$I$73,$T123))))</f>
        <v>#REF!</v>
      </c>
      <c r="C123" s="690" t="str">
        <f t="array" ref="C123">IF($S123="","",IF($S123="Lớp 5",INDEX('Lớp 5 - Phân công'!$K$14:$K$262,$T123),IF($S123="Lớp 4",INDEX('Lớp 4 - Danh mục'!$J$14:$J$132,$T123),INDEX('Lớp 3 - Công việc chính'!$I$14:$I$73,$T123))))</f>
        <v>#REF!</v>
      </c>
      <c r="D123" s="690" t="str">
        <f t="array" ref="D123">IF($S123="","",IF($S123="Lớp 5",INDEX('Lớp 5 - Phân công'!$J$14:$J$262,$T123),IF($S123="Lớp 4",INDEX('Lớp 4 - Danh mục'!$I$14:$I$132,$T123),"")))</f>
        <v>#REF!</v>
      </c>
      <c r="E123" s="690" t="str">
        <f t="array" ref="E123">IF($S123="","",IF($S123="Lớp 5",INDEX('Lớp 5 - Phân công'!$L$14:$L$262,$T123),IF($S123="Lớp 4",INDEX('Lớp 4 - Danh mục'!$K$14:$K$132,$T123),INDEX('Lớp 3 - Công việc chính'!$J$14:$J$73,$T123))))</f>
        <v>#REF!</v>
      </c>
      <c r="F123" s="690" t="str">
        <f t="array" ref="F123">IF($S123="","",IF($S123="Lớp 5",INDEX('Lớp 5 - Phân công'!$M$14:$M$262,$T123),IF($S123="Lớp 4",INDEX('Lớp 4 - Danh mục'!$L$14:$L$132,$T123),INDEX('Lớp 3 - Công việc chính'!$K$14:$K$73,$T123))))</f>
        <v>#REF!</v>
      </c>
      <c r="G123" s="691" t="str">
        <f t="array" ref="G123">IF($S123="","",IF($S123="Lớp 5",INDEX('Lớp 5 - Phân công'!$N$14:$N$262,$T123),IF($S123="Lớp 4",INDEX('Lớp 4 - Danh mục'!$M$14:$M$132,$T123),INDEX('Lớp 3 - Công việc chính'!$L$14:$L$73,$T123))))</f>
        <v>#REF!</v>
      </c>
      <c r="H123" s="692" t="str">
        <f t="array" ref="H123">IF($S123="","",IF($S123="Lớp 5",INDEX('Lớp 5 - Phân công'!$O$14:$O$262,$T123),IF($S123="Lớp 4",INDEX('Lớp 4 - Danh mục'!$N$14:$N$132,$T123),INDEX('Lớp 3 - Công việc chính'!$M$14:$M$73,$T123))))</f>
        <v>#REF!</v>
      </c>
      <c r="I123" s="692" t="str">
        <f t="array" ref="I123">IF($S123="","",IF($S123="Lớp 5",INDEX('Lớp 5 - Phân công'!$P$14:$P$262,$T123),IF($S123="Lớp 4",INDEX('Lớp 4 - Danh mục'!$O$14:$O$132,$T123),"")))</f>
        <v>#REF!</v>
      </c>
      <c r="J123" s="693" t="str">
        <f t="array" ref="J123">IF($S123="","",IF($S123="Lớp 5",INDEX('Lớp 5 - Phân công'!$Q$14:$Q$262,$T123),""))</f>
        <v>#REF!</v>
      </c>
      <c r="K123" s="690" t="str">
        <f t="array" ref="K123">IF($S123="","",IF($S123="Lớp 5",INDEX('Lớp 5 - Phân công'!$AA$14:$AA$262,$T123),IF($S123="Lớp 4",INDEX('Lớp 4 - Danh mục'!$Y$14:$Y$132,$T123),INDEX('Lớp 3 - Công việc chính'!$U$14:$U$73,$T123))))</f>
        <v>#REF!</v>
      </c>
      <c r="L123" s="691" t="str">
        <f t="array" ref="L123">IF($S123="","",IF($S123="Lớp 5",INDEX('Lớp 5 - Phân công'!$Z$14:$Z$262,$T123),IF($S123="Lớp 4",INDEX('Lớp 4 - Danh mục'!$X$14:$X$132,$T123),INDEX('Lớp 3 - Công việc chính'!$W$14:$W$73,$T123))))</f>
        <v>#REF!</v>
      </c>
      <c r="M123" s="694" t="str">
        <f t="array" ref="M123">IF($S123="","",IF($S123="Lớp 5",INDEX('Lớp 5 - Phân công'!$AD$14:$AD$262,$T123),IF($S123="Lớp 4",INDEX('Lớp 4 - Danh mục'!$AC$14:$AC$132,$T123),INDEX('Lớp 3 - Công việc chính'!$Z$14:$Z$73,$T123))))</f>
        <v>#REF!</v>
      </c>
      <c r="N123" s="695" t="str">
        <f t="array" ref="N123">IF($S123="","",IF($S123="Lớp 5",INDEX('Lớp 5 - Phân công'!$AE$14:$AE$262,$T123),IF($S123="Lớp 4",INDEX('Lớp 4 - Danh mục'!$AD$14:$AD$132,$T123),INDEX('Lớp 3 - Công việc chính'!$AA$14:$AA$73,$T123))))</f>
        <v>#REF!</v>
      </c>
      <c r="O123" s="690" t="str">
        <f t="array" ref="O123">IF($S123="","",IF($S123="Lớp 5",INDEX('Lớp 5 - Phân công'!$AB$14:$AB$262,$T123),IF($S123="Lớp 4",INDEX('Lớp 4 - Danh mục'!$AA$14:$AA$132,$T123),INDEX('Lớp 3 - Công việc chính'!$X$14:$X$73,$T123))))</f>
        <v>#REF!</v>
      </c>
      <c r="P123" s="703" t="str">
        <f t="array" ref="P123">IF($S123="","",IF($S123="Lớp 5",INDEX('Lớp 5 - Phân công'!$AC$14:$AC$262,$T123),IF($S123="Lớp 4",INDEX('Lớp 4 - Danh mục'!$AB$14:$AB$132,$T123),INDEX('Lớp 3 - Công việc chính'!$Y$14:$Y$73,$T123))))</f>
        <v>#REF!</v>
      </c>
      <c r="Q123" s="697" t="str">
        <f t="array" ref="Q123">IF($S123="","",IF($S123="Lớp 5",INDEX('Lớp 5 - Phân công'!$AG$14:$AG$262,$T123),IF($S123="Lớp 4",INDEX('Lớp 4 - Danh mục'!$AF$14:$AF$132,$T123),INDEX('Lớp 3 - Công việc chính'!$AC$14:$AC$73,$T123))))</f>
        <v>#REF!</v>
      </c>
      <c r="R123" s="698" t="str">
        <f t="array" ref="R123">IF($S123="","",IF($S123="Lớp 5",INDEX('Lớp 5 - Phân công'!$X$14:$X$262,$T123),IF($S123="Lớp 4",INDEX('Lớp 4 - Danh mục'!$V$14:$V$132,$T123),INDEX('Lớp 3 - Công việc chính'!$T$14:$T$73,$T123))))</f>
        <v>#REF!</v>
      </c>
      <c r="S123" s="699" t="str">
        <f>IF(ROWS($S$14:S123)&lt;=COUNTIF('Lớp 5 - Phân công'!$I$14:$I$262,"&lt;&gt;"),"Lớp 5",IF(ROWS($S$14:S123)&lt;=COUNTIF('Lớp 5 - Phân công'!$I$14:$I$262,"&lt;&gt;")+SUMPRODUCT(--('Lớp 4 - Danh mục'!$I$14:$I$132&lt;&gt;""),--(COUNTIF('Lớp 5 - Phân công'!$J$14:$J$262,'Lớp 4 - Danh mục'!$I$14:$I$132)=0)),"Lớp 4",IF(ROWS($S$14:S123)&lt;=COUNTIF('Lớp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3" s="699" t="str">
        <f t="array" ref="T123">IF(S123="","",IF(S123="Lớp 5",IF(S122&lt;&gt;"Lớp 5",MATCH("*",'Lớp 5 - Phân công'!$I$14:$I$262,0),T122+MATCH("*",INDEX('Lớp 5 - Phân công'!$I$14:$I$262,T122+1):'Lớp 5 - Phân công'!$I$262,0)),IF(S123="Lớp 4",IF(S122&lt;&gt;"Lớp 4",MATCH(1,INDEX(('Lớp 4 - Danh mục'!$I$14:$I$132&lt;&gt;"")*(COUNTIF('Lớp 5 - Phân công'!$J$14:$J$262,'Lớp 4 - Danh mục'!$I$14:$I$132)=0),0),0),T122+MATCH(1,INDEX((INDEX('Lớp 4 - Danh mục'!$I$14:$I$132,T122+1):'Lớp 4 - Danh mục'!$I$132&lt;&gt;"")*(COUNTIF('Lớp 5 - Phân công'!$J$14:$J$262,INDEX('Lớp 4 - Danh mục'!$I$14:$I$132,T122+1):'Lớp 4 - Danh mục'!$I$132)=0),0),0)),IF(S122&lt;&gt;"Lớp 3",MATCH(1,INDEX(('Lớp 3 - Công việc chính'!$I$14:$I$73&lt;&gt;"")*(COUNTIF('Lớp 4 - Danh mục'!$J$14:$J$132,'Lớp 3 - Công việc chính'!$I$14:$I$73)=0),0),0),T122+MATCH(1,INDEX((INDEX('Lớp 3 - Công việc chính'!$I$14:$I$73,T122+1):'Lớp 3 - Công việc chính'!$I$73&lt;&gt;"")*(COUNTIF('Lớp 4 - Danh mục'!$J$14:$J$132,INDEX('Lớp 3 - Công việc chính'!$I$14:$I$73,T122+1):'Lớp 3 - Công việc chính'!$I$73)=0),0),0)))))</f>
        <v>#REF!</v>
      </c>
      <c r="Z123" s="700" t="str">
        <f t="array" ref="Z123">IF($S123="","",IF($S123="Lớp 5",INDEX('Lớp 5 - Phân công'!$AS$14:$AS$262,$T123),IF($S123="Lớp 4",INDEX('Lớp 4 - Danh mục'!$AR$14:$AR$132,$T123),INDEX('Lớp 3 - Công việc chính'!$AO$14:$AO$73,$T123))))</f>
        <v>#REF!</v>
      </c>
      <c r="AA123" s="701" t="str">
        <f t="array" ref="AA123">IF($S123="","",IF($S123="Lớp 5",INDEX('Lớp 5 - Phân công'!$AT$14:$AT$262,$T123),IF($S123="Lớp 4",INDEX('Lớp 4 - Danh mục'!$AS$14:$AS$132,$T123),INDEX('Lớp 3 - Công việc chính'!$AP$14:$AP$73,$T123))))</f>
        <v>#REF!</v>
      </c>
      <c r="AB123" s="701" t="str">
        <f t="array" ref="AB123">IF($S123="","",IF($S123="Lớp 5",INDEX('Lớp 5 - Phân công'!$AJ$14:$AJ$262,$T123),IF($S123="Lớp 4",INDEX('Lớp 4 - Danh mục'!$AI$14:$AI$132,$T123),INDEX('Lớp 3 - Công việc chính'!$AF$14:$AF$73,$T123))))</f>
        <v>#REF!</v>
      </c>
      <c r="AC123" s="702" t="str">
        <f t="array" ref="AC123">IF($S123="","",IF($S123="Lớp 5",INDEX('Lớp 5 - Phân công'!$AV$14:$AV$262,$T123),IF($S123="Lớp 4",INDEX('Lớp 4 - Danh mục'!$AU$14:$AU$132,$T123),INDEX('Lớp 3 - Công việc chính'!$AR$14:$AR$73,$T123))))</f>
        <v>#REF!</v>
      </c>
    </row>
    <row r="124" ht="15.75" customHeight="1">
      <c r="A124" s="690" t="str">
        <f t="shared" si="1"/>
        <v>#REF!</v>
      </c>
      <c r="B124" s="690" t="str">
        <f t="array" ref="B124">IF($S124="","",IF($S124="Lớp 5",INDEX('Lớp 5 - Phân công'!$I$14:$I$262,$T124),IF($S124="Lớp 4",INDEX('Lớp 4 - Danh mục'!$I$14:$I$132,$T124),INDEX('Lớp 3 - Công việc chính'!$I$14:$I$73,$T124))))</f>
        <v>#REF!</v>
      </c>
      <c r="C124" s="690" t="str">
        <f t="array" ref="C124">IF($S124="","",IF($S124="Lớp 5",INDEX('Lớp 5 - Phân công'!$K$14:$K$262,$T124),IF($S124="Lớp 4",INDEX('Lớp 4 - Danh mục'!$J$14:$J$132,$T124),INDEX('Lớp 3 - Công việc chính'!$I$14:$I$73,$T124))))</f>
        <v>#REF!</v>
      </c>
      <c r="D124" s="690" t="str">
        <f t="array" ref="D124">IF($S124="","",IF($S124="Lớp 5",INDEX('Lớp 5 - Phân công'!$J$14:$J$262,$T124),IF($S124="Lớp 4",INDEX('Lớp 4 - Danh mục'!$I$14:$I$132,$T124),"")))</f>
        <v>#REF!</v>
      </c>
      <c r="E124" s="690" t="str">
        <f t="array" ref="E124">IF($S124="","",IF($S124="Lớp 5",INDEX('Lớp 5 - Phân công'!$L$14:$L$262,$T124),IF($S124="Lớp 4",INDEX('Lớp 4 - Danh mục'!$K$14:$K$132,$T124),INDEX('Lớp 3 - Công việc chính'!$J$14:$J$73,$T124))))</f>
        <v>#REF!</v>
      </c>
      <c r="F124" s="690" t="str">
        <f t="array" ref="F124">IF($S124="","",IF($S124="Lớp 5",INDEX('Lớp 5 - Phân công'!$M$14:$M$262,$T124),IF($S124="Lớp 4",INDEX('Lớp 4 - Danh mục'!$L$14:$L$132,$T124),INDEX('Lớp 3 - Công việc chính'!$K$14:$K$73,$T124))))</f>
        <v>#REF!</v>
      </c>
      <c r="G124" s="691" t="str">
        <f t="array" ref="G124">IF($S124="","",IF($S124="Lớp 5",INDEX('Lớp 5 - Phân công'!$N$14:$N$262,$T124),IF($S124="Lớp 4",INDEX('Lớp 4 - Danh mục'!$M$14:$M$132,$T124),INDEX('Lớp 3 - Công việc chính'!$L$14:$L$73,$T124))))</f>
        <v>#REF!</v>
      </c>
      <c r="H124" s="692" t="str">
        <f t="array" ref="H124">IF($S124="","",IF($S124="Lớp 5",INDEX('Lớp 5 - Phân công'!$O$14:$O$262,$T124),IF($S124="Lớp 4",INDEX('Lớp 4 - Danh mục'!$N$14:$N$132,$T124),INDEX('Lớp 3 - Công việc chính'!$M$14:$M$73,$T124))))</f>
        <v>#REF!</v>
      </c>
      <c r="I124" s="692" t="str">
        <f t="array" ref="I124">IF($S124="","",IF($S124="Lớp 5",INDEX('Lớp 5 - Phân công'!$P$14:$P$262,$T124),IF($S124="Lớp 4",INDEX('Lớp 4 - Danh mục'!$O$14:$O$132,$T124),"")))</f>
        <v>#REF!</v>
      </c>
      <c r="J124" s="693" t="str">
        <f t="array" ref="J124">IF($S124="","",IF($S124="Lớp 5",INDEX('Lớp 5 - Phân công'!$Q$14:$Q$262,$T124),""))</f>
        <v>#REF!</v>
      </c>
      <c r="K124" s="690" t="str">
        <f t="array" ref="K124">IF($S124="","",IF($S124="Lớp 5",INDEX('Lớp 5 - Phân công'!$AA$14:$AA$262,$T124),IF($S124="Lớp 4",INDEX('Lớp 4 - Danh mục'!$Y$14:$Y$132,$T124),INDEX('Lớp 3 - Công việc chính'!$U$14:$U$73,$T124))))</f>
        <v>#REF!</v>
      </c>
      <c r="L124" s="691" t="str">
        <f t="array" ref="L124">IF($S124="","",IF($S124="Lớp 5",INDEX('Lớp 5 - Phân công'!$Z$14:$Z$262,$T124),IF($S124="Lớp 4",INDEX('Lớp 4 - Danh mục'!$X$14:$X$132,$T124),INDEX('Lớp 3 - Công việc chính'!$W$14:$W$73,$T124))))</f>
        <v>#REF!</v>
      </c>
      <c r="M124" s="694" t="str">
        <f t="array" ref="M124">IF($S124="","",IF($S124="Lớp 5",INDEX('Lớp 5 - Phân công'!$AD$14:$AD$262,$T124),IF($S124="Lớp 4",INDEX('Lớp 4 - Danh mục'!$AC$14:$AC$132,$T124),INDEX('Lớp 3 - Công việc chính'!$Z$14:$Z$73,$T124))))</f>
        <v>#REF!</v>
      </c>
      <c r="N124" s="695" t="str">
        <f t="array" ref="N124">IF($S124="","",IF($S124="Lớp 5",INDEX('Lớp 5 - Phân công'!$AE$14:$AE$262,$T124),IF($S124="Lớp 4",INDEX('Lớp 4 - Danh mục'!$AD$14:$AD$132,$T124),INDEX('Lớp 3 - Công việc chính'!$AA$14:$AA$73,$T124))))</f>
        <v>#REF!</v>
      </c>
      <c r="O124" s="690" t="str">
        <f t="array" ref="O124">IF($S124="","",IF($S124="Lớp 5",INDEX('Lớp 5 - Phân công'!$AB$14:$AB$262,$T124),IF($S124="Lớp 4",INDEX('Lớp 4 - Danh mục'!$AA$14:$AA$132,$T124),INDEX('Lớp 3 - Công việc chính'!$X$14:$X$73,$T124))))</f>
        <v>#REF!</v>
      </c>
      <c r="P124" s="703" t="str">
        <f t="array" ref="P124">IF($S124="","",IF($S124="Lớp 5",INDEX('Lớp 5 - Phân công'!$AC$14:$AC$262,$T124),IF($S124="Lớp 4",INDEX('Lớp 4 - Danh mục'!$AB$14:$AB$132,$T124),INDEX('Lớp 3 - Công việc chính'!$Y$14:$Y$73,$T124))))</f>
        <v>#REF!</v>
      </c>
      <c r="Q124" s="697" t="str">
        <f t="array" ref="Q124">IF($S124="","",IF($S124="Lớp 5",INDEX('Lớp 5 - Phân công'!$AG$14:$AG$262,$T124),IF($S124="Lớp 4",INDEX('Lớp 4 - Danh mục'!$AF$14:$AF$132,$T124),INDEX('Lớp 3 - Công việc chính'!$AC$14:$AC$73,$T124))))</f>
        <v>#REF!</v>
      </c>
      <c r="R124" s="698" t="str">
        <f t="array" ref="R124">IF($S124="","",IF($S124="Lớp 5",INDEX('Lớp 5 - Phân công'!$X$14:$X$262,$T124),IF($S124="Lớp 4",INDEX('Lớp 4 - Danh mục'!$V$14:$V$132,$T124),INDEX('Lớp 3 - Công việc chính'!$T$14:$T$73,$T124))))</f>
        <v>#REF!</v>
      </c>
      <c r="S124" s="699" t="str">
        <f>IF(ROWS($S$14:S124)&lt;=COUNTIF('Lớp 5 - Phân công'!$I$14:$I$262,"&lt;&gt;"),"Lớp 5",IF(ROWS($S$14:S124)&lt;=COUNTIF('Lớp 5 - Phân công'!$I$14:$I$262,"&lt;&gt;")+SUMPRODUCT(--('Lớp 4 - Danh mục'!$I$14:$I$132&lt;&gt;""),--(COUNTIF('Lớp 5 - Phân công'!$J$14:$J$262,'Lớp 4 - Danh mục'!$I$14:$I$132)=0)),"Lớp 4",IF(ROWS($S$14:S124)&lt;=COUNTIF('Lớp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4" s="699" t="str">
        <f t="array" ref="T124">IF(S124="","",IF(S124="Lớp 5",IF(S123&lt;&gt;"Lớp 5",MATCH("*",'Lớp 5 - Phân công'!$I$14:$I$262,0),T123+MATCH("*",INDEX('Lớp 5 - Phân công'!$I$14:$I$262,T123+1):'Lớp 5 - Phân công'!$I$262,0)),IF(S124="Lớp 4",IF(S123&lt;&gt;"Lớp 4",MATCH(1,INDEX(('Lớp 4 - Danh mục'!$I$14:$I$132&lt;&gt;"")*(COUNTIF('Lớp 5 - Phân công'!$J$14:$J$262,'Lớp 4 - Danh mục'!$I$14:$I$132)=0),0),0),T123+MATCH(1,INDEX((INDEX('Lớp 4 - Danh mục'!$I$14:$I$132,T123+1):'Lớp 4 - Danh mục'!$I$132&lt;&gt;"")*(COUNTIF('Lớp 5 - Phân công'!$J$14:$J$262,INDEX('Lớp 4 - Danh mục'!$I$14:$I$132,T123+1):'Lớp 4 - Danh mục'!$I$132)=0),0),0)),IF(S123&lt;&gt;"Lớp 3",MATCH(1,INDEX(('Lớp 3 - Công việc chính'!$I$14:$I$73&lt;&gt;"")*(COUNTIF('Lớp 4 - Danh mục'!$J$14:$J$132,'Lớp 3 - Công việc chính'!$I$14:$I$73)=0),0),0),T123+MATCH(1,INDEX((INDEX('Lớp 3 - Công việc chính'!$I$14:$I$73,T123+1):'Lớp 3 - Công việc chính'!$I$73&lt;&gt;"")*(COUNTIF('Lớp 4 - Danh mục'!$J$14:$J$132,INDEX('Lớp 3 - Công việc chính'!$I$14:$I$73,T123+1):'Lớp 3 - Công việc chính'!$I$73)=0),0),0)))))</f>
        <v>#REF!</v>
      </c>
      <c r="Z124" s="700" t="str">
        <f t="array" ref="Z124">IF($S124="","",IF($S124="Lớp 5",INDEX('Lớp 5 - Phân công'!$AS$14:$AS$262,$T124),IF($S124="Lớp 4",INDEX('Lớp 4 - Danh mục'!$AR$14:$AR$132,$T124),INDEX('Lớp 3 - Công việc chính'!$AO$14:$AO$73,$T124))))</f>
        <v>#REF!</v>
      </c>
      <c r="AA124" s="701" t="str">
        <f t="array" ref="AA124">IF($S124="","",IF($S124="Lớp 5",INDEX('Lớp 5 - Phân công'!$AT$14:$AT$262,$T124),IF($S124="Lớp 4",INDEX('Lớp 4 - Danh mục'!$AS$14:$AS$132,$T124),INDEX('Lớp 3 - Công việc chính'!$AP$14:$AP$73,$T124))))</f>
        <v>#REF!</v>
      </c>
      <c r="AB124" s="701" t="str">
        <f t="array" ref="AB124">IF($S124="","",IF($S124="Lớp 5",INDEX('Lớp 5 - Phân công'!$AJ$14:$AJ$262,$T124),IF($S124="Lớp 4",INDEX('Lớp 4 - Danh mục'!$AI$14:$AI$132,$T124),INDEX('Lớp 3 - Công việc chính'!$AF$14:$AF$73,$T124))))</f>
        <v>#REF!</v>
      </c>
      <c r="AC124" s="702" t="str">
        <f t="array" ref="AC124">IF($S124="","",IF($S124="Lớp 5",INDEX('Lớp 5 - Phân công'!$AV$14:$AV$262,$T124),IF($S124="Lớp 4",INDEX('Lớp 4 - Danh mục'!$AU$14:$AU$132,$T124),INDEX('Lớp 3 - Công việc chính'!$AR$14:$AR$73,$T124))))</f>
        <v>#REF!</v>
      </c>
    </row>
    <row r="125" ht="15.75" customHeight="1">
      <c r="A125" s="690" t="str">
        <f t="shared" si="1"/>
        <v>#REF!</v>
      </c>
      <c r="B125" s="690" t="str">
        <f t="array" ref="B125">IF($S125="","",IF($S125="Lớp 5",INDEX('Lớp 5 - Phân công'!$I$14:$I$262,$T125),IF($S125="Lớp 4",INDEX('Lớp 4 - Danh mục'!$I$14:$I$132,$T125),INDEX('Lớp 3 - Công việc chính'!$I$14:$I$73,$T125))))</f>
        <v>#REF!</v>
      </c>
      <c r="C125" s="690" t="str">
        <f t="array" ref="C125">IF($S125="","",IF($S125="Lớp 5",INDEX('Lớp 5 - Phân công'!$K$14:$K$262,$T125),IF($S125="Lớp 4",INDEX('Lớp 4 - Danh mục'!$J$14:$J$132,$T125),INDEX('Lớp 3 - Công việc chính'!$I$14:$I$73,$T125))))</f>
        <v>#REF!</v>
      </c>
      <c r="D125" s="690" t="str">
        <f t="array" ref="D125">IF($S125="","",IF($S125="Lớp 5",INDEX('Lớp 5 - Phân công'!$J$14:$J$262,$T125),IF($S125="Lớp 4",INDEX('Lớp 4 - Danh mục'!$I$14:$I$132,$T125),"")))</f>
        <v>#REF!</v>
      </c>
      <c r="E125" s="690" t="str">
        <f t="array" ref="E125">IF($S125="","",IF($S125="Lớp 5",INDEX('Lớp 5 - Phân công'!$L$14:$L$262,$T125),IF($S125="Lớp 4",INDEX('Lớp 4 - Danh mục'!$K$14:$K$132,$T125),INDEX('Lớp 3 - Công việc chính'!$J$14:$J$73,$T125))))</f>
        <v>#REF!</v>
      </c>
      <c r="F125" s="690" t="str">
        <f t="array" ref="F125">IF($S125="","",IF($S125="Lớp 5",INDEX('Lớp 5 - Phân công'!$M$14:$M$262,$T125),IF($S125="Lớp 4",INDEX('Lớp 4 - Danh mục'!$L$14:$L$132,$T125),INDEX('Lớp 3 - Công việc chính'!$K$14:$K$73,$T125))))</f>
        <v>#REF!</v>
      </c>
      <c r="G125" s="691" t="str">
        <f t="array" ref="G125">IF($S125="","",IF($S125="Lớp 5",INDEX('Lớp 5 - Phân công'!$N$14:$N$262,$T125),IF($S125="Lớp 4",INDEX('Lớp 4 - Danh mục'!$M$14:$M$132,$T125),INDEX('Lớp 3 - Công việc chính'!$L$14:$L$73,$T125))))</f>
        <v>#REF!</v>
      </c>
      <c r="H125" s="692" t="str">
        <f t="array" ref="H125">IF($S125="","",IF($S125="Lớp 5",INDEX('Lớp 5 - Phân công'!$O$14:$O$262,$T125),IF($S125="Lớp 4",INDEX('Lớp 4 - Danh mục'!$N$14:$N$132,$T125),INDEX('Lớp 3 - Công việc chính'!$M$14:$M$73,$T125))))</f>
        <v>#REF!</v>
      </c>
      <c r="I125" s="692" t="str">
        <f t="array" ref="I125">IF($S125="","",IF($S125="Lớp 5",INDEX('Lớp 5 - Phân công'!$P$14:$P$262,$T125),IF($S125="Lớp 4",INDEX('Lớp 4 - Danh mục'!$O$14:$O$132,$T125),"")))</f>
        <v>#REF!</v>
      </c>
      <c r="J125" s="693" t="str">
        <f t="array" ref="J125">IF($S125="","",IF($S125="Lớp 5",INDEX('Lớp 5 - Phân công'!$Q$14:$Q$262,$T125),""))</f>
        <v>#REF!</v>
      </c>
      <c r="K125" s="690" t="str">
        <f t="array" ref="K125">IF($S125="","",IF($S125="Lớp 5",INDEX('Lớp 5 - Phân công'!$AA$14:$AA$262,$T125),IF($S125="Lớp 4",INDEX('Lớp 4 - Danh mục'!$Y$14:$Y$132,$T125),INDEX('Lớp 3 - Công việc chính'!$U$14:$U$73,$T125))))</f>
        <v>#REF!</v>
      </c>
      <c r="L125" s="691" t="str">
        <f t="array" ref="L125">IF($S125="","",IF($S125="Lớp 5",INDEX('Lớp 5 - Phân công'!$Z$14:$Z$262,$T125),IF($S125="Lớp 4",INDEX('Lớp 4 - Danh mục'!$X$14:$X$132,$T125),INDEX('Lớp 3 - Công việc chính'!$W$14:$W$73,$T125))))</f>
        <v>#REF!</v>
      </c>
      <c r="M125" s="694" t="str">
        <f t="array" ref="M125">IF($S125="","",IF($S125="Lớp 5",INDEX('Lớp 5 - Phân công'!$AD$14:$AD$262,$T125),IF($S125="Lớp 4",INDEX('Lớp 4 - Danh mục'!$AC$14:$AC$132,$T125),INDEX('Lớp 3 - Công việc chính'!$Z$14:$Z$73,$T125))))</f>
        <v>#REF!</v>
      </c>
      <c r="N125" s="695" t="str">
        <f t="array" ref="N125">IF($S125="","",IF($S125="Lớp 5",INDEX('Lớp 5 - Phân công'!$AE$14:$AE$262,$T125),IF($S125="Lớp 4",INDEX('Lớp 4 - Danh mục'!$AD$14:$AD$132,$T125),INDEX('Lớp 3 - Công việc chính'!$AA$14:$AA$73,$T125))))</f>
        <v>#REF!</v>
      </c>
      <c r="O125" s="690" t="str">
        <f t="array" ref="O125">IF($S125="","",IF($S125="Lớp 5",INDEX('Lớp 5 - Phân công'!$AB$14:$AB$262,$T125),IF($S125="Lớp 4",INDEX('Lớp 4 - Danh mục'!$AA$14:$AA$132,$T125),INDEX('Lớp 3 - Công việc chính'!$X$14:$X$73,$T125))))</f>
        <v>#REF!</v>
      </c>
      <c r="P125" s="703" t="str">
        <f t="array" ref="P125">IF($S125="","",IF($S125="Lớp 5",INDEX('Lớp 5 - Phân công'!$AC$14:$AC$262,$T125),IF($S125="Lớp 4",INDEX('Lớp 4 - Danh mục'!$AB$14:$AB$132,$T125),INDEX('Lớp 3 - Công việc chính'!$Y$14:$Y$73,$T125))))</f>
        <v>#REF!</v>
      </c>
      <c r="Q125" s="697" t="str">
        <f t="array" ref="Q125">IF($S125="","",IF($S125="Lớp 5",INDEX('Lớp 5 - Phân công'!$AG$14:$AG$262,$T125),IF($S125="Lớp 4",INDEX('Lớp 4 - Danh mục'!$AF$14:$AF$132,$T125),INDEX('Lớp 3 - Công việc chính'!$AC$14:$AC$73,$T125))))</f>
        <v>#REF!</v>
      </c>
      <c r="R125" s="698" t="str">
        <f t="array" ref="R125">IF($S125="","",IF($S125="Lớp 5",INDEX('Lớp 5 - Phân công'!$X$14:$X$262,$T125),IF($S125="Lớp 4",INDEX('Lớp 4 - Danh mục'!$V$14:$V$132,$T125),INDEX('Lớp 3 - Công việc chính'!$T$14:$T$73,$T125))))</f>
        <v>#REF!</v>
      </c>
      <c r="S125" s="699" t="str">
        <f>IF(ROWS($S$14:S125)&lt;=COUNTIF('Lớp 5 - Phân công'!$I$14:$I$262,"&lt;&gt;"),"Lớp 5",IF(ROWS($S$14:S125)&lt;=COUNTIF('Lớp 5 - Phân công'!$I$14:$I$262,"&lt;&gt;")+SUMPRODUCT(--('Lớp 4 - Danh mục'!$I$14:$I$132&lt;&gt;""),--(COUNTIF('Lớp 5 - Phân công'!$J$14:$J$262,'Lớp 4 - Danh mục'!$I$14:$I$132)=0)),"Lớp 4",IF(ROWS($S$14:S125)&lt;=COUNTIF('Lớp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5" s="699" t="str">
        <f t="array" ref="T125">IF(S125="","",IF(S125="Lớp 5",IF(S124&lt;&gt;"Lớp 5",MATCH("*",'Lớp 5 - Phân công'!$I$14:$I$262,0),T124+MATCH("*",INDEX('Lớp 5 - Phân công'!$I$14:$I$262,T124+1):'Lớp 5 - Phân công'!$I$262,0)),IF(S125="Lớp 4",IF(S124&lt;&gt;"Lớp 4",MATCH(1,INDEX(('Lớp 4 - Danh mục'!$I$14:$I$132&lt;&gt;"")*(COUNTIF('Lớp 5 - Phân công'!$J$14:$J$262,'Lớp 4 - Danh mục'!$I$14:$I$132)=0),0),0),T124+MATCH(1,INDEX((INDEX('Lớp 4 - Danh mục'!$I$14:$I$132,T124+1):'Lớp 4 - Danh mục'!$I$132&lt;&gt;"")*(COUNTIF('Lớp 5 - Phân công'!$J$14:$J$262,INDEX('Lớp 4 - Danh mục'!$I$14:$I$132,T124+1):'Lớp 4 - Danh mục'!$I$132)=0),0),0)),IF(S124&lt;&gt;"Lớp 3",MATCH(1,INDEX(('Lớp 3 - Công việc chính'!$I$14:$I$73&lt;&gt;"")*(COUNTIF('Lớp 4 - Danh mục'!$J$14:$J$132,'Lớp 3 - Công việc chính'!$I$14:$I$73)=0),0),0),T124+MATCH(1,INDEX((INDEX('Lớp 3 - Công việc chính'!$I$14:$I$73,T124+1):'Lớp 3 - Công việc chính'!$I$73&lt;&gt;"")*(COUNTIF('Lớp 4 - Danh mục'!$J$14:$J$132,INDEX('Lớp 3 - Công việc chính'!$I$14:$I$73,T124+1):'Lớp 3 - Công việc chính'!$I$73)=0),0),0)))))</f>
        <v>#REF!</v>
      </c>
      <c r="Z125" s="700" t="str">
        <f t="array" ref="Z125">IF($S125="","",IF($S125="Lớp 5",INDEX('Lớp 5 - Phân công'!$AS$14:$AS$262,$T125),IF($S125="Lớp 4",INDEX('Lớp 4 - Danh mục'!$AR$14:$AR$132,$T125),INDEX('Lớp 3 - Công việc chính'!$AO$14:$AO$73,$T125))))</f>
        <v>#REF!</v>
      </c>
      <c r="AA125" s="701" t="str">
        <f t="array" ref="AA125">IF($S125="","",IF($S125="Lớp 5",INDEX('Lớp 5 - Phân công'!$AT$14:$AT$262,$T125),IF($S125="Lớp 4",INDEX('Lớp 4 - Danh mục'!$AS$14:$AS$132,$T125),INDEX('Lớp 3 - Công việc chính'!$AP$14:$AP$73,$T125))))</f>
        <v>#REF!</v>
      </c>
      <c r="AB125" s="701" t="str">
        <f t="array" ref="AB125">IF($S125="","",IF($S125="Lớp 5",INDEX('Lớp 5 - Phân công'!$AJ$14:$AJ$262,$T125),IF($S125="Lớp 4",INDEX('Lớp 4 - Danh mục'!$AI$14:$AI$132,$T125),INDEX('Lớp 3 - Công việc chính'!$AF$14:$AF$73,$T125))))</f>
        <v>#REF!</v>
      </c>
      <c r="AC125" s="702" t="str">
        <f t="array" ref="AC125">IF($S125="","",IF($S125="Lớp 5",INDEX('Lớp 5 - Phân công'!$AV$14:$AV$262,$T125),IF($S125="Lớp 4",INDEX('Lớp 4 - Danh mục'!$AU$14:$AU$132,$T125),INDEX('Lớp 3 - Công việc chính'!$AR$14:$AR$73,$T125))))</f>
        <v>#REF!</v>
      </c>
    </row>
    <row r="126" ht="15.75" customHeight="1">
      <c r="A126" s="690" t="str">
        <f t="shared" si="1"/>
        <v>#REF!</v>
      </c>
      <c r="B126" s="690" t="str">
        <f t="array" ref="B126">IF($S126="","",IF($S126="Lớp 5",INDEX('Lớp 5 - Phân công'!$I$14:$I$262,$T126),IF($S126="Lớp 4",INDEX('Lớp 4 - Danh mục'!$I$14:$I$132,$T126),INDEX('Lớp 3 - Công việc chính'!$I$14:$I$73,$T126))))</f>
        <v>#REF!</v>
      </c>
      <c r="C126" s="690" t="str">
        <f t="array" ref="C126">IF($S126="","",IF($S126="Lớp 5",INDEX('Lớp 5 - Phân công'!$K$14:$K$262,$T126),IF($S126="Lớp 4",INDEX('Lớp 4 - Danh mục'!$J$14:$J$132,$T126),INDEX('Lớp 3 - Công việc chính'!$I$14:$I$73,$T126))))</f>
        <v>#REF!</v>
      </c>
      <c r="D126" s="690" t="str">
        <f t="array" ref="D126">IF($S126="","",IF($S126="Lớp 5",INDEX('Lớp 5 - Phân công'!$J$14:$J$262,$T126),IF($S126="Lớp 4",INDEX('Lớp 4 - Danh mục'!$I$14:$I$132,$T126),"")))</f>
        <v>#REF!</v>
      </c>
      <c r="E126" s="690" t="str">
        <f t="array" ref="E126">IF($S126="","",IF($S126="Lớp 5",INDEX('Lớp 5 - Phân công'!$L$14:$L$262,$T126),IF($S126="Lớp 4",INDEX('Lớp 4 - Danh mục'!$K$14:$K$132,$T126),INDEX('Lớp 3 - Công việc chính'!$J$14:$J$73,$T126))))</f>
        <v>#REF!</v>
      </c>
      <c r="F126" s="690" t="str">
        <f t="array" ref="F126">IF($S126="","",IF($S126="Lớp 5",INDEX('Lớp 5 - Phân công'!$M$14:$M$262,$T126),IF($S126="Lớp 4",INDEX('Lớp 4 - Danh mục'!$L$14:$L$132,$T126),INDEX('Lớp 3 - Công việc chính'!$K$14:$K$73,$T126))))</f>
        <v>#REF!</v>
      </c>
      <c r="G126" s="691" t="str">
        <f t="array" ref="G126">IF($S126="","",IF($S126="Lớp 5",INDEX('Lớp 5 - Phân công'!$N$14:$N$262,$T126),IF($S126="Lớp 4",INDEX('Lớp 4 - Danh mục'!$M$14:$M$132,$T126),INDEX('Lớp 3 - Công việc chính'!$L$14:$L$73,$T126))))</f>
        <v>#REF!</v>
      </c>
      <c r="H126" s="692" t="str">
        <f t="array" ref="H126">IF($S126="","",IF($S126="Lớp 5",INDEX('Lớp 5 - Phân công'!$O$14:$O$262,$T126),IF($S126="Lớp 4",INDEX('Lớp 4 - Danh mục'!$N$14:$N$132,$T126),INDEX('Lớp 3 - Công việc chính'!$M$14:$M$73,$T126))))</f>
        <v>#REF!</v>
      </c>
      <c r="I126" s="692" t="str">
        <f t="array" ref="I126">IF($S126="","",IF($S126="Lớp 5",INDEX('Lớp 5 - Phân công'!$P$14:$P$262,$T126),IF($S126="Lớp 4",INDEX('Lớp 4 - Danh mục'!$O$14:$O$132,$T126),"")))</f>
        <v>#REF!</v>
      </c>
      <c r="J126" s="693" t="str">
        <f t="array" ref="J126">IF($S126="","",IF($S126="Lớp 5",INDEX('Lớp 5 - Phân công'!$Q$14:$Q$262,$T126),""))</f>
        <v>#REF!</v>
      </c>
      <c r="K126" s="690" t="str">
        <f t="array" ref="K126">IF($S126="","",IF($S126="Lớp 5",INDEX('Lớp 5 - Phân công'!$AA$14:$AA$262,$T126),IF($S126="Lớp 4",INDEX('Lớp 4 - Danh mục'!$Y$14:$Y$132,$T126),INDEX('Lớp 3 - Công việc chính'!$U$14:$U$73,$T126))))</f>
        <v>#REF!</v>
      </c>
      <c r="L126" s="691" t="str">
        <f t="array" ref="L126">IF($S126="","",IF($S126="Lớp 5",INDEX('Lớp 5 - Phân công'!$Z$14:$Z$262,$T126),IF($S126="Lớp 4",INDEX('Lớp 4 - Danh mục'!$X$14:$X$132,$T126),INDEX('Lớp 3 - Công việc chính'!$W$14:$W$73,$T126))))</f>
        <v>#REF!</v>
      </c>
      <c r="M126" s="694" t="str">
        <f t="array" ref="M126">IF($S126="","",IF($S126="Lớp 5",INDEX('Lớp 5 - Phân công'!$AD$14:$AD$262,$T126),IF($S126="Lớp 4",INDEX('Lớp 4 - Danh mục'!$AC$14:$AC$132,$T126),INDEX('Lớp 3 - Công việc chính'!$Z$14:$Z$73,$T126))))</f>
        <v>#REF!</v>
      </c>
      <c r="N126" s="695" t="str">
        <f t="array" ref="N126">IF($S126="","",IF($S126="Lớp 5",INDEX('Lớp 5 - Phân công'!$AE$14:$AE$262,$T126),IF($S126="Lớp 4",INDEX('Lớp 4 - Danh mục'!$AD$14:$AD$132,$T126),INDEX('Lớp 3 - Công việc chính'!$AA$14:$AA$73,$T126))))</f>
        <v>#REF!</v>
      </c>
      <c r="O126" s="690" t="str">
        <f t="array" ref="O126">IF($S126="","",IF($S126="Lớp 5",INDEX('Lớp 5 - Phân công'!$AB$14:$AB$262,$T126),IF($S126="Lớp 4",INDEX('Lớp 4 - Danh mục'!$AA$14:$AA$132,$T126),INDEX('Lớp 3 - Công việc chính'!$X$14:$X$73,$T126))))</f>
        <v>#REF!</v>
      </c>
      <c r="P126" s="703" t="str">
        <f t="array" ref="P126">IF($S126="","",IF($S126="Lớp 5",INDEX('Lớp 5 - Phân công'!$AC$14:$AC$262,$T126),IF($S126="Lớp 4",INDEX('Lớp 4 - Danh mục'!$AB$14:$AB$132,$T126),INDEX('Lớp 3 - Công việc chính'!$Y$14:$Y$73,$T126))))</f>
        <v>#REF!</v>
      </c>
      <c r="Q126" s="697" t="str">
        <f t="array" ref="Q126">IF($S126="","",IF($S126="Lớp 5",INDEX('Lớp 5 - Phân công'!$AG$14:$AG$262,$T126),IF($S126="Lớp 4",INDEX('Lớp 4 - Danh mục'!$AF$14:$AF$132,$T126),INDEX('Lớp 3 - Công việc chính'!$AC$14:$AC$73,$T126))))</f>
        <v>#REF!</v>
      </c>
      <c r="R126" s="698" t="str">
        <f t="array" ref="R126">IF($S126="","",IF($S126="Lớp 5",INDEX('Lớp 5 - Phân công'!$X$14:$X$262,$T126),IF($S126="Lớp 4",INDEX('Lớp 4 - Danh mục'!$V$14:$V$132,$T126),INDEX('Lớp 3 - Công việc chính'!$T$14:$T$73,$T126))))</f>
        <v>#REF!</v>
      </c>
      <c r="S126" s="699" t="str">
        <f>IF(ROWS($S$14:S126)&lt;=COUNTIF('Lớp 5 - Phân công'!$I$14:$I$262,"&lt;&gt;"),"Lớp 5",IF(ROWS($S$14:S126)&lt;=COUNTIF('Lớp 5 - Phân công'!$I$14:$I$262,"&lt;&gt;")+SUMPRODUCT(--('Lớp 4 - Danh mục'!$I$14:$I$132&lt;&gt;""),--(COUNTIF('Lớp 5 - Phân công'!$J$14:$J$262,'Lớp 4 - Danh mục'!$I$14:$I$132)=0)),"Lớp 4",IF(ROWS($S$14:S126)&lt;=COUNTIF('Lớp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6" s="699" t="str">
        <f t="array" ref="T126">IF(S126="","",IF(S126="Lớp 5",IF(S125&lt;&gt;"Lớp 5",MATCH("*",'Lớp 5 - Phân công'!$I$14:$I$262,0),T125+MATCH("*",INDEX('Lớp 5 - Phân công'!$I$14:$I$262,T125+1):'Lớp 5 - Phân công'!$I$262,0)),IF(S126="Lớp 4",IF(S125&lt;&gt;"Lớp 4",MATCH(1,INDEX(('Lớp 4 - Danh mục'!$I$14:$I$132&lt;&gt;"")*(COUNTIF('Lớp 5 - Phân công'!$J$14:$J$262,'Lớp 4 - Danh mục'!$I$14:$I$132)=0),0),0),T125+MATCH(1,INDEX((INDEX('Lớp 4 - Danh mục'!$I$14:$I$132,T125+1):'Lớp 4 - Danh mục'!$I$132&lt;&gt;"")*(COUNTIF('Lớp 5 - Phân công'!$J$14:$J$262,INDEX('Lớp 4 - Danh mục'!$I$14:$I$132,T125+1):'Lớp 4 - Danh mục'!$I$132)=0),0),0)),IF(S125&lt;&gt;"Lớp 3",MATCH(1,INDEX(('Lớp 3 - Công việc chính'!$I$14:$I$73&lt;&gt;"")*(COUNTIF('Lớp 4 - Danh mục'!$J$14:$J$132,'Lớp 3 - Công việc chính'!$I$14:$I$73)=0),0),0),T125+MATCH(1,INDEX((INDEX('Lớp 3 - Công việc chính'!$I$14:$I$73,T125+1):'Lớp 3 - Công việc chính'!$I$73&lt;&gt;"")*(COUNTIF('Lớp 4 - Danh mục'!$J$14:$J$132,INDEX('Lớp 3 - Công việc chính'!$I$14:$I$73,T125+1):'Lớp 3 - Công việc chính'!$I$73)=0),0),0)))))</f>
        <v>#REF!</v>
      </c>
      <c r="Z126" s="700" t="str">
        <f t="array" ref="Z126">IF($S126="","",IF($S126="Lớp 5",INDEX('Lớp 5 - Phân công'!$AS$14:$AS$262,$T126),IF($S126="Lớp 4",INDEX('Lớp 4 - Danh mục'!$AR$14:$AR$132,$T126),INDEX('Lớp 3 - Công việc chính'!$AO$14:$AO$73,$T126))))</f>
        <v>#REF!</v>
      </c>
      <c r="AA126" s="701" t="str">
        <f t="array" ref="AA126">IF($S126="","",IF($S126="Lớp 5",INDEX('Lớp 5 - Phân công'!$AT$14:$AT$262,$T126),IF($S126="Lớp 4",INDEX('Lớp 4 - Danh mục'!$AS$14:$AS$132,$T126),INDEX('Lớp 3 - Công việc chính'!$AP$14:$AP$73,$T126))))</f>
        <v>#REF!</v>
      </c>
      <c r="AB126" s="701" t="str">
        <f t="array" ref="AB126">IF($S126="","",IF($S126="Lớp 5",INDEX('Lớp 5 - Phân công'!$AJ$14:$AJ$262,$T126),IF($S126="Lớp 4",INDEX('Lớp 4 - Danh mục'!$AI$14:$AI$132,$T126),INDEX('Lớp 3 - Công việc chính'!$AF$14:$AF$73,$T126))))</f>
        <v>#REF!</v>
      </c>
      <c r="AC126" s="702" t="str">
        <f t="array" ref="AC126">IF($S126="","",IF($S126="Lớp 5",INDEX('Lớp 5 - Phân công'!$AV$14:$AV$262,$T126),IF($S126="Lớp 4",INDEX('Lớp 4 - Danh mục'!$AU$14:$AU$132,$T126),INDEX('Lớp 3 - Công việc chính'!$AR$14:$AR$73,$T126))))</f>
        <v>#REF!</v>
      </c>
    </row>
    <row r="127" ht="15.75" customHeight="1">
      <c r="A127" s="690" t="str">
        <f t="shared" si="1"/>
        <v>#REF!</v>
      </c>
      <c r="B127" s="690" t="str">
        <f t="array" ref="B127">IF($S127="","",IF($S127="Lớp 5",INDEX('Lớp 5 - Phân công'!$I$14:$I$262,$T127),IF($S127="Lớp 4",INDEX('Lớp 4 - Danh mục'!$I$14:$I$132,$T127),INDEX('Lớp 3 - Công việc chính'!$I$14:$I$73,$T127))))</f>
        <v>#REF!</v>
      </c>
      <c r="C127" s="690" t="str">
        <f t="array" ref="C127">IF($S127="","",IF($S127="Lớp 5",INDEX('Lớp 5 - Phân công'!$K$14:$K$262,$T127),IF($S127="Lớp 4",INDEX('Lớp 4 - Danh mục'!$J$14:$J$132,$T127),INDEX('Lớp 3 - Công việc chính'!$I$14:$I$73,$T127))))</f>
        <v>#REF!</v>
      </c>
      <c r="D127" s="690" t="str">
        <f t="array" ref="D127">IF($S127="","",IF($S127="Lớp 5",INDEX('Lớp 5 - Phân công'!$J$14:$J$262,$T127),IF($S127="Lớp 4",INDEX('Lớp 4 - Danh mục'!$I$14:$I$132,$T127),"")))</f>
        <v>#REF!</v>
      </c>
      <c r="E127" s="690" t="str">
        <f t="array" ref="E127">IF($S127="","",IF($S127="Lớp 5",INDEX('Lớp 5 - Phân công'!$L$14:$L$262,$T127),IF($S127="Lớp 4",INDEX('Lớp 4 - Danh mục'!$K$14:$K$132,$T127),INDEX('Lớp 3 - Công việc chính'!$J$14:$J$73,$T127))))</f>
        <v>#REF!</v>
      </c>
      <c r="F127" s="690" t="str">
        <f t="array" ref="F127">IF($S127="","",IF($S127="Lớp 5",INDEX('Lớp 5 - Phân công'!$M$14:$M$262,$T127),IF($S127="Lớp 4",INDEX('Lớp 4 - Danh mục'!$L$14:$L$132,$T127),INDEX('Lớp 3 - Công việc chính'!$K$14:$K$73,$T127))))</f>
        <v>#REF!</v>
      </c>
      <c r="G127" s="691" t="str">
        <f t="array" ref="G127">IF($S127="","",IF($S127="Lớp 5",INDEX('Lớp 5 - Phân công'!$N$14:$N$262,$T127),IF($S127="Lớp 4",INDEX('Lớp 4 - Danh mục'!$M$14:$M$132,$T127),INDEX('Lớp 3 - Công việc chính'!$L$14:$L$73,$T127))))</f>
        <v>#REF!</v>
      </c>
      <c r="H127" s="692" t="str">
        <f t="array" ref="H127">IF($S127="","",IF($S127="Lớp 5",INDEX('Lớp 5 - Phân công'!$O$14:$O$262,$T127),IF($S127="Lớp 4",INDEX('Lớp 4 - Danh mục'!$N$14:$N$132,$T127),INDEX('Lớp 3 - Công việc chính'!$M$14:$M$73,$T127))))</f>
        <v>#REF!</v>
      </c>
      <c r="I127" s="692" t="str">
        <f t="array" ref="I127">IF($S127="","",IF($S127="Lớp 5",INDEX('Lớp 5 - Phân công'!$P$14:$P$262,$T127),IF($S127="Lớp 4",INDEX('Lớp 4 - Danh mục'!$O$14:$O$132,$T127),"")))</f>
        <v>#REF!</v>
      </c>
      <c r="J127" s="693" t="str">
        <f t="array" ref="J127">IF($S127="","",IF($S127="Lớp 5",INDEX('Lớp 5 - Phân công'!$Q$14:$Q$262,$T127),""))</f>
        <v>#REF!</v>
      </c>
      <c r="K127" s="690" t="str">
        <f t="array" ref="K127">IF($S127="","",IF($S127="Lớp 5",INDEX('Lớp 5 - Phân công'!$AA$14:$AA$262,$T127),IF($S127="Lớp 4",INDEX('Lớp 4 - Danh mục'!$Y$14:$Y$132,$T127),INDEX('Lớp 3 - Công việc chính'!$U$14:$U$73,$T127))))</f>
        <v>#REF!</v>
      </c>
      <c r="L127" s="691" t="str">
        <f t="array" ref="L127">IF($S127="","",IF($S127="Lớp 5",INDEX('Lớp 5 - Phân công'!$Z$14:$Z$262,$T127),IF($S127="Lớp 4",INDEX('Lớp 4 - Danh mục'!$X$14:$X$132,$T127),INDEX('Lớp 3 - Công việc chính'!$W$14:$W$73,$T127))))</f>
        <v>#REF!</v>
      </c>
      <c r="M127" s="694" t="str">
        <f t="array" ref="M127">IF($S127="","",IF($S127="Lớp 5",INDEX('Lớp 5 - Phân công'!$AD$14:$AD$262,$T127),IF($S127="Lớp 4",INDEX('Lớp 4 - Danh mục'!$AC$14:$AC$132,$T127),INDEX('Lớp 3 - Công việc chính'!$Z$14:$Z$73,$T127))))</f>
        <v>#REF!</v>
      </c>
      <c r="N127" s="695" t="str">
        <f t="array" ref="N127">IF($S127="","",IF($S127="Lớp 5",INDEX('Lớp 5 - Phân công'!$AE$14:$AE$262,$T127),IF($S127="Lớp 4",INDEX('Lớp 4 - Danh mục'!$AD$14:$AD$132,$T127),INDEX('Lớp 3 - Công việc chính'!$AA$14:$AA$73,$T127))))</f>
        <v>#REF!</v>
      </c>
      <c r="O127" s="690" t="str">
        <f t="array" ref="O127">IF($S127="","",IF($S127="Lớp 5",INDEX('Lớp 5 - Phân công'!$AB$14:$AB$262,$T127),IF($S127="Lớp 4",INDEX('Lớp 4 - Danh mục'!$AA$14:$AA$132,$T127),INDEX('Lớp 3 - Công việc chính'!$X$14:$X$73,$T127))))</f>
        <v>#REF!</v>
      </c>
      <c r="P127" s="703" t="str">
        <f t="array" ref="P127">IF($S127="","",IF($S127="Lớp 5",INDEX('Lớp 5 - Phân công'!$AC$14:$AC$262,$T127),IF($S127="Lớp 4",INDEX('Lớp 4 - Danh mục'!$AB$14:$AB$132,$T127),INDEX('Lớp 3 - Công việc chính'!$Y$14:$Y$73,$T127))))</f>
        <v>#REF!</v>
      </c>
      <c r="Q127" s="697" t="str">
        <f t="array" ref="Q127">IF($S127="","",IF($S127="Lớp 5",INDEX('Lớp 5 - Phân công'!$AG$14:$AG$262,$T127),IF($S127="Lớp 4",INDEX('Lớp 4 - Danh mục'!$AF$14:$AF$132,$T127),INDEX('Lớp 3 - Công việc chính'!$AC$14:$AC$73,$T127))))</f>
        <v>#REF!</v>
      </c>
      <c r="R127" s="698" t="str">
        <f t="array" ref="R127">IF($S127="","",IF($S127="Lớp 5",INDEX('Lớp 5 - Phân công'!$X$14:$X$262,$T127),IF($S127="Lớp 4",INDEX('Lớp 4 - Danh mục'!$V$14:$V$132,$T127),INDEX('Lớp 3 - Công việc chính'!$T$14:$T$73,$T127))))</f>
        <v>#REF!</v>
      </c>
      <c r="S127" s="699" t="str">
        <f>IF(ROWS($S$14:S127)&lt;=COUNTIF('Lớp 5 - Phân công'!$I$14:$I$262,"&lt;&gt;"),"Lớp 5",IF(ROWS($S$14:S127)&lt;=COUNTIF('Lớp 5 - Phân công'!$I$14:$I$262,"&lt;&gt;")+SUMPRODUCT(--('Lớp 4 - Danh mục'!$I$14:$I$132&lt;&gt;""),--(COUNTIF('Lớp 5 - Phân công'!$J$14:$J$262,'Lớp 4 - Danh mục'!$I$14:$I$132)=0)),"Lớp 4",IF(ROWS($S$14:S127)&lt;=COUNTIF('Lớp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7" s="699" t="str">
        <f t="array" ref="T127">IF(S127="","",IF(S127="Lớp 5",IF(S126&lt;&gt;"Lớp 5",MATCH("*",'Lớp 5 - Phân công'!$I$14:$I$262,0),T126+MATCH("*",INDEX('Lớp 5 - Phân công'!$I$14:$I$262,T126+1):'Lớp 5 - Phân công'!$I$262,0)),IF(S127="Lớp 4",IF(S126&lt;&gt;"Lớp 4",MATCH(1,INDEX(('Lớp 4 - Danh mục'!$I$14:$I$132&lt;&gt;"")*(COUNTIF('Lớp 5 - Phân công'!$J$14:$J$262,'Lớp 4 - Danh mục'!$I$14:$I$132)=0),0),0),T126+MATCH(1,INDEX((INDEX('Lớp 4 - Danh mục'!$I$14:$I$132,T126+1):'Lớp 4 - Danh mục'!$I$132&lt;&gt;"")*(COUNTIF('Lớp 5 - Phân công'!$J$14:$J$262,INDEX('Lớp 4 - Danh mục'!$I$14:$I$132,T126+1):'Lớp 4 - Danh mục'!$I$132)=0),0),0)),IF(S126&lt;&gt;"Lớp 3",MATCH(1,INDEX(('Lớp 3 - Công việc chính'!$I$14:$I$73&lt;&gt;"")*(COUNTIF('Lớp 4 - Danh mục'!$J$14:$J$132,'Lớp 3 - Công việc chính'!$I$14:$I$73)=0),0),0),T126+MATCH(1,INDEX((INDEX('Lớp 3 - Công việc chính'!$I$14:$I$73,T126+1):'Lớp 3 - Công việc chính'!$I$73&lt;&gt;"")*(COUNTIF('Lớp 4 - Danh mục'!$J$14:$J$132,INDEX('Lớp 3 - Công việc chính'!$I$14:$I$73,T126+1):'Lớp 3 - Công việc chính'!$I$73)=0),0),0)))))</f>
        <v>#REF!</v>
      </c>
      <c r="Z127" s="700" t="str">
        <f t="array" ref="Z127">IF($S127="","",IF($S127="Lớp 5",INDEX('Lớp 5 - Phân công'!$AS$14:$AS$262,$T127),IF($S127="Lớp 4",INDEX('Lớp 4 - Danh mục'!$AR$14:$AR$132,$T127),INDEX('Lớp 3 - Công việc chính'!$AO$14:$AO$73,$T127))))</f>
        <v>#REF!</v>
      </c>
      <c r="AA127" s="701" t="str">
        <f t="array" ref="AA127">IF($S127="","",IF($S127="Lớp 5",INDEX('Lớp 5 - Phân công'!$AT$14:$AT$262,$T127),IF($S127="Lớp 4",INDEX('Lớp 4 - Danh mục'!$AS$14:$AS$132,$T127),INDEX('Lớp 3 - Công việc chính'!$AP$14:$AP$73,$T127))))</f>
        <v>#REF!</v>
      </c>
      <c r="AB127" s="701" t="str">
        <f t="array" ref="AB127">IF($S127="","",IF($S127="Lớp 5",INDEX('Lớp 5 - Phân công'!$AJ$14:$AJ$262,$T127),IF($S127="Lớp 4",INDEX('Lớp 4 - Danh mục'!$AI$14:$AI$132,$T127),INDEX('Lớp 3 - Công việc chính'!$AF$14:$AF$73,$T127))))</f>
        <v>#REF!</v>
      </c>
      <c r="AC127" s="702" t="str">
        <f t="array" ref="AC127">IF($S127="","",IF($S127="Lớp 5",INDEX('Lớp 5 - Phân công'!$AV$14:$AV$262,$T127),IF($S127="Lớp 4",INDEX('Lớp 4 - Danh mục'!$AU$14:$AU$132,$T127),INDEX('Lớp 3 - Công việc chính'!$AR$14:$AR$73,$T127))))</f>
        <v>#REF!</v>
      </c>
    </row>
    <row r="128" ht="15.75" customHeight="1">
      <c r="A128" s="690" t="str">
        <f t="shared" si="1"/>
        <v>#REF!</v>
      </c>
      <c r="B128" s="690" t="str">
        <f t="array" ref="B128">IF($S128="","",IF($S128="Lớp 5",INDEX('Lớp 5 - Phân công'!$I$14:$I$262,$T128),IF($S128="Lớp 4",INDEX('Lớp 4 - Danh mục'!$I$14:$I$132,$T128),INDEX('Lớp 3 - Công việc chính'!$I$14:$I$73,$T128))))</f>
        <v>#REF!</v>
      </c>
      <c r="C128" s="690" t="str">
        <f t="array" ref="C128">IF($S128="","",IF($S128="Lớp 5",INDEX('Lớp 5 - Phân công'!$K$14:$K$262,$T128),IF($S128="Lớp 4",INDEX('Lớp 4 - Danh mục'!$J$14:$J$132,$T128),INDEX('Lớp 3 - Công việc chính'!$I$14:$I$73,$T128))))</f>
        <v>#REF!</v>
      </c>
      <c r="D128" s="690" t="str">
        <f t="array" ref="D128">IF($S128="","",IF($S128="Lớp 5",INDEX('Lớp 5 - Phân công'!$J$14:$J$262,$T128),IF($S128="Lớp 4",INDEX('Lớp 4 - Danh mục'!$I$14:$I$132,$T128),"")))</f>
        <v>#REF!</v>
      </c>
      <c r="E128" s="690" t="str">
        <f t="array" ref="E128">IF($S128="","",IF($S128="Lớp 5",INDEX('Lớp 5 - Phân công'!$L$14:$L$262,$T128),IF($S128="Lớp 4",INDEX('Lớp 4 - Danh mục'!$K$14:$K$132,$T128),INDEX('Lớp 3 - Công việc chính'!$J$14:$J$73,$T128))))</f>
        <v>#REF!</v>
      </c>
      <c r="F128" s="690" t="str">
        <f t="array" ref="F128">IF($S128="","",IF($S128="Lớp 5",INDEX('Lớp 5 - Phân công'!$M$14:$M$262,$T128),IF($S128="Lớp 4",INDEX('Lớp 4 - Danh mục'!$L$14:$L$132,$T128),INDEX('Lớp 3 - Công việc chính'!$K$14:$K$73,$T128))))</f>
        <v>#REF!</v>
      </c>
      <c r="G128" s="691" t="str">
        <f t="array" ref="G128">IF($S128="","",IF($S128="Lớp 5",INDEX('Lớp 5 - Phân công'!$N$14:$N$262,$T128),IF($S128="Lớp 4",INDEX('Lớp 4 - Danh mục'!$M$14:$M$132,$T128),INDEX('Lớp 3 - Công việc chính'!$L$14:$L$73,$T128))))</f>
        <v>#REF!</v>
      </c>
      <c r="H128" s="692" t="str">
        <f t="array" ref="H128">IF($S128="","",IF($S128="Lớp 5",INDEX('Lớp 5 - Phân công'!$O$14:$O$262,$T128),IF($S128="Lớp 4",INDEX('Lớp 4 - Danh mục'!$N$14:$N$132,$T128),INDEX('Lớp 3 - Công việc chính'!$M$14:$M$73,$T128))))</f>
        <v>#REF!</v>
      </c>
      <c r="I128" s="692" t="str">
        <f t="array" ref="I128">IF($S128="","",IF($S128="Lớp 5",INDEX('Lớp 5 - Phân công'!$P$14:$P$262,$T128),IF($S128="Lớp 4",INDEX('Lớp 4 - Danh mục'!$O$14:$O$132,$T128),"")))</f>
        <v>#REF!</v>
      </c>
      <c r="J128" s="693" t="str">
        <f t="array" ref="J128">IF($S128="","",IF($S128="Lớp 5",INDEX('Lớp 5 - Phân công'!$Q$14:$Q$262,$T128),""))</f>
        <v>#REF!</v>
      </c>
      <c r="K128" s="690" t="str">
        <f t="array" ref="K128">IF($S128="","",IF($S128="Lớp 5",INDEX('Lớp 5 - Phân công'!$AA$14:$AA$262,$T128),IF($S128="Lớp 4",INDEX('Lớp 4 - Danh mục'!$Y$14:$Y$132,$T128),INDEX('Lớp 3 - Công việc chính'!$U$14:$U$73,$T128))))</f>
        <v>#REF!</v>
      </c>
      <c r="L128" s="691" t="str">
        <f t="array" ref="L128">IF($S128="","",IF($S128="Lớp 5",INDEX('Lớp 5 - Phân công'!$Z$14:$Z$262,$T128),IF($S128="Lớp 4",INDEX('Lớp 4 - Danh mục'!$X$14:$X$132,$T128),INDEX('Lớp 3 - Công việc chính'!$W$14:$W$73,$T128))))</f>
        <v>#REF!</v>
      </c>
      <c r="M128" s="694" t="str">
        <f t="array" ref="M128">IF($S128="","",IF($S128="Lớp 5",INDEX('Lớp 5 - Phân công'!$AD$14:$AD$262,$T128),IF($S128="Lớp 4",INDEX('Lớp 4 - Danh mục'!$AC$14:$AC$132,$T128),INDEX('Lớp 3 - Công việc chính'!$Z$14:$Z$73,$T128))))</f>
        <v>#REF!</v>
      </c>
      <c r="N128" s="695" t="str">
        <f t="array" ref="N128">IF($S128="","",IF($S128="Lớp 5",INDEX('Lớp 5 - Phân công'!$AE$14:$AE$262,$T128),IF($S128="Lớp 4",INDEX('Lớp 4 - Danh mục'!$AD$14:$AD$132,$T128),INDEX('Lớp 3 - Công việc chính'!$AA$14:$AA$73,$T128))))</f>
        <v>#REF!</v>
      </c>
      <c r="O128" s="690" t="str">
        <f t="array" ref="O128">IF($S128="","",IF($S128="Lớp 5",INDEX('Lớp 5 - Phân công'!$AB$14:$AB$262,$T128),IF($S128="Lớp 4",INDEX('Lớp 4 - Danh mục'!$AA$14:$AA$132,$T128),INDEX('Lớp 3 - Công việc chính'!$X$14:$X$73,$T128))))</f>
        <v>#REF!</v>
      </c>
      <c r="P128" s="703" t="str">
        <f t="array" ref="P128">IF($S128="","",IF($S128="Lớp 5",INDEX('Lớp 5 - Phân công'!$AC$14:$AC$262,$T128),IF($S128="Lớp 4",INDEX('Lớp 4 - Danh mục'!$AB$14:$AB$132,$T128),INDEX('Lớp 3 - Công việc chính'!$Y$14:$Y$73,$T128))))</f>
        <v>#REF!</v>
      </c>
      <c r="Q128" s="697" t="str">
        <f t="array" ref="Q128">IF($S128="","",IF($S128="Lớp 5",INDEX('Lớp 5 - Phân công'!$AG$14:$AG$262,$T128),IF($S128="Lớp 4",INDEX('Lớp 4 - Danh mục'!$AF$14:$AF$132,$T128),INDEX('Lớp 3 - Công việc chính'!$AC$14:$AC$73,$T128))))</f>
        <v>#REF!</v>
      </c>
      <c r="R128" s="698" t="str">
        <f t="array" ref="R128">IF($S128="","",IF($S128="Lớp 5",INDEX('Lớp 5 - Phân công'!$X$14:$X$262,$T128),IF($S128="Lớp 4",INDEX('Lớp 4 - Danh mục'!$V$14:$V$132,$T128),INDEX('Lớp 3 - Công việc chính'!$T$14:$T$73,$T128))))</f>
        <v>#REF!</v>
      </c>
      <c r="S128" s="699" t="str">
        <f>IF(ROWS($S$14:S128)&lt;=COUNTIF('Lớp 5 - Phân công'!$I$14:$I$262,"&lt;&gt;"),"Lớp 5",IF(ROWS($S$14:S128)&lt;=COUNTIF('Lớp 5 - Phân công'!$I$14:$I$262,"&lt;&gt;")+SUMPRODUCT(--('Lớp 4 - Danh mục'!$I$14:$I$132&lt;&gt;""),--(COUNTIF('Lớp 5 - Phân công'!$J$14:$J$262,'Lớp 4 - Danh mục'!$I$14:$I$132)=0)),"Lớp 4",IF(ROWS($S$14:S128)&lt;=COUNTIF('Lớp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8" s="699" t="str">
        <f t="array" ref="T128">IF(S128="","",IF(S128="Lớp 5",IF(S127&lt;&gt;"Lớp 5",MATCH("*",'Lớp 5 - Phân công'!$I$14:$I$262,0),T127+MATCH("*",INDEX('Lớp 5 - Phân công'!$I$14:$I$262,T127+1):'Lớp 5 - Phân công'!$I$262,0)),IF(S128="Lớp 4",IF(S127&lt;&gt;"Lớp 4",MATCH(1,INDEX(('Lớp 4 - Danh mục'!$I$14:$I$132&lt;&gt;"")*(COUNTIF('Lớp 5 - Phân công'!$J$14:$J$262,'Lớp 4 - Danh mục'!$I$14:$I$132)=0),0),0),T127+MATCH(1,INDEX((INDEX('Lớp 4 - Danh mục'!$I$14:$I$132,T127+1):'Lớp 4 - Danh mục'!$I$132&lt;&gt;"")*(COUNTIF('Lớp 5 - Phân công'!$J$14:$J$262,INDEX('Lớp 4 - Danh mục'!$I$14:$I$132,T127+1):'Lớp 4 - Danh mục'!$I$132)=0),0),0)),IF(S127&lt;&gt;"Lớp 3",MATCH(1,INDEX(('Lớp 3 - Công việc chính'!$I$14:$I$73&lt;&gt;"")*(COUNTIF('Lớp 4 - Danh mục'!$J$14:$J$132,'Lớp 3 - Công việc chính'!$I$14:$I$73)=0),0),0),T127+MATCH(1,INDEX((INDEX('Lớp 3 - Công việc chính'!$I$14:$I$73,T127+1):'Lớp 3 - Công việc chính'!$I$73&lt;&gt;"")*(COUNTIF('Lớp 4 - Danh mục'!$J$14:$J$132,INDEX('Lớp 3 - Công việc chính'!$I$14:$I$73,T127+1):'Lớp 3 - Công việc chính'!$I$73)=0),0),0)))))</f>
        <v>#REF!</v>
      </c>
      <c r="Z128" s="700" t="str">
        <f t="array" ref="Z128">IF($S128="","",IF($S128="Lớp 5",INDEX('Lớp 5 - Phân công'!$AS$14:$AS$262,$T128),IF($S128="Lớp 4",INDEX('Lớp 4 - Danh mục'!$AR$14:$AR$132,$T128),INDEX('Lớp 3 - Công việc chính'!$AO$14:$AO$73,$T128))))</f>
        <v>#REF!</v>
      </c>
      <c r="AA128" s="701" t="str">
        <f t="array" ref="AA128">IF($S128="","",IF($S128="Lớp 5",INDEX('Lớp 5 - Phân công'!$AT$14:$AT$262,$T128),IF($S128="Lớp 4",INDEX('Lớp 4 - Danh mục'!$AS$14:$AS$132,$T128),INDEX('Lớp 3 - Công việc chính'!$AP$14:$AP$73,$T128))))</f>
        <v>#REF!</v>
      </c>
      <c r="AB128" s="701" t="str">
        <f t="array" ref="AB128">IF($S128="","",IF($S128="Lớp 5",INDEX('Lớp 5 - Phân công'!$AJ$14:$AJ$262,$T128),IF($S128="Lớp 4",INDEX('Lớp 4 - Danh mục'!$AI$14:$AI$132,$T128),INDEX('Lớp 3 - Công việc chính'!$AF$14:$AF$73,$T128))))</f>
        <v>#REF!</v>
      </c>
      <c r="AC128" s="702" t="str">
        <f t="array" ref="AC128">IF($S128="","",IF($S128="Lớp 5",INDEX('Lớp 5 - Phân công'!$AV$14:$AV$262,$T128),IF($S128="Lớp 4",INDEX('Lớp 4 - Danh mục'!$AU$14:$AU$132,$T128),INDEX('Lớp 3 - Công việc chính'!$AR$14:$AR$73,$T128))))</f>
        <v>#REF!</v>
      </c>
    </row>
    <row r="129" ht="15.75" customHeight="1">
      <c r="A129" s="690" t="str">
        <f t="shared" si="1"/>
        <v>#REF!</v>
      </c>
      <c r="B129" s="690" t="str">
        <f t="array" ref="B129">IF($S129="","",IF($S129="Lớp 5",INDEX('Lớp 5 - Phân công'!$I$14:$I$262,$T129),IF($S129="Lớp 4",INDEX('Lớp 4 - Danh mục'!$I$14:$I$132,$T129),INDEX('Lớp 3 - Công việc chính'!$I$14:$I$73,$T129))))</f>
        <v>#REF!</v>
      </c>
      <c r="C129" s="690" t="str">
        <f t="array" ref="C129">IF($S129="","",IF($S129="Lớp 5",INDEX('Lớp 5 - Phân công'!$K$14:$K$262,$T129),IF($S129="Lớp 4",INDEX('Lớp 4 - Danh mục'!$J$14:$J$132,$T129),INDEX('Lớp 3 - Công việc chính'!$I$14:$I$73,$T129))))</f>
        <v>#REF!</v>
      </c>
      <c r="D129" s="690" t="str">
        <f t="array" ref="D129">IF($S129="","",IF($S129="Lớp 5",INDEX('Lớp 5 - Phân công'!$J$14:$J$262,$T129),IF($S129="Lớp 4",INDEX('Lớp 4 - Danh mục'!$I$14:$I$132,$T129),"")))</f>
        <v>#REF!</v>
      </c>
      <c r="E129" s="690" t="str">
        <f t="array" ref="E129">IF($S129="","",IF($S129="Lớp 5",INDEX('Lớp 5 - Phân công'!$L$14:$L$262,$T129),IF($S129="Lớp 4",INDEX('Lớp 4 - Danh mục'!$K$14:$K$132,$T129),INDEX('Lớp 3 - Công việc chính'!$J$14:$J$73,$T129))))</f>
        <v>#REF!</v>
      </c>
      <c r="F129" s="690" t="str">
        <f t="array" ref="F129">IF($S129="","",IF($S129="Lớp 5",INDEX('Lớp 5 - Phân công'!$M$14:$M$262,$T129),IF($S129="Lớp 4",INDEX('Lớp 4 - Danh mục'!$L$14:$L$132,$T129),INDEX('Lớp 3 - Công việc chính'!$K$14:$K$73,$T129))))</f>
        <v>#REF!</v>
      </c>
      <c r="G129" s="691" t="str">
        <f t="array" ref="G129">IF($S129="","",IF($S129="Lớp 5",INDEX('Lớp 5 - Phân công'!$N$14:$N$262,$T129),IF($S129="Lớp 4",INDEX('Lớp 4 - Danh mục'!$M$14:$M$132,$T129),INDEX('Lớp 3 - Công việc chính'!$L$14:$L$73,$T129))))</f>
        <v>#REF!</v>
      </c>
      <c r="H129" s="692" t="str">
        <f t="array" ref="H129">IF($S129="","",IF($S129="Lớp 5",INDEX('Lớp 5 - Phân công'!$O$14:$O$262,$T129),IF($S129="Lớp 4",INDEX('Lớp 4 - Danh mục'!$N$14:$N$132,$T129),INDEX('Lớp 3 - Công việc chính'!$M$14:$M$73,$T129))))</f>
        <v>#REF!</v>
      </c>
      <c r="I129" s="692" t="str">
        <f t="array" ref="I129">IF($S129="","",IF($S129="Lớp 5",INDEX('Lớp 5 - Phân công'!$P$14:$P$262,$T129),IF($S129="Lớp 4",INDEX('Lớp 4 - Danh mục'!$O$14:$O$132,$T129),"")))</f>
        <v>#REF!</v>
      </c>
      <c r="J129" s="693" t="str">
        <f t="array" ref="J129">IF($S129="","",IF($S129="Lớp 5",INDEX('Lớp 5 - Phân công'!$Q$14:$Q$262,$T129),""))</f>
        <v>#REF!</v>
      </c>
      <c r="K129" s="690" t="str">
        <f t="array" ref="K129">IF($S129="","",IF($S129="Lớp 5",INDEX('Lớp 5 - Phân công'!$AA$14:$AA$262,$T129),IF($S129="Lớp 4",INDEX('Lớp 4 - Danh mục'!$Y$14:$Y$132,$T129),INDEX('Lớp 3 - Công việc chính'!$U$14:$U$73,$T129))))</f>
        <v>#REF!</v>
      </c>
      <c r="L129" s="691" t="str">
        <f t="array" ref="L129">IF($S129="","",IF($S129="Lớp 5",INDEX('Lớp 5 - Phân công'!$Z$14:$Z$262,$T129),IF($S129="Lớp 4",INDEX('Lớp 4 - Danh mục'!$X$14:$X$132,$T129),INDEX('Lớp 3 - Công việc chính'!$W$14:$W$73,$T129))))</f>
        <v>#REF!</v>
      </c>
      <c r="M129" s="694" t="str">
        <f t="array" ref="M129">IF($S129="","",IF($S129="Lớp 5",INDEX('Lớp 5 - Phân công'!$AD$14:$AD$262,$T129),IF($S129="Lớp 4",INDEX('Lớp 4 - Danh mục'!$AC$14:$AC$132,$T129),INDEX('Lớp 3 - Công việc chính'!$Z$14:$Z$73,$T129))))</f>
        <v>#REF!</v>
      </c>
      <c r="N129" s="695" t="str">
        <f t="array" ref="N129">IF($S129="","",IF($S129="Lớp 5",INDEX('Lớp 5 - Phân công'!$AE$14:$AE$262,$T129),IF($S129="Lớp 4",INDEX('Lớp 4 - Danh mục'!$AD$14:$AD$132,$T129),INDEX('Lớp 3 - Công việc chính'!$AA$14:$AA$73,$T129))))</f>
        <v>#REF!</v>
      </c>
      <c r="O129" s="690" t="str">
        <f t="array" ref="O129">IF($S129="","",IF($S129="Lớp 5",INDEX('Lớp 5 - Phân công'!$AB$14:$AB$262,$T129),IF($S129="Lớp 4",INDEX('Lớp 4 - Danh mục'!$AA$14:$AA$132,$T129),INDEX('Lớp 3 - Công việc chính'!$X$14:$X$73,$T129))))</f>
        <v>#REF!</v>
      </c>
      <c r="P129" s="703" t="str">
        <f t="array" ref="P129">IF($S129="","",IF($S129="Lớp 5",INDEX('Lớp 5 - Phân công'!$AC$14:$AC$262,$T129),IF($S129="Lớp 4",INDEX('Lớp 4 - Danh mục'!$AB$14:$AB$132,$T129),INDEX('Lớp 3 - Công việc chính'!$Y$14:$Y$73,$T129))))</f>
        <v>#REF!</v>
      </c>
      <c r="Q129" s="697" t="str">
        <f t="array" ref="Q129">IF($S129="","",IF($S129="Lớp 5",INDEX('Lớp 5 - Phân công'!$AG$14:$AG$262,$T129),IF($S129="Lớp 4",INDEX('Lớp 4 - Danh mục'!$AF$14:$AF$132,$T129),INDEX('Lớp 3 - Công việc chính'!$AC$14:$AC$73,$T129))))</f>
        <v>#REF!</v>
      </c>
      <c r="R129" s="698" t="str">
        <f t="array" ref="R129">IF($S129="","",IF($S129="Lớp 5",INDEX('Lớp 5 - Phân công'!$X$14:$X$262,$T129),IF($S129="Lớp 4",INDEX('Lớp 4 - Danh mục'!$V$14:$V$132,$T129),INDEX('Lớp 3 - Công việc chính'!$T$14:$T$73,$T129))))</f>
        <v>#REF!</v>
      </c>
      <c r="S129" s="699" t="str">
        <f>IF(ROWS($S$14:S129)&lt;=COUNTIF('Lớp 5 - Phân công'!$I$14:$I$262,"&lt;&gt;"),"Lớp 5",IF(ROWS($S$14:S129)&lt;=COUNTIF('Lớp 5 - Phân công'!$I$14:$I$262,"&lt;&gt;")+SUMPRODUCT(--('Lớp 4 - Danh mục'!$I$14:$I$132&lt;&gt;""),--(COUNTIF('Lớp 5 - Phân công'!$J$14:$J$262,'Lớp 4 - Danh mục'!$I$14:$I$132)=0)),"Lớp 4",IF(ROWS($S$14:S129)&lt;=COUNTIF('Lớp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29" s="699" t="str">
        <f t="array" ref="T129">IF(S129="","",IF(S129="Lớp 5",IF(S128&lt;&gt;"Lớp 5",MATCH("*",'Lớp 5 - Phân công'!$I$14:$I$262,0),T128+MATCH("*",INDEX('Lớp 5 - Phân công'!$I$14:$I$262,T128+1):'Lớp 5 - Phân công'!$I$262,0)),IF(S129="Lớp 4",IF(S128&lt;&gt;"Lớp 4",MATCH(1,INDEX(('Lớp 4 - Danh mục'!$I$14:$I$132&lt;&gt;"")*(COUNTIF('Lớp 5 - Phân công'!$J$14:$J$262,'Lớp 4 - Danh mục'!$I$14:$I$132)=0),0),0),T128+MATCH(1,INDEX((INDEX('Lớp 4 - Danh mục'!$I$14:$I$132,T128+1):'Lớp 4 - Danh mục'!$I$132&lt;&gt;"")*(COUNTIF('Lớp 5 - Phân công'!$J$14:$J$262,INDEX('Lớp 4 - Danh mục'!$I$14:$I$132,T128+1):'Lớp 4 - Danh mục'!$I$132)=0),0),0)),IF(S128&lt;&gt;"Lớp 3",MATCH(1,INDEX(('Lớp 3 - Công việc chính'!$I$14:$I$73&lt;&gt;"")*(COUNTIF('Lớp 4 - Danh mục'!$J$14:$J$132,'Lớp 3 - Công việc chính'!$I$14:$I$73)=0),0),0),T128+MATCH(1,INDEX((INDEX('Lớp 3 - Công việc chính'!$I$14:$I$73,T128+1):'Lớp 3 - Công việc chính'!$I$73&lt;&gt;"")*(COUNTIF('Lớp 4 - Danh mục'!$J$14:$J$132,INDEX('Lớp 3 - Công việc chính'!$I$14:$I$73,T128+1):'Lớp 3 - Công việc chính'!$I$73)=0),0),0)))))</f>
        <v>#REF!</v>
      </c>
      <c r="Z129" s="700" t="str">
        <f t="array" ref="Z129">IF($S129="","",IF($S129="Lớp 5",INDEX('Lớp 5 - Phân công'!$AS$14:$AS$262,$T129),IF($S129="Lớp 4",INDEX('Lớp 4 - Danh mục'!$AR$14:$AR$132,$T129),INDEX('Lớp 3 - Công việc chính'!$AO$14:$AO$73,$T129))))</f>
        <v>#REF!</v>
      </c>
      <c r="AA129" s="701" t="str">
        <f t="array" ref="AA129">IF($S129="","",IF($S129="Lớp 5",INDEX('Lớp 5 - Phân công'!$AT$14:$AT$262,$T129),IF($S129="Lớp 4",INDEX('Lớp 4 - Danh mục'!$AS$14:$AS$132,$T129),INDEX('Lớp 3 - Công việc chính'!$AP$14:$AP$73,$T129))))</f>
        <v>#REF!</v>
      </c>
      <c r="AB129" s="701" t="str">
        <f t="array" ref="AB129">IF($S129="","",IF($S129="Lớp 5",INDEX('Lớp 5 - Phân công'!$AJ$14:$AJ$262,$T129),IF($S129="Lớp 4",INDEX('Lớp 4 - Danh mục'!$AI$14:$AI$132,$T129),INDEX('Lớp 3 - Công việc chính'!$AF$14:$AF$73,$T129))))</f>
        <v>#REF!</v>
      </c>
      <c r="AC129" s="702" t="str">
        <f t="array" ref="AC129">IF($S129="","",IF($S129="Lớp 5",INDEX('Lớp 5 - Phân công'!$AV$14:$AV$262,$T129),IF($S129="Lớp 4",INDEX('Lớp 4 - Danh mục'!$AU$14:$AU$132,$T129),INDEX('Lớp 3 - Công việc chính'!$AR$14:$AR$73,$T129))))</f>
        <v>#REF!</v>
      </c>
    </row>
    <row r="130" ht="15.75" customHeight="1">
      <c r="A130" s="690" t="str">
        <f t="shared" si="1"/>
        <v>#REF!</v>
      </c>
      <c r="B130" s="690" t="str">
        <f t="array" ref="B130">IF($S130="","",IF($S130="Lớp 5",INDEX('Lớp 5 - Phân công'!$I$14:$I$262,$T130),IF($S130="Lớp 4",INDEX('Lớp 4 - Danh mục'!$I$14:$I$132,$T130),INDEX('Lớp 3 - Công việc chính'!$I$14:$I$73,$T130))))</f>
        <v>#REF!</v>
      </c>
      <c r="C130" s="690" t="str">
        <f t="array" ref="C130">IF($S130="","",IF($S130="Lớp 5",INDEX('Lớp 5 - Phân công'!$K$14:$K$262,$T130),IF($S130="Lớp 4",INDEX('Lớp 4 - Danh mục'!$J$14:$J$132,$T130),INDEX('Lớp 3 - Công việc chính'!$I$14:$I$73,$T130))))</f>
        <v>#REF!</v>
      </c>
      <c r="D130" s="690" t="str">
        <f t="array" ref="D130">IF($S130="","",IF($S130="Lớp 5",INDEX('Lớp 5 - Phân công'!$J$14:$J$262,$T130),IF($S130="Lớp 4",INDEX('Lớp 4 - Danh mục'!$I$14:$I$132,$T130),"")))</f>
        <v>#REF!</v>
      </c>
      <c r="E130" s="690" t="str">
        <f t="array" ref="E130">IF($S130="","",IF($S130="Lớp 5",INDEX('Lớp 5 - Phân công'!$L$14:$L$262,$T130),IF($S130="Lớp 4",INDEX('Lớp 4 - Danh mục'!$K$14:$K$132,$T130),INDEX('Lớp 3 - Công việc chính'!$J$14:$J$73,$T130))))</f>
        <v>#REF!</v>
      </c>
      <c r="F130" s="690" t="str">
        <f t="array" ref="F130">IF($S130="","",IF($S130="Lớp 5",INDEX('Lớp 5 - Phân công'!$M$14:$M$262,$T130),IF($S130="Lớp 4",INDEX('Lớp 4 - Danh mục'!$L$14:$L$132,$T130),INDEX('Lớp 3 - Công việc chính'!$K$14:$K$73,$T130))))</f>
        <v>#REF!</v>
      </c>
      <c r="G130" s="691" t="str">
        <f t="array" ref="G130">IF($S130="","",IF($S130="Lớp 5",INDEX('Lớp 5 - Phân công'!$N$14:$N$262,$T130),IF($S130="Lớp 4",INDEX('Lớp 4 - Danh mục'!$M$14:$M$132,$T130),INDEX('Lớp 3 - Công việc chính'!$L$14:$L$73,$T130))))</f>
        <v>#REF!</v>
      </c>
      <c r="H130" s="692" t="str">
        <f t="array" ref="H130">IF($S130="","",IF($S130="Lớp 5",INDEX('Lớp 5 - Phân công'!$O$14:$O$262,$T130),IF($S130="Lớp 4",INDEX('Lớp 4 - Danh mục'!$N$14:$N$132,$T130),INDEX('Lớp 3 - Công việc chính'!$M$14:$M$73,$T130))))</f>
        <v>#REF!</v>
      </c>
      <c r="I130" s="692" t="str">
        <f t="array" ref="I130">IF($S130="","",IF($S130="Lớp 5",INDEX('Lớp 5 - Phân công'!$P$14:$P$262,$T130),IF($S130="Lớp 4",INDEX('Lớp 4 - Danh mục'!$O$14:$O$132,$T130),"")))</f>
        <v>#REF!</v>
      </c>
      <c r="J130" s="693" t="str">
        <f t="array" ref="J130">IF($S130="","",IF($S130="Lớp 5",INDEX('Lớp 5 - Phân công'!$Q$14:$Q$262,$T130),""))</f>
        <v>#REF!</v>
      </c>
      <c r="K130" s="690" t="str">
        <f t="array" ref="K130">IF($S130="","",IF($S130="Lớp 5",INDEX('Lớp 5 - Phân công'!$AA$14:$AA$262,$T130),IF($S130="Lớp 4",INDEX('Lớp 4 - Danh mục'!$Y$14:$Y$132,$T130),INDEX('Lớp 3 - Công việc chính'!$U$14:$U$73,$T130))))</f>
        <v>#REF!</v>
      </c>
      <c r="L130" s="691" t="str">
        <f t="array" ref="L130">IF($S130="","",IF($S130="Lớp 5",INDEX('Lớp 5 - Phân công'!$Z$14:$Z$262,$T130),IF($S130="Lớp 4",INDEX('Lớp 4 - Danh mục'!$X$14:$X$132,$T130),INDEX('Lớp 3 - Công việc chính'!$W$14:$W$73,$T130))))</f>
        <v>#REF!</v>
      </c>
      <c r="M130" s="694" t="str">
        <f t="array" ref="M130">IF($S130="","",IF($S130="Lớp 5",INDEX('Lớp 5 - Phân công'!$AD$14:$AD$262,$T130),IF($S130="Lớp 4",INDEX('Lớp 4 - Danh mục'!$AC$14:$AC$132,$T130),INDEX('Lớp 3 - Công việc chính'!$Z$14:$Z$73,$T130))))</f>
        <v>#REF!</v>
      </c>
      <c r="N130" s="695" t="str">
        <f t="array" ref="N130">IF($S130="","",IF($S130="Lớp 5",INDEX('Lớp 5 - Phân công'!$AE$14:$AE$262,$T130),IF($S130="Lớp 4",INDEX('Lớp 4 - Danh mục'!$AD$14:$AD$132,$T130),INDEX('Lớp 3 - Công việc chính'!$AA$14:$AA$73,$T130))))</f>
        <v>#REF!</v>
      </c>
      <c r="O130" s="690" t="str">
        <f t="array" ref="O130">IF($S130="","",IF($S130="Lớp 5",INDEX('Lớp 5 - Phân công'!$AB$14:$AB$262,$T130),IF($S130="Lớp 4",INDEX('Lớp 4 - Danh mục'!$AA$14:$AA$132,$T130),INDEX('Lớp 3 - Công việc chính'!$X$14:$X$73,$T130))))</f>
        <v>#REF!</v>
      </c>
      <c r="P130" s="703" t="str">
        <f t="array" ref="P130">IF($S130="","",IF($S130="Lớp 5",INDEX('Lớp 5 - Phân công'!$AC$14:$AC$262,$T130),IF($S130="Lớp 4",INDEX('Lớp 4 - Danh mục'!$AB$14:$AB$132,$T130),INDEX('Lớp 3 - Công việc chính'!$Y$14:$Y$73,$T130))))</f>
        <v>#REF!</v>
      </c>
      <c r="Q130" s="697" t="str">
        <f t="array" ref="Q130">IF($S130="","",IF($S130="Lớp 5",INDEX('Lớp 5 - Phân công'!$AG$14:$AG$262,$T130),IF($S130="Lớp 4",INDEX('Lớp 4 - Danh mục'!$AF$14:$AF$132,$T130),INDEX('Lớp 3 - Công việc chính'!$AC$14:$AC$73,$T130))))</f>
        <v>#REF!</v>
      </c>
      <c r="R130" s="698" t="str">
        <f t="array" ref="R130">IF($S130="","",IF($S130="Lớp 5",INDEX('Lớp 5 - Phân công'!$X$14:$X$262,$T130),IF($S130="Lớp 4",INDEX('Lớp 4 - Danh mục'!$V$14:$V$132,$T130),INDEX('Lớp 3 - Công việc chính'!$T$14:$T$73,$T130))))</f>
        <v>#REF!</v>
      </c>
      <c r="S130" s="699" t="str">
        <f>IF(ROWS($S$14:S130)&lt;=COUNTIF('Lớp 5 - Phân công'!$I$14:$I$262,"&lt;&gt;"),"Lớp 5",IF(ROWS($S$14:S130)&lt;=COUNTIF('Lớp 5 - Phân công'!$I$14:$I$262,"&lt;&gt;")+SUMPRODUCT(--('Lớp 4 - Danh mục'!$I$14:$I$132&lt;&gt;""),--(COUNTIF('Lớp 5 - Phân công'!$J$14:$J$262,'Lớp 4 - Danh mục'!$I$14:$I$132)=0)),"Lớp 4",IF(ROWS($S$14:S130)&lt;=COUNTIF('Lớp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0" s="699" t="str">
        <f t="array" ref="T130">IF(S130="","",IF(S130="Lớp 5",IF(S129&lt;&gt;"Lớp 5",MATCH("*",'Lớp 5 - Phân công'!$I$14:$I$262,0),T129+MATCH("*",INDEX('Lớp 5 - Phân công'!$I$14:$I$262,T129+1):'Lớp 5 - Phân công'!$I$262,0)),IF(S130="Lớp 4",IF(S129&lt;&gt;"Lớp 4",MATCH(1,INDEX(('Lớp 4 - Danh mục'!$I$14:$I$132&lt;&gt;"")*(COUNTIF('Lớp 5 - Phân công'!$J$14:$J$262,'Lớp 4 - Danh mục'!$I$14:$I$132)=0),0),0),T129+MATCH(1,INDEX((INDEX('Lớp 4 - Danh mục'!$I$14:$I$132,T129+1):'Lớp 4 - Danh mục'!$I$132&lt;&gt;"")*(COUNTIF('Lớp 5 - Phân công'!$J$14:$J$262,INDEX('Lớp 4 - Danh mục'!$I$14:$I$132,T129+1):'Lớp 4 - Danh mục'!$I$132)=0),0),0)),IF(S129&lt;&gt;"Lớp 3",MATCH(1,INDEX(('Lớp 3 - Công việc chính'!$I$14:$I$73&lt;&gt;"")*(COUNTIF('Lớp 4 - Danh mục'!$J$14:$J$132,'Lớp 3 - Công việc chính'!$I$14:$I$73)=0),0),0),T129+MATCH(1,INDEX((INDEX('Lớp 3 - Công việc chính'!$I$14:$I$73,T129+1):'Lớp 3 - Công việc chính'!$I$73&lt;&gt;"")*(COUNTIF('Lớp 4 - Danh mục'!$J$14:$J$132,INDEX('Lớp 3 - Công việc chính'!$I$14:$I$73,T129+1):'Lớp 3 - Công việc chính'!$I$73)=0),0),0)))))</f>
        <v>#REF!</v>
      </c>
      <c r="Z130" s="700" t="str">
        <f t="array" ref="Z130">IF($S130="","",IF($S130="Lớp 5",INDEX('Lớp 5 - Phân công'!$AS$14:$AS$262,$T130),IF($S130="Lớp 4",INDEX('Lớp 4 - Danh mục'!$AR$14:$AR$132,$T130),INDEX('Lớp 3 - Công việc chính'!$AO$14:$AO$73,$T130))))</f>
        <v>#REF!</v>
      </c>
      <c r="AA130" s="701" t="str">
        <f t="array" ref="AA130">IF($S130="","",IF($S130="Lớp 5",INDEX('Lớp 5 - Phân công'!$AT$14:$AT$262,$T130),IF($S130="Lớp 4",INDEX('Lớp 4 - Danh mục'!$AS$14:$AS$132,$T130),INDEX('Lớp 3 - Công việc chính'!$AP$14:$AP$73,$T130))))</f>
        <v>#REF!</v>
      </c>
      <c r="AB130" s="701" t="str">
        <f t="array" ref="AB130">IF($S130="","",IF($S130="Lớp 5",INDEX('Lớp 5 - Phân công'!$AJ$14:$AJ$262,$T130),IF($S130="Lớp 4",INDEX('Lớp 4 - Danh mục'!$AI$14:$AI$132,$T130),INDEX('Lớp 3 - Công việc chính'!$AF$14:$AF$73,$T130))))</f>
        <v>#REF!</v>
      </c>
      <c r="AC130" s="702" t="str">
        <f t="array" ref="AC130">IF($S130="","",IF($S130="Lớp 5",INDEX('Lớp 5 - Phân công'!$AV$14:$AV$262,$T130),IF($S130="Lớp 4",INDEX('Lớp 4 - Danh mục'!$AU$14:$AU$132,$T130),INDEX('Lớp 3 - Công việc chính'!$AR$14:$AR$73,$T130))))</f>
        <v>#REF!</v>
      </c>
    </row>
    <row r="131" ht="15.75" customHeight="1">
      <c r="A131" s="690" t="str">
        <f t="shared" si="1"/>
        <v>#REF!</v>
      </c>
      <c r="B131" s="690" t="str">
        <f t="array" ref="B131">IF($S131="","",IF($S131="Lớp 5",INDEX('Lớp 5 - Phân công'!$I$14:$I$262,$T131),IF($S131="Lớp 4",INDEX('Lớp 4 - Danh mục'!$I$14:$I$132,$T131),INDEX('Lớp 3 - Công việc chính'!$I$14:$I$73,$T131))))</f>
        <v>#REF!</v>
      </c>
      <c r="C131" s="690" t="str">
        <f t="array" ref="C131">IF($S131="","",IF($S131="Lớp 5",INDEX('Lớp 5 - Phân công'!$K$14:$K$262,$T131),IF($S131="Lớp 4",INDEX('Lớp 4 - Danh mục'!$J$14:$J$132,$T131),INDEX('Lớp 3 - Công việc chính'!$I$14:$I$73,$T131))))</f>
        <v>#REF!</v>
      </c>
      <c r="D131" s="690" t="str">
        <f t="array" ref="D131">IF($S131="","",IF($S131="Lớp 5",INDEX('Lớp 5 - Phân công'!$J$14:$J$262,$T131),IF($S131="Lớp 4",INDEX('Lớp 4 - Danh mục'!$I$14:$I$132,$T131),"")))</f>
        <v>#REF!</v>
      </c>
      <c r="E131" s="690" t="str">
        <f t="array" ref="E131">IF($S131="","",IF($S131="Lớp 5",INDEX('Lớp 5 - Phân công'!$L$14:$L$262,$T131),IF($S131="Lớp 4",INDEX('Lớp 4 - Danh mục'!$K$14:$K$132,$T131),INDEX('Lớp 3 - Công việc chính'!$J$14:$J$73,$T131))))</f>
        <v>#REF!</v>
      </c>
      <c r="F131" s="690" t="str">
        <f t="array" ref="F131">IF($S131="","",IF($S131="Lớp 5",INDEX('Lớp 5 - Phân công'!$M$14:$M$262,$T131),IF($S131="Lớp 4",INDEX('Lớp 4 - Danh mục'!$L$14:$L$132,$T131),INDEX('Lớp 3 - Công việc chính'!$K$14:$K$73,$T131))))</f>
        <v>#REF!</v>
      </c>
      <c r="G131" s="691" t="str">
        <f t="array" ref="G131">IF($S131="","",IF($S131="Lớp 5",INDEX('Lớp 5 - Phân công'!$N$14:$N$262,$T131),IF($S131="Lớp 4",INDEX('Lớp 4 - Danh mục'!$M$14:$M$132,$T131),INDEX('Lớp 3 - Công việc chính'!$L$14:$L$73,$T131))))</f>
        <v>#REF!</v>
      </c>
      <c r="H131" s="692" t="str">
        <f t="array" ref="H131">IF($S131="","",IF($S131="Lớp 5",INDEX('Lớp 5 - Phân công'!$O$14:$O$262,$T131),IF($S131="Lớp 4",INDEX('Lớp 4 - Danh mục'!$N$14:$N$132,$T131),INDEX('Lớp 3 - Công việc chính'!$M$14:$M$73,$T131))))</f>
        <v>#REF!</v>
      </c>
      <c r="I131" s="692" t="str">
        <f t="array" ref="I131">IF($S131="","",IF($S131="Lớp 5",INDEX('Lớp 5 - Phân công'!$P$14:$P$262,$T131),IF($S131="Lớp 4",INDEX('Lớp 4 - Danh mục'!$O$14:$O$132,$T131),"")))</f>
        <v>#REF!</v>
      </c>
      <c r="J131" s="693" t="str">
        <f t="array" ref="J131">IF($S131="","",IF($S131="Lớp 5",INDEX('Lớp 5 - Phân công'!$Q$14:$Q$262,$T131),""))</f>
        <v>#REF!</v>
      </c>
      <c r="K131" s="690" t="str">
        <f t="array" ref="K131">IF($S131="","",IF($S131="Lớp 5",INDEX('Lớp 5 - Phân công'!$AA$14:$AA$262,$T131),IF($S131="Lớp 4",INDEX('Lớp 4 - Danh mục'!$Y$14:$Y$132,$T131),INDEX('Lớp 3 - Công việc chính'!$U$14:$U$73,$T131))))</f>
        <v>#REF!</v>
      </c>
      <c r="L131" s="691" t="str">
        <f t="array" ref="L131">IF($S131="","",IF($S131="Lớp 5",INDEX('Lớp 5 - Phân công'!$Z$14:$Z$262,$T131),IF($S131="Lớp 4",INDEX('Lớp 4 - Danh mục'!$X$14:$X$132,$T131),INDEX('Lớp 3 - Công việc chính'!$W$14:$W$73,$T131))))</f>
        <v>#REF!</v>
      </c>
      <c r="M131" s="694" t="str">
        <f t="array" ref="M131">IF($S131="","",IF($S131="Lớp 5",INDEX('Lớp 5 - Phân công'!$AD$14:$AD$262,$T131),IF($S131="Lớp 4",INDEX('Lớp 4 - Danh mục'!$AC$14:$AC$132,$T131),INDEX('Lớp 3 - Công việc chính'!$Z$14:$Z$73,$T131))))</f>
        <v>#REF!</v>
      </c>
      <c r="N131" s="695" t="str">
        <f t="array" ref="N131">IF($S131="","",IF($S131="Lớp 5",INDEX('Lớp 5 - Phân công'!$AE$14:$AE$262,$T131),IF($S131="Lớp 4",INDEX('Lớp 4 - Danh mục'!$AD$14:$AD$132,$T131),INDEX('Lớp 3 - Công việc chính'!$AA$14:$AA$73,$T131))))</f>
        <v>#REF!</v>
      </c>
      <c r="O131" s="690" t="str">
        <f t="array" ref="O131">IF($S131="","",IF($S131="Lớp 5",INDEX('Lớp 5 - Phân công'!$AB$14:$AB$262,$T131),IF($S131="Lớp 4",INDEX('Lớp 4 - Danh mục'!$AA$14:$AA$132,$T131),INDEX('Lớp 3 - Công việc chính'!$X$14:$X$73,$T131))))</f>
        <v>#REF!</v>
      </c>
      <c r="P131" s="703" t="str">
        <f t="array" ref="P131">IF($S131="","",IF($S131="Lớp 5",INDEX('Lớp 5 - Phân công'!$AC$14:$AC$262,$T131),IF($S131="Lớp 4",INDEX('Lớp 4 - Danh mục'!$AB$14:$AB$132,$T131),INDEX('Lớp 3 - Công việc chính'!$Y$14:$Y$73,$T131))))</f>
        <v>#REF!</v>
      </c>
      <c r="Q131" s="697" t="str">
        <f t="array" ref="Q131">IF($S131="","",IF($S131="Lớp 5",INDEX('Lớp 5 - Phân công'!$AG$14:$AG$262,$T131),IF($S131="Lớp 4",INDEX('Lớp 4 - Danh mục'!$AF$14:$AF$132,$T131),INDEX('Lớp 3 - Công việc chính'!$AC$14:$AC$73,$T131))))</f>
        <v>#REF!</v>
      </c>
      <c r="R131" s="698" t="str">
        <f t="array" ref="R131">IF($S131="","",IF($S131="Lớp 5",INDEX('Lớp 5 - Phân công'!$X$14:$X$262,$T131),IF($S131="Lớp 4",INDEX('Lớp 4 - Danh mục'!$V$14:$V$132,$T131),INDEX('Lớp 3 - Công việc chính'!$T$14:$T$73,$T131))))</f>
        <v>#REF!</v>
      </c>
      <c r="S131" s="699" t="str">
        <f>IF(ROWS($S$14:S131)&lt;=COUNTIF('Lớp 5 - Phân công'!$I$14:$I$262,"&lt;&gt;"),"Lớp 5",IF(ROWS($S$14:S131)&lt;=COUNTIF('Lớp 5 - Phân công'!$I$14:$I$262,"&lt;&gt;")+SUMPRODUCT(--('Lớp 4 - Danh mục'!$I$14:$I$132&lt;&gt;""),--(COUNTIF('Lớp 5 - Phân công'!$J$14:$J$262,'Lớp 4 - Danh mục'!$I$14:$I$132)=0)),"Lớp 4",IF(ROWS($S$14:S131)&lt;=COUNTIF('Lớp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1" s="699" t="str">
        <f t="array" ref="T131">IF(S131="","",IF(S131="Lớp 5",IF(S130&lt;&gt;"Lớp 5",MATCH("*",'Lớp 5 - Phân công'!$I$14:$I$262,0),T130+MATCH("*",INDEX('Lớp 5 - Phân công'!$I$14:$I$262,T130+1):'Lớp 5 - Phân công'!$I$262,0)),IF(S131="Lớp 4",IF(S130&lt;&gt;"Lớp 4",MATCH(1,INDEX(('Lớp 4 - Danh mục'!$I$14:$I$132&lt;&gt;"")*(COUNTIF('Lớp 5 - Phân công'!$J$14:$J$262,'Lớp 4 - Danh mục'!$I$14:$I$132)=0),0),0),T130+MATCH(1,INDEX((INDEX('Lớp 4 - Danh mục'!$I$14:$I$132,T130+1):'Lớp 4 - Danh mục'!$I$132&lt;&gt;"")*(COUNTIF('Lớp 5 - Phân công'!$J$14:$J$262,INDEX('Lớp 4 - Danh mục'!$I$14:$I$132,T130+1):'Lớp 4 - Danh mục'!$I$132)=0),0),0)),IF(S130&lt;&gt;"Lớp 3",MATCH(1,INDEX(('Lớp 3 - Công việc chính'!$I$14:$I$73&lt;&gt;"")*(COUNTIF('Lớp 4 - Danh mục'!$J$14:$J$132,'Lớp 3 - Công việc chính'!$I$14:$I$73)=0),0),0),T130+MATCH(1,INDEX((INDEX('Lớp 3 - Công việc chính'!$I$14:$I$73,T130+1):'Lớp 3 - Công việc chính'!$I$73&lt;&gt;"")*(COUNTIF('Lớp 4 - Danh mục'!$J$14:$J$132,INDEX('Lớp 3 - Công việc chính'!$I$14:$I$73,T130+1):'Lớp 3 - Công việc chính'!$I$73)=0),0),0)))))</f>
        <v>#REF!</v>
      </c>
      <c r="Z131" s="700" t="str">
        <f t="array" ref="Z131">IF($S131="","",IF($S131="Lớp 5",INDEX('Lớp 5 - Phân công'!$AS$14:$AS$262,$T131),IF($S131="Lớp 4",INDEX('Lớp 4 - Danh mục'!$AR$14:$AR$132,$T131),INDEX('Lớp 3 - Công việc chính'!$AO$14:$AO$73,$T131))))</f>
        <v>#REF!</v>
      </c>
      <c r="AA131" s="701" t="str">
        <f t="array" ref="AA131">IF($S131="","",IF($S131="Lớp 5",INDEX('Lớp 5 - Phân công'!$AT$14:$AT$262,$T131),IF($S131="Lớp 4",INDEX('Lớp 4 - Danh mục'!$AS$14:$AS$132,$T131),INDEX('Lớp 3 - Công việc chính'!$AP$14:$AP$73,$T131))))</f>
        <v>#REF!</v>
      </c>
      <c r="AB131" s="701" t="str">
        <f t="array" ref="AB131">IF($S131="","",IF($S131="Lớp 5",INDEX('Lớp 5 - Phân công'!$AJ$14:$AJ$262,$T131),IF($S131="Lớp 4",INDEX('Lớp 4 - Danh mục'!$AI$14:$AI$132,$T131),INDEX('Lớp 3 - Công việc chính'!$AF$14:$AF$73,$T131))))</f>
        <v>#REF!</v>
      </c>
      <c r="AC131" s="702" t="str">
        <f t="array" ref="AC131">IF($S131="","",IF($S131="Lớp 5",INDEX('Lớp 5 - Phân công'!$AV$14:$AV$262,$T131),IF($S131="Lớp 4",INDEX('Lớp 4 - Danh mục'!$AU$14:$AU$132,$T131),INDEX('Lớp 3 - Công việc chính'!$AR$14:$AR$73,$T131))))</f>
        <v>#REF!</v>
      </c>
    </row>
    <row r="132" ht="15.75" customHeight="1">
      <c r="A132" s="690" t="str">
        <f t="shared" si="1"/>
        <v>#REF!</v>
      </c>
      <c r="B132" s="690" t="str">
        <f t="array" ref="B132">IF($S132="","",IF($S132="Lớp 5",INDEX('Lớp 5 - Phân công'!$I$14:$I$262,$T132),IF($S132="Lớp 4",INDEX('Lớp 4 - Danh mục'!$I$14:$I$132,$T132),INDEX('Lớp 3 - Công việc chính'!$I$14:$I$73,$T132))))</f>
        <v>#REF!</v>
      </c>
      <c r="C132" s="690" t="str">
        <f t="array" ref="C132">IF($S132="","",IF($S132="Lớp 5",INDEX('Lớp 5 - Phân công'!$K$14:$K$262,$T132),IF($S132="Lớp 4",INDEX('Lớp 4 - Danh mục'!$J$14:$J$132,$T132),INDEX('Lớp 3 - Công việc chính'!$I$14:$I$73,$T132))))</f>
        <v>#REF!</v>
      </c>
      <c r="D132" s="690" t="str">
        <f t="array" ref="D132">IF($S132="","",IF($S132="Lớp 5",INDEX('Lớp 5 - Phân công'!$J$14:$J$262,$T132),IF($S132="Lớp 4",INDEX('Lớp 4 - Danh mục'!$I$14:$I$132,$T132),"")))</f>
        <v>#REF!</v>
      </c>
      <c r="E132" s="690" t="str">
        <f t="array" ref="E132">IF($S132="","",IF($S132="Lớp 5",INDEX('Lớp 5 - Phân công'!$L$14:$L$262,$T132),IF($S132="Lớp 4",INDEX('Lớp 4 - Danh mục'!$K$14:$K$132,$T132),INDEX('Lớp 3 - Công việc chính'!$J$14:$J$73,$T132))))</f>
        <v>#REF!</v>
      </c>
      <c r="F132" s="690" t="str">
        <f t="array" ref="F132">IF($S132="","",IF($S132="Lớp 5",INDEX('Lớp 5 - Phân công'!$M$14:$M$262,$T132),IF($S132="Lớp 4",INDEX('Lớp 4 - Danh mục'!$L$14:$L$132,$T132),INDEX('Lớp 3 - Công việc chính'!$K$14:$K$73,$T132))))</f>
        <v>#REF!</v>
      </c>
      <c r="G132" s="691" t="str">
        <f t="array" ref="G132">IF($S132="","",IF($S132="Lớp 5",INDEX('Lớp 5 - Phân công'!$N$14:$N$262,$T132),IF($S132="Lớp 4",INDEX('Lớp 4 - Danh mục'!$M$14:$M$132,$T132),INDEX('Lớp 3 - Công việc chính'!$L$14:$L$73,$T132))))</f>
        <v>#REF!</v>
      </c>
      <c r="H132" s="692" t="str">
        <f t="array" ref="H132">IF($S132="","",IF($S132="Lớp 5",INDEX('Lớp 5 - Phân công'!$O$14:$O$262,$T132),IF($S132="Lớp 4",INDEX('Lớp 4 - Danh mục'!$N$14:$N$132,$T132),INDEX('Lớp 3 - Công việc chính'!$M$14:$M$73,$T132))))</f>
        <v>#REF!</v>
      </c>
      <c r="I132" s="692" t="str">
        <f t="array" ref="I132">IF($S132="","",IF($S132="Lớp 5",INDEX('Lớp 5 - Phân công'!$P$14:$P$262,$T132),IF($S132="Lớp 4",INDEX('Lớp 4 - Danh mục'!$O$14:$O$132,$T132),"")))</f>
        <v>#REF!</v>
      </c>
      <c r="J132" s="693" t="str">
        <f t="array" ref="J132">IF($S132="","",IF($S132="Lớp 5",INDEX('Lớp 5 - Phân công'!$Q$14:$Q$262,$T132),""))</f>
        <v>#REF!</v>
      </c>
      <c r="K132" s="690" t="str">
        <f t="array" ref="K132">IF($S132="","",IF($S132="Lớp 5",INDEX('Lớp 5 - Phân công'!$AA$14:$AA$262,$T132),IF($S132="Lớp 4",INDEX('Lớp 4 - Danh mục'!$Y$14:$Y$132,$T132),INDEX('Lớp 3 - Công việc chính'!$U$14:$U$73,$T132))))</f>
        <v>#REF!</v>
      </c>
      <c r="L132" s="691" t="str">
        <f t="array" ref="L132">IF($S132="","",IF($S132="Lớp 5",INDEX('Lớp 5 - Phân công'!$Z$14:$Z$262,$T132),IF($S132="Lớp 4",INDEX('Lớp 4 - Danh mục'!$X$14:$X$132,$T132),INDEX('Lớp 3 - Công việc chính'!$W$14:$W$73,$T132))))</f>
        <v>#REF!</v>
      </c>
      <c r="M132" s="694" t="str">
        <f t="array" ref="M132">IF($S132="","",IF($S132="Lớp 5",INDEX('Lớp 5 - Phân công'!$AD$14:$AD$262,$T132),IF($S132="Lớp 4",INDEX('Lớp 4 - Danh mục'!$AC$14:$AC$132,$T132),INDEX('Lớp 3 - Công việc chính'!$Z$14:$Z$73,$T132))))</f>
        <v>#REF!</v>
      </c>
      <c r="N132" s="695" t="str">
        <f t="array" ref="N132">IF($S132="","",IF($S132="Lớp 5",INDEX('Lớp 5 - Phân công'!$AE$14:$AE$262,$T132),IF($S132="Lớp 4",INDEX('Lớp 4 - Danh mục'!$AD$14:$AD$132,$T132),INDEX('Lớp 3 - Công việc chính'!$AA$14:$AA$73,$T132))))</f>
        <v>#REF!</v>
      </c>
      <c r="O132" s="690" t="str">
        <f t="array" ref="O132">IF($S132="","",IF($S132="Lớp 5",INDEX('Lớp 5 - Phân công'!$AB$14:$AB$262,$T132),IF($S132="Lớp 4",INDEX('Lớp 4 - Danh mục'!$AA$14:$AA$132,$T132),INDEX('Lớp 3 - Công việc chính'!$X$14:$X$73,$T132))))</f>
        <v>#REF!</v>
      </c>
      <c r="P132" s="703" t="str">
        <f t="array" ref="P132">IF($S132="","",IF($S132="Lớp 5",INDEX('Lớp 5 - Phân công'!$AC$14:$AC$262,$T132),IF($S132="Lớp 4",INDEX('Lớp 4 - Danh mục'!$AB$14:$AB$132,$T132),INDEX('Lớp 3 - Công việc chính'!$Y$14:$Y$73,$T132))))</f>
        <v>#REF!</v>
      </c>
      <c r="Q132" s="697" t="str">
        <f t="array" ref="Q132">IF($S132="","",IF($S132="Lớp 5",INDEX('Lớp 5 - Phân công'!$AG$14:$AG$262,$T132),IF($S132="Lớp 4",INDEX('Lớp 4 - Danh mục'!$AF$14:$AF$132,$T132),INDEX('Lớp 3 - Công việc chính'!$AC$14:$AC$73,$T132))))</f>
        <v>#REF!</v>
      </c>
      <c r="R132" s="698" t="str">
        <f t="array" ref="R132">IF($S132="","",IF($S132="Lớp 5",INDEX('Lớp 5 - Phân công'!$X$14:$X$262,$T132),IF($S132="Lớp 4",INDEX('Lớp 4 - Danh mục'!$V$14:$V$132,$T132),INDEX('Lớp 3 - Công việc chính'!$T$14:$T$73,$T132))))</f>
        <v>#REF!</v>
      </c>
      <c r="S132" s="699" t="str">
        <f>IF(ROWS($S$14:S132)&lt;=COUNTIF('Lớp 5 - Phân công'!$I$14:$I$262,"&lt;&gt;"),"Lớp 5",IF(ROWS($S$14:S132)&lt;=COUNTIF('Lớp 5 - Phân công'!$I$14:$I$262,"&lt;&gt;")+SUMPRODUCT(--('Lớp 4 - Danh mục'!$I$14:$I$132&lt;&gt;""),--(COUNTIF('Lớp 5 - Phân công'!$J$14:$J$262,'Lớp 4 - Danh mục'!$I$14:$I$132)=0)),"Lớp 4",IF(ROWS($S$14:S132)&lt;=COUNTIF('Lớp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2" s="699" t="str">
        <f t="array" ref="T132">IF(S132="","",IF(S132="Lớp 5",IF(S131&lt;&gt;"Lớp 5",MATCH("*",'Lớp 5 - Phân công'!$I$14:$I$262,0),T131+MATCH("*",INDEX('Lớp 5 - Phân công'!$I$14:$I$262,T131+1):'Lớp 5 - Phân công'!$I$262,0)),IF(S132="Lớp 4",IF(S131&lt;&gt;"Lớp 4",MATCH(1,INDEX(('Lớp 4 - Danh mục'!$I$14:$I$132&lt;&gt;"")*(COUNTIF('Lớp 5 - Phân công'!$J$14:$J$262,'Lớp 4 - Danh mục'!$I$14:$I$132)=0),0),0),T131+MATCH(1,INDEX((INDEX('Lớp 4 - Danh mục'!$I$14:$I$132,T131+1):'Lớp 4 - Danh mục'!$I$132&lt;&gt;"")*(COUNTIF('Lớp 5 - Phân công'!$J$14:$J$262,INDEX('Lớp 4 - Danh mục'!$I$14:$I$132,T131+1):'Lớp 4 - Danh mục'!$I$132)=0),0),0)),IF(S131&lt;&gt;"Lớp 3",MATCH(1,INDEX(('Lớp 3 - Công việc chính'!$I$14:$I$73&lt;&gt;"")*(COUNTIF('Lớp 4 - Danh mục'!$J$14:$J$132,'Lớp 3 - Công việc chính'!$I$14:$I$73)=0),0),0),T131+MATCH(1,INDEX((INDEX('Lớp 3 - Công việc chính'!$I$14:$I$73,T131+1):'Lớp 3 - Công việc chính'!$I$73&lt;&gt;"")*(COUNTIF('Lớp 4 - Danh mục'!$J$14:$J$132,INDEX('Lớp 3 - Công việc chính'!$I$14:$I$73,T131+1):'Lớp 3 - Công việc chính'!$I$73)=0),0),0)))))</f>
        <v>#REF!</v>
      </c>
      <c r="Z132" s="700" t="str">
        <f t="array" ref="Z132">IF($S132="","",IF($S132="Lớp 5",INDEX('Lớp 5 - Phân công'!$AS$14:$AS$262,$T132),IF($S132="Lớp 4",INDEX('Lớp 4 - Danh mục'!$AR$14:$AR$132,$T132),INDEX('Lớp 3 - Công việc chính'!$AO$14:$AO$73,$T132))))</f>
        <v>#REF!</v>
      </c>
      <c r="AA132" s="701" t="str">
        <f t="array" ref="AA132">IF($S132="","",IF($S132="Lớp 5",INDEX('Lớp 5 - Phân công'!$AT$14:$AT$262,$T132),IF($S132="Lớp 4",INDEX('Lớp 4 - Danh mục'!$AS$14:$AS$132,$T132),INDEX('Lớp 3 - Công việc chính'!$AP$14:$AP$73,$T132))))</f>
        <v>#REF!</v>
      </c>
      <c r="AB132" s="701" t="str">
        <f t="array" ref="AB132">IF($S132="","",IF($S132="Lớp 5",INDEX('Lớp 5 - Phân công'!$AJ$14:$AJ$262,$T132),IF($S132="Lớp 4",INDEX('Lớp 4 - Danh mục'!$AI$14:$AI$132,$T132),INDEX('Lớp 3 - Công việc chính'!$AF$14:$AF$73,$T132))))</f>
        <v>#REF!</v>
      </c>
      <c r="AC132" s="702" t="str">
        <f t="array" ref="AC132">IF($S132="","",IF($S132="Lớp 5",INDEX('Lớp 5 - Phân công'!$AV$14:$AV$262,$T132),IF($S132="Lớp 4",INDEX('Lớp 4 - Danh mục'!$AU$14:$AU$132,$T132),INDEX('Lớp 3 - Công việc chính'!$AR$14:$AR$73,$T132))))</f>
        <v>#REF!</v>
      </c>
    </row>
    <row r="133" ht="15.75" customHeight="1">
      <c r="A133" s="690" t="str">
        <f t="shared" si="1"/>
        <v>#REF!</v>
      </c>
      <c r="B133" s="690" t="str">
        <f t="array" ref="B133">IF($S133="","",IF($S133="Lớp 5",INDEX('Lớp 5 - Phân công'!$I$14:$I$262,$T133),IF($S133="Lớp 4",INDEX('Lớp 4 - Danh mục'!$I$14:$I$132,$T133),INDEX('Lớp 3 - Công việc chính'!$I$14:$I$73,$T133))))</f>
        <v>#REF!</v>
      </c>
      <c r="C133" s="690" t="str">
        <f t="array" ref="C133">IF($S133="","",IF($S133="Lớp 5",INDEX('Lớp 5 - Phân công'!$K$14:$K$262,$T133),IF($S133="Lớp 4",INDEX('Lớp 4 - Danh mục'!$J$14:$J$132,$T133),INDEX('Lớp 3 - Công việc chính'!$I$14:$I$73,$T133))))</f>
        <v>#REF!</v>
      </c>
      <c r="D133" s="690" t="str">
        <f t="array" ref="D133">IF($S133="","",IF($S133="Lớp 5",INDEX('Lớp 5 - Phân công'!$J$14:$J$262,$T133),IF($S133="Lớp 4",INDEX('Lớp 4 - Danh mục'!$I$14:$I$132,$T133),"")))</f>
        <v>#REF!</v>
      </c>
      <c r="E133" s="690" t="str">
        <f t="array" ref="E133">IF($S133="","",IF($S133="Lớp 5",INDEX('Lớp 5 - Phân công'!$L$14:$L$262,$T133),IF($S133="Lớp 4",INDEX('Lớp 4 - Danh mục'!$K$14:$K$132,$T133),INDEX('Lớp 3 - Công việc chính'!$J$14:$J$73,$T133))))</f>
        <v>#REF!</v>
      </c>
      <c r="F133" s="690" t="str">
        <f t="array" ref="F133">IF($S133="","",IF($S133="Lớp 5",INDEX('Lớp 5 - Phân công'!$M$14:$M$262,$T133),IF($S133="Lớp 4",INDEX('Lớp 4 - Danh mục'!$L$14:$L$132,$T133),INDEX('Lớp 3 - Công việc chính'!$K$14:$K$73,$T133))))</f>
        <v>#REF!</v>
      </c>
      <c r="G133" s="691" t="str">
        <f t="array" ref="G133">IF($S133="","",IF($S133="Lớp 5",INDEX('Lớp 5 - Phân công'!$N$14:$N$262,$T133),IF($S133="Lớp 4",INDEX('Lớp 4 - Danh mục'!$M$14:$M$132,$T133),INDEX('Lớp 3 - Công việc chính'!$L$14:$L$73,$T133))))</f>
        <v>#REF!</v>
      </c>
      <c r="H133" s="692" t="str">
        <f t="array" ref="H133">IF($S133="","",IF($S133="Lớp 5",INDEX('Lớp 5 - Phân công'!$O$14:$O$262,$T133),IF($S133="Lớp 4",INDEX('Lớp 4 - Danh mục'!$N$14:$N$132,$T133),INDEX('Lớp 3 - Công việc chính'!$M$14:$M$73,$T133))))</f>
        <v>#REF!</v>
      </c>
      <c r="I133" s="692" t="str">
        <f t="array" ref="I133">IF($S133="","",IF($S133="Lớp 5",INDEX('Lớp 5 - Phân công'!$P$14:$P$262,$T133),IF($S133="Lớp 4",INDEX('Lớp 4 - Danh mục'!$O$14:$O$132,$T133),"")))</f>
        <v>#REF!</v>
      </c>
      <c r="J133" s="693" t="str">
        <f t="array" ref="J133">IF($S133="","",IF($S133="Lớp 5",INDEX('Lớp 5 - Phân công'!$Q$14:$Q$262,$T133),""))</f>
        <v>#REF!</v>
      </c>
      <c r="K133" s="690" t="str">
        <f t="array" ref="K133">IF($S133="","",IF($S133="Lớp 5",INDEX('Lớp 5 - Phân công'!$AA$14:$AA$262,$T133),IF($S133="Lớp 4",INDEX('Lớp 4 - Danh mục'!$Y$14:$Y$132,$T133),INDEX('Lớp 3 - Công việc chính'!$U$14:$U$73,$T133))))</f>
        <v>#REF!</v>
      </c>
      <c r="L133" s="691" t="str">
        <f t="array" ref="L133">IF($S133="","",IF($S133="Lớp 5",INDEX('Lớp 5 - Phân công'!$Z$14:$Z$262,$T133),IF($S133="Lớp 4",INDEX('Lớp 4 - Danh mục'!$X$14:$X$132,$T133),INDEX('Lớp 3 - Công việc chính'!$W$14:$W$73,$T133))))</f>
        <v>#REF!</v>
      </c>
      <c r="M133" s="694" t="str">
        <f t="array" ref="M133">IF($S133="","",IF($S133="Lớp 5",INDEX('Lớp 5 - Phân công'!$AD$14:$AD$262,$T133),IF($S133="Lớp 4",INDEX('Lớp 4 - Danh mục'!$AC$14:$AC$132,$T133),INDEX('Lớp 3 - Công việc chính'!$Z$14:$Z$73,$T133))))</f>
        <v>#REF!</v>
      </c>
      <c r="N133" s="695" t="str">
        <f t="array" ref="N133">IF($S133="","",IF($S133="Lớp 5",INDEX('Lớp 5 - Phân công'!$AE$14:$AE$262,$T133),IF($S133="Lớp 4",INDEX('Lớp 4 - Danh mục'!$AD$14:$AD$132,$T133),INDEX('Lớp 3 - Công việc chính'!$AA$14:$AA$73,$T133))))</f>
        <v>#REF!</v>
      </c>
      <c r="O133" s="690" t="str">
        <f t="array" ref="O133">IF($S133="","",IF($S133="Lớp 5",INDEX('Lớp 5 - Phân công'!$AB$14:$AB$262,$T133),IF($S133="Lớp 4",INDEX('Lớp 4 - Danh mục'!$AA$14:$AA$132,$T133),INDEX('Lớp 3 - Công việc chính'!$X$14:$X$73,$T133))))</f>
        <v>#REF!</v>
      </c>
      <c r="P133" s="703" t="str">
        <f t="array" ref="P133">IF($S133="","",IF($S133="Lớp 5",INDEX('Lớp 5 - Phân công'!$AC$14:$AC$262,$T133),IF($S133="Lớp 4",INDEX('Lớp 4 - Danh mục'!$AB$14:$AB$132,$T133),INDEX('Lớp 3 - Công việc chính'!$Y$14:$Y$73,$T133))))</f>
        <v>#REF!</v>
      </c>
      <c r="Q133" s="697" t="str">
        <f t="array" ref="Q133">IF($S133="","",IF($S133="Lớp 5",INDEX('Lớp 5 - Phân công'!$AG$14:$AG$262,$T133),IF($S133="Lớp 4",INDEX('Lớp 4 - Danh mục'!$AF$14:$AF$132,$T133),INDEX('Lớp 3 - Công việc chính'!$AC$14:$AC$73,$T133))))</f>
        <v>#REF!</v>
      </c>
      <c r="R133" s="698" t="str">
        <f t="array" ref="R133">IF($S133="","",IF($S133="Lớp 5",INDEX('Lớp 5 - Phân công'!$X$14:$X$262,$T133),IF($S133="Lớp 4",INDEX('Lớp 4 - Danh mục'!$V$14:$V$132,$T133),INDEX('Lớp 3 - Công việc chính'!$T$14:$T$73,$T133))))</f>
        <v>#REF!</v>
      </c>
      <c r="S133" s="699" t="str">
        <f>IF(ROWS($S$14:S133)&lt;=COUNTIF('Lớp 5 - Phân công'!$I$14:$I$262,"&lt;&gt;"),"Lớp 5",IF(ROWS($S$14:S133)&lt;=COUNTIF('Lớp 5 - Phân công'!$I$14:$I$262,"&lt;&gt;")+SUMPRODUCT(--('Lớp 4 - Danh mục'!$I$14:$I$132&lt;&gt;""),--(COUNTIF('Lớp 5 - Phân công'!$J$14:$J$262,'Lớp 4 - Danh mục'!$I$14:$I$132)=0)),"Lớp 4",IF(ROWS($S$14:S133)&lt;=COUNTIF('Lớp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3" s="699" t="str">
        <f t="array" ref="T133">IF(S133="","",IF(S133="Lớp 5",IF(S132&lt;&gt;"Lớp 5",MATCH("*",'Lớp 5 - Phân công'!$I$14:$I$262,0),T132+MATCH("*",INDEX('Lớp 5 - Phân công'!$I$14:$I$262,T132+1):'Lớp 5 - Phân công'!$I$262,0)),IF(S133="Lớp 4",IF(S132&lt;&gt;"Lớp 4",MATCH(1,INDEX(('Lớp 4 - Danh mục'!$I$14:$I$132&lt;&gt;"")*(COUNTIF('Lớp 5 - Phân công'!$J$14:$J$262,'Lớp 4 - Danh mục'!$I$14:$I$132)=0),0),0),T132+MATCH(1,INDEX((INDEX('Lớp 4 - Danh mục'!$I$14:$I$132,T132+1):'Lớp 4 - Danh mục'!$I$132&lt;&gt;"")*(COUNTIF('Lớp 5 - Phân công'!$J$14:$J$262,INDEX('Lớp 4 - Danh mục'!$I$14:$I$132,T132+1):'Lớp 4 - Danh mục'!$I$132)=0),0),0)),IF(S132&lt;&gt;"Lớp 3",MATCH(1,INDEX(('Lớp 3 - Công việc chính'!$I$14:$I$73&lt;&gt;"")*(COUNTIF('Lớp 4 - Danh mục'!$J$14:$J$132,'Lớp 3 - Công việc chính'!$I$14:$I$73)=0),0),0),T132+MATCH(1,INDEX((INDEX('Lớp 3 - Công việc chính'!$I$14:$I$73,T132+1):'Lớp 3 - Công việc chính'!$I$73&lt;&gt;"")*(COUNTIF('Lớp 4 - Danh mục'!$J$14:$J$132,INDEX('Lớp 3 - Công việc chính'!$I$14:$I$73,T132+1):'Lớp 3 - Công việc chính'!$I$73)=0),0),0)))))</f>
        <v>#REF!</v>
      </c>
      <c r="Z133" s="700" t="str">
        <f t="array" ref="Z133">IF($S133="","",IF($S133="Lớp 5",INDEX('Lớp 5 - Phân công'!$AS$14:$AS$262,$T133),IF($S133="Lớp 4",INDEX('Lớp 4 - Danh mục'!$AR$14:$AR$132,$T133),INDEX('Lớp 3 - Công việc chính'!$AO$14:$AO$73,$T133))))</f>
        <v>#REF!</v>
      </c>
      <c r="AA133" s="701" t="str">
        <f t="array" ref="AA133">IF($S133="","",IF($S133="Lớp 5",INDEX('Lớp 5 - Phân công'!$AT$14:$AT$262,$T133),IF($S133="Lớp 4",INDEX('Lớp 4 - Danh mục'!$AS$14:$AS$132,$T133),INDEX('Lớp 3 - Công việc chính'!$AP$14:$AP$73,$T133))))</f>
        <v>#REF!</v>
      </c>
      <c r="AB133" s="701" t="str">
        <f t="array" ref="AB133">IF($S133="","",IF($S133="Lớp 5",INDEX('Lớp 5 - Phân công'!$AJ$14:$AJ$262,$T133),IF($S133="Lớp 4",INDEX('Lớp 4 - Danh mục'!$AI$14:$AI$132,$T133),INDEX('Lớp 3 - Công việc chính'!$AF$14:$AF$73,$T133))))</f>
        <v>#REF!</v>
      </c>
      <c r="AC133" s="702" t="str">
        <f t="array" ref="AC133">IF($S133="","",IF($S133="Lớp 5",INDEX('Lớp 5 - Phân công'!$AV$14:$AV$262,$T133),IF($S133="Lớp 4",INDEX('Lớp 4 - Danh mục'!$AU$14:$AU$132,$T133),INDEX('Lớp 3 - Công việc chính'!$AR$14:$AR$73,$T133))))</f>
        <v>#REF!</v>
      </c>
    </row>
    <row r="134" ht="15.75" customHeight="1">
      <c r="A134" s="690" t="str">
        <f t="shared" si="1"/>
        <v>#REF!</v>
      </c>
      <c r="B134" s="690" t="str">
        <f t="array" ref="B134">IF($S134="","",IF($S134="Lớp 5",INDEX('Lớp 5 - Phân công'!$I$14:$I$262,$T134),IF($S134="Lớp 4",INDEX('Lớp 4 - Danh mục'!$I$14:$I$132,$T134),INDEX('Lớp 3 - Công việc chính'!$I$14:$I$73,$T134))))</f>
        <v>#REF!</v>
      </c>
      <c r="C134" s="690" t="str">
        <f t="array" ref="C134">IF($S134="","",IF($S134="Lớp 5",INDEX('Lớp 5 - Phân công'!$K$14:$K$262,$T134),IF($S134="Lớp 4",INDEX('Lớp 4 - Danh mục'!$J$14:$J$132,$T134),INDEX('Lớp 3 - Công việc chính'!$I$14:$I$73,$T134))))</f>
        <v>#REF!</v>
      </c>
      <c r="D134" s="690" t="str">
        <f t="array" ref="D134">IF($S134="","",IF($S134="Lớp 5",INDEX('Lớp 5 - Phân công'!$J$14:$J$262,$T134),IF($S134="Lớp 4",INDEX('Lớp 4 - Danh mục'!$I$14:$I$132,$T134),"")))</f>
        <v>#REF!</v>
      </c>
      <c r="E134" s="690" t="str">
        <f t="array" ref="E134">IF($S134="","",IF($S134="Lớp 5",INDEX('Lớp 5 - Phân công'!$L$14:$L$262,$T134),IF($S134="Lớp 4",INDEX('Lớp 4 - Danh mục'!$K$14:$K$132,$T134),INDEX('Lớp 3 - Công việc chính'!$J$14:$J$73,$T134))))</f>
        <v>#REF!</v>
      </c>
      <c r="F134" s="690" t="str">
        <f t="array" ref="F134">IF($S134="","",IF($S134="Lớp 5",INDEX('Lớp 5 - Phân công'!$M$14:$M$262,$T134),IF($S134="Lớp 4",INDEX('Lớp 4 - Danh mục'!$L$14:$L$132,$T134),INDEX('Lớp 3 - Công việc chính'!$K$14:$K$73,$T134))))</f>
        <v>#REF!</v>
      </c>
      <c r="G134" s="691" t="str">
        <f t="array" ref="G134">IF($S134="","",IF($S134="Lớp 5",INDEX('Lớp 5 - Phân công'!$N$14:$N$262,$T134),IF($S134="Lớp 4",INDEX('Lớp 4 - Danh mục'!$M$14:$M$132,$T134),INDEX('Lớp 3 - Công việc chính'!$L$14:$L$73,$T134))))</f>
        <v>#REF!</v>
      </c>
      <c r="H134" s="692" t="str">
        <f t="array" ref="H134">IF($S134="","",IF($S134="Lớp 5",INDEX('Lớp 5 - Phân công'!$O$14:$O$262,$T134),IF($S134="Lớp 4",INDEX('Lớp 4 - Danh mục'!$N$14:$N$132,$T134),INDEX('Lớp 3 - Công việc chính'!$M$14:$M$73,$T134))))</f>
        <v>#REF!</v>
      </c>
      <c r="I134" s="692" t="str">
        <f t="array" ref="I134">IF($S134="","",IF($S134="Lớp 5",INDEX('Lớp 5 - Phân công'!$P$14:$P$262,$T134),IF($S134="Lớp 4",INDEX('Lớp 4 - Danh mục'!$O$14:$O$132,$T134),"")))</f>
        <v>#REF!</v>
      </c>
      <c r="J134" s="693" t="str">
        <f t="array" ref="J134">IF($S134="","",IF($S134="Lớp 5",INDEX('Lớp 5 - Phân công'!$Q$14:$Q$262,$T134),""))</f>
        <v>#REF!</v>
      </c>
      <c r="K134" s="690" t="str">
        <f t="array" ref="K134">IF($S134="","",IF($S134="Lớp 5",INDEX('Lớp 5 - Phân công'!$AA$14:$AA$262,$T134),IF($S134="Lớp 4",INDEX('Lớp 4 - Danh mục'!$Y$14:$Y$132,$T134),INDEX('Lớp 3 - Công việc chính'!$U$14:$U$73,$T134))))</f>
        <v>#REF!</v>
      </c>
      <c r="L134" s="691" t="str">
        <f t="array" ref="L134">IF($S134="","",IF($S134="Lớp 5",INDEX('Lớp 5 - Phân công'!$Z$14:$Z$262,$T134),IF($S134="Lớp 4",INDEX('Lớp 4 - Danh mục'!$X$14:$X$132,$T134),INDEX('Lớp 3 - Công việc chính'!$W$14:$W$73,$T134))))</f>
        <v>#REF!</v>
      </c>
      <c r="M134" s="694" t="str">
        <f t="array" ref="M134">IF($S134="","",IF($S134="Lớp 5",INDEX('Lớp 5 - Phân công'!$AD$14:$AD$262,$T134),IF($S134="Lớp 4",INDEX('Lớp 4 - Danh mục'!$AC$14:$AC$132,$T134),INDEX('Lớp 3 - Công việc chính'!$Z$14:$Z$73,$T134))))</f>
        <v>#REF!</v>
      </c>
      <c r="N134" s="695" t="str">
        <f t="array" ref="N134">IF($S134="","",IF($S134="Lớp 5",INDEX('Lớp 5 - Phân công'!$AE$14:$AE$262,$T134),IF($S134="Lớp 4",INDEX('Lớp 4 - Danh mục'!$AD$14:$AD$132,$T134),INDEX('Lớp 3 - Công việc chính'!$AA$14:$AA$73,$T134))))</f>
        <v>#REF!</v>
      </c>
      <c r="O134" s="690" t="str">
        <f t="array" ref="O134">IF($S134="","",IF($S134="Lớp 5",INDEX('Lớp 5 - Phân công'!$AB$14:$AB$262,$T134),IF($S134="Lớp 4",INDEX('Lớp 4 - Danh mục'!$AA$14:$AA$132,$T134),INDEX('Lớp 3 - Công việc chính'!$X$14:$X$73,$T134))))</f>
        <v>#REF!</v>
      </c>
      <c r="P134" s="703" t="str">
        <f t="array" ref="P134">IF($S134="","",IF($S134="Lớp 5",INDEX('Lớp 5 - Phân công'!$AC$14:$AC$262,$T134),IF($S134="Lớp 4",INDEX('Lớp 4 - Danh mục'!$AB$14:$AB$132,$T134),INDEX('Lớp 3 - Công việc chính'!$Y$14:$Y$73,$T134))))</f>
        <v>#REF!</v>
      </c>
      <c r="Q134" s="697" t="str">
        <f t="array" ref="Q134">IF($S134="","",IF($S134="Lớp 5",INDEX('Lớp 5 - Phân công'!$AG$14:$AG$262,$T134),IF($S134="Lớp 4",INDEX('Lớp 4 - Danh mục'!$AF$14:$AF$132,$T134),INDEX('Lớp 3 - Công việc chính'!$AC$14:$AC$73,$T134))))</f>
        <v>#REF!</v>
      </c>
      <c r="R134" s="698" t="str">
        <f t="array" ref="R134">IF($S134="","",IF($S134="Lớp 5",INDEX('Lớp 5 - Phân công'!$X$14:$X$262,$T134),IF($S134="Lớp 4",INDEX('Lớp 4 - Danh mục'!$V$14:$V$132,$T134),INDEX('Lớp 3 - Công việc chính'!$T$14:$T$73,$T134))))</f>
        <v>#REF!</v>
      </c>
      <c r="S134" s="699" t="str">
        <f>IF(ROWS($S$14:S134)&lt;=COUNTIF('Lớp 5 - Phân công'!$I$14:$I$262,"&lt;&gt;"),"Lớp 5",IF(ROWS($S$14:S134)&lt;=COUNTIF('Lớp 5 - Phân công'!$I$14:$I$262,"&lt;&gt;")+SUMPRODUCT(--('Lớp 4 - Danh mục'!$I$14:$I$132&lt;&gt;""),--(COUNTIF('Lớp 5 - Phân công'!$J$14:$J$262,'Lớp 4 - Danh mục'!$I$14:$I$132)=0)),"Lớp 4",IF(ROWS($S$14:S134)&lt;=COUNTIF('Lớp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4" s="699" t="str">
        <f t="array" ref="T134">IF(S134="","",IF(S134="Lớp 5",IF(S133&lt;&gt;"Lớp 5",MATCH("*",'Lớp 5 - Phân công'!$I$14:$I$262,0),T133+MATCH("*",INDEX('Lớp 5 - Phân công'!$I$14:$I$262,T133+1):'Lớp 5 - Phân công'!$I$262,0)),IF(S134="Lớp 4",IF(S133&lt;&gt;"Lớp 4",MATCH(1,INDEX(('Lớp 4 - Danh mục'!$I$14:$I$132&lt;&gt;"")*(COUNTIF('Lớp 5 - Phân công'!$J$14:$J$262,'Lớp 4 - Danh mục'!$I$14:$I$132)=0),0),0),T133+MATCH(1,INDEX((INDEX('Lớp 4 - Danh mục'!$I$14:$I$132,T133+1):'Lớp 4 - Danh mục'!$I$132&lt;&gt;"")*(COUNTIF('Lớp 5 - Phân công'!$J$14:$J$262,INDEX('Lớp 4 - Danh mục'!$I$14:$I$132,T133+1):'Lớp 4 - Danh mục'!$I$132)=0),0),0)),IF(S133&lt;&gt;"Lớp 3",MATCH(1,INDEX(('Lớp 3 - Công việc chính'!$I$14:$I$73&lt;&gt;"")*(COUNTIF('Lớp 4 - Danh mục'!$J$14:$J$132,'Lớp 3 - Công việc chính'!$I$14:$I$73)=0),0),0),T133+MATCH(1,INDEX((INDEX('Lớp 3 - Công việc chính'!$I$14:$I$73,T133+1):'Lớp 3 - Công việc chính'!$I$73&lt;&gt;"")*(COUNTIF('Lớp 4 - Danh mục'!$J$14:$J$132,INDEX('Lớp 3 - Công việc chính'!$I$14:$I$73,T133+1):'Lớp 3 - Công việc chính'!$I$73)=0),0),0)))))</f>
        <v>#REF!</v>
      </c>
      <c r="Z134" s="700" t="str">
        <f t="array" ref="Z134">IF($S134="","",IF($S134="Lớp 5",INDEX('Lớp 5 - Phân công'!$AS$14:$AS$262,$T134),IF($S134="Lớp 4",INDEX('Lớp 4 - Danh mục'!$AR$14:$AR$132,$T134),INDEX('Lớp 3 - Công việc chính'!$AO$14:$AO$73,$T134))))</f>
        <v>#REF!</v>
      </c>
      <c r="AA134" s="701" t="str">
        <f t="array" ref="AA134">IF($S134="","",IF($S134="Lớp 5",INDEX('Lớp 5 - Phân công'!$AT$14:$AT$262,$T134),IF($S134="Lớp 4",INDEX('Lớp 4 - Danh mục'!$AS$14:$AS$132,$T134),INDEX('Lớp 3 - Công việc chính'!$AP$14:$AP$73,$T134))))</f>
        <v>#REF!</v>
      </c>
      <c r="AB134" s="701" t="str">
        <f t="array" ref="AB134">IF($S134="","",IF($S134="Lớp 5",INDEX('Lớp 5 - Phân công'!$AJ$14:$AJ$262,$T134),IF($S134="Lớp 4",INDEX('Lớp 4 - Danh mục'!$AI$14:$AI$132,$T134),INDEX('Lớp 3 - Công việc chính'!$AF$14:$AF$73,$T134))))</f>
        <v>#REF!</v>
      </c>
      <c r="AC134" s="702" t="str">
        <f t="array" ref="AC134">IF($S134="","",IF($S134="Lớp 5",INDEX('Lớp 5 - Phân công'!$AV$14:$AV$262,$T134),IF($S134="Lớp 4",INDEX('Lớp 4 - Danh mục'!$AU$14:$AU$132,$T134),INDEX('Lớp 3 - Công việc chính'!$AR$14:$AR$73,$T134))))</f>
        <v>#REF!</v>
      </c>
    </row>
    <row r="135" ht="15.75" customHeight="1">
      <c r="A135" s="690" t="str">
        <f t="shared" si="1"/>
        <v>#REF!</v>
      </c>
      <c r="B135" s="690" t="str">
        <f t="array" ref="B135">IF($S135="","",IF($S135="Lớp 5",INDEX('Lớp 5 - Phân công'!$I$14:$I$262,$T135),IF($S135="Lớp 4",INDEX('Lớp 4 - Danh mục'!$I$14:$I$132,$T135),INDEX('Lớp 3 - Công việc chính'!$I$14:$I$73,$T135))))</f>
        <v>#REF!</v>
      </c>
      <c r="C135" s="690" t="str">
        <f t="array" ref="C135">IF($S135="","",IF($S135="Lớp 5",INDEX('Lớp 5 - Phân công'!$K$14:$K$262,$T135),IF($S135="Lớp 4",INDEX('Lớp 4 - Danh mục'!$J$14:$J$132,$T135),INDEX('Lớp 3 - Công việc chính'!$I$14:$I$73,$T135))))</f>
        <v>#REF!</v>
      </c>
      <c r="D135" s="690" t="str">
        <f t="array" ref="D135">IF($S135="","",IF($S135="Lớp 5",INDEX('Lớp 5 - Phân công'!$J$14:$J$262,$T135),IF($S135="Lớp 4",INDEX('Lớp 4 - Danh mục'!$I$14:$I$132,$T135),"")))</f>
        <v>#REF!</v>
      </c>
      <c r="E135" s="690" t="str">
        <f t="array" ref="E135">IF($S135="","",IF($S135="Lớp 5",INDEX('Lớp 5 - Phân công'!$L$14:$L$262,$T135),IF($S135="Lớp 4",INDEX('Lớp 4 - Danh mục'!$K$14:$K$132,$T135),INDEX('Lớp 3 - Công việc chính'!$J$14:$J$73,$T135))))</f>
        <v>#REF!</v>
      </c>
      <c r="F135" s="690" t="str">
        <f t="array" ref="F135">IF($S135="","",IF($S135="Lớp 5",INDEX('Lớp 5 - Phân công'!$M$14:$M$262,$T135),IF($S135="Lớp 4",INDEX('Lớp 4 - Danh mục'!$L$14:$L$132,$T135),INDEX('Lớp 3 - Công việc chính'!$K$14:$K$73,$T135))))</f>
        <v>#REF!</v>
      </c>
      <c r="G135" s="691" t="str">
        <f t="array" ref="G135">IF($S135="","",IF($S135="Lớp 5",INDEX('Lớp 5 - Phân công'!$N$14:$N$262,$T135),IF($S135="Lớp 4",INDEX('Lớp 4 - Danh mục'!$M$14:$M$132,$T135),INDEX('Lớp 3 - Công việc chính'!$L$14:$L$73,$T135))))</f>
        <v>#REF!</v>
      </c>
      <c r="H135" s="692" t="str">
        <f t="array" ref="H135">IF($S135="","",IF($S135="Lớp 5",INDEX('Lớp 5 - Phân công'!$O$14:$O$262,$T135),IF($S135="Lớp 4",INDEX('Lớp 4 - Danh mục'!$N$14:$N$132,$T135),INDEX('Lớp 3 - Công việc chính'!$M$14:$M$73,$T135))))</f>
        <v>#REF!</v>
      </c>
      <c r="I135" s="692" t="str">
        <f t="array" ref="I135">IF($S135="","",IF($S135="Lớp 5",INDEX('Lớp 5 - Phân công'!$P$14:$P$262,$T135),IF($S135="Lớp 4",INDEX('Lớp 4 - Danh mục'!$O$14:$O$132,$T135),"")))</f>
        <v>#REF!</v>
      </c>
      <c r="J135" s="693" t="str">
        <f t="array" ref="J135">IF($S135="","",IF($S135="Lớp 5",INDEX('Lớp 5 - Phân công'!$Q$14:$Q$262,$T135),""))</f>
        <v>#REF!</v>
      </c>
      <c r="K135" s="690" t="str">
        <f t="array" ref="K135">IF($S135="","",IF($S135="Lớp 5",INDEX('Lớp 5 - Phân công'!$AA$14:$AA$262,$T135),IF($S135="Lớp 4",INDEX('Lớp 4 - Danh mục'!$Y$14:$Y$132,$T135),INDEX('Lớp 3 - Công việc chính'!$U$14:$U$73,$T135))))</f>
        <v>#REF!</v>
      </c>
      <c r="L135" s="691" t="str">
        <f t="array" ref="L135">IF($S135="","",IF($S135="Lớp 5",INDEX('Lớp 5 - Phân công'!$Z$14:$Z$262,$T135),IF($S135="Lớp 4",INDEX('Lớp 4 - Danh mục'!$X$14:$X$132,$T135),INDEX('Lớp 3 - Công việc chính'!$W$14:$W$73,$T135))))</f>
        <v>#REF!</v>
      </c>
      <c r="M135" s="694" t="str">
        <f t="array" ref="M135">IF($S135="","",IF($S135="Lớp 5",INDEX('Lớp 5 - Phân công'!$AD$14:$AD$262,$T135),IF($S135="Lớp 4",INDEX('Lớp 4 - Danh mục'!$AC$14:$AC$132,$T135),INDEX('Lớp 3 - Công việc chính'!$Z$14:$Z$73,$T135))))</f>
        <v>#REF!</v>
      </c>
      <c r="N135" s="695" t="str">
        <f t="array" ref="N135">IF($S135="","",IF($S135="Lớp 5",INDEX('Lớp 5 - Phân công'!$AE$14:$AE$262,$T135),IF($S135="Lớp 4",INDEX('Lớp 4 - Danh mục'!$AD$14:$AD$132,$T135),INDEX('Lớp 3 - Công việc chính'!$AA$14:$AA$73,$T135))))</f>
        <v>#REF!</v>
      </c>
      <c r="O135" s="690" t="str">
        <f t="array" ref="O135">IF($S135="","",IF($S135="Lớp 5",INDEX('Lớp 5 - Phân công'!$AB$14:$AB$262,$T135),IF($S135="Lớp 4",INDEX('Lớp 4 - Danh mục'!$AA$14:$AA$132,$T135),INDEX('Lớp 3 - Công việc chính'!$X$14:$X$73,$T135))))</f>
        <v>#REF!</v>
      </c>
      <c r="P135" s="703" t="str">
        <f t="array" ref="P135">IF($S135="","",IF($S135="Lớp 5",INDEX('Lớp 5 - Phân công'!$AC$14:$AC$262,$T135),IF($S135="Lớp 4",INDEX('Lớp 4 - Danh mục'!$AB$14:$AB$132,$T135),INDEX('Lớp 3 - Công việc chính'!$Y$14:$Y$73,$T135))))</f>
        <v>#REF!</v>
      </c>
      <c r="Q135" s="697" t="str">
        <f t="array" ref="Q135">IF($S135="","",IF($S135="Lớp 5",INDEX('Lớp 5 - Phân công'!$AG$14:$AG$262,$T135),IF($S135="Lớp 4",INDEX('Lớp 4 - Danh mục'!$AF$14:$AF$132,$T135),INDEX('Lớp 3 - Công việc chính'!$AC$14:$AC$73,$T135))))</f>
        <v>#REF!</v>
      </c>
      <c r="R135" s="698" t="str">
        <f t="array" ref="R135">IF($S135="","",IF($S135="Lớp 5",INDEX('Lớp 5 - Phân công'!$X$14:$X$262,$T135),IF($S135="Lớp 4",INDEX('Lớp 4 - Danh mục'!$V$14:$V$132,$T135),INDEX('Lớp 3 - Công việc chính'!$T$14:$T$73,$T135))))</f>
        <v>#REF!</v>
      </c>
      <c r="S135" s="699" t="str">
        <f>IF(ROWS($S$14:S135)&lt;=COUNTIF('Lớp 5 - Phân công'!$I$14:$I$262,"&lt;&gt;"),"Lớp 5",IF(ROWS($S$14:S135)&lt;=COUNTIF('Lớp 5 - Phân công'!$I$14:$I$262,"&lt;&gt;")+SUMPRODUCT(--('Lớp 4 - Danh mục'!$I$14:$I$132&lt;&gt;""),--(COUNTIF('Lớp 5 - Phân công'!$J$14:$J$262,'Lớp 4 - Danh mục'!$I$14:$I$132)=0)),"Lớp 4",IF(ROWS($S$14:S135)&lt;=COUNTIF('Lớp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5" s="699" t="str">
        <f t="array" ref="T135">IF(S135="","",IF(S135="Lớp 5",IF(S134&lt;&gt;"Lớp 5",MATCH("*",'Lớp 5 - Phân công'!$I$14:$I$262,0),T134+MATCH("*",INDEX('Lớp 5 - Phân công'!$I$14:$I$262,T134+1):'Lớp 5 - Phân công'!$I$262,0)),IF(S135="Lớp 4",IF(S134&lt;&gt;"Lớp 4",MATCH(1,INDEX(('Lớp 4 - Danh mục'!$I$14:$I$132&lt;&gt;"")*(COUNTIF('Lớp 5 - Phân công'!$J$14:$J$262,'Lớp 4 - Danh mục'!$I$14:$I$132)=0),0),0),T134+MATCH(1,INDEX((INDEX('Lớp 4 - Danh mục'!$I$14:$I$132,T134+1):'Lớp 4 - Danh mục'!$I$132&lt;&gt;"")*(COUNTIF('Lớp 5 - Phân công'!$J$14:$J$262,INDEX('Lớp 4 - Danh mục'!$I$14:$I$132,T134+1):'Lớp 4 - Danh mục'!$I$132)=0),0),0)),IF(S134&lt;&gt;"Lớp 3",MATCH(1,INDEX(('Lớp 3 - Công việc chính'!$I$14:$I$73&lt;&gt;"")*(COUNTIF('Lớp 4 - Danh mục'!$J$14:$J$132,'Lớp 3 - Công việc chính'!$I$14:$I$73)=0),0),0),T134+MATCH(1,INDEX((INDEX('Lớp 3 - Công việc chính'!$I$14:$I$73,T134+1):'Lớp 3 - Công việc chính'!$I$73&lt;&gt;"")*(COUNTIF('Lớp 4 - Danh mục'!$J$14:$J$132,INDEX('Lớp 3 - Công việc chính'!$I$14:$I$73,T134+1):'Lớp 3 - Công việc chính'!$I$73)=0),0),0)))))</f>
        <v>#REF!</v>
      </c>
      <c r="Z135" s="700" t="str">
        <f t="array" ref="Z135">IF($S135="","",IF($S135="Lớp 5",INDEX('Lớp 5 - Phân công'!$AS$14:$AS$262,$T135),IF($S135="Lớp 4",INDEX('Lớp 4 - Danh mục'!$AR$14:$AR$132,$T135),INDEX('Lớp 3 - Công việc chính'!$AO$14:$AO$73,$T135))))</f>
        <v>#REF!</v>
      </c>
      <c r="AA135" s="701" t="str">
        <f t="array" ref="AA135">IF($S135="","",IF($S135="Lớp 5",INDEX('Lớp 5 - Phân công'!$AT$14:$AT$262,$T135),IF($S135="Lớp 4",INDEX('Lớp 4 - Danh mục'!$AS$14:$AS$132,$T135),INDEX('Lớp 3 - Công việc chính'!$AP$14:$AP$73,$T135))))</f>
        <v>#REF!</v>
      </c>
      <c r="AB135" s="701" t="str">
        <f t="array" ref="AB135">IF($S135="","",IF($S135="Lớp 5",INDEX('Lớp 5 - Phân công'!$AJ$14:$AJ$262,$T135),IF($S135="Lớp 4",INDEX('Lớp 4 - Danh mục'!$AI$14:$AI$132,$T135),INDEX('Lớp 3 - Công việc chính'!$AF$14:$AF$73,$T135))))</f>
        <v>#REF!</v>
      </c>
      <c r="AC135" s="702" t="str">
        <f t="array" ref="AC135">IF($S135="","",IF($S135="Lớp 5",INDEX('Lớp 5 - Phân công'!$AV$14:$AV$262,$T135),IF($S135="Lớp 4",INDEX('Lớp 4 - Danh mục'!$AU$14:$AU$132,$T135),INDEX('Lớp 3 - Công việc chính'!$AR$14:$AR$73,$T135))))</f>
        <v>#REF!</v>
      </c>
    </row>
    <row r="136" ht="15.75" customHeight="1">
      <c r="A136" s="690" t="str">
        <f t="shared" si="1"/>
        <v>#REF!</v>
      </c>
      <c r="B136" s="690" t="str">
        <f t="array" ref="B136">IF($S136="","",IF($S136="Lớp 5",INDEX('Lớp 5 - Phân công'!$I$14:$I$262,$T136),IF($S136="Lớp 4",INDEX('Lớp 4 - Danh mục'!$I$14:$I$132,$T136),INDEX('Lớp 3 - Công việc chính'!$I$14:$I$73,$T136))))</f>
        <v>#REF!</v>
      </c>
      <c r="C136" s="690" t="str">
        <f t="array" ref="C136">IF($S136="","",IF($S136="Lớp 5",INDEX('Lớp 5 - Phân công'!$K$14:$K$262,$T136),IF($S136="Lớp 4",INDEX('Lớp 4 - Danh mục'!$J$14:$J$132,$T136),INDEX('Lớp 3 - Công việc chính'!$I$14:$I$73,$T136))))</f>
        <v>#REF!</v>
      </c>
      <c r="D136" s="690" t="str">
        <f t="array" ref="D136">IF($S136="","",IF($S136="Lớp 5",INDEX('Lớp 5 - Phân công'!$J$14:$J$262,$T136),IF($S136="Lớp 4",INDEX('Lớp 4 - Danh mục'!$I$14:$I$132,$T136),"")))</f>
        <v>#REF!</v>
      </c>
      <c r="E136" s="690" t="str">
        <f t="array" ref="E136">IF($S136="","",IF($S136="Lớp 5",INDEX('Lớp 5 - Phân công'!$L$14:$L$262,$T136),IF($S136="Lớp 4",INDEX('Lớp 4 - Danh mục'!$K$14:$K$132,$T136),INDEX('Lớp 3 - Công việc chính'!$J$14:$J$73,$T136))))</f>
        <v>#REF!</v>
      </c>
      <c r="F136" s="690" t="str">
        <f t="array" ref="F136">IF($S136="","",IF($S136="Lớp 5",INDEX('Lớp 5 - Phân công'!$M$14:$M$262,$T136),IF($S136="Lớp 4",INDEX('Lớp 4 - Danh mục'!$L$14:$L$132,$T136),INDEX('Lớp 3 - Công việc chính'!$K$14:$K$73,$T136))))</f>
        <v>#REF!</v>
      </c>
      <c r="G136" s="691" t="str">
        <f t="array" ref="G136">IF($S136="","",IF($S136="Lớp 5",INDEX('Lớp 5 - Phân công'!$N$14:$N$262,$T136),IF($S136="Lớp 4",INDEX('Lớp 4 - Danh mục'!$M$14:$M$132,$T136),INDEX('Lớp 3 - Công việc chính'!$L$14:$L$73,$T136))))</f>
        <v>#REF!</v>
      </c>
      <c r="H136" s="692" t="str">
        <f t="array" ref="H136">IF($S136="","",IF($S136="Lớp 5",INDEX('Lớp 5 - Phân công'!$O$14:$O$262,$T136),IF($S136="Lớp 4",INDEX('Lớp 4 - Danh mục'!$N$14:$N$132,$T136),INDEX('Lớp 3 - Công việc chính'!$M$14:$M$73,$T136))))</f>
        <v>#REF!</v>
      </c>
      <c r="I136" s="692" t="str">
        <f t="array" ref="I136">IF($S136="","",IF($S136="Lớp 5",INDEX('Lớp 5 - Phân công'!$P$14:$P$262,$T136),IF($S136="Lớp 4",INDEX('Lớp 4 - Danh mục'!$O$14:$O$132,$T136),"")))</f>
        <v>#REF!</v>
      </c>
      <c r="J136" s="693" t="str">
        <f t="array" ref="J136">IF($S136="","",IF($S136="Lớp 5",INDEX('Lớp 5 - Phân công'!$Q$14:$Q$262,$T136),""))</f>
        <v>#REF!</v>
      </c>
      <c r="K136" s="690" t="str">
        <f t="array" ref="K136">IF($S136="","",IF($S136="Lớp 5",INDEX('Lớp 5 - Phân công'!$AA$14:$AA$262,$T136),IF($S136="Lớp 4",INDEX('Lớp 4 - Danh mục'!$Y$14:$Y$132,$T136),INDEX('Lớp 3 - Công việc chính'!$U$14:$U$73,$T136))))</f>
        <v>#REF!</v>
      </c>
      <c r="L136" s="691" t="str">
        <f t="array" ref="L136">IF($S136="","",IF($S136="Lớp 5",INDEX('Lớp 5 - Phân công'!$Z$14:$Z$262,$T136),IF($S136="Lớp 4",INDEX('Lớp 4 - Danh mục'!$X$14:$X$132,$T136),INDEX('Lớp 3 - Công việc chính'!$W$14:$W$73,$T136))))</f>
        <v>#REF!</v>
      </c>
      <c r="M136" s="694" t="str">
        <f t="array" ref="M136">IF($S136="","",IF($S136="Lớp 5",INDEX('Lớp 5 - Phân công'!$AD$14:$AD$262,$T136),IF($S136="Lớp 4",INDEX('Lớp 4 - Danh mục'!$AC$14:$AC$132,$T136),INDEX('Lớp 3 - Công việc chính'!$Z$14:$Z$73,$T136))))</f>
        <v>#REF!</v>
      </c>
      <c r="N136" s="695" t="str">
        <f t="array" ref="N136">IF($S136="","",IF($S136="Lớp 5",INDEX('Lớp 5 - Phân công'!$AE$14:$AE$262,$T136),IF($S136="Lớp 4",INDEX('Lớp 4 - Danh mục'!$AD$14:$AD$132,$T136),INDEX('Lớp 3 - Công việc chính'!$AA$14:$AA$73,$T136))))</f>
        <v>#REF!</v>
      </c>
      <c r="O136" s="690" t="str">
        <f t="array" ref="O136">IF($S136="","",IF($S136="Lớp 5",INDEX('Lớp 5 - Phân công'!$AB$14:$AB$262,$T136),IF($S136="Lớp 4",INDEX('Lớp 4 - Danh mục'!$AA$14:$AA$132,$T136),INDEX('Lớp 3 - Công việc chính'!$X$14:$X$73,$T136))))</f>
        <v>#REF!</v>
      </c>
      <c r="P136" s="703" t="str">
        <f t="array" ref="P136">IF($S136="","",IF($S136="Lớp 5",INDEX('Lớp 5 - Phân công'!$AC$14:$AC$262,$T136),IF($S136="Lớp 4",INDEX('Lớp 4 - Danh mục'!$AB$14:$AB$132,$T136),INDEX('Lớp 3 - Công việc chính'!$Y$14:$Y$73,$T136))))</f>
        <v>#REF!</v>
      </c>
      <c r="Q136" s="697" t="str">
        <f t="array" ref="Q136">IF($S136="","",IF($S136="Lớp 5",INDEX('Lớp 5 - Phân công'!$AG$14:$AG$262,$T136),IF($S136="Lớp 4",INDEX('Lớp 4 - Danh mục'!$AF$14:$AF$132,$T136),INDEX('Lớp 3 - Công việc chính'!$AC$14:$AC$73,$T136))))</f>
        <v>#REF!</v>
      </c>
      <c r="R136" s="698" t="str">
        <f t="array" ref="R136">IF($S136="","",IF($S136="Lớp 5",INDEX('Lớp 5 - Phân công'!$X$14:$X$262,$T136),IF($S136="Lớp 4",INDEX('Lớp 4 - Danh mục'!$V$14:$V$132,$T136),INDEX('Lớp 3 - Công việc chính'!$T$14:$T$73,$T136))))</f>
        <v>#REF!</v>
      </c>
      <c r="S136" s="699" t="str">
        <f>IF(ROWS($S$14:S136)&lt;=COUNTIF('Lớp 5 - Phân công'!$I$14:$I$262,"&lt;&gt;"),"Lớp 5",IF(ROWS($S$14:S136)&lt;=COUNTIF('Lớp 5 - Phân công'!$I$14:$I$262,"&lt;&gt;")+SUMPRODUCT(--('Lớp 4 - Danh mục'!$I$14:$I$132&lt;&gt;""),--(COUNTIF('Lớp 5 - Phân công'!$J$14:$J$262,'Lớp 4 - Danh mục'!$I$14:$I$132)=0)),"Lớp 4",IF(ROWS($S$14:S136)&lt;=COUNTIF('Lớp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6" s="699" t="str">
        <f t="array" ref="T136">IF(S136="","",IF(S136="Lớp 5",IF(S135&lt;&gt;"Lớp 5",MATCH("*",'Lớp 5 - Phân công'!$I$14:$I$262,0),T135+MATCH("*",INDEX('Lớp 5 - Phân công'!$I$14:$I$262,T135+1):'Lớp 5 - Phân công'!$I$262,0)),IF(S136="Lớp 4",IF(S135&lt;&gt;"Lớp 4",MATCH(1,INDEX(('Lớp 4 - Danh mục'!$I$14:$I$132&lt;&gt;"")*(COUNTIF('Lớp 5 - Phân công'!$J$14:$J$262,'Lớp 4 - Danh mục'!$I$14:$I$132)=0),0),0),T135+MATCH(1,INDEX((INDEX('Lớp 4 - Danh mục'!$I$14:$I$132,T135+1):'Lớp 4 - Danh mục'!$I$132&lt;&gt;"")*(COUNTIF('Lớp 5 - Phân công'!$J$14:$J$262,INDEX('Lớp 4 - Danh mục'!$I$14:$I$132,T135+1):'Lớp 4 - Danh mục'!$I$132)=0),0),0)),IF(S135&lt;&gt;"Lớp 3",MATCH(1,INDEX(('Lớp 3 - Công việc chính'!$I$14:$I$73&lt;&gt;"")*(COUNTIF('Lớp 4 - Danh mục'!$J$14:$J$132,'Lớp 3 - Công việc chính'!$I$14:$I$73)=0),0),0),T135+MATCH(1,INDEX((INDEX('Lớp 3 - Công việc chính'!$I$14:$I$73,T135+1):'Lớp 3 - Công việc chính'!$I$73&lt;&gt;"")*(COUNTIF('Lớp 4 - Danh mục'!$J$14:$J$132,INDEX('Lớp 3 - Công việc chính'!$I$14:$I$73,T135+1):'Lớp 3 - Công việc chính'!$I$73)=0),0),0)))))</f>
        <v>#REF!</v>
      </c>
      <c r="Z136" s="700" t="str">
        <f t="array" ref="Z136">IF($S136="","",IF($S136="Lớp 5",INDEX('Lớp 5 - Phân công'!$AS$14:$AS$262,$T136),IF($S136="Lớp 4",INDEX('Lớp 4 - Danh mục'!$AR$14:$AR$132,$T136),INDEX('Lớp 3 - Công việc chính'!$AO$14:$AO$73,$T136))))</f>
        <v>#REF!</v>
      </c>
      <c r="AA136" s="701" t="str">
        <f t="array" ref="AA136">IF($S136="","",IF($S136="Lớp 5",INDEX('Lớp 5 - Phân công'!$AT$14:$AT$262,$T136),IF($S136="Lớp 4",INDEX('Lớp 4 - Danh mục'!$AS$14:$AS$132,$T136),INDEX('Lớp 3 - Công việc chính'!$AP$14:$AP$73,$T136))))</f>
        <v>#REF!</v>
      </c>
      <c r="AB136" s="701" t="str">
        <f t="array" ref="AB136">IF($S136="","",IF($S136="Lớp 5",INDEX('Lớp 5 - Phân công'!$AJ$14:$AJ$262,$T136),IF($S136="Lớp 4",INDEX('Lớp 4 - Danh mục'!$AI$14:$AI$132,$T136),INDEX('Lớp 3 - Công việc chính'!$AF$14:$AF$73,$T136))))</f>
        <v>#REF!</v>
      </c>
      <c r="AC136" s="702" t="str">
        <f t="array" ref="AC136">IF($S136="","",IF($S136="Lớp 5",INDEX('Lớp 5 - Phân công'!$AV$14:$AV$262,$T136),IF($S136="Lớp 4",INDEX('Lớp 4 - Danh mục'!$AU$14:$AU$132,$T136),INDEX('Lớp 3 - Công việc chính'!$AR$14:$AR$73,$T136))))</f>
        <v>#REF!</v>
      </c>
    </row>
    <row r="137" ht="15.75" customHeight="1">
      <c r="A137" s="690" t="str">
        <f t="shared" si="1"/>
        <v>#REF!</v>
      </c>
      <c r="B137" s="690" t="str">
        <f t="array" ref="B137">IF($S137="","",IF($S137="Lớp 5",INDEX('Lớp 5 - Phân công'!$I$14:$I$262,$T137),IF($S137="Lớp 4",INDEX('Lớp 4 - Danh mục'!$I$14:$I$132,$T137),INDEX('Lớp 3 - Công việc chính'!$I$14:$I$73,$T137))))</f>
        <v>#REF!</v>
      </c>
      <c r="C137" s="690" t="str">
        <f t="array" ref="C137">IF($S137="","",IF($S137="Lớp 5",INDEX('Lớp 5 - Phân công'!$K$14:$K$262,$T137),IF($S137="Lớp 4",INDEX('Lớp 4 - Danh mục'!$J$14:$J$132,$T137),INDEX('Lớp 3 - Công việc chính'!$I$14:$I$73,$T137))))</f>
        <v>#REF!</v>
      </c>
      <c r="D137" s="690" t="str">
        <f t="array" ref="D137">IF($S137="","",IF($S137="Lớp 5",INDEX('Lớp 5 - Phân công'!$J$14:$J$262,$T137),IF($S137="Lớp 4",INDEX('Lớp 4 - Danh mục'!$I$14:$I$132,$T137),"")))</f>
        <v>#REF!</v>
      </c>
      <c r="E137" s="690" t="str">
        <f t="array" ref="E137">IF($S137="","",IF($S137="Lớp 5",INDEX('Lớp 5 - Phân công'!$L$14:$L$262,$T137),IF($S137="Lớp 4",INDEX('Lớp 4 - Danh mục'!$K$14:$K$132,$T137),INDEX('Lớp 3 - Công việc chính'!$J$14:$J$73,$T137))))</f>
        <v>#REF!</v>
      </c>
      <c r="F137" s="690" t="str">
        <f t="array" ref="F137">IF($S137="","",IF($S137="Lớp 5",INDEX('Lớp 5 - Phân công'!$M$14:$M$262,$T137),IF($S137="Lớp 4",INDEX('Lớp 4 - Danh mục'!$L$14:$L$132,$T137),INDEX('Lớp 3 - Công việc chính'!$K$14:$K$73,$T137))))</f>
        <v>#REF!</v>
      </c>
      <c r="G137" s="691" t="str">
        <f t="array" ref="G137">IF($S137="","",IF($S137="Lớp 5",INDEX('Lớp 5 - Phân công'!$N$14:$N$262,$T137),IF($S137="Lớp 4",INDEX('Lớp 4 - Danh mục'!$M$14:$M$132,$T137),INDEX('Lớp 3 - Công việc chính'!$L$14:$L$73,$T137))))</f>
        <v>#REF!</v>
      </c>
      <c r="H137" s="692" t="str">
        <f t="array" ref="H137">IF($S137="","",IF($S137="Lớp 5",INDEX('Lớp 5 - Phân công'!$O$14:$O$262,$T137),IF($S137="Lớp 4",INDEX('Lớp 4 - Danh mục'!$N$14:$N$132,$T137),INDEX('Lớp 3 - Công việc chính'!$M$14:$M$73,$T137))))</f>
        <v>#REF!</v>
      </c>
      <c r="I137" s="692" t="str">
        <f t="array" ref="I137">IF($S137="","",IF($S137="Lớp 5",INDEX('Lớp 5 - Phân công'!$P$14:$P$262,$T137),IF($S137="Lớp 4",INDEX('Lớp 4 - Danh mục'!$O$14:$O$132,$T137),"")))</f>
        <v>#REF!</v>
      </c>
      <c r="J137" s="693" t="str">
        <f t="array" ref="J137">IF($S137="","",IF($S137="Lớp 5",INDEX('Lớp 5 - Phân công'!$Q$14:$Q$262,$T137),""))</f>
        <v>#REF!</v>
      </c>
      <c r="K137" s="690" t="str">
        <f t="array" ref="K137">IF($S137="","",IF($S137="Lớp 5",INDEX('Lớp 5 - Phân công'!$AA$14:$AA$262,$T137),IF($S137="Lớp 4",INDEX('Lớp 4 - Danh mục'!$Y$14:$Y$132,$T137),INDEX('Lớp 3 - Công việc chính'!$U$14:$U$73,$T137))))</f>
        <v>#REF!</v>
      </c>
      <c r="L137" s="691" t="str">
        <f t="array" ref="L137">IF($S137="","",IF($S137="Lớp 5",INDEX('Lớp 5 - Phân công'!$Z$14:$Z$262,$T137),IF($S137="Lớp 4",INDEX('Lớp 4 - Danh mục'!$X$14:$X$132,$T137),INDEX('Lớp 3 - Công việc chính'!$W$14:$W$73,$T137))))</f>
        <v>#REF!</v>
      </c>
      <c r="M137" s="694" t="str">
        <f t="array" ref="M137">IF($S137="","",IF($S137="Lớp 5",INDEX('Lớp 5 - Phân công'!$AD$14:$AD$262,$T137),IF($S137="Lớp 4",INDEX('Lớp 4 - Danh mục'!$AC$14:$AC$132,$T137),INDEX('Lớp 3 - Công việc chính'!$Z$14:$Z$73,$T137))))</f>
        <v>#REF!</v>
      </c>
      <c r="N137" s="695" t="str">
        <f t="array" ref="N137">IF($S137="","",IF($S137="Lớp 5",INDEX('Lớp 5 - Phân công'!$AE$14:$AE$262,$T137),IF($S137="Lớp 4",INDEX('Lớp 4 - Danh mục'!$AD$14:$AD$132,$T137),INDEX('Lớp 3 - Công việc chính'!$AA$14:$AA$73,$T137))))</f>
        <v>#REF!</v>
      </c>
      <c r="O137" s="690" t="str">
        <f t="array" ref="O137">IF($S137="","",IF($S137="Lớp 5",INDEX('Lớp 5 - Phân công'!$AB$14:$AB$262,$T137),IF($S137="Lớp 4",INDEX('Lớp 4 - Danh mục'!$AA$14:$AA$132,$T137),INDEX('Lớp 3 - Công việc chính'!$X$14:$X$73,$T137))))</f>
        <v>#REF!</v>
      </c>
      <c r="P137" s="703" t="str">
        <f t="array" ref="P137">IF($S137="","",IF($S137="Lớp 5",INDEX('Lớp 5 - Phân công'!$AC$14:$AC$262,$T137),IF($S137="Lớp 4",INDEX('Lớp 4 - Danh mục'!$AB$14:$AB$132,$T137),INDEX('Lớp 3 - Công việc chính'!$Y$14:$Y$73,$T137))))</f>
        <v>#REF!</v>
      </c>
      <c r="Q137" s="697" t="str">
        <f t="array" ref="Q137">IF($S137="","",IF($S137="Lớp 5",INDEX('Lớp 5 - Phân công'!$AG$14:$AG$262,$T137),IF($S137="Lớp 4",INDEX('Lớp 4 - Danh mục'!$AF$14:$AF$132,$T137),INDEX('Lớp 3 - Công việc chính'!$AC$14:$AC$73,$T137))))</f>
        <v>#REF!</v>
      </c>
      <c r="R137" s="698" t="str">
        <f t="array" ref="R137">IF($S137="","",IF($S137="Lớp 5",INDEX('Lớp 5 - Phân công'!$X$14:$X$262,$T137),IF($S137="Lớp 4",INDEX('Lớp 4 - Danh mục'!$V$14:$V$132,$T137),INDEX('Lớp 3 - Công việc chính'!$T$14:$T$73,$T137))))</f>
        <v>#REF!</v>
      </c>
      <c r="S137" s="699" t="str">
        <f>IF(ROWS($S$14:S137)&lt;=COUNTIF('Lớp 5 - Phân công'!$I$14:$I$262,"&lt;&gt;"),"Lớp 5",IF(ROWS($S$14:S137)&lt;=COUNTIF('Lớp 5 - Phân công'!$I$14:$I$262,"&lt;&gt;")+SUMPRODUCT(--('Lớp 4 - Danh mục'!$I$14:$I$132&lt;&gt;""),--(COUNTIF('Lớp 5 - Phân công'!$J$14:$J$262,'Lớp 4 - Danh mục'!$I$14:$I$132)=0)),"Lớp 4",IF(ROWS($S$14:S137)&lt;=COUNTIF('Lớp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7" s="699" t="str">
        <f t="array" ref="T137">IF(S137="","",IF(S137="Lớp 5",IF(S136&lt;&gt;"Lớp 5",MATCH("*",'Lớp 5 - Phân công'!$I$14:$I$262,0),T136+MATCH("*",INDEX('Lớp 5 - Phân công'!$I$14:$I$262,T136+1):'Lớp 5 - Phân công'!$I$262,0)),IF(S137="Lớp 4",IF(S136&lt;&gt;"Lớp 4",MATCH(1,INDEX(('Lớp 4 - Danh mục'!$I$14:$I$132&lt;&gt;"")*(COUNTIF('Lớp 5 - Phân công'!$J$14:$J$262,'Lớp 4 - Danh mục'!$I$14:$I$132)=0),0),0),T136+MATCH(1,INDEX((INDEX('Lớp 4 - Danh mục'!$I$14:$I$132,T136+1):'Lớp 4 - Danh mục'!$I$132&lt;&gt;"")*(COUNTIF('Lớp 5 - Phân công'!$J$14:$J$262,INDEX('Lớp 4 - Danh mục'!$I$14:$I$132,T136+1):'Lớp 4 - Danh mục'!$I$132)=0),0),0)),IF(S136&lt;&gt;"Lớp 3",MATCH(1,INDEX(('Lớp 3 - Công việc chính'!$I$14:$I$73&lt;&gt;"")*(COUNTIF('Lớp 4 - Danh mục'!$J$14:$J$132,'Lớp 3 - Công việc chính'!$I$14:$I$73)=0),0),0),T136+MATCH(1,INDEX((INDEX('Lớp 3 - Công việc chính'!$I$14:$I$73,T136+1):'Lớp 3 - Công việc chính'!$I$73&lt;&gt;"")*(COUNTIF('Lớp 4 - Danh mục'!$J$14:$J$132,INDEX('Lớp 3 - Công việc chính'!$I$14:$I$73,T136+1):'Lớp 3 - Công việc chính'!$I$73)=0),0),0)))))</f>
        <v>#REF!</v>
      </c>
      <c r="Z137" s="700" t="str">
        <f t="array" ref="Z137">IF($S137="","",IF($S137="Lớp 5",INDEX('Lớp 5 - Phân công'!$AS$14:$AS$262,$T137),IF($S137="Lớp 4",INDEX('Lớp 4 - Danh mục'!$AR$14:$AR$132,$T137),INDEX('Lớp 3 - Công việc chính'!$AO$14:$AO$73,$T137))))</f>
        <v>#REF!</v>
      </c>
      <c r="AA137" s="701" t="str">
        <f t="array" ref="AA137">IF($S137="","",IF($S137="Lớp 5",INDEX('Lớp 5 - Phân công'!$AT$14:$AT$262,$T137),IF($S137="Lớp 4",INDEX('Lớp 4 - Danh mục'!$AS$14:$AS$132,$T137),INDEX('Lớp 3 - Công việc chính'!$AP$14:$AP$73,$T137))))</f>
        <v>#REF!</v>
      </c>
      <c r="AB137" s="701" t="str">
        <f t="array" ref="AB137">IF($S137="","",IF($S137="Lớp 5",INDEX('Lớp 5 - Phân công'!$AJ$14:$AJ$262,$T137),IF($S137="Lớp 4",INDEX('Lớp 4 - Danh mục'!$AI$14:$AI$132,$T137),INDEX('Lớp 3 - Công việc chính'!$AF$14:$AF$73,$T137))))</f>
        <v>#REF!</v>
      </c>
      <c r="AC137" s="702" t="str">
        <f t="array" ref="AC137">IF($S137="","",IF($S137="Lớp 5",INDEX('Lớp 5 - Phân công'!$AV$14:$AV$262,$T137),IF($S137="Lớp 4",INDEX('Lớp 4 - Danh mục'!$AU$14:$AU$132,$T137),INDEX('Lớp 3 - Công việc chính'!$AR$14:$AR$73,$T137))))</f>
        <v>#REF!</v>
      </c>
    </row>
    <row r="138" ht="15.75" customHeight="1">
      <c r="A138" s="690" t="str">
        <f t="shared" si="1"/>
        <v>#REF!</v>
      </c>
      <c r="B138" s="690" t="str">
        <f t="array" ref="B138">IF($S138="","",IF($S138="Lớp 5",INDEX('Lớp 5 - Phân công'!$I$14:$I$262,$T138),IF($S138="Lớp 4",INDEX('Lớp 4 - Danh mục'!$I$14:$I$132,$T138),INDEX('Lớp 3 - Công việc chính'!$I$14:$I$73,$T138))))</f>
        <v>#REF!</v>
      </c>
      <c r="C138" s="690" t="str">
        <f t="array" ref="C138">IF($S138="","",IF($S138="Lớp 5",INDEX('Lớp 5 - Phân công'!$K$14:$K$262,$T138),IF($S138="Lớp 4",INDEX('Lớp 4 - Danh mục'!$J$14:$J$132,$T138),INDEX('Lớp 3 - Công việc chính'!$I$14:$I$73,$T138))))</f>
        <v>#REF!</v>
      </c>
      <c r="D138" s="690" t="str">
        <f t="array" ref="D138">IF($S138="","",IF($S138="Lớp 5",INDEX('Lớp 5 - Phân công'!$J$14:$J$262,$T138),IF($S138="Lớp 4",INDEX('Lớp 4 - Danh mục'!$I$14:$I$132,$T138),"")))</f>
        <v>#REF!</v>
      </c>
      <c r="E138" s="690" t="str">
        <f t="array" ref="E138">IF($S138="","",IF($S138="Lớp 5",INDEX('Lớp 5 - Phân công'!$L$14:$L$262,$T138),IF($S138="Lớp 4",INDEX('Lớp 4 - Danh mục'!$K$14:$K$132,$T138),INDEX('Lớp 3 - Công việc chính'!$J$14:$J$73,$T138))))</f>
        <v>#REF!</v>
      </c>
      <c r="F138" s="690" t="str">
        <f t="array" ref="F138">IF($S138="","",IF($S138="Lớp 5",INDEX('Lớp 5 - Phân công'!$M$14:$M$262,$T138),IF($S138="Lớp 4",INDEX('Lớp 4 - Danh mục'!$L$14:$L$132,$T138),INDEX('Lớp 3 - Công việc chính'!$K$14:$K$73,$T138))))</f>
        <v>#REF!</v>
      </c>
      <c r="G138" s="691" t="str">
        <f t="array" ref="G138">IF($S138="","",IF($S138="Lớp 5",INDEX('Lớp 5 - Phân công'!$N$14:$N$262,$T138),IF($S138="Lớp 4",INDEX('Lớp 4 - Danh mục'!$M$14:$M$132,$T138),INDEX('Lớp 3 - Công việc chính'!$L$14:$L$73,$T138))))</f>
        <v>#REF!</v>
      </c>
      <c r="H138" s="692" t="str">
        <f t="array" ref="H138">IF($S138="","",IF($S138="Lớp 5",INDEX('Lớp 5 - Phân công'!$O$14:$O$262,$T138),IF($S138="Lớp 4",INDEX('Lớp 4 - Danh mục'!$N$14:$N$132,$T138),INDEX('Lớp 3 - Công việc chính'!$M$14:$M$73,$T138))))</f>
        <v>#REF!</v>
      </c>
      <c r="I138" s="692" t="str">
        <f t="array" ref="I138">IF($S138="","",IF($S138="Lớp 5",INDEX('Lớp 5 - Phân công'!$P$14:$P$262,$T138),IF($S138="Lớp 4",INDEX('Lớp 4 - Danh mục'!$O$14:$O$132,$T138),"")))</f>
        <v>#REF!</v>
      </c>
      <c r="J138" s="693" t="str">
        <f t="array" ref="J138">IF($S138="","",IF($S138="Lớp 5",INDEX('Lớp 5 - Phân công'!$Q$14:$Q$262,$T138),""))</f>
        <v>#REF!</v>
      </c>
      <c r="K138" s="690" t="str">
        <f t="array" ref="K138">IF($S138="","",IF($S138="Lớp 5",INDEX('Lớp 5 - Phân công'!$AA$14:$AA$262,$T138),IF($S138="Lớp 4",INDEX('Lớp 4 - Danh mục'!$Y$14:$Y$132,$T138),INDEX('Lớp 3 - Công việc chính'!$U$14:$U$73,$T138))))</f>
        <v>#REF!</v>
      </c>
      <c r="L138" s="691" t="str">
        <f t="array" ref="L138">IF($S138="","",IF($S138="Lớp 5",INDEX('Lớp 5 - Phân công'!$Z$14:$Z$262,$T138),IF($S138="Lớp 4",INDEX('Lớp 4 - Danh mục'!$X$14:$X$132,$T138),INDEX('Lớp 3 - Công việc chính'!$W$14:$W$73,$T138))))</f>
        <v>#REF!</v>
      </c>
      <c r="M138" s="694" t="str">
        <f t="array" ref="M138">IF($S138="","",IF($S138="Lớp 5",INDEX('Lớp 5 - Phân công'!$AD$14:$AD$262,$T138),IF($S138="Lớp 4",INDEX('Lớp 4 - Danh mục'!$AC$14:$AC$132,$T138),INDEX('Lớp 3 - Công việc chính'!$Z$14:$Z$73,$T138))))</f>
        <v>#REF!</v>
      </c>
      <c r="N138" s="695" t="str">
        <f t="array" ref="N138">IF($S138="","",IF($S138="Lớp 5",INDEX('Lớp 5 - Phân công'!$AE$14:$AE$262,$T138),IF($S138="Lớp 4",INDEX('Lớp 4 - Danh mục'!$AD$14:$AD$132,$T138),INDEX('Lớp 3 - Công việc chính'!$AA$14:$AA$73,$T138))))</f>
        <v>#REF!</v>
      </c>
      <c r="O138" s="690" t="str">
        <f t="array" ref="O138">IF($S138="","",IF($S138="Lớp 5",INDEX('Lớp 5 - Phân công'!$AB$14:$AB$262,$T138),IF($S138="Lớp 4",INDEX('Lớp 4 - Danh mục'!$AA$14:$AA$132,$T138),INDEX('Lớp 3 - Công việc chính'!$X$14:$X$73,$T138))))</f>
        <v>#REF!</v>
      </c>
      <c r="P138" s="703" t="str">
        <f t="array" ref="P138">IF($S138="","",IF($S138="Lớp 5",INDEX('Lớp 5 - Phân công'!$AC$14:$AC$262,$T138),IF($S138="Lớp 4",INDEX('Lớp 4 - Danh mục'!$AB$14:$AB$132,$T138),INDEX('Lớp 3 - Công việc chính'!$Y$14:$Y$73,$T138))))</f>
        <v>#REF!</v>
      </c>
      <c r="Q138" s="697" t="str">
        <f t="array" ref="Q138">IF($S138="","",IF($S138="Lớp 5",INDEX('Lớp 5 - Phân công'!$AG$14:$AG$262,$T138),IF($S138="Lớp 4",INDEX('Lớp 4 - Danh mục'!$AF$14:$AF$132,$T138),INDEX('Lớp 3 - Công việc chính'!$AC$14:$AC$73,$T138))))</f>
        <v>#REF!</v>
      </c>
      <c r="R138" s="698" t="str">
        <f t="array" ref="R138">IF($S138="","",IF($S138="Lớp 5",INDEX('Lớp 5 - Phân công'!$X$14:$X$262,$T138),IF($S138="Lớp 4",INDEX('Lớp 4 - Danh mục'!$V$14:$V$132,$T138),INDEX('Lớp 3 - Công việc chính'!$T$14:$T$73,$T138))))</f>
        <v>#REF!</v>
      </c>
      <c r="S138" s="699" t="str">
        <f>IF(ROWS($S$14:S138)&lt;=COUNTIF('Lớp 5 - Phân công'!$I$14:$I$262,"&lt;&gt;"),"Lớp 5",IF(ROWS($S$14:S138)&lt;=COUNTIF('Lớp 5 - Phân công'!$I$14:$I$262,"&lt;&gt;")+SUMPRODUCT(--('Lớp 4 - Danh mục'!$I$14:$I$132&lt;&gt;""),--(COUNTIF('Lớp 5 - Phân công'!$J$14:$J$262,'Lớp 4 - Danh mục'!$I$14:$I$132)=0)),"Lớp 4",IF(ROWS($S$14:S138)&lt;=COUNTIF('Lớp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8" s="699" t="str">
        <f t="array" ref="T138">IF(S138="","",IF(S138="Lớp 5",IF(S137&lt;&gt;"Lớp 5",MATCH("*",'Lớp 5 - Phân công'!$I$14:$I$262,0),T137+MATCH("*",INDEX('Lớp 5 - Phân công'!$I$14:$I$262,T137+1):'Lớp 5 - Phân công'!$I$262,0)),IF(S138="Lớp 4",IF(S137&lt;&gt;"Lớp 4",MATCH(1,INDEX(('Lớp 4 - Danh mục'!$I$14:$I$132&lt;&gt;"")*(COUNTIF('Lớp 5 - Phân công'!$J$14:$J$262,'Lớp 4 - Danh mục'!$I$14:$I$132)=0),0),0),T137+MATCH(1,INDEX((INDEX('Lớp 4 - Danh mục'!$I$14:$I$132,T137+1):'Lớp 4 - Danh mục'!$I$132&lt;&gt;"")*(COUNTIF('Lớp 5 - Phân công'!$J$14:$J$262,INDEX('Lớp 4 - Danh mục'!$I$14:$I$132,T137+1):'Lớp 4 - Danh mục'!$I$132)=0),0),0)),IF(S137&lt;&gt;"Lớp 3",MATCH(1,INDEX(('Lớp 3 - Công việc chính'!$I$14:$I$73&lt;&gt;"")*(COUNTIF('Lớp 4 - Danh mục'!$J$14:$J$132,'Lớp 3 - Công việc chính'!$I$14:$I$73)=0),0),0),T137+MATCH(1,INDEX((INDEX('Lớp 3 - Công việc chính'!$I$14:$I$73,T137+1):'Lớp 3 - Công việc chính'!$I$73&lt;&gt;"")*(COUNTIF('Lớp 4 - Danh mục'!$J$14:$J$132,INDEX('Lớp 3 - Công việc chính'!$I$14:$I$73,T137+1):'Lớp 3 - Công việc chính'!$I$73)=0),0),0)))))</f>
        <v>#REF!</v>
      </c>
      <c r="Z138" s="700" t="str">
        <f t="array" ref="Z138">IF($S138="","",IF($S138="Lớp 5",INDEX('Lớp 5 - Phân công'!$AS$14:$AS$262,$T138),IF($S138="Lớp 4",INDEX('Lớp 4 - Danh mục'!$AR$14:$AR$132,$T138),INDEX('Lớp 3 - Công việc chính'!$AO$14:$AO$73,$T138))))</f>
        <v>#REF!</v>
      </c>
      <c r="AA138" s="701" t="str">
        <f t="array" ref="AA138">IF($S138="","",IF($S138="Lớp 5",INDEX('Lớp 5 - Phân công'!$AT$14:$AT$262,$T138),IF($S138="Lớp 4",INDEX('Lớp 4 - Danh mục'!$AS$14:$AS$132,$T138),INDEX('Lớp 3 - Công việc chính'!$AP$14:$AP$73,$T138))))</f>
        <v>#REF!</v>
      </c>
      <c r="AB138" s="701" t="str">
        <f t="array" ref="AB138">IF($S138="","",IF($S138="Lớp 5",INDEX('Lớp 5 - Phân công'!$AJ$14:$AJ$262,$T138),IF($S138="Lớp 4",INDEX('Lớp 4 - Danh mục'!$AI$14:$AI$132,$T138),INDEX('Lớp 3 - Công việc chính'!$AF$14:$AF$73,$T138))))</f>
        <v>#REF!</v>
      </c>
      <c r="AC138" s="702" t="str">
        <f t="array" ref="AC138">IF($S138="","",IF($S138="Lớp 5",INDEX('Lớp 5 - Phân công'!$AV$14:$AV$262,$T138),IF($S138="Lớp 4",INDEX('Lớp 4 - Danh mục'!$AU$14:$AU$132,$T138),INDEX('Lớp 3 - Công việc chính'!$AR$14:$AR$73,$T138))))</f>
        <v>#REF!</v>
      </c>
    </row>
    <row r="139" ht="15.75" customHeight="1">
      <c r="A139" s="690" t="str">
        <f t="shared" si="1"/>
        <v>#REF!</v>
      </c>
      <c r="B139" s="690" t="str">
        <f t="array" ref="B139">IF($S139="","",IF($S139="Lớp 5",INDEX('Lớp 5 - Phân công'!$I$14:$I$262,$T139),IF($S139="Lớp 4",INDEX('Lớp 4 - Danh mục'!$I$14:$I$132,$T139),INDEX('Lớp 3 - Công việc chính'!$I$14:$I$73,$T139))))</f>
        <v>#REF!</v>
      </c>
      <c r="C139" s="690" t="str">
        <f t="array" ref="C139">IF($S139="","",IF($S139="Lớp 5",INDEX('Lớp 5 - Phân công'!$K$14:$K$262,$T139),IF($S139="Lớp 4",INDEX('Lớp 4 - Danh mục'!$J$14:$J$132,$T139),INDEX('Lớp 3 - Công việc chính'!$I$14:$I$73,$T139))))</f>
        <v>#REF!</v>
      </c>
      <c r="D139" s="690" t="str">
        <f t="array" ref="D139">IF($S139="","",IF($S139="Lớp 5",INDEX('Lớp 5 - Phân công'!$J$14:$J$262,$T139),IF($S139="Lớp 4",INDEX('Lớp 4 - Danh mục'!$I$14:$I$132,$T139),"")))</f>
        <v>#REF!</v>
      </c>
      <c r="E139" s="690" t="str">
        <f t="array" ref="E139">IF($S139="","",IF($S139="Lớp 5",INDEX('Lớp 5 - Phân công'!$L$14:$L$262,$T139),IF($S139="Lớp 4",INDEX('Lớp 4 - Danh mục'!$K$14:$K$132,$T139),INDEX('Lớp 3 - Công việc chính'!$J$14:$J$73,$T139))))</f>
        <v>#REF!</v>
      </c>
      <c r="F139" s="690" t="str">
        <f t="array" ref="F139">IF($S139="","",IF($S139="Lớp 5",INDEX('Lớp 5 - Phân công'!$M$14:$M$262,$T139),IF($S139="Lớp 4",INDEX('Lớp 4 - Danh mục'!$L$14:$L$132,$T139),INDEX('Lớp 3 - Công việc chính'!$K$14:$K$73,$T139))))</f>
        <v>#REF!</v>
      </c>
      <c r="G139" s="691" t="str">
        <f t="array" ref="G139">IF($S139="","",IF($S139="Lớp 5",INDEX('Lớp 5 - Phân công'!$N$14:$N$262,$T139),IF($S139="Lớp 4",INDEX('Lớp 4 - Danh mục'!$M$14:$M$132,$T139),INDEX('Lớp 3 - Công việc chính'!$L$14:$L$73,$T139))))</f>
        <v>#REF!</v>
      </c>
      <c r="H139" s="692" t="str">
        <f t="array" ref="H139">IF($S139="","",IF($S139="Lớp 5",INDEX('Lớp 5 - Phân công'!$O$14:$O$262,$T139),IF($S139="Lớp 4",INDEX('Lớp 4 - Danh mục'!$N$14:$N$132,$T139),INDEX('Lớp 3 - Công việc chính'!$M$14:$M$73,$T139))))</f>
        <v>#REF!</v>
      </c>
      <c r="I139" s="692" t="str">
        <f t="array" ref="I139">IF($S139="","",IF($S139="Lớp 5",INDEX('Lớp 5 - Phân công'!$P$14:$P$262,$T139),IF($S139="Lớp 4",INDEX('Lớp 4 - Danh mục'!$O$14:$O$132,$T139),"")))</f>
        <v>#REF!</v>
      </c>
      <c r="J139" s="693" t="str">
        <f t="array" ref="J139">IF($S139="","",IF($S139="Lớp 5",INDEX('Lớp 5 - Phân công'!$Q$14:$Q$262,$T139),""))</f>
        <v>#REF!</v>
      </c>
      <c r="K139" s="690" t="str">
        <f t="array" ref="K139">IF($S139="","",IF($S139="Lớp 5",INDEX('Lớp 5 - Phân công'!$AA$14:$AA$262,$T139),IF($S139="Lớp 4",INDEX('Lớp 4 - Danh mục'!$Y$14:$Y$132,$T139),INDEX('Lớp 3 - Công việc chính'!$U$14:$U$73,$T139))))</f>
        <v>#REF!</v>
      </c>
      <c r="L139" s="691" t="str">
        <f t="array" ref="L139">IF($S139="","",IF($S139="Lớp 5",INDEX('Lớp 5 - Phân công'!$Z$14:$Z$262,$T139),IF($S139="Lớp 4",INDEX('Lớp 4 - Danh mục'!$X$14:$X$132,$T139),INDEX('Lớp 3 - Công việc chính'!$W$14:$W$73,$T139))))</f>
        <v>#REF!</v>
      </c>
      <c r="M139" s="694" t="str">
        <f t="array" ref="M139">IF($S139="","",IF($S139="Lớp 5",INDEX('Lớp 5 - Phân công'!$AD$14:$AD$262,$T139),IF($S139="Lớp 4",INDEX('Lớp 4 - Danh mục'!$AC$14:$AC$132,$T139),INDEX('Lớp 3 - Công việc chính'!$Z$14:$Z$73,$T139))))</f>
        <v>#REF!</v>
      </c>
      <c r="N139" s="695" t="str">
        <f t="array" ref="N139">IF($S139="","",IF($S139="Lớp 5",INDEX('Lớp 5 - Phân công'!$AE$14:$AE$262,$T139),IF($S139="Lớp 4",INDEX('Lớp 4 - Danh mục'!$AD$14:$AD$132,$T139),INDEX('Lớp 3 - Công việc chính'!$AA$14:$AA$73,$T139))))</f>
        <v>#REF!</v>
      </c>
      <c r="O139" s="690" t="str">
        <f t="array" ref="O139">IF($S139="","",IF($S139="Lớp 5",INDEX('Lớp 5 - Phân công'!$AB$14:$AB$262,$T139),IF($S139="Lớp 4",INDEX('Lớp 4 - Danh mục'!$AA$14:$AA$132,$T139),INDEX('Lớp 3 - Công việc chính'!$X$14:$X$73,$T139))))</f>
        <v>#REF!</v>
      </c>
      <c r="P139" s="703" t="str">
        <f t="array" ref="P139">IF($S139="","",IF($S139="Lớp 5",INDEX('Lớp 5 - Phân công'!$AC$14:$AC$262,$T139),IF($S139="Lớp 4",INDEX('Lớp 4 - Danh mục'!$AB$14:$AB$132,$T139),INDEX('Lớp 3 - Công việc chính'!$Y$14:$Y$73,$T139))))</f>
        <v>#REF!</v>
      </c>
      <c r="Q139" s="697" t="str">
        <f t="array" ref="Q139">IF($S139="","",IF($S139="Lớp 5",INDEX('Lớp 5 - Phân công'!$AG$14:$AG$262,$T139),IF($S139="Lớp 4",INDEX('Lớp 4 - Danh mục'!$AF$14:$AF$132,$T139),INDEX('Lớp 3 - Công việc chính'!$AC$14:$AC$73,$T139))))</f>
        <v>#REF!</v>
      </c>
      <c r="R139" s="698" t="str">
        <f t="array" ref="R139">IF($S139="","",IF($S139="Lớp 5",INDEX('Lớp 5 - Phân công'!$X$14:$X$262,$T139),IF($S139="Lớp 4",INDEX('Lớp 4 - Danh mục'!$V$14:$V$132,$T139),INDEX('Lớp 3 - Công việc chính'!$T$14:$T$73,$T139))))</f>
        <v>#REF!</v>
      </c>
      <c r="S139" s="699" t="str">
        <f>IF(ROWS($S$14:S139)&lt;=COUNTIF('Lớp 5 - Phân công'!$I$14:$I$262,"&lt;&gt;"),"Lớp 5",IF(ROWS($S$14:S139)&lt;=COUNTIF('Lớp 5 - Phân công'!$I$14:$I$262,"&lt;&gt;")+SUMPRODUCT(--('Lớp 4 - Danh mục'!$I$14:$I$132&lt;&gt;""),--(COUNTIF('Lớp 5 - Phân công'!$J$14:$J$262,'Lớp 4 - Danh mục'!$I$14:$I$132)=0)),"Lớp 4",IF(ROWS($S$14:S139)&lt;=COUNTIF('Lớp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39" s="699" t="str">
        <f t="array" ref="T139">IF(S139="","",IF(S139="Lớp 5",IF(S138&lt;&gt;"Lớp 5",MATCH("*",'Lớp 5 - Phân công'!$I$14:$I$262,0),T138+MATCH("*",INDEX('Lớp 5 - Phân công'!$I$14:$I$262,T138+1):'Lớp 5 - Phân công'!$I$262,0)),IF(S139="Lớp 4",IF(S138&lt;&gt;"Lớp 4",MATCH(1,INDEX(('Lớp 4 - Danh mục'!$I$14:$I$132&lt;&gt;"")*(COUNTIF('Lớp 5 - Phân công'!$J$14:$J$262,'Lớp 4 - Danh mục'!$I$14:$I$132)=0),0),0),T138+MATCH(1,INDEX((INDEX('Lớp 4 - Danh mục'!$I$14:$I$132,T138+1):'Lớp 4 - Danh mục'!$I$132&lt;&gt;"")*(COUNTIF('Lớp 5 - Phân công'!$J$14:$J$262,INDEX('Lớp 4 - Danh mục'!$I$14:$I$132,T138+1):'Lớp 4 - Danh mục'!$I$132)=0),0),0)),IF(S138&lt;&gt;"Lớp 3",MATCH(1,INDEX(('Lớp 3 - Công việc chính'!$I$14:$I$73&lt;&gt;"")*(COUNTIF('Lớp 4 - Danh mục'!$J$14:$J$132,'Lớp 3 - Công việc chính'!$I$14:$I$73)=0),0),0),T138+MATCH(1,INDEX((INDEX('Lớp 3 - Công việc chính'!$I$14:$I$73,T138+1):'Lớp 3 - Công việc chính'!$I$73&lt;&gt;"")*(COUNTIF('Lớp 4 - Danh mục'!$J$14:$J$132,INDEX('Lớp 3 - Công việc chính'!$I$14:$I$73,T138+1):'Lớp 3 - Công việc chính'!$I$73)=0),0),0)))))</f>
        <v>#REF!</v>
      </c>
      <c r="Z139" s="700" t="str">
        <f t="array" ref="Z139">IF($S139="","",IF($S139="Lớp 5",INDEX('Lớp 5 - Phân công'!$AS$14:$AS$262,$T139),IF($S139="Lớp 4",INDEX('Lớp 4 - Danh mục'!$AR$14:$AR$132,$T139),INDEX('Lớp 3 - Công việc chính'!$AO$14:$AO$73,$T139))))</f>
        <v>#REF!</v>
      </c>
      <c r="AA139" s="701" t="str">
        <f t="array" ref="AA139">IF($S139="","",IF($S139="Lớp 5",INDEX('Lớp 5 - Phân công'!$AT$14:$AT$262,$T139),IF($S139="Lớp 4",INDEX('Lớp 4 - Danh mục'!$AS$14:$AS$132,$T139),INDEX('Lớp 3 - Công việc chính'!$AP$14:$AP$73,$T139))))</f>
        <v>#REF!</v>
      </c>
      <c r="AB139" s="701" t="str">
        <f t="array" ref="AB139">IF($S139="","",IF($S139="Lớp 5",INDEX('Lớp 5 - Phân công'!$AJ$14:$AJ$262,$T139),IF($S139="Lớp 4",INDEX('Lớp 4 - Danh mục'!$AI$14:$AI$132,$T139),INDEX('Lớp 3 - Công việc chính'!$AF$14:$AF$73,$T139))))</f>
        <v>#REF!</v>
      </c>
      <c r="AC139" s="702" t="str">
        <f t="array" ref="AC139">IF($S139="","",IF($S139="Lớp 5",INDEX('Lớp 5 - Phân công'!$AV$14:$AV$262,$T139),IF($S139="Lớp 4",INDEX('Lớp 4 - Danh mục'!$AU$14:$AU$132,$T139),INDEX('Lớp 3 - Công việc chính'!$AR$14:$AR$73,$T139))))</f>
        <v>#REF!</v>
      </c>
    </row>
    <row r="140" ht="15.75" customHeight="1">
      <c r="A140" s="690" t="str">
        <f t="shared" si="1"/>
        <v>#REF!</v>
      </c>
      <c r="B140" s="690" t="str">
        <f t="array" ref="B140">IF($S140="","",IF($S140="Lớp 5",INDEX('Lớp 5 - Phân công'!$I$14:$I$262,$T140),IF($S140="Lớp 4",INDEX('Lớp 4 - Danh mục'!$I$14:$I$132,$T140),INDEX('Lớp 3 - Công việc chính'!$I$14:$I$73,$T140))))</f>
        <v>#REF!</v>
      </c>
      <c r="C140" s="690" t="str">
        <f t="array" ref="C140">IF($S140="","",IF($S140="Lớp 5",INDEX('Lớp 5 - Phân công'!$K$14:$K$262,$T140),IF($S140="Lớp 4",INDEX('Lớp 4 - Danh mục'!$J$14:$J$132,$T140),INDEX('Lớp 3 - Công việc chính'!$I$14:$I$73,$T140))))</f>
        <v>#REF!</v>
      </c>
      <c r="D140" s="690" t="str">
        <f t="array" ref="D140">IF($S140="","",IF($S140="Lớp 5",INDEX('Lớp 5 - Phân công'!$J$14:$J$262,$T140),IF($S140="Lớp 4",INDEX('Lớp 4 - Danh mục'!$I$14:$I$132,$T140),"")))</f>
        <v>#REF!</v>
      </c>
      <c r="E140" s="690" t="str">
        <f t="array" ref="E140">IF($S140="","",IF($S140="Lớp 5",INDEX('Lớp 5 - Phân công'!$L$14:$L$262,$T140),IF($S140="Lớp 4",INDEX('Lớp 4 - Danh mục'!$K$14:$K$132,$T140),INDEX('Lớp 3 - Công việc chính'!$J$14:$J$73,$T140))))</f>
        <v>#REF!</v>
      </c>
      <c r="F140" s="690" t="str">
        <f t="array" ref="F140">IF($S140="","",IF($S140="Lớp 5",INDEX('Lớp 5 - Phân công'!$M$14:$M$262,$T140),IF($S140="Lớp 4",INDEX('Lớp 4 - Danh mục'!$L$14:$L$132,$T140),INDEX('Lớp 3 - Công việc chính'!$K$14:$K$73,$T140))))</f>
        <v>#REF!</v>
      </c>
      <c r="G140" s="691" t="str">
        <f t="array" ref="G140">IF($S140="","",IF($S140="Lớp 5",INDEX('Lớp 5 - Phân công'!$N$14:$N$262,$T140),IF($S140="Lớp 4",INDEX('Lớp 4 - Danh mục'!$M$14:$M$132,$T140),INDEX('Lớp 3 - Công việc chính'!$L$14:$L$73,$T140))))</f>
        <v>#REF!</v>
      </c>
      <c r="H140" s="692" t="str">
        <f t="array" ref="H140">IF($S140="","",IF($S140="Lớp 5",INDEX('Lớp 5 - Phân công'!$O$14:$O$262,$T140),IF($S140="Lớp 4",INDEX('Lớp 4 - Danh mục'!$N$14:$N$132,$T140),INDEX('Lớp 3 - Công việc chính'!$M$14:$M$73,$T140))))</f>
        <v>#REF!</v>
      </c>
      <c r="I140" s="692" t="str">
        <f t="array" ref="I140">IF($S140="","",IF($S140="Lớp 5",INDEX('Lớp 5 - Phân công'!$P$14:$P$262,$T140),IF($S140="Lớp 4",INDEX('Lớp 4 - Danh mục'!$O$14:$O$132,$T140),"")))</f>
        <v>#REF!</v>
      </c>
      <c r="J140" s="693" t="str">
        <f t="array" ref="J140">IF($S140="","",IF($S140="Lớp 5",INDEX('Lớp 5 - Phân công'!$Q$14:$Q$262,$T140),""))</f>
        <v>#REF!</v>
      </c>
      <c r="K140" s="690" t="str">
        <f t="array" ref="K140">IF($S140="","",IF($S140="Lớp 5",INDEX('Lớp 5 - Phân công'!$AA$14:$AA$262,$T140),IF($S140="Lớp 4",INDEX('Lớp 4 - Danh mục'!$Y$14:$Y$132,$T140),INDEX('Lớp 3 - Công việc chính'!$U$14:$U$73,$T140))))</f>
        <v>#REF!</v>
      </c>
      <c r="L140" s="691" t="str">
        <f t="array" ref="L140">IF($S140="","",IF($S140="Lớp 5",INDEX('Lớp 5 - Phân công'!$Z$14:$Z$262,$T140),IF($S140="Lớp 4",INDEX('Lớp 4 - Danh mục'!$X$14:$X$132,$T140),INDEX('Lớp 3 - Công việc chính'!$W$14:$W$73,$T140))))</f>
        <v>#REF!</v>
      </c>
      <c r="M140" s="694" t="str">
        <f t="array" ref="M140">IF($S140="","",IF($S140="Lớp 5",INDEX('Lớp 5 - Phân công'!$AD$14:$AD$262,$T140),IF($S140="Lớp 4",INDEX('Lớp 4 - Danh mục'!$AC$14:$AC$132,$T140),INDEX('Lớp 3 - Công việc chính'!$Z$14:$Z$73,$T140))))</f>
        <v>#REF!</v>
      </c>
      <c r="N140" s="695" t="str">
        <f t="array" ref="N140">IF($S140="","",IF($S140="Lớp 5",INDEX('Lớp 5 - Phân công'!$AE$14:$AE$262,$T140),IF($S140="Lớp 4",INDEX('Lớp 4 - Danh mục'!$AD$14:$AD$132,$T140),INDEX('Lớp 3 - Công việc chính'!$AA$14:$AA$73,$T140))))</f>
        <v>#REF!</v>
      </c>
      <c r="O140" s="690" t="str">
        <f t="array" ref="O140">IF($S140="","",IF($S140="Lớp 5",INDEX('Lớp 5 - Phân công'!$AB$14:$AB$262,$T140),IF($S140="Lớp 4",INDEX('Lớp 4 - Danh mục'!$AA$14:$AA$132,$T140),INDEX('Lớp 3 - Công việc chính'!$X$14:$X$73,$T140))))</f>
        <v>#REF!</v>
      </c>
      <c r="P140" s="703" t="str">
        <f t="array" ref="P140">IF($S140="","",IF($S140="Lớp 5",INDEX('Lớp 5 - Phân công'!$AC$14:$AC$262,$T140),IF($S140="Lớp 4",INDEX('Lớp 4 - Danh mục'!$AB$14:$AB$132,$T140),INDEX('Lớp 3 - Công việc chính'!$Y$14:$Y$73,$T140))))</f>
        <v>#REF!</v>
      </c>
      <c r="Q140" s="697" t="str">
        <f t="array" ref="Q140">IF($S140="","",IF($S140="Lớp 5",INDEX('Lớp 5 - Phân công'!$AG$14:$AG$262,$T140),IF($S140="Lớp 4",INDEX('Lớp 4 - Danh mục'!$AF$14:$AF$132,$T140),INDEX('Lớp 3 - Công việc chính'!$AC$14:$AC$73,$T140))))</f>
        <v>#REF!</v>
      </c>
      <c r="R140" s="698" t="str">
        <f t="array" ref="R140">IF($S140="","",IF($S140="Lớp 5",INDEX('Lớp 5 - Phân công'!$X$14:$X$262,$T140),IF($S140="Lớp 4",INDEX('Lớp 4 - Danh mục'!$V$14:$V$132,$T140),INDEX('Lớp 3 - Công việc chính'!$T$14:$T$73,$T140))))</f>
        <v>#REF!</v>
      </c>
      <c r="S140" s="699" t="str">
        <f>IF(ROWS($S$14:S140)&lt;=COUNTIF('Lớp 5 - Phân công'!$I$14:$I$262,"&lt;&gt;"),"Lớp 5",IF(ROWS($S$14:S140)&lt;=COUNTIF('Lớp 5 - Phân công'!$I$14:$I$262,"&lt;&gt;")+SUMPRODUCT(--('Lớp 4 - Danh mục'!$I$14:$I$132&lt;&gt;""),--(COUNTIF('Lớp 5 - Phân công'!$J$14:$J$262,'Lớp 4 - Danh mục'!$I$14:$I$132)=0)),"Lớp 4",IF(ROWS($S$14:S140)&lt;=COUNTIF('Lớp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0" s="699" t="str">
        <f t="array" ref="T140">IF(S140="","",IF(S140="Lớp 5",IF(S139&lt;&gt;"Lớp 5",MATCH("*",'Lớp 5 - Phân công'!$I$14:$I$262,0),T139+MATCH("*",INDEX('Lớp 5 - Phân công'!$I$14:$I$262,T139+1):'Lớp 5 - Phân công'!$I$262,0)),IF(S140="Lớp 4",IF(S139&lt;&gt;"Lớp 4",MATCH(1,INDEX(('Lớp 4 - Danh mục'!$I$14:$I$132&lt;&gt;"")*(COUNTIF('Lớp 5 - Phân công'!$J$14:$J$262,'Lớp 4 - Danh mục'!$I$14:$I$132)=0),0),0),T139+MATCH(1,INDEX((INDEX('Lớp 4 - Danh mục'!$I$14:$I$132,T139+1):'Lớp 4 - Danh mục'!$I$132&lt;&gt;"")*(COUNTIF('Lớp 5 - Phân công'!$J$14:$J$262,INDEX('Lớp 4 - Danh mục'!$I$14:$I$132,T139+1):'Lớp 4 - Danh mục'!$I$132)=0),0),0)),IF(S139&lt;&gt;"Lớp 3",MATCH(1,INDEX(('Lớp 3 - Công việc chính'!$I$14:$I$73&lt;&gt;"")*(COUNTIF('Lớp 4 - Danh mục'!$J$14:$J$132,'Lớp 3 - Công việc chính'!$I$14:$I$73)=0),0),0),T139+MATCH(1,INDEX((INDEX('Lớp 3 - Công việc chính'!$I$14:$I$73,T139+1):'Lớp 3 - Công việc chính'!$I$73&lt;&gt;"")*(COUNTIF('Lớp 4 - Danh mục'!$J$14:$J$132,INDEX('Lớp 3 - Công việc chính'!$I$14:$I$73,T139+1):'Lớp 3 - Công việc chính'!$I$73)=0),0),0)))))</f>
        <v>#REF!</v>
      </c>
      <c r="Z140" s="700" t="str">
        <f t="array" ref="Z140">IF($S140="","",IF($S140="Lớp 5",INDEX('Lớp 5 - Phân công'!$AS$14:$AS$262,$T140),IF($S140="Lớp 4",INDEX('Lớp 4 - Danh mục'!$AR$14:$AR$132,$T140),INDEX('Lớp 3 - Công việc chính'!$AO$14:$AO$73,$T140))))</f>
        <v>#REF!</v>
      </c>
      <c r="AA140" s="701" t="str">
        <f t="array" ref="AA140">IF($S140="","",IF($S140="Lớp 5",INDEX('Lớp 5 - Phân công'!$AT$14:$AT$262,$T140),IF($S140="Lớp 4",INDEX('Lớp 4 - Danh mục'!$AS$14:$AS$132,$T140),INDEX('Lớp 3 - Công việc chính'!$AP$14:$AP$73,$T140))))</f>
        <v>#REF!</v>
      </c>
      <c r="AB140" s="701" t="str">
        <f t="array" ref="AB140">IF($S140="","",IF($S140="Lớp 5",INDEX('Lớp 5 - Phân công'!$AJ$14:$AJ$262,$T140),IF($S140="Lớp 4",INDEX('Lớp 4 - Danh mục'!$AI$14:$AI$132,$T140),INDEX('Lớp 3 - Công việc chính'!$AF$14:$AF$73,$T140))))</f>
        <v>#REF!</v>
      </c>
      <c r="AC140" s="702" t="str">
        <f t="array" ref="AC140">IF($S140="","",IF($S140="Lớp 5",INDEX('Lớp 5 - Phân công'!$AV$14:$AV$262,$T140),IF($S140="Lớp 4",INDEX('Lớp 4 - Danh mục'!$AU$14:$AU$132,$T140),INDEX('Lớp 3 - Công việc chính'!$AR$14:$AR$73,$T140))))</f>
        <v>#REF!</v>
      </c>
    </row>
    <row r="141" ht="15.75" customHeight="1">
      <c r="A141" s="690" t="str">
        <f t="shared" si="1"/>
        <v>#REF!</v>
      </c>
      <c r="B141" s="690" t="str">
        <f t="array" ref="B141">IF($S141="","",IF($S141="Lớp 5",INDEX('Lớp 5 - Phân công'!$I$14:$I$262,$T141),IF($S141="Lớp 4",INDEX('Lớp 4 - Danh mục'!$I$14:$I$132,$T141),INDEX('Lớp 3 - Công việc chính'!$I$14:$I$73,$T141))))</f>
        <v>#REF!</v>
      </c>
      <c r="C141" s="690" t="str">
        <f t="array" ref="C141">IF($S141="","",IF($S141="Lớp 5",INDEX('Lớp 5 - Phân công'!$K$14:$K$262,$T141),IF($S141="Lớp 4",INDEX('Lớp 4 - Danh mục'!$J$14:$J$132,$T141),INDEX('Lớp 3 - Công việc chính'!$I$14:$I$73,$T141))))</f>
        <v>#REF!</v>
      </c>
      <c r="D141" s="690" t="str">
        <f t="array" ref="D141">IF($S141="","",IF($S141="Lớp 5",INDEX('Lớp 5 - Phân công'!$J$14:$J$262,$T141),IF($S141="Lớp 4",INDEX('Lớp 4 - Danh mục'!$I$14:$I$132,$T141),"")))</f>
        <v>#REF!</v>
      </c>
      <c r="E141" s="690" t="str">
        <f t="array" ref="E141">IF($S141="","",IF($S141="Lớp 5",INDEX('Lớp 5 - Phân công'!$L$14:$L$262,$T141),IF($S141="Lớp 4",INDEX('Lớp 4 - Danh mục'!$K$14:$K$132,$T141),INDEX('Lớp 3 - Công việc chính'!$J$14:$J$73,$T141))))</f>
        <v>#REF!</v>
      </c>
      <c r="F141" s="690" t="str">
        <f t="array" ref="F141">IF($S141="","",IF($S141="Lớp 5",INDEX('Lớp 5 - Phân công'!$M$14:$M$262,$T141),IF($S141="Lớp 4",INDEX('Lớp 4 - Danh mục'!$L$14:$L$132,$T141),INDEX('Lớp 3 - Công việc chính'!$K$14:$K$73,$T141))))</f>
        <v>#REF!</v>
      </c>
      <c r="G141" s="691" t="str">
        <f t="array" ref="G141">IF($S141="","",IF($S141="Lớp 5",INDEX('Lớp 5 - Phân công'!$N$14:$N$262,$T141),IF($S141="Lớp 4",INDEX('Lớp 4 - Danh mục'!$M$14:$M$132,$T141),INDEX('Lớp 3 - Công việc chính'!$L$14:$L$73,$T141))))</f>
        <v>#REF!</v>
      </c>
      <c r="H141" s="692" t="str">
        <f t="array" ref="H141">IF($S141="","",IF($S141="Lớp 5",INDEX('Lớp 5 - Phân công'!$O$14:$O$262,$T141),IF($S141="Lớp 4",INDEX('Lớp 4 - Danh mục'!$N$14:$N$132,$T141),INDEX('Lớp 3 - Công việc chính'!$M$14:$M$73,$T141))))</f>
        <v>#REF!</v>
      </c>
      <c r="I141" s="692" t="str">
        <f t="array" ref="I141">IF($S141="","",IF($S141="Lớp 5",INDEX('Lớp 5 - Phân công'!$P$14:$P$262,$T141),IF($S141="Lớp 4",INDEX('Lớp 4 - Danh mục'!$O$14:$O$132,$T141),"")))</f>
        <v>#REF!</v>
      </c>
      <c r="J141" s="693" t="str">
        <f t="array" ref="J141">IF($S141="","",IF($S141="Lớp 5",INDEX('Lớp 5 - Phân công'!$Q$14:$Q$262,$T141),""))</f>
        <v>#REF!</v>
      </c>
      <c r="K141" s="690" t="str">
        <f t="array" ref="K141">IF($S141="","",IF($S141="Lớp 5",INDEX('Lớp 5 - Phân công'!$AA$14:$AA$262,$T141),IF($S141="Lớp 4",INDEX('Lớp 4 - Danh mục'!$Y$14:$Y$132,$T141),INDEX('Lớp 3 - Công việc chính'!$U$14:$U$73,$T141))))</f>
        <v>#REF!</v>
      </c>
      <c r="L141" s="691" t="str">
        <f t="array" ref="L141">IF($S141="","",IF($S141="Lớp 5",INDEX('Lớp 5 - Phân công'!$Z$14:$Z$262,$T141),IF($S141="Lớp 4",INDEX('Lớp 4 - Danh mục'!$X$14:$X$132,$T141),INDEX('Lớp 3 - Công việc chính'!$W$14:$W$73,$T141))))</f>
        <v>#REF!</v>
      </c>
      <c r="M141" s="694" t="str">
        <f t="array" ref="M141">IF($S141="","",IF($S141="Lớp 5",INDEX('Lớp 5 - Phân công'!$AD$14:$AD$262,$T141),IF($S141="Lớp 4",INDEX('Lớp 4 - Danh mục'!$AC$14:$AC$132,$T141),INDEX('Lớp 3 - Công việc chính'!$Z$14:$Z$73,$T141))))</f>
        <v>#REF!</v>
      </c>
      <c r="N141" s="695" t="str">
        <f t="array" ref="N141">IF($S141="","",IF($S141="Lớp 5",INDEX('Lớp 5 - Phân công'!$AE$14:$AE$262,$T141),IF($S141="Lớp 4",INDEX('Lớp 4 - Danh mục'!$AD$14:$AD$132,$T141),INDEX('Lớp 3 - Công việc chính'!$AA$14:$AA$73,$T141))))</f>
        <v>#REF!</v>
      </c>
      <c r="O141" s="690" t="str">
        <f t="array" ref="O141">IF($S141="","",IF($S141="Lớp 5",INDEX('Lớp 5 - Phân công'!$AB$14:$AB$262,$T141),IF($S141="Lớp 4",INDEX('Lớp 4 - Danh mục'!$AA$14:$AA$132,$T141),INDEX('Lớp 3 - Công việc chính'!$X$14:$X$73,$T141))))</f>
        <v>#REF!</v>
      </c>
      <c r="P141" s="703" t="str">
        <f t="array" ref="P141">IF($S141="","",IF($S141="Lớp 5",INDEX('Lớp 5 - Phân công'!$AC$14:$AC$262,$T141),IF($S141="Lớp 4",INDEX('Lớp 4 - Danh mục'!$AB$14:$AB$132,$T141),INDEX('Lớp 3 - Công việc chính'!$Y$14:$Y$73,$T141))))</f>
        <v>#REF!</v>
      </c>
      <c r="Q141" s="697" t="str">
        <f t="array" ref="Q141">IF($S141="","",IF($S141="Lớp 5",INDEX('Lớp 5 - Phân công'!$AG$14:$AG$262,$T141),IF($S141="Lớp 4",INDEX('Lớp 4 - Danh mục'!$AF$14:$AF$132,$T141),INDEX('Lớp 3 - Công việc chính'!$AC$14:$AC$73,$T141))))</f>
        <v>#REF!</v>
      </c>
      <c r="R141" s="698" t="str">
        <f t="array" ref="R141">IF($S141="","",IF($S141="Lớp 5",INDEX('Lớp 5 - Phân công'!$X$14:$X$262,$T141),IF($S141="Lớp 4",INDEX('Lớp 4 - Danh mục'!$V$14:$V$132,$T141),INDEX('Lớp 3 - Công việc chính'!$T$14:$T$73,$T141))))</f>
        <v>#REF!</v>
      </c>
      <c r="S141" s="699" t="str">
        <f>IF(ROWS($S$14:S141)&lt;=COUNTIF('Lớp 5 - Phân công'!$I$14:$I$262,"&lt;&gt;"),"Lớp 5",IF(ROWS($S$14:S141)&lt;=COUNTIF('Lớp 5 - Phân công'!$I$14:$I$262,"&lt;&gt;")+SUMPRODUCT(--('Lớp 4 - Danh mục'!$I$14:$I$132&lt;&gt;""),--(COUNTIF('Lớp 5 - Phân công'!$J$14:$J$262,'Lớp 4 - Danh mục'!$I$14:$I$132)=0)),"Lớp 4",IF(ROWS($S$14:S141)&lt;=COUNTIF('Lớp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1" s="699" t="str">
        <f t="array" ref="T141">IF(S141="","",IF(S141="Lớp 5",IF(S140&lt;&gt;"Lớp 5",MATCH("*",'Lớp 5 - Phân công'!$I$14:$I$262,0),T140+MATCH("*",INDEX('Lớp 5 - Phân công'!$I$14:$I$262,T140+1):'Lớp 5 - Phân công'!$I$262,0)),IF(S141="Lớp 4",IF(S140&lt;&gt;"Lớp 4",MATCH(1,INDEX(('Lớp 4 - Danh mục'!$I$14:$I$132&lt;&gt;"")*(COUNTIF('Lớp 5 - Phân công'!$J$14:$J$262,'Lớp 4 - Danh mục'!$I$14:$I$132)=0),0),0),T140+MATCH(1,INDEX((INDEX('Lớp 4 - Danh mục'!$I$14:$I$132,T140+1):'Lớp 4 - Danh mục'!$I$132&lt;&gt;"")*(COUNTIF('Lớp 5 - Phân công'!$J$14:$J$262,INDEX('Lớp 4 - Danh mục'!$I$14:$I$132,T140+1):'Lớp 4 - Danh mục'!$I$132)=0),0),0)),IF(S140&lt;&gt;"Lớp 3",MATCH(1,INDEX(('Lớp 3 - Công việc chính'!$I$14:$I$73&lt;&gt;"")*(COUNTIF('Lớp 4 - Danh mục'!$J$14:$J$132,'Lớp 3 - Công việc chính'!$I$14:$I$73)=0),0),0),T140+MATCH(1,INDEX((INDEX('Lớp 3 - Công việc chính'!$I$14:$I$73,T140+1):'Lớp 3 - Công việc chính'!$I$73&lt;&gt;"")*(COUNTIF('Lớp 4 - Danh mục'!$J$14:$J$132,INDEX('Lớp 3 - Công việc chính'!$I$14:$I$73,T140+1):'Lớp 3 - Công việc chính'!$I$73)=0),0),0)))))</f>
        <v>#REF!</v>
      </c>
      <c r="Z141" s="700" t="str">
        <f t="array" ref="Z141">IF($S141="","",IF($S141="Lớp 5",INDEX('Lớp 5 - Phân công'!$AS$14:$AS$262,$T141),IF($S141="Lớp 4",INDEX('Lớp 4 - Danh mục'!$AR$14:$AR$132,$T141),INDEX('Lớp 3 - Công việc chính'!$AO$14:$AO$73,$T141))))</f>
        <v>#REF!</v>
      </c>
      <c r="AA141" s="701" t="str">
        <f t="array" ref="AA141">IF($S141="","",IF($S141="Lớp 5",INDEX('Lớp 5 - Phân công'!$AT$14:$AT$262,$T141),IF($S141="Lớp 4",INDEX('Lớp 4 - Danh mục'!$AS$14:$AS$132,$T141),INDEX('Lớp 3 - Công việc chính'!$AP$14:$AP$73,$T141))))</f>
        <v>#REF!</v>
      </c>
      <c r="AB141" s="701" t="str">
        <f t="array" ref="AB141">IF($S141="","",IF($S141="Lớp 5",INDEX('Lớp 5 - Phân công'!$AJ$14:$AJ$262,$T141),IF($S141="Lớp 4",INDEX('Lớp 4 - Danh mục'!$AI$14:$AI$132,$T141),INDEX('Lớp 3 - Công việc chính'!$AF$14:$AF$73,$T141))))</f>
        <v>#REF!</v>
      </c>
      <c r="AC141" s="702" t="str">
        <f t="array" ref="AC141">IF($S141="","",IF($S141="Lớp 5",INDEX('Lớp 5 - Phân công'!$AV$14:$AV$262,$T141),IF($S141="Lớp 4",INDEX('Lớp 4 - Danh mục'!$AU$14:$AU$132,$T141),INDEX('Lớp 3 - Công việc chính'!$AR$14:$AR$73,$T141))))</f>
        <v>#REF!</v>
      </c>
    </row>
    <row r="142" ht="15.75" customHeight="1">
      <c r="A142" s="690" t="str">
        <f t="shared" si="1"/>
        <v>#REF!</v>
      </c>
      <c r="B142" s="690" t="str">
        <f t="array" ref="B142">IF($S142="","",IF($S142="Lớp 5",INDEX('Lớp 5 - Phân công'!$I$14:$I$262,$T142),IF($S142="Lớp 4",INDEX('Lớp 4 - Danh mục'!$I$14:$I$132,$T142),INDEX('Lớp 3 - Công việc chính'!$I$14:$I$73,$T142))))</f>
        <v>#REF!</v>
      </c>
      <c r="C142" s="690" t="str">
        <f t="array" ref="C142">IF($S142="","",IF($S142="Lớp 5",INDEX('Lớp 5 - Phân công'!$K$14:$K$262,$T142),IF($S142="Lớp 4",INDEX('Lớp 4 - Danh mục'!$J$14:$J$132,$T142),INDEX('Lớp 3 - Công việc chính'!$I$14:$I$73,$T142))))</f>
        <v>#REF!</v>
      </c>
      <c r="D142" s="690" t="str">
        <f t="array" ref="D142">IF($S142="","",IF($S142="Lớp 5",INDEX('Lớp 5 - Phân công'!$J$14:$J$262,$T142),IF($S142="Lớp 4",INDEX('Lớp 4 - Danh mục'!$I$14:$I$132,$T142),"")))</f>
        <v>#REF!</v>
      </c>
      <c r="E142" s="690" t="str">
        <f t="array" ref="E142">IF($S142="","",IF($S142="Lớp 5",INDEX('Lớp 5 - Phân công'!$L$14:$L$262,$T142),IF($S142="Lớp 4",INDEX('Lớp 4 - Danh mục'!$K$14:$K$132,$T142),INDEX('Lớp 3 - Công việc chính'!$J$14:$J$73,$T142))))</f>
        <v>#REF!</v>
      </c>
      <c r="F142" s="690" t="str">
        <f t="array" ref="F142">IF($S142="","",IF($S142="Lớp 5",INDEX('Lớp 5 - Phân công'!$M$14:$M$262,$T142),IF($S142="Lớp 4",INDEX('Lớp 4 - Danh mục'!$L$14:$L$132,$T142),INDEX('Lớp 3 - Công việc chính'!$K$14:$K$73,$T142))))</f>
        <v>#REF!</v>
      </c>
      <c r="G142" s="691" t="str">
        <f t="array" ref="G142">IF($S142="","",IF($S142="Lớp 5",INDEX('Lớp 5 - Phân công'!$N$14:$N$262,$T142),IF($S142="Lớp 4",INDEX('Lớp 4 - Danh mục'!$M$14:$M$132,$T142),INDEX('Lớp 3 - Công việc chính'!$L$14:$L$73,$T142))))</f>
        <v>#REF!</v>
      </c>
      <c r="H142" s="692" t="str">
        <f t="array" ref="H142">IF($S142="","",IF($S142="Lớp 5",INDEX('Lớp 5 - Phân công'!$O$14:$O$262,$T142),IF($S142="Lớp 4",INDEX('Lớp 4 - Danh mục'!$N$14:$N$132,$T142),INDEX('Lớp 3 - Công việc chính'!$M$14:$M$73,$T142))))</f>
        <v>#REF!</v>
      </c>
      <c r="I142" s="692" t="str">
        <f t="array" ref="I142">IF($S142="","",IF($S142="Lớp 5",INDEX('Lớp 5 - Phân công'!$P$14:$P$262,$T142),IF($S142="Lớp 4",INDEX('Lớp 4 - Danh mục'!$O$14:$O$132,$T142),"")))</f>
        <v>#REF!</v>
      </c>
      <c r="J142" s="693" t="str">
        <f t="array" ref="J142">IF($S142="","",IF($S142="Lớp 5",INDEX('Lớp 5 - Phân công'!$Q$14:$Q$262,$T142),""))</f>
        <v>#REF!</v>
      </c>
      <c r="K142" s="690" t="str">
        <f t="array" ref="K142">IF($S142="","",IF($S142="Lớp 5",INDEX('Lớp 5 - Phân công'!$AA$14:$AA$262,$T142),IF($S142="Lớp 4",INDEX('Lớp 4 - Danh mục'!$Y$14:$Y$132,$T142),INDEX('Lớp 3 - Công việc chính'!$U$14:$U$73,$T142))))</f>
        <v>#REF!</v>
      </c>
      <c r="L142" s="691" t="str">
        <f t="array" ref="L142">IF($S142="","",IF($S142="Lớp 5",INDEX('Lớp 5 - Phân công'!$Z$14:$Z$262,$T142),IF($S142="Lớp 4",INDEX('Lớp 4 - Danh mục'!$X$14:$X$132,$T142),INDEX('Lớp 3 - Công việc chính'!$W$14:$W$73,$T142))))</f>
        <v>#REF!</v>
      </c>
      <c r="M142" s="694" t="str">
        <f t="array" ref="M142">IF($S142="","",IF($S142="Lớp 5",INDEX('Lớp 5 - Phân công'!$AD$14:$AD$262,$T142),IF($S142="Lớp 4",INDEX('Lớp 4 - Danh mục'!$AC$14:$AC$132,$T142),INDEX('Lớp 3 - Công việc chính'!$Z$14:$Z$73,$T142))))</f>
        <v>#REF!</v>
      </c>
      <c r="N142" s="695" t="str">
        <f t="array" ref="N142">IF($S142="","",IF($S142="Lớp 5",INDEX('Lớp 5 - Phân công'!$AE$14:$AE$262,$T142),IF($S142="Lớp 4",INDEX('Lớp 4 - Danh mục'!$AD$14:$AD$132,$T142),INDEX('Lớp 3 - Công việc chính'!$AA$14:$AA$73,$T142))))</f>
        <v>#REF!</v>
      </c>
      <c r="O142" s="690" t="str">
        <f t="array" ref="O142">IF($S142="","",IF($S142="Lớp 5",INDEX('Lớp 5 - Phân công'!$AB$14:$AB$262,$T142),IF($S142="Lớp 4",INDEX('Lớp 4 - Danh mục'!$AA$14:$AA$132,$T142),INDEX('Lớp 3 - Công việc chính'!$X$14:$X$73,$T142))))</f>
        <v>#REF!</v>
      </c>
      <c r="P142" s="703" t="str">
        <f t="array" ref="P142">IF($S142="","",IF($S142="Lớp 5",INDEX('Lớp 5 - Phân công'!$AC$14:$AC$262,$T142),IF($S142="Lớp 4",INDEX('Lớp 4 - Danh mục'!$AB$14:$AB$132,$T142),INDEX('Lớp 3 - Công việc chính'!$Y$14:$Y$73,$T142))))</f>
        <v>#REF!</v>
      </c>
      <c r="Q142" s="697" t="str">
        <f t="array" ref="Q142">IF($S142="","",IF($S142="Lớp 5",INDEX('Lớp 5 - Phân công'!$AG$14:$AG$262,$T142),IF($S142="Lớp 4",INDEX('Lớp 4 - Danh mục'!$AF$14:$AF$132,$T142),INDEX('Lớp 3 - Công việc chính'!$AC$14:$AC$73,$T142))))</f>
        <v>#REF!</v>
      </c>
      <c r="R142" s="698" t="str">
        <f t="array" ref="R142">IF($S142="","",IF($S142="Lớp 5",INDEX('Lớp 5 - Phân công'!$X$14:$X$262,$T142),IF($S142="Lớp 4",INDEX('Lớp 4 - Danh mục'!$V$14:$V$132,$T142),INDEX('Lớp 3 - Công việc chính'!$T$14:$T$73,$T142))))</f>
        <v>#REF!</v>
      </c>
      <c r="S142" s="699" t="str">
        <f>IF(ROWS($S$14:S142)&lt;=COUNTIF('Lớp 5 - Phân công'!$I$14:$I$262,"&lt;&gt;"),"Lớp 5",IF(ROWS($S$14:S142)&lt;=COUNTIF('Lớp 5 - Phân công'!$I$14:$I$262,"&lt;&gt;")+SUMPRODUCT(--('Lớp 4 - Danh mục'!$I$14:$I$132&lt;&gt;""),--(COUNTIF('Lớp 5 - Phân công'!$J$14:$J$262,'Lớp 4 - Danh mục'!$I$14:$I$132)=0)),"Lớp 4",IF(ROWS($S$14:S142)&lt;=COUNTIF('Lớp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2" s="699" t="str">
        <f t="array" ref="T142">IF(S142="","",IF(S142="Lớp 5",IF(S141&lt;&gt;"Lớp 5",MATCH("*",'Lớp 5 - Phân công'!$I$14:$I$262,0),T141+MATCH("*",INDEX('Lớp 5 - Phân công'!$I$14:$I$262,T141+1):'Lớp 5 - Phân công'!$I$262,0)),IF(S142="Lớp 4",IF(S141&lt;&gt;"Lớp 4",MATCH(1,INDEX(('Lớp 4 - Danh mục'!$I$14:$I$132&lt;&gt;"")*(COUNTIF('Lớp 5 - Phân công'!$J$14:$J$262,'Lớp 4 - Danh mục'!$I$14:$I$132)=0),0),0),T141+MATCH(1,INDEX((INDEX('Lớp 4 - Danh mục'!$I$14:$I$132,T141+1):'Lớp 4 - Danh mục'!$I$132&lt;&gt;"")*(COUNTIF('Lớp 5 - Phân công'!$J$14:$J$262,INDEX('Lớp 4 - Danh mục'!$I$14:$I$132,T141+1):'Lớp 4 - Danh mục'!$I$132)=0),0),0)),IF(S141&lt;&gt;"Lớp 3",MATCH(1,INDEX(('Lớp 3 - Công việc chính'!$I$14:$I$73&lt;&gt;"")*(COUNTIF('Lớp 4 - Danh mục'!$J$14:$J$132,'Lớp 3 - Công việc chính'!$I$14:$I$73)=0),0),0),T141+MATCH(1,INDEX((INDEX('Lớp 3 - Công việc chính'!$I$14:$I$73,T141+1):'Lớp 3 - Công việc chính'!$I$73&lt;&gt;"")*(COUNTIF('Lớp 4 - Danh mục'!$J$14:$J$132,INDEX('Lớp 3 - Công việc chính'!$I$14:$I$73,T141+1):'Lớp 3 - Công việc chính'!$I$73)=0),0),0)))))</f>
        <v>#REF!</v>
      </c>
      <c r="Z142" s="700" t="str">
        <f t="array" ref="Z142">IF($S142="","",IF($S142="Lớp 5",INDEX('Lớp 5 - Phân công'!$AS$14:$AS$262,$T142),IF($S142="Lớp 4",INDEX('Lớp 4 - Danh mục'!$AR$14:$AR$132,$T142),INDEX('Lớp 3 - Công việc chính'!$AO$14:$AO$73,$T142))))</f>
        <v>#REF!</v>
      </c>
      <c r="AA142" s="701" t="str">
        <f t="array" ref="AA142">IF($S142="","",IF($S142="Lớp 5",INDEX('Lớp 5 - Phân công'!$AT$14:$AT$262,$T142),IF($S142="Lớp 4",INDEX('Lớp 4 - Danh mục'!$AS$14:$AS$132,$T142),INDEX('Lớp 3 - Công việc chính'!$AP$14:$AP$73,$T142))))</f>
        <v>#REF!</v>
      </c>
      <c r="AB142" s="701" t="str">
        <f t="array" ref="AB142">IF($S142="","",IF($S142="Lớp 5",INDEX('Lớp 5 - Phân công'!$AJ$14:$AJ$262,$T142),IF($S142="Lớp 4",INDEX('Lớp 4 - Danh mục'!$AI$14:$AI$132,$T142),INDEX('Lớp 3 - Công việc chính'!$AF$14:$AF$73,$T142))))</f>
        <v>#REF!</v>
      </c>
      <c r="AC142" s="702" t="str">
        <f t="array" ref="AC142">IF($S142="","",IF($S142="Lớp 5",INDEX('Lớp 5 - Phân công'!$AV$14:$AV$262,$T142),IF($S142="Lớp 4",INDEX('Lớp 4 - Danh mục'!$AU$14:$AU$132,$T142),INDEX('Lớp 3 - Công việc chính'!$AR$14:$AR$73,$T142))))</f>
        <v>#REF!</v>
      </c>
    </row>
    <row r="143" ht="15.75" customHeight="1">
      <c r="A143" s="690" t="str">
        <f t="shared" si="1"/>
        <v>#REF!</v>
      </c>
      <c r="B143" s="690" t="str">
        <f t="array" ref="B143">IF($S143="","",IF($S143="Lớp 5",INDEX('Lớp 5 - Phân công'!$I$14:$I$262,$T143),IF($S143="Lớp 4",INDEX('Lớp 4 - Danh mục'!$I$14:$I$132,$T143),INDEX('Lớp 3 - Công việc chính'!$I$14:$I$73,$T143))))</f>
        <v>#REF!</v>
      </c>
      <c r="C143" s="690" t="str">
        <f t="array" ref="C143">IF($S143="","",IF($S143="Lớp 5",INDEX('Lớp 5 - Phân công'!$K$14:$K$262,$T143),IF($S143="Lớp 4",INDEX('Lớp 4 - Danh mục'!$J$14:$J$132,$T143),INDEX('Lớp 3 - Công việc chính'!$I$14:$I$73,$T143))))</f>
        <v>#REF!</v>
      </c>
      <c r="D143" s="690" t="str">
        <f t="array" ref="D143">IF($S143="","",IF($S143="Lớp 5",INDEX('Lớp 5 - Phân công'!$J$14:$J$262,$T143),IF($S143="Lớp 4",INDEX('Lớp 4 - Danh mục'!$I$14:$I$132,$T143),"")))</f>
        <v>#REF!</v>
      </c>
      <c r="E143" s="690" t="str">
        <f t="array" ref="E143">IF($S143="","",IF($S143="Lớp 5",INDEX('Lớp 5 - Phân công'!$L$14:$L$262,$T143),IF($S143="Lớp 4",INDEX('Lớp 4 - Danh mục'!$K$14:$K$132,$T143),INDEX('Lớp 3 - Công việc chính'!$J$14:$J$73,$T143))))</f>
        <v>#REF!</v>
      </c>
      <c r="F143" s="690" t="str">
        <f t="array" ref="F143">IF($S143="","",IF($S143="Lớp 5",INDEX('Lớp 5 - Phân công'!$M$14:$M$262,$T143),IF($S143="Lớp 4",INDEX('Lớp 4 - Danh mục'!$L$14:$L$132,$T143),INDEX('Lớp 3 - Công việc chính'!$K$14:$K$73,$T143))))</f>
        <v>#REF!</v>
      </c>
      <c r="G143" s="691" t="str">
        <f t="array" ref="G143">IF($S143="","",IF($S143="Lớp 5",INDEX('Lớp 5 - Phân công'!$N$14:$N$262,$T143),IF($S143="Lớp 4",INDEX('Lớp 4 - Danh mục'!$M$14:$M$132,$T143),INDEX('Lớp 3 - Công việc chính'!$L$14:$L$73,$T143))))</f>
        <v>#REF!</v>
      </c>
      <c r="H143" s="692" t="str">
        <f t="array" ref="H143">IF($S143="","",IF($S143="Lớp 5",INDEX('Lớp 5 - Phân công'!$O$14:$O$262,$T143),IF($S143="Lớp 4",INDEX('Lớp 4 - Danh mục'!$N$14:$N$132,$T143),INDEX('Lớp 3 - Công việc chính'!$M$14:$M$73,$T143))))</f>
        <v>#REF!</v>
      </c>
      <c r="I143" s="692" t="str">
        <f t="array" ref="I143">IF($S143="","",IF($S143="Lớp 5",INDEX('Lớp 5 - Phân công'!$P$14:$P$262,$T143),IF($S143="Lớp 4",INDEX('Lớp 4 - Danh mục'!$O$14:$O$132,$T143),"")))</f>
        <v>#REF!</v>
      </c>
      <c r="J143" s="693" t="str">
        <f t="array" ref="J143">IF($S143="","",IF($S143="Lớp 5",INDEX('Lớp 5 - Phân công'!$Q$14:$Q$262,$T143),""))</f>
        <v>#REF!</v>
      </c>
      <c r="K143" s="690" t="str">
        <f t="array" ref="K143">IF($S143="","",IF($S143="Lớp 5",INDEX('Lớp 5 - Phân công'!$AA$14:$AA$262,$T143),IF($S143="Lớp 4",INDEX('Lớp 4 - Danh mục'!$Y$14:$Y$132,$T143),INDEX('Lớp 3 - Công việc chính'!$U$14:$U$73,$T143))))</f>
        <v>#REF!</v>
      </c>
      <c r="L143" s="691" t="str">
        <f t="array" ref="L143">IF($S143="","",IF($S143="Lớp 5",INDEX('Lớp 5 - Phân công'!$Z$14:$Z$262,$T143),IF($S143="Lớp 4",INDEX('Lớp 4 - Danh mục'!$X$14:$X$132,$T143),INDEX('Lớp 3 - Công việc chính'!$W$14:$W$73,$T143))))</f>
        <v>#REF!</v>
      </c>
      <c r="M143" s="694" t="str">
        <f t="array" ref="M143">IF($S143="","",IF($S143="Lớp 5",INDEX('Lớp 5 - Phân công'!$AD$14:$AD$262,$T143),IF($S143="Lớp 4",INDEX('Lớp 4 - Danh mục'!$AC$14:$AC$132,$T143),INDEX('Lớp 3 - Công việc chính'!$Z$14:$Z$73,$T143))))</f>
        <v>#REF!</v>
      </c>
      <c r="N143" s="695" t="str">
        <f t="array" ref="N143">IF($S143="","",IF($S143="Lớp 5",INDEX('Lớp 5 - Phân công'!$AE$14:$AE$262,$T143),IF($S143="Lớp 4",INDEX('Lớp 4 - Danh mục'!$AD$14:$AD$132,$T143),INDEX('Lớp 3 - Công việc chính'!$AA$14:$AA$73,$T143))))</f>
        <v>#REF!</v>
      </c>
      <c r="O143" s="690" t="str">
        <f t="array" ref="O143">IF($S143="","",IF($S143="Lớp 5",INDEX('Lớp 5 - Phân công'!$AB$14:$AB$262,$T143),IF($S143="Lớp 4",INDEX('Lớp 4 - Danh mục'!$AA$14:$AA$132,$T143),INDEX('Lớp 3 - Công việc chính'!$X$14:$X$73,$T143))))</f>
        <v>#REF!</v>
      </c>
      <c r="P143" s="703" t="str">
        <f t="array" ref="P143">IF($S143="","",IF($S143="Lớp 5",INDEX('Lớp 5 - Phân công'!$AC$14:$AC$262,$T143),IF($S143="Lớp 4",INDEX('Lớp 4 - Danh mục'!$AB$14:$AB$132,$T143),INDEX('Lớp 3 - Công việc chính'!$Y$14:$Y$73,$T143))))</f>
        <v>#REF!</v>
      </c>
      <c r="Q143" s="697" t="str">
        <f t="array" ref="Q143">IF($S143="","",IF($S143="Lớp 5",INDEX('Lớp 5 - Phân công'!$AG$14:$AG$262,$T143),IF($S143="Lớp 4",INDEX('Lớp 4 - Danh mục'!$AF$14:$AF$132,$T143),INDEX('Lớp 3 - Công việc chính'!$AC$14:$AC$73,$T143))))</f>
        <v>#REF!</v>
      </c>
      <c r="R143" s="698" t="str">
        <f t="array" ref="R143">IF($S143="","",IF($S143="Lớp 5",INDEX('Lớp 5 - Phân công'!$X$14:$X$262,$T143),IF($S143="Lớp 4",INDEX('Lớp 4 - Danh mục'!$V$14:$V$132,$T143),INDEX('Lớp 3 - Công việc chính'!$T$14:$T$73,$T143))))</f>
        <v>#REF!</v>
      </c>
      <c r="S143" s="699" t="str">
        <f>IF(ROWS($S$14:S143)&lt;=COUNTIF('Lớp 5 - Phân công'!$I$14:$I$262,"&lt;&gt;"),"Lớp 5",IF(ROWS($S$14:S143)&lt;=COUNTIF('Lớp 5 - Phân công'!$I$14:$I$262,"&lt;&gt;")+SUMPRODUCT(--('Lớp 4 - Danh mục'!$I$14:$I$132&lt;&gt;""),--(COUNTIF('Lớp 5 - Phân công'!$J$14:$J$262,'Lớp 4 - Danh mục'!$I$14:$I$132)=0)),"Lớp 4",IF(ROWS($S$14:S143)&lt;=COUNTIF('Lớp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3" s="699" t="str">
        <f t="array" ref="T143">IF(S143="","",IF(S143="Lớp 5",IF(S142&lt;&gt;"Lớp 5",MATCH("*",'Lớp 5 - Phân công'!$I$14:$I$262,0),T142+MATCH("*",INDEX('Lớp 5 - Phân công'!$I$14:$I$262,T142+1):'Lớp 5 - Phân công'!$I$262,0)),IF(S143="Lớp 4",IF(S142&lt;&gt;"Lớp 4",MATCH(1,INDEX(('Lớp 4 - Danh mục'!$I$14:$I$132&lt;&gt;"")*(COUNTIF('Lớp 5 - Phân công'!$J$14:$J$262,'Lớp 4 - Danh mục'!$I$14:$I$132)=0),0),0),T142+MATCH(1,INDEX((INDEX('Lớp 4 - Danh mục'!$I$14:$I$132,T142+1):'Lớp 4 - Danh mục'!$I$132&lt;&gt;"")*(COUNTIF('Lớp 5 - Phân công'!$J$14:$J$262,INDEX('Lớp 4 - Danh mục'!$I$14:$I$132,T142+1):'Lớp 4 - Danh mục'!$I$132)=0),0),0)),IF(S142&lt;&gt;"Lớp 3",MATCH(1,INDEX(('Lớp 3 - Công việc chính'!$I$14:$I$73&lt;&gt;"")*(COUNTIF('Lớp 4 - Danh mục'!$J$14:$J$132,'Lớp 3 - Công việc chính'!$I$14:$I$73)=0),0),0),T142+MATCH(1,INDEX((INDEX('Lớp 3 - Công việc chính'!$I$14:$I$73,T142+1):'Lớp 3 - Công việc chính'!$I$73&lt;&gt;"")*(COUNTIF('Lớp 4 - Danh mục'!$J$14:$J$132,INDEX('Lớp 3 - Công việc chính'!$I$14:$I$73,T142+1):'Lớp 3 - Công việc chính'!$I$73)=0),0),0)))))</f>
        <v>#REF!</v>
      </c>
      <c r="Z143" s="700" t="str">
        <f t="array" ref="Z143">IF($S143="","",IF($S143="Lớp 5",INDEX('Lớp 5 - Phân công'!$AS$14:$AS$262,$T143),IF($S143="Lớp 4",INDEX('Lớp 4 - Danh mục'!$AR$14:$AR$132,$T143),INDEX('Lớp 3 - Công việc chính'!$AO$14:$AO$73,$T143))))</f>
        <v>#REF!</v>
      </c>
      <c r="AA143" s="701" t="str">
        <f t="array" ref="AA143">IF($S143="","",IF($S143="Lớp 5",INDEX('Lớp 5 - Phân công'!$AT$14:$AT$262,$T143),IF($S143="Lớp 4",INDEX('Lớp 4 - Danh mục'!$AS$14:$AS$132,$T143),INDEX('Lớp 3 - Công việc chính'!$AP$14:$AP$73,$T143))))</f>
        <v>#REF!</v>
      </c>
      <c r="AB143" s="701" t="str">
        <f t="array" ref="AB143">IF($S143="","",IF($S143="Lớp 5",INDEX('Lớp 5 - Phân công'!$AJ$14:$AJ$262,$T143),IF($S143="Lớp 4",INDEX('Lớp 4 - Danh mục'!$AI$14:$AI$132,$T143),INDEX('Lớp 3 - Công việc chính'!$AF$14:$AF$73,$T143))))</f>
        <v>#REF!</v>
      </c>
      <c r="AC143" s="702" t="str">
        <f t="array" ref="AC143">IF($S143="","",IF($S143="Lớp 5",INDEX('Lớp 5 - Phân công'!$AV$14:$AV$262,$T143),IF($S143="Lớp 4",INDEX('Lớp 4 - Danh mục'!$AU$14:$AU$132,$T143),INDEX('Lớp 3 - Công việc chính'!$AR$14:$AR$73,$T143))))</f>
        <v>#REF!</v>
      </c>
    </row>
    <row r="144" ht="15.75" customHeight="1">
      <c r="A144" s="690" t="str">
        <f t="shared" si="1"/>
        <v>#REF!</v>
      </c>
      <c r="B144" s="690" t="str">
        <f t="array" ref="B144">IF($S144="","",IF($S144="Lớp 5",INDEX('Lớp 5 - Phân công'!$I$14:$I$262,$T144),IF($S144="Lớp 4",INDEX('Lớp 4 - Danh mục'!$I$14:$I$132,$T144),INDEX('Lớp 3 - Công việc chính'!$I$14:$I$73,$T144))))</f>
        <v>#REF!</v>
      </c>
      <c r="C144" s="690" t="str">
        <f t="array" ref="C144">IF($S144="","",IF($S144="Lớp 5",INDEX('Lớp 5 - Phân công'!$K$14:$K$262,$T144),IF($S144="Lớp 4",INDEX('Lớp 4 - Danh mục'!$J$14:$J$132,$T144),INDEX('Lớp 3 - Công việc chính'!$I$14:$I$73,$T144))))</f>
        <v>#REF!</v>
      </c>
      <c r="D144" s="690" t="str">
        <f t="array" ref="D144">IF($S144="","",IF($S144="Lớp 5",INDEX('Lớp 5 - Phân công'!$J$14:$J$262,$T144),IF($S144="Lớp 4",INDEX('Lớp 4 - Danh mục'!$I$14:$I$132,$T144),"")))</f>
        <v>#REF!</v>
      </c>
      <c r="E144" s="690" t="str">
        <f t="array" ref="E144">IF($S144="","",IF($S144="Lớp 5",INDEX('Lớp 5 - Phân công'!$L$14:$L$262,$T144),IF($S144="Lớp 4",INDEX('Lớp 4 - Danh mục'!$K$14:$K$132,$T144),INDEX('Lớp 3 - Công việc chính'!$J$14:$J$73,$T144))))</f>
        <v>#REF!</v>
      </c>
      <c r="F144" s="690" t="str">
        <f t="array" ref="F144">IF($S144="","",IF($S144="Lớp 5",INDEX('Lớp 5 - Phân công'!$M$14:$M$262,$T144),IF($S144="Lớp 4",INDEX('Lớp 4 - Danh mục'!$L$14:$L$132,$T144),INDEX('Lớp 3 - Công việc chính'!$K$14:$K$73,$T144))))</f>
        <v>#REF!</v>
      </c>
      <c r="G144" s="691" t="str">
        <f t="array" ref="G144">IF($S144="","",IF($S144="Lớp 5",INDEX('Lớp 5 - Phân công'!$N$14:$N$262,$T144),IF($S144="Lớp 4",INDEX('Lớp 4 - Danh mục'!$M$14:$M$132,$T144),INDEX('Lớp 3 - Công việc chính'!$L$14:$L$73,$T144))))</f>
        <v>#REF!</v>
      </c>
      <c r="H144" s="692" t="str">
        <f t="array" ref="H144">IF($S144="","",IF($S144="Lớp 5",INDEX('Lớp 5 - Phân công'!$O$14:$O$262,$T144),IF($S144="Lớp 4",INDEX('Lớp 4 - Danh mục'!$N$14:$N$132,$T144),INDEX('Lớp 3 - Công việc chính'!$M$14:$M$73,$T144))))</f>
        <v>#REF!</v>
      </c>
      <c r="I144" s="692" t="str">
        <f t="array" ref="I144">IF($S144="","",IF($S144="Lớp 5",INDEX('Lớp 5 - Phân công'!$P$14:$P$262,$T144),IF($S144="Lớp 4",INDEX('Lớp 4 - Danh mục'!$O$14:$O$132,$T144),"")))</f>
        <v>#REF!</v>
      </c>
      <c r="J144" s="693" t="str">
        <f t="array" ref="J144">IF($S144="","",IF($S144="Lớp 5",INDEX('Lớp 5 - Phân công'!$Q$14:$Q$262,$T144),""))</f>
        <v>#REF!</v>
      </c>
      <c r="K144" s="690" t="str">
        <f t="array" ref="K144">IF($S144="","",IF($S144="Lớp 5",INDEX('Lớp 5 - Phân công'!$AA$14:$AA$262,$T144),IF($S144="Lớp 4",INDEX('Lớp 4 - Danh mục'!$Y$14:$Y$132,$T144),INDEX('Lớp 3 - Công việc chính'!$U$14:$U$73,$T144))))</f>
        <v>#REF!</v>
      </c>
      <c r="L144" s="691" t="str">
        <f t="array" ref="L144">IF($S144="","",IF($S144="Lớp 5",INDEX('Lớp 5 - Phân công'!$Z$14:$Z$262,$T144),IF($S144="Lớp 4",INDEX('Lớp 4 - Danh mục'!$X$14:$X$132,$T144),INDEX('Lớp 3 - Công việc chính'!$W$14:$W$73,$T144))))</f>
        <v>#REF!</v>
      </c>
      <c r="M144" s="694" t="str">
        <f t="array" ref="M144">IF($S144="","",IF($S144="Lớp 5",INDEX('Lớp 5 - Phân công'!$AD$14:$AD$262,$T144),IF($S144="Lớp 4",INDEX('Lớp 4 - Danh mục'!$AC$14:$AC$132,$T144),INDEX('Lớp 3 - Công việc chính'!$Z$14:$Z$73,$T144))))</f>
        <v>#REF!</v>
      </c>
      <c r="N144" s="695" t="str">
        <f t="array" ref="N144">IF($S144="","",IF($S144="Lớp 5",INDEX('Lớp 5 - Phân công'!$AE$14:$AE$262,$T144),IF($S144="Lớp 4",INDEX('Lớp 4 - Danh mục'!$AD$14:$AD$132,$T144),INDEX('Lớp 3 - Công việc chính'!$AA$14:$AA$73,$T144))))</f>
        <v>#REF!</v>
      </c>
      <c r="O144" s="690" t="str">
        <f t="array" ref="O144">IF($S144="","",IF($S144="Lớp 5",INDEX('Lớp 5 - Phân công'!$AB$14:$AB$262,$T144),IF($S144="Lớp 4",INDEX('Lớp 4 - Danh mục'!$AA$14:$AA$132,$T144),INDEX('Lớp 3 - Công việc chính'!$X$14:$X$73,$T144))))</f>
        <v>#REF!</v>
      </c>
      <c r="P144" s="703" t="str">
        <f t="array" ref="P144">IF($S144="","",IF($S144="Lớp 5",INDEX('Lớp 5 - Phân công'!$AC$14:$AC$262,$T144),IF($S144="Lớp 4",INDEX('Lớp 4 - Danh mục'!$AB$14:$AB$132,$T144),INDEX('Lớp 3 - Công việc chính'!$Y$14:$Y$73,$T144))))</f>
        <v>#REF!</v>
      </c>
      <c r="Q144" s="697" t="str">
        <f t="array" ref="Q144">IF($S144="","",IF($S144="Lớp 5",INDEX('Lớp 5 - Phân công'!$AG$14:$AG$262,$T144),IF($S144="Lớp 4",INDEX('Lớp 4 - Danh mục'!$AF$14:$AF$132,$T144),INDEX('Lớp 3 - Công việc chính'!$AC$14:$AC$73,$T144))))</f>
        <v>#REF!</v>
      </c>
      <c r="R144" s="698" t="str">
        <f t="array" ref="R144">IF($S144="","",IF($S144="Lớp 5",INDEX('Lớp 5 - Phân công'!$X$14:$X$262,$T144),IF($S144="Lớp 4",INDEX('Lớp 4 - Danh mục'!$V$14:$V$132,$T144),INDEX('Lớp 3 - Công việc chính'!$T$14:$T$73,$T144))))</f>
        <v>#REF!</v>
      </c>
      <c r="S144" s="699" t="str">
        <f>IF(ROWS($S$14:S144)&lt;=COUNTIF('Lớp 5 - Phân công'!$I$14:$I$262,"&lt;&gt;"),"Lớp 5",IF(ROWS($S$14:S144)&lt;=COUNTIF('Lớp 5 - Phân công'!$I$14:$I$262,"&lt;&gt;")+SUMPRODUCT(--('Lớp 4 - Danh mục'!$I$14:$I$132&lt;&gt;""),--(COUNTIF('Lớp 5 - Phân công'!$J$14:$J$262,'Lớp 4 - Danh mục'!$I$14:$I$132)=0)),"Lớp 4",IF(ROWS($S$14:S144)&lt;=COUNTIF('Lớp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4" s="699" t="str">
        <f t="array" ref="T144">IF(S144="","",IF(S144="Lớp 5",IF(S143&lt;&gt;"Lớp 5",MATCH("*",'Lớp 5 - Phân công'!$I$14:$I$262,0),T143+MATCH("*",INDEX('Lớp 5 - Phân công'!$I$14:$I$262,T143+1):'Lớp 5 - Phân công'!$I$262,0)),IF(S144="Lớp 4",IF(S143&lt;&gt;"Lớp 4",MATCH(1,INDEX(('Lớp 4 - Danh mục'!$I$14:$I$132&lt;&gt;"")*(COUNTIF('Lớp 5 - Phân công'!$J$14:$J$262,'Lớp 4 - Danh mục'!$I$14:$I$132)=0),0),0),T143+MATCH(1,INDEX((INDEX('Lớp 4 - Danh mục'!$I$14:$I$132,T143+1):'Lớp 4 - Danh mục'!$I$132&lt;&gt;"")*(COUNTIF('Lớp 5 - Phân công'!$J$14:$J$262,INDEX('Lớp 4 - Danh mục'!$I$14:$I$132,T143+1):'Lớp 4 - Danh mục'!$I$132)=0),0),0)),IF(S143&lt;&gt;"Lớp 3",MATCH(1,INDEX(('Lớp 3 - Công việc chính'!$I$14:$I$73&lt;&gt;"")*(COUNTIF('Lớp 4 - Danh mục'!$J$14:$J$132,'Lớp 3 - Công việc chính'!$I$14:$I$73)=0),0),0),T143+MATCH(1,INDEX((INDEX('Lớp 3 - Công việc chính'!$I$14:$I$73,T143+1):'Lớp 3 - Công việc chính'!$I$73&lt;&gt;"")*(COUNTIF('Lớp 4 - Danh mục'!$J$14:$J$132,INDEX('Lớp 3 - Công việc chính'!$I$14:$I$73,T143+1):'Lớp 3 - Công việc chính'!$I$73)=0),0),0)))))</f>
        <v>#REF!</v>
      </c>
      <c r="Z144" s="700" t="str">
        <f t="array" ref="Z144">IF($S144="","",IF($S144="Lớp 5",INDEX('Lớp 5 - Phân công'!$AS$14:$AS$262,$T144),IF($S144="Lớp 4",INDEX('Lớp 4 - Danh mục'!$AR$14:$AR$132,$T144),INDEX('Lớp 3 - Công việc chính'!$AO$14:$AO$73,$T144))))</f>
        <v>#REF!</v>
      </c>
      <c r="AA144" s="701" t="str">
        <f t="array" ref="AA144">IF($S144="","",IF($S144="Lớp 5",INDEX('Lớp 5 - Phân công'!$AT$14:$AT$262,$T144),IF($S144="Lớp 4",INDEX('Lớp 4 - Danh mục'!$AS$14:$AS$132,$T144),INDEX('Lớp 3 - Công việc chính'!$AP$14:$AP$73,$T144))))</f>
        <v>#REF!</v>
      </c>
      <c r="AB144" s="701" t="str">
        <f t="array" ref="AB144">IF($S144="","",IF($S144="Lớp 5",INDEX('Lớp 5 - Phân công'!$AJ$14:$AJ$262,$T144),IF($S144="Lớp 4",INDEX('Lớp 4 - Danh mục'!$AI$14:$AI$132,$T144),INDEX('Lớp 3 - Công việc chính'!$AF$14:$AF$73,$T144))))</f>
        <v>#REF!</v>
      </c>
      <c r="AC144" s="702" t="str">
        <f t="array" ref="AC144">IF($S144="","",IF($S144="Lớp 5",INDEX('Lớp 5 - Phân công'!$AV$14:$AV$262,$T144),IF($S144="Lớp 4",INDEX('Lớp 4 - Danh mục'!$AU$14:$AU$132,$T144),INDEX('Lớp 3 - Công việc chính'!$AR$14:$AR$73,$T144))))</f>
        <v>#REF!</v>
      </c>
    </row>
    <row r="145" ht="15.75" customHeight="1">
      <c r="A145" s="690" t="str">
        <f t="shared" si="1"/>
        <v>#REF!</v>
      </c>
      <c r="B145" s="690" t="str">
        <f t="array" ref="B145">IF($S145="","",IF($S145="Lớp 5",INDEX('Lớp 5 - Phân công'!$I$14:$I$262,$T145),IF($S145="Lớp 4",INDEX('Lớp 4 - Danh mục'!$I$14:$I$132,$T145),INDEX('Lớp 3 - Công việc chính'!$I$14:$I$73,$T145))))</f>
        <v>#REF!</v>
      </c>
      <c r="C145" s="690" t="str">
        <f t="array" ref="C145">IF($S145="","",IF($S145="Lớp 5",INDEX('Lớp 5 - Phân công'!$K$14:$K$262,$T145),IF($S145="Lớp 4",INDEX('Lớp 4 - Danh mục'!$J$14:$J$132,$T145),INDEX('Lớp 3 - Công việc chính'!$I$14:$I$73,$T145))))</f>
        <v>#REF!</v>
      </c>
      <c r="D145" s="690" t="str">
        <f t="array" ref="D145">IF($S145="","",IF($S145="Lớp 5",INDEX('Lớp 5 - Phân công'!$J$14:$J$262,$T145),IF($S145="Lớp 4",INDEX('Lớp 4 - Danh mục'!$I$14:$I$132,$T145),"")))</f>
        <v>#REF!</v>
      </c>
      <c r="E145" s="690" t="str">
        <f t="array" ref="E145">IF($S145="","",IF($S145="Lớp 5",INDEX('Lớp 5 - Phân công'!$L$14:$L$262,$T145),IF($S145="Lớp 4",INDEX('Lớp 4 - Danh mục'!$K$14:$K$132,$T145),INDEX('Lớp 3 - Công việc chính'!$J$14:$J$73,$T145))))</f>
        <v>#REF!</v>
      </c>
      <c r="F145" s="690" t="str">
        <f t="array" ref="F145">IF($S145="","",IF($S145="Lớp 5",INDEX('Lớp 5 - Phân công'!$M$14:$M$262,$T145),IF($S145="Lớp 4",INDEX('Lớp 4 - Danh mục'!$L$14:$L$132,$T145),INDEX('Lớp 3 - Công việc chính'!$K$14:$K$73,$T145))))</f>
        <v>#REF!</v>
      </c>
      <c r="G145" s="691" t="str">
        <f t="array" ref="G145">IF($S145="","",IF($S145="Lớp 5",INDEX('Lớp 5 - Phân công'!$N$14:$N$262,$T145),IF($S145="Lớp 4",INDEX('Lớp 4 - Danh mục'!$M$14:$M$132,$T145),INDEX('Lớp 3 - Công việc chính'!$L$14:$L$73,$T145))))</f>
        <v>#REF!</v>
      </c>
      <c r="H145" s="692" t="str">
        <f t="array" ref="H145">IF($S145="","",IF($S145="Lớp 5",INDEX('Lớp 5 - Phân công'!$O$14:$O$262,$T145),IF($S145="Lớp 4",INDEX('Lớp 4 - Danh mục'!$N$14:$N$132,$T145),INDEX('Lớp 3 - Công việc chính'!$M$14:$M$73,$T145))))</f>
        <v>#REF!</v>
      </c>
      <c r="I145" s="692" t="str">
        <f t="array" ref="I145">IF($S145="","",IF($S145="Lớp 5",INDEX('Lớp 5 - Phân công'!$P$14:$P$262,$T145),IF($S145="Lớp 4",INDEX('Lớp 4 - Danh mục'!$O$14:$O$132,$T145),"")))</f>
        <v>#REF!</v>
      </c>
      <c r="J145" s="693" t="str">
        <f t="array" ref="J145">IF($S145="","",IF($S145="Lớp 5",INDEX('Lớp 5 - Phân công'!$Q$14:$Q$262,$T145),""))</f>
        <v>#REF!</v>
      </c>
      <c r="K145" s="690" t="str">
        <f t="array" ref="K145">IF($S145="","",IF($S145="Lớp 5",INDEX('Lớp 5 - Phân công'!$AA$14:$AA$262,$T145),IF($S145="Lớp 4",INDEX('Lớp 4 - Danh mục'!$Y$14:$Y$132,$T145),INDEX('Lớp 3 - Công việc chính'!$U$14:$U$73,$T145))))</f>
        <v>#REF!</v>
      </c>
      <c r="L145" s="691" t="str">
        <f t="array" ref="L145">IF($S145="","",IF($S145="Lớp 5",INDEX('Lớp 5 - Phân công'!$Z$14:$Z$262,$T145),IF($S145="Lớp 4",INDEX('Lớp 4 - Danh mục'!$X$14:$X$132,$T145),INDEX('Lớp 3 - Công việc chính'!$W$14:$W$73,$T145))))</f>
        <v>#REF!</v>
      </c>
      <c r="M145" s="694" t="str">
        <f t="array" ref="M145">IF($S145="","",IF($S145="Lớp 5",INDEX('Lớp 5 - Phân công'!$AD$14:$AD$262,$T145),IF($S145="Lớp 4",INDEX('Lớp 4 - Danh mục'!$AC$14:$AC$132,$T145),INDEX('Lớp 3 - Công việc chính'!$Z$14:$Z$73,$T145))))</f>
        <v>#REF!</v>
      </c>
      <c r="N145" s="695" t="str">
        <f t="array" ref="N145">IF($S145="","",IF($S145="Lớp 5",INDEX('Lớp 5 - Phân công'!$AE$14:$AE$262,$T145),IF($S145="Lớp 4",INDEX('Lớp 4 - Danh mục'!$AD$14:$AD$132,$T145),INDEX('Lớp 3 - Công việc chính'!$AA$14:$AA$73,$T145))))</f>
        <v>#REF!</v>
      </c>
      <c r="O145" s="690" t="str">
        <f t="array" ref="O145">IF($S145="","",IF($S145="Lớp 5",INDEX('Lớp 5 - Phân công'!$AB$14:$AB$262,$T145),IF($S145="Lớp 4",INDEX('Lớp 4 - Danh mục'!$AA$14:$AA$132,$T145),INDEX('Lớp 3 - Công việc chính'!$X$14:$X$73,$T145))))</f>
        <v>#REF!</v>
      </c>
      <c r="P145" s="703" t="str">
        <f t="array" ref="P145">IF($S145="","",IF($S145="Lớp 5",INDEX('Lớp 5 - Phân công'!$AC$14:$AC$262,$T145),IF($S145="Lớp 4",INDEX('Lớp 4 - Danh mục'!$AB$14:$AB$132,$T145),INDEX('Lớp 3 - Công việc chính'!$Y$14:$Y$73,$T145))))</f>
        <v>#REF!</v>
      </c>
      <c r="Q145" s="697" t="str">
        <f t="array" ref="Q145">IF($S145="","",IF($S145="Lớp 5",INDEX('Lớp 5 - Phân công'!$AG$14:$AG$262,$T145),IF($S145="Lớp 4",INDEX('Lớp 4 - Danh mục'!$AF$14:$AF$132,$T145),INDEX('Lớp 3 - Công việc chính'!$AC$14:$AC$73,$T145))))</f>
        <v>#REF!</v>
      </c>
      <c r="R145" s="698" t="str">
        <f t="array" ref="R145">IF($S145="","",IF($S145="Lớp 5",INDEX('Lớp 5 - Phân công'!$X$14:$X$262,$T145),IF($S145="Lớp 4",INDEX('Lớp 4 - Danh mục'!$V$14:$V$132,$T145),INDEX('Lớp 3 - Công việc chính'!$T$14:$T$73,$T145))))</f>
        <v>#REF!</v>
      </c>
      <c r="S145" s="699" t="str">
        <f>IF(ROWS($S$14:S145)&lt;=COUNTIF('Lớp 5 - Phân công'!$I$14:$I$262,"&lt;&gt;"),"Lớp 5",IF(ROWS($S$14:S145)&lt;=COUNTIF('Lớp 5 - Phân công'!$I$14:$I$262,"&lt;&gt;")+SUMPRODUCT(--('Lớp 4 - Danh mục'!$I$14:$I$132&lt;&gt;""),--(COUNTIF('Lớp 5 - Phân công'!$J$14:$J$262,'Lớp 4 - Danh mục'!$I$14:$I$132)=0)),"Lớp 4",IF(ROWS($S$14:S145)&lt;=COUNTIF('Lớp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5" s="699" t="str">
        <f t="array" ref="T145">IF(S145="","",IF(S145="Lớp 5",IF(S144&lt;&gt;"Lớp 5",MATCH("*",'Lớp 5 - Phân công'!$I$14:$I$262,0),T144+MATCH("*",INDEX('Lớp 5 - Phân công'!$I$14:$I$262,T144+1):'Lớp 5 - Phân công'!$I$262,0)),IF(S145="Lớp 4",IF(S144&lt;&gt;"Lớp 4",MATCH(1,INDEX(('Lớp 4 - Danh mục'!$I$14:$I$132&lt;&gt;"")*(COUNTIF('Lớp 5 - Phân công'!$J$14:$J$262,'Lớp 4 - Danh mục'!$I$14:$I$132)=0),0),0),T144+MATCH(1,INDEX((INDEX('Lớp 4 - Danh mục'!$I$14:$I$132,T144+1):'Lớp 4 - Danh mục'!$I$132&lt;&gt;"")*(COUNTIF('Lớp 5 - Phân công'!$J$14:$J$262,INDEX('Lớp 4 - Danh mục'!$I$14:$I$132,T144+1):'Lớp 4 - Danh mục'!$I$132)=0),0),0)),IF(S144&lt;&gt;"Lớp 3",MATCH(1,INDEX(('Lớp 3 - Công việc chính'!$I$14:$I$73&lt;&gt;"")*(COUNTIF('Lớp 4 - Danh mục'!$J$14:$J$132,'Lớp 3 - Công việc chính'!$I$14:$I$73)=0),0),0),T144+MATCH(1,INDEX((INDEX('Lớp 3 - Công việc chính'!$I$14:$I$73,T144+1):'Lớp 3 - Công việc chính'!$I$73&lt;&gt;"")*(COUNTIF('Lớp 4 - Danh mục'!$J$14:$J$132,INDEX('Lớp 3 - Công việc chính'!$I$14:$I$73,T144+1):'Lớp 3 - Công việc chính'!$I$73)=0),0),0)))))</f>
        <v>#REF!</v>
      </c>
      <c r="Z145" s="700" t="str">
        <f t="array" ref="Z145">IF($S145="","",IF($S145="Lớp 5",INDEX('Lớp 5 - Phân công'!$AS$14:$AS$262,$T145),IF($S145="Lớp 4",INDEX('Lớp 4 - Danh mục'!$AR$14:$AR$132,$T145),INDEX('Lớp 3 - Công việc chính'!$AO$14:$AO$73,$T145))))</f>
        <v>#REF!</v>
      </c>
      <c r="AA145" s="701" t="str">
        <f t="array" ref="AA145">IF($S145="","",IF($S145="Lớp 5",INDEX('Lớp 5 - Phân công'!$AT$14:$AT$262,$T145),IF($S145="Lớp 4",INDEX('Lớp 4 - Danh mục'!$AS$14:$AS$132,$T145),INDEX('Lớp 3 - Công việc chính'!$AP$14:$AP$73,$T145))))</f>
        <v>#REF!</v>
      </c>
      <c r="AB145" s="701" t="str">
        <f t="array" ref="AB145">IF($S145="","",IF($S145="Lớp 5",INDEX('Lớp 5 - Phân công'!$AJ$14:$AJ$262,$T145),IF($S145="Lớp 4",INDEX('Lớp 4 - Danh mục'!$AI$14:$AI$132,$T145),INDEX('Lớp 3 - Công việc chính'!$AF$14:$AF$73,$T145))))</f>
        <v>#REF!</v>
      </c>
      <c r="AC145" s="702" t="str">
        <f t="array" ref="AC145">IF($S145="","",IF($S145="Lớp 5",INDEX('Lớp 5 - Phân công'!$AV$14:$AV$262,$T145),IF($S145="Lớp 4",INDEX('Lớp 4 - Danh mục'!$AU$14:$AU$132,$T145),INDEX('Lớp 3 - Công việc chính'!$AR$14:$AR$73,$T145))))</f>
        <v>#REF!</v>
      </c>
    </row>
    <row r="146" ht="15.75" customHeight="1">
      <c r="A146" s="690" t="str">
        <f t="shared" si="1"/>
        <v>#REF!</v>
      </c>
      <c r="B146" s="690" t="str">
        <f t="array" ref="B146">IF($S146="","",IF($S146="Lớp 5",INDEX('Lớp 5 - Phân công'!$I$14:$I$262,$T146),IF($S146="Lớp 4",INDEX('Lớp 4 - Danh mục'!$I$14:$I$132,$T146),INDEX('Lớp 3 - Công việc chính'!$I$14:$I$73,$T146))))</f>
        <v>#REF!</v>
      </c>
      <c r="C146" s="690" t="str">
        <f t="array" ref="C146">IF($S146="","",IF($S146="Lớp 5",INDEX('Lớp 5 - Phân công'!$K$14:$K$262,$T146),IF($S146="Lớp 4",INDEX('Lớp 4 - Danh mục'!$J$14:$J$132,$T146),INDEX('Lớp 3 - Công việc chính'!$I$14:$I$73,$T146))))</f>
        <v>#REF!</v>
      </c>
      <c r="D146" s="690" t="str">
        <f t="array" ref="D146">IF($S146="","",IF($S146="Lớp 5",INDEX('Lớp 5 - Phân công'!$J$14:$J$262,$T146),IF($S146="Lớp 4",INDEX('Lớp 4 - Danh mục'!$I$14:$I$132,$T146),"")))</f>
        <v>#REF!</v>
      </c>
      <c r="E146" s="690" t="str">
        <f t="array" ref="E146">IF($S146="","",IF($S146="Lớp 5",INDEX('Lớp 5 - Phân công'!$L$14:$L$262,$T146),IF($S146="Lớp 4",INDEX('Lớp 4 - Danh mục'!$K$14:$K$132,$T146),INDEX('Lớp 3 - Công việc chính'!$J$14:$J$73,$T146))))</f>
        <v>#REF!</v>
      </c>
      <c r="F146" s="690" t="str">
        <f t="array" ref="F146">IF($S146="","",IF($S146="Lớp 5",INDEX('Lớp 5 - Phân công'!$M$14:$M$262,$T146),IF($S146="Lớp 4",INDEX('Lớp 4 - Danh mục'!$L$14:$L$132,$T146),INDEX('Lớp 3 - Công việc chính'!$K$14:$K$73,$T146))))</f>
        <v>#REF!</v>
      </c>
      <c r="G146" s="691" t="str">
        <f t="array" ref="G146">IF($S146="","",IF($S146="Lớp 5",INDEX('Lớp 5 - Phân công'!$N$14:$N$262,$T146),IF($S146="Lớp 4",INDEX('Lớp 4 - Danh mục'!$M$14:$M$132,$T146),INDEX('Lớp 3 - Công việc chính'!$L$14:$L$73,$T146))))</f>
        <v>#REF!</v>
      </c>
      <c r="H146" s="692" t="str">
        <f t="array" ref="H146">IF($S146="","",IF($S146="Lớp 5",INDEX('Lớp 5 - Phân công'!$O$14:$O$262,$T146),IF($S146="Lớp 4",INDEX('Lớp 4 - Danh mục'!$N$14:$N$132,$T146),INDEX('Lớp 3 - Công việc chính'!$M$14:$M$73,$T146))))</f>
        <v>#REF!</v>
      </c>
      <c r="I146" s="692" t="str">
        <f t="array" ref="I146">IF($S146="","",IF($S146="Lớp 5",INDEX('Lớp 5 - Phân công'!$P$14:$P$262,$T146),IF($S146="Lớp 4",INDEX('Lớp 4 - Danh mục'!$O$14:$O$132,$T146),"")))</f>
        <v>#REF!</v>
      </c>
      <c r="J146" s="693" t="str">
        <f t="array" ref="J146">IF($S146="","",IF($S146="Lớp 5",INDEX('Lớp 5 - Phân công'!$Q$14:$Q$262,$T146),""))</f>
        <v>#REF!</v>
      </c>
      <c r="K146" s="690" t="str">
        <f t="array" ref="K146">IF($S146="","",IF($S146="Lớp 5",INDEX('Lớp 5 - Phân công'!$AA$14:$AA$262,$T146),IF($S146="Lớp 4",INDEX('Lớp 4 - Danh mục'!$Y$14:$Y$132,$T146),INDEX('Lớp 3 - Công việc chính'!$U$14:$U$73,$T146))))</f>
        <v>#REF!</v>
      </c>
      <c r="L146" s="691" t="str">
        <f t="array" ref="L146">IF($S146="","",IF($S146="Lớp 5",INDEX('Lớp 5 - Phân công'!$Z$14:$Z$262,$T146),IF($S146="Lớp 4",INDEX('Lớp 4 - Danh mục'!$X$14:$X$132,$T146),INDEX('Lớp 3 - Công việc chính'!$W$14:$W$73,$T146))))</f>
        <v>#REF!</v>
      </c>
      <c r="M146" s="694" t="str">
        <f t="array" ref="M146">IF($S146="","",IF($S146="Lớp 5",INDEX('Lớp 5 - Phân công'!$AD$14:$AD$262,$T146),IF($S146="Lớp 4",INDEX('Lớp 4 - Danh mục'!$AC$14:$AC$132,$T146),INDEX('Lớp 3 - Công việc chính'!$Z$14:$Z$73,$T146))))</f>
        <v>#REF!</v>
      </c>
      <c r="N146" s="695" t="str">
        <f t="array" ref="N146">IF($S146="","",IF($S146="Lớp 5",INDEX('Lớp 5 - Phân công'!$AE$14:$AE$262,$T146),IF($S146="Lớp 4",INDEX('Lớp 4 - Danh mục'!$AD$14:$AD$132,$T146),INDEX('Lớp 3 - Công việc chính'!$AA$14:$AA$73,$T146))))</f>
        <v>#REF!</v>
      </c>
      <c r="O146" s="690" t="str">
        <f t="array" ref="O146">IF($S146="","",IF($S146="Lớp 5",INDEX('Lớp 5 - Phân công'!$AB$14:$AB$262,$T146),IF($S146="Lớp 4",INDEX('Lớp 4 - Danh mục'!$AA$14:$AA$132,$T146),INDEX('Lớp 3 - Công việc chính'!$X$14:$X$73,$T146))))</f>
        <v>#REF!</v>
      </c>
      <c r="P146" s="703" t="str">
        <f t="array" ref="P146">IF($S146="","",IF($S146="Lớp 5",INDEX('Lớp 5 - Phân công'!$AC$14:$AC$262,$T146),IF($S146="Lớp 4",INDEX('Lớp 4 - Danh mục'!$AB$14:$AB$132,$T146),INDEX('Lớp 3 - Công việc chính'!$Y$14:$Y$73,$T146))))</f>
        <v>#REF!</v>
      </c>
      <c r="Q146" s="697" t="str">
        <f t="array" ref="Q146">IF($S146="","",IF($S146="Lớp 5",INDEX('Lớp 5 - Phân công'!$AG$14:$AG$262,$T146),IF($S146="Lớp 4",INDEX('Lớp 4 - Danh mục'!$AF$14:$AF$132,$T146),INDEX('Lớp 3 - Công việc chính'!$AC$14:$AC$73,$T146))))</f>
        <v>#REF!</v>
      </c>
      <c r="R146" s="698" t="str">
        <f t="array" ref="R146">IF($S146="","",IF($S146="Lớp 5",INDEX('Lớp 5 - Phân công'!$X$14:$X$262,$T146),IF($S146="Lớp 4",INDEX('Lớp 4 - Danh mục'!$V$14:$V$132,$T146),INDEX('Lớp 3 - Công việc chính'!$T$14:$T$73,$T146))))</f>
        <v>#REF!</v>
      </c>
      <c r="S146" s="699" t="str">
        <f>IF(ROWS($S$14:S146)&lt;=COUNTIF('Lớp 5 - Phân công'!$I$14:$I$262,"&lt;&gt;"),"Lớp 5",IF(ROWS($S$14:S146)&lt;=COUNTIF('Lớp 5 - Phân công'!$I$14:$I$262,"&lt;&gt;")+SUMPRODUCT(--('Lớp 4 - Danh mục'!$I$14:$I$132&lt;&gt;""),--(COUNTIF('Lớp 5 - Phân công'!$J$14:$J$262,'Lớp 4 - Danh mục'!$I$14:$I$132)=0)),"Lớp 4",IF(ROWS($S$14:S146)&lt;=COUNTIF('Lớp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6" s="699" t="str">
        <f t="array" ref="T146">IF(S146="","",IF(S146="Lớp 5",IF(S145&lt;&gt;"Lớp 5",MATCH("*",'Lớp 5 - Phân công'!$I$14:$I$262,0),T145+MATCH("*",INDEX('Lớp 5 - Phân công'!$I$14:$I$262,T145+1):'Lớp 5 - Phân công'!$I$262,0)),IF(S146="Lớp 4",IF(S145&lt;&gt;"Lớp 4",MATCH(1,INDEX(('Lớp 4 - Danh mục'!$I$14:$I$132&lt;&gt;"")*(COUNTIF('Lớp 5 - Phân công'!$J$14:$J$262,'Lớp 4 - Danh mục'!$I$14:$I$132)=0),0),0),T145+MATCH(1,INDEX((INDEX('Lớp 4 - Danh mục'!$I$14:$I$132,T145+1):'Lớp 4 - Danh mục'!$I$132&lt;&gt;"")*(COUNTIF('Lớp 5 - Phân công'!$J$14:$J$262,INDEX('Lớp 4 - Danh mục'!$I$14:$I$132,T145+1):'Lớp 4 - Danh mục'!$I$132)=0),0),0)),IF(S145&lt;&gt;"Lớp 3",MATCH(1,INDEX(('Lớp 3 - Công việc chính'!$I$14:$I$73&lt;&gt;"")*(COUNTIF('Lớp 4 - Danh mục'!$J$14:$J$132,'Lớp 3 - Công việc chính'!$I$14:$I$73)=0),0),0),T145+MATCH(1,INDEX((INDEX('Lớp 3 - Công việc chính'!$I$14:$I$73,T145+1):'Lớp 3 - Công việc chính'!$I$73&lt;&gt;"")*(COUNTIF('Lớp 4 - Danh mục'!$J$14:$J$132,INDEX('Lớp 3 - Công việc chính'!$I$14:$I$73,T145+1):'Lớp 3 - Công việc chính'!$I$73)=0),0),0)))))</f>
        <v>#REF!</v>
      </c>
      <c r="Z146" s="700" t="str">
        <f t="array" ref="Z146">IF($S146="","",IF($S146="Lớp 5",INDEX('Lớp 5 - Phân công'!$AS$14:$AS$262,$T146),IF($S146="Lớp 4",INDEX('Lớp 4 - Danh mục'!$AR$14:$AR$132,$T146),INDEX('Lớp 3 - Công việc chính'!$AO$14:$AO$73,$T146))))</f>
        <v>#REF!</v>
      </c>
      <c r="AA146" s="701" t="str">
        <f t="array" ref="AA146">IF($S146="","",IF($S146="Lớp 5",INDEX('Lớp 5 - Phân công'!$AT$14:$AT$262,$T146),IF($S146="Lớp 4",INDEX('Lớp 4 - Danh mục'!$AS$14:$AS$132,$T146),INDEX('Lớp 3 - Công việc chính'!$AP$14:$AP$73,$T146))))</f>
        <v>#REF!</v>
      </c>
      <c r="AB146" s="701" t="str">
        <f t="array" ref="AB146">IF($S146="","",IF($S146="Lớp 5",INDEX('Lớp 5 - Phân công'!$AJ$14:$AJ$262,$T146),IF($S146="Lớp 4",INDEX('Lớp 4 - Danh mục'!$AI$14:$AI$132,$T146),INDEX('Lớp 3 - Công việc chính'!$AF$14:$AF$73,$T146))))</f>
        <v>#REF!</v>
      </c>
      <c r="AC146" s="702" t="str">
        <f t="array" ref="AC146">IF($S146="","",IF($S146="Lớp 5",INDEX('Lớp 5 - Phân công'!$AV$14:$AV$262,$T146),IF($S146="Lớp 4",INDEX('Lớp 4 - Danh mục'!$AU$14:$AU$132,$T146),INDEX('Lớp 3 - Công việc chính'!$AR$14:$AR$73,$T146))))</f>
        <v>#REF!</v>
      </c>
    </row>
    <row r="147" ht="15.75" customHeight="1">
      <c r="A147" s="690" t="str">
        <f t="shared" si="1"/>
        <v>#REF!</v>
      </c>
      <c r="B147" s="690" t="str">
        <f t="array" ref="B147">IF($S147="","",IF($S147="Lớp 5",INDEX('Lớp 5 - Phân công'!$I$14:$I$262,$T147),IF($S147="Lớp 4",INDEX('Lớp 4 - Danh mục'!$I$14:$I$132,$T147),INDEX('Lớp 3 - Công việc chính'!$I$14:$I$73,$T147))))</f>
        <v>#REF!</v>
      </c>
      <c r="C147" s="690" t="str">
        <f t="array" ref="C147">IF($S147="","",IF($S147="Lớp 5",INDEX('Lớp 5 - Phân công'!$K$14:$K$262,$T147),IF($S147="Lớp 4",INDEX('Lớp 4 - Danh mục'!$J$14:$J$132,$T147),INDEX('Lớp 3 - Công việc chính'!$I$14:$I$73,$T147))))</f>
        <v>#REF!</v>
      </c>
      <c r="D147" s="690" t="str">
        <f t="array" ref="D147">IF($S147="","",IF($S147="Lớp 5",INDEX('Lớp 5 - Phân công'!$J$14:$J$262,$T147),IF($S147="Lớp 4",INDEX('Lớp 4 - Danh mục'!$I$14:$I$132,$T147),"")))</f>
        <v>#REF!</v>
      </c>
      <c r="E147" s="690" t="str">
        <f t="array" ref="E147">IF($S147="","",IF($S147="Lớp 5",INDEX('Lớp 5 - Phân công'!$L$14:$L$262,$T147),IF($S147="Lớp 4",INDEX('Lớp 4 - Danh mục'!$K$14:$K$132,$T147),INDEX('Lớp 3 - Công việc chính'!$J$14:$J$73,$T147))))</f>
        <v>#REF!</v>
      </c>
      <c r="F147" s="690" t="str">
        <f t="array" ref="F147">IF($S147="","",IF($S147="Lớp 5",INDEX('Lớp 5 - Phân công'!$M$14:$M$262,$T147),IF($S147="Lớp 4",INDEX('Lớp 4 - Danh mục'!$L$14:$L$132,$T147),INDEX('Lớp 3 - Công việc chính'!$K$14:$K$73,$T147))))</f>
        <v>#REF!</v>
      </c>
      <c r="G147" s="691" t="str">
        <f t="array" ref="G147">IF($S147="","",IF($S147="Lớp 5",INDEX('Lớp 5 - Phân công'!$N$14:$N$262,$T147),IF($S147="Lớp 4",INDEX('Lớp 4 - Danh mục'!$M$14:$M$132,$T147),INDEX('Lớp 3 - Công việc chính'!$L$14:$L$73,$T147))))</f>
        <v>#REF!</v>
      </c>
      <c r="H147" s="692" t="str">
        <f t="array" ref="H147">IF($S147="","",IF($S147="Lớp 5",INDEX('Lớp 5 - Phân công'!$O$14:$O$262,$T147),IF($S147="Lớp 4",INDEX('Lớp 4 - Danh mục'!$N$14:$N$132,$T147),INDEX('Lớp 3 - Công việc chính'!$M$14:$M$73,$T147))))</f>
        <v>#REF!</v>
      </c>
      <c r="I147" s="692" t="str">
        <f t="array" ref="I147">IF($S147="","",IF($S147="Lớp 5",INDEX('Lớp 5 - Phân công'!$P$14:$P$262,$T147),IF($S147="Lớp 4",INDEX('Lớp 4 - Danh mục'!$O$14:$O$132,$T147),"")))</f>
        <v>#REF!</v>
      </c>
      <c r="J147" s="693" t="str">
        <f t="array" ref="J147">IF($S147="","",IF($S147="Lớp 5",INDEX('Lớp 5 - Phân công'!$Q$14:$Q$262,$T147),""))</f>
        <v>#REF!</v>
      </c>
      <c r="K147" s="690" t="str">
        <f t="array" ref="K147">IF($S147="","",IF($S147="Lớp 5",INDEX('Lớp 5 - Phân công'!$AA$14:$AA$262,$T147),IF($S147="Lớp 4",INDEX('Lớp 4 - Danh mục'!$Y$14:$Y$132,$T147),INDEX('Lớp 3 - Công việc chính'!$U$14:$U$73,$T147))))</f>
        <v>#REF!</v>
      </c>
      <c r="L147" s="691" t="str">
        <f t="array" ref="L147">IF($S147="","",IF($S147="Lớp 5",INDEX('Lớp 5 - Phân công'!$Z$14:$Z$262,$T147),IF($S147="Lớp 4",INDEX('Lớp 4 - Danh mục'!$X$14:$X$132,$T147),INDEX('Lớp 3 - Công việc chính'!$W$14:$W$73,$T147))))</f>
        <v>#REF!</v>
      </c>
      <c r="M147" s="694" t="str">
        <f t="array" ref="M147">IF($S147="","",IF($S147="Lớp 5",INDEX('Lớp 5 - Phân công'!$AD$14:$AD$262,$T147),IF($S147="Lớp 4",INDEX('Lớp 4 - Danh mục'!$AC$14:$AC$132,$T147),INDEX('Lớp 3 - Công việc chính'!$Z$14:$Z$73,$T147))))</f>
        <v>#REF!</v>
      </c>
      <c r="N147" s="695" t="str">
        <f t="array" ref="N147">IF($S147="","",IF($S147="Lớp 5",INDEX('Lớp 5 - Phân công'!$AE$14:$AE$262,$T147),IF($S147="Lớp 4",INDEX('Lớp 4 - Danh mục'!$AD$14:$AD$132,$T147),INDEX('Lớp 3 - Công việc chính'!$AA$14:$AA$73,$T147))))</f>
        <v>#REF!</v>
      </c>
      <c r="O147" s="690" t="str">
        <f t="array" ref="O147">IF($S147="","",IF($S147="Lớp 5",INDEX('Lớp 5 - Phân công'!$AB$14:$AB$262,$T147),IF($S147="Lớp 4",INDEX('Lớp 4 - Danh mục'!$AA$14:$AA$132,$T147),INDEX('Lớp 3 - Công việc chính'!$X$14:$X$73,$T147))))</f>
        <v>#REF!</v>
      </c>
      <c r="P147" s="703" t="str">
        <f t="array" ref="P147">IF($S147="","",IF($S147="Lớp 5",INDEX('Lớp 5 - Phân công'!$AC$14:$AC$262,$T147),IF($S147="Lớp 4",INDEX('Lớp 4 - Danh mục'!$AB$14:$AB$132,$T147),INDEX('Lớp 3 - Công việc chính'!$Y$14:$Y$73,$T147))))</f>
        <v>#REF!</v>
      </c>
      <c r="Q147" s="697" t="str">
        <f t="array" ref="Q147">IF($S147="","",IF($S147="Lớp 5",INDEX('Lớp 5 - Phân công'!$AG$14:$AG$262,$T147),IF($S147="Lớp 4",INDEX('Lớp 4 - Danh mục'!$AF$14:$AF$132,$T147),INDEX('Lớp 3 - Công việc chính'!$AC$14:$AC$73,$T147))))</f>
        <v>#REF!</v>
      </c>
      <c r="R147" s="698" t="str">
        <f t="array" ref="R147">IF($S147="","",IF($S147="Lớp 5",INDEX('Lớp 5 - Phân công'!$X$14:$X$262,$T147),IF($S147="Lớp 4",INDEX('Lớp 4 - Danh mục'!$V$14:$V$132,$T147),INDEX('Lớp 3 - Công việc chính'!$T$14:$T$73,$T147))))</f>
        <v>#REF!</v>
      </c>
      <c r="S147" s="699" t="str">
        <f>IF(ROWS($S$14:S147)&lt;=COUNTIF('Lớp 5 - Phân công'!$I$14:$I$262,"&lt;&gt;"),"Lớp 5",IF(ROWS($S$14:S147)&lt;=COUNTIF('Lớp 5 - Phân công'!$I$14:$I$262,"&lt;&gt;")+SUMPRODUCT(--('Lớp 4 - Danh mục'!$I$14:$I$132&lt;&gt;""),--(COUNTIF('Lớp 5 - Phân công'!$J$14:$J$262,'Lớp 4 - Danh mục'!$I$14:$I$132)=0)),"Lớp 4",IF(ROWS($S$14:S147)&lt;=COUNTIF('Lớp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7" s="699" t="str">
        <f t="array" ref="T147">IF(S147="","",IF(S147="Lớp 5",IF(S146&lt;&gt;"Lớp 5",MATCH("*",'Lớp 5 - Phân công'!$I$14:$I$262,0),T146+MATCH("*",INDEX('Lớp 5 - Phân công'!$I$14:$I$262,T146+1):'Lớp 5 - Phân công'!$I$262,0)),IF(S147="Lớp 4",IF(S146&lt;&gt;"Lớp 4",MATCH(1,INDEX(('Lớp 4 - Danh mục'!$I$14:$I$132&lt;&gt;"")*(COUNTIF('Lớp 5 - Phân công'!$J$14:$J$262,'Lớp 4 - Danh mục'!$I$14:$I$132)=0),0),0),T146+MATCH(1,INDEX((INDEX('Lớp 4 - Danh mục'!$I$14:$I$132,T146+1):'Lớp 4 - Danh mục'!$I$132&lt;&gt;"")*(COUNTIF('Lớp 5 - Phân công'!$J$14:$J$262,INDEX('Lớp 4 - Danh mục'!$I$14:$I$132,T146+1):'Lớp 4 - Danh mục'!$I$132)=0),0),0)),IF(S146&lt;&gt;"Lớp 3",MATCH(1,INDEX(('Lớp 3 - Công việc chính'!$I$14:$I$73&lt;&gt;"")*(COUNTIF('Lớp 4 - Danh mục'!$J$14:$J$132,'Lớp 3 - Công việc chính'!$I$14:$I$73)=0),0),0),T146+MATCH(1,INDEX((INDEX('Lớp 3 - Công việc chính'!$I$14:$I$73,T146+1):'Lớp 3 - Công việc chính'!$I$73&lt;&gt;"")*(COUNTIF('Lớp 4 - Danh mục'!$J$14:$J$132,INDEX('Lớp 3 - Công việc chính'!$I$14:$I$73,T146+1):'Lớp 3 - Công việc chính'!$I$73)=0),0),0)))))</f>
        <v>#REF!</v>
      </c>
      <c r="Z147" s="700" t="str">
        <f t="array" ref="Z147">IF($S147="","",IF($S147="Lớp 5",INDEX('Lớp 5 - Phân công'!$AS$14:$AS$262,$T147),IF($S147="Lớp 4",INDEX('Lớp 4 - Danh mục'!$AR$14:$AR$132,$T147),INDEX('Lớp 3 - Công việc chính'!$AO$14:$AO$73,$T147))))</f>
        <v>#REF!</v>
      </c>
      <c r="AA147" s="701" t="str">
        <f t="array" ref="AA147">IF($S147="","",IF($S147="Lớp 5",INDEX('Lớp 5 - Phân công'!$AT$14:$AT$262,$T147),IF($S147="Lớp 4",INDEX('Lớp 4 - Danh mục'!$AS$14:$AS$132,$T147),INDEX('Lớp 3 - Công việc chính'!$AP$14:$AP$73,$T147))))</f>
        <v>#REF!</v>
      </c>
      <c r="AB147" s="701" t="str">
        <f t="array" ref="AB147">IF($S147="","",IF($S147="Lớp 5",INDEX('Lớp 5 - Phân công'!$AJ$14:$AJ$262,$T147),IF($S147="Lớp 4",INDEX('Lớp 4 - Danh mục'!$AI$14:$AI$132,$T147),INDEX('Lớp 3 - Công việc chính'!$AF$14:$AF$73,$T147))))</f>
        <v>#REF!</v>
      </c>
      <c r="AC147" s="702" t="str">
        <f t="array" ref="AC147">IF($S147="","",IF($S147="Lớp 5",INDEX('Lớp 5 - Phân công'!$AV$14:$AV$262,$T147),IF($S147="Lớp 4",INDEX('Lớp 4 - Danh mục'!$AU$14:$AU$132,$T147),INDEX('Lớp 3 - Công việc chính'!$AR$14:$AR$73,$T147))))</f>
        <v>#REF!</v>
      </c>
    </row>
    <row r="148" ht="15.75" customHeight="1">
      <c r="A148" s="690" t="str">
        <f t="shared" si="1"/>
        <v>#REF!</v>
      </c>
      <c r="B148" s="690" t="str">
        <f t="array" ref="B148">IF($S148="","",IF($S148="Lớp 5",INDEX('Lớp 5 - Phân công'!$I$14:$I$262,$T148),IF($S148="Lớp 4",INDEX('Lớp 4 - Danh mục'!$I$14:$I$132,$T148),INDEX('Lớp 3 - Công việc chính'!$I$14:$I$73,$T148))))</f>
        <v>#REF!</v>
      </c>
      <c r="C148" s="690" t="str">
        <f t="array" ref="C148">IF($S148="","",IF($S148="Lớp 5",INDEX('Lớp 5 - Phân công'!$K$14:$K$262,$T148),IF($S148="Lớp 4",INDEX('Lớp 4 - Danh mục'!$J$14:$J$132,$T148),INDEX('Lớp 3 - Công việc chính'!$I$14:$I$73,$T148))))</f>
        <v>#REF!</v>
      </c>
      <c r="D148" s="690" t="str">
        <f t="array" ref="D148">IF($S148="","",IF($S148="Lớp 5",INDEX('Lớp 5 - Phân công'!$J$14:$J$262,$T148),IF($S148="Lớp 4",INDEX('Lớp 4 - Danh mục'!$I$14:$I$132,$T148),"")))</f>
        <v>#REF!</v>
      </c>
      <c r="E148" s="690" t="str">
        <f t="array" ref="E148">IF($S148="","",IF($S148="Lớp 5",INDEX('Lớp 5 - Phân công'!$L$14:$L$262,$T148),IF($S148="Lớp 4",INDEX('Lớp 4 - Danh mục'!$K$14:$K$132,$T148),INDEX('Lớp 3 - Công việc chính'!$J$14:$J$73,$T148))))</f>
        <v>#REF!</v>
      </c>
      <c r="F148" s="690" t="str">
        <f t="array" ref="F148">IF($S148="","",IF($S148="Lớp 5",INDEX('Lớp 5 - Phân công'!$M$14:$M$262,$T148),IF($S148="Lớp 4",INDEX('Lớp 4 - Danh mục'!$L$14:$L$132,$T148),INDEX('Lớp 3 - Công việc chính'!$K$14:$K$73,$T148))))</f>
        <v>#REF!</v>
      </c>
      <c r="G148" s="691" t="str">
        <f t="array" ref="G148">IF($S148="","",IF($S148="Lớp 5",INDEX('Lớp 5 - Phân công'!$N$14:$N$262,$T148),IF($S148="Lớp 4",INDEX('Lớp 4 - Danh mục'!$M$14:$M$132,$T148),INDEX('Lớp 3 - Công việc chính'!$L$14:$L$73,$T148))))</f>
        <v>#REF!</v>
      </c>
      <c r="H148" s="692" t="str">
        <f t="array" ref="H148">IF($S148="","",IF($S148="Lớp 5",INDEX('Lớp 5 - Phân công'!$O$14:$O$262,$T148),IF($S148="Lớp 4",INDEX('Lớp 4 - Danh mục'!$N$14:$N$132,$T148),INDEX('Lớp 3 - Công việc chính'!$M$14:$M$73,$T148))))</f>
        <v>#REF!</v>
      </c>
      <c r="I148" s="692" t="str">
        <f t="array" ref="I148">IF($S148="","",IF($S148="Lớp 5",INDEX('Lớp 5 - Phân công'!$P$14:$P$262,$T148),IF($S148="Lớp 4",INDEX('Lớp 4 - Danh mục'!$O$14:$O$132,$T148),"")))</f>
        <v>#REF!</v>
      </c>
      <c r="J148" s="693" t="str">
        <f t="array" ref="J148">IF($S148="","",IF($S148="Lớp 5",INDEX('Lớp 5 - Phân công'!$Q$14:$Q$262,$T148),""))</f>
        <v>#REF!</v>
      </c>
      <c r="K148" s="690" t="str">
        <f t="array" ref="K148">IF($S148="","",IF($S148="Lớp 5",INDEX('Lớp 5 - Phân công'!$AA$14:$AA$262,$T148),IF($S148="Lớp 4",INDEX('Lớp 4 - Danh mục'!$Y$14:$Y$132,$T148),INDEX('Lớp 3 - Công việc chính'!$U$14:$U$73,$T148))))</f>
        <v>#REF!</v>
      </c>
      <c r="L148" s="691" t="str">
        <f t="array" ref="L148">IF($S148="","",IF($S148="Lớp 5",INDEX('Lớp 5 - Phân công'!$Z$14:$Z$262,$T148),IF($S148="Lớp 4",INDEX('Lớp 4 - Danh mục'!$X$14:$X$132,$T148),INDEX('Lớp 3 - Công việc chính'!$W$14:$W$73,$T148))))</f>
        <v>#REF!</v>
      </c>
      <c r="M148" s="694" t="str">
        <f t="array" ref="M148">IF($S148="","",IF($S148="Lớp 5",INDEX('Lớp 5 - Phân công'!$AD$14:$AD$262,$T148),IF($S148="Lớp 4",INDEX('Lớp 4 - Danh mục'!$AC$14:$AC$132,$T148),INDEX('Lớp 3 - Công việc chính'!$Z$14:$Z$73,$T148))))</f>
        <v>#REF!</v>
      </c>
      <c r="N148" s="695" t="str">
        <f t="array" ref="N148">IF($S148="","",IF($S148="Lớp 5",INDEX('Lớp 5 - Phân công'!$AE$14:$AE$262,$T148),IF($S148="Lớp 4",INDEX('Lớp 4 - Danh mục'!$AD$14:$AD$132,$T148),INDEX('Lớp 3 - Công việc chính'!$AA$14:$AA$73,$T148))))</f>
        <v>#REF!</v>
      </c>
      <c r="O148" s="690" t="str">
        <f t="array" ref="O148">IF($S148="","",IF($S148="Lớp 5",INDEX('Lớp 5 - Phân công'!$AB$14:$AB$262,$T148),IF($S148="Lớp 4",INDEX('Lớp 4 - Danh mục'!$AA$14:$AA$132,$T148),INDEX('Lớp 3 - Công việc chính'!$X$14:$X$73,$T148))))</f>
        <v>#REF!</v>
      </c>
      <c r="P148" s="703" t="str">
        <f t="array" ref="P148">IF($S148="","",IF($S148="Lớp 5",INDEX('Lớp 5 - Phân công'!$AC$14:$AC$262,$T148),IF($S148="Lớp 4",INDEX('Lớp 4 - Danh mục'!$AB$14:$AB$132,$T148),INDEX('Lớp 3 - Công việc chính'!$Y$14:$Y$73,$T148))))</f>
        <v>#REF!</v>
      </c>
      <c r="Q148" s="697" t="str">
        <f t="array" ref="Q148">IF($S148="","",IF($S148="Lớp 5",INDEX('Lớp 5 - Phân công'!$AG$14:$AG$262,$T148),IF($S148="Lớp 4",INDEX('Lớp 4 - Danh mục'!$AF$14:$AF$132,$T148),INDEX('Lớp 3 - Công việc chính'!$AC$14:$AC$73,$T148))))</f>
        <v>#REF!</v>
      </c>
      <c r="R148" s="698" t="str">
        <f t="array" ref="R148">IF($S148="","",IF($S148="Lớp 5",INDEX('Lớp 5 - Phân công'!$X$14:$X$262,$T148),IF($S148="Lớp 4",INDEX('Lớp 4 - Danh mục'!$V$14:$V$132,$T148),INDEX('Lớp 3 - Công việc chính'!$T$14:$T$73,$T148))))</f>
        <v>#REF!</v>
      </c>
      <c r="S148" s="699" t="str">
        <f>IF(ROWS($S$14:S148)&lt;=COUNTIF('Lớp 5 - Phân công'!$I$14:$I$262,"&lt;&gt;"),"Lớp 5",IF(ROWS($S$14:S148)&lt;=COUNTIF('Lớp 5 - Phân công'!$I$14:$I$262,"&lt;&gt;")+SUMPRODUCT(--('Lớp 4 - Danh mục'!$I$14:$I$132&lt;&gt;""),--(COUNTIF('Lớp 5 - Phân công'!$J$14:$J$262,'Lớp 4 - Danh mục'!$I$14:$I$132)=0)),"Lớp 4",IF(ROWS($S$14:S148)&lt;=COUNTIF('Lớp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8" s="699" t="str">
        <f t="array" ref="T148">IF(S148="","",IF(S148="Lớp 5",IF(S147&lt;&gt;"Lớp 5",MATCH("*",'Lớp 5 - Phân công'!$I$14:$I$262,0),T147+MATCH("*",INDEX('Lớp 5 - Phân công'!$I$14:$I$262,T147+1):'Lớp 5 - Phân công'!$I$262,0)),IF(S148="Lớp 4",IF(S147&lt;&gt;"Lớp 4",MATCH(1,INDEX(('Lớp 4 - Danh mục'!$I$14:$I$132&lt;&gt;"")*(COUNTIF('Lớp 5 - Phân công'!$J$14:$J$262,'Lớp 4 - Danh mục'!$I$14:$I$132)=0),0),0),T147+MATCH(1,INDEX((INDEX('Lớp 4 - Danh mục'!$I$14:$I$132,T147+1):'Lớp 4 - Danh mục'!$I$132&lt;&gt;"")*(COUNTIF('Lớp 5 - Phân công'!$J$14:$J$262,INDEX('Lớp 4 - Danh mục'!$I$14:$I$132,T147+1):'Lớp 4 - Danh mục'!$I$132)=0),0),0)),IF(S147&lt;&gt;"Lớp 3",MATCH(1,INDEX(('Lớp 3 - Công việc chính'!$I$14:$I$73&lt;&gt;"")*(COUNTIF('Lớp 4 - Danh mục'!$J$14:$J$132,'Lớp 3 - Công việc chính'!$I$14:$I$73)=0),0),0),T147+MATCH(1,INDEX((INDEX('Lớp 3 - Công việc chính'!$I$14:$I$73,T147+1):'Lớp 3 - Công việc chính'!$I$73&lt;&gt;"")*(COUNTIF('Lớp 4 - Danh mục'!$J$14:$J$132,INDEX('Lớp 3 - Công việc chính'!$I$14:$I$73,T147+1):'Lớp 3 - Công việc chính'!$I$73)=0),0),0)))))</f>
        <v>#REF!</v>
      </c>
      <c r="Z148" s="700" t="str">
        <f t="array" ref="Z148">IF($S148="","",IF($S148="Lớp 5",INDEX('Lớp 5 - Phân công'!$AS$14:$AS$262,$T148),IF($S148="Lớp 4",INDEX('Lớp 4 - Danh mục'!$AR$14:$AR$132,$T148),INDEX('Lớp 3 - Công việc chính'!$AO$14:$AO$73,$T148))))</f>
        <v>#REF!</v>
      </c>
      <c r="AA148" s="701" t="str">
        <f t="array" ref="AA148">IF($S148="","",IF($S148="Lớp 5",INDEX('Lớp 5 - Phân công'!$AT$14:$AT$262,$T148),IF($S148="Lớp 4",INDEX('Lớp 4 - Danh mục'!$AS$14:$AS$132,$T148),INDEX('Lớp 3 - Công việc chính'!$AP$14:$AP$73,$T148))))</f>
        <v>#REF!</v>
      </c>
      <c r="AB148" s="701" t="str">
        <f t="array" ref="AB148">IF($S148="","",IF($S148="Lớp 5",INDEX('Lớp 5 - Phân công'!$AJ$14:$AJ$262,$T148),IF($S148="Lớp 4",INDEX('Lớp 4 - Danh mục'!$AI$14:$AI$132,$T148),INDEX('Lớp 3 - Công việc chính'!$AF$14:$AF$73,$T148))))</f>
        <v>#REF!</v>
      </c>
      <c r="AC148" s="702" t="str">
        <f t="array" ref="AC148">IF($S148="","",IF($S148="Lớp 5",INDEX('Lớp 5 - Phân công'!$AV$14:$AV$262,$T148),IF($S148="Lớp 4",INDEX('Lớp 4 - Danh mục'!$AU$14:$AU$132,$T148),INDEX('Lớp 3 - Công việc chính'!$AR$14:$AR$73,$T148))))</f>
        <v>#REF!</v>
      </c>
    </row>
    <row r="149" ht="15.75" customHeight="1">
      <c r="A149" s="690" t="str">
        <f t="shared" si="1"/>
        <v>#REF!</v>
      </c>
      <c r="B149" s="690" t="str">
        <f t="array" ref="B149">IF($S149="","",IF($S149="Lớp 5",INDEX('Lớp 5 - Phân công'!$I$14:$I$262,$T149),IF($S149="Lớp 4",INDEX('Lớp 4 - Danh mục'!$I$14:$I$132,$T149),INDEX('Lớp 3 - Công việc chính'!$I$14:$I$73,$T149))))</f>
        <v>#REF!</v>
      </c>
      <c r="C149" s="690" t="str">
        <f t="array" ref="C149">IF($S149="","",IF($S149="Lớp 5",INDEX('Lớp 5 - Phân công'!$K$14:$K$262,$T149),IF($S149="Lớp 4",INDEX('Lớp 4 - Danh mục'!$J$14:$J$132,$T149),INDEX('Lớp 3 - Công việc chính'!$I$14:$I$73,$T149))))</f>
        <v>#REF!</v>
      </c>
      <c r="D149" s="690" t="str">
        <f t="array" ref="D149">IF($S149="","",IF($S149="Lớp 5",INDEX('Lớp 5 - Phân công'!$J$14:$J$262,$T149),IF($S149="Lớp 4",INDEX('Lớp 4 - Danh mục'!$I$14:$I$132,$T149),"")))</f>
        <v>#REF!</v>
      </c>
      <c r="E149" s="690" t="str">
        <f t="array" ref="E149">IF($S149="","",IF($S149="Lớp 5",INDEX('Lớp 5 - Phân công'!$L$14:$L$262,$T149),IF($S149="Lớp 4",INDEX('Lớp 4 - Danh mục'!$K$14:$K$132,$T149),INDEX('Lớp 3 - Công việc chính'!$J$14:$J$73,$T149))))</f>
        <v>#REF!</v>
      </c>
      <c r="F149" s="690" t="str">
        <f t="array" ref="F149">IF($S149="","",IF($S149="Lớp 5",INDEX('Lớp 5 - Phân công'!$M$14:$M$262,$T149),IF($S149="Lớp 4",INDEX('Lớp 4 - Danh mục'!$L$14:$L$132,$T149),INDEX('Lớp 3 - Công việc chính'!$K$14:$K$73,$T149))))</f>
        <v>#REF!</v>
      </c>
      <c r="G149" s="691" t="str">
        <f t="array" ref="G149">IF($S149="","",IF($S149="Lớp 5",INDEX('Lớp 5 - Phân công'!$N$14:$N$262,$T149),IF($S149="Lớp 4",INDEX('Lớp 4 - Danh mục'!$M$14:$M$132,$T149),INDEX('Lớp 3 - Công việc chính'!$L$14:$L$73,$T149))))</f>
        <v>#REF!</v>
      </c>
      <c r="H149" s="692" t="str">
        <f t="array" ref="H149">IF($S149="","",IF($S149="Lớp 5",INDEX('Lớp 5 - Phân công'!$O$14:$O$262,$T149),IF($S149="Lớp 4",INDEX('Lớp 4 - Danh mục'!$N$14:$N$132,$T149),INDEX('Lớp 3 - Công việc chính'!$M$14:$M$73,$T149))))</f>
        <v>#REF!</v>
      </c>
      <c r="I149" s="692" t="str">
        <f t="array" ref="I149">IF($S149="","",IF($S149="Lớp 5",INDEX('Lớp 5 - Phân công'!$P$14:$P$262,$T149),IF($S149="Lớp 4",INDEX('Lớp 4 - Danh mục'!$O$14:$O$132,$T149),"")))</f>
        <v>#REF!</v>
      </c>
      <c r="J149" s="693" t="str">
        <f t="array" ref="J149">IF($S149="","",IF($S149="Lớp 5",INDEX('Lớp 5 - Phân công'!$Q$14:$Q$262,$T149),""))</f>
        <v>#REF!</v>
      </c>
      <c r="K149" s="690" t="str">
        <f t="array" ref="K149">IF($S149="","",IF($S149="Lớp 5",INDEX('Lớp 5 - Phân công'!$AA$14:$AA$262,$T149),IF($S149="Lớp 4",INDEX('Lớp 4 - Danh mục'!$Y$14:$Y$132,$T149),INDEX('Lớp 3 - Công việc chính'!$U$14:$U$73,$T149))))</f>
        <v>#REF!</v>
      </c>
      <c r="L149" s="691" t="str">
        <f t="array" ref="L149">IF($S149="","",IF($S149="Lớp 5",INDEX('Lớp 5 - Phân công'!$Z$14:$Z$262,$T149),IF($S149="Lớp 4",INDEX('Lớp 4 - Danh mục'!$X$14:$X$132,$T149),INDEX('Lớp 3 - Công việc chính'!$W$14:$W$73,$T149))))</f>
        <v>#REF!</v>
      </c>
      <c r="M149" s="694" t="str">
        <f t="array" ref="M149">IF($S149="","",IF($S149="Lớp 5",INDEX('Lớp 5 - Phân công'!$AD$14:$AD$262,$T149),IF($S149="Lớp 4",INDEX('Lớp 4 - Danh mục'!$AC$14:$AC$132,$T149),INDEX('Lớp 3 - Công việc chính'!$Z$14:$Z$73,$T149))))</f>
        <v>#REF!</v>
      </c>
      <c r="N149" s="695" t="str">
        <f t="array" ref="N149">IF($S149="","",IF($S149="Lớp 5",INDEX('Lớp 5 - Phân công'!$AE$14:$AE$262,$T149),IF($S149="Lớp 4",INDEX('Lớp 4 - Danh mục'!$AD$14:$AD$132,$T149),INDEX('Lớp 3 - Công việc chính'!$AA$14:$AA$73,$T149))))</f>
        <v>#REF!</v>
      </c>
      <c r="O149" s="690" t="str">
        <f t="array" ref="O149">IF($S149="","",IF($S149="Lớp 5",INDEX('Lớp 5 - Phân công'!$AB$14:$AB$262,$T149),IF($S149="Lớp 4",INDEX('Lớp 4 - Danh mục'!$AA$14:$AA$132,$T149),INDEX('Lớp 3 - Công việc chính'!$X$14:$X$73,$T149))))</f>
        <v>#REF!</v>
      </c>
      <c r="P149" s="703" t="str">
        <f t="array" ref="P149">IF($S149="","",IF($S149="Lớp 5",INDEX('Lớp 5 - Phân công'!$AC$14:$AC$262,$T149),IF($S149="Lớp 4",INDEX('Lớp 4 - Danh mục'!$AB$14:$AB$132,$T149),INDEX('Lớp 3 - Công việc chính'!$Y$14:$Y$73,$T149))))</f>
        <v>#REF!</v>
      </c>
      <c r="Q149" s="697" t="str">
        <f t="array" ref="Q149">IF($S149="","",IF($S149="Lớp 5",INDEX('Lớp 5 - Phân công'!$AG$14:$AG$262,$T149),IF($S149="Lớp 4",INDEX('Lớp 4 - Danh mục'!$AF$14:$AF$132,$T149),INDEX('Lớp 3 - Công việc chính'!$AC$14:$AC$73,$T149))))</f>
        <v>#REF!</v>
      </c>
      <c r="R149" s="698" t="str">
        <f t="array" ref="R149">IF($S149="","",IF($S149="Lớp 5",INDEX('Lớp 5 - Phân công'!$X$14:$X$262,$T149),IF($S149="Lớp 4",INDEX('Lớp 4 - Danh mục'!$V$14:$V$132,$T149),INDEX('Lớp 3 - Công việc chính'!$T$14:$T$73,$T149))))</f>
        <v>#REF!</v>
      </c>
      <c r="S149" s="699" t="str">
        <f>IF(ROWS($S$14:S149)&lt;=COUNTIF('Lớp 5 - Phân công'!$I$14:$I$262,"&lt;&gt;"),"Lớp 5",IF(ROWS($S$14:S149)&lt;=COUNTIF('Lớp 5 - Phân công'!$I$14:$I$262,"&lt;&gt;")+SUMPRODUCT(--('Lớp 4 - Danh mục'!$I$14:$I$132&lt;&gt;""),--(COUNTIF('Lớp 5 - Phân công'!$J$14:$J$262,'Lớp 4 - Danh mục'!$I$14:$I$132)=0)),"Lớp 4",IF(ROWS($S$14:S149)&lt;=COUNTIF('Lớp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49" s="699" t="str">
        <f t="array" ref="T149">IF(S149="","",IF(S149="Lớp 5",IF(S148&lt;&gt;"Lớp 5",MATCH("*",'Lớp 5 - Phân công'!$I$14:$I$262,0),T148+MATCH("*",INDEX('Lớp 5 - Phân công'!$I$14:$I$262,T148+1):'Lớp 5 - Phân công'!$I$262,0)),IF(S149="Lớp 4",IF(S148&lt;&gt;"Lớp 4",MATCH(1,INDEX(('Lớp 4 - Danh mục'!$I$14:$I$132&lt;&gt;"")*(COUNTIF('Lớp 5 - Phân công'!$J$14:$J$262,'Lớp 4 - Danh mục'!$I$14:$I$132)=0),0),0),T148+MATCH(1,INDEX((INDEX('Lớp 4 - Danh mục'!$I$14:$I$132,T148+1):'Lớp 4 - Danh mục'!$I$132&lt;&gt;"")*(COUNTIF('Lớp 5 - Phân công'!$J$14:$J$262,INDEX('Lớp 4 - Danh mục'!$I$14:$I$132,T148+1):'Lớp 4 - Danh mục'!$I$132)=0),0),0)),IF(S148&lt;&gt;"Lớp 3",MATCH(1,INDEX(('Lớp 3 - Công việc chính'!$I$14:$I$73&lt;&gt;"")*(COUNTIF('Lớp 4 - Danh mục'!$J$14:$J$132,'Lớp 3 - Công việc chính'!$I$14:$I$73)=0),0),0),T148+MATCH(1,INDEX((INDEX('Lớp 3 - Công việc chính'!$I$14:$I$73,T148+1):'Lớp 3 - Công việc chính'!$I$73&lt;&gt;"")*(COUNTIF('Lớp 4 - Danh mục'!$J$14:$J$132,INDEX('Lớp 3 - Công việc chính'!$I$14:$I$73,T148+1):'Lớp 3 - Công việc chính'!$I$73)=0),0),0)))))</f>
        <v>#REF!</v>
      </c>
      <c r="Z149" s="700" t="str">
        <f t="array" ref="Z149">IF($S149="","",IF($S149="Lớp 5",INDEX('Lớp 5 - Phân công'!$AS$14:$AS$262,$T149),IF($S149="Lớp 4",INDEX('Lớp 4 - Danh mục'!$AR$14:$AR$132,$T149),INDEX('Lớp 3 - Công việc chính'!$AO$14:$AO$73,$T149))))</f>
        <v>#REF!</v>
      </c>
      <c r="AA149" s="701" t="str">
        <f t="array" ref="AA149">IF($S149="","",IF($S149="Lớp 5",INDEX('Lớp 5 - Phân công'!$AT$14:$AT$262,$T149),IF($S149="Lớp 4",INDEX('Lớp 4 - Danh mục'!$AS$14:$AS$132,$T149),INDEX('Lớp 3 - Công việc chính'!$AP$14:$AP$73,$T149))))</f>
        <v>#REF!</v>
      </c>
      <c r="AB149" s="701" t="str">
        <f t="array" ref="AB149">IF($S149="","",IF($S149="Lớp 5",INDEX('Lớp 5 - Phân công'!$AJ$14:$AJ$262,$T149),IF($S149="Lớp 4",INDEX('Lớp 4 - Danh mục'!$AI$14:$AI$132,$T149),INDEX('Lớp 3 - Công việc chính'!$AF$14:$AF$73,$T149))))</f>
        <v>#REF!</v>
      </c>
      <c r="AC149" s="702" t="str">
        <f t="array" ref="AC149">IF($S149="","",IF($S149="Lớp 5",INDEX('Lớp 5 - Phân công'!$AV$14:$AV$262,$T149),IF($S149="Lớp 4",INDEX('Lớp 4 - Danh mục'!$AU$14:$AU$132,$T149),INDEX('Lớp 3 - Công việc chính'!$AR$14:$AR$73,$T149))))</f>
        <v>#REF!</v>
      </c>
    </row>
    <row r="150" ht="15.75" customHeight="1">
      <c r="A150" s="690" t="str">
        <f t="shared" si="1"/>
        <v>#REF!</v>
      </c>
      <c r="B150" s="690" t="str">
        <f t="array" ref="B150">IF($S150="","",IF($S150="Lớp 5",INDEX('Lớp 5 - Phân công'!$I$14:$I$262,$T150),IF($S150="Lớp 4",INDEX('Lớp 4 - Danh mục'!$I$14:$I$132,$T150),INDEX('Lớp 3 - Công việc chính'!$I$14:$I$73,$T150))))</f>
        <v>#REF!</v>
      </c>
      <c r="C150" s="690" t="str">
        <f t="array" ref="C150">IF($S150="","",IF($S150="Lớp 5",INDEX('Lớp 5 - Phân công'!$K$14:$K$262,$T150),IF($S150="Lớp 4",INDEX('Lớp 4 - Danh mục'!$J$14:$J$132,$T150),INDEX('Lớp 3 - Công việc chính'!$I$14:$I$73,$T150))))</f>
        <v>#REF!</v>
      </c>
      <c r="D150" s="690" t="str">
        <f t="array" ref="D150">IF($S150="","",IF($S150="Lớp 5",INDEX('Lớp 5 - Phân công'!$J$14:$J$262,$T150),IF($S150="Lớp 4",INDEX('Lớp 4 - Danh mục'!$I$14:$I$132,$T150),"")))</f>
        <v>#REF!</v>
      </c>
      <c r="E150" s="690" t="str">
        <f t="array" ref="E150">IF($S150="","",IF($S150="Lớp 5",INDEX('Lớp 5 - Phân công'!$L$14:$L$262,$T150),IF($S150="Lớp 4",INDEX('Lớp 4 - Danh mục'!$K$14:$K$132,$T150),INDEX('Lớp 3 - Công việc chính'!$J$14:$J$73,$T150))))</f>
        <v>#REF!</v>
      </c>
      <c r="F150" s="690" t="str">
        <f t="array" ref="F150">IF($S150="","",IF($S150="Lớp 5",INDEX('Lớp 5 - Phân công'!$M$14:$M$262,$T150),IF($S150="Lớp 4",INDEX('Lớp 4 - Danh mục'!$L$14:$L$132,$T150),INDEX('Lớp 3 - Công việc chính'!$K$14:$K$73,$T150))))</f>
        <v>#REF!</v>
      </c>
      <c r="G150" s="691" t="str">
        <f t="array" ref="G150">IF($S150="","",IF($S150="Lớp 5",INDEX('Lớp 5 - Phân công'!$N$14:$N$262,$T150),IF($S150="Lớp 4",INDEX('Lớp 4 - Danh mục'!$M$14:$M$132,$T150),INDEX('Lớp 3 - Công việc chính'!$L$14:$L$73,$T150))))</f>
        <v>#REF!</v>
      </c>
      <c r="H150" s="692" t="str">
        <f t="array" ref="H150">IF($S150="","",IF($S150="Lớp 5",INDEX('Lớp 5 - Phân công'!$O$14:$O$262,$T150),IF($S150="Lớp 4",INDEX('Lớp 4 - Danh mục'!$N$14:$N$132,$T150),INDEX('Lớp 3 - Công việc chính'!$M$14:$M$73,$T150))))</f>
        <v>#REF!</v>
      </c>
      <c r="I150" s="692" t="str">
        <f t="array" ref="I150">IF($S150="","",IF($S150="Lớp 5",INDEX('Lớp 5 - Phân công'!$P$14:$P$262,$T150),IF($S150="Lớp 4",INDEX('Lớp 4 - Danh mục'!$O$14:$O$132,$T150),"")))</f>
        <v>#REF!</v>
      </c>
      <c r="J150" s="693" t="str">
        <f t="array" ref="J150">IF($S150="","",IF($S150="Lớp 5",INDEX('Lớp 5 - Phân công'!$Q$14:$Q$262,$T150),""))</f>
        <v>#REF!</v>
      </c>
      <c r="K150" s="690" t="str">
        <f t="array" ref="K150">IF($S150="","",IF($S150="Lớp 5",INDEX('Lớp 5 - Phân công'!$AA$14:$AA$262,$T150),IF($S150="Lớp 4",INDEX('Lớp 4 - Danh mục'!$Y$14:$Y$132,$T150),INDEX('Lớp 3 - Công việc chính'!$U$14:$U$73,$T150))))</f>
        <v>#REF!</v>
      </c>
      <c r="L150" s="691" t="str">
        <f t="array" ref="L150">IF($S150="","",IF($S150="Lớp 5",INDEX('Lớp 5 - Phân công'!$Z$14:$Z$262,$T150),IF($S150="Lớp 4",INDEX('Lớp 4 - Danh mục'!$X$14:$X$132,$T150),INDEX('Lớp 3 - Công việc chính'!$W$14:$W$73,$T150))))</f>
        <v>#REF!</v>
      </c>
      <c r="M150" s="694" t="str">
        <f t="array" ref="M150">IF($S150="","",IF($S150="Lớp 5",INDEX('Lớp 5 - Phân công'!$AD$14:$AD$262,$T150),IF($S150="Lớp 4",INDEX('Lớp 4 - Danh mục'!$AC$14:$AC$132,$T150),INDEX('Lớp 3 - Công việc chính'!$Z$14:$Z$73,$T150))))</f>
        <v>#REF!</v>
      </c>
      <c r="N150" s="695" t="str">
        <f t="array" ref="N150">IF($S150="","",IF($S150="Lớp 5",INDEX('Lớp 5 - Phân công'!$AE$14:$AE$262,$T150),IF($S150="Lớp 4",INDEX('Lớp 4 - Danh mục'!$AD$14:$AD$132,$T150),INDEX('Lớp 3 - Công việc chính'!$AA$14:$AA$73,$T150))))</f>
        <v>#REF!</v>
      </c>
      <c r="O150" s="690" t="str">
        <f t="array" ref="O150">IF($S150="","",IF($S150="Lớp 5",INDEX('Lớp 5 - Phân công'!$AB$14:$AB$262,$T150),IF($S150="Lớp 4",INDEX('Lớp 4 - Danh mục'!$AA$14:$AA$132,$T150),INDEX('Lớp 3 - Công việc chính'!$X$14:$X$73,$T150))))</f>
        <v>#REF!</v>
      </c>
      <c r="P150" s="703" t="str">
        <f t="array" ref="P150">IF($S150="","",IF($S150="Lớp 5",INDEX('Lớp 5 - Phân công'!$AC$14:$AC$262,$T150),IF($S150="Lớp 4",INDEX('Lớp 4 - Danh mục'!$AB$14:$AB$132,$T150),INDEX('Lớp 3 - Công việc chính'!$Y$14:$Y$73,$T150))))</f>
        <v>#REF!</v>
      </c>
      <c r="Q150" s="697" t="str">
        <f t="array" ref="Q150">IF($S150="","",IF($S150="Lớp 5",INDEX('Lớp 5 - Phân công'!$AG$14:$AG$262,$T150),IF($S150="Lớp 4",INDEX('Lớp 4 - Danh mục'!$AF$14:$AF$132,$T150),INDEX('Lớp 3 - Công việc chính'!$AC$14:$AC$73,$T150))))</f>
        <v>#REF!</v>
      </c>
      <c r="R150" s="698" t="str">
        <f t="array" ref="R150">IF($S150="","",IF($S150="Lớp 5",INDEX('Lớp 5 - Phân công'!$X$14:$X$262,$T150),IF($S150="Lớp 4",INDEX('Lớp 4 - Danh mục'!$V$14:$V$132,$T150),INDEX('Lớp 3 - Công việc chính'!$T$14:$T$73,$T150))))</f>
        <v>#REF!</v>
      </c>
      <c r="S150" s="699" t="str">
        <f>IF(ROWS($S$14:S150)&lt;=COUNTIF('Lớp 5 - Phân công'!$I$14:$I$262,"&lt;&gt;"),"Lớp 5",IF(ROWS($S$14:S150)&lt;=COUNTIF('Lớp 5 - Phân công'!$I$14:$I$262,"&lt;&gt;")+SUMPRODUCT(--('Lớp 4 - Danh mục'!$I$14:$I$132&lt;&gt;""),--(COUNTIF('Lớp 5 - Phân công'!$J$14:$J$262,'Lớp 4 - Danh mục'!$I$14:$I$132)=0)),"Lớp 4",IF(ROWS($S$14:S150)&lt;=COUNTIF('Lớp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0" s="699" t="str">
        <f t="array" ref="T150">IF(S150="","",IF(S150="Lớp 5",IF(S149&lt;&gt;"Lớp 5",MATCH("*",'Lớp 5 - Phân công'!$I$14:$I$262,0),T149+MATCH("*",INDEX('Lớp 5 - Phân công'!$I$14:$I$262,T149+1):'Lớp 5 - Phân công'!$I$262,0)),IF(S150="Lớp 4",IF(S149&lt;&gt;"Lớp 4",MATCH(1,INDEX(('Lớp 4 - Danh mục'!$I$14:$I$132&lt;&gt;"")*(COUNTIF('Lớp 5 - Phân công'!$J$14:$J$262,'Lớp 4 - Danh mục'!$I$14:$I$132)=0),0),0),T149+MATCH(1,INDEX((INDEX('Lớp 4 - Danh mục'!$I$14:$I$132,T149+1):'Lớp 4 - Danh mục'!$I$132&lt;&gt;"")*(COUNTIF('Lớp 5 - Phân công'!$J$14:$J$262,INDEX('Lớp 4 - Danh mục'!$I$14:$I$132,T149+1):'Lớp 4 - Danh mục'!$I$132)=0),0),0)),IF(S149&lt;&gt;"Lớp 3",MATCH(1,INDEX(('Lớp 3 - Công việc chính'!$I$14:$I$73&lt;&gt;"")*(COUNTIF('Lớp 4 - Danh mục'!$J$14:$J$132,'Lớp 3 - Công việc chính'!$I$14:$I$73)=0),0),0),T149+MATCH(1,INDEX((INDEX('Lớp 3 - Công việc chính'!$I$14:$I$73,T149+1):'Lớp 3 - Công việc chính'!$I$73&lt;&gt;"")*(COUNTIF('Lớp 4 - Danh mục'!$J$14:$J$132,INDEX('Lớp 3 - Công việc chính'!$I$14:$I$73,T149+1):'Lớp 3 - Công việc chính'!$I$73)=0),0),0)))))</f>
        <v>#REF!</v>
      </c>
      <c r="Z150" s="700" t="str">
        <f t="array" ref="Z150">IF($S150="","",IF($S150="Lớp 5",INDEX('Lớp 5 - Phân công'!$AS$14:$AS$262,$T150),IF($S150="Lớp 4",INDEX('Lớp 4 - Danh mục'!$AR$14:$AR$132,$T150),INDEX('Lớp 3 - Công việc chính'!$AO$14:$AO$73,$T150))))</f>
        <v>#REF!</v>
      </c>
      <c r="AA150" s="701" t="str">
        <f t="array" ref="AA150">IF($S150="","",IF($S150="Lớp 5",INDEX('Lớp 5 - Phân công'!$AT$14:$AT$262,$T150),IF($S150="Lớp 4",INDEX('Lớp 4 - Danh mục'!$AS$14:$AS$132,$T150),INDEX('Lớp 3 - Công việc chính'!$AP$14:$AP$73,$T150))))</f>
        <v>#REF!</v>
      </c>
      <c r="AB150" s="701" t="str">
        <f t="array" ref="AB150">IF($S150="","",IF($S150="Lớp 5",INDEX('Lớp 5 - Phân công'!$AJ$14:$AJ$262,$T150),IF($S150="Lớp 4",INDEX('Lớp 4 - Danh mục'!$AI$14:$AI$132,$T150),INDEX('Lớp 3 - Công việc chính'!$AF$14:$AF$73,$T150))))</f>
        <v>#REF!</v>
      </c>
      <c r="AC150" s="702" t="str">
        <f t="array" ref="AC150">IF($S150="","",IF($S150="Lớp 5",INDEX('Lớp 5 - Phân công'!$AV$14:$AV$262,$T150),IF($S150="Lớp 4",INDEX('Lớp 4 - Danh mục'!$AU$14:$AU$132,$T150),INDEX('Lớp 3 - Công việc chính'!$AR$14:$AR$73,$T150))))</f>
        <v>#REF!</v>
      </c>
    </row>
    <row r="151" ht="15.75" customHeight="1">
      <c r="A151" s="690" t="str">
        <f t="shared" si="1"/>
        <v>#REF!</v>
      </c>
      <c r="B151" s="690" t="str">
        <f t="array" ref="B151">IF($S151="","",IF($S151="Lớp 5",INDEX('Lớp 5 - Phân công'!$I$14:$I$262,$T151),IF($S151="Lớp 4",INDEX('Lớp 4 - Danh mục'!$I$14:$I$132,$T151),INDEX('Lớp 3 - Công việc chính'!$I$14:$I$73,$T151))))</f>
        <v>#REF!</v>
      </c>
      <c r="C151" s="690" t="str">
        <f t="array" ref="C151">IF($S151="","",IF($S151="Lớp 5",INDEX('Lớp 5 - Phân công'!$K$14:$K$262,$T151),IF($S151="Lớp 4",INDEX('Lớp 4 - Danh mục'!$J$14:$J$132,$T151),INDEX('Lớp 3 - Công việc chính'!$I$14:$I$73,$T151))))</f>
        <v>#REF!</v>
      </c>
      <c r="D151" s="690" t="str">
        <f t="array" ref="D151">IF($S151="","",IF($S151="Lớp 5",INDEX('Lớp 5 - Phân công'!$J$14:$J$262,$T151),IF($S151="Lớp 4",INDEX('Lớp 4 - Danh mục'!$I$14:$I$132,$T151),"")))</f>
        <v>#REF!</v>
      </c>
      <c r="E151" s="690" t="str">
        <f t="array" ref="E151">IF($S151="","",IF($S151="Lớp 5",INDEX('Lớp 5 - Phân công'!$L$14:$L$262,$T151),IF($S151="Lớp 4",INDEX('Lớp 4 - Danh mục'!$K$14:$K$132,$T151),INDEX('Lớp 3 - Công việc chính'!$J$14:$J$73,$T151))))</f>
        <v>#REF!</v>
      </c>
      <c r="F151" s="690" t="str">
        <f t="array" ref="F151">IF($S151="","",IF($S151="Lớp 5",INDEX('Lớp 5 - Phân công'!$M$14:$M$262,$T151),IF($S151="Lớp 4",INDEX('Lớp 4 - Danh mục'!$L$14:$L$132,$T151),INDEX('Lớp 3 - Công việc chính'!$K$14:$K$73,$T151))))</f>
        <v>#REF!</v>
      </c>
      <c r="G151" s="691" t="str">
        <f t="array" ref="G151">IF($S151="","",IF($S151="Lớp 5",INDEX('Lớp 5 - Phân công'!$N$14:$N$262,$T151),IF($S151="Lớp 4",INDEX('Lớp 4 - Danh mục'!$M$14:$M$132,$T151),INDEX('Lớp 3 - Công việc chính'!$L$14:$L$73,$T151))))</f>
        <v>#REF!</v>
      </c>
      <c r="H151" s="692" t="str">
        <f t="array" ref="H151">IF($S151="","",IF($S151="Lớp 5",INDEX('Lớp 5 - Phân công'!$O$14:$O$262,$T151),IF($S151="Lớp 4",INDEX('Lớp 4 - Danh mục'!$N$14:$N$132,$T151),INDEX('Lớp 3 - Công việc chính'!$M$14:$M$73,$T151))))</f>
        <v>#REF!</v>
      </c>
      <c r="I151" s="692" t="str">
        <f t="array" ref="I151">IF($S151="","",IF($S151="Lớp 5",INDEX('Lớp 5 - Phân công'!$P$14:$P$262,$T151),IF($S151="Lớp 4",INDEX('Lớp 4 - Danh mục'!$O$14:$O$132,$T151),"")))</f>
        <v>#REF!</v>
      </c>
      <c r="J151" s="693" t="str">
        <f t="array" ref="J151">IF($S151="","",IF($S151="Lớp 5",INDEX('Lớp 5 - Phân công'!$Q$14:$Q$262,$T151),""))</f>
        <v>#REF!</v>
      </c>
      <c r="K151" s="690" t="str">
        <f t="array" ref="K151">IF($S151="","",IF($S151="Lớp 5",INDEX('Lớp 5 - Phân công'!$AA$14:$AA$262,$T151),IF($S151="Lớp 4",INDEX('Lớp 4 - Danh mục'!$Y$14:$Y$132,$T151),INDEX('Lớp 3 - Công việc chính'!$U$14:$U$73,$T151))))</f>
        <v>#REF!</v>
      </c>
      <c r="L151" s="691" t="str">
        <f t="array" ref="L151">IF($S151="","",IF($S151="Lớp 5",INDEX('Lớp 5 - Phân công'!$Z$14:$Z$262,$T151),IF($S151="Lớp 4",INDEX('Lớp 4 - Danh mục'!$X$14:$X$132,$T151),INDEX('Lớp 3 - Công việc chính'!$W$14:$W$73,$T151))))</f>
        <v>#REF!</v>
      </c>
      <c r="M151" s="694" t="str">
        <f t="array" ref="M151">IF($S151="","",IF($S151="Lớp 5",INDEX('Lớp 5 - Phân công'!$AD$14:$AD$262,$T151),IF($S151="Lớp 4",INDEX('Lớp 4 - Danh mục'!$AC$14:$AC$132,$T151),INDEX('Lớp 3 - Công việc chính'!$Z$14:$Z$73,$T151))))</f>
        <v>#REF!</v>
      </c>
      <c r="N151" s="695" t="str">
        <f t="array" ref="N151">IF($S151="","",IF($S151="Lớp 5",INDEX('Lớp 5 - Phân công'!$AE$14:$AE$262,$T151),IF($S151="Lớp 4",INDEX('Lớp 4 - Danh mục'!$AD$14:$AD$132,$T151),INDEX('Lớp 3 - Công việc chính'!$AA$14:$AA$73,$T151))))</f>
        <v>#REF!</v>
      </c>
      <c r="O151" s="690" t="str">
        <f t="array" ref="O151">IF($S151="","",IF($S151="Lớp 5",INDEX('Lớp 5 - Phân công'!$AB$14:$AB$262,$T151),IF($S151="Lớp 4",INDEX('Lớp 4 - Danh mục'!$AA$14:$AA$132,$T151),INDEX('Lớp 3 - Công việc chính'!$X$14:$X$73,$T151))))</f>
        <v>#REF!</v>
      </c>
      <c r="P151" s="703" t="str">
        <f t="array" ref="P151">IF($S151="","",IF($S151="Lớp 5",INDEX('Lớp 5 - Phân công'!$AC$14:$AC$262,$T151),IF($S151="Lớp 4",INDEX('Lớp 4 - Danh mục'!$AB$14:$AB$132,$T151),INDEX('Lớp 3 - Công việc chính'!$Y$14:$Y$73,$T151))))</f>
        <v>#REF!</v>
      </c>
      <c r="Q151" s="697" t="str">
        <f t="array" ref="Q151">IF($S151="","",IF($S151="Lớp 5",INDEX('Lớp 5 - Phân công'!$AG$14:$AG$262,$T151),IF($S151="Lớp 4",INDEX('Lớp 4 - Danh mục'!$AF$14:$AF$132,$T151),INDEX('Lớp 3 - Công việc chính'!$AC$14:$AC$73,$T151))))</f>
        <v>#REF!</v>
      </c>
      <c r="R151" s="698" t="str">
        <f t="array" ref="R151">IF($S151="","",IF($S151="Lớp 5",INDEX('Lớp 5 - Phân công'!$X$14:$X$262,$T151),IF($S151="Lớp 4",INDEX('Lớp 4 - Danh mục'!$V$14:$V$132,$T151),INDEX('Lớp 3 - Công việc chính'!$T$14:$T$73,$T151))))</f>
        <v>#REF!</v>
      </c>
      <c r="S151" s="699" t="str">
        <f>IF(ROWS($S$14:S151)&lt;=COUNTIF('Lớp 5 - Phân công'!$I$14:$I$262,"&lt;&gt;"),"Lớp 5",IF(ROWS($S$14:S151)&lt;=COUNTIF('Lớp 5 - Phân công'!$I$14:$I$262,"&lt;&gt;")+SUMPRODUCT(--('Lớp 4 - Danh mục'!$I$14:$I$132&lt;&gt;""),--(COUNTIF('Lớp 5 - Phân công'!$J$14:$J$262,'Lớp 4 - Danh mục'!$I$14:$I$132)=0)),"Lớp 4",IF(ROWS($S$14:S151)&lt;=COUNTIF('Lớp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1" s="699" t="str">
        <f t="array" ref="T151">IF(S151="","",IF(S151="Lớp 5",IF(S150&lt;&gt;"Lớp 5",MATCH("*",'Lớp 5 - Phân công'!$I$14:$I$262,0),T150+MATCH("*",INDEX('Lớp 5 - Phân công'!$I$14:$I$262,T150+1):'Lớp 5 - Phân công'!$I$262,0)),IF(S151="Lớp 4",IF(S150&lt;&gt;"Lớp 4",MATCH(1,INDEX(('Lớp 4 - Danh mục'!$I$14:$I$132&lt;&gt;"")*(COUNTIF('Lớp 5 - Phân công'!$J$14:$J$262,'Lớp 4 - Danh mục'!$I$14:$I$132)=0),0),0),T150+MATCH(1,INDEX((INDEX('Lớp 4 - Danh mục'!$I$14:$I$132,T150+1):'Lớp 4 - Danh mục'!$I$132&lt;&gt;"")*(COUNTIF('Lớp 5 - Phân công'!$J$14:$J$262,INDEX('Lớp 4 - Danh mục'!$I$14:$I$132,T150+1):'Lớp 4 - Danh mục'!$I$132)=0),0),0)),IF(S150&lt;&gt;"Lớp 3",MATCH(1,INDEX(('Lớp 3 - Công việc chính'!$I$14:$I$73&lt;&gt;"")*(COUNTIF('Lớp 4 - Danh mục'!$J$14:$J$132,'Lớp 3 - Công việc chính'!$I$14:$I$73)=0),0),0),T150+MATCH(1,INDEX((INDEX('Lớp 3 - Công việc chính'!$I$14:$I$73,T150+1):'Lớp 3 - Công việc chính'!$I$73&lt;&gt;"")*(COUNTIF('Lớp 4 - Danh mục'!$J$14:$J$132,INDEX('Lớp 3 - Công việc chính'!$I$14:$I$73,T150+1):'Lớp 3 - Công việc chính'!$I$73)=0),0),0)))))</f>
        <v>#REF!</v>
      </c>
      <c r="Z151" s="700" t="str">
        <f t="array" ref="Z151">IF($S151="","",IF($S151="Lớp 5",INDEX('Lớp 5 - Phân công'!$AS$14:$AS$262,$T151),IF($S151="Lớp 4",INDEX('Lớp 4 - Danh mục'!$AR$14:$AR$132,$T151),INDEX('Lớp 3 - Công việc chính'!$AO$14:$AO$73,$T151))))</f>
        <v>#REF!</v>
      </c>
      <c r="AA151" s="701" t="str">
        <f t="array" ref="AA151">IF($S151="","",IF($S151="Lớp 5",INDEX('Lớp 5 - Phân công'!$AT$14:$AT$262,$T151),IF($S151="Lớp 4",INDEX('Lớp 4 - Danh mục'!$AS$14:$AS$132,$T151),INDEX('Lớp 3 - Công việc chính'!$AP$14:$AP$73,$T151))))</f>
        <v>#REF!</v>
      </c>
      <c r="AB151" s="701" t="str">
        <f t="array" ref="AB151">IF($S151="","",IF($S151="Lớp 5",INDEX('Lớp 5 - Phân công'!$AJ$14:$AJ$262,$T151),IF($S151="Lớp 4",INDEX('Lớp 4 - Danh mục'!$AI$14:$AI$132,$T151),INDEX('Lớp 3 - Công việc chính'!$AF$14:$AF$73,$T151))))</f>
        <v>#REF!</v>
      </c>
      <c r="AC151" s="702" t="str">
        <f t="array" ref="AC151">IF($S151="","",IF($S151="Lớp 5",INDEX('Lớp 5 - Phân công'!$AV$14:$AV$262,$T151),IF($S151="Lớp 4",INDEX('Lớp 4 - Danh mục'!$AU$14:$AU$132,$T151),INDEX('Lớp 3 - Công việc chính'!$AR$14:$AR$73,$T151))))</f>
        <v>#REF!</v>
      </c>
    </row>
    <row r="152" ht="15.75" customHeight="1">
      <c r="A152" s="690" t="str">
        <f t="shared" si="1"/>
        <v>#REF!</v>
      </c>
      <c r="B152" s="690" t="str">
        <f t="array" ref="B152">IF($S152="","",IF($S152="Lớp 5",INDEX('Lớp 5 - Phân công'!$I$14:$I$262,$T152),IF($S152="Lớp 4",INDEX('Lớp 4 - Danh mục'!$I$14:$I$132,$T152),INDEX('Lớp 3 - Công việc chính'!$I$14:$I$73,$T152))))</f>
        <v>#REF!</v>
      </c>
      <c r="C152" s="690" t="str">
        <f t="array" ref="C152">IF($S152="","",IF($S152="Lớp 5",INDEX('Lớp 5 - Phân công'!$K$14:$K$262,$T152),IF($S152="Lớp 4",INDEX('Lớp 4 - Danh mục'!$J$14:$J$132,$T152),INDEX('Lớp 3 - Công việc chính'!$I$14:$I$73,$T152))))</f>
        <v>#REF!</v>
      </c>
      <c r="D152" s="690" t="str">
        <f t="array" ref="D152">IF($S152="","",IF($S152="Lớp 5",INDEX('Lớp 5 - Phân công'!$J$14:$J$262,$T152),IF($S152="Lớp 4",INDEX('Lớp 4 - Danh mục'!$I$14:$I$132,$T152),"")))</f>
        <v>#REF!</v>
      </c>
      <c r="E152" s="690" t="str">
        <f t="array" ref="E152">IF($S152="","",IF($S152="Lớp 5",INDEX('Lớp 5 - Phân công'!$L$14:$L$262,$T152),IF($S152="Lớp 4",INDEX('Lớp 4 - Danh mục'!$K$14:$K$132,$T152),INDEX('Lớp 3 - Công việc chính'!$J$14:$J$73,$T152))))</f>
        <v>#REF!</v>
      </c>
      <c r="F152" s="690" t="str">
        <f t="array" ref="F152">IF($S152="","",IF($S152="Lớp 5",INDEX('Lớp 5 - Phân công'!$M$14:$M$262,$T152),IF($S152="Lớp 4",INDEX('Lớp 4 - Danh mục'!$L$14:$L$132,$T152),INDEX('Lớp 3 - Công việc chính'!$K$14:$K$73,$T152))))</f>
        <v>#REF!</v>
      </c>
      <c r="G152" s="691" t="str">
        <f t="array" ref="G152">IF($S152="","",IF($S152="Lớp 5",INDEX('Lớp 5 - Phân công'!$N$14:$N$262,$T152),IF($S152="Lớp 4",INDEX('Lớp 4 - Danh mục'!$M$14:$M$132,$T152),INDEX('Lớp 3 - Công việc chính'!$L$14:$L$73,$T152))))</f>
        <v>#REF!</v>
      </c>
      <c r="H152" s="692" t="str">
        <f t="array" ref="H152">IF($S152="","",IF($S152="Lớp 5",INDEX('Lớp 5 - Phân công'!$O$14:$O$262,$T152),IF($S152="Lớp 4",INDEX('Lớp 4 - Danh mục'!$N$14:$N$132,$T152),INDEX('Lớp 3 - Công việc chính'!$M$14:$M$73,$T152))))</f>
        <v>#REF!</v>
      </c>
      <c r="I152" s="692" t="str">
        <f t="array" ref="I152">IF($S152="","",IF($S152="Lớp 5",INDEX('Lớp 5 - Phân công'!$P$14:$P$262,$T152),IF($S152="Lớp 4",INDEX('Lớp 4 - Danh mục'!$O$14:$O$132,$T152),"")))</f>
        <v>#REF!</v>
      </c>
      <c r="J152" s="693" t="str">
        <f t="array" ref="J152">IF($S152="","",IF($S152="Lớp 5",INDEX('Lớp 5 - Phân công'!$Q$14:$Q$262,$T152),""))</f>
        <v>#REF!</v>
      </c>
      <c r="K152" s="690" t="str">
        <f t="array" ref="K152">IF($S152="","",IF($S152="Lớp 5",INDEX('Lớp 5 - Phân công'!$AA$14:$AA$262,$T152),IF($S152="Lớp 4",INDEX('Lớp 4 - Danh mục'!$Y$14:$Y$132,$T152),INDEX('Lớp 3 - Công việc chính'!$U$14:$U$73,$T152))))</f>
        <v>#REF!</v>
      </c>
      <c r="L152" s="691" t="str">
        <f t="array" ref="L152">IF($S152="","",IF($S152="Lớp 5",INDEX('Lớp 5 - Phân công'!$Z$14:$Z$262,$T152),IF($S152="Lớp 4",INDEX('Lớp 4 - Danh mục'!$X$14:$X$132,$T152),INDEX('Lớp 3 - Công việc chính'!$W$14:$W$73,$T152))))</f>
        <v>#REF!</v>
      </c>
      <c r="M152" s="694" t="str">
        <f t="array" ref="M152">IF($S152="","",IF($S152="Lớp 5",INDEX('Lớp 5 - Phân công'!$AD$14:$AD$262,$T152),IF($S152="Lớp 4",INDEX('Lớp 4 - Danh mục'!$AC$14:$AC$132,$T152),INDEX('Lớp 3 - Công việc chính'!$Z$14:$Z$73,$T152))))</f>
        <v>#REF!</v>
      </c>
      <c r="N152" s="695" t="str">
        <f t="array" ref="N152">IF($S152="","",IF($S152="Lớp 5",INDEX('Lớp 5 - Phân công'!$AE$14:$AE$262,$T152),IF($S152="Lớp 4",INDEX('Lớp 4 - Danh mục'!$AD$14:$AD$132,$T152),INDEX('Lớp 3 - Công việc chính'!$AA$14:$AA$73,$T152))))</f>
        <v>#REF!</v>
      </c>
      <c r="O152" s="690" t="str">
        <f t="array" ref="O152">IF($S152="","",IF($S152="Lớp 5",INDEX('Lớp 5 - Phân công'!$AB$14:$AB$262,$T152),IF($S152="Lớp 4",INDEX('Lớp 4 - Danh mục'!$AA$14:$AA$132,$T152),INDEX('Lớp 3 - Công việc chính'!$X$14:$X$73,$T152))))</f>
        <v>#REF!</v>
      </c>
      <c r="P152" s="703" t="str">
        <f t="array" ref="P152">IF($S152="","",IF($S152="Lớp 5",INDEX('Lớp 5 - Phân công'!$AC$14:$AC$262,$T152),IF($S152="Lớp 4",INDEX('Lớp 4 - Danh mục'!$AB$14:$AB$132,$T152),INDEX('Lớp 3 - Công việc chính'!$Y$14:$Y$73,$T152))))</f>
        <v>#REF!</v>
      </c>
      <c r="Q152" s="697" t="str">
        <f t="array" ref="Q152">IF($S152="","",IF($S152="Lớp 5",INDEX('Lớp 5 - Phân công'!$AG$14:$AG$262,$T152),IF($S152="Lớp 4",INDEX('Lớp 4 - Danh mục'!$AF$14:$AF$132,$T152),INDEX('Lớp 3 - Công việc chính'!$AC$14:$AC$73,$T152))))</f>
        <v>#REF!</v>
      </c>
      <c r="R152" s="698" t="str">
        <f t="array" ref="R152">IF($S152="","",IF($S152="Lớp 5",INDEX('Lớp 5 - Phân công'!$X$14:$X$262,$T152),IF($S152="Lớp 4",INDEX('Lớp 4 - Danh mục'!$V$14:$V$132,$T152),INDEX('Lớp 3 - Công việc chính'!$T$14:$T$73,$T152))))</f>
        <v>#REF!</v>
      </c>
      <c r="S152" s="699" t="str">
        <f>IF(ROWS($S$14:S152)&lt;=COUNTIF('Lớp 5 - Phân công'!$I$14:$I$262,"&lt;&gt;"),"Lớp 5",IF(ROWS($S$14:S152)&lt;=COUNTIF('Lớp 5 - Phân công'!$I$14:$I$262,"&lt;&gt;")+SUMPRODUCT(--('Lớp 4 - Danh mục'!$I$14:$I$132&lt;&gt;""),--(COUNTIF('Lớp 5 - Phân công'!$J$14:$J$262,'Lớp 4 - Danh mục'!$I$14:$I$132)=0)),"Lớp 4",IF(ROWS($S$14:S152)&lt;=COUNTIF('Lớp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2" s="699" t="str">
        <f t="array" ref="T152">IF(S152="","",IF(S152="Lớp 5",IF(S151&lt;&gt;"Lớp 5",MATCH("*",'Lớp 5 - Phân công'!$I$14:$I$262,0),T151+MATCH("*",INDEX('Lớp 5 - Phân công'!$I$14:$I$262,T151+1):'Lớp 5 - Phân công'!$I$262,0)),IF(S152="Lớp 4",IF(S151&lt;&gt;"Lớp 4",MATCH(1,INDEX(('Lớp 4 - Danh mục'!$I$14:$I$132&lt;&gt;"")*(COUNTIF('Lớp 5 - Phân công'!$J$14:$J$262,'Lớp 4 - Danh mục'!$I$14:$I$132)=0),0),0),T151+MATCH(1,INDEX((INDEX('Lớp 4 - Danh mục'!$I$14:$I$132,T151+1):'Lớp 4 - Danh mục'!$I$132&lt;&gt;"")*(COUNTIF('Lớp 5 - Phân công'!$J$14:$J$262,INDEX('Lớp 4 - Danh mục'!$I$14:$I$132,T151+1):'Lớp 4 - Danh mục'!$I$132)=0),0),0)),IF(S151&lt;&gt;"Lớp 3",MATCH(1,INDEX(('Lớp 3 - Công việc chính'!$I$14:$I$73&lt;&gt;"")*(COUNTIF('Lớp 4 - Danh mục'!$J$14:$J$132,'Lớp 3 - Công việc chính'!$I$14:$I$73)=0),0),0),T151+MATCH(1,INDEX((INDEX('Lớp 3 - Công việc chính'!$I$14:$I$73,T151+1):'Lớp 3 - Công việc chính'!$I$73&lt;&gt;"")*(COUNTIF('Lớp 4 - Danh mục'!$J$14:$J$132,INDEX('Lớp 3 - Công việc chính'!$I$14:$I$73,T151+1):'Lớp 3 - Công việc chính'!$I$73)=0),0),0)))))</f>
        <v>#REF!</v>
      </c>
      <c r="Z152" s="700" t="str">
        <f t="array" ref="Z152">IF($S152="","",IF($S152="Lớp 5",INDEX('Lớp 5 - Phân công'!$AS$14:$AS$262,$T152),IF($S152="Lớp 4",INDEX('Lớp 4 - Danh mục'!$AR$14:$AR$132,$T152),INDEX('Lớp 3 - Công việc chính'!$AO$14:$AO$73,$T152))))</f>
        <v>#REF!</v>
      </c>
      <c r="AA152" s="701" t="str">
        <f t="array" ref="AA152">IF($S152="","",IF($S152="Lớp 5",INDEX('Lớp 5 - Phân công'!$AT$14:$AT$262,$T152),IF($S152="Lớp 4",INDEX('Lớp 4 - Danh mục'!$AS$14:$AS$132,$T152),INDEX('Lớp 3 - Công việc chính'!$AP$14:$AP$73,$T152))))</f>
        <v>#REF!</v>
      </c>
      <c r="AB152" s="701" t="str">
        <f t="array" ref="AB152">IF($S152="","",IF($S152="Lớp 5",INDEX('Lớp 5 - Phân công'!$AJ$14:$AJ$262,$T152),IF($S152="Lớp 4",INDEX('Lớp 4 - Danh mục'!$AI$14:$AI$132,$T152),INDEX('Lớp 3 - Công việc chính'!$AF$14:$AF$73,$T152))))</f>
        <v>#REF!</v>
      </c>
      <c r="AC152" s="702" t="str">
        <f t="array" ref="AC152">IF($S152="","",IF($S152="Lớp 5",INDEX('Lớp 5 - Phân công'!$AV$14:$AV$262,$T152),IF($S152="Lớp 4",INDEX('Lớp 4 - Danh mục'!$AU$14:$AU$132,$T152),INDEX('Lớp 3 - Công việc chính'!$AR$14:$AR$73,$T152))))</f>
        <v>#REF!</v>
      </c>
    </row>
    <row r="153" ht="15.75" customHeight="1">
      <c r="A153" s="690" t="str">
        <f t="shared" si="1"/>
        <v>#REF!</v>
      </c>
      <c r="B153" s="690" t="str">
        <f t="array" ref="B153">IF($S153="","",IF($S153="Lớp 5",INDEX('Lớp 5 - Phân công'!$I$14:$I$262,$T153),IF($S153="Lớp 4",INDEX('Lớp 4 - Danh mục'!$I$14:$I$132,$T153),INDEX('Lớp 3 - Công việc chính'!$I$14:$I$73,$T153))))</f>
        <v>#REF!</v>
      </c>
      <c r="C153" s="690" t="str">
        <f t="array" ref="C153">IF($S153="","",IF($S153="Lớp 5",INDEX('Lớp 5 - Phân công'!$K$14:$K$262,$T153),IF($S153="Lớp 4",INDEX('Lớp 4 - Danh mục'!$J$14:$J$132,$T153),INDEX('Lớp 3 - Công việc chính'!$I$14:$I$73,$T153))))</f>
        <v>#REF!</v>
      </c>
      <c r="D153" s="690" t="str">
        <f t="array" ref="D153">IF($S153="","",IF($S153="Lớp 5",INDEX('Lớp 5 - Phân công'!$J$14:$J$262,$T153),IF($S153="Lớp 4",INDEX('Lớp 4 - Danh mục'!$I$14:$I$132,$T153),"")))</f>
        <v>#REF!</v>
      </c>
      <c r="E153" s="690" t="str">
        <f t="array" ref="E153">IF($S153="","",IF($S153="Lớp 5",INDEX('Lớp 5 - Phân công'!$L$14:$L$262,$T153),IF($S153="Lớp 4",INDEX('Lớp 4 - Danh mục'!$K$14:$K$132,$T153),INDEX('Lớp 3 - Công việc chính'!$J$14:$J$73,$T153))))</f>
        <v>#REF!</v>
      </c>
      <c r="F153" s="690" t="str">
        <f t="array" ref="F153">IF($S153="","",IF($S153="Lớp 5",INDEX('Lớp 5 - Phân công'!$M$14:$M$262,$T153),IF($S153="Lớp 4",INDEX('Lớp 4 - Danh mục'!$L$14:$L$132,$T153),INDEX('Lớp 3 - Công việc chính'!$K$14:$K$73,$T153))))</f>
        <v>#REF!</v>
      </c>
      <c r="G153" s="691" t="str">
        <f t="array" ref="G153">IF($S153="","",IF($S153="Lớp 5",INDEX('Lớp 5 - Phân công'!$N$14:$N$262,$T153),IF($S153="Lớp 4",INDEX('Lớp 4 - Danh mục'!$M$14:$M$132,$T153),INDEX('Lớp 3 - Công việc chính'!$L$14:$L$73,$T153))))</f>
        <v>#REF!</v>
      </c>
      <c r="H153" s="692" t="str">
        <f t="array" ref="H153">IF($S153="","",IF($S153="Lớp 5",INDEX('Lớp 5 - Phân công'!$O$14:$O$262,$T153),IF($S153="Lớp 4",INDEX('Lớp 4 - Danh mục'!$N$14:$N$132,$T153),INDEX('Lớp 3 - Công việc chính'!$M$14:$M$73,$T153))))</f>
        <v>#REF!</v>
      </c>
      <c r="I153" s="692" t="str">
        <f t="array" ref="I153">IF($S153="","",IF($S153="Lớp 5",INDEX('Lớp 5 - Phân công'!$P$14:$P$262,$T153),IF($S153="Lớp 4",INDEX('Lớp 4 - Danh mục'!$O$14:$O$132,$T153),"")))</f>
        <v>#REF!</v>
      </c>
      <c r="J153" s="693" t="str">
        <f t="array" ref="J153">IF($S153="","",IF($S153="Lớp 5",INDEX('Lớp 5 - Phân công'!$Q$14:$Q$262,$T153),""))</f>
        <v>#REF!</v>
      </c>
      <c r="K153" s="690" t="str">
        <f t="array" ref="K153">IF($S153="","",IF($S153="Lớp 5",INDEX('Lớp 5 - Phân công'!$AA$14:$AA$262,$T153),IF($S153="Lớp 4",INDEX('Lớp 4 - Danh mục'!$Y$14:$Y$132,$T153),INDEX('Lớp 3 - Công việc chính'!$U$14:$U$73,$T153))))</f>
        <v>#REF!</v>
      </c>
      <c r="L153" s="691" t="str">
        <f t="array" ref="L153">IF($S153="","",IF($S153="Lớp 5",INDEX('Lớp 5 - Phân công'!$Z$14:$Z$262,$T153),IF($S153="Lớp 4",INDEX('Lớp 4 - Danh mục'!$X$14:$X$132,$T153),INDEX('Lớp 3 - Công việc chính'!$W$14:$W$73,$T153))))</f>
        <v>#REF!</v>
      </c>
      <c r="M153" s="694" t="str">
        <f t="array" ref="M153">IF($S153="","",IF($S153="Lớp 5",INDEX('Lớp 5 - Phân công'!$AD$14:$AD$262,$T153),IF($S153="Lớp 4",INDEX('Lớp 4 - Danh mục'!$AC$14:$AC$132,$T153),INDEX('Lớp 3 - Công việc chính'!$Z$14:$Z$73,$T153))))</f>
        <v>#REF!</v>
      </c>
      <c r="N153" s="695" t="str">
        <f t="array" ref="N153">IF($S153="","",IF($S153="Lớp 5",INDEX('Lớp 5 - Phân công'!$AE$14:$AE$262,$T153),IF($S153="Lớp 4",INDEX('Lớp 4 - Danh mục'!$AD$14:$AD$132,$T153),INDEX('Lớp 3 - Công việc chính'!$AA$14:$AA$73,$T153))))</f>
        <v>#REF!</v>
      </c>
      <c r="O153" s="690" t="str">
        <f t="array" ref="O153">IF($S153="","",IF($S153="Lớp 5",INDEX('Lớp 5 - Phân công'!$AB$14:$AB$262,$T153),IF($S153="Lớp 4",INDEX('Lớp 4 - Danh mục'!$AA$14:$AA$132,$T153),INDEX('Lớp 3 - Công việc chính'!$X$14:$X$73,$T153))))</f>
        <v>#REF!</v>
      </c>
      <c r="P153" s="703" t="str">
        <f t="array" ref="P153">IF($S153="","",IF($S153="Lớp 5",INDEX('Lớp 5 - Phân công'!$AC$14:$AC$262,$T153),IF($S153="Lớp 4",INDEX('Lớp 4 - Danh mục'!$AB$14:$AB$132,$T153),INDEX('Lớp 3 - Công việc chính'!$Y$14:$Y$73,$T153))))</f>
        <v>#REF!</v>
      </c>
      <c r="Q153" s="697" t="str">
        <f t="array" ref="Q153">IF($S153="","",IF($S153="Lớp 5",INDEX('Lớp 5 - Phân công'!$AG$14:$AG$262,$T153),IF($S153="Lớp 4",INDEX('Lớp 4 - Danh mục'!$AF$14:$AF$132,$T153),INDEX('Lớp 3 - Công việc chính'!$AC$14:$AC$73,$T153))))</f>
        <v>#REF!</v>
      </c>
      <c r="R153" s="698" t="str">
        <f t="array" ref="R153">IF($S153="","",IF($S153="Lớp 5",INDEX('Lớp 5 - Phân công'!$X$14:$X$262,$T153),IF($S153="Lớp 4",INDEX('Lớp 4 - Danh mục'!$V$14:$V$132,$T153),INDEX('Lớp 3 - Công việc chính'!$T$14:$T$73,$T153))))</f>
        <v>#REF!</v>
      </c>
      <c r="S153" s="699" t="str">
        <f>IF(ROWS($S$14:S153)&lt;=COUNTIF('Lớp 5 - Phân công'!$I$14:$I$262,"&lt;&gt;"),"Lớp 5",IF(ROWS($S$14:S153)&lt;=COUNTIF('Lớp 5 - Phân công'!$I$14:$I$262,"&lt;&gt;")+SUMPRODUCT(--('Lớp 4 - Danh mục'!$I$14:$I$132&lt;&gt;""),--(COUNTIF('Lớp 5 - Phân công'!$J$14:$J$262,'Lớp 4 - Danh mục'!$I$14:$I$132)=0)),"Lớp 4",IF(ROWS($S$14:S153)&lt;=COUNTIF('Lớp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3" s="699" t="str">
        <f t="array" ref="T153">IF(S153="","",IF(S153="Lớp 5",IF(S152&lt;&gt;"Lớp 5",MATCH("*",'Lớp 5 - Phân công'!$I$14:$I$262,0),T152+MATCH("*",INDEX('Lớp 5 - Phân công'!$I$14:$I$262,T152+1):'Lớp 5 - Phân công'!$I$262,0)),IF(S153="Lớp 4",IF(S152&lt;&gt;"Lớp 4",MATCH(1,INDEX(('Lớp 4 - Danh mục'!$I$14:$I$132&lt;&gt;"")*(COUNTIF('Lớp 5 - Phân công'!$J$14:$J$262,'Lớp 4 - Danh mục'!$I$14:$I$132)=0),0),0),T152+MATCH(1,INDEX((INDEX('Lớp 4 - Danh mục'!$I$14:$I$132,T152+1):'Lớp 4 - Danh mục'!$I$132&lt;&gt;"")*(COUNTIF('Lớp 5 - Phân công'!$J$14:$J$262,INDEX('Lớp 4 - Danh mục'!$I$14:$I$132,T152+1):'Lớp 4 - Danh mục'!$I$132)=0),0),0)),IF(S152&lt;&gt;"Lớp 3",MATCH(1,INDEX(('Lớp 3 - Công việc chính'!$I$14:$I$73&lt;&gt;"")*(COUNTIF('Lớp 4 - Danh mục'!$J$14:$J$132,'Lớp 3 - Công việc chính'!$I$14:$I$73)=0),0),0),T152+MATCH(1,INDEX((INDEX('Lớp 3 - Công việc chính'!$I$14:$I$73,T152+1):'Lớp 3 - Công việc chính'!$I$73&lt;&gt;"")*(COUNTIF('Lớp 4 - Danh mục'!$J$14:$J$132,INDEX('Lớp 3 - Công việc chính'!$I$14:$I$73,T152+1):'Lớp 3 - Công việc chính'!$I$73)=0),0),0)))))</f>
        <v>#REF!</v>
      </c>
      <c r="Z153" s="700" t="str">
        <f t="array" ref="Z153">IF($S153="","",IF($S153="Lớp 5",INDEX('Lớp 5 - Phân công'!$AS$14:$AS$262,$T153),IF($S153="Lớp 4",INDEX('Lớp 4 - Danh mục'!$AR$14:$AR$132,$T153),INDEX('Lớp 3 - Công việc chính'!$AO$14:$AO$73,$T153))))</f>
        <v>#REF!</v>
      </c>
      <c r="AA153" s="701" t="str">
        <f t="array" ref="AA153">IF($S153="","",IF($S153="Lớp 5",INDEX('Lớp 5 - Phân công'!$AT$14:$AT$262,$T153),IF($S153="Lớp 4",INDEX('Lớp 4 - Danh mục'!$AS$14:$AS$132,$T153),INDEX('Lớp 3 - Công việc chính'!$AP$14:$AP$73,$T153))))</f>
        <v>#REF!</v>
      </c>
      <c r="AB153" s="701" t="str">
        <f t="array" ref="AB153">IF($S153="","",IF($S153="Lớp 5",INDEX('Lớp 5 - Phân công'!$AJ$14:$AJ$262,$T153),IF($S153="Lớp 4",INDEX('Lớp 4 - Danh mục'!$AI$14:$AI$132,$T153),INDEX('Lớp 3 - Công việc chính'!$AF$14:$AF$73,$T153))))</f>
        <v>#REF!</v>
      </c>
      <c r="AC153" s="702" t="str">
        <f t="array" ref="AC153">IF($S153="","",IF($S153="Lớp 5",INDEX('Lớp 5 - Phân công'!$AV$14:$AV$262,$T153),IF($S153="Lớp 4",INDEX('Lớp 4 - Danh mục'!$AU$14:$AU$132,$T153),INDEX('Lớp 3 - Công việc chính'!$AR$14:$AR$73,$T153))))</f>
        <v>#REF!</v>
      </c>
    </row>
    <row r="154" ht="15.75" customHeight="1">
      <c r="A154" s="690" t="str">
        <f t="shared" si="1"/>
        <v>#REF!</v>
      </c>
      <c r="B154" s="690" t="str">
        <f t="array" ref="B154">IF($S154="","",IF($S154="Lớp 5",INDEX('Lớp 5 - Phân công'!$I$14:$I$262,$T154),IF($S154="Lớp 4",INDEX('Lớp 4 - Danh mục'!$I$14:$I$132,$T154),INDEX('Lớp 3 - Công việc chính'!$I$14:$I$73,$T154))))</f>
        <v>#REF!</v>
      </c>
      <c r="C154" s="690" t="str">
        <f t="array" ref="C154">IF($S154="","",IF($S154="Lớp 5",INDEX('Lớp 5 - Phân công'!$K$14:$K$262,$T154),IF($S154="Lớp 4",INDEX('Lớp 4 - Danh mục'!$J$14:$J$132,$T154),INDEX('Lớp 3 - Công việc chính'!$I$14:$I$73,$T154))))</f>
        <v>#REF!</v>
      </c>
      <c r="D154" s="690" t="str">
        <f t="array" ref="D154">IF($S154="","",IF($S154="Lớp 5",INDEX('Lớp 5 - Phân công'!$J$14:$J$262,$T154),IF($S154="Lớp 4",INDEX('Lớp 4 - Danh mục'!$I$14:$I$132,$T154),"")))</f>
        <v>#REF!</v>
      </c>
      <c r="E154" s="690" t="str">
        <f t="array" ref="E154">IF($S154="","",IF($S154="Lớp 5",INDEX('Lớp 5 - Phân công'!$L$14:$L$262,$T154),IF($S154="Lớp 4",INDEX('Lớp 4 - Danh mục'!$K$14:$K$132,$T154),INDEX('Lớp 3 - Công việc chính'!$J$14:$J$73,$T154))))</f>
        <v>#REF!</v>
      </c>
      <c r="F154" s="690" t="str">
        <f t="array" ref="F154">IF($S154="","",IF($S154="Lớp 5",INDEX('Lớp 5 - Phân công'!$M$14:$M$262,$T154),IF($S154="Lớp 4",INDEX('Lớp 4 - Danh mục'!$L$14:$L$132,$T154),INDEX('Lớp 3 - Công việc chính'!$K$14:$K$73,$T154))))</f>
        <v>#REF!</v>
      </c>
      <c r="G154" s="691" t="str">
        <f t="array" ref="G154">IF($S154="","",IF($S154="Lớp 5",INDEX('Lớp 5 - Phân công'!$N$14:$N$262,$T154),IF($S154="Lớp 4",INDEX('Lớp 4 - Danh mục'!$M$14:$M$132,$T154),INDEX('Lớp 3 - Công việc chính'!$L$14:$L$73,$T154))))</f>
        <v>#REF!</v>
      </c>
      <c r="H154" s="692" t="str">
        <f t="array" ref="H154">IF($S154="","",IF($S154="Lớp 5",INDEX('Lớp 5 - Phân công'!$O$14:$O$262,$T154),IF($S154="Lớp 4",INDEX('Lớp 4 - Danh mục'!$N$14:$N$132,$T154),INDEX('Lớp 3 - Công việc chính'!$M$14:$M$73,$T154))))</f>
        <v>#REF!</v>
      </c>
      <c r="I154" s="692" t="str">
        <f t="array" ref="I154">IF($S154="","",IF($S154="Lớp 5",INDEX('Lớp 5 - Phân công'!$P$14:$P$262,$T154),IF($S154="Lớp 4",INDEX('Lớp 4 - Danh mục'!$O$14:$O$132,$T154),"")))</f>
        <v>#REF!</v>
      </c>
      <c r="J154" s="693" t="str">
        <f t="array" ref="J154">IF($S154="","",IF($S154="Lớp 5",INDEX('Lớp 5 - Phân công'!$Q$14:$Q$262,$T154),""))</f>
        <v>#REF!</v>
      </c>
      <c r="K154" s="690" t="str">
        <f t="array" ref="K154">IF($S154="","",IF($S154="Lớp 5",INDEX('Lớp 5 - Phân công'!$AA$14:$AA$262,$T154),IF($S154="Lớp 4",INDEX('Lớp 4 - Danh mục'!$Y$14:$Y$132,$T154),INDEX('Lớp 3 - Công việc chính'!$U$14:$U$73,$T154))))</f>
        <v>#REF!</v>
      </c>
      <c r="L154" s="691" t="str">
        <f t="array" ref="L154">IF($S154="","",IF($S154="Lớp 5",INDEX('Lớp 5 - Phân công'!$Z$14:$Z$262,$T154),IF($S154="Lớp 4",INDEX('Lớp 4 - Danh mục'!$X$14:$X$132,$T154),INDEX('Lớp 3 - Công việc chính'!$W$14:$W$73,$T154))))</f>
        <v>#REF!</v>
      </c>
      <c r="M154" s="694" t="str">
        <f t="array" ref="M154">IF($S154="","",IF($S154="Lớp 5",INDEX('Lớp 5 - Phân công'!$AD$14:$AD$262,$T154),IF($S154="Lớp 4",INDEX('Lớp 4 - Danh mục'!$AC$14:$AC$132,$T154),INDEX('Lớp 3 - Công việc chính'!$Z$14:$Z$73,$T154))))</f>
        <v>#REF!</v>
      </c>
      <c r="N154" s="695" t="str">
        <f t="array" ref="N154">IF($S154="","",IF($S154="Lớp 5",INDEX('Lớp 5 - Phân công'!$AE$14:$AE$262,$T154),IF($S154="Lớp 4",INDEX('Lớp 4 - Danh mục'!$AD$14:$AD$132,$T154),INDEX('Lớp 3 - Công việc chính'!$AA$14:$AA$73,$T154))))</f>
        <v>#REF!</v>
      </c>
      <c r="O154" s="690" t="str">
        <f t="array" ref="O154">IF($S154="","",IF($S154="Lớp 5",INDEX('Lớp 5 - Phân công'!$AB$14:$AB$262,$T154),IF($S154="Lớp 4",INDEX('Lớp 4 - Danh mục'!$AA$14:$AA$132,$T154),INDEX('Lớp 3 - Công việc chính'!$X$14:$X$73,$T154))))</f>
        <v>#REF!</v>
      </c>
      <c r="P154" s="703" t="str">
        <f t="array" ref="P154">IF($S154="","",IF($S154="Lớp 5",INDEX('Lớp 5 - Phân công'!$AC$14:$AC$262,$T154),IF($S154="Lớp 4",INDEX('Lớp 4 - Danh mục'!$AB$14:$AB$132,$T154),INDEX('Lớp 3 - Công việc chính'!$Y$14:$Y$73,$T154))))</f>
        <v>#REF!</v>
      </c>
      <c r="Q154" s="697" t="str">
        <f t="array" ref="Q154">IF($S154="","",IF($S154="Lớp 5",INDEX('Lớp 5 - Phân công'!$AG$14:$AG$262,$T154),IF($S154="Lớp 4",INDEX('Lớp 4 - Danh mục'!$AF$14:$AF$132,$T154),INDEX('Lớp 3 - Công việc chính'!$AC$14:$AC$73,$T154))))</f>
        <v>#REF!</v>
      </c>
      <c r="R154" s="698" t="str">
        <f t="array" ref="R154">IF($S154="","",IF($S154="Lớp 5",INDEX('Lớp 5 - Phân công'!$X$14:$X$262,$T154),IF($S154="Lớp 4",INDEX('Lớp 4 - Danh mục'!$V$14:$V$132,$T154),INDEX('Lớp 3 - Công việc chính'!$T$14:$T$73,$T154))))</f>
        <v>#REF!</v>
      </c>
      <c r="S154" s="699" t="str">
        <f>IF(ROWS($S$14:S154)&lt;=COUNTIF('Lớp 5 - Phân công'!$I$14:$I$262,"&lt;&gt;"),"Lớp 5",IF(ROWS($S$14:S154)&lt;=COUNTIF('Lớp 5 - Phân công'!$I$14:$I$262,"&lt;&gt;")+SUMPRODUCT(--('Lớp 4 - Danh mục'!$I$14:$I$132&lt;&gt;""),--(COUNTIF('Lớp 5 - Phân công'!$J$14:$J$262,'Lớp 4 - Danh mục'!$I$14:$I$132)=0)),"Lớp 4",IF(ROWS($S$14:S154)&lt;=COUNTIF('Lớp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4" s="699" t="str">
        <f t="array" ref="T154">IF(S154="","",IF(S154="Lớp 5",IF(S153&lt;&gt;"Lớp 5",MATCH("*",'Lớp 5 - Phân công'!$I$14:$I$262,0),T153+MATCH("*",INDEX('Lớp 5 - Phân công'!$I$14:$I$262,T153+1):'Lớp 5 - Phân công'!$I$262,0)),IF(S154="Lớp 4",IF(S153&lt;&gt;"Lớp 4",MATCH(1,INDEX(('Lớp 4 - Danh mục'!$I$14:$I$132&lt;&gt;"")*(COUNTIF('Lớp 5 - Phân công'!$J$14:$J$262,'Lớp 4 - Danh mục'!$I$14:$I$132)=0),0),0),T153+MATCH(1,INDEX((INDEX('Lớp 4 - Danh mục'!$I$14:$I$132,T153+1):'Lớp 4 - Danh mục'!$I$132&lt;&gt;"")*(COUNTIF('Lớp 5 - Phân công'!$J$14:$J$262,INDEX('Lớp 4 - Danh mục'!$I$14:$I$132,T153+1):'Lớp 4 - Danh mục'!$I$132)=0),0),0)),IF(S153&lt;&gt;"Lớp 3",MATCH(1,INDEX(('Lớp 3 - Công việc chính'!$I$14:$I$73&lt;&gt;"")*(COUNTIF('Lớp 4 - Danh mục'!$J$14:$J$132,'Lớp 3 - Công việc chính'!$I$14:$I$73)=0),0),0),T153+MATCH(1,INDEX((INDEX('Lớp 3 - Công việc chính'!$I$14:$I$73,T153+1):'Lớp 3 - Công việc chính'!$I$73&lt;&gt;"")*(COUNTIF('Lớp 4 - Danh mục'!$J$14:$J$132,INDEX('Lớp 3 - Công việc chính'!$I$14:$I$73,T153+1):'Lớp 3 - Công việc chính'!$I$73)=0),0),0)))))</f>
        <v>#REF!</v>
      </c>
      <c r="Z154" s="700" t="str">
        <f t="array" ref="Z154">IF($S154="","",IF($S154="Lớp 5",INDEX('Lớp 5 - Phân công'!$AS$14:$AS$262,$T154),IF($S154="Lớp 4",INDEX('Lớp 4 - Danh mục'!$AR$14:$AR$132,$T154),INDEX('Lớp 3 - Công việc chính'!$AO$14:$AO$73,$T154))))</f>
        <v>#REF!</v>
      </c>
      <c r="AA154" s="701" t="str">
        <f t="array" ref="AA154">IF($S154="","",IF($S154="Lớp 5",INDEX('Lớp 5 - Phân công'!$AT$14:$AT$262,$T154),IF($S154="Lớp 4",INDEX('Lớp 4 - Danh mục'!$AS$14:$AS$132,$T154),INDEX('Lớp 3 - Công việc chính'!$AP$14:$AP$73,$T154))))</f>
        <v>#REF!</v>
      </c>
      <c r="AB154" s="701" t="str">
        <f t="array" ref="AB154">IF($S154="","",IF($S154="Lớp 5",INDEX('Lớp 5 - Phân công'!$AJ$14:$AJ$262,$T154),IF($S154="Lớp 4",INDEX('Lớp 4 - Danh mục'!$AI$14:$AI$132,$T154),INDEX('Lớp 3 - Công việc chính'!$AF$14:$AF$73,$T154))))</f>
        <v>#REF!</v>
      </c>
      <c r="AC154" s="702" t="str">
        <f t="array" ref="AC154">IF($S154="","",IF($S154="Lớp 5",INDEX('Lớp 5 - Phân công'!$AV$14:$AV$262,$T154),IF($S154="Lớp 4",INDEX('Lớp 4 - Danh mục'!$AU$14:$AU$132,$T154),INDEX('Lớp 3 - Công việc chính'!$AR$14:$AR$73,$T154))))</f>
        <v>#REF!</v>
      </c>
    </row>
    <row r="155" ht="15.75" customHeight="1">
      <c r="A155" s="690" t="str">
        <f t="shared" si="1"/>
        <v>#REF!</v>
      </c>
      <c r="B155" s="690" t="str">
        <f t="array" ref="B155">IF($S155="","",IF($S155="Lớp 5",INDEX('Lớp 5 - Phân công'!$I$14:$I$262,$T155),IF($S155="Lớp 4",INDEX('Lớp 4 - Danh mục'!$I$14:$I$132,$T155),INDEX('Lớp 3 - Công việc chính'!$I$14:$I$73,$T155))))</f>
        <v>#REF!</v>
      </c>
      <c r="C155" s="690" t="str">
        <f t="array" ref="C155">IF($S155="","",IF($S155="Lớp 5",INDEX('Lớp 5 - Phân công'!$K$14:$K$262,$T155),IF($S155="Lớp 4",INDEX('Lớp 4 - Danh mục'!$J$14:$J$132,$T155),INDEX('Lớp 3 - Công việc chính'!$I$14:$I$73,$T155))))</f>
        <v>#REF!</v>
      </c>
      <c r="D155" s="690" t="str">
        <f t="array" ref="D155">IF($S155="","",IF($S155="Lớp 5",INDEX('Lớp 5 - Phân công'!$J$14:$J$262,$T155),IF($S155="Lớp 4",INDEX('Lớp 4 - Danh mục'!$I$14:$I$132,$T155),"")))</f>
        <v>#REF!</v>
      </c>
      <c r="E155" s="690" t="str">
        <f t="array" ref="E155">IF($S155="","",IF($S155="Lớp 5",INDEX('Lớp 5 - Phân công'!$L$14:$L$262,$T155),IF($S155="Lớp 4",INDEX('Lớp 4 - Danh mục'!$K$14:$K$132,$T155),INDEX('Lớp 3 - Công việc chính'!$J$14:$J$73,$T155))))</f>
        <v>#REF!</v>
      </c>
      <c r="F155" s="690" t="str">
        <f t="array" ref="F155">IF($S155="","",IF($S155="Lớp 5",INDEX('Lớp 5 - Phân công'!$M$14:$M$262,$T155),IF($S155="Lớp 4",INDEX('Lớp 4 - Danh mục'!$L$14:$L$132,$T155),INDEX('Lớp 3 - Công việc chính'!$K$14:$K$73,$T155))))</f>
        <v>#REF!</v>
      </c>
      <c r="G155" s="691" t="str">
        <f t="array" ref="G155">IF($S155="","",IF($S155="Lớp 5",INDEX('Lớp 5 - Phân công'!$N$14:$N$262,$T155),IF($S155="Lớp 4",INDEX('Lớp 4 - Danh mục'!$M$14:$M$132,$T155),INDEX('Lớp 3 - Công việc chính'!$L$14:$L$73,$T155))))</f>
        <v>#REF!</v>
      </c>
      <c r="H155" s="692" t="str">
        <f t="array" ref="H155">IF($S155="","",IF($S155="Lớp 5",INDEX('Lớp 5 - Phân công'!$O$14:$O$262,$T155),IF($S155="Lớp 4",INDEX('Lớp 4 - Danh mục'!$N$14:$N$132,$T155),INDEX('Lớp 3 - Công việc chính'!$M$14:$M$73,$T155))))</f>
        <v>#REF!</v>
      </c>
      <c r="I155" s="692" t="str">
        <f t="array" ref="I155">IF($S155="","",IF($S155="Lớp 5",INDEX('Lớp 5 - Phân công'!$P$14:$P$262,$T155),IF($S155="Lớp 4",INDEX('Lớp 4 - Danh mục'!$O$14:$O$132,$T155),"")))</f>
        <v>#REF!</v>
      </c>
      <c r="J155" s="693" t="str">
        <f t="array" ref="J155">IF($S155="","",IF($S155="Lớp 5",INDEX('Lớp 5 - Phân công'!$Q$14:$Q$262,$T155),""))</f>
        <v>#REF!</v>
      </c>
      <c r="K155" s="690" t="str">
        <f t="array" ref="K155">IF($S155="","",IF($S155="Lớp 5",INDEX('Lớp 5 - Phân công'!$AA$14:$AA$262,$T155),IF($S155="Lớp 4",INDEX('Lớp 4 - Danh mục'!$Y$14:$Y$132,$T155),INDEX('Lớp 3 - Công việc chính'!$U$14:$U$73,$T155))))</f>
        <v>#REF!</v>
      </c>
      <c r="L155" s="691" t="str">
        <f t="array" ref="L155">IF($S155="","",IF($S155="Lớp 5",INDEX('Lớp 5 - Phân công'!$Z$14:$Z$262,$T155),IF($S155="Lớp 4",INDEX('Lớp 4 - Danh mục'!$X$14:$X$132,$T155),INDEX('Lớp 3 - Công việc chính'!$W$14:$W$73,$T155))))</f>
        <v>#REF!</v>
      </c>
      <c r="M155" s="694" t="str">
        <f t="array" ref="M155">IF($S155="","",IF($S155="Lớp 5",INDEX('Lớp 5 - Phân công'!$AD$14:$AD$262,$T155),IF($S155="Lớp 4",INDEX('Lớp 4 - Danh mục'!$AC$14:$AC$132,$T155),INDEX('Lớp 3 - Công việc chính'!$Z$14:$Z$73,$T155))))</f>
        <v>#REF!</v>
      </c>
      <c r="N155" s="695" t="str">
        <f t="array" ref="N155">IF($S155="","",IF($S155="Lớp 5",INDEX('Lớp 5 - Phân công'!$AE$14:$AE$262,$T155),IF($S155="Lớp 4",INDEX('Lớp 4 - Danh mục'!$AD$14:$AD$132,$T155),INDEX('Lớp 3 - Công việc chính'!$AA$14:$AA$73,$T155))))</f>
        <v>#REF!</v>
      </c>
      <c r="O155" s="690" t="str">
        <f t="array" ref="O155">IF($S155="","",IF($S155="Lớp 5",INDEX('Lớp 5 - Phân công'!$AB$14:$AB$262,$T155),IF($S155="Lớp 4",INDEX('Lớp 4 - Danh mục'!$AA$14:$AA$132,$T155),INDEX('Lớp 3 - Công việc chính'!$X$14:$X$73,$T155))))</f>
        <v>#REF!</v>
      </c>
      <c r="P155" s="703" t="str">
        <f t="array" ref="P155">IF($S155="","",IF($S155="Lớp 5",INDEX('Lớp 5 - Phân công'!$AC$14:$AC$262,$T155),IF($S155="Lớp 4",INDEX('Lớp 4 - Danh mục'!$AB$14:$AB$132,$T155),INDEX('Lớp 3 - Công việc chính'!$Y$14:$Y$73,$T155))))</f>
        <v>#REF!</v>
      </c>
      <c r="Q155" s="697" t="str">
        <f t="array" ref="Q155">IF($S155="","",IF($S155="Lớp 5",INDEX('Lớp 5 - Phân công'!$AG$14:$AG$262,$T155),IF($S155="Lớp 4",INDEX('Lớp 4 - Danh mục'!$AF$14:$AF$132,$T155),INDEX('Lớp 3 - Công việc chính'!$AC$14:$AC$73,$T155))))</f>
        <v>#REF!</v>
      </c>
      <c r="R155" s="698" t="str">
        <f t="array" ref="R155">IF($S155="","",IF($S155="Lớp 5",INDEX('Lớp 5 - Phân công'!$X$14:$X$262,$T155),IF($S155="Lớp 4",INDEX('Lớp 4 - Danh mục'!$V$14:$V$132,$T155),INDEX('Lớp 3 - Công việc chính'!$T$14:$T$73,$T155))))</f>
        <v>#REF!</v>
      </c>
      <c r="S155" s="699" t="str">
        <f>IF(ROWS($S$14:S155)&lt;=COUNTIF('Lớp 5 - Phân công'!$I$14:$I$262,"&lt;&gt;"),"Lớp 5",IF(ROWS($S$14:S155)&lt;=COUNTIF('Lớp 5 - Phân công'!$I$14:$I$262,"&lt;&gt;")+SUMPRODUCT(--('Lớp 4 - Danh mục'!$I$14:$I$132&lt;&gt;""),--(COUNTIF('Lớp 5 - Phân công'!$J$14:$J$262,'Lớp 4 - Danh mục'!$I$14:$I$132)=0)),"Lớp 4",IF(ROWS($S$14:S155)&lt;=COUNTIF('Lớp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5" s="699" t="str">
        <f t="array" ref="T155">IF(S155="","",IF(S155="Lớp 5",IF(S154&lt;&gt;"Lớp 5",MATCH("*",'Lớp 5 - Phân công'!$I$14:$I$262,0),T154+MATCH("*",INDEX('Lớp 5 - Phân công'!$I$14:$I$262,T154+1):'Lớp 5 - Phân công'!$I$262,0)),IF(S155="Lớp 4",IF(S154&lt;&gt;"Lớp 4",MATCH(1,INDEX(('Lớp 4 - Danh mục'!$I$14:$I$132&lt;&gt;"")*(COUNTIF('Lớp 5 - Phân công'!$J$14:$J$262,'Lớp 4 - Danh mục'!$I$14:$I$132)=0),0),0),T154+MATCH(1,INDEX((INDEX('Lớp 4 - Danh mục'!$I$14:$I$132,T154+1):'Lớp 4 - Danh mục'!$I$132&lt;&gt;"")*(COUNTIF('Lớp 5 - Phân công'!$J$14:$J$262,INDEX('Lớp 4 - Danh mục'!$I$14:$I$132,T154+1):'Lớp 4 - Danh mục'!$I$132)=0),0),0)),IF(S154&lt;&gt;"Lớp 3",MATCH(1,INDEX(('Lớp 3 - Công việc chính'!$I$14:$I$73&lt;&gt;"")*(COUNTIF('Lớp 4 - Danh mục'!$J$14:$J$132,'Lớp 3 - Công việc chính'!$I$14:$I$73)=0),0),0),T154+MATCH(1,INDEX((INDEX('Lớp 3 - Công việc chính'!$I$14:$I$73,T154+1):'Lớp 3 - Công việc chính'!$I$73&lt;&gt;"")*(COUNTIF('Lớp 4 - Danh mục'!$J$14:$J$132,INDEX('Lớp 3 - Công việc chính'!$I$14:$I$73,T154+1):'Lớp 3 - Công việc chính'!$I$73)=0),0),0)))))</f>
        <v>#REF!</v>
      </c>
      <c r="Z155" s="700" t="str">
        <f t="array" ref="Z155">IF($S155="","",IF($S155="Lớp 5",INDEX('Lớp 5 - Phân công'!$AS$14:$AS$262,$T155),IF($S155="Lớp 4",INDEX('Lớp 4 - Danh mục'!$AR$14:$AR$132,$T155),INDEX('Lớp 3 - Công việc chính'!$AO$14:$AO$73,$T155))))</f>
        <v>#REF!</v>
      </c>
      <c r="AA155" s="701" t="str">
        <f t="array" ref="AA155">IF($S155="","",IF($S155="Lớp 5",INDEX('Lớp 5 - Phân công'!$AT$14:$AT$262,$T155),IF($S155="Lớp 4",INDEX('Lớp 4 - Danh mục'!$AS$14:$AS$132,$T155),INDEX('Lớp 3 - Công việc chính'!$AP$14:$AP$73,$T155))))</f>
        <v>#REF!</v>
      </c>
      <c r="AB155" s="701" t="str">
        <f t="array" ref="AB155">IF($S155="","",IF($S155="Lớp 5",INDEX('Lớp 5 - Phân công'!$AJ$14:$AJ$262,$T155),IF($S155="Lớp 4",INDEX('Lớp 4 - Danh mục'!$AI$14:$AI$132,$T155),INDEX('Lớp 3 - Công việc chính'!$AF$14:$AF$73,$T155))))</f>
        <v>#REF!</v>
      </c>
      <c r="AC155" s="702" t="str">
        <f t="array" ref="AC155">IF($S155="","",IF($S155="Lớp 5",INDEX('Lớp 5 - Phân công'!$AV$14:$AV$262,$T155),IF($S155="Lớp 4",INDEX('Lớp 4 - Danh mục'!$AU$14:$AU$132,$T155),INDEX('Lớp 3 - Công việc chính'!$AR$14:$AR$73,$T155))))</f>
        <v>#REF!</v>
      </c>
    </row>
    <row r="156" ht="15.75" customHeight="1">
      <c r="A156" s="690" t="str">
        <f t="shared" si="1"/>
        <v>#REF!</v>
      </c>
      <c r="B156" s="690" t="str">
        <f t="array" ref="B156">IF($S156="","",IF($S156="Lớp 5",INDEX('Lớp 5 - Phân công'!$I$14:$I$262,$T156),IF($S156="Lớp 4",INDEX('Lớp 4 - Danh mục'!$I$14:$I$132,$T156),INDEX('Lớp 3 - Công việc chính'!$I$14:$I$73,$T156))))</f>
        <v>#REF!</v>
      </c>
      <c r="C156" s="690" t="str">
        <f t="array" ref="C156">IF($S156="","",IF($S156="Lớp 5",INDEX('Lớp 5 - Phân công'!$K$14:$K$262,$T156),IF($S156="Lớp 4",INDEX('Lớp 4 - Danh mục'!$J$14:$J$132,$T156),INDEX('Lớp 3 - Công việc chính'!$I$14:$I$73,$T156))))</f>
        <v>#REF!</v>
      </c>
      <c r="D156" s="690" t="str">
        <f t="array" ref="D156">IF($S156="","",IF($S156="Lớp 5",INDEX('Lớp 5 - Phân công'!$J$14:$J$262,$T156),IF($S156="Lớp 4",INDEX('Lớp 4 - Danh mục'!$I$14:$I$132,$T156),"")))</f>
        <v>#REF!</v>
      </c>
      <c r="E156" s="690" t="str">
        <f t="array" ref="E156">IF($S156="","",IF($S156="Lớp 5",INDEX('Lớp 5 - Phân công'!$L$14:$L$262,$T156),IF($S156="Lớp 4",INDEX('Lớp 4 - Danh mục'!$K$14:$K$132,$T156),INDEX('Lớp 3 - Công việc chính'!$J$14:$J$73,$T156))))</f>
        <v>#REF!</v>
      </c>
      <c r="F156" s="690" t="str">
        <f t="array" ref="F156">IF($S156="","",IF($S156="Lớp 5",INDEX('Lớp 5 - Phân công'!$M$14:$M$262,$T156),IF($S156="Lớp 4",INDEX('Lớp 4 - Danh mục'!$L$14:$L$132,$T156),INDEX('Lớp 3 - Công việc chính'!$K$14:$K$73,$T156))))</f>
        <v>#REF!</v>
      </c>
      <c r="G156" s="691" t="str">
        <f t="array" ref="G156">IF($S156="","",IF($S156="Lớp 5",INDEX('Lớp 5 - Phân công'!$N$14:$N$262,$T156),IF($S156="Lớp 4",INDEX('Lớp 4 - Danh mục'!$M$14:$M$132,$T156),INDEX('Lớp 3 - Công việc chính'!$L$14:$L$73,$T156))))</f>
        <v>#REF!</v>
      </c>
      <c r="H156" s="692" t="str">
        <f t="array" ref="H156">IF($S156="","",IF($S156="Lớp 5",INDEX('Lớp 5 - Phân công'!$O$14:$O$262,$T156),IF($S156="Lớp 4",INDEX('Lớp 4 - Danh mục'!$N$14:$N$132,$T156),INDEX('Lớp 3 - Công việc chính'!$M$14:$M$73,$T156))))</f>
        <v>#REF!</v>
      </c>
      <c r="I156" s="692" t="str">
        <f t="array" ref="I156">IF($S156="","",IF($S156="Lớp 5",INDEX('Lớp 5 - Phân công'!$P$14:$P$262,$T156),IF($S156="Lớp 4",INDEX('Lớp 4 - Danh mục'!$O$14:$O$132,$T156),"")))</f>
        <v>#REF!</v>
      </c>
      <c r="J156" s="693" t="str">
        <f t="array" ref="J156">IF($S156="","",IF($S156="Lớp 5",INDEX('Lớp 5 - Phân công'!$Q$14:$Q$262,$T156),""))</f>
        <v>#REF!</v>
      </c>
      <c r="K156" s="690" t="str">
        <f t="array" ref="K156">IF($S156="","",IF($S156="Lớp 5",INDEX('Lớp 5 - Phân công'!$AA$14:$AA$262,$T156),IF($S156="Lớp 4",INDEX('Lớp 4 - Danh mục'!$Y$14:$Y$132,$T156),INDEX('Lớp 3 - Công việc chính'!$U$14:$U$73,$T156))))</f>
        <v>#REF!</v>
      </c>
      <c r="L156" s="691" t="str">
        <f t="array" ref="L156">IF($S156="","",IF($S156="Lớp 5",INDEX('Lớp 5 - Phân công'!$Z$14:$Z$262,$T156),IF($S156="Lớp 4",INDEX('Lớp 4 - Danh mục'!$X$14:$X$132,$T156),INDEX('Lớp 3 - Công việc chính'!$W$14:$W$73,$T156))))</f>
        <v>#REF!</v>
      </c>
      <c r="M156" s="694" t="str">
        <f t="array" ref="M156">IF($S156="","",IF($S156="Lớp 5",INDEX('Lớp 5 - Phân công'!$AD$14:$AD$262,$T156),IF($S156="Lớp 4",INDEX('Lớp 4 - Danh mục'!$AC$14:$AC$132,$T156),INDEX('Lớp 3 - Công việc chính'!$Z$14:$Z$73,$T156))))</f>
        <v>#REF!</v>
      </c>
      <c r="N156" s="695" t="str">
        <f t="array" ref="N156">IF($S156="","",IF($S156="Lớp 5",INDEX('Lớp 5 - Phân công'!$AE$14:$AE$262,$T156),IF($S156="Lớp 4",INDEX('Lớp 4 - Danh mục'!$AD$14:$AD$132,$T156),INDEX('Lớp 3 - Công việc chính'!$AA$14:$AA$73,$T156))))</f>
        <v>#REF!</v>
      </c>
      <c r="O156" s="690" t="str">
        <f t="array" ref="O156">IF($S156="","",IF($S156="Lớp 5",INDEX('Lớp 5 - Phân công'!$AB$14:$AB$262,$T156),IF($S156="Lớp 4",INDEX('Lớp 4 - Danh mục'!$AA$14:$AA$132,$T156),INDEX('Lớp 3 - Công việc chính'!$X$14:$X$73,$T156))))</f>
        <v>#REF!</v>
      </c>
      <c r="P156" s="703" t="str">
        <f t="array" ref="P156">IF($S156="","",IF($S156="Lớp 5",INDEX('Lớp 5 - Phân công'!$AC$14:$AC$262,$T156),IF($S156="Lớp 4",INDEX('Lớp 4 - Danh mục'!$AB$14:$AB$132,$T156),INDEX('Lớp 3 - Công việc chính'!$Y$14:$Y$73,$T156))))</f>
        <v>#REF!</v>
      </c>
      <c r="Q156" s="697" t="str">
        <f t="array" ref="Q156">IF($S156="","",IF($S156="Lớp 5",INDEX('Lớp 5 - Phân công'!$AG$14:$AG$262,$T156),IF($S156="Lớp 4",INDEX('Lớp 4 - Danh mục'!$AF$14:$AF$132,$T156),INDEX('Lớp 3 - Công việc chính'!$AC$14:$AC$73,$T156))))</f>
        <v>#REF!</v>
      </c>
      <c r="R156" s="698" t="str">
        <f t="array" ref="R156">IF($S156="","",IF($S156="Lớp 5",INDEX('Lớp 5 - Phân công'!$X$14:$X$262,$T156),IF($S156="Lớp 4",INDEX('Lớp 4 - Danh mục'!$V$14:$V$132,$T156),INDEX('Lớp 3 - Công việc chính'!$T$14:$T$73,$T156))))</f>
        <v>#REF!</v>
      </c>
      <c r="S156" s="699" t="str">
        <f>IF(ROWS($S$14:S156)&lt;=COUNTIF('Lớp 5 - Phân công'!$I$14:$I$262,"&lt;&gt;"),"Lớp 5",IF(ROWS($S$14:S156)&lt;=COUNTIF('Lớp 5 - Phân công'!$I$14:$I$262,"&lt;&gt;")+SUMPRODUCT(--('Lớp 4 - Danh mục'!$I$14:$I$132&lt;&gt;""),--(COUNTIF('Lớp 5 - Phân công'!$J$14:$J$262,'Lớp 4 - Danh mục'!$I$14:$I$132)=0)),"Lớp 4",IF(ROWS($S$14:S156)&lt;=COUNTIF('Lớp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6" s="699" t="str">
        <f t="array" ref="T156">IF(S156="","",IF(S156="Lớp 5",IF(S155&lt;&gt;"Lớp 5",MATCH("*",'Lớp 5 - Phân công'!$I$14:$I$262,0),T155+MATCH("*",INDEX('Lớp 5 - Phân công'!$I$14:$I$262,T155+1):'Lớp 5 - Phân công'!$I$262,0)),IF(S156="Lớp 4",IF(S155&lt;&gt;"Lớp 4",MATCH(1,INDEX(('Lớp 4 - Danh mục'!$I$14:$I$132&lt;&gt;"")*(COUNTIF('Lớp 5 - Phân công'!$J$14:$J$262,'Lớp 4 - Danh mục'!$I$14:$I$132)=0),0),0),T155+MATCH(1,INDEX((INDEX('Lớp 4 - Danh mục'!$I$14:$I$132,T155+1):'Lớp 4 - Danh mục'!$I$132&lt;&gt;"")*(COUNTIF('Lớp 5 - Phân công'!$J$14:$J$262,INDEX('Lớp 4 - Danh mục'!$I$14:$I$132,T155+1):'Lớp 4 - Danh mục'!$I$132)=0),0),0)),IF(S155&lt;&gt;"Lớp 3",MATCH(1,INDEX(('Lớp 3 - Công việc chính'!$I$14:$I$73&lt;&gt;"")*(COUNTIF('Lớp 4 - Danh mục'!$J$14:$J$132,'Lớp 3 - Công việc chính'!$I$14:$I$73)=0),0),0),T155+MATCH(1,INDEX((INDEX('Lớp 3 - Công việc chính'!$I$14:$I$73,T155+1):'Lớp 3 - Công việc chính'!$I$73&lt;&gt;"")*(COUNTIF('Lớp 4 - Danh mục'!$J$14:$J$132,INDEX('Lớp 3 - Công việc chính'!$I$14:$I$73,T155+1):'Lớp 3 - Công việc chính'!$I$73)=0),0),0)))))</f>
        <v>#REF!</v>
      </c>
      <c r="Z156" s="700" t="str">
        <f t="array" ref="Z156">IF($S156="","",IF($S156="Lớp 5",INDEX('Lớp 5 - Phân công'!$AS$14:$AS$262,$T156),IF($S156="Lớp 4",INDEX('Lớp 4 - Danh mục'!$AR$14:$AR$132,$T156),INDEX('Lớp 3 - Công việc chính'!$AO$14:$AO$73,$T156))))</f>
        <v>#REF!</v>
      </c>
      <c r="AA156" s="701" t="str">
        <f t="array" ref="AA156">IF($S156="","",IF($S156="Lớp 5",INDEX('Lớp 5 - Phân công'!$AT$14:$AT$262,$T156),IF($S156="Lớp 4",INDEX('Lớp 4 - Danh mục'!$AS$14:$AS$132,$T156),INDEX('Lớp 3 - Công việc chính'!$AP$14:$AP$73,$T156))))</f>
        <v>#REF!</v>
      </c>
      <c r="AB156" s="701" t="str">
        <f t="array" ref="AB156">IF($S156="","",IF($S156="Lớp 5",INDEX('Lớp 5 - Phân công'!$AJ$14:$AJ$262,$T156),IF($S156="Lớp 4",INDEX('Lớp 4 - Danh mục'!$AI$14:$AI$132,$T156),INDEX('Lớp 3 - Công việc chính'!$AF$14:$AF$73,$T156))))</f>
        <v>#REF!</v>
      </c>
      <c r="AC156" s="702" t="str">
        <f t="array" ref="AC156">IF($S156="","",IF($S156="Lớp 5",INDEX('Lớp 5 - Phân công'!$AV$14:$AV$262,$T156),IF($S156="Lớp 4",INDEX('Lớp 4 - Danh mục'!$AU$14:$AU$132,$T156),INDEX('Lớp 3 - Công việc chính'!$AR$14:$AR$73,$T156))))</f>
        <v>#REF!</v>
      </c>
    </row>
    <row r="157" ht="15.75" customHeight="1">
      <c r="A157" s="690" t="str">
        <f t="shared" si="1"/>
        <v>#REF!</v>
      </c>
      <c r="B157" s="690" t="str">
        <f t="array" ref="B157">IF($S157="","",IF($S157="Lớp 5",INDEX('Lớp 5 - Phân công'!$I$14:$I$262,$T157),IF($S157="Lớp 4",INDEX('Lớp 4 - Danh mục'!$I$14:$I$132,$T157),INDEX('Lớp 3 - Công việc chính'!$I$14:$I$73,$T157))))</f>
        <v>#REF!</v>
      </c>
      <c r="C157" s="690" t="str">
        <f t="array" ref="C157">IF($S157="","",IF($S157="Lớp 5",INDEX('Lớp 5 - Phân công'!$K$14:$K$262,$T157),IF($S157="Lớp 4",INDEX('Lớp 4 - Danh mục'!$J$14:$J$132,$T157),INDEX('Lớp 3 - Công việc chính'!$I$14:$I$73,$T157))))</f>
        <v>#REF!</v>
      </c>
      <c r="D157" s="690" t="str">
        <f t="array" ref="D157">IF($S157="","",IF($S157="Lớp 5",INDEX('Lớp 5 - Phân công'!$J$14:$J$262,$T157),IF($S157="Lớp 4",INDEX('Lớp 4 - Danh mục'!$I$14:$I$132,$T157),"")))</f>
        <v>#REF!</v>
      </c>
      <c r="E157" s="690" t="str">
        <f t="array" ref="E157">IF($S157="","",IF($S157="Lớp 5",INDEX('Lớp 5 - Phân công'!$L$14:$L$262,$T157),IF($S157="Lớp 4",INDEX('Lớp 4 - Danh mục'!$K$14:$K$132,$T157),INDEX('Lớp 3 - Công việc chính'!$J$14:$J$73,$T157))))</f>
        <v>#REF!</v>
      </c>
      <c r="F157" s="690" t="str">
        <f t="array" ref="F157">IF($S157="","",IF($S157="Lớp 5",INDEX('Lớp 5 - Phân công'!$M$14:$M$262,$T157),IF($S157="Lớp 4",INDEX('Lớp 4 - Danh mục'!$L$14:$L$132,$T157),INDEX('Lớp 3 - Công việc chính'!$K$14:$K$73,$T157))))</f>
        <v>#REF!</v>
      </c>
      <c r="G157" s="691" t="str">
        <f t="array" ref="G157">IF($S157="","",IF($S157="Lớp 5",INDEX('Lớp 5 - Phân công'!$N$14:$N$262,$T157),IF($S157="Lớp 4",INDEX('Lớp 4 - Danh mục'!$M$14:$M$132,$T157),INDEX('Lớp 3 - Công việc chính'!$L$14:$L$73,$T157))))</f>
        <v>#REF!</v>
      </c>
      <c r="H157" s="692" t="str">
        <f t="array" ref="H157">IF($S157="","",IF($S157="Lớp 5",INDEX('Lớp 5 - Phân công'!$O$14:$O$262,$T157),IF($S157="Lớp 4",INDEX('Lớp 4 - Danh mục'!$N$14:$N$132,$T157),INDEX('Lớp 3 - Công việc chính'!$M$14:$M$73,$T157))))</f>
        <v>#REF!</v>
      </c>
      <c r="I157" s="692" t="str">
        <f t="array" ref="I157">IF($S157="","",IF($S157="Lớp 5",INDEX('Lớp 5 - Phân công'!$P$14:$P$262,$T157),IF($S157="Lớp 4",INDEX('Lớp 4 - Danh mục'!$O$14:$O$132,$T157),"")))</f>
        <v>#REF!</v>
      </c>
      <c r="J157" s="693" t="str">
        <f t="array" ref="J157">IF($S157="","",IF($S157="Lớp 5",INDEX('Lớp 5 - Phân công'!$Q$14:$Q$262,$T157),""))</f>
        <v>#REF!</v>
      </c>
      <c r="K157" s="690" t="str">
        <f t="array" ref="K157">IF($S157="","",IF($S157="Lớp 5",INDEX('Lớp 5 - Phân công'!$AA$14:$AA$262,$T157),IF($S157="Lớp 4",INDEX('Lớp 4 - Danh mục'!$Y$14:$Y$132,$T157),INDEX('Lớp 3 - Công việc chính'!$U$14:$U$73,$T157))))</f>
        <v>#REF!</v>
      </c>
      <c r="L157" s="691" t="str">
        <f t="array" ref="L157">IF($S157="","",IF($S157="Lớp 5",INDEX('Lớp 5 - Phân công'!$Z$14:$Z$262,$T157),IF($S157="Lớp 4",INDEX('Lớp 4 - Danh mục'!$X$14:$X$132,$T157),INDEX('Lớp 3 - Công việc chính'!$W$14:$W$73,$T157))))</f>
        <v>#REF!</v>
      </c>
      <c r="M157" s="694" t="str">
        <f t="array" ref="M157">IF($S157="","",IF($S157="Lớp 5",INDEX('Lớp 5 - Phân công'!$AD$14:$AD$262,$T157),IF($S157="Lớp 4",INDEX('Lớp 4 - Danh mục'!$AC$14:$AC$132,$T157),INDEX('Lớp 3 - Công việc chính'!$Z$14:$Z$73,$T157))))</f>
        <v>#REF!</v>
      </c>
      <c r="N157" s="695" t="str">
        <f t="array" ref="N157">IF($S157="","",IF($S157="Lớp 5",INDEX('Lớp 5 - Phân công'!$AE$14:$AE$262,$T157),IF($S157="Lớp 4",INDEX('Lớp 4 - Danh mục'!$AD$14:$AD$132,$T157),INDEX('Lớp 3 - Công việc chính'!$AA$14:$AA$73,$T157))))</f>
        <v>#REF!</v>
      </c>
      <c r="O157" s="690" t="str">
        <f t="array" ref="O157">IF($S157="","",IF($S157="Lớp 5",INDEX('Lớp 5 - Phân công'!$AB$14:$AB$262,$T157),IF($S157="Lớp 4",INDEX('Lớp 4 - Danh mục'!$AA$14:$AA$132,$T157),INDEX('Lớp 3 - Công việc chính'!$X$14:$X$73,$T157))))</f>
        <v>#REF!</v>
      </c>
      <c r="P157" s="703" t="str">
        <f t="array" ref="P157">IF($S157="","",IF($S157="Lớp 5",INDEX('Lớp 5 - Phân công'!$AC$14:$AC$262,$T157),IF($S157="Lớp 4",INDEX('Lớp 4 - Danh mục'!$AB$14:$AB$132,$T157),INDEX('Lớp 3 - Công việc chính'!$Y$14:$Y$73,$T157))))</f>
        <v>#REF!</v>
      </c>
      <c r="Q157" s="697" t="str">
        <f t="array" ref="Q157">IF($S157="","",IF($S157="Lớp 5",INDEX('Lớp 5 - Phân công'!$AG$14:$AG$262,$T157),IF($S157="Lớp 4",INDEX('Lớp 4 - Danh mục'!$AF$14:$AF$132,$T157),INDEX('Lớp 3 - Công việc chính'!$AC$14:$AC$73,$T157))))</f>
        <v>#REF!</v>
      </c>
      <c r="R157" s="698" t="str">
        <f t="array" ref="R157">IF($S157="","",IF($S157="Lớp 5",INDEX('Lớp 5 - Phân công'!$X$14:$X$262,$T157),IF($S157="Lớp 4",INDEX('Lớp 4 - Danh mục'!$V$14:$V$132,$T157),INDEX('Lớp 3 - Công việc chính'!$T$14:$T$73,$T157))))</f>
        <v>#REF!</v>
      </c>
      <c r="S157" s="699" t="str">
        <f>IF(ROWS($S$14:S157)&lt;=COUNTIF('Lớp 5 - Phân công'!$I$14:$I$262,"&lt;&gt;"),"Lớp 5",IF(ROWS($S$14:S157)&lt;=COUNTIF('Lớp 5 - Phân công'!$I$14:$I$262,"&lt;&gt;")+SUMPRODUCT(--('Lớp 4 - Danh mục'!$I$14:$I$132&lt;&gt;""),--(COUNTIF('Lớp 5 - Phân công'!$J$14:$J$262,'Lớp 4 - Danh mục'!$I$14:$I$132)=0)),"Lớp 4",IF(ROWS($S$14:S157)&lt;=COUNTIF('Lớp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7" s="699" t="str">
        <f t="array" ref="T157">IF(S157="","",IF(S157="Lớp 5",IF(S156&lt;&gt;"Lớp 5",MATCH("*",'Lớp 5 - Phân công'!$I$14:$I$262,0),T156+MATCH("*",INDEX('Lớp 5 - Phân công'!$I$14:$I$262,T156+1):'Lớp 5 - Phân công'!$I$262,0)),IF(S157="Lớp 4",IF(S156&lt;&gt;"Lớp 4",MATCH(1,INDEX(('Lớp 4 - Danh mục'!$I$14:$I$132&lt;&gt;"")*(COUNTIF('Lớp 5 - Phân công'!$J$14:$J$262,'Lớp 4 - Danh mục'!$I$14:$I$132)=0),0),0),T156+MATCH(1,INDEX((INDEX('Lớp 4 - Danh mục'!$I$14:$I$132,T156+1):'Lớp 4 - Danh mục'!$I$132&lt;&gt;"")*(COUNTIF('Lớp 5 - Phân công'!$J$14:$J$262,INDEX('Lớp 4 - Danh mục'!$I$14:$I$132,T156+1):'Lớp 4 - Danh mục'!$I$132)=0),0),0)),IF(S156&lt;&gt;"Lớp 3",MATCH(1,INDEX(('Lớp 3 - Công việc chính'!$I$14:$I$73&lt;&gt;"")*(COUNTIF('Lớp 4 - Danh mục'!$J$14:$J$132,'Lớp 3 - Công việc chính'!$I$14:$I$73)=0),0),0),T156+MATCH(1,INDEX((INDEX('Lớp 3 - Công việc chính'!$I$14:$I$73,T156+1):'Lớp 3 - Công việc chính'!$I$73&lt;&gt;"")*(COUNTIF('Lớp 4 - Danh mục'!$J$14:$J$132,INDEX('Lớp 3 - Công việc chính'!$I$14:$I$73,T156+1):'Lớp 3 - Công việc chính'!$I$73)=0),0),0)))))</f>
        <v>#REF!</v>
      </c>
      <c r="Z157" s="700" t="str">
        <f t="array" ref="Z157">IF($S157="","",IF($S157="Lớp 5",INDEX('Lớp 5 - Phân công'!$AS$14:$AS$262,$T157),IF($S157="Lớp 4",INDEX('Lớp 4 - Danh mục'!$AR$14:$AR$132,$T157),INDEX('Lớp 3 - Công việc chính'!$AO$14:$AO$73,$T157))))</f>
        <v>#REF!</v>
      </c>
      <c r="AA157" s="701" t="str">
        <f t="array" ref="AA157">IF($S157="","",IF($S157="Lớp 5",INDEX('Lớp 5 - Phân công'!$AT$14:$AT$262,$T157),IF($S157="Lớp 4",INDEX('Lớp 4 - Danh mục'!$AS$14:$AS$132,$T157),INDEX('Lớp 3 - Công việc chính'!$AP$14:$AP$73,$T157))))</f>
        <v>#REF!</v>
      </c>
      <c r="AB157" s="701" t="str">
        <f t="array" ref="AB157">IF($S157="","",IF($S157="Lớp 5",INDEX('Lớp 5 - Phân công'!$AJ$14:$AJ$262,$T157),IF($S157="Lớp 4",INDEX('Lớp 4 - Danh mục'!$AI$14:$AI$132,$T157),INDEX('Lớp 3 - Công việc chính'!$AF$14:$AF$73,$T157))))</f>
        <v>#REF!</v>
      </c>
      <c r="AC157" s="702" t="str">
        <f t="array" ref="AC157">IF($S157="","",IF($S157="Lớp 5",INDEX('Lớp 5 - Phân công'!$AV$14:$AV$262,$T157),IF($S157="Lớp 4",INDEX('Lớp 4 - Danh mục'!$AU$14:$AU$132,$T157),INDEX('Lớp 3 - Công việc chính'!$AR$14:$AR$73,$T157))))</f>
        <v>#REF!</v>
      </c>
    </row>
    <row r="158" ht="15.75" customHeight="1">
      <c r="A158" s="690" t="str">
        <f t="shared" si="1"/>
        <v>#REF!</v>
      </c>
      <c r="B158" s="690" t="str">
        <f t="array" ref="B158">IF($S158="","",IF($S158="Lớp 5",INDEX('Lớp 5 - Phân công'!$I$14:$I$262,$T158),IF($S158="Lớp 4",INDEX('Lớp 4 - Danh mục'!$I$14:$I$132,$T158),INDEX('Lớp 3 - Công việc chính'!$I$14:$I$73,$T158))))</f>
        <v>#REF!</v>
      </c>
      <c r="C158" s="690" t="str">
        <f t="array" ref="C158">IF($S158="","",IF($S158="Lớp 5",INDEX('Lớp 5 - Phân công'!$K$14:$K$262,$T158),IF($S158="Lớp 4",INDEX('Lớp 4 - Danh mục'!$J$14:$J$132,$T158),INDEX('Lớp 3 - Công việc chính'!$I$14:$I$73,$T158))))</f>
        <v>#REF!</v>
      </c>
      <c r="D158" s="690" t="str">
        <f t="array" ref="D158">IF($S158="","",IF($S158="Lớp 5",INDEX('Lớp 5 - Phân công'!$J$14:$J$262,$T158),IF($S158="Lớp 4",INDEX('Lớp 4 - Danh mục'!$I$14:$I$132,$T158),"")))</f>
        <v>#REF!</v>
      </c>
      <c r="E158" s="690" t="str">
        <f t="array" ref="E158">IF($S158="","",IF($S158="Lớp 5",INDEX('Lớp 5 - Phân công'!$L$14:$L$262,$T158),IF($S158="Lớp 4",INDEX('Lớp 4 - Danh mục'!$K$14:$K$132,$T158),INDEX('Lớp 3 - Công việc chính'!$J$14:$J$73,$T158))))</f>
        <v>#REF!</v>
      </c>
      <c r="F158" s="690" t="str">
        <f t="array" ref="F158">IF($S158="","",IF($S158="Lớp 5",INDEX('Lớp 5 - Phân công'!$M$14:$M$262,$T158),IF($S158="Lớp 4",INDEX('Lớp 4 - Danh mục'!$L$14:$L$132,$T158),INDEX('Lớp 3 - Công việc chính'!$K$14:$K$73,$T158))))</f>
        <v>#REF!</v>
      </c>
      <c r="G158" s="691" t="str">
        <f t="array" ref="G158">IF($S158="","",IF($S158="Lớp 5",INDEX('Lớp 5 - Phân công'!$N$14:$N$262,$T158),IF($S158="Lớp 4",INDEX('Lớp 4 - Danh mục'!$M$14:$M$132,$T158),INDEX('Lớp 3 - Công việc chính'!$L$14:$L$73,$T158))))</f>
        <v>#REF!</v>
      </c>
      <c r="H158" s="692" t="str">
        <f t="array" ref="H158">IF($S158="","",IF($S158="Lớp 5",INDEX('Lớp 5 - Phân công'!$O$14:$O$262,$T158),IF($S158="Lớp 4",INDEX('Lớp 4 - Danh mục'!$N$14:$N$132,$T158),INDEX('Lớp 3 - Công việc chính'!$M$14:$M$73,$T158))))</f>
        <v>#REF!</v>
      </c>
      <c r="I158" s="692" t="str">
        <f t="array" ref="I158">IF($S158="","",IF($S158="Lớp 5",INDEX('Lớp 5 - Phân công'!$P$14:$P$262,$T158),IF($S158="Lớp 4",INDEX('Lớp 4 - Danh mục'!$O$14:$O$132,$T158),"")))</f>
        <v>#REF!</v>
      </c>
      <c r="J158" s="693" t="str">
        <f t="array" ref="J158">IF($S158="","",IF($S158="Lớp 5",INDEX('Lớp 5 - Phân công'!$Q$14:$Q$262,$T158),""))</f>
        <v>#REF!</v>
      </c>
      <c r="K158" s="690" t="str">
        <f t="array" ref="K158">IF($S158="","",IF($S158="Lớp 5",INDEX('Lớp 5 - Phân công'!$AA$14:$AA$262,$T158),IF($S158="Lớp 4",INDEX('Lớp 4 - Danh mục'!$Y$14:$Y$132,$T158),INDEX('Lớp 3 - Công việc chính'!$U$14:$U$73,$T158))))</f>
        <v>#REF!</v>
      </c>
      <c r="L158" s="691" t="str">
        <f t="array" ref="L158">IF($S158="","",IF($S158="Lớp 5",INDEX('Lớp 5 - Phân công'!$Z$14:$Z$262,$T158),IF($S158="Lớp 4",INDEX('Lớp 4 - Danh mục'!$X$14:$X$132,$T158),INDEX('Lớp 3 - Công việc chính'!$W$14:$W$73,$T158))))</f>
        <v>#REF!</v>
      </c>
      <c r="M158" s="694" t="str">
        <f t="array" ref="M158">IF($S158="","",IF($S158="Lớp 5",INDEX('Lớp 5 - Phân công'!$AD$14:$AD$262,$T158),IF($S158="Lớp 4",INDEX('Lớp 4 - Danh mục'!$AC$14:$AC$132,$T158),INDEX('Lớp 3 - Công việc chính'!$Z$14:$Z$73,$T158))))</f>
        <v>#REF!</v>
      </c>
      <c r="N158" s="695" t="str">
        <f t="array" ref="N158">IF($S158="","",IF($S158="Lớp 5",INDEX('Lớp 5 - Phân công'!$AE$14:$AE$262,$T158),IF($S158="Lớp 4",INDEX('Lớp 4 - Danh mục'!$AD$14:$AD$132,$T158),INDEX('Lớp 3 - Công việc chính'!$AA$14:$AA$73,$T158))))</f>
        <v>#REF!</v>
      </c>
      <c r="O158" s="690" t="str">
        <f t="array" ref="O158">IF($S158="","",IF($S158="Lớp 5",INDEX('Lớp 5 - Phân công'!$AB$14:$AB$262,$T158),IF($S158="Lớp 4",INDEX('Lớp 4 - Danh mục'!$AA$14:$AA$132,$T158),INDEX('Lớp 3 - Công việc chính'!$X$14:$X$73,$T158))))</f>
        <v>#REF!</v>
      </c>
      <c r="P158" s="703" t="str">
        <f t="array" ref="P158">IF($S158="","",IF($S158="Lớp 5",INDEX('Lớp 5 - Phân công'!$AC$14:$AC$262,$T158),IF($S158="Lớp 4",INDEX('Lớp 4 - Danh mục'!$AB$14:$AB$132,$T158),INDEX('Lớp 3 - Công việc chính'!$Y$14:$Y$73,$T158))))</f>
        <v>#REF!</v>
      </c>
      <c r="Q158" s="697" t="str">
        <f t="array" ref="Q158">IF($S158="","",IF($S158="Lớp 5",INDEX('Lớp 5 - Phân công'!$AG$14:$AG$262,$T158),IF($S158="Lớp 4",INDEX('Lớp 4 - Danh mục'!$AF$14:$AF$132,$T158),INDEX('Lớp 3 - Công việc chính'!$AC$14:$AC$73,$T158))))</f>
        <v>#REF!</v>
      </c>
      <c r="R158" s="698" t="str">
        <f t="array" ref="R158">IF($S158="","",IF($S158="Lớp 5",INDEX('Lớp 5 - Phân công'!$X$14:$X$262,$T158),IF($S158="Lớp 4",INDEX('Lớp 4 - Danh mục'!$V$14:$V$132,$T158),INDEX('Lớp 3 - Công việc chính'!$T$14:$T$73,$T158))))</f>
        <v>#REF!</v>
      </c>
      <c r="S158" s="699" t="str">
        <f>IF(ROWS($S$14:S158)&lt;=COUNTIF('Lớp 5 - Phân công'!$I$14:$I$262,"&lt;&gt;"),"Lớp 5",IF(ROWS($S$14:S158)&lt;=COUNTIF('Lớp 5 - Phân công'!$I$14:$I$262,"&lt;&gt;")+SUMPRODUCT(--('Lớp 4 - Danh mục'!$I$14:$I$132&lt;&gt;""),--(COUNTIF('Lớp 5 - Phân công'!$J$14:$J$262,'Lớp 4 - Danh mục'!$I$14:$I$132)=0)),"Lớp 4",IF(ROWS($S$14:S158)&lt;=COUNTIF('Lớp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8" s="699" t="str">
        <f t="array" ref="T158">IF(S158="","",IF(S158="Lớp 5",IF(S157&lt;&gt;"Lớp 5",MATCH("*",'Lớp 5 - Phân công'!$I$14:$I$262,0),T157+MATCH("*",INDEX('Lớp 5 - Phân công'!$I$14:$I$262,T157+1):'Lớp 5 - Phân công'!$I$262,0)),IF(S158="Lớp 4",IF(S157&lt;&gt;"Lớp 4",MATCH(1,INDEX(('Lớp 4 - Danh mục'!$I$14:$I$132&lt;&gt;"")*(COUNTIF('Lớp 5 - Phân công'!$J$14:$J$262,'Lớp 4 - Danh mục'!$I$14:$I$132)=0),0),0),T157+MATCH(1,INDEX((INDEX('Lớp 4 - Danh mục'!$I$14:$I$132,T157+1):'Lớp 4 - Danh mục'!$I$132&lt;&gt;"")*(COUNTIF('Lớp 5 - Phân công'!$J$14:$J$262,INDEX('Lớp 4 - Danh mục'!$I$14:$I$132,T157+1):'Lớp 4 - Danh mục'!$I$132)=0),0),0)),IF(S157&lt;&gt;"Lớp 3",MATCH(1,INDEX(('Lớp 3 - Công việc chính'!$I$14:$I$73&lt;&gt;"")*(COUNTIF('Lớp 4 - Danh mục'!$J$14:$J$132,'Lớp 3 - Công việc chính'!$I$14:$I$73)=0),0),0),T157+MATCH(1,INDEX((INDEX('Lớp 3 - Công việc chính'!$I$14:$I$73,T157+1):'Lớp 3 - Công việc chính'!$I$73&lt;&gt;"")*(COUNTIF('Lớp 4 - Danh mục'!$J$14:$J$132,INDEX('Lớp 3 - Công việc chính'!$I$14:$I$73,T157+1):'Lớp 3 - Công việc chính'!$I$73)=0),0),0)))))</f>
        <v>#REF!</v>
      </c>
      <c r="Z158" s="700" t="str">
        <f t="array" ref="Z158">IF($S158="","",IF($S158="Lớp 5",INDEX('Lớp 5 - Phân công'!$AS$14:$AS$262,$T158),IF($S158="Lớp 4",INDEX('Lớp 4 - Danh mục'!$AR$14:$AR$132,$T158),INDEX('Lớp 3 - Công việc chính'!$AO$14:$AO$73,$T158))))</f>
        <v>#REF!</v>
      </c>
      <c r="AA158" s="701" t="str">
        <f t="array" ref="AA158">IF($S158="","",IF($S158="Lớp 5",INDEX('Lớp 5 - Phân công'!$AT$14:$AT$262,$T158),IF($S158="Lớp 4",INDEX('Lớp 4 - Danh mục'!$AS$14:$AS$132,$T158),INDEX('Lớp 3 - Công việc chính'!$AP$14:$AP$73,$T158))))</f>
        <v>#REF!</v>
      </c>
      <c r="AB158" s="701" t="str">
        <f t="array" ref="AB158">IF($S158="","",IF($S158="Lớp 5",INDEX('Lớp 5 - Phân công'!$AJ$14:$AJ$262,$T158),IF($S158="Lớp 4",INDEX('Lớp 4 - Danh mục'!$AI$14:$AI$132,$T158),INDEX('Lớp 3 - Công việc chính'!$AF$14:$AF$73,$T158))))</f>
        <v>#REF!</v>
      </c>
      <c r="AC158" s="702" t="str">
        <f t="array" ref="AC158">IF($S158="","",IF($S158="Lớp 5",INDEX('Lớp 5 - Phân công'!$AV$14:$AV$262,$T158),IF($S158="Lớp 4",INDEX('Lớp 4 - Danh mục'!$AU$14:$AU$132,$T158),INDEX('Lớp 3 - Công việc chính'!$AR$14:$AR$73,$T158))))</f>
        <v>#REF!</v>
      </c>
    </row>
    <row r="159" ht="15.75" customHeight="1">
      <c r="A159" s="690" t="str">
        <f t="shared" si="1"/>
        <v>#REF!</v>
      </c>
      <c r="B159" s="690" t="str">
        <f t="array" ref="B159">IF($S159="","",IF($S159="Lớp 5",INDEX('Lớp 5 - Phân công'!$I$14:$I$262,$T159),IF($S159="Lớp 4",INDEX('Lớp 4 - Danh mục'!$I$14:$I$132,$T159),INDEX('Lớp 3 - Công việc chính'!$I$14:$I$73,$T159))))</f>
        <v>#REF!</v>
      </c>
      <c r="C159" s="690" t="str">
        <f t="array" ref="C159">IF($S159="","",IF($S159="Lớp 5",INDEX('Lớp 5 - Phân công'!$K$14:$K$262,$T159),IF($S159="Lớp 4",INDEX('Lớp 4 - Danh mục'!$J$14:$J$132,$T159),INDEX('Lớp 3 - Công việc chính'!$I$14:$I$73,$T159))))</f>
        <v>#REF!</v>
      </c>
      <c r="D159" s="690" t="str">
        <f t="array" ref="D159">IF($S159="","",IF($S159="Lớp 5",INDEX('Lớp 5 - Phân công'!$J$14:$J$262,$T159),IF($S159="Lớp 4",INDEX('Lớp 4 - Danh mục'!$I$14:$I$132,$T159),"")))</f>
        <v>#REF!</v>
      </c>
      <c r="E159" s="690" t="str">
        <f t="array" ref="E159">IF($S159="","",IF($S159="Lớp 5",INDEX('Lớp 5 - Phân công'!$L$14:$L$262,$T159),IF($S159="Lớp 4",INDEX('Lớp 4 - Danh mục'!$K$14:$K$132,$T159),INDEX('Lớp 3 - Công việc chính'!$J$14:$J$73,$T159))))</f>
        <v>#REF!</v>
      </c>
      <c r="F159" s="690" t="str">
        <f t="array" ref="F159">IF($S159="","",IF($S159="Lớp 5",INDEX('Lớp 5 - Phân công'!$M$14:$M$262,$T159),IF($S159="Lớp 4",INDEX('Lớp 4 - Danh mục'!$L$14:$L$132,$T159),INDEX('Lớp 3 - Công việc chính'!$K$14:$K$73,$T159))))</f>
        <v>#REF!</v>
      </c>
      <c r="G159" s="691" t="str">
        <f t="array" ref="G159">IF($S159="","",IF($S159="Lớp 5",INDEX('Lớp 5 - Phân công'!$N$14:$N$262,$T159),IF($S159="Lớp 4",INDEX('Lớp 4 - Danh mục'!$M$14:$M$132,$T159),INDEX('Lớp 3 - Công việc chính'!$L$14:$L$73,$T159))))</f>
        <v>#REF!</v>
      </c>
      <c r="H159" s="692" t="str">
        <f t="array" ref="H159">IF($S159="","",IF($S159="Lớp 5",INDEX('Lớp 5 - Phân công'!$O$14:$O$262,$T159),IF($S159="Lớp 4",INDEX('Lớp 4 - Danh mục'!$N$14:$N$132,$T159),INDEX('Lớp 3 - Công việc chính'!$M$14:$M$73,$T159))))</f>
        <v>#REF!</v>
      </c>
      <c r="I159" s="692" t="str">
        <f t="array" ref="I159">IF($S159="","",IF($S159="Lớp 5",INDEX('Lớp 5 - Phân công'!$P$14:$P$262,$T159),IF($S159="Lớp 4",INDEX('Lớp 4 - Danh mục'!$O$14:$O$132,$T159),"")))</f>
        <v>#REF!</v>
      </c>
      <c r="J159" s="693" t="str">
        <f t="array" ref="J159">IF($S159="","",IF($S159="Lớp 5",INDEX('Lớp 5 - Phân công'!$Q$14:$Q$262,$T159),""))</f>
        <v>#REF!</v>
      </c>
      <c r="K159" s="690" t="str">
        <f t="array" ref="K159">IF($S159="","",IF($S159="Lớp 5",INDEX('Lớp 5 - Phân công'!$AA$14:$AA$262,$T159),IF($S159="Lớp 4",INDEX('Lớp 4 - Danh mục'!$Y$14:$Y$132,$T159),INDEX('Lớp 3 - Công việc chính'!$U$14:$U$73,$T159))))</f>
        <v>#REF!</v>
      </c>
      <c r="L159" s="691" t="str">
        <f t="array" ref="L159">IF($S159="","",IF($S159="Lớp 5",INDEX('Lớp 5 - Phân công'!$Z$14:$Z$262,$T159),IF($S159="Lớp 4",INDEX('Lớp 4 - Danh mục'!$X$14:$X$132,$T159),INDEX('Lớp 3 - Công việc chính'!$W$14:$W$73,$T159))))</f>
        <v>#REF!</v>
      </c>
      <c r="M159" s="694" t="str">
        <f t="array" ref="M159">IF($S159="","",IF($S159="Lớp 5",INDEX('Lớp 5 - Phân công'!$AD$14:$AD$262,$T159),IF($S159="Lớp 4",INDEX('Lớp 4 - Danh mục'!$AC$14:$AC$132,$T159),INDEX('Lớp 3 - Công việc chính'!$Z$14:$Z$73,$T159))))</f>
        <v>#REF!</v>
      </c>
      <c r="N159" s="695" t="str">
        <f t="array" ref="N159">IF($S159="","",IF($S159="Lớp 5",INDEX('Lớp 5 - Phân công'!$AE$14:$AE$262,$T159),IF($S159="Lớp 4",INDEX('Lớp 4 - Danh mục'!$AD$14:$AD$132,$T159),INDEX('Lớp 3 - Công việc chính'!$AA$14:$AA$73,$T159))))</f>
        <v>#REF!</v>
      </c>
      <c r="O159" s="690" t="str">
        <f t="array" ref="O159">IF($S159="","",IF($S159="Lớp 5",INDEX('Lớp 5 - Phân công'!$AB$14:$AB$262,$T159),IF($S159="Lớp 4",INDEX('Lớp 4 - Danh mục'!$AA$14:$AA$132,$T159),INDEX('Lớp 3 - Công việc chính'!$X$14:$X$73,$T159))))</f>
        <v>#REF!</v>
      </c>
      <c r="P159" s="703" t="str">
        <f t="array" ref="P159">IF($S159="","",IF($S159="Lớp 5",INDEX('Lớp 5 - Phân công'!$AC$14:$AC$262,$T159),IF($S159="Lớp 4",INDEX('Lớp 4 - Danh mục'!$AB$14:$AB$132,$T159),INDEX('Lớp 3 - Công việc chính'!$Y$14:$Y$73,$T159))))</f>
        <v>#REF!</v>
      </c>
      <c r="Q159" s="697" t="str">
        <f t="array" ref="Q159">IF($S159="","",IF($S159="Lớp 5",INDEX('Lớp 5 - Phân công'!$AG$14:$AG$262,$T159),IF($S159="Lớp 4",INDEX('Lớp 4 - Danh mục'!$AF$14:$AF$132,$T159),INDEX('Lớp 3 - Công việc chính'!$AC$14:$AC$73,$T159))))</f>
        <v>#REF!</v>
      </c>
      <c r="R159" s="698" t="str">
        <f t="array" ref="R159">IF($S159="","",IF($S159="Lớp 5",INDEX('Lớp 5 - Phân công'!$X$14:$X$262,$T159),IF($S159="Lớp 4",INDEX('Lớp 4 - Danh mục'!$V$14:$V$132,$T159),INDEX('Lớp 3 - Công việc chính'!$T$14:$T$73,$T159))))</f>
        <v>#REF!</v>
      </c>
      <c r="S159" s="699" t="str">
        <f>IF(ROWS($S$14:S159)&lt;=COUNTIF('Lớp 5 - Phân công'!$I$14:$I$262,"&lt;&gt;"),"Lớp 5",IF(ROWS($S$14:S159)&lt;=COUNTIF('Lớp 5 - Phân công'!$I$14:$I$262,"&lt;&gt;")+SUMPRODUCT(--('Lớp 4 - Danh mục'!$I$14:$I$132&lt;&gt;""),--(COUNTIF('Lớp 5 - Phân công'!$J$14:$J$262,'Lớp 4 - Danh mục'!$I$14:$I$132)=0)),"Lớp 4",IF(ROWS($S$14:S159)&lt;=COUNTIF('Lớp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59" s="699" t="str">
        <f t="array" ref="T159">IF(S159="","",IF(S159="Lớp 5",IF(S158&lt;&gt;"Lớp 5",MATCH("*",'Lớp 5 - Phân công'!$I$14:$I$262,0),T158+MATCH("*",INDEX('Lớp 5 - Phân công'!$I$14:$I$262,T158+1):'Lớp 5 - Phân công'!$I$262,0)),IF(S159="Lớp 4",IF(S158&lt;&gt;"Lớp 4",MATCH(1,INDEX(('Lớp 4 - Danh mục'!$I$14:$I$132&lt;&gt;"")*(COUNTIF('Lớp 5 - Phân công'!$J$14:$J$262,'Lớp 4 - Danh mục'!$I$14:$I$132)=0),0),0),T158+MATCH(1,INDEX((INDEX('Lớp 4 - Danh mục'!$I$14:$I$132,T158+1):'Lớp 4 - Danh mục'!$I$132&lt;&gt;"")*(COUNTIF('Lớp 5 - Phân công'!$J$14:$J$262,INDEX('Lớp 4 - Danh mục'!$I$14:$I$132,T158+1):'Lớp 4 - Danh mục'!$I$132)=0),0),0)),IF(S158&lt;&gt;"Lớp 3",MATCH(1,INDEX(('Lớp 3 - Công việc chính'!$I$14:$I$73&lt;&gt;"")*(COUNTIF('Lớp 4 - Danh mục'!$J$14:$J$132,'Lớp 3 - Công việc chính'!$I$14:$I$73)=0),0),0),T158+MATCH(1,INDEX((INDEX('Lớp 3 - Công việc chính'!$I$14:$I$73,T158+1):'Lớp 3 - Công việc chính'!$I$73&lt;&gt;"")*(COUNTIF('Lớp 4 - Danh mục'!$J$14:$J$132,INDEX('Lớp 3 - Công việc chính'!$I$14:$I$73,T158+1):'Lớp 3 - Công việc chính'!$I$73)=0),0),0)))))</f>
        <v>#REF!</v>
      </c>
      <c r="Z159" s="700" t="str">
        <f t="array" ref="Z159">IF($S159="","",IF($S159="Lớp 5",INDEX('Lớp 5 - Phân công'!$AS$14:$AS$262,$T159),IF($S159="Lớp 4",INDEX('Lớp 4 - Danh mục'!$AR$14:$AR$132,$T159),INDEX('Lớp 3 - Công việc chính'!$AO$14:$AO$73,$T159))))</f>
        <v>#REF!</v>
      </c>
      <c r="AA159" s="701" t="str">
        <f t="array" ref="AA159">IF($S159="","",IF($S159="Lớp 5",INDEX('Lớp 5 - Phân công'!$AT$14:$AT$262,$T159),IF($S159="Lớp 4",INDEX('Lớp 4 - Danh mục'!$AS$14:$AS$132,$T159),INDEX('Lớp 3 - Công việc chính'!$AP$14:$AP$73,$T159))))</f>
        <v>#REF!</v>
      </c>
      <c r="AB159" s="701" t="str">
        <f t="array" ref="AB159">IF($S159="","",IF($S159="Lớp 5",INDEX('Lớp 5 - Phân công'!$AJ$14:$AJ$262,$T159),IF($S159="Lớp 4",INDEX('Lớp 4 - Danh mục'!$AI$14:$AI$132,$T159),INDEX('Lớp 3 - Công việc chính'!$AF$14:$AF$73,$T159))))</f>
        <v>#REF!</v>
      </c>
      <c r="AC159" s="702" t="str">
        <f t="array" ref="AC159">IF($S159="","",IF($S159="Lớp 5",INDEX('Lớp 5 - Phân công'!$AV$14:$AV$262,$T159),IF($S159="Lớp 4",INDEX('Lớp 4 - Danh mục'!$AU$14:$AU$132,$T159),INDEX('Lớp 3 - Công việc chính'!$AR$14:$AR$73,$T159))))</f>
        <v>#REF!</v>
      </c>
    </row>
    <row r="160" ht="15.75" customHeight="1">
      <c r="A160" s="690" t="str">
        <f t="shared" si="1"/>
        <v>#REF!</v>
      </c>
      <c r="B160" s="690" t="str">
        <f t="array" ref="B160">IF($S160="","",IF($S160="Lớp 5",INDEX('Lớp 5 - Phân công'!$I$14:$I$262,$T160),IF($S160="Lớp 4",INDEX('Lớp 4 - Danh mục'!$I$14:$I$132,$T160),INDEX('Lớp 3 - Công việc chính'!$I$14:$I$73,$T160))))</f>
        <v>#REF!</v>
      </c>
      <c r="C160" s="690" t="str">
        <f t="array" ref="C160">IF($S160="","",IF($S160="Lớp 5",INDEX('Lớp 5 - Phân công'!$K$14:$K$262,$T160),IF($S160="Lớp 4",INDEX('Lớp 4 - Danh mục'!$J$14:$J$132,$T160),INDEX('Lớp 3 - Công việc chính'!$I$14:$I$73,$T160))))</f>
        <v>#REF!</v>
      </c>
      <c r="D160" s="690" t="str">
        <f t="array" ref="D160">IF($S160="","",IF($S160="Lớp 5",INDEX('Lớp 5 - Phân công'!$J$14:$J$262,$T160),IF($S160="Lớp 4",INDEX('Lớp 4 - Danh mục'!$I$14:$I$132,$T160),"")))</f>
        <v>#REF!</v>
      </c>
      <c r="E160" s="690" t="str">
        <f t="array" ref="E160">IF($S160="","",IF($S160="Lớp 5",INDEX('Lớp 5 - Phân công'!$L$14:$L$262,$T160),IF($S160="Lớp 4",INDEX('Lớp 4 - Danh mục'!$K$14:$K$132,$T160),INDEX('Lớp 3 - Công việc chính'!$J$14:$J$73,$T160))))</f>
        <v>#REF!</v>
      </c>
      <c r="F160" s="690" t="str">
        <f t="array" ref="F160">IF($S160="","",IF($S160="Lớp 5",INDEX('Lớp 5 - Phân công'!$M$14:$M$262,$T160),IF($S160="Lớp 4",INDEX('Lớp 4 - Danh mục'!$L$14:$L$132,$T160),INDEX('Lớp 3 - Công việc chính'!$K$14:$K$73,$T160))))</f>
        <v>#REF!</v>
      </c>
      <c r="G160" s="691" t="str">
        <f t="array" ref="G160">IF($S160="","",IF($S160="Lớp 5",INDEX('Lớp 5 - Phân công'!$N$14:$N$262,$T160),IF($S160="Lớp 4",INDEX('Lớp 4 - Danh mục'!$M$14:$M$132,$T160),INDEX('Lớp 3 - Công việc chính'!$L$14:$L$73,$T160))))</f>
        <v>#REF!</v>
      </c>
      <c r="H160" s="692" t="str">
        <f t="array" ref="H160">IF($S160="","",IF($S160="Lớp 5",INDEX('Lớp 5 - Phân công'!$O$14:$O$262,$T160),IF($S160="Lớp 4",INDEX('Lớp 4 - Danh mục'!$N$14:$N$132,$T160),INDEX('Lớp 3 - Công việc chính'!$M$14:$M$73,$T160))))</f>
        <v>#REF!</v>
      </c>
      <c r="I160" s="692" t="str">
        <f t="array" ref="I160">IF($S160="","",IF($S160="Lớp 5",INDEX('Lớp 5 - Phân công'!$P$14:$P$262,$T160),IF($S160="Lớp 4",INDEX('Lớp 4 - Danh mục'!$O$14:$O$132,$T160),"")))</f>
        <v>#REF!</v>
      </c>
      <c r="J160" s="693" t="str">
        <f t="array" ref="J160">IF($S160="","",IF($S160="Lớp 5",INDEX('Lớp 5 - Phân công'!$Q$14:$Q$262,$T160),""))</f>
        <v>#REF!</v>
      </c>
      <c r="K160" s="690" t="str">
        <f t="array" ref="K160">IF($S160="","",IF($S160="Lớp 5",INDEX('Lớp 5 - Phân công'!$AA$14:$AA$262,$T160),IF($S160="Lớp 4",INDEX('Lớp 4 - Danh mục'!$Y$14:$Y$132,$T160),INDEX('Lớp 3 - Công việc chính'!$U$14:$U$73,$T160))))</f>
        <v>#REF!</v>
      </c>
      <c r="L160" s="691" t="str">
        <f t="array" ref="L160">IF($S160="","",IF($S160="Lớp 5",INDEX('Lớp 5 - Phân công'!$Z$14:$Z$262,$T160),IF($S160="Lớp 4",INDEX('Lớp 4 - Danh mục'!$X$14:$X$132,$T160),INDEX('Lớp 3 - Công việc chính'!$W$14:$W$73,$T160))))</f>
        <v>#REF!</v>
      </c>
      <c r="M160" s="694" t="str">
        <f t="array" ref="M160">IF($S160="","",IF($S160="Lớp 5",INDEX('Lớp 5 - Phân công'!$AD$14:$AD$262,$T160),IF($S160="Lớp 4",INDEX('Lớp 4 - Danh mục'!$AC$14:$AC$132,$T160),INDEX('Lớp 3 - Công việc chính'!$Z$14:$Z$73,$T160))))</f>
        <v>#REF!</v>
      </c>
      <c r="N160" s="695" t="str">
        <f t="array" ref="N160">IF($S160="","",IF($S160="Lớp 5",INDEX('Lớp 5 - Phân công'!$AE$14:$AE$262,$T160),IF($S160="Lớp 4",INDEX('Lớp 4 - Danh mục'!$AD$14:$AD$132,$T160),INDEX('Lớp 3 - Công việc chính'!$AA$14:$AA$73,$T160))))</f>
        <v>#REF!</v>
      </c>
      <c r="O160" s="690" t="str">
        <f t="array" ref="O160">IF($S160="","",IF($S160="Lớp 5",INDEX('Lớp 5 - Phân công'!$AB$14:$AB$262,$T160),IF($S160="Lớp 4",INDEX('Lớp 4 - Danh mục'!$AA$14:$AA$132,$T160),INDEX('Lớp 3 - Công việc chính'!$X$14:$X$73,$T160))))</f>
        <v>#REF!</v>
      </c>
      <c r="P160" s="703" t="str">
        <f t="array" ref="P160">IF($S160="","",IF($S160="Lớp 5",INDEX('Lớp 5 - Phân công'!$AC$14:$AC$262,$T160),IF($S160="Lớp 4",INDEX('Lớp 4 - Danh mục'!$AB$14:$AB$132,$T160),INDEX('Lớp 3 - Công việc chính'!$Y$14:$Y$73,$T160))))</f>
        <v>#REF!</v>
      </c>
      <c r="Q160" s="697" t="str">
        <f t="array" ref="Q160">IF($S160="","",IF($S160="Lớp 5",INDEX('Lớp 5 - Phân công'!$AG$14:$AG$262,$T160),IF($S160="Lớp 4",INDEX('Lớp 4 - Danh mục'!$AF$14:$AF$132,$T160),INDEX('Lớp 3 - Công việc chính'!$AC$14:$AC$73,$T160))))</f>
        <v>#REF!</v>
      </c>
      <c r="R160" s="698" t="str">
        <f t="array" ref="R160">IF($S160="","",IF($S160="Lớp 5",INDEX('Lớp 5 - Phân công'!$X$14:$X$262,$T160),IF($S160="Lớp 4",INDEX('Lớp 4 - Danh mục'!$V$14:$V$132,$T160),INDEX('Lớp 3 - Công việc chính'!$T$14:$T$73,$T160))))</f>
        <v>#REF!</v>
      </c>
      <c r="S160" s="699" t="str">
        <f>IF(ROWS($S$14:S160)&lt;=COUNTIF('Lớp 5 - Phân công'!$I$14:$I$262,"&lt;&gt;"),"Lớp 5",IF(ROWS($S$14:S160)&lt;=COUNTIF('Lớp 5 - Phân công'!$I$14:$I$262,"&lt;&gt;")+SUMPRODUCT(--('Lớp 4 - Danh mục'!$I$14:$I$132&lt;&gt;""),--(COUNTIF('Lớp 5 - Phân công'!$J$14:$J$262,'Lớp 4 - Danh mục'!$I$14:$I$132)=0)),"Lớp 4",IF(ROWS($S$14:S160)&lt;=COUNTIF('Lớp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0" s="699" t="str">
        <f t="array" ref="T160">IF(S160="","",IF(S160="Lớp 5",IF(S159&lt;&gt;"Lớp 5",MATCH("*",'Lớp 5 - Phân công'!$I$14:$I$262,0),T159+MATCH("*",INDEX('Lớp 5 - Phân công'!$I$14:$I$262,T159+1):'Lớp 5 - Phân công'!$I$262,0)),IF(S160="Lớp 4",IF(S159&lt;&gt;"Lớp 4",MATCH(1,INDEX(('Lớp 4 - Danh mục'!$I$14:$I$132&lt;&gt;"")*(COUNTIF('Lớp 5 - Phân công'!$J$14:$J$262,'Lớp 4 - Danh mục'!$I$14:$I$132)=0),0),0),T159+MATCH(1,INDEX((INDEX('Lớp 4 - Danh mục'!$I$14:$I$132,T159+1):'Lớp 4 - Danh mục'!$I$132&lt;&gt;"")*(COUNTIF('Lớp 5 - Phân công'!$J$14:$J$262,INDEX('Lớp 4 - Danh mục'!$I$14:$I$132,T159+1):'Lớp 4 - Danh mục'!$I$132)=0),0),0)),IF(S159&lt;&gt;"Lớp 3",MATCH(1,INDEX(('Lớp 3 - Công việc chính'!$I$14:$I$73&lt;&gt;"")*(COUNTIF('Lớp 4 - Danh mục'!$J$14:$J$132,'Lớp 3 - Công việc chính'!$I$14:$I$73)=0),0),0),T159+MATCH(1,INDEX((INDEX('Lớp 3 - Công việc chính'!$I$14:$I$73,T159+1):'Lớp 3 - Công việc chính'!$I$73&lt;&gt;"")*(COUNTIF('Lớp 4 - Danh mục'!$J$14:$J$132,INDEX('Lớp 3 - Công việc chính'!$I$14:$I$73,T159+1):'Lớp 3 - Công việc chính'!$I$73)=0),0),0)))))</f>
        <v>#REF!</v>
      </c>
      <c r="Z160" s="700" t="str">
        <f t="array" ref="Z160">IF($S160="","",IF($S160="Lớp 5",INDEX('Lớp 5 - Phân công'!$AS$14:$AS$262,$T160),IF($S160="Lớp 4",INDEX('Lớp 4 - Danh mục'!$AR$14:$AR$132,$T160),INDEX('Lớp 3 - Công việc chính'!$AO$14:$AO$73,$T160))))</f>
        <v>#REF!</v>
      </c>
      <c r="AA160" s="701" t="str">
        <f t="array" ref="AA160">IF($S160="","",IF($S160="Lớp 5",INDEX('Lớp 5 - Phân công'!$AT$14:$AT$262,$T160),IF($S160="Lớp 4",INDEX('Lớp 4 - Danh mục'!$AS$14:$AS$132,$T160),INDEX('Lớp 3 - Công việc chính'!$AP$14:$AP$73,$T160))))</f>
        <v>#REF!</v>
      </c>
      <c r="AB160" s="701" t="str">
        <f t="array" ref="AB160">IF($S160="","",IF($S160="Lớp 5",INDEX('Lớp 5 - Phân công'!$AJ$14:$AJ$262,$T160),IF($S160="Lớp 4",INDEX('Lớp 4 - Danh mục'!$AI$14:$AI$132,$T160),INDEX('Lớp 3 - Công việc chính'!$AF$14:$AF$73,$T160))))</f>
        <v>#REF!</v>
      </c>
      <c r="AC160" s="702" t="str">
        <f t="array" ref="AC160">IF($S160="","",IF($S160="Lớp 5",INDEX('Lớp 5 - Phân công'!$AV$14:$AV$262,$T160),IF($S160="Lớp 4",INDEX('Lớp 4 - Danh mục'!$AU$14:$AU$132,$T160),INDEX('Lớp 3 - Công việc chính'!$AR$14:$AR$73,$T160))))</f>
        <v>#REF!</v>
      </c>
    </row>
    <row r="161" ht="15.75" customHeight="1">
      <c r="A161" s="690" t="str">
        <f t="shared" si="1"/>
        <v>#REF!</v>
      </c>
      <c r="B161" s="690" t="str">
        <f t="array" ref="B161">IF($S161="","",IF($S161="Lớp 5",INDEX('Lớp 5 - Phân công'!$I$14:$I$262,$T161),IF($S161="Lớp 4",INDEX('Lớp 4 - Danh mục'!$I$14:$I$132,$T161),INDEX('Lớp 3 - Công việc chính'!$I$14:$I$73,$T161))))</f>
        <v>#REF!</v>
      </c>
      <c r="C161" s="690" t="str">
        <f t="array" ref="C161">IF($S161="","",IF($S161="Lớp 5",INDEX('Lớp 5 - Phân công'!$K$14:$K$262,$T161),IF($S161="Lớp 4",INDEX('Lớp 4 - Danh mục'!$J$14:$J$132,$T161),INDEX('Lớp 3 - Công việc chính'!$I$14:$I$73,$T161))))</f>
        <v>#REF!</v>
      </c>
      <c r="D161" s="690" t="str">
        <f t="array" ref="D161">IF($S161="","",IF($S161="Lớp 5",INDEX('Lớp 5 - Phân công'!$J$14:$J$262,$T161),IF($S161="Lớp 4",INDEX('Lớp 4 - Danh mục'!$I$14:$I$132,$T161),"")))</f>
        <v>#REF!</v>
      </c>
      <c r="E161" s="690" t="str">
        <f t="array" ref="E161">IF($S161="","",IF($S161="Lớp 5",INDEX('Lớp 5 - Phân công'!$L$14:$L$262,$T161),IF($S161="Lớp 4",INDEX('Lớp 4 - Danh mục'!$K$14:$K$132,$T161),INDEX('Lớp 3 - Công việc chính'!$J$14:$J$73,$T161))))</f>
        <v>#REF!</v>
      </c>
      <c r="F161" s="690" t="str">
        <f t="array" ref="F161">IF($S161="","",IF($S161="Lớp 5",INDEX('Lớp 5 - Phân công'!$M$14:$M$262,$T161),IF($S161="Lớp 4",INDEX('Lớp 4 - Danh mục'!$L$14:$L$132,$T161),INDEX('Lớp 3 - Công việc chính'!$K$14:$K$73,$T161))))</f>
        <v>#REF!</v>
      </c>
      <c r="G161" s="691" t="str">
        <f t="array" ref="G161">IF($S161="","",IF($S161="Lớp 5",INDEX('Lớp 5 - Phân công'!$N$14:$N$262,$T161),IF($S161="Lớp 4",INDEX('Lớp 4 - Danh mục'!$M$14:$M$132,$T161),INDEX('Lớp 3 - Công việc chính'!$L$14:$L$73,$T161))))</f>
        <v>#REF!</v>
      </c>
      <c r="H161" s="692" t="str">
        <f t="array" ref="H161">IF($S161="","",IF($S161="Lớp 5",INDEX('Lớp 5 - Phân công'!$O$14:$O$262,$T161),IF($S161="Lớp 4",INDEX('Lớp 4 - Danh mục'!$N$14:$N$132,$T161),INDEX('Lớp 3 - Công việc chính'!$M$14:$M$73,$T161))))</f>
        <v>#REF!</v>
      </c>
      <c r="I161" s="692" t="str">
        <f t="array" ref="I161">IF($S161="","",IF($S161="Lớp 5",INDEX('Lớp 5 - Phân công'!$P$14:$P$262,$T161),IF($S161="Lớp 4",INDEX('Lớp 4 - Danh mục'!$O$14:$O$132,$T161),"")))</f>
        <v>#REF!</v>
      </c>
      <c r="J161" s="693" t="str">
        <f t="array" ref="J161">IF($S161="","",IF($S161="Lớp 5",INDEX('Lớp 5 - Phân công'!$Q$14:$Q$262,$T161),""))</f>
        <v>#REF!</v>
      </c>
      <c r="K161" s="690" t="str">
        <f t="array" ref="K161">IF($S161="","",IF($S161="Lớp 5",INDEX('Lớp 5 - Phân công'!$AA$14:$AA$262,$T161),IF($S161="Lớp 4",INDEX('Lớp 4 - Danh mục'!$Y$14:$Y$132,$T161),INDEX('Lớp 3 - Công việc chính'!$U$14:$U$73,$T161))))</f>
        <v>#REF!</v>
      </c>
      <c r="L161" s="691" t="str">
        <f t="array" ref="L161">IF($S161="","",IF($S161="Lớp 5",INDEX('Lớp 5 - Phân công'!$Z$14:$Z$262,$T161),IF($S161="Lớp 4",INDEX('Lớp 4 - Danh mục'!$X$14:$X$132,$T161),INDEX('Lớp 3 - Công việc chính'!$W$14:$W$73,$T161))))</f>
        <v>#REF!</v>
      </c>
      <c r="M161" s="694" t="str">
        <f t="array" ref="M161">IF($S161="","",IF($S161="Lớp 5",INDEX('Lớp 5 - Phân công'!$AD$14:$AD$262,$T161),IF($S161="Lớp 4",INDEX('Lớp 4 - Danh mục'!$AC$14:$AC$132,$T161),INDEX('Lớp 3 - Công việc chính'!$Z$14:$Z$73,$T161))))</f>
        <v>#REF!</v>
      </c>
      <c r="N161" s="695" t="str">
        <f t="array" ref="N161">IF($S161="","",IF($S161="Lớp 5",INDEX('Lớp 5 - Phân công'!$AE$14:$AE$262,$T161),IF($S161="Lớp 4",INDEX('Lớp 4 - Danh mục'!$AD$14:$AD$132,$T161),INDEX('Lớp 3 - Công việc chính'!$AA$14:$AA$73,$T161))))</f>
        <v>#REF!</v>
      </c>
      <c r="O161" s="690" t="str">
        <f t="array" ref="O161">IF($S161="","",IF($S161="Lớp 5",INDEX('Lớp 5 - Phân công'!$AB$14:$AB$262,$T161),IF($S161="Lớp 4",INDEX('Lớp 4 - Danh mục'!$AA$14:$AA$132,$T161),INDEX('Lớp 3 - Công việc chính'!$X$14:$X$73,$T161))))</f>
        <v>#REF!</v>
      </c>
      <c r="P161" s="703" t="str">
        <f t="array" ref="P161">IF($S161="","",IF($S161="Lớp 5",INDEX('Lớp 5 - Phân công'!$AC$14:$AC$262,$T161),IF($S161="Lớp 4",INDEX('Lớp 4 - Danh mục'!$AB$14:$AB$132,$T161),INDEX('Lớp 3 - Công việc chính'!$Y$14:$Y$73,$T161))))</f>
        <v>#REF!</v>
      </c>
      <c r="Q161" s="697" t="str">
        <f t="array" ref="Q161">IF($S161="","",IF($S161="Lớp 5",INDEX('Lớp 5 - Phân công'!$AG$14:$AG$262,$T161),IF($S161="Lớp 4",INDEX('Lớp 4 - Danh mục'!$AF$14:$AF$132,$T161),INDEX('Lớp 3 - Công việc chính'!$AC$14:$AC$73,$T161))))</f>
        <v>#REF!</v>
      </c>
      <c r="R161" s="698" t="str">
        <f t="array" ref="R161">IF($S161="","",IF($S161="Lớp 5",INDEX('Lớp 5 - Phân công'!$X$14:$X$262,$T161),IF($S161="Lớp 4",INDEX('Lớp 4 - Danh mục'!$V$14:$V$132,$T161),INDEX('Lớp 3 - Công việc chính'!$T$14:$T$73,$T161))))</f>
        <v>#REF!</v>
      </c>
      <c r="S161" s="699" t="str">
        <f>IF(ROWS($S$14:S161)&lt;=COUNTIF('Lớp 5 - Phân công'!$I$14:$I$262,"&lt;&gt;"),"Lớp 5",IF(ROWS($S$14:S161)&lt;=COUNTIF('Lớp 5 - Phân công'!$I$14:$I$262,"&lt;&gt;")+SUMPRODUCT(--('Lớp 4 - Danh mục'!$I$14:$I$132&lt;&gt;""),--(COUNTIF('Lớp 5 - Phân công'!$J$14:$J$262,'Lớp 4 - Danh mục'!$I$14:$I$132)=0)),"Lớp 4",IF(ROWS($S$14:S161)&lt;=COUNTIF('Lớp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1" s="699" t="str">
        <f t="array" ref="T161">IF(S161="","",IF(S161="Lớp 5",IF(S160&lt;&gt;"Lớp 5",MATCH("*",'Lớp 5 - Phân công'!$I$14:$I$262,0),T160+MATCH("*",INDEX('Lớp 5 - Phân công'!$I$14:$I$262,T160+1):'Lớp 5 - Phân công'!$I$262,0)),IF(S161="Lớp 4",IF(S160&lt;&gt;"Lớp 4",MATCH(1,INDEX(('Lớp 4 - Danh mục'!$I$14:$I$132&lt;&gt;"")*(COUNTIF('Lớp 5 - Phân công'!$J$14:$J$262,'Lớp 4 - Danh mục'!$I$14:$I$132)=0),0),0),T160+MATCH(1,INDEX((INDEX('Lớp 4 - Danh mục'!$I$14:$I$132,T160+1):'Lớp 4 - Danh mục'!$I$132&lt;&gt;"")*(COUNTIF('Lớp 5 - Phân công'!$J$14:$J$262,INDEX('Lớp 4 - Danh mục'!$I$14:$I$132,T160+1):'Lớp 4 - Danh mục'!$I$132)=0),0),0)),IF(S160&lt;&gt;"Lớp 3",MATCH(1,INDEX(('Lớp 3 - Công việc chính'!$I$14:$I$73&lt;&gt;"")*(COUNTIF('Lớp 4 - Danh mục'!$J$14:$J$132,'Lớp 3 - Công việc chính'!$I$14:$I$73)=0),0),0),T160+MATCH(1,INDEX((INDEX('Lớp 3 - Công việc chính'!$I$14:$I$73,T160+1):'Lớp 3 - Công việc chính'!$I$73&lt;&gt;"")*(COUNTIF('Lớp 4 - Danh mục'!$J$14:$J$132,INDEX('Lớp 3 - Công việc chính'!$I$14:$I$73,T160+1):'Lớp 3 - Công việc chính'!$I$73)=0),0),0)))))</f>
        <v>#REF!</v>
      </c>
      <c r="Z161" s="700" t="str">
        <f t="array" ref="Z161">IF($S161="","",IF($S161="Lớp 5",INDEX('Lớp 5 - Phân công'!$AS$14:$AS$262,$T161),IF($S161="Lớp 4",INDEX('Lớp 4 - Danh mục'!$AR$14:$AR$132,$T161),INDEX('Lớp 3 - Công việc chính'!$AO$14:$AO$73,$T161))))</f>
        <v>#REF!</v>
      </c>
      <c r="AA161" s="701" t="str">
        <f t="array" ref="AA161">IF($S161="","",IF($S161="Lớp 5",INDEX('Lớp 5 - Phân công'!$AT$14:$AT$262,$T161),IF($S161="Lớp 4",INDEX('Lớp 4 - Danh mục'!$AS$14:$AS$132,$T161),INDEX('Lớp 3 - Công việc chính'!$AP$14:$AP$73,$T161))))</f>
        <v>#REF!</v>
      </c>
      <c r="AB161" s="701" t="str">
        <f t="array" ref="AB161">IF($S161="","",IF($S161="Lớp 5",INDEX('Lớp 5 - Phân công'!$AJ$14:$AJ$262,$T161),IF($S161="Lớp 4",INDEX('Lớp 4 - Danh mục'!$AI$14:$AI$132,$T161),INDEX('Lớp 3 - Công việc chính'!$AF$14:$AF$73,$T161))))</f>
        <v>#REF!</v>
      </c>
      <c r="AC161" s="702" t="str">
        <f t="array" ref="AC161">IF($S161="","",IF($S161="Lớp 5",INDEX('Lớp 5 - Phân công'!$AV$14:$AV$262,$T161),IF($S161="Lớp 4",INDEX('Lớp 4 - Danh mục'!$AU$14:$AU$132,$T161),INDEX('Lớp 3 - Công việc chính'!$AR$14:$AR$73,$T161))))</f>
        <v>#REF!</v>
      </c>
    </row>
    <row r="162" ht="15.75" customHeight="1">
      <c r="A162" s="690" t="str">
        <f t="shared" si="1"/>
        <v>#REF!</v>
      </c>
      <c r="B162" s="690" t="str">
        <f t="array" ref="B162">IF($S162="","",IF($S162="Lớp 5",INDEX('Lớp 5 - Phân công'!$I$14:$I$262,$T162),IF($S162="Lớp 4",INDEX('Lớp 4 - Danh mục'!$I$14:$I$132,$T162),INDEX('Lớp 3 - Công việc chính'!$I$14:$I$73,$T162))))</f>
        <v>#REF!</v>
      </c>
      <c r="C162" s="690" t="str">
        <f t="array" ref="C162">IF($S162="","",IF($S162="Lớp 5",INDEX('Lớp 5 - Phân công'!$K$14:$K$262,$T162),IF($S162="Lớp 4",INDEX('Lớp 4 - Danh mục'!$J$14:$J$132,$T162),INDEX('Lớp 3 - Công việc chính'!$I$14:$I$73,$T162))))</f>
        <v>#REF!</v>
      </c>
      <c r="D162" s="690" t="str">
        <f t="array" ref="D162">IF($S162="","",IF($S162="Lớp 5",INDEX('Lớp 5 - Phân công'!$J$14:$J$262,$T162),IF($S162="Lớp 4",INDEX('Lớp 4 - Danh mục'!$I$14:$I$132,$T162),"")))</f>
        <v>#REF!</v>
      </c>
      <c r="E162" s="690" t="str">
        <f t="array" ref="E162">IF($S162="","",IF($S162="Lớp 5",INDEX('Lớp 5 - Phân công'!$L$14:$L$262,$T162),IF($S162="Lớp 4",INDEX('Lớp 4 - Danh mục'!$K$14:$K$132,$T162),INDEX('Lớp 3 - Công việc chính'!$J$14:$J$73,$T162))))</f>
        <v>#REF!</v>
      </c>
      <c r="F162" s="690" t="str">
        <f t="array" ref="F162">IF($S162="","",IF($S162="Lớp 5",INDEX('Lớp 5 - Phân công'!$M$14:$M$262,$T162),IF($S162="Lớp 4",INDEX('Lớp 4 - Danh mục'!$L$14:$L$132,$T162),INDEX('Lớp 3 - Công việc chính'!$K$14:$K$73,$T162))))</f>
        <v>#REF!</v>
      </c>
      <c r="G162" s="691" t="str">
        <f t="array" ref="G162">IF($S162="","",IF($S162="Lớp 5",INDEX('Lớp 5 - Phân công'!$N$14:$N$262,$T162),IF($S162="Lớp 4",INDEX('Lớp 4 - Danh mục'!$M$14:$M$132,$T162),INDEX('Lớp 3 - Công việc chính'!$L$14:$L$73,$T162))))</f>
        <v>#REF!</v>
      </c>
      <c r="H162" s="692" t="str">
        <f t="array" ref="H162">IF($S162="","",IF($S162="Lớp 5",INDEX('Lớp 5 - Phân công'!$O$14:$O$262,$T162),IF($S162="Lớp 4",INDEX('Lớp 4 - Danh mục'!$N$14:$N$132,$T162),INDEX('Lớp 3 - Công việc chính'!$M$14:$M$73,$T162))))</f>
        <v>#REF!</v>
      </c>
      <c r="I162" s="692" t="str">
        <f t="array" ref="I162">IF($S162="","",IF($S162="Lớp 5",INDEX('Lớp 5 - Phân công'!$P$14:$P$262,$T162),IF($S162="Lớp 4",INDEX('Lớp 4 - Danh mục'!$O$14:$O$132,$T162),"")))</f>
        <v>#REF!</v>
      </c>
      <c r="J162" s="693" t="str">
        <f t="array" ref="J162">IF($S162="","",IF($S162="Lớp 5",INDEX('Lớp 5 - Phân công'!$Q$14:$Q$262,$T162),""))</f>
        <v>#REF!</v>
      </c>
      <c r="K162" s="690" t="str">
        <f t="array" ref="K162">IF($S162="","",IF($S162="Lớp 5",INDEX('Lớp 5 - Phân công'!$AA$14:$AA$262,$T162),IF($S162="Lớp 4",INDEX('Lớp 4 - Danh mục'!$Y$14:$Y$132,$T162),INDEX('Lớp 3 - Công việc chính'!$U$14:$U$73,$T162))))</f>
        <v>#REF!</v>
      </c>
      <c r="L162" s="691" t="str">
        <f t="array" ref="L162">IF($S162="","",IF($S162="Lớp 5",INDEX('Lớp 5 - Phân công'!$Z$14:$Z$262,$T162),IF($S162="Lớp 4",INDEX('Lớp 4 - Danh mục'!$X$14:$X$132,$T162),INDEX('Lớp 3 - Công việc chính'!$W$14:$W$73,$T162))))</f>
        <v>#REF!</v>
      </c>
      <c r="M162" s="694" t="str">
        <f t="array" ref="M162">IF($S162="","",IF($S162="Lớp 5",INDEX('Lớp 5 - Phân công'!$AD$14:$AD$262,$T162),IF($S162="Lớp 4",INDEX('Lớp 4 - Danh mục'!$AC$14:$AC$132,$T162),INDEX('Lớp 3 - Công việc chính'!$Z$14:$Z$73,$T162))))</f>
        <v>#REF!</v>
      </c>
      <c r="N162" s="695" t="str">
        <f t="array" ref="N162">IF($S162="","",IF($S162="Lớp 5",INDEX('Lớp 5 - Phân công'!$AE$14:$AE$262,$T162),IF($S162="Lớp 4",INDEX('Lớp 4 - Danh mục'!$AD$14:$AD$132,$T162),INDEX('Lớp 3 - Công việc chính'!$AA$14:$AA$73,$T162))))</f>
        <v>#REF!</v>
      </c>
      <c r="O162" s="690" t="str">
        <f t="array" ref="O162">IF($S162="","",IF($S162="Lớp 5",INDEX('Lớp 5 - Phân công'!$AB$14:$AB$262,$T162),IF($S162="Lớp 4",INDEX('Lớp 4 - Danh mục'!$AA$14:$AA$132,$T162),INDEX('Lớp 3 - Công việc chính'!$X$14:$X$73,$T162))))</f>
        <v>#REF!</v>
      </c>
      <c r="P162" s="703" t="str">
        <f t="array" ref="P162">IF($S162="","",IF($S162="Lớp 5",INDEX('Lớp 5 - Phân công'!$AC$14:$AC$262,$T162),IF($S162="Lớp 4",INDEX('Lớp 4 - Danh mục'!$AB$14:$AB$132,$T162),INDEX('Lớp 3 - Công việc chính'!$Y$14:$Y$73,$T162))))</f>
        <v>#REF!</v>
      </c>
      <c r="Q162" s="697" t="str">
        <f t="array" ref="Q162">IF($S162="","",IF($S162="Lớp 5",INDEX('Lớp 5 - Phân công'!$AG$14:$AG$262,$T162),IF($S162="Lớp 4",INDEX('Lớp 4 - Danh mục'!$AF$14:$AF$132,$T162),INDEX('Lớp 3 - Công việc chính'!$AC$14:$AC$73,$T162))))</f>
        <v>#REF!</v>
      </c>
      <c r="R162" s="698" t="str">
        <f t="array" ref="R162">IF($S162="","",IF($S162="Lớp 5",INDEX('Lớp 5 - Phân công'!$X$14:$X$262,$T162),IF($S162="Lớp 4",INDEX('Lớp 4 - Danh mục'!$V$14:$V$132,$T162),INDEX('Lớp 3 - Công việc chính'!$T$14:$T$73,$T162))))</f>
        <v>#REF!</v>
      </c>
      <c r="S162" s="699" t="str">
        <f>IF(ROWS($S$14:S162)&lt;=COUNTIF('Lớp 5 - Phân công'!$I$14:$I$262,"&lt;&gt;"),"Lớp 5",IF(ROWS($S$14:S162)&lt;=COUNTIF('Lớp 5 - Phân công'!$I$14:$I$262,"&lt;&gt;")+SUMPRODUCT(--('Lớp 4 - Danh mục'!$I$14:$I$132&lt;&gt;""),--(COUNTIF('Lớp 5 - Phân công'!$J$14:$J$262,'Lớp 4 - Danh mục'!$I$14:$I$132)=0)),"Lớp 4",IF(ROWS($S$14:S162)&lt;=COUNTIF('Lớp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2" s="699" t="str">
        <f t="array" ref="T162">IF(S162="","",IF(S162="Lớp 5",IF(S161&lt;&gt;"Lớp 5",MATCH("*",'Lớp 5 - Phân công'!$I$14:$I$262,0),T161+MATCH("*",INDEX('Lớp 5 - Phân công'!$I$14:$I$262,T161+1):'Lớp 5 - Phân công'!$I$262,0)),IF(S162="Lớp 4",IF(S161&lt;&gt;"Lớp 4",MATCH(1,INDEX(('Lớp 4 - Danh mục'!$I$14:$I$132&lt;&gt;"")*(COUNTIF('Lớp 5 - Phân công'!$J$14:$J$262,'Lớp 4 - Danh mục'!$I$14:$I$132)=0),0),0),T161+MATCH(1,INDEX((INDEX('Lớp 4 - Danh mục'!$I$14:$I$132,T161+1):'Lớp 4 - Danh mục'!$I$132&lt;&gt;"")*(COUNTIF('Lớp 5 - Phân công'!$J$14:$J$262,INDEX('Lớp 4 - Danh mục'!$I$14:$I$132,T161+1):'Lớp 4 - Danh mục'!$I$132)=0),0),0)),IF(S161&lt;&gt;"Lớp 3",MATCH(1,INDEX(('Lớp 3 - Công việc chính'!$I$14:$I$73&lt;&gt;"")*(COUNTIF('Lớp 4 - Danh mục'!$J$14:$J$132,'Lớp 3 - Công việc chính'!$I$14:$I$73)=0),0),0),T161+MATCH(1,INDEX((INDEX('Lớp 3 - Công việc chính'!$I$14:$I$73,T161+1):'Lớp 3 - Công việc chính'!$I$73&lt;&gt;"")*(COUNTIF('Lớp 4 - Danh mục'!$J$14:$J$132,INDEX('Lớp 3 - Công việc chính'!$I$14:$I$73,T161+1):'Lớp 3 - Công việc chính'!$I$73)=0),0),0)))))</f>
        <v>#REF!</v>
      </c>
      <c r="Z162" s="700" t="str">
        <f t="array" ref="Z162">IF($S162="","",IF($S162="Lớp 5",INDEX('Lớp 5 - Phân công'!$AS$14:$AS$262,$T162),IF($S162="Lớp 4",INDEX('Lớp 4 - Danh mục'!$AR$14:$AR$132,$T162),INDEX('Lớp 3 - Công việc chính'!$AO$14:$AO$73,$T162))))</f>
        <v>#REF!</v>
      </c>
      <c r="AA162" s="701" t="str">
        <f t="array" ref="AA162">IF($S162="","",IF($S162="Lớp 5",INDEX('Lớp 5 - Phân công'!$AT$14:$AT$262,$T162),IF($S162="Lớp 4",INDEX('Lớp 4 - Danh mục'!$AS$14:$AS$132,$T162),INDEX('Lớp 3 - Công việc chính'!$AP$14:$AP$73,$T162))))</f>
        <v>#REF!</v>
      </c>
      <c r="AB162" s="701" t="str">
        <f t="array" ref="AB162">IF($S162="","",IF($S162="Lớp 5",INDEX('Lớp 5 - Phân công'!$AJ$14:$AJ$262,$T162),IF($S162="Lớp 4",INDEX('Lớp 4 - Danh mục'!$AI$14:$AI$132,$T162),INDEX('Lớp 3 - Công việc chính'!$AF$14:$AF$73,$T162))))</f>
        <v>#REF!</v>
      </c>
      <c r="AC162" s="702" t="str">
        <f t="array" ref="AC162">IF($S162="","",IF($S162="Lớp 5",INDEX('Lớp 5 - Phân công'!$AV$14:$AV$262,$T162),IF($S162="Lớp 4",INDEX('Lớp 4 - Danh mục'!$AU$14:$AU$132,$T162),INDEX('Lớp 3 - Công việc chính'!$AR$14:$AR$73,$T162))))</f>
        <v>#REF!</v>
      </c>
    </row>
    <row r="163" ht="15.75" customHeight="1">
      <c r="A163" s="690" t="str">
        <f t="shared" si="1"/>
        <v>#REF!</v>
      </c>
      <c r="B163" s="690" t="str">
        <f t="array" ref="B163">IF($S163="","",IF($S163="Lớp 5",INDEX('Lớp 5 - Phân công'!$I$14:$I$262,$T163),IF($S163="Lớp 4",INDEX('Lớp 4 - Danh mục'!$I$14:$I$132,$T163),INDEX('Lớp 3 - Công việc chính'!$I$14:$I$73,$T163))))</f>
        <v>#REF!</v>
      </c>
      <c r="C163" s="690" t="str">
        <f t="array" ref="C163">IF($S163="","",IF($S163="Lớp 5",INDEX('Lớp 5 - Phân công'!$K$14:$K$262,$T163),IF($S163="Lớp 4",INDEX('Lớp 4 - Danh mục'!$J$14:$J$132,$T163),INDEX('Lớp 3 - Công việc chính'!$I$14:$I$73,$T163))))</f>
        <v>#REF!</v>
      </c>
      <c r="D163" s="690" t="str">
        <f t="array" ref="D163">IF($S163="","",IF($S163="Lớp 5",INDEX('Lớp 5 - Phân công'!$J$14:$J$262,$T163),IF($S163="Lớp 4",INDEX('Lớp 4 - Danh mục'!$I$14:$I$132,$T163),"")))</f>
        <v>#REF!</v>
      </c>
      <c r="E163" s="690" t="str">
        <f t="array" ref="E163">IF($S163="","",IF($S163="Lớp 5",INDEX('Lớp 5 - Phân công'!$L$14:$L$262,$T163),IF($S163="Lớp 4",INDEX('Lớp 4 - Danh mục'!$K$14:$K$132,$T163),INDEX('Lớp 3 - Công việc chính'!$J$14:$J$73,$T163))))</f>
        <v>#REF!</v>
      </c>
      <c r="F163" s="690" t="str">
        <f t="array" ref="F163">IF($S163="","",IF($S163="Lớp 5",INDEX('Lớp 5 - Phân công'!$M$14:$M$262,$T163),IF($S163="Lớp 4",INDEX('Lớp 4 - Danh mục'!$L$14:$L$132,$T163),INDEX('Lớp 3 - Công việc chính'!$K$14:$K$73,$T163))))</f>
        <v>#REF!</v>
      </c>
      <c r="G163" s="691" t="str">
        <f t="array" ref="G163">IF($S163="","",IF($S163="Lớp 5",INDEX('Lớp 5 - Phân công'!$N$14:$N$262,$T163),IF($S163="Lớp 4",INDEX('Lớp 4 - Danh mục'!$M$14:$M$132,$T163),INDEX('Lớp 3 - Công việc chính'!$L$14:$L$73,$T163))))</f>
        <v>#REF!</v>
      </c>
      <c r="H163" s="692" t="str">
        <f t="array" ref="H163">IF($S163="","",IF($S163="Lớp 5",INDEX('Lớp 5 - Phân công'!$O$14:$O$262,$T163),IF($S163="Lớp 4",INDEX('Lớp 4 - Danh mục'!$N$14:$N$132,$T163),INDEX('Lớp 3 - Công việc chính'!$M$14:$M$73,$T163))))</f>
        <v>#REF!</v>
      </c>
      <c r="I163" s="692" t="str">
        <f t="array" ref="I163">IF($S163="","",IF($S163="Lớp 5",INDEX('Lớp 5 - Phân công'!$P$14:$P$262,$T163),IF($S163="Lớp 4",INDEX('Lớp 4 - Danh mục'!$O$14:$O$132,$T163),"")))</f>
        <v>#REF!</v>
      </c>
      <c r="J163" s="693" t="str">
        <f t="array" ref="J163">IF($S163="","",IF($S163="Lớp 5",INDEX('Lớp 5 - Phân công'!$Q$14:$Q$262,$T163),""))</f>
        <v>#REF!</v>
      </c>
      <c r="K163" s="690" t="str">
        <f t="array" ref="K163">IF($S163="","",IF($S163="Lớp 5",INDEX('Lớp 5 - Phân công'!$AA$14:$AA$262,$T163),IF($S163="Lớp 4",INDEX('Lớp 4 - Danh mục'!$Y$14:$Y$132,$T163),INDEX('Lớp 3 - Công việc chính'!$U$14:$U$73,$T163))))</f>
        <v>#REF!</v>
      </c>
      <c r="L163" s="691" t="str">
        <f t="array" ref="L163">IF($S163="","",IF($S163="Lớp 5",INDEX('Lớp 5 - Phân công'!$Z$14:$Z$262,$T163),IF($S163="Lớp 4",INDEX('Lớp 4 - Danh mục'!$X$14:$X$132,$T163),INDEX('Lớp 3 - Công việc chính'!$W$14:$W$73,$T163))))</f>
        <v>#REF!</v>
      </c>
      <c r="M163" s="694" t="str">
        <f t="array" ref="M163">IF($S163="","",IF($S163="Lớp 5",INDEX('Lớp 5 - Phân công'!$AD$14:$AD$262,$T163),IF($S163="Lớp 4",INDEX('Lớp 4 - Danh mục'!$AC$14:$AC$132,$T163),INDEX('Lớp 3 - Công việc chính'!$Z$14:$Z$73,$T163))))</f>
        <v>#REF!</v>
      </c>
      <c r="N163" s="695" t="str">
        <f t="array" ref="N163">IF($S163="","",IF($S163="Lớp 5",INDEX('Lớp 5 - Phân công'!$AE$14:$AE$262,$T163),IF($S163="Lớp 4",INDEX('Lớp 4 - Danh mục'!$AD$14:$AD$132,$T163),INDEX('Lớp 3 - Công việc chính'!$AA$14:$AA$73,$T163))))</f>
        <v>#REF!</v>
      </c>
      <c r="O163" s="690" t="str">
        <f t="array" ref="O163">IF($S163="","",IF($S163="Lớp 5",INDEX('Lớp 5 - Phân công'!$AB$14:$AB$262,$T163),IF($S163="Lớp 4",INDEX('Lớp 4 - Danh mục'!$AA$14:$AA$132,$T163),INDEX('Lớp 3 - Công việc chính'!$X$14:$X$73,$T163))))</f>
        <v>#REF!</v>
      </c>
      <c r="P163" s="703" t="str">
        <f t="array" ref="P163">IF($S163="","",IF($S163="Lớp 5",INDEX('Lớp 5 - Phân công'!$AC$14:$AC$262,$T163),IF($S163="Lớp 4",INDEX('Lớp 4 - Danh mục'!$AB$14:$AB$132,$T163),INDEX('Lớp 3 - Công việc chính'!$Y$14:$Y$73,$T163))))</f>
        <v>#REF!</v>
      </c>
      <c r="Q163" s="697" t="str">
        <f t="array" ref="Q163">IF($S163="","",IF($S163="Lớp 5",INDEX('Lớp 5 - Phân công'!$AG$14:$AG$262,$T163),IF($S163="Lớp 4",INDEX('Lớp 4 - Danh mục'!$AF$14:$AF$132,$T163),INDEX('Lớp 3 - Công việc chính'!$AC$14:$AC$73,$T163))))</f>
        <v>#REF!</v>
      </c>
      <c r="R163" s="698" t="str">
        <f t="array" ref="R163">IF($S163="","",IF($S163="Lớp 5",INDEX('Lớp 5 - Phân công'!$X$14:$X$262,$T163),IF($S163="Lớp 4",INDEX('Lớp 4 - Danh mục'!$V$14:$V$132,$T163),INDEX('Lớp 3 - Công việc chính'!$T$14:$T$73,$T163))))</f>
        <v>#REF!</v>
      </c>
      <c r="S163" s="699" t="str">
        <f>IF(ROWS($S$14:S163)&lt;=COUNTIF('Lớp 5 - Phân công'!$I$14:$I$262,"&lt;&gt;"),"Lớp 5",IF(ROWS($S$14:S163)&lt;=COUNTIF('Lớp 5 - Phân công'!$I$14:$I$262,"&lt;&gt;")+SUMPRODUCT(--('Lớp 4 - Danh mục'!$I$14:$I$132&lt;&gt;""),--(COUNTIF('Lớp 5 - Phân công'!$J$14:$J$262,'Lớp 4 - Danh mục'!$I$14:$I$132)=0)),"Lớp 4",IF(ROWS($S$14:S163)&lt;=COUNTIF('Lớp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3" s="699" t="str">
        <f t="array" ref="T163">IF(S163="","",IF(S163="Lớp 5",IF(S162&lt;&gt;"Lớp 5",MATCH("*",'Lớp 5 - Phân công'!$I$14:$I$262,0),T162+MATCH("*",INDEX('Lớp 5 - Phân công'!$I$14:$I$262,T162+1):'Lớp 5 - Phân công'!$I$262,0)),IF(S163="Lớp 4",IF(S162&lt;&gt;"Lớp 4",MATCH(1,INDEX(('Lớp 4 - Danh mục'!$I$14:$I$132&lt;&gt;"")*(COUNTIF('Lớp 5 - Phân công'!$J$14:$J$262,'Lớp 4 - Danh mục'!$I$14:$I$132)=0),0),0),T162+MATCH(1,INDEX((INDEX('Lớp 4 - Danh mục'!$I$14:$I$132,T162+1):'Lớp 4 - Danh mục'!$I$132&lt;&gt;"")*(COUNTIF('Lớp 5 - Phân công'!$J$14:$J$262,INDEX('Lớp 4 - Danh mục'!$I$14:$I$132,T162+1):'Lớp 4 - Danh mục'!$I$132)=0),0),0)),IF(S162&lt;&gt;"Lớp 3",MATCH(1,INDEX(('Lớp 3 - Công việc chính'!$I$14:$I$73&lt;&gt;"")*(COUNTIF('Lớp 4 - Danh mục'!$J$14:$J$132,'Lớp 3 - Công việc chính'!$I$14:$I$73)=0),0),0),T162+MATCH(1,INDEX((INDEX('Lớp 3 - Công việc chính'!$I$14:$I$73,T162+1):'Lớp 3 - Công việc chính'!$I$73&lt;&gt;"")*(COUNTIF('Lớp 4 - Danh mục'!$J$14:$J$132,INDEX('Lớp 3 - Công việc chính'!$I$14:$I$73,T162+1):'Lớp 3 - Công việc chính'!$I$73)=0),0),0)))))</f>
        <v>#REF!</v>
      </c>
      <c r="Z163" s="700" t="str">
        <f t="array" ref="Z163">IF($S163="","",IF($S163="Lớp 5",INDEX('Lớp 5 - Phân công'!$AS$14:$AS$262,$T163),IF($S163="Lớp 4",INDEX('Lớp 4 - Danh mục'!$AR$14:$AR$132,$T163),INDEX('Lớp 3 - Công việc chính'!$AO$14:$AO$73,$T163))))</f>
        <v>#REF!</v>
      </c>
      <c r="AA163" s="701" t="str">
        <f t="array" ref="AA163">IF($S163="","",IF($S163="Lớp 5",INDEX('Lớp 5 - Phân công'!$AT$14:$AT$262,$T163),IF($S163="Lớp 4",INDEX('Lớp 4 - Danh mục'!$AS$14:$AS$132,$T163),INDEX('Lớp 3 - Công việc chính'!$AP$14:$AP$73,$T163))))</f>
        <v>#REF!</v>
      </c>
      <c r="AB163" s="701" t="str">
        <f t="array" ref="AB163">IF($S163="","",IF($S163="Lớp 5",INDEX('Lớp 5 - Phân công'!$AJ$14:$AJ$262,$T163),IF($S163="Lớp 4",INDEX('Lớp 4 - Danh mục'!$AI$14:$AI$132,$T163),INDEX('Lớp 3 - Công việc chính'!$AF$14:$AF$73,$T163))))</f>
        <v>#REF!</v>
      </c>
      <c r="AC163" s="702" t="str">
        <f t="array" ref="AC163">IF($S163="","",IF($S163="Lớp 5",INDEX('Lớp 5 - Phân công'!$AV$14:$AV$262,$T163),IF($S163="Lớp 4",INDEX('Lớp 4 - Danh mục'!$AU$14:$AU$132,$T163),INDEX('Lớp 3 - Công việc chính'!$AR$14:$AR$73,$T163))))</f>
        <v>#REF!</v>
      </c>
    </row>
    <row r="164" ht="15.75" customHeight="1">
      <c r="A164" s="690" t="str">
        <f t="shared" si="1"/>
        <v>#REF!</v>
      </c>
      <c r="B164" s="690" t="str">
        <f t="array" ref="B164">IF($S164="","",IF($S164="Lớp 5",INDEX('Lớp 5 - Phân công'!$I$14:$I$262,$T164),IF($S164="Lớp 4",INDEX('Lớp 4 - Danh mục'!$I$14:$I$132,$T164),INDEX('Lớp 3 - Công việc chính'!$I$14:$I$73,$T164))))</f>
        <v>#REF!</v>
      </c>
      <c r="C164" s="690" t="str">
        <f t="array" ref="C164">IF($S164="","",IF($S164="Lớp 5",INDEX('Lớp 5 - Phân công'!$K$14:$K$262,$T164),IF($S164="Lớp 4",INDEX('Lớp 4 - Danh mục'!$J$14:$J$132,$T164),INDEX('Lớp 3 - Công việc chính'!$I$14:$I$73,$T164))))</f>
        <v>#REF!</v>
      </c>
      <c r="D164" s="690" t="str">
        <f t="array" ref="D164">IF($S164="","",IF($S164="Lớp 5",INDEX('Lớp 5 - Phân công'!$J$14:$J$262,$T164),IF($S164="Lớp 4",INDEX('Lớp 4 - Danh mục'!$I$14:$I$132,$T164),"")))</f>
        <v>#REF!</v>
      </c>
      <c r="E164" s="690" t="str">
        <f t="array" ref="E164">IF($S164="","",IF($S164="Lớp 5",INDEX('Lớp 5 - Phân công'!$L$14:$L$262,$T164),IF($S164="Lớp 4",INDEX('Lớp 4 - Danh mục'!$K$14:$K$132,$T164),INDEX('Lớp 3 - Công việc chính'!$J$14:$J$73,$T164))))</f>
        <v>#REF!</v>
      </c>
      <c r="F164" s="690" t="str">
        <f t="array" ref="F164">IF($S164="","",IF($S164="Lớp 5",INDEX('Lớp 5 - Phân công'!$M$14:$M$262,$T164),IF($S164="Lớp 4",INDEX('Lớp 4 - Danh mục'!$L$14:$L$132,$T164),INDEX('Lớp 3 - Công việc chính'!$K$14:$K$73,$T164))))</f>
        <v>#REF!</v>
      </c>
      <c r="G164" s="691" t="str">
        <f t="array" ref="G164">IF($S164="","",IF($S164="Lớp 5",INDEX('Lớp 5 - Phân công'!$N$14:$N$262,$T164),IF($S164="Lớp 4",INDEX('Lớp 4 - Danh mục'!$M$14:$M$132,$T164),INDEX('Lớp 3 - Công việc chính'!$L$14:$L$73,$T164))))</f>
        <v>#REF!</v>
      </c>
      <c r="H164" s="692" t="str">
        <f t="array" ref="H164">IF($S164="","",IF($S164="Lớp 5",INDEX('Lớp 5 - Phân công'!$O$14:$O$262,$T164),IF($S164="Lớp 4",INDEX('Lớp 4 - Danh mục'!$N$14:$N$132,$T164),INDEX('Lớp 3 - Công việc chính'!$M$14:$M$73,$T164))))</f>
        <v>#REF!</v>
      </c>
      <c r="I164" s="692" t="str">
        <f t="array" ref="I164">IF($S164="","",IF($S164="Lớp 5",INDEX('Lớp 5 - Phân công'!$P$14:$P$262,$T164),IF($S164="Lớp 4",INDEX('Lớp 4 - Danh mục'!$O$14:$O$132,$T164),"")))</f>
        <v>#REF!</v>
      </c>
      <c r="J164" s="693" t="str">
        <f t="array" ref="J164">IF($S164="","",IF($S164="Lớp 5",INDEX('Lớp 5 - Phân công'!$Q$14:$Q$262,$T164),""))</f>
        <v>#REF!</v>
      </c>
      <c r="K164" s="690" t="str">
        <f t="array" ref="K164">IF($S164="","",IF($S164="Lớp 5",INDEX('Lớp 5 - Phân công'!$AA$14:$AA$262,$T164),IF($S164="Lớp 4",INDEX('Lớp 4 - Danh mục'!$Y$14:$Y$132,$T164),INDEX('Lớp 3 - Công việc chính'!$U$14:$U$73,$T164))))</f>
        <v>#REF!</v>
      </c>
      <c r="L164" s="691" t="str">
        <f t="array" ref="L164">IF($S164="","",IF($S164="Lớp 5",INDEX('Lớp 5 - Phân công'!$Z$14:$Z$262,$T164),IF($S164="Lớp 4",INDEX('Lớp 4 - Danh mục'!$X$14:$X$132,$T164),INDEX('Lớp 3 - Công việc chính'!$W$14:$W$73,$T164))))</f>
        <v>#REF!</v>
      </c>
      <c r="M164" s="694" t="str">
        <f t="array" ref="M164">IF($S164="","",IF($S164="Lớp 5",INDEX('Lớp 5 - Phân công'!$AD$14:$AD$262,$T164),IF($S164="Lớp 4",INDEX('Lớp 4 - Danh mục'!$AC$14:$AC$132,$T164),INDEX('Lớp 3 - Công việc chính'!$Z$14:$Z$73,$T164))))</f>
        <v>#REF!</v>
      </c>
      <c r="N164" s="695" t="str">
        <f t="array" ref="N164">IF($S164="","",IF($S164="Lớp 5",INDEX('Lớp 5 - Phân công'!$AE$14:$AE$262,$T164),IF($S164="Lớp 4",INDEX('Lớp 4 - Danh mục'!$AD$14:$AD$132,$T164),INDEX('Lớp 3 - Công việc chính'!$AA$14:$AA$73,$T164))))</f>
        <v>#REF!</v>
      </c>
      <c r="O164" s="690" t="str">
        <f t="array" ref="O164">IF($S164="","",IF($S164="Lớp 5",INDEX('Lớp 5 - Phân công'!$AB$14:$AB$262,$T164),IF($S164="Lớp 4",INDEX('Lớp 4 - Danh mục'!$AA$14:$AA$132,$T164),INDEX('Lớp 3 - Công việc chính'!$X$14:$X$73,$T164))))</f>
        <v>#REF!</v>
      </c>
      <c r="P164" s="703" t="str">
        <f t="array" ref="P164">IF($S164="","",IF($S164="Lớp 5",INDEX('Lớp 5 - Phân công'!$AC$14:$AC$262,$T164),IF($S164="Lớp 4",INDEX('Lớp 4 - Danh mục'!$AB$14:$AB$132,$T164),INDEX('Lớp 3 - Công việc chính'!$Y$14:$Y$73,$T164))))</f>
        <v>#REF!</v>
      </c>
      <c r="Q164" s="697" t="str">
        <f t="array" ref="Q164">IF($S164="","",IF($S164="Lớp 5",INDEX('Lớp 5 - Phân công'!$AG$14:$AG$262,$T164),IF($S164="Lớp 4",INDEX('Lớp 4 - Danh mục'!$AF$14:$AF$132,$T164),INDEX('Lớp 3 - Công việc chính'!$AC$14:$AC$73,$T164))))</f>
        <v>#REF!</v>
      </c>
      <c r="R164" s="698" t="str">
        <f t="array" ref="R164">IF($S164="","",IF($S164="Lớp 5",INDEX('Lớp 5 - Phân công'!$X$14:$X$262,$T164),IF($S164="Lớp 4",INDEX('Lớp 4 - Danh mục'!$V$14:$V$132,$T164),INDEX('Lớp 3 - Công việc chính'!$T$14:$T$73,$T164))))</f>
        <v>#REF!</v>
      </c>
      <c r="S164" s="699" t="str">
        <f>IF(ROWS($S$14:S164)&lt;=COUNTIF('Lớp 5 - Phân công'!$I$14:$I$262,"&lt;&gt;"),"Lớp 5",IF(ROWS($S$14:S164)&lt;=COUNTIF('Lớp 5 - Phân công'!$I$14:$I$262,"&lt;&gt;")+SUMPRODUCT(--('Lớp 4 - Danh mục'!$I$14:$I$132&lt;&gt;""),--(COUNTIF('Lớp 5 - Phân công'!$J$14:$J$262,'Lớp 4 - Danh mục'!$I$14:$I$132)=0)),"Lớp 4",IF(ROWS($S$14:S164)&lt;=COUNTIF('Lớp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4" s="699" t="str">
        <f t="array" ref="T164">IF(S164="","",IF(S164="Lớp 5",IF(S163&lt;&gt;"Lớp 5",MATCH("*",'Lớp 5 - Phân công'!$I$14:$I$262,0),T163+MATCH("*",INDEX('Lớp 5 - Phân công'!$I$14:$I$262,T163+1):'Lớp 5 - Phân công'!$I$262,0)),IF(S164="Lớp 4",IF(S163&lt;&gt;"Lớp 4",MATCH(1,INDEX(('Lớp 4 - Danh mục'!$I$14:$I$132&lt;&gt;"")*(COUNTIF('Lớp 5 - Phân công'!$J$14:$J$262,'Lớp 4 - Danh mục'!$I$14:$I$132)=0),0),0),T163+MATCH(1,INDEX((INDEX('Lớp 4 - Danh mục'!$I$14:$I$132,T163+1):'Lớp 4 - Danh mục'!$I$132&lt;&gt;"")*(COUNTIF('Lớp 5 - Phân công'!$J$14:$J$262,INDEX('Lớp 4 - Danh mục'!$I$14:$I$132,T163+1):'Lớp 4 - Danh mục'!$I$132)=0),0),0)),IF(S163&lt;&gt;"Lớp 3",MATCH(1,INDEX(('Lớp 3 - Công việc chính'!$I$14:$I$73&lt;&gt;"")*(COUNTIF('Lớp 4 - Danh mục'!$J$14:$J$132,'Lớp 3 - Công việc chính'!$I$14:$I$73)=0),0),0),T163+MATCH(1,INDEX((INDEX('Lớp 3 - Công việc chính'!$I$14:$I$73,T163+1):'Lớp 3 - Công việc chính'!$I$73&lt;&gt;"")*(COUNTIF('Lớp 4 - Danh mục'!$J$14:$J$132,INDEX('Lớp 3 - Công việc chính'!$I$14:$I$73,T163+1):'Lớp 3 - Công việc chính'!$I$73)=0),0),0)))))</f>
        <v>#REF!</v>
      </c>
      <c r="Z164" s="700" t="str">
        <f t="array" ref="Z164">IF($S164="","",IF($S164="Lớp 5",INDEX('Lớp 5 - Phân công'!$AS$14:$AS$262,$T164),IF($S164="Lớp 4",INDEX('Lớp 4 - Danh mục'!$AR$14:$AR$132,$T164),INDEX('Lớp 3 - Công việc chính'!$AO$14:$AO$73,$T164))))</f>
        <v>#REF!</v>
      </c>
      <c r="AA164" s="701" t="str">
        <f t="array" ref="AA164">IF($S164="","",IF($S164="Lớp 5",INDEX('Lớp 5 - Phân công'!$AT$14:$AT$262,$T164),IF($S164="Lớp 4",INDEX('Lớp 4 - Danh mục'!$AS$14:$AS$132,$T164),INDEX('Lớp 3 - Công việc chính'!$AP$14:$AP$73,$T164))))</f>
        <v>#REF!</v>
      </c>
      <c r="AB164" s="701" t="str">
        <f t="array" ref="AB164">IF($S164="","",IF($S164="Lớp 5",INDEX('Lớp 5 - Phân công'!$AJ$14:$AJ$262,$T164),IF($S164="Lớp 4",INDEX('Lớp 4 - Danh mục'!$AI$14:$AI$132,$T164),INDEX('Lớp 3 - Công việc chính'!$AF$14:$AF$73,$T164))))</f>
        <v>#REF!</v>
      </c>
      <c r="AC164" s="702" t="str">
        <f t="array" ref="AC164">IF($S164="","",IF($S164="Lớp 5",INDEX('Lớp 5 - Phân công'!$AV$14:$AV$262,$T164),IF($S164="Lớp 4",INDEX('Lớp 4 - Danh mục'!$AU$14:$AU$132,$T164),INDEX('Lớp 3 - Công việc chính'!$AR$14:$AR$73,$T164))))</f>
        <v>#REF!</v>
      </c>
    </row>
    <row r="165" ht="15.75" customHeight="1">
      <c r="A165" s="690" t="str">
        <f t="shared" si="1"/>
        <v>#REF!</v>
      </c>
      <c r="B165" s="690" t="str">
        <f t="array" ref="B165">IF($S165="","",IF($S165="Lớp 5",INDEX('Lớp 5 - Phân công'!$I$14:$I$262,$T165),IF($S165="Lớp 4",INDEX('Lớp 4 - Danh mục'!$I$14:$I$132,$T165),INDEX('Lớp 3 - Công việc chính'!$I$14:$I$73,$T165))))</f>
        <v>#REF!</v>
      </c>
      <c r="C165" s="690" t="str">
        <f t="array" ref="C165">IF($S165="","",IF($S165="Lớp 5",INDEX('Lớp 5 - Phân công'!$K$14:$K$262,$T165),IF($S165="Lớp 4",INDEX('Lớp 4 - Danh mục'!$J$14:$J$132,$T165),INDEX('Lớp 3 - Công việc chính'!$I$14:$I$73,$T165))))</f>
        <v>#REF!</v>
      </c>
      <c r="D165" s="690" t="str">
        <f t="array" ref="D165">IF($S165="","",IF($S165="Lớp 5",INDEX('Lớp 5 - Phân công'!$J$14:$J$262,$T165),IF($S165="Lớp 4",INDEX('Lớp 4 - Danh mục'!$I$14:$I$132,$T165),"")))</f>
        <v>#REF!</v>
      </c>
      <c r="E165" s="690" t="str">
        <f t="array" ref="E165">IF($S165="","",IF($S165="Lớp 5",INDEX('Lớp 5 - Phân công'!$L$14:$L$262,$T165),IF($S165="Lớp 4",INDEX('Lớp 4 - Danh mục'!$K$14:$K$132,$T165),INDEX('Lớp 3 - Công việc chính'!$J$14:$J$73,$T165))))</f>
        <v>#REF!</v>
      </c>
      <c r="F165" s="690" t="str">
        <f t="array" ref="F165">IF($S165="","",IF($S165="Lớp 5",INDEX('Lớp 5 - Phân công'!$M$14:$M$262,$T165),IF($S165="Lớp 4",INDEX('Lớp 4 - Danh mục'!$L$14:$L$132,$T165),INDEX('Lớp 3 - Công việc chính'!$K$14:$K$73,$T165))))</f>
        <v>#REF!</v>
      </c>
      <c r="G165" s="691" t="str">
        <f t="array" ref="G165">IF($S165="","",IF($S165="Lớp 5",INDEX('Lớp 5 - Phân công'!$N$14:$N$262,$T165),IF($S165="Lớp 4",INDEX('Lớp 4 - Danh mục'!$M$14:$M$132,$T165),INDEX('Lớp 3 - Công việc chính'!$L$14:$L$73,$T165))))</f>
        <v>#REF!</v>
      </c>
      <c r="H165" s="692" t="str">
        <f t="array" ref="H165">IF($S165="","",IF($S165="Lớp 5",INDEX('Lớp 5 - Phân công'!$O$14:$O$262,$T165),IF($S165="Lớp 4",INDEX('Lớp 4 - Danh mục'!$N$14:$N$132,$T165),INDEX('Lớp 3 - Công việc chính'!$M$14:$M$73,$T165))))</f>
        <v>#REF!</v>
      </c>
      <c r="I165" s="692" t="str">
        <f t="array" ref="I165">IF($S165="","",IF($S165="Lớp 5",INDEX('Lớp 5 - Phân công'!$P$14:$P$262,$T165),IF($S165="Lớp 4",INDEX('Lớp 4 - Danh mục'!$O$14:$O$132,$T165),"")))</f>
        <v>#REF!</v>
      </c>
      <c r="J165" s="693" t="str">
        <f t="array" ref="J165">IF($S165="","",IF($S165="Lớp 5",INDEX('Lớp 5 - Phân công'!$Q$14:$Q$262,$T165),""))</f>
        <v>#REF!</v>
      </c>
      <c r="K165" s="690" t="str">
        <f t="array" ref="K165">IF($S165="","",IF($S165="Lớp 5",INDEX('Lớp 5 - Phân công'!$AA$14:$AA$262,$T165),IF($S165="Lớp 4",INDEX('Lớp 4 - Danh mục'!$Y$14:$Y$132,$T165),INDEX('Lớp 3 - Công việc chính'!$U$14:$U$73,$T165))))</f>
        <v>#REF!</v>
      </c>
      <c r="L165" s="691" t="str">
        <f t="array" ref="L165">IF($S165="","",IF($S165="Lớp 5",INDEX('Lớp 5 - Phân công'!$Z$14:$Z$262,$T165),IF($S165="Lớp 4",INDEX('Lớp 4 - Danh mục'!$X$14:$X$132,$T165),INDEX('Lớp 3 - Công việc chính'!$W$14:$W$73,$T165))))</f>
        <v>#REF!</v>
      </c>
      <c r="M165" s="694" t="str">
        <f t="array" ref="M165">IF($S165="","",IF($S165="Lớp 5",INDEX('Lớp 5 - Phân công'!$AD$14:$AD$262,$T165),IF($S165="Lớp 4",INDEX('Lớp 4 - Danh mục'!$AC$14:$AC$132,$T165),INDEX('Lớp 3 - Công việc chính'!$Z$14:$Z$73,$T165))))</f>
        <v>#REF!</v>
      </c>
      <c r="N165" s="695" t="str">
        <f t="array" ref="N165">IF($S165="","",IF($S165="Lớp 5",INDEX('Lớp 5 - Phân công'!$AE$14:$AE$262,$T165),IF($S165="Lớp 4",INDEX('Lớp 4 - Danh mục'!$AD$14:$AD$132,$T165),INDEX('Lớp 3 - Công việc chính'!$AA$14:$AA$73,$T165))))</f>
        <v>#REF!</v>
      </c>
      <c r="O165" s="690" t="str">
        <f t="array" ref="O165">IF($S165="","",IF($S165="Lớp 5",INDEX('Lớp 5 - Phân công'!$AB$14:$AB$262,$T165),IF($S165="Lớp 4",INDEX('Lớp 4 - Danh mục'!$AA$14:$AA$132,$T165),INDEX('Lớp 3 - Công việc chính'!$X$14:$X$73,$T165))))</f>
        <v>#REF!</v>
      </c>
      <c r="P165" s="703" t="str">
        <f t="array" ref="P165">IF($S165="","",IF($S165="Lớp 5",INDEX('Lớp 5 - Phân công'!$AC$14:$AC$262,$T165),IF($S165="Lớp 4",INDEX('Lớp 4 - Danh mục'!$AB$14:$AB$132,$T165),INDEX('Lớp 3 - Công việc chính'!$Y$14:$Y$73,$T165))))</f>
        <v>#REF!</v>
      </c>
      <c r="Q165" s="697" t="str">
        <f t="array" ref="Q165">IF($S165="","",IF($S165="Lớp 5",INDEX('Lớp 5 - Phân công'!$AG$14:$AG$262,$T165),IF($S165="Lớp 4",INDEX('Lớp 4 - Danh mục'!$AF$14:$AF$132,$T165),INDEX('Lớp 3 - Công việc chính'!$AC$14:$AC$73,$T165))))</f>
        <v>#REF!</v>
      </c>
      <c r="R165" s="698" t="str">
        <f t="array" ref="R165">IF($S165="","",IF($S165="Lớp 5",INDEX('Lớp 5 - Phân công'!$X$14:$X$262,$T165),IF($S165="Lớp 4",INDEX('Lớp 4 - Danh mục'!$V$14:$V$132,$T165),INDEX('Lớp 3 - Công việc chính'!$T$14:$T$73,$T165))))</f>
        <v>#REF!</v>
      </c>
      <c r="S165" s="699" t="str">
        <f>IF(ROWS($S$14:S165)&lt;=COUNTIF('Lớp 5 - Phân công'!$I$14:$I$262,"&lt;&gt;"),"Lớp 5",IF(ROWS($S$14:S165)&lt;=COUNTIF('Lớp 5 - Phân công'!$I$14:$I$262,"&lt;&gt;")+SUMPRODUCT(--('Lớp 4 - Danh mục'!$I$14:$I$132&lt;&gt;""),--(COUNTIF('Lớp 5 - Phân công'!$J$14:$J$262,'Lớp 4 - Danh mục'!$I$14:$I$132)=0)),"Lớp 4",IF(ROWS($S$14:S165)&lt;=COUNTIF('Lớp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5" s="699" t="str">
        <f t="array" ref="T165">IF(S165="","",IF(S165="Lớp 5",IF(S164&lt;&gt;"Lớp 5",MATCH("*",'Lớp 5 - Phân công'!$I$14:$I$262,0),T164+MATCH("*",INDEX('Lớp 5 - Phân công'!$I$14:$I$262,T164+1):'Lớp 5 - Phân công'!$I$262,0)),IF(S165="Lớp 4",IF(S164&lt;&gt;"Lớp 4",MATCH(1,INDEX(('Lớp 4 - Danh mục'!$I$14:$I$132&lt;&gt;"")*(COUNTIF('Lớp 5 - Phân công'!$J$14:$J$262,'Lớp 4 - Danh mục'!$I$14:$I$132)=0),0),0),T164+MATCH(1,INDEX((INDEX('Lớp 4 - Danh mục'!$I$14:$I$132,T164+1):'Lớp 4 - Danh mục'!$I$132&lt;&gt;"")*(COUNTIF('Lớp 5 - Phân công'!$J$14:$J$262,INDEX('Lớp 4 - Danh mục'!$I$14:$I$132,T164+1):'Lớp 4 - Danh mục'!$I$132)=0),0),0)),IF(S164&lt;&gt;"Lớp 3",MATCH(1,INDEX(('Lớp 3 - Công việc chính'!$I$14:$I$73&lt;&gt;"")*(COUNTIF('Lớp 4 - Danh mục'!$J$14:$J$132,'Lớp 3 - Công việc chính'!$I$14:$I$73)=0),0),0),T164+MATCH(1,INDEX((INDEX('Lớp 3 - Công việc chính'!$I$14:$I$73,T164+1):'Lớp 3 - Công việc chính'!$I$73&lt;&gt;"")*(COUNTIF('Lớp 4 - Danh mục'!$J$14:$J$132,INDEX('Lớp 3 - Công việc chính'!$I$14:$I$73,T164+1):'Lớp 3 - Công việc chính'!$I$73)=0),0),0)))))</f>
        <v>#REF!</v>
      </c>
      <c r="Z165" s="700" t="str">
        <f t="array" ref="Z165">IF($S165="","",IF($S165="Lớp 5",INDEX('Lớp 5 - Phân công'!$AS$14:$AS$262,$T165),IF($S165="Lớp 4",INDEX('Lớp 4 - Danh mục'!$AR$14:$AR$132,$T165),INDEX('Lớp 3 - Công việc chính'!$AO$14:$AO$73,$T165))))</f>
        <v>#REF!</v>
      </c>
      <c r="AA165" s="701" t="str">
        <f t="array" ref="AA165">IF($S165="","",IF($S165="Lớp 5",INDEX('Lớp 5 - Phân công'!$AT$14:$AT$262,$T165),IF($S165="Lớp 4",INDEX('Lớp 4 - Danh mục'!$AS$14:$AS$132,$T165),INDEX('Lớp 3 - Công việc chính'!$AP$14:$AP$73,$T165))))</f>
        <v>#REF!</v>
      </c>
      <c r="AB165" s="701" t="str">
        <f t="array" ref="AB165">IF($S165="","",IF($S165="Lớp 5",INDEX('Lớp 5 - Phân công'!$AJ$14:$AJ$262,$T165),IF($S165="Lớp 4",INDEX('Lớp 4 - Danh mục'!$AI$14:$AI$132,$T165),INDEX('Lớp 3 - Công việc chính'!$AF$14:$AF$73,$T165))))</f>
        <v>#REF!</v>
      </c>
      <c r="AC165" s="702" t="str">
        <f t="array" ref="AC165">IF($S165="","",IF($S165="Lớp 5",INDEX('Lớp 5 - Phân công'!$AV$14:$AV$262,$T165),IF($S165="Lớp 4",INDEX('Lớp 4 - Danh mục'!$AU$14:$AU$132,$T165),INDEX('Lớp 3 - Công việc chính'!$AR$14:$AR$73,$T165))))</f>
        <v>#REF!</v>
      </c>
    </row>
    <row r="166" ht="15.75" customHeight="1">
      <c r="A166" s="690" t="str">
        <f t="shared" si="1"/>
        <v>#REF!</v>
      </c>
      <c r="B166" s="690" t="str">
        <f t="array" ref="B166">IF($S166="","",IF($S166="Lớp 5",INDEX('Lớp 5 - Phân công'!$I$14:$I$262,$T166),IF($S166="Lớp 4",INDEX('Lớp 4 - Danh mục'!$I$14:$I$132,$T166),INDEX('Lớp 3 - Công việc chính'!$I$14:$I$73,$T166))))</f>
        <v>#REF!</v>
      </c>
      <c r="C166" s="690" t="str">
        <f t="array" ref="C166">IF($S166="","",IF($S166="Lớp 5",INDEX('Lớp 5 - Phân công'!$K$14:$K$262,$T166),IF($S166="Lớp 4",INDEX('Lớp 4 - Danh mục'!$J$14:$J$132,$T166),INDEX('Lớp 3 - Công việc chính'!$I$14:$I$73,$T166))))</f>
        <v>#REF!</v>
      </c>
      <c r="D166" s="690" t="str">
        <f t="array" ref="D166">IF($S166="","",IF($S166="Lớp 5",INDEX('Lớp 5 - Phân công'!$J$14:$J$262,$T166),IF($S166="Lớp 4",INDEX('Lớp 4 - Danh mục'!$I$14:$I$132,$T166),"")))</f>
        <v>#REF!</v>
      </c>
      <c r="E166" s="690" t="str">
        <f t="array" ref="E166">IF($S166="","",IF($S166="Lớp 5",INDEX('Lớp 5 - Phân công'!$L$14:$L$262,$T166),IF($S166="Lớp 4",INDEX('Lớp 4 - Danh mục'!$K$14:$K$132,$T166),INDEX('Lớp 3 - Công việc chính'!$J$14:$J$73,$T166))))</f>
        <v>#REF!</v>
      </c>
      <c r="F166" s="690" t="str">
        <f t="array" ref="F166">IF($S166="","",IF($S166="Lớp 5",INDEX('Lớp 5 - Phân công'!$M$14:$M$262,$T166),IF($S166="Lớp 4",INDEX('Lớp 4 - Danh mục'!$L$14:$L$132,$T166),INDEX('Lớp 3 - Công việc chính'!$K$14:$K$73,$T166))))</f>
        <v>#REF!</v>
      </c>
      <c r="G166" s="691" t="str">
        <f t="array" ref="G166">IF($S166="","",IF($S166="Lớp 5",INDEX('Lớp 5 - Phân công'!$N$14:$N$262,$T166),IF($S166="Lớp 4",INDEX('Lớp 4 - Danh mục'!$M$14:$M$132,$T166),INDEX('Lớp 3 - Công việc chính'!$L$14:$L$73,$T166))))</f>
        <v>#REF!</v>
      </c>
      <c r="H166" s="692" t="str">
        <f t="array" ref="H166">IF($S166="","",IF($S166="Lớp 5",INDEX('Lớp 5 - Phân công'!$O$14:$O$262,$T166),IF($S166="Lớp 4",INDEX('Lớp 4 - Danh mục'!$N$14:$N$132,$T166),INDEX('Lớp 3 - Công việc chính'!$M$14:$M$73,$T166))))</f>
        <v>#REF!</v>
      </c>
      <c r="I166" s="692" t="str">
        <f t="array" ref="I166">IF($S166="","",IF($S166="Lớp 5",INDEX('Lớp 5 - Phân công'!$P$14:$P$262,$T166),IF($S166="Lớp 4",INDEX('Lớp 4 - Danh mục'!$O$14:$O$132,$T166),"")))</f>
        <v>#REF!</v>
      </c>
      <c r="J166" s="693" t="str">
        <f t="array" ref="J166">IF($S166="","",IF($S166="Lớp 5",INDEX('Lớp 5 - Phân công'!$Q$14:$Q$262,$T166),""))</f>
        <v>#REF!</v>
      </c>
      <c r="K166" s="690" t="str">
        <f t="array" ref="K166">IF($S166="","",IF($S166="Lớp 5",INDEX('Lớp 5 - Phân công'!$AA$14:$AA$262,$T166),IF($S166="Lớp 4",INDEX('Lớp 4 - Danh mục'!$Y$14:$Y$132,$T166),INDEX('Lớp 3 - Công việc chính'!$U$14:$U$73,$T166))))</f>
        <v>#REF!</v>
      </c>
      <c r="L166" s="691" t="str">
        <f t="array" ref="L166">IF($S166="","",IF($S166="Lớp 5",INDEX('Lớp 5 - Phân công'!$Z$14:$Z$262,$T166),IF($S166="Lớp 4",INDEX('Lớp 4 - Danh mục'!$X$14:$X$132,$T166),INDEX('Lớp 3 - Công việc chính'!$W$14:$W$73,$T166))))</f>
        <v>#REF!</v>
      </c>
      <c r="M166" s="694" t="str">
        <f t="array" ref="M166">IF($S166="","",IF($S166="Lớp 5",INDEX('Lớp 5 - Phân công'!$AD$14:$AD$262,$T166),IF($S166="Lớp 4",INDEX('Lớp 4 - Danh mục'!$AC$14:$AC$132,$T166),INDEX('Lớp 3 - Công việc chính'!$Z$14:$Z$73,$T166))))</f>
        <v>#REF!</v>
      </c>
      <c r="N166" s="695" t="str">
        <f t="array" ref="N166">IF($S166="","",IF($S166="Lớp 5",INDEX('Lớp 5 - Phân công'!$AE$14:$AE$262,$T166),IF($S166="Lớp 4",INDEX('Lớp 4 - Danh mục'!$AD$14:$AD$132,$T166),INDEX('Lớp 3 - Công việc chính'!$AA$14:$AA$73,$T166))))</f>
        <v>#REF!</v>
      </c>
      <c r="O166" s="690" t="str">
        <f t="array" ref="O166">IF($S166="","",IF($S166="Lớp 5",INDEX('Lớp 5 - Phân công'!$AB$14:$AB$262,$T166),IF($S166="Lớp 4",INDEX('Lớp 4 - Danh mục'!$AA$14:$AA$132,$T166),INDEX('Lớp 3 - Công việc chính'!$X$14:$X$73,$T166))))</f>
        <v>#REF!</v>
      </c>
      <c r="P166" s="703" t="str">
        <f t="array" ref="P166">IF($S166="","",IF($S166="Lớp 5",INDEX('Lớp 5 - Phân công'!$AC$14:$AC$262,$T166),IF($S166="Lớp 4",INDEX('Lớp 4 - Danh mục'!$AB$14:$AB$132,$T166),INDEX('Lớp 3 - Công việc chính'!$Y$14:$Y$73,$T166))))</f>
        <v>#REF!</v>
      </c>
      <c r="Q166" s="697" t="str">
        <f t="array" ref="Q166">IF($S166="","",IF($S166="Lớp 5",INDEX('Lớp 5 - Phân công'!$AG$14:$AG$262,$T166),IF($S166="Lớp 4",INDEX('Lớp 4 - Danh mục'!$AF$14:$AF$132,$T166),INDEX('Lớp 3 - Công việc chính'!$AC$14:$AC$73,$T166))))</f>
        <v>#REF!</v>
      </c>
      <c r="R166" s="698" t="str">
        <f t="array" ref="R166">IF($S166="","",IF($S166="Lớp 5",INDEX('Lớp 5 - Phân công'!$X$14:$X$262,$T166),IF($S166="Lớp 4",INDEX('Lớp 4 - Danh mục'!$V$14:$V$132,$T166),INDEX('Lớp 3 - Công việc chính'!$T$14:$T$73,$T166))))</f>
        <v>#REF!</v>
      </c>
      <c r="S166" s="699" t="str">
        <f>IF(ROWS($S$14:S166)&lt;=COUNTIF('Lớp 5 - Phân công'!$I$14:$I$262,"&lt;&gt;"),"Lớp 5",IF(ROWS($S$14:S166)&lt;=COUNTIF('Lớp 5 - Phân công'!$I$14:$I$262,"&lt;&gt;")+SUMPRODUCT(--('Lớp 4 - Danh mục'!$I$14:$I$132&lt;&gt;""),--(COUNTIF('Lớp 5 - Phân công'!$J$14:$J$262,'Lớp 4 - Danh mục'!$I$14:$I$132)=0)),"Lớp 4",IF(ROWS($S$14:S166)&lt;=COUNTIF('Lớp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6" s="699" t="str">
        <f t="array" ref="T166">IF(S166="","",IF(S166="Lớp 5",IF(S165&lt;&gt;"Lớp 5",MATCH("*",'Lớp 5 - Phân công'!$I$14:$I$262,0),T165+MATCH("*",INDEX('Lớp 5 - Phân công'!$I$14:$I$262,T165+1):'Lớp 5 - Phân công'!$I$262,0)),IF(S166="Lớp 4",IF(S165&lt;&gt;"Lớp 4",MATCH(1,INDEX(('Lớp 4 - Danh mục'!$I$14:$I$132&lt;&gt;"")*(COUNTIF('Lớp 5 - Phân công'!$J$14:$J$262,'Lớp 4 - Danh mục'!$I$14:$I$132)=0),0),0),T165+MATCH(1,INDEX((INDEX('Lớp 4 - Danh mục'!$I$14:$I$132,T165+1):'Lớp 4 - Danh mục'!$I$132&lt;&gt;"")*(COUNTIF('Lớp 5 - Phân công'!$J$14:$J$262,INDEX('Lớp 4 - Danh mục'!$I$14:$I$132,T165+1):'Lớp 4 - Danh mục'!$I$132)=0),0),0)),IF(S165&lt;&gt;"Lớp 3",MATCH(1,INDEX(('Lớp 3 - Công việc chính'!$I$14:$I$73&lt;&gt;"")*(COUNTIF('Lớp 4 - Danh mục'!$J$14:$J$132,'Lớp 3 - Công việc chính'!$I$14:$I$73)=0),0),0),T165+MATCH(1,INDEX((INDEX('Lớp 3 - Công việc chính'!$I$14:$I$73,T165+1):'Lớp 3 - Công việc chính'!$I$73&lt;&gt;"")*(COUNTIF('Lớp 4 - Danh mục'!$J$14:$J$132,INDEX('Lớp 3 - Công việc chính'!$I$14:$I$73,T165+1):'Lớp 3 - Công việc chính'!$I$73)=0),0),0)))))</f>
        <v>#REF!</v>
      </c>
      <c r="Z166" s="700" t="str">
        <f t="array" ref="Z166">IF($S166="","",IF($S166="Lớp 5",INDEX('Lớp 5 - Phân công'!$AS$14:$AS$262,$T166),IF($S166="Lớp 4",INDEX('Lớp 4 - Danh mục'!$AR$14:$AR$132,$T166),INDEX('Lớp 3 - Công việc chính'!$AO$14:$AO$73,$T166))))</f>
        <v>#REF!</v>
      </c>
      <c r="AA166" s="701" t="str">
        <f t="array" ref="AA166">IF($S166="","",IF($S166="Lớp 5",INDEX('Lớp 5 - Phân công'!$AT$14:$AT$262,$T166),IF($S166="Lớp 4",INDEX('Lớp 4 - Danh mục'!$AS$14:$AS$132,$T166),INDEX('Lớp 3 - Công việc chính'!$AP$14:$AP$73,$T166))))</f>
        <v>#REF!</v>
      </c>
      <c r="AB166" s="701" t="str">
        <f t="array" ref="AB166">IF($S166="","",IF($S166="Lớp 5",INDEX('Lớp 5 - Phân công'!$AJ$14:$AJ$262,$T166),IF($S166="Lớp 4",INDEX('Lớp 4 - Danh mục'!$AI$14:$AI$132,$T166),INDEX('Lớp 3 - Công việc chính'!$AF$14:$AF$73,$T166))))</f>
        <v>#REF!</v>
      </c>
      <c r="AC166" s="702" t="str">
        <f t="array" ref="AC166">IF($S166="","",IF($S166="Lớp 5",INDEX('Lớp 5 - Phân công'!$AV$14:$AV$262,$T166),IF($S166="Lớp 4",INDEX('Lớp 4 - Danh mục'!$AU$14:$AU$132,$T166),INDEX('Lớp 3 - Công việc chính'!$AR$14:$AR$73,$T166))))</f>
        <v>#REF!</v>
      </c>
    </row>
    <row r="167" ht="15.75" customHeight="1">
      <c r="A167" s="690" t="str">
        <f t="shared" si="1"/>
        <v>#REF!</v>
      </c>
      <c r="B167" s="690" t="str">
        <f t="array" ref="B167">IF($S167="","",IF($S167="Lớp 5",INDEX('Lớp 5 - Phân công'!$I$14:$I$262,$T167),IF($S167="Lớp 4",INDEX('Lớp 4 - Danh mục'!$I$14:$I$132,$T167),INDEX('Lớp 3 - Công việc chính'!$I$14:$I$73,$T167))))</f>
        <v>#REF!</v>
      </c>
      <c r="C167" s="690" t="str">
        <f t="array" ref="C167">IF($S167="","",IF($S167="Lớp 5",INDEX('Lớp 5 - Phân công'!$K$14:$K$262,$T167),IF($S167="Lớp 4",INDEX('Lớp 4 - Danh mục'!$J$14:$J$132,$T167),INDEX('Lớp 3 - Công việc chính'!$I$14:$I$73,$T167))))</f>
        <v>#REF!</v>
      </c>
      <c r="D167" s="690" t="str">
        <f t="array" ref="D167">IF($S167="","",IF($S167="Lớp 5",INDEX('Lớp 5 - Phân công'!$J$14:$J$262,$T167),IF($S167="Lớp 4",INDEX('Lớp 4 - Danh mục'!$I$14:$I$132,$T167),"")))</f>
        <v>#REF!</v>
      </c>
      <c r="E167" s="690" t="str">
        <f t="array" ref="E167">IF($S167="","",IF($S167="Lớp 5",INDEX('Lớp 5 - Phân công'!$L$14:$L$262,$T167),IF($S167="Lớp 4",INDEX('Lớp 4 - Danh mục'!$K$14:$K$132,$T167),INDEX('Lớp 3 - Công việc chính'!$J$14:$J$73,$T167))))</f>
        <v>#REF!</v>
      </c>
      <c r="F167" s="690" t="str">
        <f t="array" ref="F167">IF($S167="","",IF($S167="Lớp 5",INDEX('Lớp 5 - Phân công'!$M$14:$M$262,$T167),IF($S167="Lớp 4",INDEX('Lớp 4 - Danh mục'!$L$14:$L$132,$T167),INDEX('Lớp 3 - Công việc chính'!$K$14:$K$73,$T167))))</f>
        <v>#REF!</v>
      </c>
      <c r="G167" s="691" t="str">
        <f t="array" ref="G167">IF($S167="","",IF($S167="Lớp 5",INDEX('Lớp 5 - Phân công'!$N$14:$N$262,$T167),IF($S167="Lớp 4",INDEX('Lớp 4 - Danh mục'!$M$14:$M$132,$T167),INDEX('Lớp 3 - Công việc chính'!$L$14:$L$73,$T167))))</f>
        <v>#REF!</v>
      </c>
      <c r="H167" s="692" t="str">
        <f t="array" ref="H167">IF($S167="","",IF($S167="Lớp 5",INDEX('Lớp 5 - Phân công'!$O$14:$O$262,$T167),IF($S167="Lớp 4",INDEX('Lớp 4 - Danh mục'!$N$14:$N$132,$T167),INDEX('Lớp 3 - Công việc chính'!$M$14:$M$73,$T167))))</f>
        <v>#REF!</v>
      </c>
      <c r="I167" s="692" t="str">
        <f t="array" ref="I167">IF($S167="","",IF($S167="Lớp 5",INDEX('Lớp 5 - Phân công'!$P$14:$P$262,$T167),IF($S167="Lớp 4",INDEX('Lớp 4 - Danh mục'!$O$14:$O$132,$T167),"")))</f>
        <v>#REF!</v>
      </c>
      <c r="J167" s="693" t="str">
        <f t="array" ref="J167">IF($S167="","",IF($S167="Lớp 5",INDEX('Lớp 5 - Phân công'!$Q$14:$Q$262,$T167),""))</f>
        <v>#REF!</v>
      </c>
      <c r="K167" s="690" t="str">
        <f t="array" ref="K167">IF($S167="","",IF($S167="Lớp 5",INDEX('Lớp 5 - Phân công'!$AA$14:$AA$262,$T167),IF($S167="Lớp 4",INDEX('Lớp 4 - Danh mục'!$Y$14:$Y$132,$T167),INDEX('Lớp 3 - Công việc chính'!$U$14:$U$73,$T167))))</f>
        <v>#REF!</v>
      </c>
      <c r="L167" s="691" t="str">
        <f t="array" ref="L167">IF($S167="","",IF($S167="Lớp 5",INDEX('Lớp 5 - Phân công'!$Z$14:$Z$262,$T167),IF($S167="Lớp 4",INDEX('Lớp 4 - Danh mục'!$X$14:$X$132,$T167),INDEX('Lớp 3 - Công việc chính'!$W$14:$W$73,$T167))))</f>
        <v>#REF!</v>
      </c>
      <c r="M167" s="694" t="str">
        <f t="array" ref="M167">IF($S167="","",IF($S167="Lớp 5",INDEX('Lớp 5 - Phân công'!$AD$14:$AD$262,$T167),IF($S167="Lớp 4",INDEX('Lớp 4 - Danh mục'!$AC$14:$AC$132,$T167),INDEX('Lớp 3 - Công việc chính'!$Z$14:$Z$73,$T167))))</f>
        <v>#REF!</v>
      </c>
      <c r="N167" s="695" t="str">
        <f t="array" ref="N167">IF($S167="","",IF($S167="Lớp 5",INDEX('Lớp 5 - Phân công'!$AE$14:$AE$262,$T167),IF($S167="Lớp 4",INDEX('Lớp 4 - Danh mục'!$AD$14:$AD$132,$T167),INDEX('Lớp 3 - Công việc chính'!$AA$14:$AA$73,$T167))))</f>
        <v>#REF!</v>
      </c>
      <c r="O167" s="690" t="str">
        <f t="array" ref="O167">IF($S167="","",IF($S167="Lớp 5",INDEX('Lớp 5 - Phân công'!$AB$14:$AB$262,$T167),IF($S167="Lớp 4",INDEX('Lớp 4 - Danh mục'!$AA$14:$AA$132,$T167),INDEX('Lớp 3 - Công việc chính'!$X$14:$X$73,$T167))))</f>
        <v>#REF!</v>
      </c>
      <c r="P167" s="703" t="str">
        <f t="array" ref="P167">IF($S167="","",IF($S167="Lớp 5",INDEX('Lớp 5 - Phân công'!$AC$14:$AC$262,$T167),IF($S167="Lớp 4",INDEX('Lớp 4 - Danh mục'!$AB$14:$AB$132,$T167),INDEX('Lớp 3 - Công việc chính'!$Y$14:$Y$73,$T167))))</f>
        <v>#REF!</v>
      </c>
      <c r="Q167" s="697" t="str">
        <f t="array" ref="Q167">IF($S167="","",IF($S167="Lớp 5",INDEX('Lớp 5 - Phân công'!$AG$14:$AG$262,$T167),IF($S167="Lớp 4",INDEX('Lớp 4 - Danh mục'!$AF$14:$AF$132,$T167),INDEX('Lớp 3 - Công việc chính'!$AC$14:$AC$73,$T167))))</f>
        <v>#REF!</v>
      </c>
      <c r="R167" s="698" t="str">
        <f t="array" ref="R167">IF($S167="","",IF($S167="Lớp 5",INDEX('Lớp 5 - Phân công'!$X$14:$X$262,$T167),IF($S167="Lớp 4",INDEX('Lớp 4 - Danh mục'!$V$14:$V$132,$T167),INDEX('Lớp 3 - Công việc chính'!$T$14:$T$73,$T167))))</f>
        <v>#REF!</v>
      </c>
      <c r="S167" s="699" t="str">
        <f>IF(ROWS($S$14:S167)&lt;=COUNTIF('Lớp 5 - Phân công'!$I$14:$I$262,"&lt;&gt;"),"Lớp 5",IF(ROWS($S$14:S167)&lt;=COUNTIF('Lớp 5 - Phân công'!$I$14:$I$262,"&lt;&gt;")+SUMPRODUCT(--('Lớp 4 - Danh mục'!$I$14:$I$132&lt;&gt;""),--(COUNTIF('Lớp 5 - Phân công'!$J$14:$J$262,'Lớp 4 - Danh mục'!$I$14:$I$132)=0)),"Lớp 4",IF(ROWS($S$14:S167)&lt;=COUNTIF('Lớp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7" s="699" t="str">
        <f t="array" ref="T167">IF(S167="","",IF(S167="Lớp 5",IF(S166&lt;&gt;"Lớp 5",MATCH("*",'Lớp 5 - Phân công'!$I$14:$I$262,0),T166+MATCH("*",INDEX('Lớp 5 - Phân công'!$I$14:$I$262,T166+1):'Lớp 5 - Phân công'!$I$262,0)),IF(S167="Lớp 4",IF(S166&lt;&gt;"Lớp 4",MATCH(1,INDEX(('Lớp 4 - Danh mục'!$I$14:$I$132&lt;&gt;"")*(COUNTIF('Lớp 5 - Phân công'!$J$14:$J$262,'Lớp 4 - Danh mục'!$I$14:$I$132)=0),0),0),T166+MATCH(1,INDEX((INDEX('Lớp 4 - Danh mục'!$I$14:$I$132,T166+1):'Lớp 4 - Danh mục'!$I$132&lt;&gt;"")*(COUNTIF('Lớp 5 - Phân công'!$J$14:$J$262,INDEX('Lớp 4 - Danh mục'!$I$14:$I$132,T166+1):'Lớp 4 - Danh mục'!$I$132)=0),0),0)),IF(S166&lt;&gt;"Lớp 3",MATCH(1,INDEX(('Lớp 3 - Công việc chính'!$I$14:$I$73&lt;&gt;"")*(COUNTIF('Lớp 4 - Danh mục'!$J$14:$J$132,'Lớp 3 - Công việc chính'!$I$14:$I$73)=0),0),0),T166+MATCH(1,INDEX((INDEX('Lớp 3 - Công việc chính'!$I$14:$I$73,T166+1):'Lớp 3 - Công việc chính'!$I$73&lt;&gt;"")*(COUNTIF('Lớp 4 - Danh mục'!$J$14:$J$132,INDEX('Lớp 3 - Công việc chính'!$I$14:$I$73,T166+1):'Lớp 3 - Công việc chính'!$I$73)=0),0),0)))))</f>
        <v>#REF!</v>
      </c>
      <c r="Z167" s="700" t="str">
        <f t="array" ref="Z167">IF($S167="","",IF($S167="Lớp 5",INDEX('Lớp 5 - Phân công'!$AS$14:$AS$262,$T167),IF($S167="Lớp 4",INDEX('Lớp 4 - Danh mục'!$AR$14:$AR$132,$T167),INDEX('Lớp 3 - Công việc chính'!$AO$14:$AO$73,$T167))))</f>
        <v>#REF!</v>
      </c>
      <c r="AA167" s="701" t="str">
        <f t="array" ref="AA167">IF($S167="","",IF($S167="Lớp 5",INDEX('Lớp 5 - Phân công'!$AT$14:$AT$262,$T167),IF($S167="Lớp 4",INDEX('Lớp 4 - Danh mục'!$AS$14:$AS$132,$T167),INDEX('Lớp 3 - Công việc chính'!$AP$14:$AP$73,$T167))))</f>
        <v>#REF!</v>
      </c>
      <c r="AB167" s="701" t="str">
        <f t="array" ref="AB167">IF($S167="","",IF($S167="Lớp 5",INDEX('Lớp 5 - Phân công'!$AJ$14:$AJ$262,$T167),IF($S167="Lớp 4",INDEX('Lớp 4 - Danh mục'!$AI$14:$AI$132,$T167),INDEX('Lớp 3 - Công việc chính'!$AF$14:$AF$73,$T167))))</f>
        <v>#REF!</v>
      </c>
      <c r="AC167" s="702" t="str">
        <f t="array" ref="AC167">IF($S167="","",IF($S167="Lớp 5",INDEX('Lớp 5 - Phân công'!$AV$14:$AV$262,$T167),IF($S167="Lớp 4",INDEX('Lớp 4 - Danh mục'!$AU$14:$AU$132,$T167),INDEX('Lớp 3 - Công việc chính'!$AR$14:$AR$73,$T167))))</f>
        <v>#REF!</v>
      </c>
    </row>
    <row r="168" ht="15.75" customHeight="1">
      <c r="A168" s="690" t="str">
        <f t="shared" si="1"/>
        <v>#REF!</v>
      </c>
      <c r="B168" s="690" t="str">
        <f t="array" ref="B168">IF($S168="","",IF($S168="Lớp 5",INDEX('Lớp 5 - Phân công'!$I$14:$I$262,$T168),IF($S168="Lớp 4",INDEX('Lớp 4 - Danh mục'!$I$14:$I$132,$T168),INDEX('Lớp 3 - Công việc chính'!$I$14:$I$73,$T168))))</f>
        <v>#REF!</v>
      </c>
      <c r="C168" s="690" t="str">
        <f t="array" ref="C168">IF($S168="","",IF($S168="Lớp 5",INDEX('Lớp 5 - Phân công'!$K$14:$K$262,$T168),IF($S168="Lớp 4",INDEX('Lớp 4 - Danh mục'!$J$14:$J$132,$T168),INDEX('Lớp 3 - Công việc chính'!$I$14:$I$73,$T168))))</f>
        <v>#REF!</v>
      </c>
      <c r="D168" s="690" t="str">
        <f t="array" ref="D168">IF($S168="","",IF($S168="Lớp 5",INDEX('Lớp 5 - Phân công'!$J$14:$J$262,$T168),IF($S168="Lớp 4",INDEX('Lớp 4 - Danh mục'!$I$14:$I$132,$T168),"")))</f>
        <v>#REF!</v>
      </c>
      <c r="E168" s="690" t="str">
        <f t="array" ref="E168">IF($S168="","",IF($S168="Lớp 5",INDEX('Lớp 5 - Phân công'!$L$14:$L$262,$T168),IF($S168="Lớp 4",INDEX('Lớp 4 - Danh mục'!$K$14:$K$132,$T168),INDEX('Lớp 3 - Công việc chính'!$J$14:$J$73,$T168))))</f>
        <v>#REF!</v>
      </c>
      <c r="F168" s="690" t="str">
        <f t="array" ref="F168">IF($S168="","",IF($S168="Lớp 5",INDEX('Lớp 5 - Phân công'!$M$14:$M$262,$T168),IF($S168="Lớp 4",INDEX('Lớp 4 - Danh mục'!$L$14:$L$132,$T168),INDEX('Lớp 3 - Công việc chính'!$K$14:$K$73,$T168))))</f>
        <v>#REF!</v>
      </c>
      <c r="G168" s="691" t="str">
        <f t="array" ref="G168">IF($S168="","",IF($S168="Lớp 5",INDEX('Lớp 5 - Phân công'!$N$14:$N$262,$T168),IF($S168="Lớp 4",INDEX('Lớp 4 - Danh mục'!$M$14:$M$132,$T168),INDEX('Lớp 3 - Công việc chính'!$L$14:$L$73,$T168))))</f>
        <v>#REF!</v>
      </c>
      <c r="H168" s="692" t="str">
        <f t="array" ref="H168">IF($S168="","",IF($S168="Lớp 5",INDEX('Lớp 5 - Phân công'!$O$14:$O$262,$T168),IF($S168="Lớp 4",INDEX('Lớp 4 - Danh mục'!$N$14:$N$132,$T168),INDEX('Lớp 3 - Công việc chính'!$M$14:$M$73,$T168))))</f>
        <v>#REF!</v>
      </c>
      <c r="I168" s="692" t="str">
        <f t="array" ref="I168">IF($S168="","",IF($S168="Lớp 5",INDEX('Lớp 5 - Phân công'!$P$14:$P$262,$T168),IF($S168="Lớp 4",INDEX('Lớp 4 - Danh mục'!$O$14:$O$132,$T168),"")))</f>
        <v>#REF!</v>
      </c>
      <c r="J168" s="693" t="str">
        <f t="array" ref="J168">IF($S168="","",IF($S168="Lớp 5",INDEX('Lớp 5 - Phân công'!$Q$14:$Q$262,$T168),""))</f>
        <v>#REF!</v>
      </c>
      <c r="K168" s="690" t="str">
        <f t="array" ref="K168">IF($S168="","",IF($S168="Lớp 5",INDEX('Lớp 5 - Phân công'!$AA$14:$AA$262,$T168),IF($S168="Lớp 4",INDEX('Lớp 4 - Danh mục'!$Y$14:$Y$132,$T168),INDEX('Lớp 3 - Công việc chính'!$U$14:$U$73,$T168))))</f>
        <v>#REF!</v>
      </c>
      <c r="L168" s="691" t="str">
        <f t="array" ref="L168">IF($S168="","",IF($S168="Lớp 5",INDEX('Lớp 5 - Phân công'!$Z$14:$Z$262,$T168),IF($S168="Lớp 4",INDEX('Lớp 4 - Danh mục'!$X$14:$X$132,$T168),INDEX('Lớp 3 - Công việc chính'!$W$14:$W$73,$T168))))</f>
        <v>#REF!</v>
      </c>
      <c r="M168" s="694" t="str">
        <f t="array" ref="M168">IF($S168="","",IF($S168="Lớp 5",INDEX('Lớp 5 - Phân công'!$AD$14:$AD$262,$T168),IF($S168="Lớp 4",INDEX('Lớp 4 - Danh mục'!$AC$14:$AC$132,$T168),INDEX('Lớp 3 - Công việc chính'!$Z$14:$Z$73,$T168))))</f>
        <v>#REF!</v>
      </c>
      <c r="N168" s="695" t="str">
        <f t="array" ref="N168">IF($S168="","",IF($S168="Lớp 5",INDEX('Lớp 5 - Phân công'!$AE$14:$AE$262,$T168),IF($S168="Lớp 4",INDEX('Lớp 4 - Danh mục'!$AD$14:$AD$132,$T168),INDEX('Lớp 3 - Công việc chính'!$AA$14:$AA$73,$T168))))</f>
        <v>#REF!</v>
      </c>
      <c r="O168" s="690" t="str">
        <f t="array" ref="O168">IF($S168="","",IF($S168="Lớp 5",INDEX('Lớp 5 - Phân công'!$AB$14:$AB$262,$T168),IF($S168="Lớp 4",INDEX('Lớp 4 - Danh mục'!$AA$14:$AA$132,$T168),INDEX('Lớp 3 - Công việc chính'!$X$14:$X$73,$T168))))</f>
        <v>#REF!</v>
      </c>
      <c r="P168" s="703" t="str">
        <f t="array" ref="P168">IF($S168="","",IF($S168="Lớp 5",INDEX('Lớp 5 - Phân công'!$AC$14:$AC$262,$T168),IF($S168="Lớp 4",INDEX('Lớp 4 - Danh mục'!$AB$14:$AB$132,$T168),INDEX('Lớp 3 - Công việc chính'!$Y$14:$Y$73,$T168))))</f>
        <v>#REF!</v>
      </c>
      <c r="Q168" s="697" t="str">
        <f t="array" ref="Q168">IF($S168="","",IF($S168="Lớp 5",INDEX('Lớp 5 - Phân công'!$AG$14:$AG$262,$T168),IF($S168="Lớp 4",INDEX('Lớp 4 - Danh mục'!$AF$14:$AF$132,$T168),INDEX('Lớp 3 - Công việc chính'!$AC$14:$AC$73,$T168))))</f>
        <v>#REF!</v>
      </c>
      <c r="R168" s="698" t="str">
        <f t="array" ref="R168">IF($S168="","",IF($S168="Lớp 5",INDEX('Lớp 5 - Phân công'!$X$14:$X$262,$T168),IF($S168="Lớp 4",INDEX('Lớp 4 - Danh mục'!$V$14:$V$132,$T168),INDEX('Lớp 3 - Công việc chính'!$T$14:$T$73,$T168))))</f>
        <v>#REF!</v>
      </c>
      <c r="S168" s="699" t="str">
        <f>IF(ROWS($S$14:S168)&lt;=COUNTIF('Lớp 5 - Phân công'!$I$14:$I$262,"&lt;&gt;"),"Lớp 5",IF(ROWS($S$14:S168)&lt;=COUNTIF('Lớp 5 - Phân công'!$I$14:$I$262,"&lt;&gt;")+SUMPRODUCT(--('Lớp 4 - Danh mục'!$I$14:$I$132&lt;&gt;""),--(COUNTIF('Lớp 5 - Phân công'!$J$14:$J$262,'Lớp 4 - Danh mục'!$I$14:$I$132)=0)),"Lớp 4",IF(ROWS($S$14:S168)&lt;=COUNTIF('Lớp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8" s="699" t="str">
        <f t="array" ref="T168">IF(S168="","",IF(S168="Lớp 5",IF(S167&lt;&gt;"Lớp 5",MATCH("*",'Lớp 5 - Phân công'!$I$14:$I$262,0),T167+MATCH("*",INDEX('Lớp 5 - Phân công'!$I$14:$I$262,T167+1):'Lớp 5 - Phân công'!$I$262,0)),IF(S168="Lớp 4",IF(S167&lt;&gt;"Lớp 4",MATCH(1,INDEX(('Lớp 4 - Danh mục'!$I$14:$I$132&lt;&gt;"")*(COUNTIF('Lớp 5 - Phân công'!$J$14:$J$262,'Lớp 4 - Danh mục'!$I$14:$I$132)=0),0),0),T167+MATCH(1,INDEX((INDEX('Lớp 4 - Danh mục'!$I$14:$I$132,T167+1):'Lớp 4 - Danh mục'!$I$132&lt;&gt;"")*(COUNTIF('Lớp 5 - Phân công'!$J$14:$J$262,INDEX('Lớp 4 - Danh mục'!$I$14:$I$132,T167+1):'Lớp 4 - Danh mục'!$I$132)=0),0),0)),IF(S167&lt;&gt;"Lớp 3",MATCH(1,INDEX(('Lớp 3 - Công việc chính'!$I$14:$I$73&lt;&gt;"")*(COUNTIF('Lớp 4 - Danh mục'!$J$14:$J$132,'Lớp 3 - Công việc chính'!$I$14:$I$73)=0),0),0),T167+MATCH(1,INDEX((INDEX('Lớp 3 - Công việc chính'!$I$14:$I$73,T167+1):'Lớp 3 - Công việc chính'!$I$73&lt;&gt;"")*(COUNTIF('Lớp 4 - Danh mục'!$J$14:$J$132,INDEX('Lớp 3 - Công việc chính'!$I$14:$I$73,T167+1):'Lớp 3 - Công việc chính'!$I$73)=0),0),0)))))</f>
        <v>#REF!</v>
      </c>
      <c r="Z168" s="700" t="str">
        <f t="array" ref="Z168">IF($S168="","",IF($S168="Lớp 5",INDEX('Lớp 5 - Phân công'!$AS$14:$AS$262,$T168),IF($S168="Lớp 4",INDEX('Lớp 4 - Danh mục'!$AR$14:$AR$132,$T168),INDEX('Lớp 3 - Công việc chính'!$AO$14:$AO$73,$T168))))</f>
        <v>#REF!</v>
      </c>
      <c r="AA168" s="701" t="str">
        <f t="array" ref="AA168">IF($S168="","",IF($S168="Lớp 5",INDEX('Lớp 5 - Phân công'!$AT$14:$AT$262,$T168),IF($S168="Lớp 4",INDEX('Lớp 4 - Danh mục'!$AS$14:$AS$132,$T168),INDEX('Lớp 3 - Công việc chính'!$AP$14:$AP$73,$T168))))</f>
        <v>#REF!</v>
      </c>
      <c r="AB168" s="701" t="str">
        <f t="array" ref="AB168">IF($S168="","",IF($S168="Lớp 5",INDEX('Lớp 5 - Phân công'!$AJ$14:$AJ$262,$T168),IF($S168="Lớp 4",INDEX('Lớp 4 - Danh mục'!$AI$14:$AI$132,$T168),INDEX('Lớp 3 - Công việc chính'!$AF$14:$AF$73,$T168))))</f>
        <v>#REF!</v>
      </c>
      <c r="AC168" s="702" t="str">
        <f t="array" ref="AC168">IF($S168="","",IF($S168="Lớp 5",INDEX('Lớp 5 - Phân công'!$AV$14:$AV$262,$T168),IF($S168="Lớp 4",INDEX('Lớp 4 - Danh mục'!$AU$14:$AU$132,$T168),INDEX('Lớp 3 - Công việc chính'!$AR$14:$AR$73,$T168))))</f>
        <v>#REF!</v>
      </c>
    </row>
    <row r="169" ht="15.75" customHeight="1">
      <c r="A169" s="690" t="str">
        <f t="shared" si="1"/>
        <v>#REF!</v>
      </c>
      <c r="B169" s="690" t="str">
        <f t="array" ref="B169">IF($S169="","",IF($S169="Lớp 5",INDEX('Lớp 5 - Phân công'!$I$14:$I$262,$T169),IF($S169="Lớp 4",INDEX('Lớp 4 - Danh mục'!$I$14:$I$132,$T169),INDEX('Lớp 3 - Công việc chính'!$I$14:$I$73,$T169))))</f>
        <v>#REF!</v>
      </c>
      <c r="C169" s="690" t="str">
        <f t="array" ref="C169">IF($S169="","",IF($S169="Lớp 5",INDEX('Lớp 5 - Phân công'!$K$14:$K$262,$T169),IF($S169="Lớp 4",INDEX('Lớp 4 - Danh mục'!$J$14:$J$132,$T169),INDEX('Lớp 3 - Công việc chính'!$I$14:$I$73,$T169))))</f>
        <v>#REF!</v>
      </c>
      <c r="D169" s="690" t="str">
        <f t="array" ref="D169">IF($S169="","",IF($S169="Lớp 5",INDEX('Lớp 5 - Phân công'!$J$14:$J$262,$T169),IF($S169="Lớp 4",INDEX('Lớp 4 - Danh mục'!$I$14:$I$132,$T169),"")))</f>
        <v>#REF!</v>
      </c>
      <c r="E169" s="690" t="str">
        <f t="array" ref="E169">IF($S169="","",IF($S169="Lớp 5",INDEX('Lớp 5 - Phân công'!$L$14:$L$262,$T169),IF($S169="Lớp 4",INDEX('Lớp 4 - Danh mục'!$K$14:$K$132,$T169),INDEX('Lớp 3 - Công việc chính'!$J$14:$J$73,$T169))))</f>
        <v>#REF!</v>
      </c>
      <c r="F169" s="690" t="str">
        <f t="array" ref="F169">IF($S169="","",IF($S169="Lớp 5",INDEX('Lớp 5 - Phân công'!$M$14:$M$262,$T169),IF($S169="Lớp 4",INDEX('Lớp 4 - Danh mục'!$L$14:$L$132,$T169),INDEX('Lớp 3 - Công việc chính'!$K$14:$K$73,$T169))))</f>
        <v>#REF!</v>
      </c>
      <c r="G169" s="691" t="str">
        <f t="array" ref="G169">IF($S169="","",IF($S169="Lớp 5",INDEX('Lớp 5 - Phân công'!$N$14:$N$262,$T169),IF($S169="Lớp 4",INDEX('Lớp 4 - Danh mục'!$M$14:$M$132,$T169),INDEX('Lớp 3 - Công việc chính'!$L$14:$L$73,$T169))))</f>
        <v>#REF!</v>
      </c>
      <c r="H169" s="692" t="str">
        <f t="array" ref="H169">IF($S169="","",IF($S169="Lớp 5",INDEX('Lớp 5 - Phân công'!$O$14:$O$262,$T169),IF($S169="Lớp 4",INDEX('Lớp 4 - Danh mục'!$N$14:$N$132,$T169),INDEX('Lớp 3 - Công việc chính'!$M$14:$M$73,$T169))))</f>
        <v>#REF!</v>
      </c>
      <c r="I169" s="692" t="str">
        <f t="array" ref="I169">IF($S169="","",IF($S169="Lớp 5",INDEX('Lớp 5 - Phân công'!$P$14:$P$262,$T169),IF($S169="Lớp 4",INDEX('Lớp 4 - Danh mục'!$O$14:$O$132,$T169),"")))</f>
        <v>#REF!</v>
      </c>
      <c r="J169" s="693" t="str">
        <f t="array" ref="J169">IF($S169="","",IF($S169="Lớp 5",INDEX('Lớp 5 - Phân công'!$Q$14:$Q$262,$T169),""))</f>
        <v>#REF!</v>
      </c>
      <c r="K169" s="690" t="str">
        <f t="array" ref="K169">IF($S169="","",IF($S169="Lớp 5",INDEX('Lớp 5 - Phân công'!$AA$14:$AA$262,$T169),IF($S169="Lớp 4",INDEX('Lớp 4 - Danh mục'!$Y$14:$Y$132,$T169),INDEX('Lớp 3 - Công việc chính'!$U$14:$U$73,$T169))))</f>
        <v>#REF!</v>
      </c>
      <c r="L169" s="691" t="str">
        <f t="array" ref="L169">IF($S169="","",IF($S169="Lớp 5",INDEX('Lớp 5 - Phân công'!$Z$14:$Z$262,$T169),IF($S169="Lớp 4",INDEX('Lớp 4 - Danh mục'!$X$14:$X$132,$T169),INDEX('Lớp 3 - Công việc chính'!$W$14:$W$73,$T169))))</f>
        <v>#REF!</v>
      </c>
      <c r="M169" s="694" t="str">
        <f t="array" ref="M169">IF($S169="","",IF($S169="Lớp 5",INDEX('Lớp 5 - Phân công'!$AD$14:$AD$262,$T169),IF($S169="Lớp 4",INDEX('Lớp 4 - Danh mục'!$AC$14:$AC$132,$T169),INDEX('Lớp 3 - Công việc chính'!$Z$14:$Z$73,$T169))))</f>
        <v>#REF!</v>
      </c>
      <c r="N169" s="695" t="str">
        <f t="array" ref="N169">IF($S169="","",IF($S169="Lớp 5",INDEX('Lớp 5 - Phân công'!$AE$14:$AE$262,$T169),IF($S169="Lớp 4",INDEX('Lớp 4 - Danh mục'!$AD$14:$AD$132,$T169),INDEX('Lớp 3 - Công việc chính'!$AA$14:$AA$73,$T169))))</f>
        <v>#REF!</v>
      </c>
      <c r="O169" s="690" t="str">
        <f t="array" ref="O169">IF($S169="","",IF($S169="Lớp 5",INDEX('Lớp 5 - Phân công'!$AB$14:$AB$262,$T169),IF($S169="Lớp 4",INDEX('Lớp 4 - Danh mục'!$AA$14:$AA$132,$T169),INDEX('Lớp 3 - Công việc chính'!$X$14:$X$73,$T169))))</f>
        <v>#REF!</v>
      </c>
      <c r="P169" s="703" t="str">
        <f t="array" ref="P169">IF($S169="","",IF($S169="Lớp 5",INDEX('Lớp 5 - Phân công'!$AC$14:$AC$262,$T169),IF($S169="Lớp 4",INDEX('Lớp 4 - Danh mục'!$AB$14:$AB$132,$T169),INDEX('Lớp 3 - Công việc chính'!$Y$14:$Y$73,$T169))))</f>
        <v>#REF!</v>
      </c>
      <c r="Q169" s="697" t="str">
        <f t="array" ref="Q169">IF($S169="","",IF($S169="Lớp 5",INDEX('Lớp 5 - Phân công'!$AG$14:$AG$262,$T169),IF($S169="Lớp 4",INDEX('Lớp 4 - Danh mục'!$AF$14:$AF$132,$T169),INDEX('Lớp 3 - Công việc chính'!$AC$14:$AC$73,$T169))))</f>
        <v>#REF!</v>
      </c>
      <c r="R169" s="698" t="str">
        <f t="array" ref="R169">IF($S169="","",IF($S169="Lớp 5",INDEX('Lớp 5 - Phân công'!$X$14:$X$262,$T169),IF($S169="Lớp 4",INDEX('Lớp 4 - Danh mục'!$V$14:$V$132,$T169),INDEX('Lớp 3 - Công việc chính'!$T$14:$T$73,$T169))))</f>
        <v>#REF!</v>
      </c>
      <c r="S169" s="699" t="str">
        <f>IF(ROWS($S$14:S169)&lt;=COUNTIF('Lớp 5 - Phân công'!$I$14:$I$262,"&lt;&gt;"),"Lớp 5",IF(ROWS($S$14:S169)&lt;=COUNTIF('Lớp 5 - Phân công'!$I$14:$I$262,"&lt;&gt;")+SUMPRODUCT(--('Lớp 4 - Danh mục'!$I$14:$I$132&lt;&gt;""),--(COUNTIF('Lớp 5 - Phân công'!$J$14:$J$262,'Lớp 4 - Danh mục'!$I$14:$I$132)=0)),"Lớp 4",IF(ROWS($S$14:S169)&lt;=COUNTIF('Lớp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69" s="699" t="str">
        <f t="array" ref="T169">IF(S169="","",IF(S169="Lớp 5",IF(S168&lt;&gt;"Lớp 5",MATCH("*",'Lớp 5 - Phân công'!$I$14:$I$262,0),T168+MATCH("*",INDEX('Lớp 5 - Phân công'!$I$14:$I$262,T168+1):'Lớp 5 - Phân công'!$I$262,0)),IF(S169="Lớp 4",IF(S168&lt;&gt;"Lớp 4",MATCH(1,INDEX(('Lớp 4 - Danh mục'!$I$14:$I$132&lt;&gt;"")*(COUNTIF('Lớp 5 - Phân công'!$J$14:$J$262,'Lớp 4 - Danh mục'!$I$14:$I$132)=0),0),0),T168+MATCH(1,INDEX((INDEX('Lớp 4 - Danh mục'!$I$14:$I$132,T168+1):'Lớp 4 - Danh mục'!$I$132&lt;&gt;"")*(COUNTIF('Lớp 5 - Phân công'!$J$14:$J$262,INDEX('Lớp 4 - Danh mục'!$I$14:$I$132,T168+1):'Lớp 4 - Danh mục'!$I$132)=0),0),0)),IF(S168&lt;&gt;"Lớp 3",MATCH(1,INDEX(('Lớp 3 - Công việc chính'!$I$14:$I$73&lt;&gt;"")*(COUNTIF('Lớp 4 - Danh mục'!$J$14:$J$132,'Lớp 3 - Công việc chính'!$I$14:$I$73)=0),0),0),T168+MATCH(1,INDEX((INDEX('Lớp 3 - Công việc chính'!$I$14:$I$73,T168+1):'Lớp 3 - Công việc chính'!$I$73&lt;&gt;"")*(COUNTIF('Lớp 4 - Danh mục'!$J$14:$J$132,INDEX('Lớp 3 - Công việc chính'!$I$14:$I$73,T168+1):'Lớp 3 - Công việc chính'!$I$73)=0),0),0)))))</f>
        <v>#REF!</v>
      </c>
      <c r="Z169" s="700" t="str">
        <f t="array" ref="Z169">IF($S169="","",IF($S169="Lớp 5",INDEX('Lớp 5 - Phân công'!$AS$14:$AS$262,$T169),IF($S169="Lớp 4",INDEX('Lớp 4 - Danh mục'!$AR$14:$AR$132,$T169),INDEX('Lớp 3 - Công việc chính'!$AO$14:$AO$73,$T169))))</f>
        <v>#REF!</v>
      </c>
      <c r="AA169" s="701" t="str">
        <f t="array" ref="AA169">IF($S169="","",IF($S169="Lớp 5",INDEX('Lớp 5 - Phân công'!$AT$14:$AT$262,$T169),IF($S169="Lớp 4",INDEX('Lớp 4 - Danh mục'!$AS$14:$AS$132,$T169),INDEX('Lớp 3 - Công việc chính'!$AP$14:$AP$73,$T169))))</f>
        <v>#REF!</v>
      </c>
      <c r="AB169" s="701" t="str">
        <f t="array" ref="AB169">IF($S169="","",IF($S169="Lớp 5",INDEX('Lớp 5 - Phân công'!$AJ$14:$AJ$262,$T169),IF($S169="Lớp 4",INDEX('Lớp 4 - Danh mục'!$AI$14:$AI$132,$T169),INDEX('Lớp 3 - Công việc chính'!$AF$14:$AF$73,$T169))))</f>
        <v>#REF!</v>
      </c>
      <c r="AC169" s="702" t="str">
        <f t="array" ref="AC169">IF($S169="","",IF($S169="Lớp 5",INDEX('Lớp 5 - Phân công'!$AV$14:$AV$262,$T169),IF($S169="Lớp 4",INDEX('Lớp 4 - Danh mục'!$AU$14:$AU$132,$T169),INDEX('Lớp 3 - Công việc chính'!$AR$14:$AR$73,$T169))))</f>
        <v>#REF!</v>
      </c>
    </row>
    <row r="170" ht="15.75" customHeight="1">
      <c r="A170" s="690" t="str">
        <f t="shared" si="1"/>
        <v>#REF!</v>
      </c>
      <c r="B170" s="690" t="str">
        <f t="array" ref="B170">IF($S170="","",IF($S170="Lớp 5",INDEX('Lớp 5 - Phân công'!$I$14:$I$262,$T170),IF($S170="Lớp 4",INDEX('Lớp 4 - Danh mục'!$I$14:$I$132,$T170),INDEX('Lớp 3 - Công việc chính'!$I$14:$I$73,$T170))))</f>
        <v>#REF!</v>
      </c>
      <c r="C170" s="690" t="str">
        <f t="array" ref="C170">IF($S170="","",IF($S170="Lớp 5",INDEX('Lớp 5 - Phân công'!$K$14:$K$262,$T170),IF($S170="Lớp 4",INDEX('Lớp 4 - Danh mục'!$J$14:$J$132,$T170),INDEX('Lớp 3 - Công việc chính'!$I$14:$I$73,$T170))))</f>
        <v>#REF!</v>
      </c>
      <c r="D170" s="690" t="str">
        <f t="array" ref="D170">IF($S170="","",IF($S170="Lớp 5",INDEX('Lớp 5 - Phân công'!$J$14:$J$262,$T170),IF($S170="Lớp 4",INDEX('Lớp 4 - Danh mục'!$I$14:$I$132,$T170),"")))</f>
        <v>#REF!</v>
      </c>
      <c r="E170" s="690" t="str">
        <f t="array" ref="E170">IF($S170="","",IF($S170="Lớp 5",INDEX('Lớp 5 - Phân công'!$L$14:$L$262,$T170),IF($S170="Lớp 4",INDEX('Lớp 4 - Danh mục'!$K$14:$K$132,$T170),INDEX('Lớp 3 - Công việc chính'!$J$14:$J$73,$T170))))</f>
        <v>#REF!</v>
      </c>
      <c r="F170" s="690" t="str">
        <f t="array" ref="F170">IF($S170="","",IF($S170="Lớp 5",INDEX('Lớp 5 - Phân công'!$M$14:$M$262,$T170),IF($S170="Lớp 4",INDEX('Lớp 4 - Danh mục'!$L$14:$L$132,$T170),INDEX('Lớp 3 - Công việc chính'!$K$14:$K$73,$T170))))</f>
        <v>#REF!</v>
      </c>
      <c r="G170" s="691" t="str">
        <f t="array" ref="G170">IF($S170="","",IF($S170="Lớp 5",INDEX('Lớp 5 - Phân công'!$N$14:$N$262,$T170),IF($S170="Lớp 4",INDEX('Lớp 4 - Danh mục'!$M$14:$M$132,$T170),INDEX('Lớp 3 - Công việc chính'!$L$14:$L$73,$T170))))</f>
        <v>#REF!</v>
      </c>
      <c r="H170" s="692" t="str">
        <f t="array" ref="H170">IF($S170="","",IF($S170="Lớp 5",INDEX('Lớp 5 - Phân công'!$O$14:$O$262,$T170),IF($S170="Lớp 4",INDEX('Lớp 4 - Danh mục'!$N$14:$N$132,$T170),INDEX('Lớp 3 - Công việc chính'!$M$14:$M$73,$T170))))</f>
        <v>#REF!</v>
      </c>
      <c r="I170" s="692" t="str">
        <f t="array" ref="I170">IF($S170="","",IF($S170="Lớp 5",INDEX('Lớp 5 - Phân công'!$P$14:$P$262,$T170),IF($S170="Lớp 4",INDEX('Lớp 4 - Danh mục'!$O$14:$O$132,$T170),"")))</f>
        <v>#REF!</v>
      </c>
      <c r="J170" s="693" t="str">
        <f t="array" ref="J170">IF($S170="","",IF($S170="Lớp 5",INDEX('Lớp 5 - Phân công'!$Q$14:$Q$262,$T170),""))</f>
        <v>#REF!</v>
      </c>
      <c r="K170" s="690" t="str">
        <f t="array" ref="K170">IF($S170="","",IF($S170="Lớp 5",INDEX('Lớp 5 - Phân công'!$AA$14:$AA$262,$T170),IF($S170="Lớp 4",INDEX('Lớp 4 - Danh mục'!$Y$14:$Y$132,$T170),INDEX('Lớp 3 - Công việc chính'!$U$14:$U$73,$T170))))</f>
        <v>#REF!</v>
      </c>
      <c r="L170" s="691" t="str">
        <f t="array" ref="L170">IF($S170="","",IF($S170="Lớp 5",INDEX('Lớp 5 - Phân công'!$Z$14:$Z$262,$T170),IF($S170="Lớp 4",INDEX('Lớp 4 - Danh mục'!$X$14:$X$132,$T170),INDEX('Lớp 3 - Công việc chính'!$W$14:$W$73,$T170))))</f>
        <v>#REF!</v>
      </c>
      <c r="M170" s="694" t="str">
        <f t="array" ref="M170">IF($S170="","",IF($S170="Lớp 5",INDEX('Lớp 5 - Phân công'!$AD$14:$AD$262,$T170),IF($S170="Lớp 4",INDEX('Lớp 4 - Danh mục'!$AC$14:$AC$132,$T170),INDEX('Lớp 3 - Công việc chính'!$Z$14:$Z$73,$T170))))</f>
        <v>#REF!</v>
      </c>
      <c r="N170" s="695" t="str">
        <f t="array" ref="N170">IF($S170="","",IF($S170="Lớp 5",INDEX('Lớp 5 - Phân công'!$AE$14:$AE$262,$T170),IF($S170="Lớp 4",INDEX('Lớp 4 - Danh mục'!$AD$14:$AD$132,$T170),INDEX('Lớp 3 - Công việc chính'!$AA$14:$AA$73,$T170))))</f>
        <v>#REF!</v>
      </c>
      <c r="O170" s="690" t="str">
        <f t="array" ref="O170">IF($S170="","",IF($S170="Lớp 5",INDEX('Lớp 5 - Phân công'!$AB$14:$AB$262,$T170),IF($S170="Lớp 4",INDEX('Lớp 4 - Danh mục'!$AA$14:$AA$132,$T170),INDEX('Lớp 3 - Công việc chính'!$X$14:$X$73,$T170))))</f>
        <v>#REF!</v>
      </c>
      <c r="P170" s="703" t="str">
        <f t="array" ref="P170">IF($S170="","",IF($S170="Lớp 5",INDEX('Lớp 5 - Phân công'!$AC$14:$AC$262,$T170),IF($S170="Lớp 4",INDEX('Lớp 4 - Danh mục'!$AB$14:$AB$132,$T170),INDEX('Lớp 3 - Công việc chính'!$Y$14:$Y$73,$T170))))</f>
        <v>#REF!</v>
      </c>
      <c r="Q170" s="697" t="str">
        <f t="array" ref="Q170">IF($S170="","",IF($S170="Lớp 5",INDEX('Lớp 5 - Phân công'!$AG$14:$AG$262,$T170),IF($S170="Lớp 4",INDEX('Lớp 4 - Danh mục'!$AF$14:$AF$132,$T170),INDEX('Lớp 3 - Công việc chính'!$AC$14:$AC$73,$T170))))</f>
        <v>#REF!</v>
      </c>
      <c r="R170" s="698" t="str">
        <f t="array" ref="R170">IF($S170="","",IF($S170="Lớp 5",INDEX('Lớp 5 - Phân công'!$X$14:$X$262,$T170),IF($S170="Lớp 4",INDEX('Lớp 4 - Danh mục'!$V$14:$V$132,$T170),INDEX('Lớp 3 - Công việc chính'!$T$14:$T$73,$T170))))</f>
        <v>#REF!</v>
      </c>
      <c r="S170" s="699" t="str">
        <f>IF(ROWS($S$14:S170)&lt;=COUNTIF('Lớp 5 - Phân công'!$I$14:$I$262,"&lt;&gt;"),"Lớp 5",IF(ROWS($S$14:S170)&lt;=COUNTIF('Lớp 5 - Phân công'!$I$14:$I$262,"&lt;&gt;")+SUMPRODUCT(--('Lớp 4 - Danh mục'!$I$14:$I$132&lt;&gt;""),--(COUNTIF('Lớp 5 - Phân công'!$J$14:$J$262,'Lớp 4 - Danh mục'!$I$14:$I$132)=0)),"Lớp 4",IF(ROWS($S$14:S170)&lt;=COUNTIF('Lớp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0" s="699" t="str">
        <f t="array" ref="T170">IF(S170="","",IF(S170="Lớp 5",IF(S169&lt;&gt;"Lớp 5",MATCH("*",'Lớp 5 - Phân công'!$I$14:$I$262,0),T169+MATCH("*",INDEX('Lớp 5 - Phân công'!$I$14:$I$262,T169+1):'Lớp 5 - Phân công'!$I$262,0)),IF(S170="Lớp 4",IF(S169&lt;&gt;"Lớp 4",MATCH(1,INDEX(('Lớp 4 - Danh mục'!$I$14:$I$132&lt;&gt;"")*(COUNTIF('Lớp 5 - Phân công'!$J$14:$J$262,'Lớp 4 - Danh mục'!$I$14:$I$132)=0),0),0),T169+MATCH(1,INDEX((INDEX('Lớp 4 - Danh mục'!$I$14:$I$132,T169+1):'Lớp 4 - Danh mục'!$I$132&lt;&gt;"")*(COUNTIF('Lớp 5 - Phân công'!$J$14:$J$262,INDEX('Lớp 4 - Danh mục'!$I$14:$I$132,T169+1):'Lớp 4 - Danh mục'!$I$132)=0),0),0)),IF(S169&lt;&gt;"Lớp 3",MATCH(1,INDEX(('Lớp 3 - Công việc chính'!$I$14:$I$73&lt;&gt;"")*(COUNTIF('Lớp 4 - Danh mục'!$J$14:$J$132,'Lớp 3 - Công việc chính'!$I$14:$I$73)=0),0),0),T169+MATCH(1,INDEX((INDEX('Lớp 3 - Công việc chính'!$I$14:$I$73,T169+1):'Lớp 3 - Công việc chính'!$I$73&lt;&gt;"")*(COUNTIF('Lớp 4 - Danh mục'!$J$14:$J$132,INDEX('Lớp 3 - Công việc chính'!$I$14:$I$73,T169+1):'Lớp 3 - Công việc chính'!$I$73)=0),0),0)))))</f>
        <v>#REF!</v>
      </c>
      <c r="Z170" s="700" t="str">
        <f t="array" ref="Z170">IF($S170="","",IF($S170="Lớp 5",INDEX('Lớp 5 - Phân công'!$AS$14:$AS$262,$T170),IF($S170="Lớp 4",INDEX('Lớp 4 - Danh mục'!$AR$14:$AR$132,$T170),INDEX('Lớp 3 - Công việc chính'!$AO$14:$AO$73,$T170))))</f>
        <v>#REF!</v>
      </c>
      <c r="AA170" s="701" t="str">
        <f t="array" ref="AA170">IF($S170="","",IF($S170="Lớp 5",INDEX('Lớp 5 - Phân công'!$AT$14:$AT$262,$T170),IF($S170="Lớp 4",INDEX('Lớp 4 - Danh mục'!$AS$14:$AS$132,$T170),INDEX('Lớp 3 - Công việc chính'!$AP$14:$AP$73,$T170))))</f>
        <v>#REF!</v>
      </c>
      <c r="AB170" s="701" t="str">
        <f t="array" ref="AB170">IF($S170="","",IF($S170="Lớp 5",INDEX('Lớp 5 - Phân công'!$AJ$14:$AJ$262,$T170),IF($S170="Lớp 4",INDEX('Lớp 4 - Danh mục'!$AI$14:$AI$132,$T170),INDEX('Lớp 3 - Công việc chính'!$AF$14:$AF$73,$T170))))</f>
        <v>#REF!</v>
      </c>
      <c r="AC170" s="702" t="str">
        <f t="array" ref="AC170">IF($S170="","",IF($S170="Lớp 5",INDEX('Lớp 5 - Phân công'!$AV$14:$AV$262,$T170),IF($S170="Lớp 4",INDEX('Lớp 4 - Danh mục'!$AU$14:$AU$132,$T170),INDEX('Lớp 3 - Công việc chính'!$AR$14:$AR$73,$T170))))</f>
        <v>#REF!</v>
      </c>
    </row>
    <row r="171" ht="15.75" customHeight="1">
      <c r="A171" s="690" t="str">
        <f t="shared" si="1"/>
        <v>#REF!</v>
      </c>
      <c r="B171" s="690" t="str">
        <f t="array" ref="B171">IF($S171="","",IF($S171="Lớp 5",INDEX('Lớp 5 - Phân công'!$I$14:$I$262,$T171),IF($S171="Lớp 4",INDEX('Lớp 4 - Danh mục'!$I$14:$I$132,$T171),INDEX('Lớp 3 - Công việc chính'!$I$14:$I$73,$T171))))</f>
        <v>#REF!</v>
      </c>
      <c r="C171" s="690" t="str">
        <f t="array" ref="C171">IF($S171="","",IF($S171="Lớp 5",INDEX('Lớp 5 - Phân công'!$K$14:$K$262,$T171),IF($S171="Lớp 4",INDEX('Lớp 4 - Danh mục'!$J$14:$J$132,$T171),INDEX('Lớp 3 - Công việc chính'!$I$14:$I$73,$T171))))</f>
        <v>#REF!</v>
      </c>
      <c r="D171" s="690" t="str">
        <f t="array" ref="D171">IF($S171="","",IF($S171="Lớp 5",INDEX('Lớp 5 - Phân công'!$J$14:$J$262,$T171),IF($S171="Lớp 4",INDEX('Lớp 4 - Danh mục'!$I$14:$I$132,$T171),"")))</f>
        <v>#REF!</v>
      </c>
      <c r="E171" s="690" t="str">
        <f t="array" ref="E171">IF($S171="","",IF($S171="Lớp 5",INDEX('Lớp 5 - Phân công'!$L$14:$L$262,$T171),IF($S171="Lớp 4",INDEX('Lớp 4 - Danh mục'!$K$14:$K$132,$T171),INDEX('Lớp 3 - Công việc chính'!$J$14:$J$73,$T171))))</f>
        <v>#REF!</v>
      </c>
      <c r="F171" s="690" t="str">
        <f t="array" ref="F171">IF($S171="","",IF($S171="Lớp 5",INDEX('Lớp 5 - Phân công'!$M$14:$M$262,$T171),IF($S171="Lớp 4",INDEX('Lớp 4 - Danh mục'!$L$14:$L$132,$T171),INDEX('Lớp 3 - Công việc chính'!$K$14:$K$73,$T171))))</f>
        <v>#REF!</v>
      </c>
      <c r="G171" s="691" t="str">
        <f t="array" ref="G171">IF($S171="","",IF($S171="Lớp 5",INDEX('Lớp 5 - Phân công'!$N$14:$N$262,$T171),IF($S171="Lớp 4",INDEX('Lớp 4 - Danh mục'!$M$14:$M$132,$T171),INDEX('Lớp 3 - Công việc chính'!$L$14:$L$73,$T171))))</f>
        <v>#REF!</v>
      </c>
      <c r="H171" s="692" t="str">
        <f t="array" ref="H171">IF($S171="","",IF($S171="Lớp 5",INDEX('Lớp 5 - Phân công'!$O$14:$O$262,$T171),IF($S171="Lớp 4",INDEX('Lớp 4 - Danh mục'!$N$14:$N$132,$T171),INDEX('Lớp 3 - Công việc chính'!$M$14:$M$73,$T171))))</f>
        <v>#REF!</v>
      </c>
      <c r="I171" s="692" t="str">
        <f t="array" ref="I171">IF($S171="","",IF($S171="Lớp 5",INDEX('Lớp 5 - Phân công'!$P$14:$P$262,$T171),IF($S171="Lớp 4",INDEX('Lớp 4 - Danh mục'!$O$14:$O$132,$T171),"")))</f>
        <v>#REF!</v>
      </c>
      <c r="J171" s="693" t="str">
        <f t="array" ref="J171">IF($S171="","",IF($S171="Lớp 5",INDEX('Lớp 5 - Phân công'!$Q$14:$Q$262,$T171),""))</f>
        <v>#REF!</v>
      </c>
      <c r="K171" s="690" t="str">
        <f t="array" ref="K171">IF($S171="","",IF($S171="Lớp 5",INDEX('Lớp 5 - Phân công'!$AA$14:$AA$262,$T171),IF($S171="Lớp 4",INDEX('Lớp 4 - Danh mục'!$Y$14:$Y$132,$T171),INDEX('Lớp 3 - Công việc chính'!$U$14:$U$73,$T171))))</f>
        <v>#REF!</v>
      </c>
      <c r="L171" s="691" t="str">
        <f t="array" ref="L171">IF($S171="","",IF($S171="Lớp 5",INDEX('Lớp 5 - Phân công'!$Z$14:$Z$262,$T171),IF($S171="Lớp 4",INDEX('Lớp 4 - Danh mục'!$X$14:$X$132,$T171),INDEX('Lớp 3 - Công việc chính'!$W$14:$W$73,$T171))))</f>
        <v>#REF!</v>
      </c>
      <c r="M171" s="694" t="str">
        <f t="array" ref="M171">IF($S171="","",IF($S171="Lớp 5",INDEX('Lớp 5 - Phân công'!$AD$14:$AD$262,$T171),IF($S171="Lớp 4",INDEX('Lớp 4 - Danh mục'!$AC$14:$AC$132,$T171),INDEX('Lớp 3 - Công việc chính'!$Z$14:$Z$73,$T171))))</f>
        <v>#REF!</v>
      </c>
      <c r="N171" s="695" t="str">
        <f t="array" ref="N171">IF($S171="","",IF($S171="Lớp 5",INDEX('Lớp 5 - Phân công'!$AE$14:$AE$262,$T171),IF($S171="Lớp 4",INDEX('Lớp 4 - Danh mục'!$AD$14:$AD$132,$T171),INDEX('Lớp 3 - Công việc chính'!$AA$14:$AA$73,$T171))))</f>
        <v>#REF!</v>
      </c>
      <c r="O171" s="690" t="str">
        <f t="array" ref="O171">IF($S171="","",IF($S171="Lớp 5",INDEX('Lớp 5 - Phân công'!$AB$14:$AB$262,$T171),IF($S171="Lớp 4",INDEX('Lớp 4 - Danh mục'!$AA$14:$AA$132,$T171),INDEX('Lớp 3 - Công việc chính'!$X$14:$X$73,$T171))))</f>
        <v>#REF!</v>
      </c>
      <c r="P171" s="703" t="str">
        <f t="array" ref="P171">IF($S171="","",IF($S171="Lớp 5",INDEX('Lớp 5 - Phân công'!$AC$14:$AC$262,$T171),IF($S171="Lớp 4",INDEX('Lớp 4 - Danh mục'!$AB$14:$AB$132,$T171),INDEX('Lớp 3 - Công việc chính'!$Y$14:$Y$73,$T171))))</f>
        <v>#REF!</v>
      </c>
      <c r="Q171" s="697" t="str">
        <f t="array" ref="Q171">IF($S171="","",IF($S171="Lớp 5",INDEX('Lớp 5 - Phân công'!$AG$14:$AG$262,$T171),IF($S171="Lớp 4",INDEX('Lớp 4 - Danh mục'!$AF$14:$AF$132,$T171),INDEX('Lớp 3 - Công việc chính'!$AC$14:$AC$73,$T171))))</f>
        <v>#REF!</v>
      </c>
      <c r="R171" s="698" t="str">
        <f t="array" ref="R171">IF($S171="","",IF($S171="Lớp 5",INDEX('Lớp 5 - Phân công'!$X$14:$X$262,$T171),IF($S171="Lớp 4",INDEX('Lớp 4 - Danh mục'!$V$14:$V$132,$T171),INDEX('Lớp 3 - Công việc chính'!$T$14:$T$73,$T171))))</f>
        <v>#REF!</v>
      </c>
      <c r="S171" s="699" t="str">
        <f>IF(ROWS($S$14:S171)&lt;=COUNTIF('Lớp 5 - Phân công'!$I$14:$I$262,"&lt;&gt;"),"Lớp 5",IF(ROWS($S$14:S171)&lt;=COUNTIF('Lớp 5 - Phân công'!$I$14:$I$262,"&lt;&gt;")+SUMPRODUCT(--('Lớp 4 - Danh mục'!$I$14:$I$132&lt;&gt;""),--(COUNTIF('Lớp 5 - Phân công'!$J$14:$J$262,'Lớp 4 - Danh mục'!$I$14:$I$132)=0)),"Lớp 4",IF(ROWS($S$14:S171)&lt;=COUNTIF('Lớp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1" s="699" t="str">
        <f t="array" ref="T171">IF(S171="","",IF(S171="Lớp 5",IF(S170&lt;&gt;"Lớp 5",MATCH("*",'Lớp 5 - Phân công'!$I$14:$I$262,0),T170+MATCH("*",INDEX('Lớp 5 - Phân công'!$I$14:$I$262,T170+1):'Lớp 5 - Phân công'!$I$262,0)),IF(S171="Lớp 4",IF(S170&lt;&gt;"Lớp 4",MATCH(1,INDEX(('Lớp 4 - Danh mục'!$I$14:$I$132&lt;&gt;"")*(COUNTIF('Lớp 5 - Phân công'!$J$14:$J$262,'Lớp 4 - Danh mục'!$I$14:$I$132)=0),0),0),T170+MATCH(1,INDEX((INDEX('Lớp 4 - Danh mục'!$I$14:$I$132,T170+1):'Lớp 4 - Danh mục'!$I$132&lt;&gt;"")*(COUNTIF('Lớp 5 - Phân công'!$J$14:$J$262,INDEX('Lớp 4 - Danh mục'!$I$14:$I$132,T170+1):'Lớp 4 - Danh mục'!$I$132)=0),0),0)),IF(S170&lt;&gt;"Lớp 3",MATCH(1,INDEX(('Lớp 3 - Công việc chính'!$I$14:$I$73&lt;&gt;"")*(COUNTIF('Lớp 4 - Danh mục'!$J$14:$J$132,'Lớp 3 - Công việc chính'!$I$14:$I$73)=0),0),0),T170+MATCH(1,INDEX((INDEX('Lớp 3 - Công việc chính'!$I$14:$I$73,T170+1):'Lớp 3 - Công việc chính'!$I$73&lt;&gt;"")*(COUNTIF('Lớp 4 - Danh mục'!$J$14:$J$132,INDEX('Lớp 3 - Công việc chính'!$I$14:$I$73,T170+1):'Lớp 3 - Công việc chính'!$I$73)=0),0),0)))))</f>
        <v>#REF!</v>
      </c>
      <c r="Z171" s="700" t="str">
        <f t="array" ref="Z171">IF($S171="","",IF($S171="Lớp 5",INDEX('Lớp 5 - Phân công'!$AS$14:$AS$262,$T171),IF($S171="Lớp 4",INDEX('Lớp 4 - Danh mục'!$AR$14:$AR$132,$T171),INDEX('Lớp 3 - Công việc chính'!$AO$14:$AO$73,$T171))))</f>
        <v>#REF!</v>
      </c>
      <c r="AA171" s="701" t="str">
        <f t="array" ref="AA171">IF($S171="","",IF($S171="Lớp 5",INDEX('Lớp 5 - Phân công'!$AT$14:$AT$262,$T171),IF($S171="Lớp 4",INDEX('Lớp 4 - Danh mục'!$AS$14:$AS$132,$T171),INDEX('Lớp 3 - Công việc chính'!$AP$14:$AP$73,$T171))))</f>
        <v>#REF!</v>
      </c>
      <c r="AB171" s="701" t="str">
        <f t="array" ref="AB171">IF($S171="","",IF($S171="Lớp 5",INDEX('Lớp 5 - Phân công'!$AJ$14:$AJ$262,$T171),IF($S171="Lớp 4",INDEX('Lớp 4 - Danh mục'!$AI$14:$AI$132,$T171),INDEX('Lớp 3 - Công việc chính'!$AF$14:$AF$73,$T171))))</f>
        <v>#REF!</v>
      </c>
      <c r="AC171" s="702" t="str">
        <f t="array" ref="AC171">IF($S171="","",IF($S171="Lớp 5",INDEX('Lớp 5 - Phân công'!$AV$14:$AV$262,$T171),IF($S171="Lớp 4",INDEX('Lớp 4 - Danh mục'!$AU$14:$AU$132,$T171),INDEX('Lớp 3 - Công việc chính'!$AR$14:$AR$73,$T171))))</f>
        <v>#REF!</v>
      </c>
    </row>
    <row r="172" ht="15.75" customHeight="1">
      <c r="A172" s="690" t="str">
        <f t="shared" si="1"/>
        <v>#REF!</v>
      </c>
      <c r="B172" s="690" t="str">
        <f t="array" ref="B172">IF($S172="","",IF($S172="Lớp 5",INDEX('Lớp 5 - Phân công'!$I$14:$I$262,$T172),IF($S172="Lớp 4",INDEX('Lớp 4 - Danh mục'!$I$14:$I$132,$T172),INDEX('Lớp 3 - Công việc chính'!$I$14:$I$73,$T172))))</f>
        <v>#REF!</v>
      </c>
      <c r="C172" s="690" t="str">
        <f t="array" ref="C172">IF($S172="","",IF($S172="Lớp 5",INDEX('Lớp 5 - Phân công'!$K$14:$K$262,$T172),IF($S172="Lớp 4",INDEX('Lớp 4 - Danh mục'!$J$14:$J$132,$T172),INDEX('Lớp 3 - Công việc chính'!$I$14:$I$73,$T172))))</f>
        <v>#REF!</v>
      </c>
      <c r="D172" s="690" t="str">
        <f t="array" ref="D172">IF($S172="","",IF($S172="Lớp 5",INDEX('Lớp 5 - Phân công'!$J$14:$J$262,$T172),IF($S172="Lớp 4",INDEX('Lớp 4 - Danh mục'!$I$14:$I$132,$T172),"")))</f>
        <v>#REF!</v>
      </c>
      <c r="E172" s="690" t="str">
        <f t="array" ref="E172">IF($S172="","",IF($S172="Lớp 5",INDEX('Lớp 5 - Phân công'!$L$14:$L$262,$T172),IF($S172="Lớp 4",INDEX('Lớp 4 - Danh mục'!$K$14:$K$132,$T172),INDEX('Lớp 3 - Công việc chính'!$J$14:$J$73,$T172))))</f>
        <v>#REF!</v>
      </c>
      <c r="F172" s="690" t="str">
        <f t="array" ref="F172">IF($S172="","",IF($S172="Lớp 5",INDEX('Lớp 5 - Phân công'!$M$14:$M$262,$T172),IF($S172="Lớp 4",INDEX('Lớp 4 - Danh mục'!$L$14:$L$132,$T172),INDEX('Lớp 3 - Công việc chính'!$K$14:$K$73,$T172))))</f>
        <v>#REF!</v>
      </c>
      <c r="G172" s="691" t="str">
        <f t="array" ref="G172">IF($S172="","",IF($S172="Lớp 5",INDEX('Lớp 5 - Phân công'!$N$14:$N$262,$T172),IF($S172="Lớp 4",INDEX('Lớp 4 - Danh mục'!$M$14:$M$132,$T172),INDEX('Lớp 3 - Công việc chính'!$L$14:$L$73,$T172))))</f>
        <v>#REF!</v>
      </c>
      <c r="H172" s="692" t="str">
        <f t="array" ref="H172">IF($S172="","",IF($S172="Lớp 5",INDEX('Lớp 5 - Phân công'!$O$14:$O$262,$T172),IF($S172="Lớp 4",INDEX('Lớp 4 - Danh mục'!$N$14:$N$132,$T172),INDEX('Lớp 3 - Công việc chính'!$M$14:$M$73,$T172))))</f>
        <v>#REF!</v>
      </c>
      <c r="I172" s="692" t="str">
        <f t="array" ref="I172">IF($S172="","",IF($S172="Lớp 5",INDEX('Lớp 5 - Phân công'!$P$14:$P$262,$T172),IF($S172="Lớp 4",INDEX('Lớp 4 - Danh mục'!$O$14:$O$132,$T172),"")))</f>
        <v>#REF!</v>
      </c>
      <c r="J172" s="693" t="str">
        <f t="array" ref="J172">IF($S172="","",IF($S172="Lớp 5",INDEX('Lớp 5 - Phân công'!$Q$14:$Q$262,$T172),""))</f>
        <v>#REF!</v>
      </c>
      <c r="K172" s="690" t="str">
        <f t="array" ref="K172">IF($S172="","",IF($S172="Lớp 5",INDEX('Lớp 5 - Phân công'!$AA$14:$AA$262,$T172),IF($S172="Lớp 4",INDEX('Lớp 4 - Danh mục'!$Y$14:$Y$132,$T172),INDEX('Lớp 3 - Công việc chính'!$U$14:$U$73,$T172))))</f>
        <v>#REF!</v>
      </c>
      <c r="L172" s="691" t="str">
        <f t="array" ref="L172">IF($S172="","",IF($S172="Lớp 5",INDEX('Lớp 5 - Phân công'!$Z$14:$Z$262,$T172),IF($S172="Lớp 4",INDEX('Lớp 4 - Danh mục'!$X$14:$X$132,$T172),INDEX('Lớp 3 - Công việc chính'!$W$14:$W$73,$T172))))</f>
        <v>#REF!</v>
      </c>
      <c r="M172" s="694" t="str">
        <f t="array" ref="M172">IF($S172="","",IF($S172="Lớp 5",INDEX('Lớp 5 - Phân công'!$AD$14:$AD$262,$T172),IF($S172="Lớp 4",INDEX('Lớp 4 - Danh mục'!$AC$14:$AC$132,$T172),INDEX('Lớp 3 - Công việc chính'!$Z$14:$Z$73,$T172))))</f>
        <v>#REF!</v>
      </c>
      <c r="N172" s="695" t="str">
        <f t="array" ref="N172">IF($S172="","",IF($S172="Lớp 5",INDEX('Lớp 5 - Phân công'!$AE$14:$AE$262,$T172),IF($S172="Lớp 4",INDEX('Lớp 4 - Danh mục'!$AD$14:$AD$132,$T172),INDEX('Lớp 3 - Công việc chính'!$AA$14:$AA$73,$T172))))</f>
        <v>#REF!</v>
      </c>
      <c r="O172" s="690" t="str">
        <f t="array" ref="O172">IF($S172="","",IF($S172="Lớp 5",INDEX('Lớp 5 - Phân công'!$AB$14:$AB$262,$T172),IF($S172="Lớp 4",INDEX('Lớp 4 - Danh mục'!$AA$14:$AA$132,$T172),INDEX('Lớp 3 - Công việc chính'!$X$14:$X$73,$T172))))</f>
        <v>#REF!</v>
      </c>
      <c r="P172" s="703" t="str">
        <f t="array" ref="P172">IF($S172="","",IF($S172="Lớp 5",INDEX('Lớp 5 - Phân công'!$AC$14:$AC$262,$T172),IF($S172="Lớp 4",INDEX('Lớp 4 - Danh mục'!$AB$14:$AB$132,$T172),INDEX('Lớp 3 - Công việc chính'!$Y$14:$Y$73,$T172))))</f>
        <v>#REF!</v>
      </c>
      <c r="Q172" s="697" t="str">
        <f t="array" ref="Q172">IF($S172="","",IF($S172="Lớp 5",INDEX('Lớp 5 - Phân công'!$AG$14:$AG$262,$T172),IF($S172="Lớp 4",INDEX('Lớp 4 - Danh mục'!$AF$14:$AF$132,$T172),INDEX('Lớp 3 - Công việc chính'!$AC$14:$AC$73,$T172))))</f>
        <v>#REF!</v>
      </c>
      <c r="R172" s="698" t="str">
        <f t="array" ref="R172">IF($S172="","",IF($S172="Lớp 5",INDEX('Lớp 5 - Phân công'!$X$14:$X$262,$T172),IF($S172="Lớp 4",INDEX('Lớp 4 - Danh mục'!$V$14:$V$132,$T172),INDEX('Lớp 3 - Công việc chính'!$T$14:$T$73,$T172))))</f>
        <v>#REF!</v>
      </c>
      <c r="S172" s="699" t="str">
        <f>IF(ROWS($S$14:S172)&lt;=COUNTIF('Lớp 5 - Phân công'!$I$14:$I$262,"&lt;&gt;"),"Lớp 5",IF(ROWS($S$14:S172)&lt;=COUNTIF('Lớp 5 - Phân công'!$I$14:$I$262,"&lt;&gt;")+SUMPRODUCT(--('Lớp 4 - Danh mục'!$I$14:$I$132&lt;&gt;""),--(COUNTIF('Lớp 5 - Phân công'!$J$14:$J$262,'Lớp 4 - Danh mục'!$I$14:$I$132)=0)),"Lớp 4",IF(ROWS($S$14:S172)&lt;=COUNTIF('Lớp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2" s="699" t="str">
        <f t="array" ref="T172">IF(S172="","",IF(S172="Lớp 5",IF(S171&lt;&gt;"Lớp 5",MATCH("*",'Lớp 5 - Phân công'!$I$14:$I$262,0),T171+MATCH("*",INDEX('Lớp 5 - Phân công'!$I$14:$I$262,T171+1):'Lớp 5 - Phân công'!$I$262,0)),IF(S172="Lớp 4",IF(S171&lt;&gt;"Lớp 4",MATCH(1,INDEX(('Lớp 4 - Danh mục'!$I$14:$I$132&lt;&gt;"")*(COUNTIF('Lớp 5 - Phân công'!$J$14:$J$262,'Lớp 4 - Danh mục'!$I$14:$I$132)=0),0),0),T171+MATCH(1,INDEX((INDEX('Lớp 4 - Danh mục'!$I$14:$I$132,T171+1):'Lớp 4 - Danh mục'!$I$132&lt;&gt;"")*(COUNTIF('Lớp 5 - Phân công'!$J$14:$J$262,INDEX('Lớp 4 - Danh mục'!$I$14:$I$132,T171+1):'Lớp 4 - Danh mục'!$I$132)=0),0),0)),IF(S171&lt;&gt;"Lớp 3",MATCH(1,INDEX(('Lớp 3 - Công việc chính'!$I$14:$I$73&lt;&gt;"")*(COUNTIF('Lớp 4 - Danh mục'!$J$14:$J$132,'Lớp 3 - Công việc chính'!$I$14:$I$73)=0),0),0),T171+MATCH(1,INDEX((INDEX('Lớp 3 - Công việc chính'!$I$14:$I$73,T171+1):'Lớp 3 - Công việc chính'!$I$73&lt;&gt;"")*(COUNTIF('Lớp 4 - Danh mục'!$J$14:$J$132,INDEX('Lớp 3 - Công việc chính'!$I$14:$I$73,T171+1):'Lớp 3 - Công việc chính'!$I$73)=0),0),0)))))</f>
        <v>#REF!</v>
      </c>
      <c r="Z172" s="700" t="str">
        <f t="array" ref="Z172">IF($S172="","",IF($S172="Lớp 5",INDEX('Lớp 5 - Phân công'!$AS$14:$AS$262,$T172),IF($S172="Lớp 4",INDEX('Lớp 4 - Danh mục'!$AR$14:$AR$132,$T172),INDEX('Lớp 3 - Công việc chính'!$AO$14:$AO$73,$T172))))</f>
        <v>#REF!</v>
      </c>
      <c r="AA172" s="701" t="str">
        <f t="array" ref="AA172">IF($S172="","",IF($S172="Lớp 5",INDEX('Lớp 5 - Phân công'!$AT$14:$AT$262,$T172),IF($S172="Lớp 4",INDEX('Lớp 4 - Danh mục'!$AS$14:$AS$132,$T172),INDEX('Lớp 3 - Công việc chính'!$AP$14:$AP$73,$T172))))</f>
        <v>#REF!</v>
      </c>
      <c r="AB172" s="701" t="str">
        <f t="array" ref="AB172">IF($S172="","",IF($S172="Lớp 5",INDEX('Lớp 5 - Phân công'!$AJ$14:$AJ$262,$T172),IF($S172="Lớp 4",INDEX('Lớp 4 - Danh mục'!$AI$14:$AI$132,$T172),INDEX('Lớp 3 - Công việc chính'!$AF$14:$AF$73,$T172))))</f>
        <v>#REF!</v>
      </c>
      <c r="AC172" s="702" t="str">
        <f t="array" ref="AC172">IF($S172="","",IF($S172="Lớp 5",INDEX('Lớp 5 - Phân công'!$AV$14:$AV$262,$T172),IF($S172="Lớp 4",INDEX('Lớp 4 - Danh mục'!$AU$14:$AU$132,$T172),INDEX('Lớp 3 - Công việc chính'!$AR$14:$AR$73,$T172))))</f>
        <v>#REF!</v>
      </c>
    </row>
    <row r="173" ht="15.75" customHeight="1">
      <c r="A173" s="690" t="str">
        <f t="shared" si="1"/>
        <v>#REF!</v>
      </c>
      <c r="B173" s="690" t="str">
        <f t="array" ref="B173">IF($S173="","",IF($S173="Lớp 5",INDEX('Lớp 5 - Phân công'!$I$14:$I$262,$T173),IF($S173="Lớp 4",INDEX('Lớp 4 - Danh mục'!$I$14:$I$132,$T173),INDEX('Lớp 3 - Công việc chính'!$I$14:$I$73,$T173))))</f>
        <v>#REF!</v>
      </c>
      <c r="C173" s="690" t="str">
        <f t="array" ref="C173">IF($S173="","",IF($S173="Lớp 5",INDEX('Lớp 5 - Phân công'!$K$14:$K$262,$T173),IF($S173="Lớp 4",INDEX('Lớp 4 - Danh mục'!$J$14:$J$132,$T173),INDEX('Lớp 3 - Công việc chính'!$I$14:$I$73,$T173))))</f>
        <v>#REF!</v>
      </c>
      <c r="D173" s="690" t="str">
        <f t="array" ref="D173">IF($S173="","",IF($S173="Lớp 5",INDEX('Lớp 5 - Phân công'!$J$14:$J$262,$T173),IF($S173="Lớp 4",INDEX('Lớp 4 - Danh mục'!$I$14:$I$132,$T173),"")))</f>
        <v>#REF!</v>
      </c>
      <c r="E173" s="690" t="str">
        <f t="array" ref="E173">IF($S173="","",IF($S173="Lớp 5",INDEX('Lớp 5 - Phân công'!$L$14:$L$262,$T173),IF($S173="Lớp 4",INDEX('Lớp 4 - Danh mục'!$K$14:$K$132,$T173),INDEX('Lớp 3 - Công việc chính'!$J$14:$J$73,$T173))))</f>
        <v>#REF!</v>
      </c>
      <c r="F173" s="690" t="str">
        <f t="array" ref="F173">IF($S173="","",IF($S173="Lớp 5",INDEX('Lớp 5 - Phân công'!$M$14:$M$262,$T173),IF($S173="Lớp 4",INDEX('Lớp 4 - Danh mục'!$L$14:$L$132,$T173),INDEX('Lớp 3 - Công việc chính'!$K$14:$K$73,$T173))))</f>
        <v>#REF!</v>
      </c>
      <c r="G173" s="691" t="str">
        <f t="array" ref="G173">IF($S173="","",IF($S173="Lớp 5",INDEX('Lớp 5 - Phân công'!$N$14:$N$262,$T173),IF($S173="Lớp 4",INDEX('Lớp 4 - Danh mục'!$M$14:$M$132,$T173),INDEX('Lớp 3 - Công việc chính'!$L$14:$L$73,$T173))))</f>
        <v>#REF!</v>
      </c>
      <c r="H173" s="692" t="str">
        <f t="array" ref="H173">IF($S173="","",IF($S173="Lớp 5",INDEX('Lớp 5 - Phân công'!$O$14:$O$262,$T173),IF($S173="Lớp 4",INDEX('Lớp 4 - Danh mục'!$N$14:$N$132,$T173),INDEX('Lớp 3 - Công việc chính'!$M$14:$M$73,$T173))))</f>
        <v>#REF!</v>
      </c>
      <c r="I173" s="692" t="str">
        <f t="array" ref="I173">IF($S173="","",IF($S173="Lớp 5",INDEX('Lớp 5 - Phân công'!$P$14:$P$262,$T173),IF($S173="Lớp 4",INDEX('Lớp 4 - Danh mục'!$O$14:$O$132,$T173),"")))</f>
        <v>#REF!</v>
      </c>
      <c r="J173" s="693" t="str">
        <f t="array" ref="J173">IF($S173="","",IF($S173="Lớp 5",INDEX('Lớp 5 - Phân công'!$Q$14:$Q$262,$T173),""))</f>
        <v>#REF!</v>
      </c>
      <c r="K173" s="690" t="str">
        <f t="array" ref="K173">IF($S173="","",IF($S173="Lớp 5",INDEX('Lớp 5 - Phân công'!$AA$14:$AA$262,$T173),IF($S173="Lớp 4",INDEX('Lớp 4 - Danh mục'!$Y$14:$Y$132,$T173),INDEX('Lớp 3 - Công việc chính'!$U$14:$U$73,$T173))))</f>
        <v>#REF!</v>
      </c>
      <c r="L173" s="691" t="str">
        <f t="array" ref="L173">IF($S173="","",IF($S173="Lớp 5",INDEX('Lớp 5 - Phân công'!$Z$14:$Z$262,$T173),IF($S173="Lớp 4",INDEX('Lớp 4 - Danh mục'!$X$14:$X$132,$T173),INDEX('Lớp 3 - Công việc chính'!$W$14:$W$73,$T173))))</f>
        <v>#REF!</v>
      </c>
      <c r="M173" s="694" t="str">
        <f t="array" ref="M173">IF($S173="","",IF($S173="Lớp 5",INDEX('Lớp 5 - Phân công'!$AD$14:$AD$262,$T173),IF($S173="Lớp 4",INDEX('Lớp 4 - Danh mục'!$AC$14:$AC$132,$T173),INDEX('Lớp 3 - Công việc chính'!$Z$14:$Z$73,$T173))))</f>
        <v>#REF!</v>
      </c>
      <c r="N173" s="695" t="str">
        <f t="array" ref="N173">IF($S173="","",IF($S173="Lớp 5",INDEX('Lớp 5 - Phân công'!$AE$14:$AE$262,$T173),IF($S173="Lớp 4",INDEX('Lớp 4 - Danh mục'!$AD$14:$AD$132,$T173),INDEX('Lớp 3 - Công việc chính'!$AA$14:$AA$73,$T173))))</f>
        <v>#REF!</v>
      </c>
      <c r="O173" s="690" t="str">
        <f t="array" ref="O173">IF($S173="","",IF($S173="Lớp 5",INDEX('Lớp 5 - Phân công'!$AB$14:$AB$262,$T173),IF($S173="Lớp 4",INDEX('Lớp 4 - Danh mục'!$AA$14:$AA$132,$T173),INDEX('Lớp 3 - Công việc chính'!$X$14:$X$73,$T173))))</f>
        <v>#REF!</v>
      </c>
      <c r="P173" s="703" t="str">
        <f t="array" ref="P173">IF($S173="","",IF($S173="Lớp 5",INDEX('Lớp 5 - Phân công'!$AC$14:$AC$262,$T173),IF($S173="Lớp 4",INDEX('Lớp 4 - Danh mục'!$AB$14:$AB$132,$T173),INDEX('Lớp 3 - Công việc chính'!$Y$14:$Y$73,$T173))))</f>
        <v>#REF!</v>
      </c>
      <c r="Q173" s="697" t="str">
        <f t="array" ref="Q173">IF($S173="","",IF($S173="Lớp 5",INDEX('Lớp 5 - Phân công'!$AG$14:$AG$262,$T173),IF($S173="Lớp 4",INDEX('Lớp 4 - Danh mục'!$AF$14:$AF$132,$T173),INDEX('Lớp 3 - Công việc chính'!$AC$14:$AC$73,$T173))))</f>
        <v>#REF!</v>
      </c>
      <c r="R173" s="698" t="str">
        <f t="array" ref="R173">IF($S173="","",IF($S173="Lớp 5",INDEX('Lớp 5 - Phân công'!$X$14:$X$262,$T173),IF($S173="Lớp 4",INDEX('Lớp 4 - Danh mục'!$V$14:$V$132,$T173),INDEX('Lớp 3 - Công việc chính'!$T$14:$T$73,$T173))))</f>
        <v>#REF!</v>
      </c>
      <c r="S173" s="699" t="str">
        <f>IF(ROWS($S$14:S173)&lt;=COUNTIF('Lớp 5 - Phân công'!$I$14:$I$262,"&lt;&gt;"),"Lớp 5",IF(ROWS($S$14:S173)&lt;=COUNTIF('Lớp 5 - Phân công'!$I$14:$I$262,"&lt;&gt;")+SUMPRODUCT(--('Lớp 4 - Danh mục'!$I$14:$I$132&lt;&gt;""),--(COUNTIF('Lớp 5 - Phân công'!$J$14:$J$262,'Lớp 4 - Danh mục'!$I$14:$I$132)=0)),"Lớp 4",IF(ROWS($S$14:S173)&lt;=COUNTIF('Lớp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3" s="699" t="str">
        <f t="array" ref="T173">IF(S173="","",IF(S173="Lớp 5",IF(S172&lt;&gt;"Lớp 5",MATCH("*",'Lớp 5 - Phân công'!$I$14:$I$262,0),T172+MATCH("*",INDEX('Lớp 5 - Phân công'!$I$14:$I$262,T172+1):'Lớp 5 - Phân công'!$I$262,0)),IF(S173="Lớp 4",IF(S172&lt;&gt;"Lớp 4",MATCH(1,INDEX(('Lớp 4 - Danh mục'!$I$14:$I$132&lt;&gt;"")*(COUNTIF('Lớp 5 - Phân công'!$J$14:$J$262,'Lớp 4 - Danh mục'!$I$14:$I$132)=0),0),0),T172+MATCH(1,INDEX((INDEX('Lớp 4 - Danh mục'!$I$14:$I$132,T172+1):'Lớp 4 - Danh mục'!$I$132&lt;&gt;"")*(COUNTIF('Lớp 5 - Phân công'!$J$14:$J$262,INDEX('Lớp 4 - Danh mục'!$I$14:$I$132,T172+1):'Lớp 4 - Danh mục'!$I$132)=0),0),0)),IF(S172&lt;&gt;"Lớp 3",MATCH(1,INDEX(('Lớp 3 - Công việc chính'!$I$14:$I$73&lt;&gt;"")*(COUNTIF('Lớp 4 - Danh mục'!$J$14:$J$132,'Lớp 3 - Công việc chính'!$I$14:$I$73)=0),0),0),T172+MATCH(1,INDEX((INDEX('Lớp 3 - Công việc chính'!$I$14:$I$73,T172+1):'Lớp 3 - Công việc chính'!$I$73&lt;&gt;"")*(COUNTIF('Lớp 4 - Danh mục'!$J$14:$J$132,INDEX('Lớp 3 - Công việc chính'!$I$14:$I$73,T172+1):'Lớp 3 - Công việc chính'!$I$73)=0),0),0)))))</f>
        <v>#REF!</v>
      </c>
      <c r="Z173" s="700" t="str">
        <f t="array" ref="Z173">IF($S173="","",IF($S173="Lớp 5",INDEX('Lớp 5 - Phân công'!$AS$14:$AS$262,$T173),IF($S173="Lớp 4",INDEX('Lớp 4 - Danh mục'!$AR$14:$AR$132,$T173),INDEX('Lớp 3 - Công việc chính'!$AO$14:$AO$73,$T173))))</f>
        <v>#REF!</v>
      </c>
      <c r="AA173" s="701" t="str">
        <f t="array" ref="AA173">IF($S173="","",IF($S173="Lớp 5",INDEX('Lớp 5 - Phân công'!$AT$14:$AT$262,$T173),IF($S173="Lớp 4",INDEX('Lớp 4 - Danh mục'!$AS$14:$AS$132,$T173),INDEX('Lớp 3 - Công việc chính'!$AP$14:$AP$73,$T173))))</f>
        <v>#REF!</v>
      </c>
      <c r="AB173" s="701" t="str">
        <f t="array" ref="AB173">IF($S173="","",IF($S173="Lớp 5",INDEX('Lớp 5 - Phân công'!$AJ$14:$AJ$262,$T173),IF($S173="Lớp 4",INDEX('Lớp 4 - Danh mục'!$AI$14:$AI$132,$T173),INDEX('Lớp 3 - Công việc chính'!$AF$14:$AF$73,$T173))))</f>
        <v>#REF!</v>
      </c>
      <c r="AC173" s="702" t="str">
        <f t="array" ref="AC173">IF($S173="","",IF($S173="Lớp 5",INDEX('Lớp 5 - Phân công'!$AV$14:$AV$262,$T173),IF($S173="Lớp 4",INDEX('Lớp 4 - Danh mục'!$AU$14:$AU$132,$T173),INDEX('Lớp 3 - Công việc chính'!$AR$14:$AR$73,$T173))))</f>
        <v>#REF!</v>
      </c>
    </row>
    <row r="174" ht="15.75" customHeight="1">
      <c r="A174" s="690" t="str">
        <f t="shared" si="1"/>
        <v>#REF!</v>
      </c>
      <c r="B174" s="690" t="str">
        <f t="array" ref="B174">IF($S174="","",IF($S174="Lớp 5",INDEX('Lớp 5 - Phân công'!$I$14:$I$262,$T174),IF($S174="Lớp 4",INDEX('Lớp 4 - Danh mục'!$I$14:$I$132,$T174),INDEX('Lớp 3 - Công việc chính'!$I$14:$I$73,$T174))))</f>
        <v>#REF!</v>
      </c>
      <c r="C174" s="690" t="str">
        <f t="array" ref="C174">IF($S174="","",IF($S174="Lớp 5",INDEX('Lớp 5 - Phân công'!$K$14:$K$262,$T174),IF($S174="Lớp 4",INDEX('Lớp 4 - Danh mục'!$J$14:$J$132,$T174),INDEX('Lớp 3 - Công việc chính'!$I$14:$I$73,$T174))))</f>
        <v>#REF!</v>
      </c>
      <c r="D174" s="690" t="str">
        <f t="array" ref="D174">IF($S174="","",IF($S174="Lớp 5",INDEX('Lớp 5 - Phân công'!$J$14:$J$262,$T174),IF($S174="Lớp 4",INDEX('Lớp 4 - Danh mục'!$I$14:$I$132,$T174),"")))</f>
        <v>#REF!</v>
      </c>
      <c r="E174" s="690" t="str">
        <f t="array" ref="E174">IF($S174="","",IF($S174="Lớp 5",INDEX('Lớp 5 - Phân công'!$L$14:$L$262,$T174),IF($S174="Lớp 4",INDEX('Lớp 4 - Danh mục'!$K$14:$K$132,$T174),INDEX('Lớp 3 - Công việc chính'!$J$14:$J$73,$T174))))</f>
        <v>#REF!</v>
      </c>
      <c r="F174" s="690" t="str">
        <f t="array" ref="F174">IF($S174="","",IF($S174="Lớp 5",INDEX('Lớp 5 - Phân công'!$M$14:$M$262,$T174),IF($S174="Lớp 4",INDEX('Lớp 4 - Danh mục'!$L$14:$L$132,$T174),INDEX('Lớp 3 - Công việc chính'!$K$14:$K$73,$T174))))</f>
        <v>#REF!</v>
      </c>
      <c r="G174" s="691" t="str">
        <f t="array" ref="G174">IF($S174="","",IF($S174="Lớp 5",INDEX('Lớp 5 - Phân công'!$N$14:$N$262,$T174),IF($S174="Lớp 4",INDEX('Lớp 4 - Danh mục'!$M$14:$M$132,$T174),INDEX('Lớp 3 - Công việc chính'!$L$14:$L$73,$T174))))</f>
        <v>#REF!</v>
      </c>
      <c r="H174" s="692" t="str">
        <f t="array" ref="H174">IF($S174="","",IF($S174="Lớp 5",INDEX('Lớp 5 - Phân công'!$O$14:$O$262,$T174),IF($S174="Lớp 4",INDEX('Lớp 4 - Danh mục'!$N$14:$N$132,$T174),INDEX('Lớp 3 - Công việc chính'!$M$14:$M$73,$T174))))</f>
        <v>#REF!</v>
      </c>
      <c r="I174" s="692" t="str">
        <f t="array" ref="I174">IF($S174="","",IF($S174="Lớp 5",INDEX('Lớp 5 - Phân công'!$P$14:$P$262,$T174),IF($S174="Lớp 4",INDEX('Lớp 4 - Danh mục'!$O$14:$O$132,$T174),"")))</f>
        <v>#REF!</v>
      </c>
      <c r="J174" s="693" t="str">
        <f t="array" ref="J174">IF($S174="","",IF($S174="Lớp 5",INDEX('Lớp 5 - Phân công'!$Q$14:$Q$262,$T174),""))</f>
        <v>#REF!</v>
      </c>
      <c r="K174" s="690" t="str">
        <f t="array" ref="K174">IF($S174="","",IF($S174="Lớp 5",INDEX('Lớp 5 - Phân công'!$AA$14:$AA$262,$T174),IF($S174="Lớp 4",INDEX('Lớp 4 - Danh mục'!$Y$14:$Y$132,$T174),INDEX('Lớp 3 - Công việc chính'!$U$14:$U$73,$T174))))</f>
        <v>#REF!</v>
      </c>
      <c r="L174" s="691" t="str">
        <f t="array" ref="L174">IF($S174="","",IF($S174="Lớp 5",INDEX('Lớp 5 - Phân công'!$Z$14:$Z$262,$T174),IF($S174="Lớp 4",INDEX('Lớp 4 - Danh mục'!$X$14:$X$132,$T174),INDEX('Lớp 3 - Công việc chính'!$W$14:$W$73,$T174))))</f>
        <v>#REF!</v>
      </c>
      <c r="M174" s="694" t="str">
        <f t="array" ref="M174">IF($S174="","",IF($S174="Lớp 5",INDEX('Lớp 5 - Phân công'!$AD$14:$AD$262,$T174),IF($S174="Lớp 4",INDEX('Lớp 4 - Danh mục'!$AC$14:$AC$132,$T174),INDEX('Lớp 3 - Công việc chính'!$Z$14:$Z$73,$T174))))</f>
        <v>#REF!</v>
      </c>
      <c r="N174" s="695" t="str">
        <f t="array" ref="N174">IF($S174="","",IF($S174="Lớp 5",INDEX('Lớp 5 - Phân công'!$AE$14:$AE$262,$T174),IF($S174="Lớp 4",INDEX('Lớp 4 - Danh mục'!$AD$14:$AD$132,$T174),INDEX('Lớp 3 - Công việc chính'!$AA$14:$AA$73,$T174))))</f>
        <v>#REF!</v>
      </c>
      <c r="O174" s="690" t="str">
        <f t="array" ref="O174">IF($S174="","",IF($S174="Lớp 5",INDEX('Lớp 5 - Phân công'!$AB$14:$AB$262,$T174),IF($S174="Lớp 4",INDEX('Lớp 4 - Danh mục'!$AA$14:$AA$132,$T174),INDEX('Lớp 3 - Công việc chính'!$X$14:$X$73,$T174))))</f>
        <v>#REF!</v>
      </c>
      <c r="P174" s="703" t="str">
        <f t="array" ref="P174">IF($S174="","",IF($S174="Lớp 5",INDEX('Lớp 5 - Phân công'!$AC$14:$AC$262,$T174),IF($S174="Lớp 4",INDEX('Lớp 4 - Danh mục'!$AB$14:$AB$132,$T174),INDEX('Lớp 3 - Công việc chính'!$Y$14:$Y$73,$T174))))</f>
        <v>#REF!</v>
      </c>
      <c r="Q174" s="697" t="str">
        <f t="array" ref="Q174">IF($S174="","",IF($S174="Lớp 5",INDEX('Lớp 5 - Phân công'!$AG$14:$AG$262,$T174),IF($S174="Lớp 4",INDEX('Lớp 4 - Danh mục'!$AF$14:$AF$132,$T174),INDEX('Lớp 3 - Công việc chính'!$AC$14:$AC$73,$T174))))</f>
        <v>#REF!</v>
      </c>
      <c r="R174" s="698" t="str">
        <f t="array" ref="R174">IF($S174="","",IF($S174="Lớp 5",INDEX('Lớp 5 - Phân công'!$X$14:$X$262,$T174),IF($S174="Lớp 4",INDEX('Lớp 4 - Danh mục'!$V$14:$V$132,$T174),INDEX('Lớp 3 - Công việc chính'!$T$14:$T$73,$T174))))</f>
        <v>#REF!</v>
      </c>
      <c r="S174" s="699" t="str">
        <f>IF(ROWS($S$14:S174)&lt;=COUNTIF('Lớp 5 - Phân công'!$I$14:$I$262,"&lt;&gt;"),"Lớp 5",IF(ROWS($S$14:S174)&lt;=COUNTIF('Lớp 5 - Phân công'!$I$14:$I$262,"&lt;&gt;")+SUMPRODUCT(--('Lớp 4 - Danh mục'!$I$14:$I$132&lt;&gt;""),--(COUNTIF('Lớp 5 - Phân công'!$J$14:$J$262,'Lớp 4 - Danh mục'!$I$14:$I$132)=0)),"Lớp 4",IF(ROWS($S$14:S174)&lt;=COUNTIF('Lớp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4" s="699" t="str">
        <f t="array" ref="T174">IF(S174="","",IF(S174="Lớp 5",IF(S173&lt;&gt;"Lớp 5",MATCH("*",'Lớp 5 - Phân công'!$I$14:$I$262,0),T173+MATCH("*",INDEX('Lớp 5 - Phân công'!$I$14:$I$262,T173+1):'Lớp 5 - Phân công'!$I$262,0)),IF(S174="Lớp 4",IF(S173&lt;&gt;"Lớp 4",MATCH(1,INDEX(('Lớp 4 - Danh mục'!$I$14:$I$132&lt;&gt;"")*(COUNTIF('Lớp 5 - Phân công'!$J$14:$J$262,'Lớp 4 - Danh mục'!$I$14:$I$132)=0),0),0),T173+MATCH(1,INDEX((INDEX('Lớp 4 - Danh mục'!$I$14:$I$132,T173+1):'Lớp 4 - Danh mục'!$I$132&lt;&gt;"")*(COUNTIF('Lớp 5 - Phân công'!$J$14:$J$262,INDEX('Lớp 4 - Danh mục'!$I$14:$I$132,T173+1):'Lớp 4 - Danh mục'!$I$132)=0),0),0)),IF(S173&lt;&gt;"Lớp 3",MATCH(1,INDEX(('Lớp 3 - Công việc chính'!$I$14:$I$73&lt;&gt;"")*(COUNTIF('Lớp 4 - Danh mục'!$J$14:$J$132,'Lớp 3 - Công việc chính'!$I$14:$I$73)=0),0),0),T173+MATCH(1,INDEX((INDEX('Lớp 3 - Công việc chính'!$I$14:$I$73,T173+1):'Lớp 3 - Công việc chính'!$I$73&lt;&gt;"")*(COUNTIF('Lớp 4 - Danh mục'!$J$14:$J$132,INDEX('Lớp 3 - Công việc chính'!$I$14:$I$73,T173+1):'Lớp 3 - Công việc chính'!$I$73)=0),0),0)))))</f>
        <v>#REF!</v>
      </c>
      <c r="Z174" s="700" t="str">
        <f t="array" ref="Z174">IF($S174="","",IF($S174="Lớp 5",INDEX('Lớp 5 - Phân công'!$AS$14:$AS$262,$T174),IF($S174="Lớp 4",INDEX('Lớp 4 - Danh mục'!$AR$14:$AR$132,$T174),INDEX('Lớp 3 - Công việc chính'!$AO$14:$AO$73,$T174))))</f>
        <v>#REF!</v>
      </c>
      <c r="AA174" s="701" t="str">
        <f t="array" ref="AA174">IF($S174="","",IF($S174="Lớp 5",INDEX('Lớp 5 - Phân công'!$AT$14:$AT$262,$T174),IF($S174="Lớp 4",INDEX('Lớp 4 - Danh mục'!$AS$14:$AS$132,$T174),INDEX('Lớp 3 - Công việc chính'!$AP$14:$AP$73,$T174))))</f>
        <v>#REF!</v>
      </c>
      <c r="AB174" s="701" t="str">
        <f t="array" ref="AB174">IF($S174="","",IF($S174="Lớp 5",INDEX('Lớp 5 - Phân công'!$AJ$14:$AJ$262,$T174),IF($S174="Lớp 4",INDEX('Lớp 4 - Danh mục'!$AI$14:$AI$132,$T174),INDEX('Lớp 3 - Công việc chính'!$AF$14:$AF$73,$T174))))</f>
        <v>#REF!</v>
      </c>
      <c r="AC174" s="702" t="str">
        <f t="array" ref="AC174">IF($S174="","",IF($S174="Lớp 5",INDEX('Lớp 5 - Phân công'!$AV$14:$AV$262,$T174),IF($S174="Lớp 4",INDEX('Lớp 4 - Danh mục'!$AU$14:$AU$132,$T174),INDEX('Lớp 3 - Công việc chính'!$AR$14:$AR$73,$T174))))</f>
        <v>#REF!</v>
      </c>
    </row>
    <row r="175" ht="15.75" customHeight="1">
      <c r="A175" s="690" t="str">
        <f t="shared" si="1"/>
        <v>#REF!</v>
      </c>
      <c r="B175" s="690" t="str">
        <f t="array" ref="B175">IF($S175="","",IF($S175="Lớp 5",INDEX('Lớp 5 - Phân công'!$I$14:$I$262,$T175),IF($S175="Lớp 4",INDEX('Lớp 4 - Danh mục'!$I$14:$I$132,$T175),INDEX('Lớp 3 - Công việc chính'!$I$14:$I$73,$T175))))</f>
        <v>#REF!</v>
      </c>
      <c r="C175" s="690" t="str">
        <f t="array" ref="C175">IF($S175="","",IF($S175="Lớp 5",INDEX('Lớp 5 - Phân công'!$K$14:$K$262,$T175),IF($S175="Lớp 4",INDEX('Lớp 4 - Danh mục'!$J$14:$J$132,$T175),INDEX('Lớp 3 - Công việc chính'!$I$14:$I$73,$T175))))</f>
        <v>#REF!</v>
      </c>
      <c r="D175" s="690" t="str">
        <f t="array" ref="D175">IF($S175="","",IF($S175="Lớp 5",INDEX('Lớp 5 - Phân công'!$J$14:$J$262,$T175),IF($S175="Lớp 4",INDEX('Lớp 4 - Danh mục'!$I$14:$I$132,$T175),"")))</f>
        <v>#REF!</v>
      </c>
      <c r="E175" s="690" t="str">
        <f t="array" ref="E175">IF($S175="","",IF($S175="Lớp 5",INDEX('Lớp 5 - Phân công'!$L$14:$L$262,$T175),IF($S175="Lớp 4",INDEX('Lớp 4 - Danh mục'!$K$14:$K$132,$T175),INDEX('Lớp 3 - Công việc chính'!$J$14:$J$73,$T175))))</f>
        <v>#REF!</v>
      </c>
      <c r="F175" s="690" t="str">
        <f t="array" ref="F175">IF($S175="","",IF($S175="Lớp 5",INDEX('Lớp 5 - Phân công'!$M$14:$M$262,$T175),IF($S175="Lớp 4",INDEX('Lớp 4 - Danh mục'!$L$14:$L$132,$T175),INDEX('Lớp 3 - Công việc chính'!$K$14:$K$73,$T175))))</f>
        <v>#REF!</v>
      </c>
      <c r="G175" s="691" t="str">
        <f t="array" ref="G175">IF($S175="","",IF($S175="Lớp 5",INDEX('Lớp 5 - Phân công'!$N$14:$N$262,$T175),IF($S175="Lớp 4",INDEX('Lớp 4 - Danh mục'!$M$14:$M$132,$T175),INDEX('Lớp 3 - Công việc chính'!$L$14:$L$73,$T175))))</f>
        <v>#REF!</v>
      </c>
      <c r="H175" s="692" t="str">
        <f t="array" ref="H175">IF($S175="","",IF($S175="Lớp 5",INDEX('Lớp 5 - Phân công'!$O$14:$O$262,$T175),IF($S175="Lớp 4",INDEX('Lớp 4 - Danh mục'!$N$14:$N$132,$T175),INDEX('Lớp 3 - Công việc chính'!$M$14:$M$73,$T175))))</f>
        <v>#REF!</v>
      </c>
      <c r="I175" s="692" t="str">
        <f t="array" ref="I175">IF($S175="","",IF($S175="Lớp 5",INDEX('Lớp 5 - Phân công'!$P$14:$P$262,$T175),IF($S175="Lớp 4",INDEX('Lớp 4 - Danh mục'!$O$14:$O$132,$T175),"")))</f>
        <v>#REF!</v>
      </c>
      <c r="J175" s="693" t="str">
        <f t="array" ref="J175">IF($S175="","",IF($S175="Lớp 5",INDEX('Lớp 5 - Phân công'!$Q$14:$Q$262,$T175),""))</f>
        <v>#REF!</v>
      </c>
      <c r="K175" s="690" t="str">
        <f t="array" ref="K175">IF($S175="","",IF($S175="Lớp 5",INDEX('Lớp 5 - Phân công'!$AA$14:$AA$262,$T175),IF($S175="Lớp 4",INDEX('Lớp 4 - Danh mục'!$Y$14:$Y$132,$T175),INDEX('Lớp 3 - Công việc chính'!$U$14:$U$73,$T175))))</f>
        <v>#REF!</v>
      </c>
      <c r="L175" s="691" t="str">
        <f t="array" ref="L175">IF($S175="","",IF($S175="Lớp 5",INDEX('Lớp 5 - Phân công'!$Z$14:$Z$262,$T175),IF($S175="Lớp 4",INDEX('Lớp 4 - Danh mục'!$X$14:$X$132,$T175),INDEX('Lớp 3 - Công việc chính'!$W$14:$W$73,$T175))))</f>
        <v>#REF!</v>
      </c>
      <c r="M175" s="694" t="str">
        <f t="array" ref="M175">IF($S175="","",IF($S175="Lớp 5",INDEX('Lớp 5 - Phân công'!$AD$14:$AD$262,$T175),IF($S175="Lớp 4",INDEX('Lớp 4 - Danh mục'!$AC$14:$AC$132,$T175),INDEX('Lớp 3 - Công việc chính'!$Z$14:$Z$73,$T175))))</f>
        <v>#REF!</v>
      </c>
      <c r="N175" s="695" t="str">
        <f t="array" ref="N175">IF($S175="","",IF($S175="Lớp 5",INDEX('Lớp 5 - Phân công'!$AE$14:$AE$262,$T175),IF($S175="Lớp 4",INDEX('Lớp 4 - Danh mục'!$AD$14:$AD$132,$T175),INDEX('Lớp 3 - Công việc chính'!$AA$14:$AA$73,$T175))))</f>
        <v>#REF!</v>
      </c>
      <c r="O175" s="690" t="str">
        <f t="array" ref="O175">IF($S175="","",IF($S175="Lớp 5",INDEX('Lớp 5 - Phân công'!$AB$14:$AB$262,$T175),IF($S175="Lớp 4",INDEX('Lớp 4 - Danh mục'!$AA$14:$AA$132,$T175),INDEX('Lớp 3 - Công việc chính'!$X$14:$X$73,$T175))))</f>
        <v>#REF!</v>
      </c>
      <c r="P175" s="703" t="str">
        <f t="array" ref="P175">IF($S175="","",IF($S175="Lớp 5",INDEX('Lớp 5 - Phân công'!$AC$14:$AC$262,$T175),IF($S175="Lớp 4",INDEX('Lớp 4 - Danh mục'!$AB$14:$AB$132,$T175),INDEX('Lớp 3 - Công việc chính'!$Y$14:$Y$73,$T175))))</f>
        <v>#REF!</v>
      </c>
      <c r="Q175" s="697" t="str">
        <f t="array" ref="Q175">IF($S175="","",IF($S175="Lớp 5",INDEX('Lớp 5 - Phân công'!$AG$14:$AG$262,$T175),IF($S175="Lớp 4",INDEX('Lớp 4 - Danh mục'!$AF$14:$AF$132,$T175),INDEX('Lớp 3 - Công việc chính'!$AC$14:$AC$73,$T175))))</f>
        <v>#REF!</v>
      </c>
      <c r="R175" s="698" t="str">
        <f t="array" ref="R175">IF($S175="","",IF($S175="Lớp 5",INDEX('Lớp 5 - Phân công'!$X$14:$X$262,$T175),IF($S175="Lớp 4",INDEX('Lớp 4 - Danh mục'!$V$14:$V$132,$T175),INDEX('Lớp 3 - Công việc chính'!$T$14:$T$73,$T175))))</f>
        <v>#REF!</v>
      </c>
      <c r="S175" s="699" t="str">
        <f>IF(ROWS($S$14:S175)&lt;=COUNTIF('Lớp 5 - Phân công'!$I$14:$I$262,"&lt;&gt;"),"Lớp 5",IF(ROWS($S$14:S175)&lt;=COUNTIF('Lớp 5 - Phân công'!$I$14:$I$262,"&lt;&gt;")+SUMPRODUCT(--('Lớp 4 - Danh mục'!$I$14:$I$132&lt;&gt;""),--(COUNTIF('Lớp 5 - Phân công'!$J$14:$J$262,'Lớp 4 - Danh mục'!$I$14:$I$132)=0)),"Lớp 4",IF(ROWS($S$14:S175)&lt;=COUNTIF('Lớp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5" s="699" t="str">
        <f t="array" ref="T175">IF(S175="","",IF(S175="Lớp 5",IF(S174&lt;&gt;"Lớp 5",MATCH("*",'Lớp 5 - Phân công'!$I$14:$I$262,0),T174+MATCH("*",INDEX('Lớp 5 - Phân công'!$I$14:$I$262,T174+1):'Lớp 5 - Phân công'!$I$262,0)),IF(S175="Lớp 4",IF(S174&lt;&gt;"Lớp 4",MATCH(1,INDEX(('Lớp 4 - Danh mục'!$I$14:$I$132&lt;&gt;"")*(COUNTIF('Lớp 5 - Phân công'!$J$14:$J$262,'Lớp 4 - Danh mục'!$I$14:$I$132)=0),0),0),T174+MATCH(1,INDEX((INDEX('Lớp 4 - Danh mục'!$I$14:$I$132,T174+1):'Lớp 4 - Danh mục'!$I$132&lt;&gt;"")*(COUNTIF('Lớp 5 - Phân công'!$J$14:$J$262,INDEX('Lớp 4 - Danh mục'!$I$14:$I$132,T174+1):'Lớp 4 - Danh mục'!$I$132)=0),0),0)),IF(S174&lt;&gt;"Lớp 3",MATCH(1,INDEX(('Lớp 3 - Công việc chính'!$I$14:$I$73&lt;&gt;"")*(COUNTIF('Lớp 4 - Danh mục'!$J$14:$J$132,'Lớp 3 - Công việc chính'!$I$14:$I$73)=0),0),0),T174+MATCH(1,INDEX((INDEX('Lớp 3 - Công việc chính'!$I$14:$I$73,T174+1):'Lớp 3 - Công việc chính'!$I$73&lt;&gt;"")*(COUNTIF('Lớp 4 - Danh mục'!$J$14:$J$132,INDEX('Lớp 3 - Công việc chính'!$I$14:$I$73,T174+1):'Lớp 3 - Công việc chính'!$I$73)=0),0),0)))))</f>
        <v>#REF!</v>
      </c>
      <c r="Z175" s="700" t="str">
        <f t="array" ref="Z175">IF($S175="","",IF($S175="Lớp 5",INDEX('Lớp 5 - Phân công'!$AS$14:$AS$262,$T175),IF($S175="Lớp 4",INDEX('Lớp 4 - Danh mục'!$AR$14:$AR$132,$T175),INDEX('Lớp 3 - Công việc chính'!$AO$14:$AO$73,$T175))))</f>
        <v>#REF!</v>
      </c>
      <c r="AA175" s="701" t="str">
        <f t="array" ref="AA175">IF($S175="","",IF($S175="Lớp 5",INDEX('Lớp 5 - Phân công'!$AT$14:$AT$262,$T175),IF($S175="Lớp 4",INDEX('Lớp 4 - Danh mục'!$AS$14:$AS$132,$T175),INDEX('Lớp 3 - Công việc chính'!$AP$14:$AP$73,$T175))))</f>
        <v>#REF!</v>
      </c>
      <c r="AB175" s="701" t="str">
        <f t="array" ref="AB175">IF($S175="","",IF($S175="Lớp 5",INDEX('Lớp 5 - Phân công'!$AJ$14:$AJ$262,$T175),IF($S175="Lớp 4",INDEX('Lớp 4 - Danh mục'!$AI$14:$AI$132,$T175),INDEX('Lớp 3 - Công việc chính'!$AF$14:$AF$73,$T175))))</f>
        <v>#REF!</v>
      </c>
      <c r="AC175" s="702" t="str">
        <f t="array" ref="AC175">IF($S175="","",IF($S175="Lớp 5",INDEX('Lớp 5 - Phân công'!$AV$14:$AV$262,$T175),IF($S175="Lớp 4",INDEX('Lớp 4 - Danh mục'!$AU$14:$AU$132,$T175),INDEX('Lớp 3 - Công việc chính'!$AR$14:$AR$73,$T175))))</f>
        <v>#REF!</v>
      </c>
    </row>
    <row r="176" ht="15.75" customHeight="1">
      <c r="A176" s="690" t="str">
        <f t="shared" si="1"/>
        <v>#REF!</v>
      </c>
      <c r="B176" s="690" t="str">
        <f t="array" ref="B176">IF($S176="","",IF($S176="Lớp 5",INDEX('Lớp 5 - Phân công'!$I$14:$I$262,$T176),IF($S176="Lớp 4",INDEX('Lớp 4 - Danh mục'!$I$14:$I$132,$T176),INDEX('Lớp 3 - Công việc chính'!$I$14:$I$73,$T176))))</f>
        <v>#REF!</v>
      </c>
      <c r="C176" s="690" t="str">
        <f t="array" ref="C176">IF($S176="","",IF($S176="Lớp 5",INDEX('Lớp 5 - Phân công'!$K$14:$K$262,$T176),IF($S176="Lớp 4",INDEX('Lớp 4 - Danh mục'!$J$14:$J$132,$T176),INDEX('Lớp 3 - Công việc chính'!$I$14:$I$73,$T176))))</f>
        <v>#REF!</v>
      </c>
      <c r="D176" s="690" t="str">
        <f t="array" ref="D176">IF($S176="","",IF($S176="Lớp 5",INDEX('Lớp 5 - Phân công'!$J$14:$J$262,$T176),IF($S176="Lớp 4",INDEX('Lớp 4 - Danh mục'!$I$14:$I$132,$T176),"")))</f>
        <v>#REF!</v>
      </c>
      <c r="E176" s="690" t="str">
        <f t="array" ref="E176">IF($S176="","",IF($S176="Lớp 5",INDEX('Lớp 5 - Phân công'!$L$14:$L$262,$T176),IF($S176="Lớp 4",INDEX('Lớp 4 - Danh mục'!$K$14:$K$132,$T176),INDEX('Lớp 3 - Công việc chính'!$J$14:$J$73,$T176))))</f>
        <v>#REF!</v>
      </c>
      <c r="F176" s="690" t="str">
        <f t="array" ref="F176">IF($S176="","",IF($S176="Lớp 5",INDEX('Lớp 5 - Phân công'!$M$14:$M$262,$T176),IF($S176="Lớp 4",INDEX('Lớp 4 - Danh mục'!$L$14:$L$132,$T176),INDEX('Lớp 3 - Công việc chính'!$K$14:$K$73,$T176))))</f>
        <v>#REF!</v>
      </c>
      <c r="G176" s="691" t="str">
        <f t="array" ref="G176">IF($S176="","",IF($S176="Lớp 5",INDEX('Lớp 5 - Phân công'!$N$14:$N$262,$T176),IF($S176="Lớp 4",INDEX('Lớp 4 - Danh mục'!$M$14:$M$132,$T176),INDEX('Lớp 3 - Công việc chính'!$L$14:$L$73,$T176))))</f>
        <v>#REF!</v>
      </c>
      <c r="H176" s="692" t="str">
        <f t="array" ref="H176">IF($S176="","",IF($S176="Lớp 5",INDEX('Lớp 5 - Phân công'!$O$14:$O$262,$T176),IF($S176="Lớp 4",INDEX('Lớp 4 - Danh mục'!$N$14:$N$132,$T176),INDEX('Lớp 3 - Công việc chính'!$M$14:$M$73,$T176))))</f>
        <v>#REF!</v>
      </c>
      <c r="I176" s="692" t="str">
        <f t="array" ref="I176">IF($S176="","",IF($S176="Lớp 5",INDEX('Lớp 5 - Phân công'!$P$14:$P$262,$T176),IF($S176="Lớp 4",INDEX('Lớp 4 - Danh mục'!$O$14:$O$132,$T176),"")))</f>
        <v>#REF!</v>
      </c>
      <c r="J176" s="693" t="str">
        <f t="array" ref="J176">IF($S176="","",IF($S176="Lớp 5",INDEX('Lớp 5 - Phân công'!$Q$14:$Q$262,$T176),""))</f>
        <v>#REF!</v>
      </c>
      <c r="K176" s="690" t="str">
        <f t="array" ref="K176">IF($S176="","",IF($S176="Lớp 5",INDEX('Lớp 5 - Phân công'!$AA$14:$AA$262,$T176),IF($S176="Lớp 4",INDEX('Lớp 4 - Danh mục'!$Y$14:$Y$132,$T176),INDEX('Lớp 3 - Công việc chính'!$U$14:$U$73,$T176))))</f>
        <v>#REF!</v>
      </c>
      <c r="L176" s="691" t="str">
        <f t="array" ref="L176">IF($S176="","",IF($S176="Lớp 5",INDEX('Lớp 5 - Phân công'!$Z$14:$Z$262,$T176),IF($S176="Lớp 4",INDEX('Lớp 4 - Danh mục'!$X$14:$X$132,$T176),INDEX('Lớp 3 - Công việc chính'!$W$14:$W$73,$T176))))</f>
        <v>#REF!</v>
      </c>
      <c r="M176" s="694" t="str">
        <f t="array" ref="M176">IF($S176="","",IF($S176="Lớp 5",INDEX('Lớp 5 - Phân công'!$AD$14:$AD$262,$T176),IF($S176="Lớp 4",INDEX('Lớp 4 - Danh mục'!$AC$14:$AC$132,$T176),INDEX('Lớp 3 - Công việc chính'!$Z$14:$Z$73,$T176))))</f>
        <v>#REF!</v>
      </c>
      <c r="N176" s="695" t="str">
        <f t="array" ref="N176">IF($S176="","",IF($S176="Lớp 5",INDEX('Lớp 5 - Phân công'!$AE$14:$AE$262,$T176),IF($S176="Lớp 4",INDEX('Lớp 4 - Danh mục'!$AD$14:$AD$132,$T176),INDEX('Lớp 3 - Công việc chính'!$AA$14:$AA$73,$T176))))</f>
        <v>#REF!</v>
      </c>
      <c r="O176" s="690" t="str">
        <f t="array" ref="O176">IF($S176="","",IF($S176="Lớp 5",INDEX('Lớp 5 - Phân công'!$AB$14:$AB$262,$T176),IF($S176="Lớp 4",INDEX('Lớp 4 - Danh mục'!$AA$14:$AA$132,$T176),INDEX('Lớp 3 - Công việc chính'!$X$14:$X$73,$T176))))</f>
        <v>#REF!</v>
      </c>
      <c r="P176" s="703" t="str">
        <f t="array" ref="P176">IF($S176="","",IF($S176="Lớp 5",INDEX('Lớp 5 - Phân công'!$AC$14:$AC$262,$T176),IF($S176="Lớp 4",INDEX('Lớp 4 - Danh mục'!$AB$14:$AB$132,$T176),INDEX('Lớp 3 - Công việc chính'!$Y$14:$Y$73,$T176))))</f>
        <v>#REF!</v>
      </c>
      <c r="Q176" s="697" t="str">
        <f t="array" ref="Q176">IF($S176="","",IF($S176="Lớp 5",INDEX('Lớp 5 - Phân công'!$AG$14:$AG$262,$T176),IF($S176="Lớp 4",INDEX('Lớp 4 - Danh mục'!$AF$14:$AF$132,$T176),INDEX('Lớp 3 - Công việc chính'!$AC$14:$AC$73,$T176))))</f>
        <v>#REF!</v>
      </c>
      <c r="R176" s="698" t="str">
        <f t="array" ref="R176">IF($S176="","",IF($S176="Lớp 5",INDEX('Lớp 5 - Phân công'!$X$14:$X$262,$T176),IF($S176="Lớp 4",INDEX('Lớp 4 - Danh mục'!$V$14:$V$132,$T176),INDEX('Lớp 3 - Công việc chính'!$T$14:$T$73,$T176))))</f>
        <v>#REF!</v>
      </c>
      <c r="S176" s="699" t="str">
        <f>IF(ROWS($S$14:S176)&lt;=COUNTIF('Lớp 5 - Phân công'!$I$14:$I$262,"&lt;&gt;"),"Lớp 5",IF(ROWS($S$14:S176)&lt;=COUNTIF('Lớp 5 - Phân công'!$I$14:$I$262,"&lt;&gt;")+SUMPRODUCT(--('Lớp 4 - Danh mục'!$I$14:$I$132&lt;&gt;""),--(COUNTIF('Lớp 5 - Phân công'!$J$14:$J$262,'Lớp 4 - Danh mục'!$I$14:$I$132)=0)),"Lớp 4",IF(ROWS($S$14:S176)&lt;=COUNTIF('Lớp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6" s="699" t="str">
        <f t="array" ref="T176">IF(S176="","",IF(S176="Lớp 5",IF(S175&lt;&gt;"Lớp 5",MATCH("*",'Lớp 5 - Phân công'!$I$14:$I$262,0),T175+MATCH("*",INDEX('Lớp 5 - Phân công'!$I$14:$I$262,T175+1):'Lớp 5 - Phân công'!$I$262,0)),IF(S176="Lớp 4",IF(S175&lt;&gt;"Lớp 4",MATCH(1,INDEX(('Lớp 4 - Danh mục'!$I$14:$I$132&lt;&gt;"")*(COUNTIF('Lớp 5 - Phân công'!$J$14:$J$262,'Lớp 4 - Danh mục'!$I$14:$I$132)=0),0),0),T175+MATCH(1,INDEX((INDEX('Lớp 4 - Danh mục'!$I$14:$I$132,T175+1):'Lớp 4 - Danh mục'!$I$132&lt;&gt;"")*(COUNTIF('Lớp 5 - Phân công'!$J$14:$J$262,INDEX('Lớp 4 - Danh mục'!$I$14:$I$132,T175+1):'Lớp 4 - Danh mục'!$I$132)=0),0),0)),IF(S175&lt;&gt;"Lớp 3",MATCH(1,INDEX(('Lớp 3 - Công việc chính'!$I$14:$I$73&lt;&gt;"")*(COUNTIF('Lớp 4 - Danh mục'!$J$14:$J$132,'Lớp 3 - Công việc chính'!$I$14:$I$73)=0),0),0),T175+MATCH(1,INDEX((INDEX('Lớp 3 - Công việc chính'!$I$14:$I$73,T175+1):'Lớp 3 - Công việc chính'!$I$73&lt;&gt;"")*(COUNTIF('Lớp 4 - Danh mục'!$J$14:$J$132,INDEX('Lớp 3 - Công việc chính'!$I$14:$I$73,T175+1):'Lớp 3 - Công việc chính'!$I$73)=0),0),0)))))</f>
        <v>#REF!</v>
      </c>
      <c r="Z176" s="700" t="str">
        <f t="array" ref="Z176">IF($S176="","",IF($S176="Lớp 5",INDEX('Lớp 5 - Phân công'!$AS$14:$AS$262,$T176),IF($S176="Lớp 4",INDEX('Lớp 4 - Danh mục'!$AR$14:$AR$132,$T176),INDEX('Lớp 3 - Công việc chính'!$AO$14:$AO$73,$T176))))</f>
        <v>#REF!</v>
      </c>
      <c r="AA176" s="701" t="str">
        <f t="array" ref="AA176">IF($S176="","",IF($S176="Lớp 5",INDEX('Lớp 5 - Phân công'!$AT$14:$AT$262,$T176),IF($S176="Lớp 4",INDEX('Lớp 4 - Danh mục'!$AS$14:$AS$132,$T176),INDEX('Lớp 3 - Công việc chính'!$AP$14:$AP$73,$T176))))</f>
        <v>#REF!</v>
      </c>
      <c r="AB176" s="701" t="str">
        <f t="array" ref="AB176">IF($S176="","",IF($S176="Lớp 5",INDEX('Lớp 5 - Phân công'!$AJ$14:$AJ$262,$T176),IF($S176="Lớp 4",INDEX('Lớp 4 - Danh mục'!$AI$14:$AI$132,$T176),INDEX('Lớp 3 - Công việc chính'!$AF$14:$AF$73,$T176))))</f>
        <v>#REF!</v>
      </c>
      <c r="AC176" s="702" t="str">
        <f t="array" ref="AC176">IF($S176="","",IF($S176="Lớp 5",INDEX('Lớp 5 - Phân công'!$AV$14:$AV$262,$T176),IF($S176="Lớp 4",INDEX('Lớp 4 - Danh mục'!$AU$14:$AU$132,$T176),INDEX('Lớp 3 - Công việc chính'!$AR$14:$AR$73,$T176))))</f>
        <v>#REF!</v>
      </c>
    </row>
    <row r="177" ht="15.75" customHeight="1">
      <c r="A177" s="690" t="str">
        <f t="shared" si="1"/>
        <v>#REF!</v>
      </c>
      <c r="B177" s="690" t="str">
        <f t="array" ref="B177">IF($S177="","",IF($S177="Lớp 5",INDEX('Lớp 5 - Phân công'!$I$14:$I$262,$T177),IF($S177="Lớp 4",INDEX('Lớp 4 - Danh mục'!$I$14:$I$132,$T177),INDEX('Lớp 3 - Công việc chính'!$I$14:$I$73,$T177))))</f>
        <v>#REF!</v>
      </c>
      <c r="C177" s="690" t="str">
        <f t="array" ref="C177">IF($S177="","",IF($S177="Lớp 5",INDEX('Lớp 5 - Phân công'!$K$14:$K$262,$T177),IF($S177="Lớp 4",INDEX('Lớp 4 - Danh mục'!$J$14:$J$132,$T177),INDEX('Lớp 3 - Công việc chính'!$I$14:$I$73,$T177))))</f>
        <v>#REF!</v>
      </c>
      <c r="D177" s="690" t="str">
        <f t="array" ref="D177">IF($S177="","",IF($S177="Lớp 5",INDEX('Lớp 5 - Phân công'!$J$14:$J$262,$T177),IF($S177="Lớp 4",INDEX('Lớp 4 - Danh mục'!$I$14:$I$132,$T177),"")))</f>
        <v>#REF!</v>
      </c>
      <c r="E177" s="690" t="str">
        <f t="array" ref="E177">IF($S177="","",IF($S177="Lớp 5",INDEX('Lớp 5 - Phân công'!$L$14:$L$262,$T177),IF($S177="Lớp 4",INDEX('Lớp 4 - Danh mục'!$K$14:$K$132,$T177),INDEX('Lớp 3 - Công việc chính'!$J$14:$J$73,$T177))))</f>
        <v>#REF!</v>
      </c>
      <c r="F177" s="690" t="str">
        <f t="array" ref="F177">IF($S177="","",IF($S177="Lớp 5",INDEX('Lớp 5 - Phân công'!$M$14:$M$262,$T177),IF($S177="Lớp 4",INDEX('Lớp 4 - Danh mục'!$L$14:$L$132,$T177),INDEX('Lớp 3 - Công việc chính'!$K$14:$K$73,$T177))))</f>
        <v>#REF!</v>
      </c>
      <c r="G177" s="691" t="str">
        <f t="array" ref="G177">IF($S177="","",IF($S177="Lớp 5",INDEX('Lớp 5 - Phân công'!$N$14:$N$262,$T177),IF($S177="Lớp 4",INDEX('Lớp 4 - Danh mục'!$M$14:$M$132,$T177),INDEX('Lớp 3 - Công việc chính'!$L$14:$L$73,$T177))))</f>
        <v>#REF!</v>
      </c>
      <c r="H177" s="692" t="str">
        <f t="array" ref="H177">IF($S177="","",IF($S177="Lớp 5",INDEX('Lớp 5 - Phân công'!$O$14:$O$262,$T177),IF($S177="Lớp 4",INDEX('Lớp 4 - Danh mục'!$N$14:$N$132,$T177),INDEX('Lớp 3 - Công việc chính'!$M$14:$M$73,$T177))))</f>
        <v>#REF!</v>
      </c>
      <c r="I177" s="692" t="str">
        <f t="array" ref="I177">IF($S177="","",IF($S177="Lớp 5",INDEX('Lớp 5 - Phân công'!$P$14:$P$262,$T177),IF($S177="Lớp 4",INDEX('Lớp 4 - Danh mục'!$O$14:$O$132,$T177),"")))</f>
        <v>#REF!</v>
      </c>
      <c r="J177" s="693" t="str">
        <f t="array" ref="J177">IF($S177="","",IF($S177="Lớp 5",INDEX('Lớp 5 - Phân công'!$Q$14:$Q$262,$T177),""))</f>
        <v>#REF!</v>
      </c>
      <c r="K177" s="690" t="str">
        <f t="array" ref="K177">IF($S177="","",IF($S177="Lớp 5",INDEX('Lớp 5 - Phân công'!$AA$14:$AA$262,$T177),IF($S177="Lớp 4",INDEX('Lớp 4 - Danh mục'!$Y$14:$Y$132,$T177),INDEX('Lớp 3 - Công việc chính'!$U$14:$U$73,$T177))))</f>
        <v>#REF!</v>
      </c>
      <c r="L177" s="691" t="str">
        <f t="array" ref="L177">IF($S177="","",IF($S177="Lớp 5",INDEX('Lớp 5 - Phân công'!$Z$14:$Z$262,$T177),IF($S177="Lớp 4",INDEX('Lớp 4 - Danh mục'!$X$14:$X$132,$T177),INDEX('Lớp 3 - Công việc chính'!$W$14:$W$73,$T177))))</f>
        <v>#REF!</v>
      </c>
      <c r="M177" s="694" t="str">
        <f t="array" ref="M177">IF($S177="","",IF($S177="Lớp 5",INDEX('Lớp 5 - Phân công'!$AD$14:$AD$262,$T177),IF($S177="Lớp 4",INDEX('Lớp 4 - Danh mục'!$AC$14:$AC$132,$T177),INDEX('Lớp 3 - Công việc chính'!$Z$14:$Z$73,$T177))))</f>
        <v>#REF!</v>
      </c>
      <c r="N177" s="695" t="str">
        <f t="array" ref="N177">IF($S177="","",IF($S177="Lớp 5",INDEX('Lớp 5 - Phân công'!$AE$14:$AE$262,$T177),IF($S177="Lớp 4",INDEX('Lớp 4 - Danh mục'!$AD$14:$AD$132,$T177),INDEX('Lớp 3 - Công việc chính'!$AA$14:$AA$73,$T177))))</f>
        <v>#REF!</v>
      </c>
      <c r="O177" s="690" t="str">
        <f t="array" ref="O177">IF($S177="","",IF($S177="Lớp 5",INDEX('Lớp 5 - Phân công'!$AB$14:$AB$262,$T177),IF($S177="Lớp 4",INDEX('Lớp 4 - Danh mục'!$AA$14:$AA$132,$T177),INDEX('Lớp 3 - Công việc chính'!$X$14:$X$73,$T177))))</f>
        <v>#REF!</v>
      </c>
      <c r="P177" s="703" t="str">
        <f t="array" ref="P177">IF($S177="","",IF($S177="Lớp 5",INDEX('Lớp 5 - Phân công'!$AC$14:$AC$262,$T177),IF($S177="Lớp 4",INDEX('Lớp 4 - Danh mục'!$AB$14:$AB$132,$T177),INDEX('Lớp 3 - Công việc chính'!$Y$14:$Y$73,$T177))))</f>
        <v>#REF!</v>
      </c>
      <c r="Q177" s="697" t="str">
        <f t="array" ref="Q177">IF($S177="","",IF($S177="Lớp 5",INDEX('Lớp 5 - Phân công'!$AG$14:$AG$262,$T177),IF($S177="Lớp 4",INDEX('Lớp 4 - Danh mục'!$AF$14:$AF$132,$T177),INDEX('Lớp 3 - Công việc chính'!$AC$14:$AC$73,$T177))))</f>
        <v>#REF!</v>
      </c>
      <c r="R177" s="698" t="str">
        <f t="array" ref="R177">IF($S177="","",IF($S177="Lớp 5",INDEX('Lớp 5 - Phân công'!$X$14:$X$262,$T177),IF($S177="Lớp 4",INDEX('Lớp 4 - Danh mục'!$V$14:$V$132,$T177),INDEX('Lớp 3 - Công việc chính'!$T$14:$T$73,$T177))))</f>
        <v>#REF!</v>
      </c>
      <c r="S177" s="699" t="str">
        <f>IF(ROWS($S$14:S177)&lt;=COUNTIF('Lớp 5 - Phân công'!$I$14:$I$262,"&lt;&gt;"),"Lớp 5",IF(ROWS($S$14:S177)&lt;=COUNTIF('Lớp 5 - Phân công'!$I$14:$I$262,"&lt;&gt;")+SUMPRODUCT(--('Lớp 4 - Danh mục'!$I$14:$I$132&lt;&gt;""),--(COUNTIF('Lớp 5 - Phân công'!$J$14:$J$262,'Lớp 4 - Danh mục'!$I$14:$I$132)=0)),"Lớp 4",IF(ROWS($S$14:S177)&lt;=COUNTIF('Lớp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7" s="699" t="str">
        <f t="array" ref="T177">IF(S177="","",IF(S177="Lớp 5",IF(S176&lt;&gt;"Lớp 5",MATCH("*",'Lớp 5 - Phân công'!$I$14:$I$262,0),T176+MATCH("*",INDEX('Lớp 5 - Phân công'!$I$14:$I$262,T176+1):'Lớp 5 - Phân công'!$I$262,0)),IF(S177="Lớp 4",IF(S176&lt;&gt;"Lớp 4",MATCH(1,INDEX(('Lớp 4 - Danh mục'!$I$14:$I$132&lt;&gt;"")*(COUNTIF('Lớp 5 - Phân công'!$J$14:$J$262,'Lớp 4 - Danh mục'!$I$14:$I$132)=0),0),0),T176+MATCH(1,INDEX((INDEX('Lớp 4 - Danh mục'!$I$14:$I$132,T176+1):'Lớp 4 - Danh mục'!$I$132&lt;&gt;"")*(COUNTIF('Lớp 5 - Phân công'!$J$14:$J$262,INDEX('Lớp 4 - Danh mục'!$I$14:$I$132,T176+1):'Lớp 4 - Danh mục'!$I$132)=0),0),0)),IF(S176&lt;&gt;"Lớp 3",MATCH(1,INDEX(('Lớp 3 - Công việc chính'!$I$14:$I$73&lt;&gt;"")*(COUNTIF('Lớp 4 - Danh mục'!$J$14:$J$132,'Lớp 3 - Công việc chính'!$I$14:$I$73)=0),0),0),T176+MATCH(1,INDEX((INDEX('Lớp 3 - Công việc chính'!$I$14:$I$73,T176+1):'Lớp 3 - Công việc chính'!$I$73&lt;&gt;"")*(COUNTIF('Lớp 4 - Danh mục'!$J$14:$J$132,INDEX('Lớp 3 - Công việc chính'!$I$14:$I$73,T176+1):'Lớp 3 - Công việc chính'!$I$73)=0),0),0)))))</f>
        <v>#REF!</v>
      </c>
      <c r="Z177" s="700" t="str">
        <f t="array" ref="Z177">IF($S177="","",IF($S177="Lớp 5",INDEX('Lớp 5 - Phân công'!$AS$14:$AS$262,$T177),IF($S177="Lớp 4",INDEX('Lớp 4 - Danh mục'!$AR$14:$AR$132,$T177),INDEX('Lớp 3 - Công việc chính'!$AO$14:$AO$73,$T177))))</f>
        <v>#REF!</v>
      </c>
      <c r="AA177" s="701" t="str">
        <f t="array" ref="AA177">IF($S177="","",IF($S177="Lớp 5",INDEX('Lớp 5 - Phân công'!$AT$14:$AT$262,$T177),IF($S177="Lớp 4",INDEX('Lớp 4 - Danh mục'!$AS$14:$AS$132,$T177),INDEX('Lớp 3 - Công việc chính'!$AP$14:$AP$73,$T177))))</f>
        <v>#REF!</v>
      </c>
      <c r="AB177" s="701" t="str">
        <f t="array" ref="AB177">IF($S177="","",IF($S177="Lớp 5",INDEX('Lớp 5 - Phân công'!$AJ$14:$AJ$262,$T177),IF($S177="Lớp 4",INDEX('Lớp 4 - Danh mục'!$AI$14:$AI$132,$T177),INDEX('Lớp 3 - Công việc chính'!$AF$14:$AF$73,$T177))))</f>
        <v>#REF!</v>
      </c>
      <c r="AC177" s="702" t="str">
        <f t="array" ref="AC177">IF($S177="","",IF($S177="Lớp 5",INDEX('Lớp 5 - Phân công'!$AV$14:$AV$262,$T177),IF($S177="Lớp 4",INDEX('Lớp 4 - Danh mục'!$AU$14:$AU$132,$T177),INDEX('Lớp 3 - Công việc chính'!$AR$14:$AR$73,$T177))))</f>
        <v>#REF!</v>
      </c>
    </row>
    <row r="178" ht="15.75" customHeight="1">
      <c r="A178" s="690" t="str">
        <f t="shared" si="1"/>
        <v>#REF!</v>
      </c>
      <c r="B178" s="690" t="str">
        <f t="array" ref="B178">IF($S178="","",IF($S178="Lớp 5",INDEX('Lớp 5 - Phân công'!$I$14:$I$262,$T178),IF($S178="Lớp 4",INDEX('Lớp 4 - Danh mục'!$I$14:$I$132,$T178),INDEX('Lớp 3 - Công việc chính'!$I$14:$I$73,$T178))))</f>
        <v>#REF!</v>
      </c>
      <c r="C178" s="690" t="str">
        <f t="array" ref="C178">IF($S178="","",IF($S178="Lớp 5",INDEX('Lớp 5 - Phân công'!$K$14:$K$262,$T178),IF($S178="Lớp 4",INDEX('Lớp 4 - Danh mục'!$J$14:$J$132,$T178),INDEX('Lớp 3 - Công việc chính'!$I$14:$I$73,$T178))))</f>
        <v>#REF!</v>
      </c>
      <c r="D178" s="690" t="str">
        <f t="array" ref="D178">IF($S178="","",IF($S178="Lớp 5",INDEX('Lớp 5 - Phân công'!$J$14:$J$262,$T178),IF($S178="Lớp 4",INDEX('Lớp 4 - Danh mục'!$I$14:$I$132,$T178),"")))</f>
        <v>#REF!</v>
      </c>
      <c r="E178" s="690" t="str">
        <f t="array" ref="E178">IF($S178="","",IF($S178="Lớp 5",INDEX('Lớp 5 - Phân công'!$L$14:$L$262,$T178),IF($S178="Lớp 4",INDEX('Lớp 4 - Danh mục'!$K$14:$K$132,$T178),INDEX('Lớp 3 - Công việc chính'!$J$14:$J$73,$T178))))</f>
        <v>#REF!</v>
      </c>
      <c r="F178" s="690" t="str">
        <f t="array" ref="F178">IF($S178="","",IF($S178="Lớp 5",INDEX('Lớp 5 - Phân công'!$M$14:$M$262,$T178),IF($S178="Lớp 4",INDEX('Lớp 4 - Danh mục'!$L$14:$L$132,$T178),INDEX('Lớp 3 - Công việc chính'!$K$14:$K$73,$T178))))</f>
        <v>#REF!</v>
      </c>
      <c r="G178" s="691" t="str">
        <f t="array" ref="G178">IF($S178="","",IF($S178="Lớp 5",INDEX('Lớp 5 - Phân công'!$N$14:$N$262,$T178),IF($S178="Lớp 4",INDEX('Lớp 4 - Danh mục'!$M$14:$M$132,$T178),INDEX('Lớp 3 - Công việc chính'!$L$14:$L$73,$T178))))</f>
        <v>#REF!</v>
      </c>
      <c r="H178" s="692" t="str">
        <f t="array" ref="H178">IF($S178="","",IF($S178="Lớp 5",INDEX('Lớp 5 - Phân công'!$O$14:$O$262,$T178),IF($S178="Lớp 4",INDEX('Lớp 4 - Danh mục'!$N$14:$N$132,$T178),INDEX('Lớp 3 - Công việc chính'!$M$14:$M$73,$T178))))</f>
        <v>#REF!</v>
      </c>
      <c r="I178" s="692" t="str">
        <f t="array" ref="I178">IF($S178="","",IF($S178="Lớp 5",INDEX('Lớp 5 - Phân công'!$P$14:$P$262,$T178),IF($S178="Lớp 4",INDEX('Lớp 4 - Danh mục'!$O$14:$O$132,$T178),"")))</f>
        <v>#REF!</v>
      </c>
      <c r="J178" s="693" t="str">
        <f t="array" ref="J178">IF($S178="","",IF($S178="Lớp 5",INDEX('Lớp 5 - Phân công'!$Q$14:$Q$262,$T178),""))</f>
        <v>#REF!</v>
      </c>
      <c r="K178" s="690" t="str">
        <f t="array" ref="K178">IF($S178="","",IF($S178="Lớp 5",INDEX('Lớp 5 - Phân công'!$AA$14:$AA$262,$T178),IF($S178="Lớp 4",INDEX('Lớp 4 - Danh mục'!$Y$14:$Y$132,$T178),INDEX('Lớp 3 - Công việc chính'!$U$14:$U$73,$T178))))</f>
        <v>#REF!</v>
      </c>
      <c r="L178" s="691" t="str">
        <f t="array" ref="L178">IF($S178="","",IF($S178="Lớp 5",INDEX('Lớp 5 - Phân công'!$Z$14:$Z$262,$T178),IF($S178="Lớp 4",INDEX('Lớp 4 - Danh mục'!$X$14:$X$132,$T178),INDEX('Lớp 3 - Công việc chính'!$W$14:$W$73,$T178))))</f>
        <v>#REF!</v>
      </c>
      <c r="M178" s="694" t="str">
        <f t="array" ref="M178">IF($S178="","",IF($S178="Lớp 5",INDEX('Lớp 5 - Phân công'!$AD$14:$AD$262,$T178),IF($S178="Lớp 4",INDEX('Lớp 4 - Danh mục'!$AC$14:$AC$132,$T178),INDEX('Lớp 3 - Công việc chính'!$Z$14:$Z$73,$T178))))</f>
        <v>#REF!</v>
      </c>
      <c r="N178" s="695" t="str">
        <f t="array" ref="N178">IF($S178="","",IF($S178="Lớp 5",INDEX('Lớp 5 - Phân công'!$AE$14:$AE$262,$T178),IF($S178="Lớp 4",INDEX('Lớp 4 - Danh mục'!$AD$14:$AD$132,$T178),INDEX('Lớp 3 - Công việc chính'!$AA$14:$AA$73,$T178))))</f>
        <v>#REF!</v>
      </c>
      <c r="O178" s="690" t="str">
        <f t="array" ref="O178">IF($S178="","",IF($S178="Lớp 5",INDEX('Lớp 5 - Phân công'!$AB$14:$AB$262,$T178),IF($S178="Lớp 4",INDEX('Lớp 4 - Danh mục'!$AA$14:$AA$132,$T178),INDEX('Lớp 3 - Công việc chính'!$X$14:$X$73,$T178))))</f>
        <v>#REF!</v>
      </c>
      <c r="P178" s="703" t="str">
        <f t="array" ref="P178">IF($S178="","",IF($S178="Lớp 5",INDEX('Lớp 5 - Phân công'!$AC$14:$AC$262,$T178),IF($S178="Lớp 4",INDEX('Lớp 4 - Danh mục'!$AB$14:$AB$132,$T178),INDEX('Lớp 3 - Công việc chính'!$Y$14:$Y$73,$T178))))</f>
        <v>#REF!</v>
      </c>
      <c r="Q178" s="697" t="str">
        <f t="array" ref="Q178">IF($S178="","",IF($S178="Lớp 5",INDEX('Lớp 5 - Phân công'!$AG$14:$AG$262,$T178),IF($S178="Lớp 4",INDEX('Lớp 4 - Danh mục'!$AF$14:$AF$132,$T178),INDEX('Lớp 3 - Công việc chính'!$AC$14:$AC$73,$T178))))</f>
        <v>#REF!</v>
      </c>
      <c r="R178" s="698" t="str">
        <f t="array" ref="R178">IF($S178="","",IF($S178="Lớp 5",INDEX('Lớp 5 - Phân công'!$X$14:$X$262,$T178),IF($S178="Lớp 4",INDEX('Lớp 4 - Danh mục'!$V$14:$V$132,$T178),INDEX('Lớp 3 - Công việc chính'!$T$14:$T$73,$T178))))</f>
        <v>#REF!</v>
      </c>
      <c r="S178" s="699" t="str">
        <f>IF(ROWS($S$14:S178)&lt;=COUNTIF('Lớp 5 - Phân công'!$I$14:$I$262,"&lt;&gt;"),"Lớp 5",IF(ROWS($S$14:S178)&lt;=COUNTIF('Lớp 5 - Phân công'!$I$14:$I$262,"&lt;&gt;")+SUMPRODUCT(--('Lớp 4 - Danh mục'!$I$14:$I$132&lt;&gt;""),--(COUNTIF('Lớp 5 - Phân công'!$J$14:$J$262,'Lớp 4 - Danh mục'!$I$14:$I$132)=0)),"Lớp 4",IF(ROWS($S$14:S178)&lt;=COUNTIF('Lớp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8" s="699" t="str">
        <f t="array" ref="T178">IF(S178="","",IF(S178="Lớp 5",IF(S177&lt;&gt;"Lớp 5",MATCH("*",'Lớp 5 - Phân công'!$I$14:$I$262,0),T177+MATCH("*",INDEX('Lớp 5 - Phân công'!$I$14:$I$262,T177+1):'Lớp 5 - Phân công'!$I$262,0)),IF(S178="Lớp 4",IF(S177&lt;&gt;"Lớp 4",MATCH(1,INDEX(('Lớp 4 - Danh mục'!$I$14:$I$132&lt;&gt;"")*(COUNTIF('Lớp 5 - Phân công'!$J$14:$J$262,'Lớp 4 - Danh mục'!$I$14:$I$132)=0),0),0),T177+MATCH(1,INDEX((INDEX('Lớp 4 - Danh mục'!$I$14:$I$132,T177+1):'Lớp 4 - Danh mục'!$I$132&lt;&gt;"")*(COUNTIF('Lớp 5 - Phân công'!$J$14:$J$262,INDEX('Lớp 4 - Danh mục'!$I$14:$I$132,T177+1):'Lớp 4 - Danh mục'!$I$132)=0),0),0)),IF(S177&lt;&gt;"Lớp 3",MATCH(1,INDEX(('Lớp 3 - Công việc chính'!$I$14:$I$73&lt;&gt;"")*(COUNTIF('Lớp 4 - Danh mục'!$J$14:$J$132,'Lớp 3 - Công việc chính'!$I$14:$I$73)=0),0),0),T177+MATCH(1,INDEX((INDEX('Lớp 3 - Công việc chính'!$I$14:$I$73,T177+1):'Lớp 3 - Công việc chính'!$I$73&lt;&gt;"")*(COUNTIF('Lớp 4 - Danh mục'!$J$14:$J$132,INDEX('Lớp 3 - Công việc chính'!$I$14:$I$73,T177+1):'Lớp 3 - Công việc chính'!$I$73)=0),0),0)))))</f>
        <v>#REF!</v>
      </c>
      <c r="Z178" s="700" t="str">
        <f t="array" ref="Z178">IF($S178="","",IF($S178="Lớp 5",INDEX('Lớp 5 - Phân công'!$AS$14:$AS$262,$T178),IF($S178="Lớp 4",INDEX('Lớp 4 - Danh mục'!$AR$14:$AR$132,$T178),INDEX('Lớp 3 - Công việc chính'!$AO$14:$AO$73,$T178))))</f>
        <v>#REF!</v>
      </c>
      <c r="AA178" s="701" t="str">
        <f t="array" ref="AA178">IF($S178="","",IF($S178="Lớp 5",INDEX('Lớp 5 - Phân công'!$AT$14:$AT$262,$T178),IF($S178="Lớp 4",INDEX('Lớp 4 - Danh mục'!$AS$14:$AS$132,$T178),INDEX('Lớp 3 - Công việc chính'!$AP$14:$AP$73,$T178))))</f>
        <v>#REF!</v>
      </c>
      <c r="AB178" s="701" t="str">
        <f t="array" ref="AB178">IF($S178="","",IF($S178="Lớp 5",INDEX('Lớp 5 - Phân công'!$AJ$14:$AJ$262,$T178),IF($S178="Lớp 4",INDEX('Lớp 4 - Danh mục'!$AI$14:$AI$132,$T178),INDEX('Lớp 3 - Công việc chính'!$AF$14:$AF$73,$T178))))</f>
        <v>#REF!</v>
      </c>
      <c r="AC178" s="702" t="str">
        <f t="array" ref="AC178">IF($S178="","",IF($S178="Lớp 5",INDEX('Lớp 5 - Phân công'!$AV$14:$AV$262,$T178),IF($S178="Lớp 4",INDEX('Lớp 4 - Danh mục'!$AU$14:$AU$132,$T178),INDEX('Lớp 3 - Công việc chính'!$AR$14:$AR$73,$T178))))</f>
        <v>#REF!</v>
      </c>
    </row>
    <row r="179" ht="15.75" customHeight="1">
      <c r="A179" s="690" t="str">
        <f t="shared" si="1"/>
        <v>#REF!</v>
      </c>
      <c r="B179" s="690" t="str">
        <f t="array" ref="B179">IF($S179="","",IF($S179="Lớp 5",INDEX('Lớp 5 - Phân công'!$I$14:$I$262,$T179),IF($S179="Lớp 4",INDEX('Lớp 4 - Danh mục'!$I$14:$I$132,$T179),INDEX('Lớp 3 - Công việc chính'!$I$14:$I$73,$T179))))</f>
        <v>#REF!</v>
      </c>
      <c r="C179" s="690" t="str">
        <f t="array" ref="C179">IF($S179="","",IF($S179="Lớp 5",INDEX('Lớp 5 - Phân công'!$K$14:$K$262,$T179),IF($S179="Lớp 4",INDEX('Lớp 4 - Danh mục'!$J$14:$J$132,$T179),INDEX('Lớp 3 - Công việc chính'!$I$14:$I$73,$T179))))</f>
        <v>#REF!</v>
      </c>
      <c r="D179" s="690" t="str">
        <f t="array" ref="D179">IF($S179="","",IF($S179="Lớp 5",INDEX('Lớp 5 - Phân công'!$J$14:$J$262,$T179),IF($S179="Lớp 4",INDEX('Lớp 4 - Danh mục'!$I$14:$I$132,$T179),"")))</f>
        <v>#REF!</v>
      </c>
      <c r="E179" s="690" t="str">
        <f t="array" ref="E179">IF($S179="","",IF($S179="Lớp 5",INDEX('Lớp 5 - Phân công'!$L$14:$L$262,$T179),IF($S179="Lớp 4",INDEX('Lớp 4 - Danh mục'!$K$14:$K$132,$T179),INDEX('Lớp 3 - Công việc chính'!$J$14:$J$73,$T179))))</f>
        <v>#REF!</v>
      </c>
      <c r="F179" s="690" t="str">
        <f t="array" ref="F179">IF($S179="","",IF($S179="Lớp 5",INDEX('Lớp 5 - Phân công'!$M$14:$M$262,$T179),IF($S179="Lớp 4",INDEX('Lớp 4 - Danh mục'!$L$14:$L$132,$T179),INDEX('Lớp 3 - Công việc chính'!$K$14:$K$73,$T179))))</f>
        <v>#REF!</v>
      </c>
      <c r="G179" s="691" t="str">
        <f t="array" ref="G179">IF($S179="","",IF($S179="Lớp 5",INDEX('Lớp 5 - Phân công'!$N$14:$N$262,$T179),IF($S179="Lớp 4",INDEX('Lớp 4 - Danh mục'!$M$14:$M$132,$T179),INDEX('Lớp 3 - Công việc chính'!$L$14:$L$73,$T179))))</f>
        <v>#REF!</v>
      </c>
      <c r="H179" s="692" t="str">
        <f t="array" ref="H179">IF($S179="","",IF($S179="Lớp 5",INDEX('Lớp 5 - Phân công'!$O$14:$O$262,$T179),IF($S179="Lớp 4",INDEX('Lớp 4 - Danh mục'!$N$14:$N$132,$T179),INDEX('Lớp 3 - Công việc chính'!$M$14:$M$73,$T179))))</f>
        <v>#REF!</v>
      </c>
      <c r="I179" s="692" t="str">
        <f t="array" ref="I179">IF($S179="","",IF($S179="Lớp 5",INDEX('Lớp 5 - Phân công'!$P$14:$P$262,$T179),IF($S179="Lớp 4",INDEX('Lớp 4 - Danh mục'!$O$14:$O$132,$T179),"")))</f>
        <v>#REF!</v>
      </c>
      <c r="J179" s="693" t="str">
        <f t="array" ref="J179">IF($S179="","",IF($S179="Lớp 5",INDEX('Lớp 5 - Phân công'!$Q$14:$Q$262,$T179),""))</f>
        <v>#REF!</v>
      </c>
      <c r="K179" s="690" t="str">
        <f t="array" ref="K179">IF($S179="","",IF($S179="Lớp 5",INDEX('Lớp 5 - Phân công'!$AA$14:$AA$262,$T179),IF($S179="Lớp 4",INDEX('Lớp 4 - Danh mục'!$Y$14:$Y$132,$T179),INDEX('Lớp 3 - Công việc chính'!$U$14:$U$73,$T179))))</f>
        <v>#REF!</v>
      </c>
      <c r="L179" s="691" t="str">
        <f t="array" ref="L179">IF($S179="","",IF($S179="Lớp 5",INDEX('Lớp 5 - Phân công'!$Z$14:$Z$262,$T179),IF($S179="Lớp 4",INDEX('Lớp 4 - Danh mục'!$X$14:$X$132,$T179),INDEX('Lớp 3 - Công việc chính'!$W$14:$W$73,$T179))))</f>
        <v>#REF!</v>
      </c>
      <c r="M179" s="694" t="str">
        <f t="array" ref="M179">IF($S179="","",IF($S179="Lớp 5",INDEX('Lớp 5 - Phân công'!$AD$14:$AD$262,$T179),IF($S179="Lớp 4",INDEX('Lớp 4 - Danh mục'!$AC$14:$AC$132,$T179),INDEX('Lớp 3 - Công việc chính'!$Z$14:$Z$73,$T179))))</f>
        <v>#REF!</v>
      </c>
      <c r="N179" s="695" t="str">
        <f t="array" ref="N179">IF($S179="","",IF($S179="Lớp 5",INDEX('Lớp 5 - Phân công'!$AE$14:$AE$262,$T179),IF($S179="Lớp 4",INDEX('Lớp 4 - Danh mục'!$AD$14:$AD$132,$T179),INDEX('Lớp 3 - Công việc chính'!$AA$14:$AA$73,$T179))))</f>
        <v>#REF!</v>
      </c>
      <c r="O179" s="690" t="str">
        <f t="array" ref="O179">IF($S179="","",IF($S179="Lớp 5",INDEX('Lớp 5 - Phân công'!$AB$14:$AB$262,$T179),IF($S179="Lớp 4",INDEX('Lớp 4 - Danh mục'!$AA$14:$AA$132,$T179),INDEX('Lớp 3 - Công việc chính'!$X$14:$X$73,$T179))))</f>
        <v>#REF!</v>
      </c>
      <c r="P179" s="703" t="str">
        <f t="array" ref="P179">IF($S179="","",IF($S179="Lớp 5",INDEX('Lớp 5 - Phân công'!$AC$14:$AC$262,$T179),IF($S179="Lớp 4",INDEX('Lớp 4 - Danh mục'!$AB$14:$AB$132,$T179),INDEX('Lớp 3 - Công việc chính'!$Y$14:$Y$73,$T179))))</f>
        <v>#REF!</v>
      </c>
      <c r="Q179" s="697" t="str">
        <f t="array" ref="Q179">IF($S179="","",IF($S179="Lớp 5",INDEX('Lớp 5 - Phân công'!$AG$14:$AG$262,$T179),IF($S179="Lớp 4",INDEX('Lớp 4 - Danh mục'!$AF$14:$AF$132,$T179),INDEX('Lớp 3 - Công việc chính'!$AC$14:$AC$73,$T179))))</f>
        <v>#REF!</v>
      </c>
      <c r="R179" s="698" t="str">
        <f t="array" ref="R179">IF($S179="","",IF($S179="Lớp 5",INDEX('Lớp 5 - Phân công'!$X$14:$X$262,$T179),IF($S179="Lớp 4",INDEX('Lớp 4 - Danh mục'!$V$14:$V$132,$T179),INDEX('Lớp 3 - Công việc chính'!$T$14:$T$73,$T179))))</f>
        <v>#REF!</v>
      </c>
      <c r="S179" s="699" t="str">
        <f>IF(ROWS($S$14:S179)&lt;=COUNTIF('Lớp 5 - Phân công'!$I$14:$I$262,"&lt;&gt;"),"Lớp 5",IF(ROWS($S$14:S179)&lt;=COUNTIF('Lớp 5 - Phân công'!$I$14:$I$262,"&lt;&gt;")+SUMPRODUCT(--('Lớp 4 - Danh mục'!$I$14:$I$132&lt;&gt;""),--(COUNTIF('Lớp 5 - Phân công'!$J$14:$J$262,'Lớp 4 - Danh mục'!$I$14:$I$132)=0)),"Lớp 4",IF(ROWS($S$14:S179)&lt;=COUNTIF('Lớp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79" s="699" t="str">
        <f t="array" ref="T179">IF(S179="","",IF(S179="Lớp 5",IF(S178&lt;&gt;"Lớp 5",MATCH("*",'Lớp 5 - Phân công'!$I$14:$I$262,0),T178+MATCH("*",INDEX('Lớp 5 - Phân công'!$I$14:$I$262,T178+1):'Lớp 5 - Phân công'!$I$262,0)),IF(S179="Lớp 4",IF(S178&lt;&gt;"Lớp 4",MATCH(1,INDEX(('Lớp 4 - Danh mục'!$I$14:$I$132&lt;&gt;"")*(COUNTIF('Lớp 5 - Phân công'!$J$14:$J$262,'Lớp 4 - Danh mục'!$I$14:$I$132)=0),0),0),T178+MATCH(1,INDEX((INDEX('Lớp 4 - Danh mục'!$I$14:$I$132,T178+1):'Lớp 4 - Danh mục'!$I$132&lt;&gt;"")*(COUNTIF('Lớp 5 - Phân công'!$J$14:$J$262,INDEX('Lớp 4 - Danh mục'!$I$14:$I$132,T178+1):'Lớp 4 - Danh mục'!$I$132)=0),0),0)),IF(S178&lt;&gt;"Lớp 3",MATCH(1,INDEX(('Lớp 3 - Công việc chính'!$I$14:$I$73&lt;&gt;"")*(COUNTIF('Lớp 4 - Danh mục'!$J$14:$J$132,'Lớp 3 - Công việc chính'!$I$14:$I$73)=0),0),0),T178+MATCH(1,INDEX((INDEX('Lớp 3 - Công việc chính'!$I$14:$I$73,T178+1):'Lớp 3 - Công việc chính'!$I$73&lt;&gt;"")*(COUNTIF('Lớp 4 - Danh mục'!$J$14:$J$132,INDEX('Lớp 3 - Công việc chính'!$I$14:$I$73,T178+1):'Lớp 3 - Công việc chính'!$I$73)=0),0),0)))))</f>
        <v>#REF!</v>
      </c>
      <c r="Z179" s="700" t="str">
        <f t="array" ref="Z179">IF($S179="","",IF($S179="Lớp 5",INDEX('Lớp 5 - Phân công'!$AS$14:$AS$262,$T179),IF($S179="Lớp 4",INDEX('Lớp 4 - Danh mục'!$AR$14:$AR$132,$T179),INDEX('Lớp 3 - Công việc chính'!$AO$14:$AO$73,$T179))))</f>
        <v>#REF!</v>
      </c>
      <c r="AA179" s="701" t="str">
        <f t="array" ref="AA179">IF($S179="","",IF($S179="Lớp 5",INDEX('Lớp 5 - Phân công'!$AT$14:$AT$262,$T179),IF($S179="Lớp 4",INDEX('Lớp 4 - Danh mục'!$AS$14:$AS$132,$T179),INDEX('Lớp 3 - Công việc chính'!$AP$14:$AP$73,$T179))))</f>
        <v>#REF!</v>
      </c>
      <c r="AB179" s="701" t="str">
        <f t="array" ref="AB179">IF($S179="","",IF($S179="Lớp 5",INDEX('Lớp 5 - Phân công'!$AJ$14:$AJ$262,$T179),IF($S179="Lớp 4",INDEX('Lớp 4 - Danh mục'!$AI$14:$AI$132,$T179),INDEX('Lớp 3 - Công việc chính'!$AF$14:$AF$73,$T179))))</f>
        <v>#REF!</v>
      </c>
      <c r="AC179" s="702" t="str">
        <f t="array" ref="AC179">IF($S179="","",IF($S179="Lớp 5",INDEX('Lớp 5 - Phân công'!$AV$14:$AV$262,$T179),IF($S179="Lớp 4",INDEX('Lớp 4 - Danh mục'!$AU$14:$AU$132,$T179),INDEX('Lớp 3 - Công việc chính'!$AR$14:$AR$73,$T179))))</f>
        <v>#REF!</v>
      </c>
    </row>
    <row r="180" ht="15.75" customHeight="1">
      <c r="A180" s="690" t="str">
        <f t="shared" si="1"/>
        <v>#REF!</v>
      </c>
      <c r="B180" s="690" t="str">
        <f t="array" ref="B180">IF($S180="","",IF($S180="Lớp 5",INDEX('Lớp 5 - Phân công'!$I$14:$I$262,$T180),IF($S180="Lớp 4",INDEX('Lớp 4 - Danh mục'!$I$14:$I$132,$T180),INDEX('Lớp 3 - Công việc chính'!$I$14:$I$73,$T180))))</f>
        <v>#REF!</v>
      </c>
      <c r="C180" s="690" t="str">
        <f t="array" ref="C180">IF($S180="","",IF($S180="Lớp 5",INDEX('Lớp 5 - Phân công'!$K$14:$K$262,$T180),IF($S180="Lớp 4",INDEX('Lớp 4 - Danh mục'!$J$14:$J$132,$T180),INDEX('Lớp 3 - Công việc chính'!$I$14:$I$73,$T180))))</f>
        <v>#REF!</v>
      </c>
      <c r="D180" s="690" t="str">
        <f t="array" ref="D180">IF($S180="","",IF($S180="Lớp 5",INDEX('Lớp 5 - Phân công'!$J$14:$J$262,$T180),IF($S180="Lớp 4",INDEX('Lớp 4 - Danh mục'!$I$14:$I$132,$T180),"")))</f>
        <v>#REF!</v>
      </c>
      <c r="E180" s="690" t="str">
        <f t="array" ref="E180">IF($S180="","",IF($S180="Lớp 5",INDEX('Lớp 5 - Phân công'!$L$14:$L$262,$T180),IF($S180="Lớp 4",INDEX('Lớp 4 - Danh mục'!$K$14:$K$132,$T180),INDEX('Lớp 3 - Công việc chính'!$J$14:$J$73,$T180))))</f>
        <v>#REF!</v>
      </c>
      <c r="F180" s="690" t="str">
        <f t="array" ref="F180">IF($S180="","",IF($S180="Lớp 5",INDEX('Lớp 5 - Phân công'!$M$14:$M$262,$T180),IF($S180="Lớp 4",INDEX('Lớp 4 - Danh mục'!$L$14:$L$132,$T180),INDEX('Lớp 3 - Công việc chính'!$K$14:$K$73,$T180))))</f>
        <v>#REF!</v>
      </c>
      <c r="G180" s="691" t="str">
        <f t="array" ref="G180">IF($S180="","",IF($S180="Lớp 5",INDEX('Lớp 5 - Phân công'!$N$14:$N$262,$T180),IF($S180="Lớp 4",INDEX('Lớp 4 - Danh mục'!$M$14:$M$132,$T180),INDEX('Lớp 3 - Công việc chính'!$L$14:$L$73,$T180))))</f>
        <v>#REF!</v>
      </c>
      <c r="H180" s="692" t="str">
        <f t="array" ref="H180">IF($S180="","",IF($S180="Lớp 5",INDEX('Lớp 5 - Phân công'!$O$14:$O$262,$T180),IF($S180="Lớp 4",INDEX('Lớp 4 - Danh mục'!$N$14:$N$132,$T180),INDEX('Lớp 3 - Công việc chính'!$M$14:$M$73,$T180))))</f>
        <v>#REF!</v>
      </c>
      <c r="I180" s="692" t="str">
        <f t="array" ref="I180">IF($S180="","",IF($S180="Lớp 5",INDEX('Lớp 5 - Phân công'!$P$14:$P$262,$T180),IF($S180="Lớp 4",INDEX('Lớp 4 - Danh mục'!$O$14:$O$132,$T180),"")))</f>
        <v>#REF!</v>
      </c>
      <c r="J180" s="693" t="str">
        <f t="array" ref="J180">IF($S180="","",IF($S180="Lớp 5",INDEX('Lớp 5 - Phân công'!$Q$14:$Q$262,$T180),""))</f>
        <v>#REF!</v>
      </c>
      <c r="K180" s="690" t="str">
        <f t="array" ref="K180">IF($S180="","",IF($S180="Lớp 5",INDEX('Lớp 5 - Phân công'!$AA$14:$AA$262,$T180),IF($S180="Lớp 4",INDEX('Lớp 4 - Danh mục'!$Y$14:$Y$132,$T180),INDEX('Lớp 3 - Công việc chính'!$U$14:$U$73,$T180))))</f>
        <v>#REF!</v>
      </c>
      <c r="L180" s="691" t="str">
        <f t="array" ref="L180">IF($S180="","",IF($S180="Lớp 5",INDEX('Lớp 5 - Phân công'!$Z$14:$Z$262,$T180),IF($S180="Lớp 4",INDEX('Lớp 4 - Danh mục'!$X$14:$X$132,$T180),INDEX('Lớp 3 - Công việc chính'!$W$14:$W$73,$T180))))</f>
        <v>#REF!</v>
      </c>
      <c r="M180" s="694" t="str">
        <f t="array" ref="M180">IF($S180="","",IF($S180="Lớp 5",INDEX('Lớp 5 - Phân công'!$AD$14:$AD$262,$T180),IF($S180="Lớp 4",INDEX('Lớp 4 - Danh mục'!$AC$14:$AC$132,$T180),INDEX('Lớp 3 - Công việc chính'!$Z$14:$Z$73,$T180))))</f>
        <v>#REF!</v>
      </c>
      <c r="N180" s="695" t="str">
        <f t="array" ref="N180">IF($S180="","",IF($S180="Lớp 5",INDEX('Lớp 5 - Phân công'!$AE$14:$AE$262,$T180),IF($S180="Lớp 4",INDEX('Lớp 4 - Danh mục'!$AD$14:$AD$132,$T180),INDEX('Lớp 3 - Công việc chính'!$AA$14:$AA$73,$T180))))</f>
        <v>#REF!</v>
      </c>
      <c r="O180" s="690" t="str">
        <f t="array" ref="O180">IF($S180="","",IF($S180="Lớp 5",INDEX('Lớp 5 - Phân công'!$AB$14:$AB$262,$T180),IF($S180="Lớp 4",INDEX('Lớp 4 - Danh mục'!$AA$14:$AA$132,$T180),INDEX('Lớp 3 - Công việc chính'!$X$14:$X$73,$T180))))</f>
        <v>#REF!</v>
      </c>
      <c r="P180" s="703" t="str">
        <f t="array" ref="P180">IF($S180="","",IF($S180="Lớp 5",INDEX('Lớp 5 - Phân công'!$AC$14:$AC$262,$T180),IF($S180="Lớp 4",INDEX('Lớp 4 - Danh mục'!$AB$14:$AB$132,$T180),INDEX('Lớp 3 - Công việc chính'!$Y$14:$Y$73,$T180))))</f>
        <v>#REF!</v>
      </c>
      <c r="Q180" s="697" t="str">
        <f t="array" ref="Q180">IF($S180="","",IF($S180="Lớp 5",INDEX('Lớp 5 - Phân công'!$AG$14:$AG$262,$T180),IF($S180="Lớp 4",INDEX('Lớp 4 - Danh mục'!$AF$14:$AF$132,$T180),INDEX('Lớp 3 - Công việc chính'!$AC$14:$AC$73,$T180))))</f>
        <v>#REF!</v>
      </c>
      <c r="R180" s="698" t="str">
        <f t="array" ref="R180">IF($S180="","",IF($S180="Lớp 5",INDEX('Lớp 5 - Phân công'!$X$14:$X$262,$T180),IF($S180="Lớp 4",INDEX('Lớp 4 - Danh mục'!$V$14:$V$132,$T180),INDEX('Lớp 3 - Công việc chính'!$T$14:$T$73,$T180))))</f>
        <v>#REF!</v>
      </c>
      <c r="S180" s="699" t="str">
        <f>IF(ROWS($S$14:S180)&lt;=COUNTIF('Lớp 5 - Phân công'!$I$14:$I$262,"&lt;&gt;"),"Lớp 5",IF(ROWS($S$14:S180)&lt;=COUNTIF('Lớp 5 - Phân công'!$I$14:$I$262,"&lt;&gt;")+SUMPRODUCT(--('Lớp 4 - Danh mục'!$I$14:$I$132&lt;&gt;""),--(COUNTIF('Lớp 5 - Phân công'!$J$14:$J$262,'Lớp 4 - Danh mục'!$I$14:$I$132)=0)),"Lớp 4",IF(ROWS($S$14:S180)&lt;=COUNTIF('Lớp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0" s="699" t="str">
        <f t="array" ref="T180">IF(S180="","",IF(S180="Lớp 5",IF(S179&lt;&gt;"Lớp 5",MATCH("*",'Lớp 5 - Phân công'!$I$14:$I$262,0),T179+MATCH("*",INDEX('Lớp 5 - Phân công'!$I$14:$I$262,T179+1):'Lớp 5 - Phân công'!$I$262,0)),IF(S180="Lớp 4",IF(S179&lt;&gt;"Lớp 4",MATCH(1,INDEX(('Lớp 4 - Danh mục'!$I$14:$I$132&lt;&gt;"")*(COUNTIF('Lớp 5 - Phân công'!$J$14:$J$262,'Lớp 4 - Danh mục'!$I$14:$I$132)=0),0),0),T179+MATCH(1,INDEX((INDEX('Lớp 4 - Danh mục'!$I$14:$I$132,T179+1):'Lớp 4 - Danh mục'!$I$132&lt;&gt;"")*(COUNTIF('Lớp 5 - Phân công'!$J$14:$J$262,INDEX('Lớp 4 - Danh mục'!$I$14:$I$132,T179+1):'Lớp 4 - Danh mục'!$I$132)=0),0),0)),IF(S179&lt;&gt;"Lớp 3",MATCH(1,INDEX(('Lớp 3 - Công việc chính'!$I$14:$I$73&lt;&gt;"")*(COUNTIF('Lớp 4 - Danh mục'!$J$14:$J$132,'Lớp 3 - Công việc chính'!$I$14:$I$73)=0),0),0),T179+MATCH(1,INDEX((INDEX('Lớp 3 - Công việc chính'!$I$14:$I$73,T179+1):'Lớp 3 - Công việc chính'!$I$73&lt;&gt;"")*(COUNTIF('Lớp 4 - Danh mục'!$J$14:$J$132,INDEX('Lớp 3 - Công việc chính'!$I$14:$I$73,T179+1):'Lớp 3 - Công việc chính'!$I$73)=0),0),0)))))</f>
        <v>#REF!</v>
      </c>
      <c r="Z180" s="700" t="str">
        <f t="array" ref="Z180">IF($S180="","",IF($S180="Lớp 5",INDEX('Lớp 5 - Phân công'!$AS$14:$AS$262,$T180),IF($S180="Lớp 4",INDEX('Lớp 4 - Danh mục'!$AR$14:$AR$132,$T180),INDEX('Lớp 3 - Công việc chính'!$AO$14:$AO$73,$T180))))</f>
        <v>#REF!</v>
      </c>
      <c r="AA180" s="701" t="str">
        <f t="array" ref="AA180">IF($S180="","",IF($S180="Lớp 5",INDEX('Lớp 5 - Phân công'!$AT$14:$AT$262,$T180),IF($S180="Lớp 4",INDEX('Lớp 4 - Danh mục'!$AS$14:$AS$132,$T180),INDEX('Lớp 3 - Công việc chính'!$AP$14:$AP$73,$T180))))</f>
        <v>#REF!</v>
      </c>
      <c r="AB180" s="701" t="str">
        <f t="array" ref="AB180">IF($S180="","",IF($S180="Lớp 5",INDEX('Lớp 5 - Phân công'!$AJ$14:$AJ$262,$T180),IF($S180="Lớp 4",INDEX('Lớp 4 - Danh mục'!$AI$14:$AI$132,$T180),INDEX('Lớp 3 - Công việc chính'!$AF$14:$AF$73,$T180))))</f>
        <v>#REF!</v>
      </c>
      <c r="AC180" s="702" t="str">
        <f t="array" ref="AC180">IF($S180="","",IF($S180="Lớp 5",INDEX('Lớp 5 - Phân công'!$AV$14:$AV$262,$T180),IF($S180="Lớp 4",INDEX('Lớp 4 - Danh mục'!$AU$14:$AU$132,$T180),INDEX('Lớp 3 - Công việc chính'!$AR$14:$AR$73,$T180))))</f>
        <v>#REF!</v>
      </c>
    </row>
    <row r="181" ht="15.75" customHeight="1">
      <c r="A181" s="690" t="str">
        <f t="shared" si="1"/>
        <v>#REF!</v>
      </c>
      <c r="B181" s="690" t="str">
        <f t="array" ref="B181">IF($S181="","",IF($S181="Lớp 5",INDEX('Lớp 5 - Phân công'!$I$14:$I$262,$T181),IF($S181="Lớp 4",INDEX('Lớp 4 - Danh mục'!$I$14:$I$132,$T181),INDEX('Lớp 3 - Công việc chính'!$I$14:$I$73,$T181))))</f>
        <v>#REF!</v>
      </c>
      <c r="C181" s="690" t="str">
        <f t="array" ref="C181">IF($S181="","",IF($S181="Lớp 5",INDEX('Lớp 5 - Phân công'!$K$14:$K$262,$T181),IF($S181="Lớp 4",INDEX('Lớp 4 - Danh mục'!$J$14:$J$132,$T181),INDEX('Lớp 3 - Công việc chính'!$I$14:$I$73,$T181))))</f>
        <v>#REF!</v>
      </c>
      <c r="D181" s="690" t="str">
        <f t="array" ref="D181">IF($S181="","",IF($S181="Lớp 5",INDEX('Lớp 5 - Phân công'!$J$14:$J$262,$T181),IF($S181="Lớp 4",INDEX('Lớp 4 - Danh mục'!$I$14:$I$132,$T181),"")))</f>
        <v>#REF!</v>
      </c>
      <c r="E181" s="690" t="str">
        <f t="array" ref="E181">IF($S181="","",IF($S181="Lớp 5",INDEX('Lớp 5 - Phân công'!$L$14:$L$262,$T181),IF($S181="Lớp 4",INDEX('Lớp 4 - Danh mục'!$K$14:$K$132,$T181),INDEX('Lớp 3 - Công việc chính'!$J$14:$J$73,$T181))))</f>
        <v>#REF!</v>
      </c>
      <c r="F181" s="690" t="str">
        <f t="array" ref="F181">IF($S181="","",IF($S181="Lớp 5",INDEX('Lớp 5 - Phân công'!$M$14:$M$262,$T181),IF($S181="Lớp 4",INDEX('Lớp 4 - Danh mục'!$L$14:$L$132,$T181),INDEX('Lớp 3 - Công việc chính'!$K$14:$K$73,$T181))))</f>
        <v>#REF!</v>
      </c>
      <c r="G181" s="691" t="str">
        <f t="array" ref="G181">IF($S181="","",IF($S181="Lớp 5",INDEX('Lớp 5 - Phân công'!$N$14:$N$262,$T181),IF($S181="Lớp 4",INDEX('Lớp 4 - Danh mục'!$M$14:$M$132,$T181),INDEX('Lớp 3 - Công việc chính'!$L$14:$L$73,$T181))))</f>
        <v>#REF!</v>
      </c>
      <c r="H181" s="692" t="str">
        <f t="array" ref="H181">IF($S181="","",IF($S181="Lớp 5",INDEX('Lớp 5 - Phân công'!$O$14:$O$262,$T181),IF($S181="Lớp 4",INDEX('Lớp 4 - Danh mục'!$N$14:$N$132,$T181),INDEX('Lớp 3 - Công việc chính'!$M$14:$M$73,$T181))))</f>
        <v>#REF!</v>
      </c>
      <c r="I181" s="692" t="str">
        <f t="array" ref="I181">IF($S181="","",IF($S181="Lớp 5",INDEX('Lớp 5 - Phân công'!$P$14:$P$262,$T181),IF($S181="Lớp 4",INDEX('Lớp 4 - Danh mục'!$O$14:$O$132,$T181),"")))</f>
        <v>#REF!</v>
      </c>
      <c r="J181" s="693" t="str">
        <f t="array" ref="J181">IF($S181="","",IF($S181="Lớp 5",INDEX('Lớp 5 - Phân công'!$Q$14:$Q$262,$T181),""))</f>
        <v>#REF!</v>
      </c>
      <c r="K181" s="690" t="str">
        <f t="array" ref="K181">IF($S181="","",IF($S181="Lớp 5",INDEX('Lớp 5 - Phân công'!$AA$14:$AA$262,$T181),IF($S181="Lớp 4",INDEX('Lớp 4 - Danh mục'!$Y$14:$Y$132,$T181),INDEX('Lớp 3 - Công việc chính'!$U$14:$U$73,$T181))))</f>
        <v>#REF!</v>
      </c>
      <c r="L181" s="691" t="str">
        <f t="array" ref="L181">IF($S181="","",IF($S181="Lớp 5",INDEX('Lớp 5 - Phân công'!$Z$14:$Z$262,$T181),IF($S181="Lớp 4",INDEX('Lớp 4 - Danh mục'!$X$14:$X$132,$T181),INDEX('Lớp 3 - Công việc chính'!$W$14:$W$73,$T181))))</f>
        <v>#REF!</v>
      </c>
      <c r="M181" s="694" t="str">
        <f t="array" ref="M181">IF($S181="","",IF($S181="Lớp 5",INDEX('Lớp 5 - Phân công'!$AD$14:$AD$262,$T181),IF($S181="Lớp 4",INDEX('Lớp 4 - Danh mục'!$AC$14:$AC$132,$T181),INDEX('Lớp 3 - Công việc chính'!$Z$14:$Z$73,$T181))))</f>
        <v>#REF!</v>
      </c>
      <c r="N181" s="695" t="str">
        <f t="array" ref="N181">IF($S181="","",IF($S181="Lớp 5",INDEX('Lớp 5 - Phân công'!$AE$14:$AE$262,$T181),IF($S181="Lớp 4",INDEX('Lớp 4 - Danh mục'!$AD$14:$AD$132,$T181),INDEX('Lớp 3 - Công việc chính'!$AA$14:$AA$73,$T181))))</f>
        <v>#REF!</v>
      </c>
      <c r="O181" s="690" t="str">
        <f t="array" ref="O181">IF($S181="","",IF($S181="Lớp 5",INDEX('Lớp 5 - Phân công'!$AB$14:$AB$262,$T181),IF($S181="Lớp 4",INDEX('Lớp 4 - Danh mục'!$AA$14:$AA$132,$T181),INDEX('Lớp 3 - Công việc chính'!$X$14:$X$73,$T181))))</f>
        <v>#REF!</v>
      </c>
      <c r="P181" s="703" t="str">
        <f t="array" ref="P181">IF($S181="","",IF($S181="Lớp 5",INDEX('Lớp 5 - Phân công'!$AC$14:$AC$262,$T181),IF($S181="Lớp 4",INDEX('Lớp 4 - Danh mục'!$AB$14:$AB$132,$T181),INDEX('Lớp 3 - Công việc chính'!$Y$14:$Y$73,$T181))))</f>
        <v>#REF!</v>
      </c>
      <c r="Q181" s="697" t="str">
        <f t="array" ref="Q181">IF($S181="","",IF($S181="Lớp 5",INDEX('Lớp 5 - Phân công'!$AG$14:$AG$262,$T181),IF($S181="Lớp 4",INDEX('Lớp 4 - Danh mục'!$AF$14:$AF$132,$T181),INDEX('Lớp 3 - Công việc chính'!$AC$14:$AC$73,$T181))))</f>
        <v>#REF!</v>
      </c>
      <c r="R181" s="698" t="str">
        <f t="array" ref="R181">IF($S181="","",IF($S181="Lớp 5",INDEX('Lớp 5 - Phân công'!$X$14:$X$262,$T181),IF($S181="Lớp 4",INDEX('Lớp 4 - Danh mục'!$V$14:$V$132,$T181),INDEX('Lớp 3 - Công việc chính'!$T$14:$T$73,$T181))))</f>
        <v>#REF!</v>
      </c>
      <c r="S181" s="699" t="str">
        <f>IF(ROWS($S$14:S181)&lt;=COUNTIF('Lớp 5 - Phân công'!$I$14:$I$262,"&lt;&gt;"),"Lớp 5",IF(ROWS($S$14:S181)&lt;=COUNTIF('Lớp 5 - Phân công'!$I$14:$I$262,"&lt;&gt;")+SUMPRODUCT(--('Lớp 4 - Danh mục'!$I$14:$I$132&lt;&gt;""),--(COUNTIF('Lớp 5 - Phân công'!$J$14:$J$262,'Lớp 4 - Danh mục'!$I$14:$I$132)=0)),"Lớp 4",IF(ROWS($S$14:S181)&lt;=COUNTIF('Lớp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1" s="699" t="str">
        <f t="array" ref="T181">IF(S181="","",IF(S181="Lớp 5",IF(S180&lt;&gt;"Lớp 5",MATCH("*",'Lớp 5 - Phân công'!$I$14:$I$262,0),T180+MATCH("*",INDEX('Lớp 5 - Phân công'!$I$14:$I$262,T180+1):'Lớp 5 - Phân công'!$I$262,0)),IF(S181="Lớp 4",IF(S180&lt;&gt;"Lớp 4",MATCH(1,INDEX(('Lớp 4 - Danh mục'!$I$14:$I$132&lt;&gt;"")*(COUNTIF('Lớp 5 - Phân công'!$J$14:$J$262,'Lớp 4 - Danh mục'!$I$14:$I$132)=0),0),0),T180+MATCH(1,INDEX((INDEX('Lớp 4 - Danh mục'!$I$14:$I$132,T180+1):'Lớp 4 - Danh mục'!$I$132&lt;&gt;"")*(COUNTIF('Lớp 5 - Phân công'!$J$14:$J$262,INDEX('Lớp 4 - Danh mục'!$I$14:$I$132,T180+1):'Lớp 4 - Danh mục'!$I$132)=0),0),0)),IF(S180&lt;&gt;"Lớp 3",MATCH(1,INDEX(('Lớp 3 - Công việc chính'!$I$14:$I$73&lt;&gt;"")*(COUNTIF('Lớp 4 - Danh mục'!$J$14:$J$132,'Lớp 3 - Công việc chính'!$I$14:$I$73)=0),0),0),T180+MATCH(1,INDEX((INDEX('Lớp 3 - Công việc chính'!$I$14:$I$73,T180+1):'Lớp 3 - Công việc chính'!$I$73&lt;&gt;"")*(COUNTIF('Lớp 4 - Danh mục'!$J$14:$J$132,INDEX('Lớp 3 - Công việc chính'!$I$14:$I$73,T180+1):'Lớp 3 - Công việc chính'!$I$73)=0),0),0)))))</f>
        <v>#REF!</v>
      </c>
      <c r="Z181" s="700" t="str">
        <f t="array" ref="Z181">IF($S181="","",IF($S181="Lớp 5",INDEX('Lớp 5 - Phân công'!$AS$14:$AS$262,$T181),IF($S181="Lớp 4",INDEX('Lớp 4 - Danh mục'!$AR$14:$AR$132,$T181),INDEX('Lớp 3 - Công việc chính'!$AO$14:$AO$73,$T181))))</f>
        <v>#REF!</v>
      </c>
      <c r="AA181" s="701" t="str">
        <f t="array" ref="AA181">IF($S181="","",IF($S181="Lớp 5",INDEX('Lớp 5 - Phân công'!$AT$14:$AT$262,$T181),IF($S181="Lớp 4",INDEX('Lớp 4 - Danh mục'!$AS$14:$AS$132,$T181),INDEX('Lớp 3 - Công việc chính'!$AP$14:$AP$73,$T181))))</f>
        <v>#REF!</v>
      </c>
      <c r="AB181" s="701" t="str">
        <f t="array" ref="AB181">IF($S181="","",IF($S181="Lớp 5",INDEX('Lớp 5 - Phân công'!$AJ$14:$AJ$262,$T181),IF($S181="Lớp 4",INDEX('Lớp 4 - Danh mục'!$AI$14:$AI$132,$T181),INDEX('Lớp 3 - Công việc chính'!$AF$14:$AF$73,$T181))))</f>
        <v>#REF!</v>
      </c>
      <c r="AC181" s="702" t="str">
        <f t="array" ref="AC181">IF($S181="","",IF($S181="Lớp 5",INDEX('Lớp 5 - Phân công'!$AV$14:$AV$262,$T181),IF($S181="Lớp 4",INDEX('Lớp 4 - Danh mục'!$AU$14:$AU$132,$T181),INDEX('Lớp 3 - Công việc chính'!$AR$14:$AR$73,$T181))))</f>
        <v>#REF!</v>
      </c>
    </row>
    <row r="182" ht="15.75" customHeight="1">
      <c r="A182" s="690" t="str">
        <f t="shared" si="1"/>
        <v>#REF!</v>
      </c>
      <c r="B182" s="690" t="str">
        <f t="array" ref="B182">IF($S182="","",IF($S182="Lớp 5",INDEX('Lớp 5 - Phân công'!$I$14:$I$262,$T182),IF($S182="Lớp 4",INDEX('Lớp 4 - Danh mục'!$I$14:$I$132,$T182),INDEX('Lớp 3 - Công việc chính'!$I$14:$I$73,$T182))))</f>
        <v>#REF!</v>
      </c>
      <c r="C182" s="690" t="str">
        <f t="array" ref="C182">IF($S182="","",IF($S182="Lớp 5",INDEX('Lớp 5 - Phân công'!$K$14:$K$262,$T182),IF($S182="Lớp 4",INDEX('Lớp 4 - Danh mục'!$J$14:$J$132,$T182),INDEX('Lớp 3 - Công việc chính'!$I$14:$I$73,$T182))))</f>
        <v>#REF!</v>
      </c>
      <c r="D182" s="690" t="str">
        <f t="array" ref="D182">IF($S182="","",IF($S182="Lớp 5",INDEX('Lớp 5 - Phân công'!$J$14:$J$262,$T182),IF($S182="Lớp 4",INDEX('Lớp 4 - Danh mục'!$I$14:$I$132,$T182),"")))</f>
        <v>#REF!</v>
      </c>
      <c r="E182" s="690" t="str">
        <f t="array" ref="E182">IF($S182="","",IF($S182="Lớp 5",INDEX('Lớp 5 - Phân công'!$L$14:$L$262,$T182),IF($S182="Lớp 4",INDEX('Lớp 4 - Danh mục'!$K$14:$K$132,$T182),INDEX('Lớp 3 - Công việc chính'!$J$14:$J$73,$T182))))</f>
        <v>#REF!</v>
      </c>
      <c r="F182" s="690" t="str">
        <f t="array" ref="F182">IF($S182="","",IF($S182="Lớp 5",INDEX('Lớp 5 - Phân công'!$M$14:$M$262,$T182),IF($S182="Lớp 4",INDEX('Lớp 4 - Danh mục'!$L$14:$L$132,$T182),INDEX('Lớp 3 - Công việc chính'!$K$14:$K$73,$T182))))</f>
        <v>#REF!</v>
      </c>
      <c r="G182" s="691" t="str">
        <f t="array" ref="G182">IF($S182="","",IF($S182="Lớp 5",INDEX('Lớp 5 - Phân công'!$N$14:$N$262,$T182),IF($S182="Lớp 4",INDEX('Lớp 4 - Danh mục'!$M$14:$M$132,$T182),INDEX('Lớp 3 - Công việc chính'!$L$14:$L$73,$T182))))</f>
        <v>#REF!</v>
      </c>
      <c r="H182" s="692" t="str">
        <f t="array" ref="H182">IF($S182="","",IF($S182="Lớp 5",INDEX('Lớp 5 - Phân công'!$O$14:$O$262,$T182),IF($S182="Lớp 4",INDEX('Lớp 4 - Danh mục'!$N$14:$N$132,$T182),INDEX('Lớp 3 - Công việc chính'!$M$14:$M$73,$T182))))</f>
        <v>#REF!</v>
      </c>
      <c r="I182" s="692" t="str">
        <f t="array" ref="I182">IF($S182="","",IF($S182="Lớp 5",INDEX('Lớp 5 - Phân công'!$P$14:$P$262,$T182),IF($S182="Lớp 4",INDEX('Lớp 4 - Danh mục'!$O$14:$O$132,$T182),"")))</f>
        <v>#REF!</v>
      </c>
      <c r="J182" s="693" t="str">
        <f t="array" ref="J182">IF($S182="","",IF($S182="Lớp 5",INDEX('Lớp 5 - Phân công'!$Q$14:$Q$262,$T182),""))</f>
        <v>#REF!</v>
      </c>
      <c r="K182" s="690" t="str">
        <f t="array" ref="K182">IF($S182="","",IF($S182="Lớp 5",INDEX('Lớp 5 - Phân công'!$AA$14:$AA$262,$T182),IF($S182="Lớp 4",INDEX('Lớp 4 - Danh mục'!$Y$14:$Y$132,$T182),INDEX('Lớp 3 - Công việc chính'!$U$14:$U$73,$T182))))</f>
        <v>#REF!</v>
      </c>
      <c r="L182" s="691" t="str">
        <f t="array" ref="L182">IF($S182="","",IF($S182="Lớp 5",INDEX('Lớp 5 - Phân công'!$Z$14:$Z$262,$T182),IF($S182="Lớp 4",INDEX('Lớp 4 - Danh mục'!$X$14:$X$132,$T182),INDEX('Lớp 3 - Công việc chính'!$W$14:$W$73,$T182))))</f>
        <v>#REF!</v>
      </c>
      <c r="M182" s="694" t="str">
        <f t="array" ref="M182">IF($S182="","",IF($S182="Lớp 5",INDEX('Lớp 5 - Phân công'!$AD$14:$AD$262,$T182),IF($S182="Lớp 4",INDEX('Lớp 4 - Danh mục'!$AC$14:$AC$132,$T182),INDEX('Lớp 3 - Công việc chính'!$Z$14:$Z$73,$T182))))</f>
        <v>#REF!</v>
      </c>
      <c r="N182" s="695" t="str">
        <f t="array" ref="N182">IF($S182="","",IF($S182="Lớp 5",INDEX('Lớp 5 - Phân công'!$AE$14:$AE$262,$T182),IF($S182="Lớp 4",INDEX('Lớp 4 - Danh mục'!$AD$14:$AD$132,$T182),INDEX('Lớp 3 - Công việc chính'!$AA$14:$AA$73,$T182))))</f>
        <v>#REF!</v>
      </c>
      <c r="O182" s="690" t="str">
        <f t="array" ref="O182">IF($S182="","",IF($S182="Lớp 5",INDEX('Lớp 5 - Phân công'!$AB$14:$AB$262,$T182),IF($S182="Lớp 4",INDEX('Lớp 4 - Danh mục'!$AA$14:$AA$132,$T182),INDEX('Lớp 3 - Công việc chính'!$X$14:$X$73,$T182))))</f>
        <v>#REF!</v>
      </c>
      <c r="P182" s="703" t="str">
        <f t="array" ref="P182">IF($S182="","",IF($S182="Lớp 5",INDEX('Lớp 5 - Phân công'!$AC$14:$AC$262,$T182),IF($S182="Lớp 4",INDEX('Lớp 4 - Danh mục'!$AB$14:$AB$132,$T182),INDEX('Lớp 3 - Công việc chính'!$Y$14:$Y$73,$T182))))</f>
        <v>#REF!</v>
      </c>
      <c r="Q182" s="697" t="str">
        <f t="array" ref="Q182">IF($S182="","",IF($S182="Lớp 5",INDEX('Lớp 5 - Phân công'!$AG$14:$AG$262,$T182),IF($S182="Lớp 4",INDEX('Lớp 4 - Danh mục'!$AF$14:$AF$132,$T182),INDEX('Lớp 3 - Công việc chính'!$AC$14:$AC$73,$T182))))</f>
        <v>#REF!</v>
      </c>
      <c r="R182" s="698" t="str">
        <f t="array" ref="R182">IF($S182="","",IF($S182="Lớp 5",INDEX('Lớp 5 - Phân công'!$X$14:$X$262,$T182),IF($S182="Lớp 4",INDEX('Lớp 4 - Danh mục'!$V$14:$V$132,$T182),INDEX('Lớp 3 - Công việc chính'!$T$14:$T$73,$T182))))</f>
        <v>#REF!</v>
      </c>
      <c r="S182" s="699" t="str">
        <f>IF(ROWS($S$14:S182)&lt;=COUNTIF('Lớp 5 - Phân công'!$I$14:$I$262,"&lt;&gt;"),"Lớp 5",IF(ROWS($S$14:S182)&lt;=COUNTIF('Lớp 5 - Phân công'!$I$14:$I$262,"&lt;&gt;")+SUMPRODUCT(--('Lớp 4 - Danh mục'!$I$14:$I$132&lt;&gt;""),--(COUNTIF('Lớp 5 - Phân công'!$J$14:$J$262,'Lớp 4 - Danh mục'!$I$14:$I$132)=0)),"Lớp 4",IF(ROWS($S$14:S182)&lt;=COUNTIF('Lớp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2" s="699" t="str">
        <f t="array" ref="T182">IF(S182="","",IF(S182="Lớp 5",IF(S181&lt;&gt;"Lớp 5",MATCH("*",'Lớp 5 - Phân công'!$I$14:$I$262,0),T181+MATCH("*",INDEX('Lớp 5 - Phân công'!$I$14:$I$262,T181+1):'Lớp 5 - Phân công'!$I$262,0)),IF(S182="Lớp 4",IF(S181&lt;&gt;"Lớp 4",MATCH(1,INDEX(('Lớp 4 - Danh mục'!$I$14:$I$132&lt;&gt;"")*(COUNTIF('Lớp 5 - Phân công'!$J$14:$J$262,'Lớp 4 - Danh mục'!$I$14:$I$132)=0),0),0),T181+MATCH(1,INDEX((INDEX('Lớp 4 - Danh mục'!$I$14:$I$132,T181+1):'Lớp 4 - Danh mục'!$I$132&lt;&gt;"")*(COUNTIF('Lớp 5 - Phân công'!$J$14:$J$262,INDEX('Lớp 4 - Danh mục'!$I$14:$I$132,T181+1):'Lớp 4 - Danh mục'!$I$132)=0),0),0)),IF(S181&lt;&gt;"Lớp 3",MATCH(1,INDEX(('Lớp 3 - Công việc chính'!$I$14:$I$73&lt;&gt;"")*(COUNTIF('Lớp 4 - Danh mục'!$J$14:$J$132,'Lớp 3 - Công việc chính'!$I$14:$I$73)=0),0),0),T181+MATCH(1,INDEX((INDEX('Lớp 3 - Công việc chính'!$I$14:$I$73,T181+1):'Lớp 3 - Công việc chính'!$I$73&lt;&gt;"")*(COUNTIF('Lớp 4 - Danh mục'!$J$14:$J$132,INDEX('Lớp 3 - Công việc chính'!$I$14:$I$73,T181+1):'Lớp 3 - Công việc chính'!$I$73)=0),0),0)))))</f>
        <v>#REF!</v>
      </c>
      <c r="Z182" s="700" t="str">
        <f t="array" ref="Z182">IF($S182="","",IF($S182="Lớp 5",INDEX('Lớp 5 - Phân công'!$AS$14:$AS$262,$T182),IF($S182="Lớp 4",INDEX('Lớp 4 - Danh mục'!$AR$14:$AR$132,$T182),INDEX('Lớp 3 - Công việc chính'!$AO$14:$AO$73,$T182))))</f>
        <v>#REF!</v>
      </c>
      <c r="AA182" s="701" t="str">
        <f t="array" ref="AA182">IF($S182="","",IF($S182="Lớp 5",INDEX('Lớp 5 - Phân công'!$AT$14:$AT$262,$T182),IF($S182="Lớp 4",INDEX('Lớp 4 - Danh mục'!$AS$14:$AS$132,$T182),INDEX('Lớp 3 - Công việc chính'!$AP$14:$AP$73,$T182))))</f>
        <v>#REF!</v>
      </c>
      <c r="AB182" s="701" t="str">
        <f t="array" ref="AB182">IF($S182="","",IF($S182="Lớp 5",INDEX('Lớp 5 - Phân công'!$AJ$14:$AJ$262,$T182),IF($S182="Lớp 4",INDEX('Lớp 4 - Danh mục'!$AI$14:$AI$132,$T182),INDEX('Lớp 3 - Công việc chính'!$AF$14:$AF$73,$T182))))</f>
        <v>#REF!</v>
      </c>
      <c r="AC182" s="702" t="str">
        <f t="array" ref="AC182">IF($S182="","",IF($S182="Lớp 5",INDEX('Lớp 5 - Phân công'!$AV$14:$AV$262,$T182),IF($S182="Lớp 4",INDEX('Lớp 4 - Danh mục'!$AU$14:$AU$132,$T182),INDEX('Lớp 3 - Công việc chính'!$AR$14:$AR$73,$T182))))</f>
        <v>#REF!</v>
      </c>
    </row>
    <row r="183" ht="15.75" customHeight="1">
      <c r="A183" s="690" t="str">
        <f t="shared" si="1"/>
        <v>#REF!</v>
      </c>
      <c r="B183" s="690" t="str">
        <f t="array" ref="B183">IF($S183="","",IF($S183="Lớp 5",INDEX('Lớp 5 - Phân công'!$I$14:$I$262,$T183),IF($S183="Lớp 4",INDEX('Lớp 4 - Danh mục'!$I$14:$I$132,$T183),INDEX('Lớp 3 - Công việc chính'!$I$14:$I$73,$T183))))</f>
        <v>#REF!</v>
      </c>
      <c r="C183" s="690" t="str">
        <f t="array" ref="C183">IF($S183="","",IF($S183="Lớp 5",INDEX('Lớp 5 - Phân công'!$K$14:$K$262,$T183),IF($S183="Lớp 4",INDEX('Lớp 4 - Danh mục'!$J$14:$J$132,$T183),INDEX('Lớp 3 - Công việc chính'!$I$14:$I$73,$T183))))</f>
        <v>#REF!</v>
      </c>
      <c r="D183" s="690" t="str">
        <f t="array" ref="D183">IF($S183="","",IF($S183="Lớp 5",INDEX('Lớp 5 - Phân công'!$J$14:$J$262,$T183),IF($S183="Lớp 4",INDEX('Lớp 4 - Danh mục'!$I$14:$I$132,$T183),"")))</f>
        <v>#REF!</v>
      </c>
      <c r="E183" s="690" t="str">
        <f t="array" ref="E183">IF($S183="","",IF($S183="Lớp 5",INDEX('Lớp 5 - Phân công'!$L$14:$L$262,$T183),IF($S183="Lớp 4",INDEX('Lớp 4 - Danh mục'!$K$14:$K$132,$T183),INDEX('Lớp 3 - Công việc chính'!$J$14:$J$73,$T183))))</f>
        <v>#REF!</v>
      </c>
      <c r="F183" s="690" t="str">
        <f t="array" ref="F183">IF($S183="","",IF($S183="Lớp 5",INDEX('Lớp 5 - Phân công'!$M$14:$M$262,$T183),IF($S183="Lớp 4",INDEX('Lớp 4 - Danh mục'!$L$14:$L$132,$T183),INDEX('Lớp 3 - Công việc chính'!$K$14:$K$73,$T183))))</f>
        <v>#REF!</v>
      </c>
      <c r="G183" s="691" t="str">
        <f t="array" ref="G183">IF($S183="","",IF($S183="Lớp 5",INDEX('Lớp 5 - Phân công'!$N$14:$N$262,$T183),IF($S183="Lớp 4",INDEX('Lớp 4 - Danh mục'!$M$14:$M$132,$T183),INDEX('Lớp 3 - Công việc chính'!$L$14:$L$73,$T183))))</f>
        <v>#REF!</v>
      </c>
      <c r="H183" s="692" t="str">
        <f t="array" ref="H183">IF($S183="","",IF($S183="Lớp 5",INDEX('Lớp 5 - Phân công'!$O$14:$O$262,$T183),IF($S183="Lớp 4",INDEX('Lớp 4 - Danh mục'!$N$14:$N$132,$T183),INDEX('Lớp 3 - Công việc chính'!$M$14:$M$73,$T183))))</f>
        <v>#REF!</v>
      </c>
      <c r="I183" s="692" t="str">
        <f t="array" ref="I183">IF($S183="","",IF($S183="Lớp 5",INDEX('Lớp 5 - Phân công'!$P$14:$P$262,$T183),IF($S183="Lớp 4",INDEX('Lớp 4 - Danh mục'!$O$14:$O$132,$T183),"")))</f>
        <v>#REF!</v>
      </c>
      <c r="J183" s="693" t="str">
        <f t="array" ref="J183">IF($S183="","",IF($S183="Lớp 5",INDEX('Lớp 5 - Phân công'!$Q$14:$Q$262,$T183),""))</f>
        <v>#REF!</v>
      </c>
      <c r="K183" s="690" t="str">
        <f t="array" ref="K183">IF($S183="","",IF($S183="Lớp 5",INDEX('Lớp 5 - Phân công'!$AA$14:$AA$262,$T183),IF($S183="Lớp 4",INDEX('Lớp 4 - Danh mục'!$Y$14:$Y$132,$T183),INDEX('Lớp 3 - Công việc chính'!$U$14:$U$73,$T183))))</f>
        <v>#REF!</v>
      </c>
      <c r="L183" s="691" t="str">
        <f t="array" ref="L183">IF($S183="","",IF($S183="Lớp 5",INDEX('Lớp 5 - Phân công'!$Z$14:$Z$262,$T183),IF($S183="Lớp 4",INDEX('Lớp 4 - Danh mục'!$X$14:$X$132,$T183),INDEX('Lớp 3 - Công việc chính'!$W$14:$W$73,$T183))))</f>
        <v>#REF!</v>
      </c>
      <c r="M183" s="694" t="str">
        <f t="array" ref="M183">IF($S183="","",IF($S183="Lớp 5",INDEX('Lớp 5 - Phân công'!$AD$14:$AD$262,$T183),IF($S183="Lớp 4",INDEX('Lớp 4 - Danh mục'!$AC$14:$AC$132,$T183),INDEX('Lớp 3 - Công việc chính'!$Z$14:$Z$73,$T183))))</f>
        <v>#REF!</v>
      </c>
      <c r="N183" s="695" t="str">
        <f t="array" ref="N183">IF($S183="","",IF($S183="Lớp 5",INDEX('Lớp 5 - Phân công'!$AE$14:$AE$262,$T183),IF($S183="Lớp 4",INDEX('Lớp 4 - Danh mục'!$AD$14:$AD$132,$T183),INDEX('Lớp 3 - Công việc chính'!$AA$14:$AA$73,$T183))))</f>
        <v>#REF!</v>
      </c>
      <c r="O183" s="690" t="str">
        <f t="array" ref="O183">IF($S183="","",IF($S183="Lớp 5",INDEX('Lớp 5 - Phân công'!$AB$14:$AB$262,$T183),IF($S183="Lớp 4",INDEX('Lớp 4 - Danh mục'!$AA$14:$AA$132,$T183),INDEX('Lớp 3 - Công việc chính'!$X$14:$X$73,$T183))))</f>
        <v>#REF!</v>
      </c>
      <c r="P183" s="703" t="str">
        <f t="array" ref="P183">IF($S183="","",IF($S183="Lớp 5",INDEX('Lớp 5 - Phân công'!$AC$14:$AC$262,$T183),IF($S183="Lớp 4",INDEX('Lớp 4 - Danh mục'!$AB$14:$AB$132,$T183),INDEX('Lớp 3 - Công việc chính'!$Y$14:$Y$73,$T183))))</f>
        <v>#REF!</v>
      </c>
      <c r="Q183" s="697" t="str">
        <f t="array" ref="Q183">IF($S183="","",IF($S183="Lớp 5",INDEX('Lớp 5 - Phân công'!$AG$14:$AG$262,$T183),IF($S183="Lớp 4",INDEX('Lớp 4 - Danh mục'!$AF$14:$AF$132,$T183),INDEX('Lớp 3 - Công việc chính'!$AC$14:$AC$73,$T183))))</f>
        <v>#REF!</v>
      </c>
      <c r="R183" s="698" t="str">
        <f t="array" ref="R183">IF($S183="","",IF($S183="Lớp 5",INDEX('Lớp 5 - Phân công'!$X$14:$X$262,$T183),IF($S183="Lớp 4",INDEX('Lớp 4 - Danh mục'!$V$14:$V$132,$T183),INDEX('Lớp 3 - Công việc chính'!$T$14:$T$73,$T183))))</f>
        <v>#REF!</v>
      </c>
      <c r="S183" s="699" t="str">
        <f>IF(ROWS($S$14:S183)&lt;=COUNTIF('Lớp 5 - Phân công'!$I$14:$I$262,"&lt;&gt;"),"Lớp 5",IF(ROWS($S$14:S183)&lt;=COUNTIF('Lớp 5 - Phân công'!$I$14:$I$262,"&lt;&gt;")+SUMPRODUCT(--('Lớp 4 - Danh mục'!$I$14:$I$132&lt;&gt;""),--(COUNTIF('Lớp 5 - Phân công'!$J$14:$J$262,'Lớp 4 - Danh mục'!$I$14:$I$132)=0)),"Lớp 4",IF(ROWS($S$14:S183)&lt;=COUNTIF('Lớp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3" s="699" t="str">
        <f t="array" ref="T183">IF(S183="","",IF(S183="Lớp 5",IF(S182&lt;&gt;"Lớp 5",MATCH("*",'Lớp 5 - Phân công'!$I$14:$I$262,0),T182+MATCH("*",INDEX('Lớp 5 - Phân công'!$I$14:$I$262,T182+1):'Lớp 5 - Phân công'!$I$262,0)),IF(S183="Lớp 4",IF(S182&lt;&gt;"Lớp 4",MATCH(1,INDEX(('Lớp 4 - Danh mục'!$I$14:$I$132&lt;&gt;"")*(COUNTIF('Lớp 5 - Phân công'!$J$14:$J$262,'Lớp 4 - Danh mục'!$I$14:$I$132)=0),0),0),T182+MATCH(1,INDEX((INDEX('Lớp 4 - Danh mục'!$I$14:$I$132,T182+1):'Lớp 4 - Danh mục'!$I$132&lt;&gt;"")*(COUNTIF('Lớp 5 - Phân công'!$J$14:$J$262,INDEX('Lớp 4 - Danh mục'!$I$14:$I$132,T182+1):'Lớp 4 - Danh mục'!$I$132)=0),0),0)),IF(S182&lt;&gt;"Lớp 3",MATCH(1,INDEX(('Lớp 3 - Công việc chính'!$I$14:$I$73&lt;&gt;"")*(COUNTIF('Lớp 4 - Danh mục'!$J$14:$J$132,'Lớp 3 - Công việc chính'!$I$14:$I$73)=0),0),0),T182+MATCH(1,INDEX((INDEX('Lớp 3 - Công việc chính'!$I$14:$I$73,T182+1):'Lớp 3 - Công việc chính'!$I$73&lt;&gt;"")*(COUNTIF('Lớp 4 - Danh mục'!$J$14:$J$132,INDEX('Lớp 3 - Công việc chính'!$I$14:$I$73,T182+1):'Lớp 3 - Công việc chính'!$I$73)=0),0),0)))))</f>
        <v>#REF!</v>
      </c>
      <c r="Z183" s="700" t="str">
        <f t="array" ref="Z183">IF($S183="","",IF($S183="Lớp 5",INDEX('Lớp 5 - Phân công'!$AS$14:$AS$262,$T183),IF($S183="Lớp 4",INDEX('Lớp 4 - Danh mục'!$AR$14:$AR$132,$T183),INDEX('Lớp 3 - Công việc chính'!$AO$14:$AO$73,$T183))))</f>
        <v>#REF!</v>
      </c>
      <c r="AA183" s="701" t="str">
        <f t="array" ref="AA183">IF($S183="","",IF($S183="Lớp 5",INDEX('Lớp 5 - Phân công'!$AT$14:$AT$262,$T183),IF($S183="Lớp 4",INDEX('Lớp 4 - Danh mục'!$AS$14:$AS$132,$T183),INDEX('Lớp 3 - Công việc chính'!$AP$14:$AP$73,$T183))))</f>
        <v>#REF!</v>
      </c>
      <c r="AB183" s="701" t="str">
        <f t="array" ref="AB183">IF($S183="","",IF($S183="Lớp 5",INDEX('Lớp 5 - Phân công'!$AJ$14:$AJ$262,$T183),IF($S183="Lớp 4",INDEX('Lớp 4 - Danh mục'!$AI$14:$AI$132,$T183),INDEX('Lớp 3 - Công việc chính'!$AF$14:$AF$73,$T183))))</f>
        <v>#REF!</v>
      </c>
      <c r="AC183" s="702" t="str">
        <f t="array" ref="AC183">IF($S183="","",IF($S183="Lớp 5",INDEX('Lớp 5 - Phân công'!$AV$14:$AV$262,$T183),IF($S183="Lớp 4",INDEX('Lớp 4 - Danh mục'!$AU$14:$AU$132,$T183),INDEX('Lớp 3 - Công việc chính'!$AR$14:$AR$73,$T183))))</f>
        <v>#REF!</v>
      </c>
    </row>
    <row r="184" ht="15.75" customHeight="1">
      <c r="A184" s="690" t="str">
        <f t="shared" si="1"/>
        <v>#REF!</v>
      </c>
      <c r="B184" s="690" t="str">
        <f t="array" ref="B184">IF($S184="","",IF($S184="Lớp 5",INDEX('Lớp 5 - Phân công'!$I$14:$I$262,$T184),IF($S184="Lớp 4",INDEX('Lớp 4 - Danh mục'!$I$14:$I$132,$T184),INDEX('Lớp 3 - Công việc chính'!$I$14:$I$73,$T184))))</f>
        <v>#REF!</v>
      </c>
      <c r="C184" s="690" t="str">
        <f t="array" ref="C184">IF($S184="","",IF($S184="Lớp 5",INDEX('Lớp 5 - Phân công'!$K$14:$K$262,$T184),IF($S184="Lớp 4",INDEX('Lớp 4 - Danh mục'!$J$14:$J$132,$T184),INDEX('Lớp 3 - Công việc chính'!$I$14:$I$73,$T184))))</f>
        <v>#REF!</v>
      </c>
      <c r="D184" s="690" t="str">
        <f t="array" ref="D184">IF($S184="","",IF($S184="Lớp 5",INDEX('Lớp 5 - Phân công'!$J$14:$J$262,$T184),IF($S184="Lớp 4",INDEX('Lớp 4 - Danh mục'!$I$14:$I$132,$T184),"")))</f>
        <v>#REF!</v>
      </c>
      <c r="E184" s="690" t="str">
        <f t="array" ref="E184">IF($S184="","",IF($S184="Lớp 5",INDEX('Lớp 5 - Phân công'!$L$14:$L$262,$T184),IF($S184="Lớp 4",INDEX('Lớp 4 - Danh mục'!$K$14:$K$132,$T184),INDEX('Lớp 3 - Công việc chính'!$J$14:$J$73,$T184))))</f>
        <v>#REF!</v>
      </c>
      <c r="F184" s="690" t="str">
        <f t="array" ref="F184">IF($S184="","",IF($S184="Lớp 5",INDEX('Lớp 5 - Phân công'!$M$14:$M$262,$T184),IF($S184="Lớp 4",INDEX('Lớp 4 - Danh mục'!$L$14:$L$132,$T184),INDEX('Lớp 3 - Công việc chính'!$K$14:$K$73,$T184))))</f>
        <v>#REF!</v>
      </c>
      <c r="G184" s="691" t="str">
        <f t="array" ref="G184">IF($S184="","",IF($S184="Lớp 5",INDEX('Lớp 5 - Phân công'!$N$14:$N$262,$T184),IF($S184="Lớp 4",INDEX('Lớp 4 - Danh mục'!$M$14:$M$132,$T184),INDEX('Lớp 3 - Công việc chính'!$L$14:$L$73,$T184))))</f>
        <v>#REF!</v>
      </c>
      <c r="H184" s="692" t="str">
        <f t="array" ref="H184">IF($S184="","",IF($S184="Lớp 5",INDEX('Lớp 5 - Phân công'!$O$14:$O$262,$T184),IF($S184="Lớp 4",INDEX('Lớp 4 - Danh mục'!$N$14:$N$132,$T184),INDEX('Lớp 3 - Công việc chính'!$M$14:$M$73,$T184))))</f>
        <v>#REF!</v>
      </c>
      <c r="I184" s="692" t="str">
        <f t="array" ref="I184">IF($S184="","",IF($S184="Lớp 5",INDEX('Lớp 5 - Phân công'!$P$14:$P$262,$T184),IF($S184="Lớp 4",INDEX('Lớp 4 - Danh mục'!$O$14:$O$132,$T184),"")))</f>
        <v>#REF!</v>
      </c>
      <c r="J184" s="693" t="str">
        <f t="array" ref="J184">IF($S184="","",IF($S184="Lớp 5",INDEX('Lớp 5 - Phân công'!$Q$14:$Q$262,$T184),""))</f>
        <v>#REF!</v>
      </c>
      <c r="K184" s="690" t="str">
        <f t="array" ref="K184">IF($S184="","",IF($S184="Lớp 5",INDEX('Lớp 5 - Phân công'!$AA$14:$AA$262,$T184),IF($S184="Lớp 4",INDEX('Lớp 4 - Danh mục'!$Y$14:$Y$132,$T184),INDEX('Lớp 3 - Công việc chính'!$U$14:$U$73,$T184))))</f>
        <v>#REF!</v>
      </c>
      <c r="L184" s="691" t="str">
        <f t="array" ref="L184">IF($S184="","",IF($S184="Lớp 5",INDEX('Lớp 5 - Phân công'!$Z$14:$Z$262,$T184),IF($S184="Lớp 4",INDEX('Lớp 4 - Danh mục'!$X$14:$X$132,$T184),INDEX('Lớp 3 - Công việc chính'!$W$14:$W$73,$T184))))</f>
        <v>#REF!</v>
      </c>
      <c r="M184" s="694" t="str">
        <f t="array" ref="M184">IF($S184="","",IF($S184="Lớp 5",INDEX('Lớp 5 - Phân công'!$AD$14:$AD$262,$T184),IF($S184="Lớp 4",INDEX('Lớp 4 - Danh mục'!$AC$14:$AC$132,$T184),INDEX('Lớp 3 - Công việc chính'!$Z$14:$Z$73,$T184))))</f>
        <v>#REF!</v>
      </c>
      <c r="N184" s="695" t="str">
        <f t="array" ref="N184">IF($S184="","",IF($S184="Lớp 5",INDEX('Lớp 5 - Phân công'!$AE$14:$AE$262,$T184),IF($S184="Lớp 4",INDEX('Lớp 4 - Danh mục'!$AD$14:$AD$132,$T184),INDEX('Lớp 3 - Công việc chính'!$AA$14:$AA$73,$T184))))</f>
        <v>#REF!</v>
      </c>
      <c r="O184" s="690" t="str">
        <f t="array" ref="O184">IF($S184="","",IF($S184="Lớp 5",INDEX('Lớp 5 - Phân công'!$AB$14:$AB$262,$T184),IF($S184="Lớp 4",INDEX('Lớp 4 - Danh mục'!$AA$14:$AA$132,$T184),INDEX('Lớp 3 - Công việc chính'!$X$14:$X$73,$T184))))</f>
        <v>#REF!</v>
      </c>
      <c r="P184" s="703" t="str">
        <f t="array" ref="P184">IF($S184="","",IF($S184="Lớp 5",INDEX('Lớp 5 - Phân công'!$AC$14:$AC$262,$T184),IF($S184="Lớp 4",INDEX('Lớp 4 - Danh mục'!$AB$14:$AB$132,$T184),INDEX('Lớp 3 - Công việc chính'!$Y$14:$Y$73,$T184))))</f>
        <v>#REF!</v>
      </c>
      <c r="Q184" s="697" t="str">
        <f t="array" ref="Q184">IF($S184="","",IF($S184="Lớp 5",INDEX('Lớp 5 - Phân công'!$AG$14:$AG$262,$T184),IF($S184="Lớp 4",INDEX('Lớp 4 - Danh mục'!$AF$14:$AF$132,$T184),INDEX('Lớp 3 - Công việc chính'!$AC$14:$AC$73,$T184))))</f>
        <v>#REF!</v>
      </c>
      <c r="R184" s="698" t="str">
        <f t="array" ref="R184">IF($S184="","",IF($S184="Lớp 5",INDEX('Lớp 5 - Phân công'!$X$14:$X$262,$T184),IF($S184="Lớp 4",INDEX('Lớp 4 - Danh mục'!$V$14:$V$132,$T184),INDEX('Lớp 3 - Công việc chính'!$T$14:$T$73,$T184))))</f>
        <v>#REF!</v>
      </c>
      <c r="S184" s="699" t="str">
        <f>IF(ROWS($S$14:S184)&lt;=COUNTIF('Lớp 5 - Phân công'!$I$14:$I$262,"&lt;&gt;"),"Lớp 5",IF(ROWS($S$14:S184)&lt;=COUNTIF('Lớp 5 - Phân công'!$I$14:$I$262,"&lt;&gt;")+SUMPRODUCT(--('Lớp 4 - Danh mục'!$I$14:$I$132&lt;&gt;""),--(COUNTIF('Lớp 5 - Phân công'!$J$14:$J$262,'Lớp 4 - Danh mục'!$I$14:$I$132)=0)),"Lớp 4",IF(ROWS($S$14:S184)&lt;=COUNTIF('Lớp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4" s="699" t="str">
        <f t="array" ref="T184">IF(S184="","",IF(S184="Lớp 5",IF(S183&lt;&gt;"Lớp 5",MATCH("*",'Lớp 5 - Phân công'!$I$14:$I$262,0),T183+MATCH("*",INDEX('Lớp 5 - Phân công'!$I$14:$I$262,T183+1):'Lớp 5 - Phân công'!$I$262,0)),IF(S184="Lớp 4",IF(S183&lt;&gt;"Lớp 4",MATCH(1,INDEX(('Lớp 4 - Danh mục'!$I$14:$I$132&lt;&gt;"")*(COUNTIF('Lớp 5 - Phân công'!$J$14:$J$262,'Lớp 4 - Danh mục'!$I$14:$I$132)=0),0),0),T183+MATCH(1,INDEX((INDEX('Lớp 4 - Danh mục'!$I$14:$I$132,T183+1):'Lớp 4 - Danh mục'!$I$132&lt;&gt;"")*(COUNTIF('Lớp 5 - Phân công'!$J$14:$J$262,INDEX('Lớp 4 - Danh mục'!$I$14:$I$132,T183+1):'Lớp 4 - Danh mục'!$I$132)=0),0),0)),IF(S183&lt;&gt;"Lớp 3",MATCH(1,INDEX(('Lớp 3 - Công việc chính'!$I$14:$I$73&lt;&gt;"")*(COUNTIF('Lớp 4 - Danh mục'!$J$14:$J$132,'Lớp 3 - Công việc chính'!$I$14:$I$73)=0),0),0),T183+MATCH(1,INDEX((INDEX('Lớp 3 - Công việc chính'!$I$14:$I$73,T183+1):'Lớp 3 - Công việc chính'!$I$73&lt;&gt;"")*(COUNTIF('Lớp 4 - Danh mục'!$J$14:$J$132,INDEX('Lớp 3 - Công việc chính'!$I$14:$I$73,T183+1):'Lớp 3 - Công việc chính'!$I$73)=0),0),0)))))</f>
        <v>#REF!</v>
      </c>
      <c r="Z184" s="700" t="str">
        <f t="array" ref="Z184">IF($S184="","",IF($S184="Lớp 5",INDEX('Lớp 5 - Phân công'!$AS$14:$AS$262,$T184),IF($S184="Lớp 4",INDEX('Lớp 4 - Danh mục'!$AR$14:$AR$132,$T184),INDEX('Lớp 3 - Công việc chính'!$AO$14:$AO$73,$T184))))</f>
        <v>#REF!</v>
      </c>
      <c r="AA184" s="701" t="str">
        <f t="array" ref="AA184">IF($S184="","",IF($S184="Lớp 5",INDEX('Lớp 5 - Phân công'!$AT$14:$AT$262,$T184),IF($S184="Lớp 4",INDEX('Lớp 4 - Danh mục'!$AS$14:$AS$132,$T184),INDEX('Lớp 3 - Công việc chính'!$AP$14:$AP$73,$T184))))</f>
        <v>#REF!</v>
      </c>
      <c r="AB184" s="701" t="str">
        <f t="array" ref="AB184">IF($S184="","",IF($S184="Lớp 5",INDEX('Lớp 5 - Phân công'!$AJ$14:$AJ$262,$T184),IF($S184="Lớp 4",INDEX('Lớp 4 - Danh mục'!$AI$14:$AI$132,$T184),INDEX('Lớp 3 - Công việc chính'!$AF$14:$AF$73,$T184))))</f>
        <v>#REF!</v>
      </c>
      <c r="AC184" s="702" t="str">
        <f t="array" ref="AC184">IF($S184="","",IF($S184="Lớp 5",INDEX('Lớp 5 - Phân công'!$AV$14:$AV$262,$T184),IF($S184="Lớp 4",INDEX('Lớp 4 - Danh mục'!$AU$14:$AU$132,$T184),INDEX('Lớp 3 - Công việc chính'!$AR$14:$AR$73,$T184))))</f>
        <v>#REF!</v>
      </c>
    </row>
    <row r="185" ht="15.75" customHeight="1">
      <c r="A185" s="690" t="str">
        <f t="shared" si="1"/>
        <v>#REF!</v>
      </c>
      <c r="B185" s="690" t="str">
        <f t="array" ref="B185">IF($S185="","",IF($S185="Lớp 5",INDEX('Lớp 5 - Phân công'!$I$14:$I$262,$T185),IF($S185="Lớp 4",INDEX('Lớp 4 - Danh mục'!$I$14:$I$132,$T185),INDEX('Lớp 3 - Công việc chính'!$I$14:$I$73,$T185))))</f>
        <v>#REF!</v>
      </c>
      <c r="C185" s="690" t="str">
        <f t="array" ref="C185">IF($S185="","",IF($S185="Lớp 5",INDEX('Lớp 5 - Phân công'!$K$14:$K$262,$T185),IF($S185="Lớp 4",INDEX('Lớp 4 - Danh mục'!$J$14:$J$132,$T185),INDEX('Lớp 3 - Công việc chính'!$I$14:$I$73,$T185))))</f>
        <v>#REF!</v>
      </c>
      <c r="D185" s="690" t="str">
        <f t="array" ref="D185">IF($S185="","",IF($S185="Lớp 5",INDEX('Lớp 5 - Phân công'!$J$14:$J$262,$T185),IF($S185="Lớp 4",INDEX('Lớp 4 - Danh mục'!$I$14:$I$132,$T185),"")))</f>
        <v>#REF!</v>
      </c>
      <c r="E185" s="690" t="str">
        <f t="array" ref="E185">IF($S185="","",IF($S185="Lớp 5",INDEX('Lớp 5 - Phân công'!$L$14:$L$262,$T185),IF($S185="Lớp 4",INDEX('Lớp 4 - Danh mục'!$K$14:$K$132,$T185),INDEX('Lớp 3 - Công việc chính'!$J$14:$J$73,$T185))))</f>
        <v>#REF!</v>
      </c>
      <c r="F185" s="690" t="str">
        <f t="array" ref="F185">IF($S185="","",IF($S185="Lớp 5",INDEX('Lớp 5 - Phân công'!$M$14:$M$262,$T185),IF($S185="Lớp 4",INDEX('Lớp 4 - Danh mục'!$L$14:$L$132,$T185),INDEX('Lớp 3 - Công việc chính'!$K$14:$K$73,$T185))))</f>
        <v>#REF!</v>
      </c>
      <c r="G185" s="691" t="str">
        <f t="array" ref="G185">IF($S185="","",IF($S185="Lớp 5",INDEX('Lớp 5 - Phân công'!$N$14:$N$262,$T185),IF($S185="Lớp 4",INDEX('Lớp 4 - Danh mục'!$M$14:$M$132,$T185),INDEX('Lớp 3 - Công việc chính'!$L$14:$L$73,$T185))))</f>
        <v>#REF!</v>
      </c>
      <c r="H185" s="692" t="str">
        <f t="array" ref="H185">IF($S185="","",IF($S185="Lớp 5",INDEX('Lớp 5 - Phân công'!$O$14:$O$262,$T185),IF($S185="Lớp 4",INDEX('Lớp 4 - Danh mục'!$N$14:$N$132,$T185),INDEX('Lớp 3 - Công việc chính'!$M$14:$M$73,$T185))))</f>
        <v>#REF!</v>
      </c>
      <c r="I185" s="692" t="str">
        <f t="array" ref="I185">IF($S185="","",IF($S185="Lớp 5",INDEX('Lớp 5 - Phân công'!$P$14:$P$262,$T185),IF($S185="Lớp 4",INDEX('Lớp 4 - Danh mục'!$O$14:$O$132,$T185),"")))</f>
        <v>#REF!</v>
      </c>
      <c r="J185" s="693" t="str">
        <f t="array" ref="J185">IF($S185="","",IF($S185="Lớp 5",INDEX('Lớp 5 - Phân công'!$Q$14:$Q$262,$T185),""))</f>
        <v>#REF!</v>
      </c>
      <c r="K185" s="690" t="str">
        <f t="array" ref="K185">IF($S185="","",IF($S185="Lớp 5",INDEX('Lớp 5 - Phân công'!$AA$14:$AA$262,$T185),IF($S185="Lớp 4",INDEX('Lớp 4 - Danh mục'!$Y$14:$Y$132,$T185),INDEX('Lớp 3 - Công việc chính'!$U$14:$U$73,$T185))))</f>
        <v>#REF!</v>
      </c>
      <c r="L185" s="691" t="str">
        <f t="array" ref="L185">IF($S185="","",IF($S185="Lớp 5",INDEX('Lớp 5 - Phân công'!$Z$14:$Z$262,$T185),IF($S185="Lớp 4",INDEX('Lớp 4 - Danh mục'!$X$14:$X$132,$T185),INDEX('Lớp 3 - Công việc chính'!$W$14:$W$73,$T185))))</f>
        <v>#REF!</v>
      </c>
      <c r="M185" s="694" t="str">
        <f t="array" ref="M185">IF($S185="","",IF($S185="Lớp 5",INDEX('Lớp 5 - Phân công'!$AD$14:$AD$262,$T185),IF($S185="Lớp 4",INDEX('Lớp 4 - Danh mục'!$AC$14:$AC$132,$T185),INDEX('Lớp 3 - Công việc chính'!$Z$14:$Z$73,$T185))))</f>
        <v>#REF!</v>
      </c>
      <c r="N185" s="695" t="str">
        <f t="array" ref="N185">IF($S185="","",IF($S185="Lớp 5",INDEX('Lớp 5 - Phân công'!$AE$14:$AE$262,$T185),IF($S185="Lớp 4",INDEX('Lớp 4 - Danh mục'!$AD$14:$AD$132,$T185),INDEX('Lớp 3 - Công việc chính'!$AA$14:$AA$73,$T185))))</f>
        <v>#REF!</v>
      </c>
      <c r="O185" s="690" t="str">
        <f t="array" ref="O185">IF($S185="","",IF($S185="Lớp 5",INDEX('Lớp 5 - Phân công'!$AB$14:$AB$262,$T185),IF($S185="Lớp 4",INDEX('Lớp 4 - Danh mục'!$AA$14:$AA$132,$T185),INDEX('Lớp 3 - Công việc chính'!$X$14:$X$73,$T185))))</f>
        <v>#REF!</v>
      </c>
      <c r="P185" s="703" t="str">
        <f t="array" ref="P185">IF($S185="","",IF($S185="Lớp 5",INDEX('Lớp 5 - Phân công'!$AC$14:$AC$262,$T185),IF($S185="Lớp 4",INDEX('Lớp 4 - Danh mục'!$AB$14:$AB$132,$T185),INDEX('Lớp 3 - Công việc chính'!$Y$14:$Y$73,$T185))))</f>
        <v>#REF!</v>
      </c>
      <c r="Q185" s="697" t="str">
        <f t="array" ref="Q185">IF($S185="","",IF($S185="Lớp 5",INDEX('Lớp 5 - Phân công'!$AG$14:$AG$262,$T185),IF($S185="Lớp 4",INDEX('Lớp 4 - Danh mục'!$AF$14:$AF$132,$T185),INDEX('Lớp 3 - Công việc chính'!$AC$14:$AC$73,$T185))))</f>
        <v>#REF!</v>
      </c>
      <c r="R185" s="698" t="str">
        <f t="array" ref="R185">IF($S185="","",IF($S185="Lớp 5",INDEX('Lớp 5 - Phân công'!$X$14:$X$262,$T185),IF($S185="Lớp 4",INDEX('Lớp 4 - Danh mục'!$V$14:$V$132,$T185),INDEX('Lớp 3 - Công việc chính'!$T$14:$T$73,$T185))))</f>
        <v>#REF!</v>
      </c>
      <c r="S185" s="699" t="str">
        <f>IF(ROWS($S$14:S185)&lt;=COUNTIF('Lớp 5 - Phân công'!$I$14:$I$262,"&lt;&gt;"),"Lớp 5",IF(ROWS($S$14:S185)&lt;=COUNTIF('Lớp 5 - Phân công'!$I$14:$I$262,"&lt;&gt;")+SUMPRODUCT(--('Lớp 4 - Danh mục'!$I$14:$I$132&lt;&gt;""),--(COUNTIF('Lớp 5 - Phân công'!$J$14:$J$262,'Lớp 4 - Danh mục'!$I$14:$I$132)=0)),"Lớp 4",IF(ROWS($S$14:S185)&lt;=COUNTIF('Lớp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5" s="699" t="str">
        <f t="array" ref="T185">IF(S185="","",IF(S185="Lớp 5",IF(S184&lt;&gt;"Lớp 5",MATCH("*",'Lớp 5 - Phân công'!$I$14:$I$262,0),T184+MATCH("*",INDEX('Lớp 5 - Phân công'!$I$14:$I$262,T184+1):'Lớp 5 - Phân công'!$I$262,0)),IF(S185="Lớp 4",IF(S184&lt;&gt;"Lớp 4",MATCH(1,INDEX(('Lớp 4 - Danh mục'!$I$14:$I$132&lt;&gt;"")*(COUNTIF('Lớp 5 - Phân công'!$J$14:$J$262,'Lớp 4 - Danh mục'!$I$14:$I$132)=0),0),0),T184+MATCH(1,INDEX((INDEX('Lớp 4 - Danh mục'!$I$14:$I$132,T184+1):'Lớp 4 - Danh mục'!$I$132&lt;&gt;"")*(COUNTIF('Lớp 5 - Phân công'!$J$14:$J$262,INDEX('Lớp 4 - Danh mục'!$I$14:$I$132,T184+1):'Lớp 4 - Danh mục'!$I$132)=0),0),0)),IF(S184&lt;&gt;"Lớp 3",MATCH(1,INDEX(('Lớp 3 - Công việc chính'!$I$14:$I$73&lt;&gt;"")*(COUNTIF('Lớp 4 - Danh mục'!$J$14:$J$132,'Lớp 3 - Công việc chính'!$I$14:$I$73)=0),0),0),T184+MATCH(1,INDEX((INDEX('Lớp 3 - Công việc chính'!$I$14:$I$73,T184+1):'Lớp 3 - Công việc chính'!$I$73&lt;&gt;"")*(COUNTIF('Lớp 4 - Danh mục'!$J$14:$J$132,INDEX('Lớp 3 - Công việc chính'!$I$14:$I$73,T184+1):'Lớp 3 - Công việc chính'!$I$73)=0),0),0)))))</f>
        <v>#REF!</v>
      </c>
      <c r="Z185" s="700" t="str">
        <f t="array" ref="Z185">IF($S185="","",IF($S185="Lớp 5",INDEX('Lớp 5 - Phân công'!$AS$14:$AS$262,$T185),IF($S185="Lớp 4",INDEX('Lớp 4 - Danh mục'!$AR$14:$AR$132,$T185),INDEX('Lớp 3 - Công việc chính'!$AO$14:$AO$73,$T185))))</f>
        <v>#REF!</v>
      </c>
      <c r="AA185" s="701" t="str">
        <f t="array" ref="AA185">IF($S185="","",IF($S185="Lớp 5",INDEX('Lớp 5 - Phân công'!$AT$14:$AT$262,$T185),IF($S185="Lớp 4",INDEX('Lớp 4 - Danh mục'!$AS$14:$AS$132,$T185),INDEX('Lớp 3 - Công việc chính'!$AP$14:$AP$73,$T185))))</f>
        <v>#REF!</v>
      </c>
      <c r="AB185" s="701" t="str">
        <f t="array" ref="AB185">IF($S185="","",IF($S185="Lớp 5",INDEX('Lớp 5 - Phân công'!$AJ$14:$AJ$262,$T185),IF($S185="Lớp 4",INDEX('Lớp 4 - Danh mục'!$AI$14:$AI$132,$T185),INDEX('Lớp 3 - Công việc chính'!$AF$14:$AF$73,$T185))))</f>
        <v>#REF!</v>
      </c>
      <c r="AC185" s="702" t="str">
        <f t="array" ref="AC185">IF($S185="","",IF($S185="Lớp 5",INDEX('Lớp 5 - Phân công'!$AV$14:$AV$262,$T185),IF($S185="Lớp 4",INDEX('Lớp 4 - Danh mục'!$AU$14:$AU$132,$T185),INDEX('Lớp 3 - Công việc chính'!$AR$14:$AR$73,$T185))))</f>
        <v>#REF!</v>
      </c>
    </row>
    <row r="186" ht="15.75" customHeight="1">
      <c r="A186" s="690" t="str">
        <f t="shared" si="1"/>
        <v>#REF!</v>
      </c>
      <c r="B186" s="690" t="str">
        <f t="array" ref="B186">IF($S186="","",IF($S186="Lớp 5",INDEX('Lớp 5 - Phân công'!$I$14:$I$262,$T186),IF($S186="Lớp 4",INDEX('Lớp 4 - Danh mục'!$I$14:$I$132,$T186),INDEX('Lớp 3 - Công việc chính'!$I$14:$I$73,$T186))))</f>
        <v>#REF!</v>
      </c>
      <c r="C186" s="690" t="str">
        <f t="array" ref="C186">IF($S186="","",IF($S186="Lớp 5",INDEX('Lớp 5 - Phân công'!$K$14:$K$262,$T186),IF($S186="Lớp 4",INDEX('Lớp 4 - Danh mục'!$J$14:$J$132,$T186),INDEX('Lớp 3 - Công việc chính'!$I$14:$I$73,$T186))))</f>
        <v>#REF!</v>
      </c>
      <c r="D186" s="690" t="str">
        <f t="array" ref="D186">IF($S186="","",IF($S186="Lớp 5",INDEX('Lớp 5 - Phân công'!$J$14:$J$262,$T186),IF($S186="Lớp 4",INDEX('Lớp 4 - Danh mục'!$I$14:$I$132,$T186),"")))</f>
        <v>#REF!</v>
      </c>
      <c r="E186" s="690" t="str">
        <f t="array" ref="E186">IF($S186="","",IF($S186="Lớp 5",INDEX('Lớp 5 - Phân công'!$L$14:$L$262,$T186),IF($S186="Lớp 4",INDEX('Lớp 4 - Danh mục'!$K$14:$K$132,$T186),INDEX('Lớp 3 - Công việc chính'!$J$14:$J$73,$T186))))</f>
        <v>#REF!</v>
      </c>
      <c r="F186" s="690" t="str">
        <f t="array" ref="F186">IF($S186="","",IF($S186="Lớp 5",INDEX('Lớp 5 - Phân công'!$M$14:$M$262,$T186),IF($S186="Lớp 4",INDEX('Lớp 4 - Danh mục'!$L$14:$L$132,$T186),INDEX('Lớp 3 - Công việc chính'!$K$14:$K$73,$T186))))</f>
        <v>#REF!</v>
      </c>
      <c r="G186" s="691" t="str">
        <f t="array" ref="G186">IF($S186="","",IF($S186="Lớp 5",INDEX('Lớp 5 - Phân công'!$N$14:$N$262,$T186),IF($S186="Lớp 4",INDEX('Lớp 4 - Danh mục'!$M$14:$M$132,$T186),INDEX('Lớp 3 - Công việc chính'!$L$14:$L$73,$T186))))</f>
        <v>#REF!</v>
      </c>
      <c r="H186" s="692" t="str">
        <f t="array" ref="H186">IF($S186="","",IF($S186="Lớp 5",INDEX('Lớp 5 - Phân công'!$O$14:$O$262,$T186),IF($S186="Lớp 4",INDEX('Lớp 4 - Danh mục'!$N$14:$N$132,$T186),INDEX('Lớp 3 - Công việc chính'!$M$14:$M$73,$T186))))</f>
        <v>#REF!</v>
      </c>
      <c r="I186" s="692" t="str">
        <f t="array" ref="I186">IF($S186="","",IF($S186="Lớp 5",INDEX('Lớp 5 - Phân công'!$P$14:$P$262,$T186),IF($S186="Lớp 4",INDEX('Lớp 4 - Danh mục'!$O$14:$O$132,$T186),"")))</f>
        <v>#REF!</v>
      </c>
      <c r="J186" s="693" t="str">
        <f t="array" ref="J186">IF($S186="","",IF($S186="Lớp 5",INDEX('Lớp 5 - Phân công'!$Q$14:$Q$262,$T186),""))</f>
        <v>#REF!</v>
      </c>
      <c r="K186" s="690" t="str">
        <f t="array" ref="K186">IF($S186="","",IF($S186="Lớp 5",INDEX('Lớp 5 - Phân công'!$AA$14:$AA$262,$T186),IF($S186="Lớp 4",INDEX('Lớp 4 - Danh mục'!$Y$14:$Y$132,$T186),INDEX('Lớp 3 - Công việc chính'!$U$14:$U$73,$T186))))</f>
        <v>#REF!</v>
      </c>
      <c r="L186" s="691" t="str">
        <f t="array" ref="L186">IF($S186="","",IF($S186="Lớp 5",INDEX('Lớp 5 - Phân công'!$Z$14:$Z$262,$T186),IF($S186="Lớp 4",INDEX('Lớp 4 - Danh mục'!$X$14:$X$132,$T186),INDEX('Lớp 3 - Công việc chính'!$W$14:$W$73,$T186))))</f>
        <v>#REF!</v>
      </c>
      <c r="M186" s="694" t="str">
        <f t="array" ref="M186">IF($S186="","",IF($S186="Lớp 5",INDEX('Lớp 5 - Phân công'!$AD$14:$AD$262,$T186),IF($S186="Lớp 4",INDEX('Lớp 4 - Danh mục'!$AC$14:$AC$132,$T186),INDEX('Lớp 3 - Công việc chính'!$Z$14:$Z$73,$T186))))</f>
        <v>#REF!</v>
      </c>
      <c r="N186" s="695" t="str">
        <f t="array" ref="N186">IF($S186="","",IF($S186="Lớp 5",INDEX('Lớp 5 - Phân công'!$AE$14:$AE$262,$T186),IF($S186="Lớp 4",INDEX('Lớp 4 - Danh mục'!$AD$14:$AD$132,$T186),INDEX('Lớp 3 - Công việc chính'!$AA$14:$AA$73,$T186))))</f>
        <v>#REF!</v>
      </c>
      <c r="O186" s="690" t="str">
        <f t="array" ref="O186">IF($S186="","",IF($S186="Lớp 5",INDEX('Lớp 5 - Phân công'!$AB$14:$AB$262,$T186),IF($S186="Lớp 4",INDEX('Lớp 4 - Danh mục'!$AA$14:$AA$132,$T186),INDEX('Lớp 3 - Công việc chính'!$X$14:$X$73,$T186))))</f>
        <v>#REF!</v>
      </c>
      <c r="P186" s="703" t="str">
        <f t="array" ref="P186">IF($S186="","",IF($S186="Lớp 5",INDEX('Lớp 5 - Phân công'!$AC$14:$AC$262,$T186),IF($S186="Lớp 4",INDEX('Lớp 4 - Danh mục'!$AB$14:$AB$132,$T186),INDEX('Lớp 3 - Công việc chính'!$Y$14:$Y$73,$T186))))</f>
        <v>#REF!</v>
      </c>
      <c r="Q186" s="697" t="str">
        <f t="array" ref="Q186">IF($S186="","",IF($S186="Lớp 5",INDEX('Lớp 5 - Phân công'!$AG$14:$AG$262,$T186),IF($S186="Lớp 4",INDEX('Lớp 4 - Danh mục'!$AF$14:$AF$132,$T186),INDEX('Lớp 3 - Công việc chính'!$AC$14:$AC$73,$T186))))</f>
        <v>#REF!</v>
      </c>
      <c r="R186" s="698" t="str">
        <f t="array" ref="R186">IF($S186="","",IF($S186="Lớp 5",INDEX('Lớp 5 - Phân công'!$X$14:$X$262,$T186),IF($S186="Lớp 4",INDEX('Lớp 4 - Danh mục'!$V$14:$V$132,$T186),INDEX('Lớp 3 - Công việc chính'!$T$14:$T$73,$T186))))</f>
        <v>#REF!</v>
      </c>
      <c r="S186" s="699" t="str">
        <f>IF(ROWS($S$14:S186)&lt;=COUNTIF('Lớp 5 - Phân công'!$I$14:$I$262,"&lt;&gt;"),"Lớp 5",IF(ROWS($S$14:S186)&lt;=COUNTIF('Lớp 5 - Phân công'!$I$14:$I$262,"&lt;&gt;")+SUMPRODUCT(--('Lớp 4 - Danh mục'!$I$14:$I$132&lt;&gt;""),--(COUNTIF('Lớp 5 - Phân công'!$J$14:$J$262,'Lớp 4 - Danh mục'!$I$14:$I$132)=0)),"Lớp 4",IF(ROWS($S$14:S186)&lt;=COUNTIF('Lớp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6" s="699" t="str">
        <f t="array" ref="T186">IF(S186="","",IF(S186="Lớp 5",IF(S185&lt;&gt;"Lớp 5",MATCH("*",'Lớp 5 - Phân công'!$I$14:$I$262,0),T185+MATCH("*",INDEX('Lớp 5 - Phân công'!$I$14:$I$262,T185+1):'Lớp 5 - Phân công'!$I$262,0)),IF(S186="Lớp 4",IF(S185&lt;&gt;"Lớp 4",MATCH(1,INDEX(('Lớp 4 - Danh mục'!$I$14:$I$132&lt;&gt;"")*(COUNTIF('Lớp 5 - Phân công'!$J$14:$J$262,'Lớp 4 - Danh mục'!$I$14:$I$132)=0),0),0),T185+MATCH(1,INDEX((INDEX('Lớp 4 - Danh mục'!$I$14:$I$132,T185+1):'Lớp 4 - Danh mục'!$I$132&lt;&gt;"")*(COUNTIF('Lớp 5 - Phân công'!$J$14:$J$262,INDEX('Lớp 4 - Danh mục'!$I$14:$I$132,T185+1):'Lớp 4 - Danh mục'!$I$132)=0),0),0)),IF(S185&lt;&gt;"Lớp 3",MATCH(1,INDEX(('Lớp 3 - Công việc chính'!$I$14:$I$73&lt;&gt;"")*(COUNTIF('Lớp 4 - Danh mục'!$J$14:$J$132,'Lớp 3 - Công việc chính'!$I$14:$I$73)=0),0),0),T185+MATCH(1,INDEX((INDEX('Lớp 3 - Công việc chính'!$I$14:$I$73,T185+1):'Lớp 3 - Công việc chính'!$I$73&lt;&gt;"")*(COUNTIF('Lớp 4 - Danh mục'!$J$14:$J$132,INDEX('Lớp 3 - Công việc chính'!$I$14:$I$73,T185+1):'Lớp 3 - Công việc chính'!$I$73)=0),0),0)))))</f>
        <v>#REF!</v>
      </c>
      <c r="Z186" s="700" t="str">
        <f t="array" ref="Z186">IF($S186="","",IF($S186="Lớp 5",INDEX('Lớp 5 - Phân công'!$AS$14:$AS$262,$T186),IF($S186="Lớp 4",INDEX('Lớp 4 - Danh mục'!$AR$14:$AR$132,$T186),INDEX('Lớp 3 - Công việc chính'!$AO$14:$AO$73,$T186))))</f>
        <v>#REF!</v>
      </c>
      <c r="AA186" s="701" t="str">
        <f t="array" ref="AA186">IF($S186="","",IF($S186="Lớp 5",INDEX('Lớp 5 - Phân công'!$AT$14:$AT$262,$T186),IF($S186="Lớp 4",INDEX('Lớp 4 - Danh mục'!$AS$14:$AS$132,$T186),INDEX('Lớp 3 - Công việc chính'!$AP$14:$AP$73,$T186))))</f>
        <v>#REF!</v>
      </c>
      <c r="AB186" s="701" t="str">
        <f t="array" ref="AB186">IF($S186="","",IF($S186="Lớp 5",INDEX('Lớp 5 - Phân công'!$AJ$14:$AJ$262,$T186),IF($S186="Lớp 4",INDEX('Lớp 4 - Danh mục'!$AI$14:$AI$132,$T186),INDEX('Lớp 3 - Công việc chính'!$AF$14:$AF$73,$T186))))</f>
        <v>#REF!</v>
      </c>
      <c r="AC186" s="702" t="str">
        <f t="array" ref="AC186">IF($S186="","",IF($S186="Lớp 5",INDEX('Lớp 5 - Phân công'!$AV$14:$AV$262,$T186),IF($S186="Lớp 4",INDEX('Lớp 4 - Danh mục'!$AU$14:$AU$132,$T186),INDEX('Lớp 3 - Công việc chính'!$AR$14:$AR$73,$T186))))</f>
        <v>#REF!</v>
      </c>
    </row>
    <row r="187" ht="15.75" customHeight="1">
      <c r="A187" s="690" t="str">
        <f t="shared" si="1"/>
        <v>#REF!</v>
      </c>
      <c r="B187" s="690" t="str">
        <f t="array" ref="B187">IF($S187="","",IF($S187="Lớp 5",INDEX('Lớp 5 - Phân công'!$I$14:$I$262,$T187),IF($S187="Lớp 4",INDEX('Lớp 4 - Danh mục'!$I$14:$I$132,$T187),INDEX('Lớp 3 - Công việc chính'!$I$14:$I$73,$T187))))</f>
        <v>#REF!</v>
      </c>
      <c r="C187" s="690" t="str">
        <f t="array" ref="C187">IF($S187="","",IF($S187="Lớp 5",INDEX('Lớp 5 - Phân công'!$K$14:$K$262,$T187),IF($S187="Lớp 4",INDEX('Lớp 4 - Danh mục'!$J$14:$J$132,$T187),INDEX('Lớp 3 - Công việc chính'!$I$14:$I$73,$T187))))</f>
        <v>#REF!</v>
      </c>
      <c r="D187" s="690" t="str">
        <f t="array" ref="D187">IF($S187="","",IF($S187="Lớp 5",INDEX('Lớp 5 - Phân công'!$J$14:$J$262,$T187),IF($S187="Lớp 4",INDEX('Lớp 4 - Danh mục'!$I$14:$I$132,$T187),"")))</f>
        <v>#REF!</v>
      </c>
      <c r="E187" s="690" t="str">
        <f t="array" ref="E187">IF($S187="","",IF($S187="Lớp 5",INDEX('Lớp 5 - Phân công'!$L$14:$L$262,$T187),IF($S187="Lớp 4",INDEX('Lớp 4 - Danh mục'!$K$14:$K$132,$T187),INDEX('Lớp 3 - Công việc chính'!$J$14:$J$73,$T187))))</f>
        <v>#REF!</v>
      </c>
      <c r="F187" s="690" t="str">
        <f t="array" ref="F187">IF($S187="","",IF($S187="Lớp 5",INDEX('Lớp 5 - Phân công'!$M$14:$M$262,$T187),IF($S187="Lớp 4",INDEX('Lớp 4 - Danh mục'!$L$14:$L$132,$T187),INDEX('Lớp 3 - Công việc chính'!$K$14:$K$73,$T187))))</f>
        <v>#REF!</v>
      </c>
      <c r="G187" s="691" t="str">
        <f t="array" ref="G187">IF($S187="","",IF($S187="Lớp 5",INDEX('Lớp 5 - Phân công'!$N$14:$N$262,$T187),IF($S187="Lớp 4",INDEX('Lớp 4 - Danh mục'!$M$14:$M$132,$T187),INDEX('Lớp 3 - Công việc chính'!$L$14:$L$73,$T187))))</f>
        <v>#REF!</v>
      </c>
      <c r="H187" s="692" t="str">
        <f t="array" ref="H187">IF($S187="","",IF($S187="Lớp 5",INDEX('Lớp 5 - Phân công'!$O$14:$O$262,$T187),IF($S187="Lớp 4",INDEX('Lớp 4 - Danh mục'!$N$14:$N$132,$T187),INDEX('Lớp 3 - Công việc chính'!$M$14:$M$73,$T187))))</f>
        <v>#REF!</v>
      </c>
      <c r="I187" s="692" t="str">
        <f t="array" ref="I187">IF($S187="","",IF($S187="Lớp 5",INDEX('Lớp 5 - Phân công'!$P$14:$P$262,$T187),IF($S187="Lớp 4",INDEX('Lớp 4 - Danh mục'!$O$14:$O$132,$T187),"")))</f>
        <v>#REF!</v>
      </c>
      <c r="J187" s="693" t="str">
        <f t="array" ref="J187">IF($S187="","",IF($S187="Lớp 5",INDEX('Lớp 5 - Phân công'!$Q$14:$Q$262,$T187),""))</f>
        <v>#REF!</v>
      </c>
      <c r="K187" s="690" t="str">
        <f t="array" ref="K187">IF($S187="","",IF($S187="Lớp 5",INDEX('Lớp 5 - Phân công'!$AA$14:$AA$262,$T187),IF($S187="Lớp 4",INDEX('Lớp 4 - Danh mục'!$Y$14:$Y$132,$T187),INDEX('Lớp 3 - Công việc chính'!$U$14:$U$73,$T187))))</f>
        <v>#REF!</v>
      </c>
      <c r="L187" s="691" t="str">
        <f t="array" ref="L187">IF($S187="","",IF($S187="Lớp 5",INDEX('Lớp 5 - Phân công'!$Z$14:$Z$262,$T187),IF($S187="Lớp 4",INDEX('Lớp 4 - Danh mục'!$X$14:$X$132,$T187),INDEX('Lớp 3 - Công việc chính'!$W$14:$W$73,$T187))))</f>
        <v>#REF!</v>
      </c>
      <c r="M187" s="694" t="str">
        <f t="array" ref="M187">IF($S187="","",IF($S187="Lớp 5",INDEX('Lớp 5 - Phân công'!$AD$14:$AD$262,$T187),IF($S187="Lớp 4",INDEX('Lớp 4 - Danh mục'!$AC$14:$AC$132,$T187),INDEX('Lớp 3 - Công việc chính'!$Z$14:$Z$73,$T187))))</f>
        <v>#REF!</v>
      </c>
      <c r="N187" s="695" t="str">
        <f t="array" ref="N187">IF($S187="","",IF($S187="Lớp 5",INDEX('Lớp 5 - Phân công'!$AE$14:$AE$262,$T187),IF($S187="Lớp 4",INDEX('Lớp 4 - Danh mục'!$AD$14:$AD$132,$T187),INDEX('Lớp 3 - Công việc chính'!$AA$14:$AA$73,$T187))))</f>
        <v>#REF!</v>
      </c>
      <c r="O187" s="690" t="str">
        <f t="array" ref="O187">IF($S187="","",IF($S187="Lớp 5",INDEX('Lớp 5 - Phân công'!$AB$14:$AB$262,$T187),IF($S187="Lớp 4",INDEX('Lớp 4 - Danh mục'!$AA$14:$AA$132,$T187),INDEX('Lớp 3 - Công việc chính'!$X$14:$X$73,$T187))))</f>
        <v>#REF!</v>
      </c>
      <c r="P187" s="703" t="str">
        <f t="array" ref="P187">IF($S187="","",IF($S187="Lớp 5",INDEX('Lớp 5 - Phân công'!$AC$14:$AC$262,$T187),IF($S187="Lớp 4",INDEX('Lớp 4 - Danh mục'!$AB$14:$AB$132,$T187),INDEX('Lớp 3 - Công việc chính'!$Y$14:$Y$73,$T187))))</f>
        <v>#REF!</v>
      </c>
      <c r="Q187" s="697" t="str">
        <f t="array" ref="Q187">IF($S187="","",IF($S187="Lớp 5",INDEX('Lớp 5 - Phân công'!$AG$14:$AG$262,$T187),IF($S187="Lớp 4",INDEX('Lớp 4 - Danh mục'!$AF$14:$AF$132,$T187),INDEX('Lớp 3 - Công việc chính'!$AC$14:$AC$73,$T187))))</f>
        <v>#REF!</v>
      </c>
      <c r="R187" s="698" t="str">
        <f t="array" ref="R187">IF($S187="","",IF($S187="Lớp 5",INDEX('Lớp 5 - Phân công'!$X$14:$X$262,$T187),IF($S187="Lớp 4",INDEX('Lớp 4 - Danh mục'!$V$14:$V$132,$T187),INDEX('Lớp 3 - Công việc chính'!$T$14:$T$73,$T187))))</f>
        <v>#REF!</v>
      </c>
      <c r="S187" s="699" t="str">
        <f>IF(ROWS($S$14:S187)&lt;=COUNTIF('Lớp 5 - Phân công'!$I$14:$I$262,"&lt;&gt;"),"Lớp 5",IF(ROWS($S$14:S187)&lt;=COUNTIF('Lớp 5 - Phân công'!$I$14:$I$262,"&lt;&gt;")+SUMPRODUCT(--('Lớp 4 - Danh mục'!$I$14:$I$132&lt;&gt;""),--(COUNTIF('Lớp 5 - Phân công'!$J$14:$J$262,'Lớp 4 - Danh mục'!$I$14:$I$132)=0)),"Lớp 4",IF(ROWS($S$14:S187)&lt;=COUNTIF('Lớp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7" s="699" t="str">
        <f t="array" ref="T187">IF(S187="","",IF(S187="Lớp 5",IF(S186&lt;&gt;"Lớp 5",MATCH("*",'Lớp 5 - Phân công'!$I$14:$I$262,0),T186+MATCH("*",INDEX('Lớp 5 - Phân công'!$I$14:$I$262,T186+1):'Lớp 5 - Phân công'!$I$262,0)),IF(S187="Lớp 4",IF(S186&lt;&gt;"Lớp 4",MATCH(1,INDEX(('Lớp 4 - Danh mục'!$I$14:$I$132&lt;&gt;"")*(COUNTIF('Lớp 5 - Phân công'!$J$14:$J$262,'Lớp 4 - Danh mục'!$I$14:$I$132)=0),0),0),T186+MATCH(1,INDEX((INDEX('Lớp 4 - Danh mục'!$I$14:$I$132,T186+1):'Lớp 4 - Danh mục'!$I$132&lt;&gt;"")*(COUNTIF('Lớp 5 - Phân công'!$J$14:$J$262,INDEX('Lớp 4 - Danh mục'!$I$14:$I$132,T186+1):'Lớp 4 - Danh mục'!$I$132)=0),0),0)),IF(S186&lt;&gt;"Lớp 3",MATCH(1,INDEX(('Lớp 3 - Công việc chính'!$I$14:$I$73&lt;&gt;"")*(COUNTIF('Lớp 4 - Danh mục'!$J$14:$J$132,'Lớp 3 - Công việc chính'!$I$14:$I$73)=0),0),0),T186+MATCH(1,INDEX((INDEX('Lớp 3 - Công việc chính'!$I$14:$I$73,T186+1):'Lớp 3 - Công việc chính'!$I$73&lt;&gt;"")*(COUNTIF('Lớp 4 - Danh mục'!$J$14:$J$132,INDEX('Lớp 3 - Công việc chính'!$I$14:$I$73,T186+1):'Lớp 3 - Công việc chính'!$I$73)=0),0),0)))))</f>
        <v>#REF!</v>
      </c>
      <c r="Z187" s="700" t="str">
        <f t="array" ref="Z187">IF($S187="","",IF($S187="Lớp 5",INDEX('Lớp 5 - Phân công'!$AS$14:$AS$262,$T187),IF($S187="Lớp 4",INDEX('Lớp 4 - Danh mục'!$AR$14:$AR$132,$T187),INDEX('Lớp 3 - Công việc chính'!$AO$14:$AO$73,$T187))))</f>
        <v>#REF!</v>
      </c>
      <c r="AA187" s="701" t="str">
        <f t="array" ref="AA187">IF($S187="","",IF($S187="Lớp 5",INDEX('Lớp 5 - Phân công'!$AT$14:$AT$262,$T187),IF($S187="Lớp 4",INDEX('Lớp 4 - Danh mục'!$AS$14:$AS$132,$T187),INDEX('Lớp 3 - Công việc chính'!$AP$14:$AP$73,$T187))))</f>
        <v>#REF!</v>
      </c>
      <c r="AB187" s="701" t="str">
        <f t="array" ref="AB187">IF($S187="","",IF($S187="Lớp 5",INDEX('Lớp 5 - Phân công'!$AJ$14:$AJ$262,$T187),IF($S187="Lớp 4",INDEX('Lớp 4 - Danh mục'!$AI$14:$AI$132,$T187),INDEX('Lớp 3 - Công việc chính'!$AF$14:$AF$73,$T187))))</f>
        <v>#REF!</v>
      </c>
      <c r="AC187" s="702" t="str">
        <f t="array" ref="AC187">IF($S187="","",IF($S187="Lớp 5",INDEX('Lớp 5 - Phân công'!$AV$14:$AV$262,$T187),IF($S187="Lớp 4",INDEX('Lớp 4 - Danh mục'!$AU$14:$AU$132,$T187),INDEX('Lớp 3 - Công việc chính'!$AR$14:$AR$73,$T187))))</f>
        <v>#REF!</v>
      </c>
    </row>
    <row r="188" ht="15.75" customHeight="1">
      <c r="A188" s="690" t="str">
        <f t="shared" si="1"/>
        <v>#REF!</v>
      </c>
      <c r="B188" s="690" t="str">
        <f t="array" ref="B188">IF($S188="","",IF($S188="Lớp 5",INDEX('Lớp 5 - Phân công'!$I$14:$I$262,$T188),IF($S188="Lớp 4",INDEX('Lớp 4 - Danh mục'!$I$14:$I$132,$T188),INDEX('Lớp 3 - Công việc chính'!$I$14:$I$73,$T188))))</f>
        <v>#REF!</v>
      </c>
      <c r="C188" s="690" t="str">
        <f t="array" ref="C188">IF($S188="","",IF($S188="Lớp 5",INDEX('Lớp 5 - Phân công'!$K$14:$K$262,$T188),IF($S188="Lớp 4",INDEX('Lớp 4 - Danh mục'!$J$14:$J$132,$T188),INDEX('Lớp 3 - Công việc chính'!$I$14:$I$73,$T188))))</f>
        <v>#REF!</v>
      </c>
      <c r="D188" s="690" t="str">
        <f t="array" ref="D188">IF($S188="","",IF($S188="Lớp 5",INDEX('Lớp 5 - Phân công'!$J$14:$J$262,$T188),IF($S188="Lớp 4",INDEX('Lớp 4 - Danh mục'!$I$14:$I$132,$T188),"")))</f>
        <v>#REF!</v>
      </c>
      <c r="E188" s="690" t="str">
        <f t="array" ref="E188">IF($S188="","",IF($S188="Lớp 5",INDEX('Lớp 5 - Phân công'!$L$14:$L$262,$T188),IF($S188="Lớp 4",INDEX('Lớp 4 - Danh mục'!$K$14:$K$132,$T188),INDEX('Lớp 3 - Công việc chính'!$J$14:$J$73,$T188))))</f>
        <v>#REF!</v>
      </c>
      <c r="F188" s="690" t="str">
        <f t="array" ref="F188">IF($S188="","",IF($S188="Lớp 5",INDEX('Lớp 5 - Phân công'!$M$14:$M$262,$T188),IF($S188="Lớp 4",INDEX('Lớp 4 - Danh mục'!$L$14:$L$132,$T188),INDEX('Lớp 3 - Công việc chính'!$K$14:$K$73,$T188))))</f>
        <v>#REF!</v>
      </c>
      <c r="G188" s="691" t="str">
        <f t="array" ref="G188">IF($S188="","",IF($S188="Lớp 5",INDEX('Lớp 5 - Phân công'!$N$14:$N$262,$T188),IF($S188="Lớp 4",INDEX('Lớp 4 - Danh mục'!$M$14:$M$132,$T188),INDEX('Lớp 3 - Công việc chính'!$L$14:$L$73,$T188))))</f>
        <v>#REF!</v>
      </c>
      <c r="H188" s="692" t="str">
        <f t="array" ref="H188">IF($S188="","",IF($S188="Lớp 5",INDEX('Lớp 5 - Phân công'!$O$14:$O$262,$T188),IF($S188="Lớp 4",INDEX('Lớp 4 - Danh mục'!$N$14:$N$132,$T188),INDEX('Lớp 3 - Công việc chính'!$M$14:$M$73,$T188))))</f>
        <v>#REF!</v>
      </c>
      <c r="I188" s="692" t="str">
        <f t="array" ref="I188">IF($S188="","",IF($S188="Lớp 5",INDEX('Lớp 5 - Phân công'!$P$14:$P$262,$T188),IF($S188="Lớp 4",INDEX('Lớp 4 - Danh mục'!$O$14:$O$132,$T188),"")))</f>
        <v>#REF!</v>
      </c>
      <c r="J188" s="693" t="str">
        <f t="array" ref="J188">IF($S188="","",IF($S188="Lớp 5",INDEX('Lớp 5 - Phân công'!$Q$14:$Q$262,$T188),""))</f>
        <v>#REF!</v>
      </c>
      <c r="K188" s="690" t="str">
        <f t="array" ref="K188">IF($S188="","",IF($S188="Lớp 5",INDEX('Lớp 5 - Phân công'!$AA$14:$AA$262,$T188),IF($S188="Lớp 4",INDEX('Lớp 4 - Danh mục'!$Y$14:$Y$132,$T188),INDEX('Lớp 3 - Công việc chính'!$U$14:$U$73,$T188))))</f>
        <v>#REF!</v>
      </c>
      <c r="L188" s="691" t="str">
        <f t="array" ref="L188">IF($S188="","",IF($S188="Lớp 5",INDEX('Lớp 5 - Phân công'!$Z$14:$Z$262,$T188),IF($S188="Lớp 4",INDEX('Lớp 4 - Danh mục'!$X$14:$X$132,$T188),INDEX('Lớp 3 - Công việc chính'!$W$14:$W$73,$T188))))</f>
        <v>#REF!</v>
      </c>
      <c r="M188" s="694" t="str">
        <f t="array" ref="M188">IF($S188="","",IF($S188="Lớp 5",INDEX('Lớp 5 - Phân công'!$AD$14:$AD$262,$T188),IF($S188="Lớp 4",INDEX('Lớp 4 - Danh mục'!$AC$14:$AC$132,$T188),INDEX('Lớp 3 - Công việc chính'!$Z$14:$Z$73,$T188))))</f>
        <v>#REF!</v>
      </c>
      <c r="N188" s="695" t="str">
        <f t="array" ref="N188">IF($S188="","",IF($S188="Lớp 5",INDEX('Lớp 5 - Phân công'!$AE$14:$AE$262,$T188),IF($S188="Lớp 4",INDEX('Lớp 4 - Danh mục'!$AD$14:$AD$132,$T188),INDEX('Lớp 3 - Công việc chính'!$AA$14:$AA$73,$T188))))</f>
        <v>#REF!</v>
      </c>
      <c r="O188" s="690" t="str">
        <f t="array" ref="O188">IF($S188="","",IF($S188="Lớp 5",INDEX('Lớp 5 - Phân công'!$AB$14:$AB$262,$T188),IF($S188="Lớp 4",INDEX('Lớp 4 - Danh mục'!$AA$14:$AA$132,$T188),INDEX('Lớp 3 - Công việc chính'!$X$14:$X$73,$T188))))</f>
        <v>#REF!</v>
      </c>
      <c r="P188" s="703" t="str">
        <f t="array" ref="P188">IF($S188="","",IF($S188="Lớp 5",INDEX('Lớp 5 - Phân công'!$AC$14:$AC$262,$T188),IF($S188="Lớp 4",INDEX('Lớp 4 - Danh mục'!$AB$14:$AB$132,$T188),INDEX('Lớp 3 - Công việc chính'!$Y$14:$Y$73,$T188))))</f>
        <v>#REF!</v>
      </c>
      <c r="Q188" s="697" t="str">
        <f t="array" ref="Q188">IF($S188="","",IF($S188="Lớp 5",INDEX('Lớp 5 - Phân công'!$AG$14:$AG$262,$T188),IF($S188="Lớp 4",INDEX('Lớp 4 - Danh mục'!$AF$14:$AF$132,$T188),INDEX('Lớp 3 - Công việc chính'!$AC$14:$AC$73,$T188))))</f>
        <v>#REF!</v>
      </c>
      <c r="R188" s="698" t="str">
        <f t="array" ref="R188">IF($S188="","",IF($S188="Lớp 5",INDEX('Lớp 5 - Phân công'!$X$14:$X$262,$T188),IF($S188="Lớp 4",INDEX('Lớp 4 - Danh mục'!$V$14:$V$132,$T188),INDEX('Lớp 3 - Công việc chính'!$T$14:$T$73,$T188))))</f>
        <v>#REF!</v>
      </c>
      <c r="S188" s="699" t="str">
        <f>IF(ROWS($S$14:S188)&lt;=COUNTIF('Lớp 5 - Phân công'!$I$14:$I$262,"&lt;&gt;"),"Lớp 5",IF(ROWS($S$14:S188)&lt;=COUNTIF('Lớp 5 - Phân công'!$I$14:$I$262,"&lt;&gt;")+SUMPRODUCT(--('Lớp 4 - Danh mục'!$I$14:$I$132&lt;&gt;""),--(COUNTIF('Lớp 5 - Phân công'!$J$14:$J$262,'Lớp 4 - Danh mục'!$I$14:$I$132)=0)),"Lớp 4",IF(ROWS($S$14:S188)&lt;=COUNTIF('Lớp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8" s="699" t="str">
        <f t="array" ref="T188">IF(S188="","",IF(S188="Lớp 5",IF(S187&lt;&gt;"Lớp 5",MATCH("*",'Lớp 5 - Phân công'!$I$14:$I$262,0),T187+MATCH("*",INDEX('Lớp 5 - Phân công'!$I$14:$I$262,T187+1):'Lớp 5 - Phân công'!$I$262,0)),IF(S188="Lớp 4",IF(S187&lt;&gt;"Lớp 4",MATCH(1,INDEX(('Lớp 4 - Danh mục'!$I$14:$I$132&lt;&gt;"")*(COUNTIF('Lớp 5 - Phân công'!$J$14:$J$262,'Lớp 4 - Danh mục'!$I$14:$I$132)=0),0),0),T187+MATCH(1,INDEX((INDEX('Lớp 4 - Danh mục'!$I$14:$I$132,T187+1):'Lớp 4 - Danh mục'!$I$132&lt;&gt;"")*(COUNTIF('Lớp 5 - Phân công'!$J$14:$J$262,INDEX('Lớp 4 - Danh mục'!$I$14:$I$132,T187+1):'Lớp 4 - Danh mục'!$I$132)=0),0),0)),IF(S187&lt;&gt;"Lớp 3",MATCH(1,INDEX(('Lớp 3 - Công việc chính'!$I$14:$I$73&lt;&gt;"")*(COUNTIF('Lớp 4 - Danh mục'!$J$14:$J$132,'Lớp 3 - Công việc chính'!$I$14:$I$73)=0),0),0),T187+MATCH(1,INDEX((INDEX('Lớp 3 - Công việc chính'!$I$14:$I$73,T187+1):'Lớp 3 - Công việc chính'!$I$73&lt;&gt;"")*(COUNTIF('Lớp 4 - Danh mục'!$J$14:$J$132,INDEX('Lớp 3 - Công việc chính'!$I$14:$I$73,T187+1):'Lớp 3 - Công việc chính'!$I$73)=0),0),0)))))</f>
        <v>#REF!</v>
      </c>
      <c r="Z188" s="700" t="str">
        <f t="array" ref="Z188">IF($S188="","",IF($S188="Lớp 5",INDEX('Lớp 5 - Phân công'!$AS$14:$AS$262,$T188),IF($S188="Lớp 4",INDEX('Lớp 4 - Danh mục'!$AR$14:$AR$132,$T188),INDEX('Lớp 3 - Công việc chính'!$AO$14:$AO$73,$T188))))</f>
        <v>#REF!</v>
      </c>
      <c r="AA188" s="701" t="str">
        <f t="array" ref="AA188">IF($S188="","",IF($S188="Lớp 5",INDEX('Lớp 5 - Phân công'!$AT$14:$AT$262,$T188),IF($S188="Lớp 4",INDEX('Lớp 4 - Danh mục'!$AS$14:$AS$132,$T188),INDEX('Lớp 3 - Công việc chính'!$AP$14:$AP$73,$T188))))</f>
        <v>#REF!</v>
      </c>
      <c r="AB188" s="701" t="str">
        <f t="array" ref="AB188">IF($S188="","",IF($S188="Lớp 5",INDEX('Lớp 5 - Phân công'!$AJ$14:$AJ$262,$T188),IF($S188="Lớp 4",INDEX('Lớp 4 - Danh mục'!$AI$14:$AI$132,$T188),INDEX('Lớp 3 - Công việc chính'!$AF$14:$AF$73,$T188))))</f>
        <v>#REF!</v>
      </c>
      <c r="AC188" s="702" t="str">
        <f t="array" ref="AC188">IF($S188="","",IF($S188="Lớp 5",INDEX('Lớp 5 - Phân công'!$AV$14:$AV$262,$T188),IF($S188="Lớp 4",INDEX('Lớp 4 - Danh mục'!$AU$14:$AU$132,$T188),INDEX('Lớp 3 - Công việc chính'!$AR$14:$AR$73,$T188))))</f>
        <v>#REF!</v>
      </c>
    </row>
    <row r="189" ht="15.75" customHeight="1">
      <c r="A189" s="690" t="str">
        <f t="shared" si="1"/>
        <v>#REF!</v>
      </c>
      <c r="B189" s="690" t="str">
        <f t="array" ref="B189">IF($S189="","",IF($S189="Lớp 5",INDEX('Lớp 5 - Phân công'!$I$14:$I$262,$T189),IF($S189="Lớp 4",INDEX('Lớp 4 - Danh mục'!$I$14:$I$132,$T189),INDEX('Lớp 3 - Công việc chính'!$I$14:$I$73,$T189))))</f>
        <v>#REF!</v>
      </c>
      <c r="C189" s="690" t="str">
        <f t="array" ref="C189">IF($S189="","",IF($S189="Lớp 5",INDEX('Lớp 5 - Phân công'!$K$14:$K$262,$T189),IF($S189="Lớp 4",INDEX('Lớp 4 - Danh mục'!$J$14:$J$132,$T189),INDEX('Lớp 3 - Công việc chính'!$I$14:$I$73,$T189))))</f>
        <v>#REF!</v>
      </c>
      <c r="D189" s="690" t="str">
        <f t="array" ref="D189">IF($S189="","",IF($S189="Lớp 5",INDEX('Lớp 5 - Phân công'!$J$14:$J$262,$T189),IF($S189="Lớp 4",INDEX('Lớp 4 - Danh mục'!$I$14:$I$132,$T189),"")))</f>
        <v>#REF!</v>
      </c>
      <c r="E189" s="690" t="str">
        <f t="array" ref="E189">IF($S189="","",IF($S189="Lớp 5",INDEX('Lớp 5 - Phân công'!$L$14:$L$262,$T189),IF($S189="Lớp 4",INDEX('Lớp 4 - Danh mục'!$K$14:$K$132,$T189),INDEX('Lớp 3 - Công việc chính'!$J$14:$J$73,$T189))))</f>
        <v>#REF!</v>
      </c>
      <c r="F189" s="690" t="str">
        <f t="array" ref="F189">IF($S189="","",IF($S189="Lớp 5",INDEX('Lớp 5 - Phân công'!$M$14:$M$262,$T189),IF($S189="Lớp 4",INDEX('Lớp 4 - Danh mục'!$L$14:$L$132,$T189),INDEX('Lớp 3 - Công việc chính'!$K$14:$K$73,$T189))))</f>
        <v>#REF!</v>
      </c>
      <c r="G189" s="691" t="str">
        <f t="array" ref="G189">IF($S189="","",IF($S189="Lớp 5",INDEX('Lớp 5 - Phân công'!$N$14:$N$262,$T189),IF($S189="Lớp 4",INDEX('Lớp 4 - Danh mục'!$M$14:$M$132,$T189),INDEX('Lớp 3 - Công việc chính'!$L$14:$L$73,$T189))))</f>
        <v>#REF!</v>
      </c>
      <c r="H189" s="692" t="str">
        <f t="array" ref="H189">IF($S189="","",IF($S189="Lớp 5",INDEX('Lớp 5 - Phân công'!$O$14:$O$262,$T189),IF($S189="Lớp 4",INDEX('Lớp 4 - Danh mục'!$N$14:$N$132,$T189),INDEX('Lớp 3 - Công việc chính'!$M$14:$M$73,$T189))))</f>
        <v>#REF!</v>
      </c>
      <c r="I189" s="692" t="str">
        <f t="array" ref="I189">IF($S189="","",IF($S189="Lớp 5",INDEX('Lớp 5 - Phân công'!$P$14:$P$262,$T189),IF($S189="Lớp 4",INDEX('Lớp 4 - Danh mục'!$O$14:$O$132,$T189),"")))</f>
        <v>#REF!</v>
      </c>
      <c r="J189" s="693" t="str">
        <f t="array" ref="J189">IF($S189="","",IF($S189="Lớp 5",INDEX('Lớp 5 - Phân công'!$Q$14:$Q$262,$T189),""))</f>
        <v>#REF!</v>
      </c>
      <c r="K189" s="690" t="str">
        <f t="array" ref="K189">IF($S189="","",IF($S189="Lớp 5",INDEX('Lớp 5 - Phân công'!$AA$14:$AA$262,$T189),IF($S189="Lớp 4",INDEX('Lớp 4 - Danh mục'!$Y$14:$Y$132,$T189),INDEX('Lớp 3 - Công việc chính'!$U$14:$U$73,$T189))))</f>
        <v>#REF!</v>
      </c>
      <c r="L189" s="691" t="str">
        <f t="array" ref="L189">IF($S189="","",IF($S189="Lớp 5",INDEX('Lớp 5 - Phân công'!$Z$14:$Z$262,$T189),IF($S189="Lớp 4",INDEX('Lớp 4 - Danh mục'!$X$14:$X$132,$T189),INDEX('Lớp 3 - Công việc chính'!$W$14:$W$73,$T189))))</f>
        <v>#REF!</v>
      </c>
      <c r="M189" s="694" t="str">
        <f t="array" ref="M189">IF($S189="","",IF($S189="Lớp 5",INDEX('Lớp 5 - Phân công'!$AD$14:$AD$262,$T189),IF($S189="Lớp 4",INDEX('Lớp 4 - Danh mục'!$AC$14:$AC$132,$T189),INDEX('Lớp 3 - Công việc chính'!$Z$14:$Z$73,$T189))))</f>
        <v>#REF!</v>
      </c>
      <c r="N189" s="695" t="str">
        <f t="array" ref="N189">IF($S189="","",IF($S189="Lớp 5",INDEX('Lớp 5 - Phân công'!$AE$14:$AE$262,$T189),IF($S189="Lớp 4",INDEX('Lớp 4 - Danh mục'!$AD$14:$AD$132,$T189),INDEX('Lớp 3 - Công việc chính'!$AA$14:$AA$73,$T189))))</f>
        <v>#REF!</v>
      </c>
      <c r="O189" s="690" t="str">
        <f t="array" ref="O189">IF($S189="","",IF($S189="Lớp 5",INDEX('Lớp 5 - Phân công'!$AB$14:$AB$262,$T189),IF($S189="Lớp 4",INDEX('Lớp 4 - Danh mục'!$AA$14:$AA$132,$T189),INDEX('Lớp 3 - Công việc chính'!$X$14:$X$73,$T189))))</f>
        <v>#REF!</v>
      </c>
      <c r="P189" s="703" t="str">
        <f t="array" ref="P189">IF($S189="","",IF($S189="Lớp 5",INDEX('Lớp 5 - Phân công'!$AC$14:$AC$262,$T189),IF($S189="Lớp 4",INDEX('Lớp 4 - Danh mục'!$AB$14:$AB$132,$T189),INDEX('Lớp 3 - Công việc chính'!$Y$14:$Y$73,$T189))))</f>
        <v>#REF!</v>
      </c>
      <c r="Q189" s="697" t="str">
        <f t="array" ref="Q189">IF($S189="","",IF($S189="Lớp 5",INDEX('Lớp 5 - Phân công'!$AG$14:$AG$262,$T189),IF($S189="Lớp 4",INDEX('Lớp 4 - Danh mục'!$AF$14:$AF$132,$T189),INDEX('Lớp 3 - Công việc chính'!$AC$14:$AC$73,$T189))))</f>
        <v>#REF!</v>
      </c>
      <c r="R189" s="698" t="str">
        <f t="array" ref="R189">IF($S189="","",IF($S189="Lớp 5",INDEX('Lớp 5 - Phân công'!$X$14:$X$262,$T189),IF($S189="Lớp 4",INDEX('Lớp 4 - Danh mục'!$V$14:$V$132,$T189),INDEX('Lớp 3 - Công việc chính'!$T$14:$T$73,$T189))))</f>
        <v>#REF!</v>
      </c>
      <c r="S189" s="699" t="str">
        <f>IF(ROWS($S$14:S189)&lt;=COUNTIF('Lớp 5 - Phân công'!$I$14:$I$262,"&lt;&gt;"),"Lớp 5",IF(ROWS($S$14:S189)&lt;=COUNTIF('Lớp 5 - Phân công'!$I$14:$I$262,"&lt;&gt;")+SUMPRODUCT(--('Lớp 4 - Danh mục'!$I$14:$I$132&lt;&gt;""),--(COUNTIF('Lớp 5 - Phân công'!$J$14:$J$262,'Lớp 4 - Danh mục'!$I$14:$I$132)=0)),"Lớp 4",IF(ROWS($S$14:S189)&lt;=COUNTIF('Lớp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89" s="699" t="str">
        <f t="array" ref="T189">IF(S189="","",IF(S189="Lớp 5",IF(S188&lt;&gt;"Lớp 5",MATCH("*",'Lớp 5 - Phân công'!$I$14:$I$262,0),T188+MATCH("*",INDEX('Lớp 5 - Phân công'!$I$14:$I$262,T188+1):'Lớp 5 - Phân công'!$I$262,0)),IF(S189="Lớp 4",IF(S188&lt;&gt;"Lớp 4",MATCH(1,INDEX(('Lớp 4 - Danh mục'!$I$14:$I$132&lt;&gt;"")*(COUNTIF('Lớp 5 - Phân công'!$J$14:$J$262,'Lớp 4 - Danh mục'!$I$14:$I$132)=0),0),0),T188+MATCH(1,INDEX((INDEX('Lớp 4 - Danh mục'!$I$14:$I$132,T188+1):'Lớp 4 - Danh mục'!$I$132&lt;&gt;"")*(COUNTIF('Lớp 5 - Phân công'!$J$14:$J$262,INDEX('Lớp 4 - Danh mục'!$I$14:$I$132,T188+1):'Lớp 4 - Danh mục'!$I$132)=0),0),0)),IF(S188&lt;&gt;"Lớp 3",MATCH(1,INDEX(('Lớp 3 - Công việc chính'!$I$14:$I$73&lt;&gt;"")*(COUNTIF('Lớp 4 - Danh mục'!$J$14:$J$132,'Lớp 3 - Công việc chính'!$I$14:$I$73)=0),0),0),T188+MATCH(1,INDEX((INDEX('Lớp 3 - Công việc chính'!$I$14:$I$73,T188+1):'Lớp 3 - Công việc chính'!$I$73&lt;&gt;"")*(COUNTIF('Lớp 4 - Danh mục'!$J$14:$J$132,INDEX('Lớp 3 - Công việc chính'!$I$14:$I$73,T188+1):'Lớp 3 - Công việc chính'!$I$73)=0),0),0)))))</f>
        <v>#REF!</v>
      </c>
      <c r="Z189" s="700" t="str">
        <f t="array" ref="Z189">IF($S189="","",IF($S189="Lớp 5",INDEX('Lớp 5 - Phân công'!$AS$14:$AS$262,$T189),IF($S189="Lớp 4",INDEX('Lớp 4 - Danh mục'!$AR$14:$AR$132,$T189),INDEX('Lớp 3 - Công việc chính'!$AO$14:$AO$73,$T189))))</f>
        <v>#REF!</v>
      </c>
      <c r="AA189" s="701" t="str">
        <f t="array" ref="AA189">IF($S189="","",IF($S189="Lớp 5",INDEX('Lớp 5 - Phân công'!$AT$14:$AT$262,$T189),IF($S189="Lớp 4",INDEX('Lớp 4 - Danh mục'!$AS$14:$AS$132,$T189),INDEX('Lớp 3 - Công việc chính'!$AP$14:$AP$73,$T189))))</f>
        <v>#REF!</v>
      </c>
      <c r="AB189" s="701" t="str">
        <f t="array" ref="AB189">IF($S189="","",IF($S189="Lớp 5",INDEX('Lớp 5 - Phân công'!$AJ$14:$AJ$262,$T189),IF($S189="Lớp 4",INDEX('Lớp 4 - Danh mục'!$AI$14:$AI$132,$T189),INDEX('Lớp 3 - Công việc chính'!$AF$14:$AF$73,$T189))))</f>
        <v>#REF!</v>
      </c>
      <c r="AC189" s="702" t="str">
        <f t="array" ref="AC189">IF($S189="","",IF($S189="Lớp 5",INDEX('Lớp 5 - Phân công'!$AV$14:$AV$262,$T189),IF($S189="Lớp 4",INDEX('Lớp 4 - Danh mục'!$AU$14:$AU$132,$T189),INDEX('Lớp 3 - Công việc chính'!$AR$14:$AR$73,$T189))))</f>
        <v>#REF!</v>
      </c>
    </row>
    <row r="190" ht="15.75" customHeight="1">
      <c r="A190" s="690" t="str">
        <f t="shared" si="1"/>
        <v>#REF!</v>
      </c>
      <c r="B190" s="690" t="str">
        <f t="array" ref="B190">IF($S190="","",IF($S190="Lớp 5",INDEX('Lớp 5 - Phân công'!$I$14:$I$262,$T190),IF($S190="Lớp 4",INDEX('Lớp 4 - Danh mục'!$I$14:$I$132,$T190),INDEX('Lớp 3 - Công việc chính'!$I$14:$I$73,$T190))))</f>
        <v>#REF!</v>
      </c>
      <c r="C190" s="690" t="str">
        <f t="array" ref="C190">IF($S190="","",IF($S190="Lớp 5",INDEX('Lớp 5 - Phân công'!$K$14:$K$262,$T190),IF($S190="Lớp 4",INDEX('Lớp 4 - Danh mục'!$J$14:$J$132,$T190),INDEX('Lớp 3 - Công việc chính'!$I$14:$I$73,$T190))))</f>
        <v>#REF!</v>
      </c>
      <c r="D190" s="690" t="str">
        <f t="array" ref="D190">IF($S190="","",IF($S190="Lớp 5",INDEX('Lớp 5 - Phân công'!$J$14:$J$262,$T190),IF($S190="Lớp 4",INDEX('Lớp 4 - Danh mục'!$I$14:$I$132,$T190),"")))</f>
        <v>#REF!</v>
      </c>
      <c r="E190" s="690" t="str">
        <f t="array" ref="E190">IF($S190="","",IF($S190="Lớp 5",INDEX('Lớp 5 - Phân công'!$L$14:$L$262,$T190),IF($S190="Lớp 4",INDEX('Lớp 4 - Danh mục'!$K$14:$K$132,$T190),INDEX('Lớp 3 - Công việc chính'!$J$14:$J$73,$T190))))</f>
        <v>#REF!</v>
      </c>
      <c r="F190" s="690" t="str">
        <f t="array" ref="F190">IF($S190="","",IF($S190="Lớp 5",INDEX('Lớp 5 - Phân công'!$M$14:$M$262,$T190),IF($S190="Lớp 4",INDEX('Lớp 4 - Danh mục'!$L$14:$L$132,$T190),INDEX('Lớp 3 - Công việc chính'!$K$14:$K$73,$T190))))</f>
        <v>#REF!</v>
      </c>
      <c r="G190" s="691" t="str">
        <f t="array" ref="G190">IF($S190="","",IF($S190="Lớp 5",INDEX('Lớp 5 - Phân công'!$N$14:$N$262,$T190),IF($S190="Lớp 4",INDEX('Lớp 4 - Danh mục'!$M$14:$M$132,$T190),INDEX('Lớp 3 - Công việc chính'!$L$14:$L$73,$T190))))</f>
        <v>#REF!</v>
      </c>
      <c r="H190" s="692" t="str">
        <f t="array" ref="H190">IF($S190="","",IF($S190="Lớp 5",INDEX('Lớp 5 - Phân công'!$O$14:$O$262,$T190),IF($S190="Lớp 4",INDEX('Lớp 4 - Danh mục'!$N$14:$N$132,$T190),INDEX('Lớp 3 - Công việc chính'!$M$14:$M$73,$T190))))</f>
        <v>#REF!</v>
      </c>
      <c r="I190" s="692" t="str">
        <f t="array" ref="I190">IF($S190="","",IF($S190="Lớp 5",INDEX('Lớp 5 - Phân công'!$P$14:$P$262,$T190),IF($S190="Lớp 4",INDEX('Lớp 4 - Danh mục'!$O$14:$O$132,$T190),"")))</f>
        <v>#REF!</v>
      </c>
      <c r="J190" s="693" t="str">
        <f t="array" ref="J190">IF($S190="","",IF($S190="Lớp 5",INDEX('Lớp 5 - Phân công'!$Q$14:$Q$262,$T190),""))</f>
        <v>#REF!</v>
      </c>
      <c r="K190" s="690" t="str">
        <f t="array" ref="K190">IF($S190="","",IF($S190="Lớp 5",INDEX('Lớp 5 - Phân công'!$AA$14:$AA$262,$T190),IF($S190="Lớp 4",INDEX('Lớp 4 - Danh mục'!$Y$14:$Y$132,$T190),INDEX('Lớp 3 - Công việc chính'!$U$14:$U$73,$T190))))</f>
        <v>#REF!</v>
      </c>
      <c r="L190" s="691" t="str">
        <f t="array" ref="L190">IF($S190="","",IF($S190="Lớp 5",INDEX('Lớp 5 - Phân công'!$Z$14:$Z$262,$T190),IF($S190="Lớp 4",INDEX('Lớp 4 - Danh mục'!$X$14:$X$132,$T190),INDEX('Lớp 3 - Công việc chính'!$W$14:$W$73,$T190))))</f>
        <v>#REF!</v>
      </c>
      <c r="M190" s="694" t="str">
        <f t="array" ref="M190">IF($S190="","",IF($S190="Lớp 5",INDEX('Lớp 5 - Phân công'!$AD$14:$AD$262,$T190),IF($S190="Lớp 4",INDEX('Lớp 4 - Danh mục'!$AC$14:$AC$132,$T190),INDEX('Lớp 3 - Công việc chính'!$Z$14:$Z$73,$T190))))</f>
        <v>#REF!</v>
      </c>
      <c r="N190" s="695" t="str">
        <f t="array" ref="N190">IF($S190="","",IF($S190="Lớp 5",INDEX('Lớp 5 - Phân công'!$AE$14:$AE$262,$T190),IF($S190="Lớp 4",INDEX('Lớp 4 - Danh mục'!$AD$14:$AD$132,$T190),INDEX('Lớp 3 - Công việc chính'!$AA$14:$AA$73,$T190))))</f>
        <v>#REF!</v>
      </c>
      <c r="O190" s="690" t="str">
        <f t="array" ref="O190">IF($S190="","",IF($S190="Lớp 5",INDEX('Lớp 5 - Phân công'!$AB$14:$AB$262,$T190),IF($S190="Lớp 4",INDEX('Lớp 4 - Danh mục'!$AA$14:$AA$132,$T190),INDEX('Lớp 3 - Công việc chính'!$X$14:$X$73,$T190))))</f>
        <v>#REF!</v>
      </c>
      <c r="P190" s="703" t="str">
        <f t="array" ref="P190">IF($S190="","",IF($S190="Lớp 5",INDEX('Lớp 5 - Phân công'!$AC$14:$AC$262,$T190),IF($S190="Lớp 4",INDEX('Lớp 4 - Danh mục'!$AB$14:$AB$132,$T190),INDEX('Lớp 3 - Công việc chính'!$Y$14:$Y$73,$T190))))</f>
        <v>#REF!</v>
      </c>
      <c r="Q190" s="697" t="str">
        <f t="array" ref="Q190">IF($S190="","",IF($S190="Lớp 5",INDEX('Lớp 5 - Phân công'!$AG$14:$AG$262,$T190),IF($S190="Lớp 4",INDEX('Lớp 4 - Danh mục'!$AF$14:$AF$132,$T190),INDEX('Lớp 3 - Công việc chính'!$AC$14:$AC$73,$T190))))</f>
        <v>#REF!</v>
      </c>
      <c r="R190" s="698" t="str">
        <f t="array" ref="R190">IF($S190="","",IF($S190="Lớp 5",INDEX('Lớp 5 - Phân công'!$X$14:$X$262,$T190),IF($S190="Lớp 4",INDEX('Lớp 4 - Danh mục'!$V$14:$V$132,$T190),INDEX('Lớp 3 - Công việc chính'!$T$14:$T$73,$T190))))</f>
        <v>#REF!</v>
      </c>
      <c r="S190" s="699" t="str">
        <f>IF(ROWS($S$14:S190)&lt;=COUNTIF('Lớp 5 - Phân công'!$I$14:$I$262,"&lt;&gt;"),"Lớp 5",IF(ROWS($S$14:S190)&lt;=COUNTIF('Lớp 5 - Phân công'!$I$14:$I$262,"&lt;&gt;")+SUMPRODUCT(--('Lớp 4 - Danh mục'!$I$14:$I$132&lt;&gt;""),--(COUNTIF('Lớp 5 - Phân công'!$J$14:$J$262,'Lớp 4 - Danh mục'!$I$14:$I$132)=0)),"Lớp 4",IF(ROWS($S$14:S190)&lt;=COUNTIF('Lớp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0" s="699" t="str">
        <f t="array" ref="T190">IF(S190="","",IF(S190="Lớp 5",IF(S189&lt;&gt;"Lớp 5",MATCH("*",'Lớp 5 - Phân công'!$I$14:$I$262,0),T189+MATCH("*",INDEX('Lớp 5 - Phân công'!$I$14:$I$262,T189+1):'Lớp 5 - Phân công'!$I$262,0)),IF(S190="Lớp 4",IF(S189&lt;&gt;"Lớp 4",MATCH(1,INDEX(('Lớp 4 - Danh mục'!$I$14:$I$132&lt;&gt;"")*(COUNTIF('Lớp 5 - Phân công'!$J$14:$J$262,'Lớp 4 - Danh mục'!$I$14:$I$132)=0),0),0),T189+MATCH(1,INDEX((INDEX('Lớp 4 - Danh mục'!$I$14:$I$132,T189+1):'Lớp 4 - Danh mục'!$I$132&lt;&gt;"")*(COUNTIF('Lớp 5 - Phân công'!$J$14:$J$262,INDEX('Lớp 4 - Danh mục'!$I$14:$I$132,T189+1):'Lớp 4 - Danh mục'!$I$132)=0),0),0)),IF(S189&lt;&gt;"Lớp 3",MATCH(1,INDEX(('Lớp 3 - Công việc chính'!$I$14:$I$73&lt;&gt;"")*(COUNTIF('Lớp 4 - Danh mục'!$J$14:$J$132,'Lớp 3 - Công việc chính'!$I$14:$I$73)=0),0),0),T189+MATCH(1,INDEX((INDEX('Lớp 3 - Công việc chính'!$I$14:$I$73,T189+1):'Lớp 3 - Công việc chính'!$I$73&lt;&gt;"")*(COUNTIF('Lớp 4 - Danh mục'!$J$14:$J$132,INDEX('Lớp 3 - Công việc chính'!$I$14:$I$73,T189+1):'Lớp 3 - Công việc chính'!$I$73)=0),0),0)))))</f>
        <v>#REF!</v>
      </c>
      <c r="Z190" s="700" t="str">
        <f t="array" ref="Z190">IF($S190="","",IF($S190="Lớp 5",INDEX('Lớp 5 - Phân công'!$AS$14:$AS$262,$T190),IF($S190="Lớp 4",INDEX('Lớp 4 - Danh mục'!$AR$14:$AR$132,$T190),INDEX('Lớp 3 - Công việc chính'!$AO$14:$AO$73,$T190))))</f>
        <v>#REF!</v>
      </c>
      <c r="AA190" s="701" t="str">
        <f t="array" ref="AA190">IF($S190="","",IF($S190="Lớp 5",INDEX('Lớp 5 - Phân công'!$AT$14:$AT$262,$T190),IF($S190="Lớp 4",INDEX('Lớp 4 - Danh mục'!$AS$14:$AS$132,$T190),INDEX('Lớp 3 - Công việc chính'!$AP$14:$AP$73,$T190))))</f>
        <v>#REF!</v>
      </c>
      <c r="AB190" s="701" t="str">
        <f t="array" ref="AB190">IF($S190="","",IF($S190="Lớp 5",INDEX('Lớp 5 - Phân công'!$AJ$14:$AJ$262,$T190),IF($S190="Lớp 4",INDEX('Lớp 4 - Danh mục'!$AI$14:$AI$132,$T190),INDEX('Lớp 3 - Công việc chính'!$AF$14:$AF$73,$T190))))</f>
        <v>#REF!</v>
      </c>
      <c r="AC190" s="702" t="str">
        <f t="array" ref="AC190">IF($S190="","",IF($S190="Lớp 5",INDEX('Lớp 5 - Phân công'!$AV$14:$AV$262,$T190),IF($S190="Lớp 4",INDEX('Lớp 4 - Danh mục'!$AU$14:$AU$132,$T190),INDEX('Lớp 3 - Công việc chính'!$AR$14:$AR$73,$T190))))</f>
        <v>#REF!</v>
      </c>
    </row>
    <row r="191" ht="15.75" customHeight="1">
      <c r="A191" s="690" t="str">
        <f t="shared" si="1"/>
        <v>#REF!</v>
      </c>
      <c r="B191" s="690" t="str">
        <f t="array" ref="B191">IF($S191="","",IF($S191="Lớp 5",INDEX('Lớp 5 - Phân công'!$I$14:$I$262,$T191),IF($S191="Lớp 4",INDEX('Lớp 4 - Danh mục'!$I$14:$I$132,$T191),INDEX('Lớp 3 - Công việc chính'!$I$14:$I$73,$T191))))</f>
        <v>#REF!</v>
      </c>
      <c r="C191" s="690" t="str">
        <f t="array" ref="C191">IF($S191="","",IF($S191="Lớp 5",INDEX('Lớp 5 - Phân công'!$K$14:$K$262,$T191),IF($S191="Lớp 4",INDEX('Lớp 4 - Danh mục'!$J$14:$J$132,$T191),INDEX('Lớp 3 - Công việc chính'!$I$14:$I$73,$T191))))</f>
        <v>#REF!</v>
      </c>
      <c r="D191" s="690" t="str">
        <f t="array" ref="D191">IF($S191="","",IF($S191="Lớp 5",INDEX('Lớp 5 - Phân công'!$J$14:$J$262,$T191),IF($S191="Lớp 4",INDEX('Lớp 4 - Danh mục'!$I$14:$I$132,$T191),"")))</f>
        <v>#REF!</v>
      </c>
      <c r="E191" s="690" t="str">
        <f t="array" ref="E191">IF($S191="","",IF($S191="Lớp 5",INDEX('Lớp 5 - Phân công'!$L$14:$L$262,$T191),IF($S191="Lớp 4",INDEX('Lớp 4 - Danh mục'!$K$14:$K$132,$T191),INDEX('Lớp 3 - Công việc chính'!$J$14:$J$73,$T191))))</f>
        <v>#REF!</v>
      </c>
      <c r="F191" s="690" t="str">
        <f t="array" ref="F191">IF($S191="","",IF($S191="Lớp 5",INDEX('Lớp 5 - Phân công'!$M$14:$M$262,$T191),IF($S191="Lớp 4",INDEX('Lớp 4 - Danh mục'!$L$14:$L$132,$T191),INDEX('Lớp 3 - Công việc chính'!$K$14:$K$73,$T191))))</f>
        <v>#REF!</v>
      </c>
      <c r="G191" s="691" t="str">
        <f t="array" ref="G191">IF($S191="","",IF($S191="Lớp 5",INDEX('Lớp 5 - Phân công'!$N$14:$N$262,$T191),IF($S191="Lớp 4",INDEX('Lớp 4 - Danh mục'!$M$14:$M$132,$T191),INDEX('Lớp 3 - Công việc chính'!$L$14:$L$73,$T191))))</f>
        <v>#REF!</v>
      </c>
      <c r="H191" s="692" t="str">
        <f t="array" ref="H191">IF($S191="","",IF($S191="Lớp 5",INDEX('Lớp 5 - Phân công'!$O$14:$O$262,$T191),IF($S191="Lớp 4",INDEX('Lớp 4 - Danh mục'!$N$14:$N$132,$T191),INDEX('Lớp 3 - Công việc chính'!$M$14:$M$73,$T191))))</f>
        <v>#REF!</v>
      </c>
      <c r="I191" s="692" t="str">
        <f t="array" ref="I191">IF($S191="","",IF($S191="Lớp 5",INDEX('Lớp 5 - Phân công'!$P$14:$P$262,$T191),IF($S191="Lớp 4",INDEX('Lớp 4 - Danh mục'!$O$14:$O$132,$T191),"")))</f>
        <v>#REF!</v>
      </c>
      <c r="J191" s="693" t="str">
        <f t="array" ref="J191">IF($S191="","",IF($S191="Lớp 5",INDEX('Lớp 5 - Phân công'!$Q$14:$Q$262,$T191),""))</f>
        <v>#REF!</v>
      </c>
      <c r="K191" s="690" t="str">
        <f t="array" ref="K191">IF($S191="","",IF($S191="Lớp 5",INDEX('Lớp 5 - Phân công'!$AA$14:$AA$262,$T191),IF($S191="Lớp 4",INDEX('Lớp 4 - Danh mục'!$Y$14:$Y$132,$T191),INDEX('Lớp 3 - Công việc chính'!$U$14:$U$73,$T191))))</f>
        <v>#REF!</v>
      </c>
      <c r="L191" s="691" t="str">
        <f t="array" ref="L191">IF($S191="","",IF($S191="Lớp 5",INDEX('Lớp 5 - Phân công'!$Z$14:$Z$262,$T191),IF($S191="Lớp 4",INDEX('Lớp 4 - Danh mục'!$X$14:$X$132,$T191),INDEX('Lớp 3 - Công việc chính'!$W$14:$W$73,$T191))))</f>
        <v>#REF!</v>
      </c>
      <c r="M191" s="694" t="str">
        <f t="array" ref="M191">IF($S191="","",IF($S191="Lớp 5",INDEX('Lớp 5 - Phân công'!$AD$14:$AD$262,$T191),IF($S191="Lớp 4",INDEX('Lớp 4 - Danh mục'!$AC$14:$AC$132,$T191),INDEX('Lớp 3 - Công việc chính'!$Z$14:$Z$73,$T191))))</f>
        <v>#REF!</v>
      </c>
      <c r="N191" s="695" t="str">
        <f t="array" ref="N191">IF($S191="","",IF($S191="Lớp 5",INDEX('Lớp 5 - Phân công'!$AE$14:$AE$262,$T191),IF($S191="Lớp 4",INDEX('Lớp 4 - Danh mục'!$AD$14:$AD$132,$T191),INDEX('Lớp 3 - Công việc chính'!$AA$14:$AA$73,$T191))))</f>
        <v>#REF!</v>
      </c>
      <c r="O191" s="690" t="str">
        <f t="array" ref="O191">IF($S191="","",IF($S191="Lớp 5",INDEX('Lớp 5 - Phân công'!$AB$14:$AB$262,$T191),IF($S191="Lớp 4",INDEX('Lớp 4 - Danh mục'!$AA$14:$AA$132,$T191),INDEX('Lớp 3 - Công việc chính'!$X$14:$X$73,$T191))))</f>
        <v>#REF!</v>
      </c>
      <c r="P191" s="703" t="str">
        <f t="array" ref="P191">IF($S191="","",IF($S191="Lớp 5",INDEX('Lớp 5 - Phân công'!$AC$14:$AC$262,$T191),IF($S191="Lớp 4",INDEX('Lớp 4 - Danh mục'!$AB$14:$AB$132,$T191),INDEX('Lớp 3 - Công việc chính'!$Y$14:$Y$73,$T191))))</f>
        <v>#REF!</v>
      </c>
      <c r="Q191" s="697" t="str">
        <f t="array" ref="Q191">IF($S191="","",IF($S191="Lớp 5",INDEX('Lớp 5 - Phân công'!$AG$14:$AG$262,$T191),IF($S191="Lớp 4",INDEX('Lớp 4 - Danh mục'!$AF$14:$AF$132,$T191),INDEX('Lớp 3 - Công việc chính'!$AC$14:$AC$73,$T191))))</f>
        <v>#REF!</v>
      </c>
      <c r="R191" s="698" t="str">
        <f t="array" ref="R191">IF($S191="","",IF($S191="Lớp 5",INDEX('Lớp 5 - Phân công'!$X$14:$X$262,$T191),IF($S191="Lớp 4",INDEX('Lớp 4 - Danh mục'!$V$14:$V$132,$T191),INDEX('Lớp 3 - Công việc chính'!$T$14:$T$73,$T191))))</f>
        <v>#REF!</v>
      </c>
      <c r="S191" s="699" t="str">
        <f>IF(ROWS($S$14:S191)&lt;=COUNTIF('Lớp 5 - Phân công'!$I$14:$I$262,"&lt;&gt;"),"Lớp 5",IF(ROWS($S$14:S191)&lt;=COUNTIF('Lớp 5 - Phân công'!$I$14:$I$262,"&lt;&gt;")+SUMPRODUCT(--('Lớp 4 - Danh mục'!$I$14:$I$132&lt;&gt;""),--(COUNTIF('Lớp 5 - Phân công'!$J$14:$J$262,'Lớp 4 - Danh mục'!$I$14:$I$132)=0)),"Lớp 4",IF(ROWS($S$14:S191)&lt;=COUNTIF('Lớp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1" s="699" t="str">
        <f t="array" ref="T191">IF(S191="","",IF(S191="Lớp 5",IF(S190&lt;&gt;"Lớp 5",MATCH("*",'Lớp 5 - Phân công'!$I$14:$I$262,0),T190+MATCH("*",INDEX('Lớp 5 - Phân công'!$I$14:$I$262,T190+1):'Lớp 5 - Phân công'!$I$262,0)),IF(S191="Lớp 4",IF(S190&lt;&gt;"Lớp 4",MATCH(1,INDEX(('Lớp 4 - Danh mục'!$I$14:$I$132&lt;&gt;"")*(COUNTIF('Lớp 5 - Phân công'!$J$14:$J$262,'Lớp 4 - Danh mục'!$I$14:$I$132)=0),0),0),T190+MATCH(1,INDEX((INDEX('Lớp 4 - Danh mục'!$I$14:$I$132,T190+1):'Lớp 4 - Danh mục'!$I$132&lt;&gt;"")*(COUNTIF('Lớp 5 - Phân công'!$J$14:$J$262,INDEX('Lớp 4 - Danh mục'!$I$14:$I$132,T190+1):'Lớp 4 - Danh mục'!$I$132)=0),0),0)),IF(S190&lt;&gt;"Lớp 3",MATCH(1,INDEX(('Lớp 3 - Công việc chính'!$I$14:$I$73&lt;&gt;"")*(COUNTIF('Lớp 4 - Danh mục'!$J$14:$J$132,'Lớp 3 - Công việc chính'!$I$14:$I$73)=0),0),0),T190+MATCH(1,INDEX((INDEX('Lớp 3 - Công việc chính'!$I$14:$I$73,T190+1):'Lớp 3 - Công việc chính'!$I$73&lt;&gt;"")*(COUNTIF('Lớp 4 - Danh mục'!$J$14:$J$132,INDEX('Lớp 3 - Công việc chính'!$I$14:$I$73,T190+1):'Lớp 3 - Công việc chính'!$I$73)=0),0),0)))))</f>
        <v>#REF!</v>
      </c>
      <c r="Z191" s="700" t="str">
        <f t="array" ref="Z191">IF($S191="","",IF($S191="Lớp 5",INDEX('Lớp 5 - Phân công'!$AS$14:$AS$262,$T191),IF($S191="Lớp 4",INDEX('Lớp 4 - Danh mục'!$AR$14:$AR$132,$T191),INDEX('Lớp 3 - Công việc chính'!$AO$14:$AO$73,$T191))))</f>
        <v>#REF!</v>
      </c>
      <c r="AA191" s="701" t="str">
        <f t="array" ref="AA191">IF($S191="","",IF($S191="Lớp 5",INDEX('Lớp 5 - Phân công'!$AT$14:$AT$262,$T191),IF($S191="Lớp 4",INDEX('Lớp 4 - Danh mục'!$AS$14:$AS$132,$T191),INDEX('Lớp 3 - Công việc chính'!$AP$14:$AP$73,$T191))))</f>
        <v>#REF!</v>
      </c>
      <c r="AB191" s="701" t="str">
        <f t="array" ref="AB191">IF($S191="","",IF($S191="Lớp 5",INDEX('Lớp 5 - Phân công'!$AJ$14:$AJ$262,$T191),IF($S191="Lớp 4",INDEX('Lớp 4 - Danh mục'!$AI$14:$AI$132,$T191),INDEX('Lớp 3 - Công việc chính'!$AF$14:$AF$73,$T191))))</f>
        <v>#REF!</v>
      </c>
      <c r="AC191" s="702" t="str">
        <f t="array" ref="AC191">IF($S191="","",IF($S191="Lớp 5",INDEX('Lớp 5 - Phân công'!$AV$14:$AV$262,$T191),IF($S191="Lớp 4",INDEX('Lớp 4 - Danh mục'!$AU$14:$AU$132,$T191),INDEX('Lớp 3 - Công việc chính'!$AR$14:$AR$73,$T191))))</f>
        <v>#REF!</v>
      </c>
    </row>
    <row r="192" ht="15.75" customHeight="1">
      <c r="A192" s="690" t="str">
        <f t="shared" si="1"/>
        <v>#REF!</v>
      </c>
      <c r="B192" s="690" t="str">
        <f t="array" ref="B192">IF($S192="","",IF($S192="Lớp 5",INDEX('Lớp 5 - Phân công'!$I$14:$I$262,$T192),IF($S192="Lớp 4",INDEX('Lớp 4 - Danh mục'!$I$14:$I$132,$T192),INDEX('Lớp 3 - Công việc chính'!$I$14:$I$73,$T192))))</f>
        <v>#REF!</v>
      </c>
      <c r="C192" s="690" t="str">
        <f t="array" ref="C192">IF($S192="","",IF($S192="Lớp 5",INDEX('Lớp 5 - Phân công'!$K$14:$K$262,$T192),IF($S192="Lớp 4",INDEX('Lớp 4 - Danh mục'!$J$14:$J$132,$T192),INDEX('Lớp 3 - Công việc chính'!$I$14:$I$73,$T192))))</f>
        <v>#REF!</v>
      </c>
      <c r="D192" s="690" t="str">
        <f t="array" ref="D192">IF($S192="","",IF($S192="Lớp 5",INDEX('Lớp 5 - Phân công'!$J$14:$J$262,$T192),IF($S192="Lớp 4",INDEX('Lớp 4 - Danh mục'!$I$14:$I$132,$T192),"")))</f>
        <v>#REF!</v>
      </c>
      <c r="E192" s="690" t="str">
        <f t="array" ref="E192">IF($S192="","",IF($S192="Lớp 5",INDEX('Lớp 5 - Phân công'!$L$14:$L$262,$T192),IF($S192="Lớp 4",INDEX('Lớp 4 - Danh mục'!$K$14:$K$132,$T192),INDEX('Lớp 3 - Công việc chính'!$J$14:$J$73,$T192))))</f>
        <v>#REF!</v>
      </c>
      <c r="F192" s="690" t="str">
        <f t="array" ref="F192">IF($S192="","",IF($S192="Lớp 5",INDEX('Lớp 5 - Phân công'!$M$14:$M$262,$T192),IF($S192="Lớp 4",INDEX('Lớp 4 - Danh mục'!$L$14:$L$132,$T192),INDEX('Lớp 3 - Công việc chính'!$K$14:$K$73,$T192))))</f>
        <v>#REF!</v>
      </c>
      <c r="G192" s="691" t="str">
        <f t="array" ref="G192">IF($S192="","",IF($S192="Lớp 5",INDEX('Lớp 5 - Phân công'!$N$14:$N$262,$T192),IF($S192="Lớp 4",INDEX('Lớp 4 - Danh mục'!$M$14:$M$132,$T192),INDEX('Lớp 3 - Công việc chính'!$L$14:$L$73,$T192))))</f>
        <v>#REF!</v>
      </c>
      <c r="H192" s="692" t="str">
        <f t="array" ref="H192">IF($S192="","",IF($S192="Lớp 5",INDEX('Lớp 5 - Phân công'!$O$14:$O$262,$T192),IF($S192="Lớp 4",INDEX('Lớp 4 - Danh mục'!$N$14:$N$132,$T192),INDEX('Lớp 3 - Công việc chính'!$M$14:$M$73,$T192))))</f>
        <v>#REF!</v>
      </c>
      <c r="I192" s="692" t="str">
        <f t="array" ref="I192">IF($S192="","",IF($S192="Lớp 5",INDEX('Lớp 5 - Phân công'!$P$14:$P$262,$T192),IF($S192="Lớp 4",INDEX('Lớp 4 - Danh mục'!$O$14:$O$132,$T192),"")))</f>
        <v>#REF!</v>
      </c>
      <c r="J192" s="693" t="str">
        <f t="array" ref="J192">IF($S192="","",IF($S192="Lớp 5",INDEX('Lớp 5 - Phân công'!$Q$14:$Q$262,$T192),""))</f>
        <v>#REF!</v>
      </c>
      <c r="K192" s="690" t="str">
        <f t="array" ref="K192">IF($S192="","",IF($S192="Lớp 5",INDEX('Lớp 5 - Phân công'!$AA$14:$AA$262,$T192),IF($S192="Lớp 4",INDEX('Lớp 4 - Danh mục'!$Y$14:$Y$132,$T192),INDEX('Lớp 3 - Công việc chính'!$U$14:$U$73,$T192))))</f>
        <v>#REF!</v>
      </c>
      <c r="L192" s="691" t="str">
        <f t="array" ref="L192">IF($S192="","",IF($S192="Lớp 5",INDEX('Lớp 5 - Phân công'!$Z$14:$Z$262,$T192),IF($S192="Lớp 4",INDEX('Lớp 4 - Danh mục'!$X$14:$X$132,$T192),INDEX('Lớp 3 - Công việc chính'!$W$14:$W$73,$T192))))</f>
        <v>#REF!</v>
      </c>
      <c r="M192" s="694" t="str">
        <f t="array" ref="M192">IF($S192="","",IF($S192="Lớp 5",INDEX('Lớp 5 - Phân công'!$AD$14:$AD$262,$T192),IF($S192="Lớp 4",INDEX('Lớp 4 - Danh mục'!$AC$14:$AC$132,$T192),INDEX('Lớp 3 - Công việc chính'!$Z$14:$Z$73,$T192))))</f>
        <v>#REF!</v>
      </c>
      <c r="N192" s="695" t="str">
        <f t="array" ref="N192">IF($S192="","",IF($S192="Lớp 5",INDEX('Lớp 5 - Phân công'!$AE$14:$AE$262,$T192),IF($S192="Lớp 4",INDEX('Lớp 4 - Danh mục'!$AD$14:$AD$132,$T192),INDEX('Lớp 3 - Công việc chính'!$AA$14:$AA$73,$T192))))</f>
        <v>#REF!</v>
      </c>
      <c r="O192" s="690" t="str">
        <f t="array" ref="O192">IF($S192="","",IF($S192="Lớp 5",INDEX('Lớp 5 - Phân công'!$AB$14:$AB$262,$T192),IF($S192="Lớp 4",INDEX('Lớp 4 - Danh mục'!$AA$14:$AA$132,$T192),INDEX('Lớp 3 - Công việc chính'!$X$14:$X$73,$T192))))</f>
        <v>#REF!</v>
      </c>
      <c r="P192" s="703" t="str">
        <f t="array" ref="P192">IF($S192="","",IF($S192="Lớp 5",INDEX('Lớp 5 - Phân công'!$AC$14:$AC$262,$T192),IF($S192="Lớp 4",INDEX('Lớp 4 - Danh mục'!$AB$14:$AB$132,$T192),INDEX('Lớp 3 - Công việc chính'!$Y$14:$Y$73,$T192))))</f>
        <v>#REF!</v>
      </c>
      <c r="Q192" s="697" t="str">
        <f t="array" ref="Q192">IF($S192="","",IF($S192="Lớp 5",INDEX('Lớp 5 - Phân công'!$AG$14:$AG$262,$T192),IF($S192="Lớp 4",INDEX('Lớp 4 - Danh mục'!$AF$14:$AF$132,$T192),INDEX('Lớp 3 - Công việc chính'!$AC$14:$AC$73,$T192))))</f>
        <v>#REF!</v>
      </c>
      <c r="R192" s="698" t="str">
        <f t="array" ref="R192">IF($S192="","",IF($S192="Lớp 5",INDEX('Lớp 5 - Phân công'!$X$14:$X$262,$T192),IF($S192="Lớp 4",INDEX('Lớp 4 - Danh mục'!$V$14:$V$132,$T192),INDEX('Lớp 3 - Công việc chính'!$T$14:$T$73,$T192))))</f>
        <v>#REF!</v>
      </c>
      <c r="S192" s="699" t="str">
        <f>IF(ROWS($S$14:S192)&lt;=COUNTIF('Lớp 5 - Phân công'!$I$14:$I$262,"&lt;&gt;"),"Lớp 5",IF(ROWS($S$14:S192)&lt;=COUNTIF('Lớp 5 - Phân công'!$I$14:$I$262,"&lt;&gt;")+SUMPRODUCT(--('Lớp 4 - Danh mục'!$I$14:$I$132&lt;&gt;""),--(COUNTIF('Lớp 5 - Phân công'!$J$14:$J$262,'Lớp 4 - Danh mục'!$I$14:$I$132)=0)),"Lớp 4",IF(ROWS($S$14:S192)&lt;=COUNTIF('Lớp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2" s="699" t="str">
        <f t="array" ref="T192">IF(S192="","",IF(S192="Lớp 5",IF(S191&lt;&gt;"Lớp 5",MATCH("*",'Lớp 5 - Phân công'!$I$14:$I$262,0),T191+MATCH("*",INDEX('Lớp 5 - Phân công'!$I$14:$I$262,T191+1):'Lớp 5 - Phân công'!$I$262,0)),IF(S192="Lớp 4",IF(S191&lt;&gt;"Lớp 4",MATCH(1,INDEX(('Lớp 4 - Danh mục'!$I$14:$I$132&lt;&gt;"")*(COUNTIF('Lớp 5 - Phân công'!$J$14:$J$262,'Lớp 4 - Danh mục'!$I$14:$I$132)=0),0),0),T191+MATCH(1,INDEX((INDEX('Lớp 4 - Danh mục'!$I$14:$I$132,T191+1):'Lớp 4 - Danh mục'!$I$132&lt;&gt;"")*(COUNTIF('Lớp 5 - Phân công'!$J$14:$J$262,INDEX('Lớp 4 - Danh mục'!$I$14:$I$132,T191+1):'Lớp 4 - Danh mục'!$I$132)=0),0),0)),IF(S191&lt;&gt;"Lớp 3",MATCH(1,INDEX(('Lớp 3 - Công việc chính'!$I$14:$I$73&lt;&gt;"")*(COUNTIF('Lớp 4 - Danh mục'!$J$14:$J$132,'Lớp 3 - Công việc chính'!$I$14:$I$73)=0),0),0),T191+MATCH(1,INDEX((INDEX('Lớp 3 - Công việc chính'!$I$14:$I$73,T191+1):'Lớp 3 - Công việc chính'!$I$73&lt;&gt;"")*(COUNTIF('Lớp 4 - Danh mục'!$J$14:$J$132,INDEX('Lớp 3 - Công việc chính'!$I$14:$I$73,T191+1):'Lớp 3 - Công việc chính'!$I$73)=0),0),0)))))</f>
        <v>#REF!</v>
      </c>
      <c r="Z192" s="700" t="str">
        <f t="array" ref="Z192">IF($S192="","",IF($S192="Lớp 5",INDEX('Lớp 5 - Phân công'!$AS$14:$AS$262,$T192),IF($S192="Lớp 4",INDEX('Lớp 4 - Danh mục'!$AR$14:$AR$132,$T192),INDEX('Lớp 3 - Công việc chính'!$AO$14:$AO$73,$T192))))</f>
        <v>#REF!</v>
      </c>
      <c r="AA192" s="701" t="str">
        <f t="array" ref="AA192">IF($S192="","",IF($S192="Lớp 5",INDEX('Lớp 5 - Phân công'!$AT$14:$AT$262,$T192),IF($S192="Lớp 4",INDEX('Lớp 4 - Danh mục'!$AS$14:$AS$132,$T192),INDEX('Lớp 3 - Công việc chính'!$AP$14:$AP$73,$T192))))</f>
        <v>#REF!</v>
      </c>
      <c r="AB192" s="701" t="str">
        <f t="array" ref="AB192">IF($S192="","",IF($S192="Lớp 5",INDEX('Lớp 5 - Phân công'!$AJ$14:$AJ$262,$T192),IF($S192="Lớp 4",INDEX('Lớp 4 - Danh mục'!$AI$14:$AI$132,$T192),INDEX('Lớp 3 - Công việc chính'!$AF$14:$AF$73,$T192))))</f>
        <v>#REF!</v>
      </c>
      <c r="AC192" s="702" t="str">
        <f t="array" ref="AC192">IF($S192="","",IF($S192="Lớp 5",INDEX('Lớp 5 - Phân công'!$AV$14:$AV$262,$T192),IF($S192="Lớp 4",INDEX('Lớp 4 - Danh mục'!$AU$14:$AU$132,$T192),INDEX('Lớp 3 - Công việc chính'!$AR$14:$AR$73,$T192))))</f>
        <v>#REF!</v>
      </c>
    </row>
    <row r="193" ht="15.75" customHeight="1">
      <c r="A193" s="690" t="str">
        <f t="shared" si="1"/>
        <v>#REF!</v>
      </c>
      <c r="B193" s="690" t="str">
        <f t="array" ref="B193">IF($S193="","",IF($S193="Lớp 5",INDEX('Lớp 5 - Phân công'!$I$14:$I$262,$T193),IF($S193="Lớp 4",INDEX('Lớp 4 - Danh mục'!$I$14:$I$132,$T193),INDEX('Lớp 3 - Công việc chính'!$I$14:$I$73,$T193))))</f>
        <v>#REF!</v>
      </c>
      <c r="C193" s="690" t="str">
        <f t="array" ref="C193">IF($S193="","",IF($S193="Lớp 5",INDEX('Lớp 5 - Phân công'!$K$14:$K$262,$T193),IF($S193="Lớp 4",INDEX('Lớp 4 - Danh mục'!$J$14:$J$132,$T193),INDEX('Lớp 3 - Công việc chính'!$I$14:$I$73,$T193))))</f>
        <v>#REF!</v>
      </c>
      <c r="D193" s="690" t="str">
        <f t="array" ref="D193">IF($S193="","",IF($S193="Lớp 5",INDEX('Lớp 5 - Phân công'!$J$14:$J$262,$T193),IF($S193="Lớp 4",INDEX('Lớp 4 - Danh mục'!$I$14:$I$132,$T193),"")))</f>
        <v>#REF!</v>
      </c>
      <c r="E193" s="690" t="str">
        <f t="array" ref="E193">IF($S193="","",IF($S193="Lớp 5",INDEX('Lớp 5 - Phân công'!$L$14:$L$262,$T193),IF($S193="Lớp 4",INDEX('Lớp 4 - Danh mục'!$K$14:$K$132,$T193),INDEX('Lớp 3 - Công việc chính'!$J$14:$J$73,$T193))))</f>
        <v>#REF!</v>
      </c>
      <c r="F193" s="690" t="str">
        <f t="array" ref="F193">IF($S193="","",IF($S193="Lớp 5",INDEX('Lớp 5 - Phân công'!$M$14:$M$262,$T193),IF($S193="Lớp 4",INDEX('Lớp 4 - Danh mục'!$L$14:$L$132,$T193),INDEX('Lớp 3 - Công việc chính'!$K$14:$K$73,$T193))))</f>
        <v>#REF!</v>
      </c>
      <c r="G193" s="691" t="str">
        <f t="array" ref="G193">IF($S193="","",IF($S193="Lớp 5",INDEX('Lớp 5 - Phân công'!$N$14:$N$262,$T193),IF($S193="Lớp 4",INDEX('Lớp 4 - Danh mục'!$M$14:$M$132,$T193),INDEX('Lớp 3 - Công việc chính'!$L$14:$L$73,$T193))))</f>
        <v>#REF!</v>
      </c>
      <c r="H193" s="692" t="str">
        <f t="array" ref="H193">IF($S193="","",IF($S193="Lớp 5",INDEX('Lớp 5 - Phân công'!$O$14:$O$262,$T193),IF($S193="Lớp 4",INDEX('Lớp 4 - Danh mục'!$N$14:$N$132,$T193),INDEX('Lớp 3 - Công việc chính'!$M$14:$M$73,$T193))))</f>
        <v>#REF!</v>
      </c>
      <c r="I193" s="692" t="str">
        <f t="array" ref="I193">IF($S193="","",IF($S193="Lớp 5",INDEX('Lớp 5 - Phân công'!$P$14:$P$262,$T193),IF($S193="Lớp 4",INDEX('Lớp 4 - Danh mục'!$O$14:$O$132,$T193),"")))</f>
        <v>#REF!</v>
      </c>
      <c r="J193" s="693" t="str">
        <f t="array" ref="J193">IF($S193="","",IF($S193="Lớp 5",INDEX('Lớp 5 - Phân công'!$Q$14:$Q$262,$T193),""))</f>
        <v>#REF!</v>
      </c>
      <c r="K193" s="690" t="str">
        <f t="array" ref="K193">IF($S193="","",IF($S193="Lớp 5",INDEX('Lớp 5 - Phân công'!$AA$14:$AA$262,$T193),IF($S193="Lớp 4",INDEX('Lớp 4 - Danh mục'!$Y$14:$Y$132,$T193),INDEX('Lớp 3 - Công việc chính'!$U$14:$U$73,$T193))))</f>
        <v>#REF!</v>
      </c>
      <c r="L193" s="691" t="str">
        <f t="array" ref="L193">IF($S193="","",IF($S193="Lớp 5",INDEX('Lớp 5 - Phân công'!$Z$14:$Z$262,$T193),IF($S193="Lớp 4",INDEX('Lớp 4 - Danh mục'!$X$14:$X$132,$T193),INDEX('Lớp 3 - Công việc chính'!$W$14:$W$73,$T193))))</f>
        <v>#REF!</v>
      </c>
      <c r="M193" s="694" t="str">
        <f t="array" ref="M193">IF($S193="","",IF($S193="Lớp 5",INDEX('Lớp 5 - Phân công'!$AD$14:$AD$262,$T193),IF($S193="Lớp 4",INDEX('Lớp 4 - Danh mục'!$AC$14:$AC$132,$T193),INDEX('Lớp 3 - Công việc chính'!$Z$14:$Z$73,$T193))))</f>
        <v>#REF!</v>
      </c>
      <c r="N193" s="695" t="str">
        <f t="array" ref="N193">IF($S193="","",IF($S193="Lớp 5",INDEX('Lớp 5 - Phân công'!$AE$14:$AE$262,$T193),IF($S193="Lớp 4",INDEX('Lớp 4 - Danh mục'!$AD$14:$AD$132,$T193),INDEX('Lớp 3 - Công việc chính'!$AA$14:$AA$73,$T193))))</f>
        <v>#REF!</v>
      </c>
      <c r="O193" s="690" t="str">
        <f t="array" ref="O193">IF($S193="","",IF($S193="Lớp 5",INDEX('Lớp 5 - Phân công'!$AB$14:$AB$262,$T193),IF($S193="Lớp 4",INDEX('Lớp 4 - Danh mục'!$AA$14:$AA$132,$T193),INDEX('Lớp 3 - Công việc chính'!$X$14:$X$73,$T193))))</f>
        <v>#REF!</v>
      </c>
      <c r="P193" s="703" t="str">
        <f t="array" ref="P193">IF($S193="","",IF($S193="Lớp 5",INDEX('Lớp 5 - Phân công'!$AC$14:$AC$262,$T193),IF($S193="Lớp 4",INDEX('Lớp 4 - Danh mục'!$AB$14:$AB$132,$T193),INDEX('Lớp 3 - Công việc chính'!$Y$14:$Y$73,$T193))))</f>
        <v>#REF!</v>
      </c>
      <c r="Q193" s="697" t="str">
        <f t="array" ref="Q193">IF($S193="","",IF($S193="Lớp 5",INDEX('Lớp 5 - Phân công'!$AG$14:$AG$262,$T193),IF($S193="Lớp 4",INDEX('Lớp 4 - Danh mục'!$AF$14:$AF$132,$T193),INDEX('Lớp 3 - Công việc chính'!$AC$14:$AC$73,$T193))))</f>
        <v>#REF!</v>
      </c>
      <c r="R193" s="698" t="str">
        <f t="array" ref="R193">IF($S193="","",IF($S193="Lớp 5",INDEX('Lớp 5 - Phân công'!$X$14:$X$262,$T193),IF($S193="Lớp 4",INDEX('Lớp 4 - Danh mục'!$V$14:$V$132,$T193),INDEX('Lớp 3 - Công việc chính'!$T$14:$T$73,$T193))))</f>
        <v>#REF!</v>
      </c>
      <c r="S193" s="699" t="str">
        <f>IF(ROWS($S$14:S193)&lt;=COUNTIF('Lớp 5 - Phân công'!$I$14:$I$262,"&lt;&gt;"),"Lớp 5",IF(ROWS($S$14:S193)&lt;=COUNTIF('Lớp 5 - Phân công'!$I$14:$I$262,"&lt;&gt;")+SUMPRODUCT(--('Lớp 4 - Danh mục'!$I$14:$I$132&lt;&gt;""),--(COUNTIF('Lớp 5 - Phân công'!$J$14:$J$262,'Lớp 4 - Danh mục'!$I$14:$I$132)=0)),"Lớp 4",IF(ROWS($S$14:S193)&lt;=COUNTIF('Lớp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3" s="699" t="str">
        <f t="array" ref="T193">IF(S193="","",IF(S193="Lớp 5",IF(S192&lt;&gt;"Lớp 5",MATCH("*",'Lớp 5 - Phân công'!$I$14:$I$262,0),T192+MATCH("*",INDEX('Lớp 5 - Phân công'!$I$14:$I$262,T192+1):'Lớp 5 - Phân công'!$I$262,0)),IF(S193="Lớp 4",IF(S192&lt;&gt;"Lớp 4",MATCH(1,INDEX(('Lớp 4 - Danh mục'!$I$14:$I$132&lt;&gt;"")*(COUNTIF('Lớp 5 - Phân công'!$J$14:$J$262,'Lớp 4 - Danh mục'!$I$14:$I$132)=0),0),0),T192+MATCH(1,INDEX((INDEX('Lớp 4 - Danh mục'!$I$14:$I$132,T192+1):'Lớp 4 - Danh mục'!$I$132&lt;&gt;"")*(COUNTIF('Lớp 5 - Phân công'!$J$14:$J$262,INDEX('Lớp 4 - Danh mục'!$I$14:$I$132,T192+1):'Lớp 4 - Danh mục'!$I$132)=0),0),0)),IF(S192&lt;&gt;"Lớp 3",MATCH(1,INDEX(('Lớp 3 - Công việc chính'!$I$14:$I$73&lt;&gt;"")*(COUNTIF('Lớp 4 - Danh mục'!$J$14:$J$132,'Lớp 3 - Công việc chính'!$I$14:$I$73)=0),0),0),T192+MATCH(1,INDEX((INDEX('Lớp 3 - Công việc chính'!$I$14:$I$73,T192+1):'Lớp 3 - Công việc chính'!$I$73&lt;&gt;"")*(COUNTIF('Lớp 4 - Danh mục'!$J$14:$J$132,INDEX('Lớp 3 - Công việc chính'!$I$14:$I$73,T192+1):'Lớp 3 - Công việc chính'!$I$73)=0),0),0)))))</f>
        <v>#REF!</v>
      </c>
      <c r="Z193" s="700" t="str">
        <f t="array" ref="Z193">IF($S193="","",IF($S193="Lớp 5",INDEX('Lớp 5 - Phân công'!$AS$14:$AS$262,$T193),IF($S193="Lớp 4",INDEX('Lớp 4 - Danh mục'!$AR$14:$AR$132,$T193),INDEX('Lớp 3 - Công việc chính'!$AO$14:$AO$73,$T193))))</f>
        <v>#REF!</v>
      </c>
      <c r="AA193" s="701" t="str">
        <f t="array" ref="AA193">IF($S193="","",IF($S193="Lớp 5",INDEX('Lớp 5 - Phân công'!$AT$14:$AT$262,$T193),IF($S193="Lớp 4",INDEX('Lớp 4 - Danh mục'!$AS$14:$AS$132,$T193),INDEX('Lớp 3 - Công việc chính'!$AP$14:$AP$73,$T193))))</f>
        <v>#REF!</v>
      </c>
      <c r="AB193" s="701" t="str">
        <f t="array" ref="AB193">IF($S193="","",IF($S193="Lớp 5",INDEX('Lớp 5 - Phân công'!$AJ$14:$AJ$262,$T193),IF($S193="Lớp 4",INDEX('Lớp 4 - Danh mục'!$AI$14:$AI$132,$T193),INDEX('Lớp 3 - Công việc chính'!$AF$14:$AF$73,$T193))))</f>
        <v>#REF!</v>
      </c>
      <c r="AC193" s="702" t="str">
        <f t="array" ref="AC193">IF($S193="","",IF($S193="Lớp 5",INDEX('Lớp 5 - Phân công'!$AV$14:$AV$262,$T193),IF($S193="Lớp 4",INDEX('Lớp 4 - Danh mục'!$AU$14:$AU$132,$T193),INDEX('Lớp 3 - Công việc chính'!$AR$14:$AR$73,$T193))))</f>
        <v>#REF!</v>
      </c>
    </row>
    <row r="194" ht="15.75" customHeight="1">
      <c r="A194" s="690" t="str">
        <f t="shared" si="1"/>
        <v>#REF!</v>
      </c>
      <c r="B194" s="690" t="str">
        <f t="array" ref="B194">IF($S194="","",IF($S194="Lớp 5",INDEX('Lớp 5 - Phân công'!$I$14:$I$262,$T194),IF($S194="Lớp 4",INDEX('Lớp 4 - Danh mục'!$I$14:$I$132,$T194),INDEX('Lớp 3 - Công việc chính'!$I$14:$I$73,$T194))))</f>
        <v>#REF!</v>
      </c>
      <c r="C194" s="690" t="str">
        <f t="array" ref="C194">IF($S194="","",IF($S194="Lớp 5",INDEX('Lớp 5 - Phân công'!$K$14:$K$262,$T194),IF($S194="Lớp 4",INDEX('Lớp 4 - Danh mục'!$J$14:$J$132,$T194),INDEX('Lớp 3 - Công việc chính'!$I$14:$I$73,$T194))))</f>
        <v>#REF!</v>
      </c>
      <c r="D194" s="690" t="str">
        <f t="array" ref="D194">IF($S194="","",IF($S194="Lớp 5",INDEX('Lớp 5 - Phân công'!$J$14:$J$262,$T194),IF($S194="Lớp 4",INDEX('Lớp 4 - Danh mục'!$I$14:$I$132,$T194),"")))</f>
        <v>#REF!</v>
      </c>
      <c r="E194" s="690" t="str">
        <f t="array" ref="E194">IF($S194="","",IF($S194="Lớp 5",INDEX('Lớp 5 - Phân công'!$L$14:$L$262,$T194),IF($S194="Lớp 4",INDEX('Lớp 4 - Danh mục'!$K$14:$K$132,$T194),INDEX('Lớp 3 - Công việc chính'!$J$14:$J$73,$T194))))</f>
        <v>#REF!</v>
      </c>
      <c r="F194" s="690" t="str">
        <f t="array" ref="F194">IF($S194="","",IF($S194="Lớp 5",INDEX('Lớp 5 - Phân công'!$M$14:$M$262,$T194),IF($S194="Lớp 4",INDEX('Lớp 4 - Danh mục'!$L$14:$L$132,$T194),INDEX('Lớp 3 - Công việc chính'!$K$14:$K$73,$T194))))</f>
        <v>#REF!</v>
      </c>
      <c r="G194" s="691" t="str">
        <f t="array" ref="G194">IF($S194="","",IF($S194="Lớp 5",INDEX('Lớp 5 - Phân công'!$N$14:$N$262,$T194),IF($S194="Lớp 4",INDEX('Lớp 4 - Danh mục'!$M$14:$M$132,$T194),INDEX('Lớp 3 - Công việc chính'!$L$14:$L$73,$T194))))</f>
        <v>#REF!</v>
      </c>
      <c r="H194" s="692" t="str">
        <f t="array" ref="H194">IF($S194="","",IF($S194="Lớp 5",INDEX('Lớp 5 - Phân công'!$O$14:$O$262,$T194),IF($S194="Lớp 4",INDEX('Lớp 4 - Danh mục'!$N$14:$N$132,$T194),INDEX('Lớp 3 - Công việc chính'!$M$14:$M$73,$T194))))</f>
        <v>#REF!</v>
      </c>
      <c r="I194" s="692" t="str">
        <f t="array" ref="I194">IF($S194="","",IF($S194="Lớp 5",INDEX('Lớp 5 - Phân công'!$P$14:$P$262,$T194),IF($S194="Lớp 4",INDEX('Lớp 4 - Danh mục'!$O$14:$O$132,$T194),"")))</f>
        <v>#REF!</v>
      </c>
      <c r="J194" s="693" t="str">
        <f t="array" ref="J194">IF($S194="","",IF($S194="Lớp 5",INDEX('Lớp 5 - Phân công'!$Q$14:$Q$262,$T194),""))</f>
        <v>#REF!</v>
      </c>
      <c r="K194" s="690" t="str">
        <f t="array" ref="K194">IF($S194="","",IF($S194="Lớp 5",INDEX('Lớp 5 - Phân công'!$AA$14:$AA$262,$T194),IF($S194="Lớp 4",INDEX('Lớp 4 - Danh mục'!$Y$14:$Y$132,$T194),INDEX('Lớp 3 - Công việc chính'!$U$14:$U$73,$T194))))</f>
        <v>#REF!</v>
      </c>
      <c r="L194" s="691" t="str">
        <f t="array" ref="L194">IF($S194="","",IF($S194="Lớp 5",INDEX('Lớp 5 - Phân công'!$Z$14:$Z$262,$T194),IF($S194="Lớp 4",INDEX('Lớp 4 - Danh mục'!$X$14:$X$132,$T194),INDEX('Lớp 3 - Công việc chính'!$W$14:$W$73,$T194))))</f>
        <v>#REF!</v>
      </c>
      <c r="M194" s="694" t="str">
        <f t="array" ref="M194">IF($S194="","",IF($S194="Lớp 5",INDEX('Lớp 5 - Phân công'!$AD$14:$AD$262,$T194),IF($S194="Lớp 4",INDEX('Lớp 4 - Danh mục'!$AC$14:$AC$132,$T194),INDEX('Lớp 3 - Công việc chính'!$Z$14:$Z$73,$T194))))</f>
        <v>#REF!</v>
      </c>
      <c r="N194" s="695" t="str">
        <f t="array" ref="N194">IF($S194="","",IF($S194="Lớp 5",INDEX('Lớp 5 - Phân công'!$AE$14:$AE$262,$T194),IF($S194="Lớp 4",INDEX('Lớp 4 - Danh mục'!$AD$14:$AD$132,$T194),INDEX('Lớp 3 - Công việc chính'!$AA$14:$AA$73,$T194))))</f>
        <v>#REF!</v>
      </c>
      <c r="O194" s="690" t="str">
        <f t="array" ref="O194">IF($S194="","",IF($S194="Lớp 5",INDEX('Lớp 5 - Phân công'!$AB$14:$AB$262,$T194),IF($S194="Lớp 4",INDEX('Lớp 4 - Danh mục'!$AA$14:$AA$132,$T194),INDEX('Lớp 3 - Công việc chính'!$X$14:$X$73,$T194))))</f>
        <v>#REF!</v>
      </c>
      <c r="P194" s="703" t="str">
        <f t="array" ref="P194">IF($S194="","",IF($S194="Lớp 5",INDEX('Lớp 5 - Phân công'!$AC$14:$AC$262,$T194),IF($S194="Lớp 4",INDEX('Lớp 4 - Danh mục'!$AB$14:$AB$132,$T194),INDEX('Lớp 3 - Công việc chính'!$Y$14:$Y$73,$T194))))</f>
        <v>#REF!</v>
      </c>
      <c r="Q194" s="697" t="str">
        <f t="array" ref="Q194">IF($S194="","",IF($S194="Lớp 5",INDEX('Lớp 5 - Phân công'!$AG$14:$AG$262,$T194),IF($S194="Lớp 4",INDEX('Lớp 4 - Danh mục'!$AF$14:$AF$132,$T194),INDEX('Lớp 3 - Công việc chính'!$AC$14:$AC$73,$T194))))</f>
        <v>#REF!</v>
      </c>
      <c r="R194" s="698" t="str">
        <f t="array" ref="R194">IF($S194="","",IF($S194="Lớp 5",INDEX('Lớp 5 - Phân công'!$X$14:$X$262,$T194),IF($S194="Lớp 4",INDEX('Lớp 4 - Danh mục'!$V$14:$V$132,$T194),INDEX('Lớp 3 - Công việc chính'!$T$14:$T$73,$T194))))</f>
        <v>#REF!</v>
      </c>
      <c r="S194" s="699" t="str">
        <f>IF(ROWS($S$14:S194)&lt;=COUNTIF('Lớp 5 - Phân công'!$I$14:$I$262,"&lt;&gt;"),"Lớp 5",IF(ROWS($S$14:S194)&lt;=COUNTIF('Lớp 5 - Phân công'!$I$14:$I$262,"&lt;&gt;")+SUMPRODUCT(--('Lớp 4 - Danh mục'!$I$14:$I$132&lt;&gt;""),--(COUNTIF('Lớp 5 - Phân công'!$J$14:$J$262,'Lớp 4 - Danh mục'!$I$14:$I$132)=0)),"Lớp 4",IF(ROWS($S$14:S194)&lt;=COUNTIF('Lớp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4" s="699" t="str">
        <f t="array" ref="T194">IF(S194="","",IF(S194="Lớp 5",IF(S193&lt;&gt;"Lớp 5",MATCH("*",'Lớp 5 - Phân công'!$I$14:$I$262,0),T193+MATCH("*",INDEX('Lớp 5 - Phân công'!$I$14:$I$262,T193+1):'Lớp 5 - Phân công'!$I$262,0)),IF(S194="Lớp 4",IF(S193&lt;&gt;"Lớp 4",MATCH(1,INDEX(('Lớp 4 - Danh mục'!$I$14:$I$132&lt;&gt;"")*(COUNTIF('Lớp 5 - Phân công'!$J$14:$J$262,'Lớp 4 - Danh mục'!$I$14:$I$132)=0),0),0),T193+MATCH(1,INDEX((INDEX('Lớp 4 - Danh mục'!$I$14:$I$132,T193+1):'Lớp 4 - Danh mục'!$I$132&lt;&gt;"")*(COUNTIF('Lớp 5 - Phân công'!$J$14:$J$262,INDEX('Lớp 4 - Danh mục'!$I$14:$I$132,T193+1):'Lớp 4 - Danh mục'!$I$132)=0),0),0)),IF(S193&lt;&gt;"Lớp 3",MATCH(1,INDEX(('Lớp 3 - Công việc chính'!$I$14:$I$73&lt;&gt;"")*(COUNTIF('Lớp 4 - Danh mục'!$J$14:$J$132,'Lớp 3 - Công việc chính'!$I$14:$I$73)=0),0),0),T193+MATCH(1,INDEX((INDEX('Lớp 3 - Công việc chính'!$I$14:$I$73,T193+1):'Lớp 3 - Công việc chính'!$I$73&lt;&gt;"")*(COUNTIF('Lớp 4 - Danh mục'!$J$14:$J$132,INDEX('Lớp 3 - Công việc chính'!$I$14:$I$73,T193+1):'Lớp 3 - Công việc chính'!$I$73)=0),0),0)))))</f>
        <v>#REF!</v>
      </c>
      <c r="Z194" s="700" t="str">
        <f t="array" ref="Z194">IF($S194="","",IF($S194="Lớp 5",INDEX('Lớp 5 - Phân công'!$AS$14:$AS$262,$T194),IF($S194="Lớp 4",INDEX('Lớp 4 - Danh mục'!$AR$14:$AR$132,$T194),INDEX('Lớp 3 - Công việc chính'!$AO$14:$AO$73,$T194))))</f>
        <v>#REF!</v>
      </c>
      <c r="AA194" s="701" t="str">
        <f t="array" ref="AA194">IF($S194="","",IF($S194="Lớp 5",INDEX('Lớp 5 - Phân công'!$AT$14:$AT$262,$T194),IF($S194="Lớp 4",INDEX('Lớp 4 - Danh mục'!$AS$14:$AS$132,$T194),INDEX('Lớp 3 - Công việc chính'!$AP$14:$AP$73,$T194))))</f>
        <v>#REF!</v>
      </c>
      <c r="AB194" s="701" t="str">
        <f t="array" ref="AB194">IF($S194="","",IF($S194="Lớp 5",INDEX('Lớp 5 - Phân công'!$AJ$14:$AJ$262,$T194),IF($S194="Lớp 4",INDEX('Lớp 4 - Danh mục'!$AI$14:$AI$132,$T194),INDEX('Lớp 3 - Công việc chính'!$AF$14:$AF$73,$T194))))</f>
        <v>#REF!</v>
      </c>
      <c r="AC194" s="702" t="str">
        <f t="array" ref="AC194">IF($S194="","",IF($S194="Lớp 5",INDEX('Lớp 5 - Phân công'!$AV$14:$AV$262,$T194),IF($S194="Lớp 4",INDEX('Lớp 4 - Danh mục'!$AU$14:$AU$132,$T194),INDEX('Lớp 3 - Công việc chính'!$AR$14:$AR$73,$T194))))</f>
        <v>#REF!</v>
      </c>
    </row>
    <row r="195" ht="15.75" customHeight="1">
      <c r="A195" s="690" t="str">
        <f t="shared" si="1"/>
        <v>#REF!</v>
      </c>
      <c r="B195" s="690" t="str">
        <f t="array" ref="B195">IF($S195="","",IF($S195="Lớp 5",INDEX('Lớp 5 - Phân công'!$I$14:$I$262,$T195),IF($S195="Lớp 4",INDEX('Lớp 4 - Danh mục'!$I$14:$I$132,$T195),INDEX('Lớp 3 - Công việc chính'!$I$14:$I$73,$T195))))</f>
        <v>#REF!</v>
      </c>
      <c r="C195" s="690" t="str">
        <f t="array" ref="C195">IF($S195="","",IF($S195="Lớp 5",INDEX('Lớp 5 - Phân công'!$K$14:$K$262,$T195),IF($S195="Lớp 4",INDEX('Lớp 4 - Danh mục'!$J$14:$J$132,$T195),INDEX('Lớp 3 - Công việc chính'!$I$14:$I$73,$T195))))</f>
        <v>#REF!</v>
      </c>
      <c r="D195" s="690" t="str">
        <f t="array" ref="D195">IF($S195="","",IF($S195="Lớp 5",INDEX('Lớp 5 - Phân công'!$J$14:$J$262,$T195),IF($S195="Lớp 4",INDEX('Lớp 4 - Danh mục'!$I$14:$I$132,$T195),"")))</f>
        <v>#REF!</v>
      </c>
      <c r="E195" s="690" t="str">
        <f t="array" ref="E195">IF($S195="","",IF($S195="Lớp 5",INDEX('Lớp 5 - Phân công'!$L$14:$L$262,$T195),IF($S195="Lớp 4",INDEX('Lớp 4 - Danh mục'!$K$14:$K$132,$T195),INDEX('Lớp 3 - Công việc chính'!$J$14:$J$73,$T195))))</f>
        <v>#REF!</v>
      </c>
      <c r="F195" s="690" t="str">
        <f t="array" ref="F195">IF($S195="","",IF($S195="Lớp 5",INDEX('Lớp 5 - Phân công'!$M$14:$M$262,$T195),IF($S195="Lớp 4",INDEX('Lớp 4 - Danh mục'!$L$14:$L$132,$T195),INDEX('Lớp 3 - Công việc chính'!$K$14:$K$73,$T195))))</f>
        <v>#REF!</v>
      </c>
      <c r="G195" s="691" t="str">
        <f t="array" ref="G195">IF($S195="","",IF($S195="Lớp 5",INDEX('Lớp 5 - Phân công'!$N$14:$N$262,$T195),IF($S195="Lớp 4",INDEX('Lớp 4 - Danh mục'!$M$14:$M$132,$T195),INDEX('Lớp 3 - Công việc chính'!$L$14:$L$73,$T195))))</f>
        <v>#REF!</v>
      </c>
      <c r="H195" s="692" t="str">
        <f t="array" ref="H195">IF($S195="","",IF($S195="Lớp 5",INDEX('Lớp 5 - Phân công'!$O$14:$O$262,$T195),IF($S195="Lớp 4",INDEX('Lớp 4 - Danh mục'!$N$14:$N$132,$T195),INDEX('Lớp 3 - Công việc chính'!$M$14:$M$73,$T195))))</f>
        <v>#REF!</v>
      </c>
      <c r="I195" s="692" t="str">
        <f t="array" ref="I195">IF($S195="","",IF($S195="Lớp 5",INDEX('Lớp 5 - Phân công'!$P$14:$P$262,$T195),IF($S195="Lớp 4",INDEX('Lớp 4 - Danh mục'!$O$14:$O$132,$T195),"")))</f>
        <v>#REF!</v>
      </c>
      <c r="J195" s="693" t="str">
        <f t="array" ref="J195">IF($S195="","",IF($S195="Lớp 5",INDEX('Lớp 5 - Phân công'!$Q$14:$Q$262,$T195),""))</f>
        <v>#REF!</v>
      </c>
      <c r="K195" s="690" t="str">
        <f t="array" ref="K195">IF($S195="","",IF($S195="Lớp 5",INDEX('Lớp 5 - Phân công'!$AA$14:$AA$262,$T195),IF($S195="Lớp 4",INDEX('Lớp 4 - Danh mục'!$Y$14:$Y$132,$T195),INDEX('Lớp 3 - Công việc chính'!$U$14:$U$73,$T195))))</f>
        <v>#REF!</v>
      </c>
      <c r="L195" s="691" t="str">
        <f t="array" ref="L195">IF($S195="","",IF($S195="Lớp 5",INDEX('Lớp 5 - Phân công'!$Z$14:$Z$262,$T195),IF($S195="Lớp 4",INDEX('Lớp 4 - Danh mục'!$X$14:$X$132,$T195),INDEX('Lớp 3 - Công việc chính'!$W$14:$W$73,$T195))))</f>
        <v>#REF!</v>
      </c>
      <c r="M195" s="694" t="str">
        <f t="array" ref="M195">IF($S195="","",IF($S195="Lớp 5",INDEX('Lớp 5 - Phân công'!$AD$14:$AD$262,$T195),IF($S195="Lớp 4",INDEX('Lớp 4 - Danh mục'!$AC$14:$AC$132,$T195),INDEX('Lớp 3 - Công việc chính'!$Z$14:$Z$73,$T195))))</f>
        <v>#REF!</v>
      </c>
      <c r="N195" s="695" t="str">
        <f t="array" ref="N195">IF($S195="","",IF($S195="Lớp 5",INDEX('Lớp 5 - Phân công'!$AE$14:$AE$262,$T195),IF($S195="Lớp 4",INDEX('Lớp 4 - Danh mục'!$AD$14:$AD$132,$T195),INDEX('Lớp 3 - Công việc chính'!$AA$14:$AA$73,$T195))))</f>
        <v>#REF!</v>
      </c>
      <c r="O195" s="690" t="str">
        <f t="array" ref="O195">IF($S195="","",IF($S195="Lớp 5",INDEX('Lớp 5 - Phân công'!$AB$14:$AB$262,$T195),IF($S195="Lớp 4",INDEX('Lớp 4 - Danh mục'!$AA$14:$AA$132,$T195),INDEX('Lớp 3 - Công việc chính'!$X$14:$X$73,$T195))))</f>
        <v>#REF!</v>
      </c>
      <c r="P195" s="703" t="str">
        <f t="array" ref="P195">IF($S195="","",IF($S195="Lớp 5",INDEX('Lớp 5 - Phân công'!$AC$14:$AC$262,$T195),IF($S195="Lớp 4",INDEX('Lớp 4 - Danh mục'!$AB$14:$AB$132,$T195),INDEX('Lớp 3 - Công việc chính'!$Y$14:$Y$73,$T195))))</f>
        <v>#REF!</v>
      </c>
      <c r="Q195" s="697" t="str">
        <f t="array" ref="Q195">IF($S195="","",IF($S195="Lớp 5",INDEX('Lớp 5 - Phân công'!$AG$14:$AG$262,$T195),IF($S195="Lớp 4",INDEX('Lớp 4 - Danh mục'!$AF$14:$AF$132,$T195),INDEX('Lớp 3 - Công việc chính'!$AC$14:$AC$73,$T195))))</f>
        <v>#REF!</v>
      </c>
      <c r="R195" s="698" t="str">
        <f t="array" ref="R195">IF($S195="","",IF($S195="Lớp 5",INDEX('Lớp 5 - Phân công'!$X$14:$X$262,$T195),IF($S195="Lớp 4",INDEX('Lớp 4 - Danh mục'!$V$14:$V$132,$T195),INDEX('Lớp 3 - Công việc chính'!$T$14:$T$73,$T195))))</f>
        <v>#REF!</v>
      </c>
      <c r="S195" s="699" t="str">
        <f>IF(ROWS($S$14:S195)&lt;=COUNTIF('Lớp 5 - Phân công'!$I$14:$I$262,"&lt;&gt;"),"Lớp 5",IF(ROWS($S$14:S195)&lt;=COUNTIF('Lớp 5 - Phân công'!$I$14:$I$262,"&lt;&gt;")+SUMPRODUCT(--('Lớp 4 - Danh mục'!$I$14:$I$132&lt;&gt;""),--(COUNTIF('Lớp 5 - Phân công'!$J$14:$J$262,'Lớp 4 - Danh mục'!$I$14:$I$132)=0)),"Lớp 4",IF(ROWS($S$14:S195)&lt;=COUNTIF('Lớp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5" s="699" t="str">
        <f t="array" ref="T195">IF(S195="","",IF(S195="Lớp 5",IF(S194&lt;&gt;"Lớp 5",MATCH("*",'Lớp 5 - Phân công'!$I$14:$I$262,0),T194+MATCH("*",INDEX('Lớp 5 - Phân công'!$I$14:$I$262,T194+1):'Lớp 5 - Phân công'!$I$262,0)),IF(S195="Lớp 4",IF(S194&lt;&gt;"Lớp 4",MATCH(1,INDEX(('Lớp 4 - Danh mục'!$I$14:$I$132&lt;&gt;"")*(COUNTIF('Lớp 5 - Phân công'!$J$14:$J$262,'Lớp 4 - Danh mục'!$I$14:$I$132)=0),0),0),T194+MATCH(1,INDEX((INDEX('Lớp 4 - Danh mục'!$I$14:$I$132,T194+1):'Lớp 4 - Danh mục'!$I$132&lt;&gt;"")*(COUNTIF('Lớp 5 - Phân công'!$J$14:$J$262,INDEX('Lớp 4 - Danh mục'!$I$14:$I$132,T194+1):'Lớp 4 - Danh mục'!$I$132)=0),0),0)),IF(S194&lt;&gt;"Lớp 3",MATCH(1,INDEX(('Lớp 3 - Công việc chính'!$I$14:$I$73&lt;&gt;"")*(COUNTIF('Lớp 4 - Danh mục'!$J$14:$J$132,'Lớp 3 - Công việc chính'!$I$14:$I$73)=0),0),0),T194+MATCH(1,INDEX((INDEX('Lớp 3 - Công việc chính'!$I$14:$I$73,T194+1):'Lớp 3 - Công việc chính'!$I$73&lt;&gt;"")*(COUNTIF('Lớp 4 - Danh mục'!$J$14:$J$132,INDEX('Lớp 3 - Công việc chính'!$I$14:$I$73,T194+1):'Lớp 3 - Công việc chính'!$I$73)=0),0),0)))))</f>
        <v>#REF!</v>
      </c>
      <c r="Z195" s="700" t="str">
        <f t="array" ref="Z195">IF($S195="","",IF($S195="Lớp 5",INDEX('Lớp 5 - Phân công'!$AS$14:$AS$262,$T195),IF($S195="Lớp 4",INDEX('Lớp 4 - Danh mục'!$AR$14:$AR$132,$T195),INDEX('Lớp 3 - Công việc chính'!$AO$14:$AO$73,$T195))))</f>
        <v>#REF!</v>
      </c>
      <c r="AA195" s="701" t="str">
        <f t="array" ref="AA195">IF($S195="","",IF($S195="Lớp 5",INDEX('Lớp 5 - Phân công'!$AT$14:$AT$262,$T195),IF($S195="Lớp 4",INDEX('Lớp 4 - Danh mục'!$AS$14:$AS$132,$T195),INDEX('Lớp 3 - Công việc chính'!$AP$14:$AP$73,$T195))))</f>
        <v>#REF!</v>
      </c>
      <c r="AB195" s="701" t="str">
        <f t="array" ref="AB195">IF($S195="","",IF($S195="Lớp 5",INDEX('Lớp 5 - Phân công'!$AJ$14:$AJ$262,$T195),IF($S195="Lớp 4",INDEX('Lớp 4 - Danh mục'!$AI$14:$AI$132,$T195),INDEX('Lớp 3 - Công việc chính'!$AF$14:$AF$73,$T195))))</f>
        <v>#REF!</v>
      </c>
      <c r="AC195" s="702" t="str">
        <f t="array" ref="AC195">IF($S195="","",IF($S195="Lớp 5",INDEX('Lớp 5 - Phân công'!$AV$14:$AV$262,$T195),IF($S195="Lớp 4",INDEX('Lớp 4 - Danh mục'!$AU$14:$AU$132,$T195),INDEX('Lớp 3 - Công việc chính'!$AR$14:$AR$73,$T195))))</f>
        <v>#REF!</v>
      </c>
    </row>
    <row r="196" ht="15.75" customHeight="1">
      <c r="A196" s="690" t="str">
        <f t="shared" si="1"/>
        <v>#REF!</v>
      </c>
      <c r="B196" s="690" t="str">
        <f t="array" ref="B196">IF($S196="","",IF($S196="Lớp 5",INDEX('Lớp 5 - Phân công'!$I$14:$I$262,$T196),IF($S196="Lớp 4",INDEX('Lớp 4 - Danh mục'!$I$14:$I$132,$T196),INDEX('Lớp 3 - Công việc chính'!$I$14:$I$73,$T196))))</f>
        <v>#REF!</v>
      </c>
      <c r="C196" s="690" t="str">
        <f t="array" ref="C196">IF($S196="","",IF($S196="Lớp 5",INDEX('Lớp 5 - Phân công'!$K$14:$K$262,$T196),IF($S196="Lớp 4",INDEX('Lớp 4 - Danh mục'!$J$14:$J$132,$T196),INDEX('Lớp 3 - Công việc chính'!$I$14:$I$73,$T196))))</f>
        <v>#REF!</v>
      </c>
      <c r="D196" s="690" t="str">
        <f t="array" ref="D196">IF($S196="","",IF($S196="Lớp 5",INDEX('Lớp 5 - Phân công'!$J$14:$J$262,$T196),IF($S196="Lớp 4",INDEX('Lớp 4 - Danh mục'!$I$14:$I$132,$T196),"")))</f>
        <v>#REF!</v>
      </c>
      <c r="E196" s="690" t="str">
        <f t="array" ref="E196">IF($S196="","",IF($S196="Lớp 5",INDEX('Lớp 5 - Phân công'!$L$14:$L$262,$T196),IF($S196="Lớp 4",INDEX('Lớp 4 - Danh mục'!$K$14:$K$132,$T196),INDEX('Lớp 3 - Công việc chính'!$J$14:$J$73,$T196))))</f>
        <v>#REF!</v>
      </c>
      <c r="F196" s="690" t="str">
        <f t="array" ref="F196">IF($S196="","",IF($S196="Lớp 5",INDEX('Lớp 5 - Phân công'!$M$14:$M$262,$T196),IF($S196="Lớp 4",INDEX('Lớp 4 - Danh mục'!$L$14:$L$132,$T196),INDEX('Lớp 3 - Công việc chính'!$K$14:$K$73,$T196))))</f>
        <v>#REF!</v>
      </c>
      <c r="G196" s="691" t="str">
        <f t="array" ref="G196">IF($S196="","",IF($S196="Lớp 5",INDEX('Lớp 5 - Phân công'!$N$14:$N$262,$T196),IF($S196="Lớp 4",INDEX('Lớp 4 - Danh mục'!$M$14:$M$132,$T196),INDEX('Lớp 3 - Công việc chính'!$L$14:$L$73,$T196))))</f>
        <v>#REF!</v>
      </c>
      <c r="H196" s="692" t="str">
        <f t="array" ref="H196">IF($S196="","",IF($S196="Lớp 5",INDEX('Lớp 5 - Phân công'!$O$14:$O$262,$T196),IF($S196="Lớp 4",INDEX('Lớp 4 - Danh mục'!$N$14:$N$132,$T196),INDEX('Lớp 3 - Công việc chính'!$M$14:$M$73,$T196))))</f>
        <v>#REF!</v>
      </c>
      <c r="I196" s="692" t="str">
        <f t="array" ref="I196">IF($S196="","",IF($S196="Lớp 5",INDEX('Lớp 5 - Phân công'!$P$14:$P$262,$T196),IF($S196="Lớp 4",INDEX('Lớp 4 - Danh mục'!$O$14:$O$132,$T196),"")))</f>
        <v>#REF!</v>
      </c>
      <c r="J196" s="693" t="str">
        <f t="array" ref="J196">IF($S196="","",IF($S196="Lớp 5",INDEX('Lớp 5 - Phân công'!$Q$14:$Q$262,$T196),""))</f>
        <v>#REF!</v>
      </c>
      <c r="K196" s="690" t="str">
        <f t="array" ref="K196">IF($S196="","",IF($S196="Lớp 5",INDEX('Lớp 5 - Phân công'!$AA$14:$AA$262,$T196),IF($S196="Lớp 4",INDEX('Lớp 4 - Danh mục'!$Y$14:$Y$132,$T196),INDEX('Lớp 3 - Công việc chính'!$U$14:$U$73,$T196))))</f>
        <v>#REF!</v>
      </c>
      <c r="L196" s="691" t="str">
        <f t="array" ref="L196">IF($S196="","",IF($S196="Lớp 5",INDEX('Lớp 5 - Phân công'!$Z$14:$Z$262,$T196),IF($S196="Lớp 4",INDEX('Lớp 4 - Danh mục'!$X$14:$X$132,$T196),INDEX('Lớp 3 - Công việc chính'!$W$14:$W$73,$T196))))</f>
        <v>#REF!</v>
      </c>
      <c r="M196" s="694" t="str">
        <f t="array" ref="M196">IF($S196="","",IF($S196="Lớp 5",INDEX('Lớp 5 - Phân công'!$AD$14:$AD$262,$T196),IF($S196="Lớp 4",INDEX('Lớp 4 - Danh mục'!$AC$14:$AC$132,$T196),INDEX('Lớp 3 - Công việc chính'!$Z$14:$Z$73,$T196))))</f>
        <v>#REF!</v>
      </c>
      <c r="N196" s="695" t="str">
        <f t="array" ref="N196">IF($S196="","",IF($S196="Lớp 5",INDEX('Lớp 5 - Phân công'!$AE$14:$AE$262,$T196),IF($S196="Lớp 4",INDEX('Lớp 4 - Danh mục'!$AD$14:$AD$132,$T196),INDEX('Lớp 3 - Công việc chính'!$AA$14:$AA$73,$T196))))</f>
        <v>#REF!</v>
      </c>
      <c r="O196" s="690" t="str">
        <f t="array" ref="O196">IF($S196="","",IF($S196="Lớp 5",INDEX('Lớp 5 - Phân công'!$AB$14:$AB$262,$T196),IF($S196="Lớp 4",INDEX('Lớp 4 - Danh mục'!$AA$14:$AA$132,$T196),INDEX('Lớp 3 - Công việc chính'!$X$14:$X$73,$T196))))</f>
        <v>#REF!</v>
      </c>
      <c r="P196" s="703" t="str">
        <f t="array" ref="P196">IF($S196="","",IF($S196="Lớp 5",INDEX('Lớp 5 - Phân công'!$AC$14:$AC$262,$T196),IF($S196="Lớp 4",INDEX('Lớp 4 - Danh mục'!$AB$14:$AB$132,$T196),INDEX('Lớp 3 - Công việc chính'!$Y$14:$Y$73,$T196))))</f>
        <v>#REF!</v>
      </c>
      <c r="Q196" s="697" t="str">
        <f t="array" ref="Q196">IF($S196="","",IF($S196="Lớp 5",INDEX('Lớp 5 - Phân công'!$AG$14:$AG$262,$T196),IF($S196="Lớp 4",INDEX('Lớp 4 - Danh mục'!$AF$14:$AF$132,$T196),INDEX('Lớp 3 - Công việc chính'!$AC$14:$AC$73,$T196))))</f>
        <v>#REF!</v>
      </c>
      <c r="R196" s="698" t="str">
        <f t="array" ref="R196">IF($S196="","",IF($S196="Lớp 5",INDEX('Lớp 5 - Phân công'!$X$14:$X$262,$T196),IF($S196="Lớp 4",INDEX('Lớp 4 - Danh mục'!$V$14:$V$132,$T196),INDEX('Lớp 3 - Công việc chính'!$T$14:$T$73,$T196))))</f>
        <v>#REF!</v>
      </c>
      <c r="S196" s="699" t="str">
        <f>IF(ROWS($S$14:S196)&lt;=COUNTIF('Lớp 5 - Phân công'!$I$14:$I$262,"&lt;&gt;"),"Lớp 5",IF(ROWS($S$14:S196)&lt;=COUNTIF('Lớp 5 - Phân công'!$I$14:$I$262,"&lt;&gt;")+SUMPRODUCT(--('Lớp 4 - Danh mục'!$I$14:$I$132&lt;&gt;""),--(COUNTIF('Lớp 5 - Phân công'!$J$14:$J$262,'Lớp 4 - Danh mục'!$I$14:$I$132)=0)),"Lớp 4",IF(ROWS($S$14:S196)&lt;=COUNTIF('Lớp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6" s="699" t="str">
        <f t="array" ref="T196">IF(S196="","",IF(S196="Lớp 5",IF(S195&lt;&gt;"Lớp 5",MATCH("*",'Lớp 5 - Phân công'!$I$14:$I$262,0),T195+MATCH("*",INDEX('Lớp 5 - Phân công'!$I$14:$I$262,T195+1):'Lớp 5 - Phân công'!$I$262,0)),IF(S196="Lớp 4",IF(S195&lt;&gt;"Lớp 4",MATCH(1,INDEX(('Lớp 4 - Danh mục'!$I$14:$I$132&lt;&gt;"")*(COUNTIF('Lớp 5 - Phân công'!$J$14:$J$262,'Lớp 4 - Danh mục'!$I$14:$I$132)=0),0),0),T195+MATCH(1,INDEX((INDEX('Lớp 4 - Danh mục'!$I$14:$I$132,T195+1):'Lớp 4 - Danh mục'!$I$132&lt;&gt;"")*(COUNTIF('Lớp 5 - Phân công'!$J$14:$J$262,INDEX('Lớp 4 - Danh mục'!$I$14:$I$132,T195+1):'Lớp 4 - Danh mục'!$I$132)=0),0),0)),IF(S195&lt;&gt;"Lớp 3",MATCH(1,INDEX(('Lớp 3 - Công việc chính'!$I$14:$I$73&lt;&gt;"")*(COUNTIF('Lớp 4 - Danh mục'!$J$14:$J$132,'Lớp 3 - Công việc chính'!$I$14:$I$73)=0),0),0),T195+MATCH(1,INDEX((INDEX('Lớp 3 - Công việc chính'!$I$14:$I$73,T195+1):'Lớp 3 - Công việc chính'!$I$73&lt;&gt;"")*(COUNTIF('Lớp 4 - Danh mục'!$J$14:$J$132,INDEX('Lớp 3 - Công việc chính'!$I$14:$I$73,T195+1):'Lớp 3 - Công việc chính'!$I$73)=0),0),0)))))</f>
        <v>#REF!</v>
      </c>
      <c r="Z196" s="700" t="str">
        <f t="array" ref="Z196">IF($S196="","",IF($S196="Lớp 5",INDEX('Lớp 5 - Phân công'!$AS$14:$AS$262,$T196),IF($S196="Lớp 4",INDEX('Lớp 4 - Danh mục'!$AR$14:$AR$132,$T196),INDEX('Lớp 3 - Công việc chính'!$AO$14:$AO$73,$T196))))</f>
        <v>#REF!</v>
      </c>
      <c r="AA196" s="701" t="str">
        <f t="array" ref="AA196">IF($S196="","",IF($S196="Lớp 5",INDEX('Lớp 5 - Phân công'!$AT$14:$AT$262,$T196),IF($S196="Lớp 4",INDEX('Lớp 4 - Danh mục'!$AS$14:$AS$132,$T196),INDEX('Lớp 3 - Công việc chính'!$AP$14:$AP$73,$T196))))</f>
        <v>#REF!</v>
      </c>
      <c r="AB196" s="701" t="str">
        <f t="array" ref="AB196">IF($S196="","",IF($S196="Lớp 5",INDEX('Lớp 5 - Phân công'!$AJ$14:$AJ$262,$T196),IF($S196="Lớp 4",INDEX('Lớp 4 - Danh mục'!$AI$14:$AI$132,$T196),INDEX('Lớp 3 - Công việc chính'!$AF$14:$AF$73,$T196))))</f>
        <v>#REF!</v>
      </c>
      <c r="AC196" s="702" t="str">
        <f t="array" ref="AC196">IF($S196="","",IF($S196="Lớp 5",INDEX('Lớp 5 - Phân công'!$AV$14:$AV$262,$T196),IF($S196="Lớp 4",INDEX('Lớp 4 - Danh mục'!$AU$14:$AU$132,$T196),INDEX('Lớp 3 - Công việc chính'!$AR$14:$AR$73,$T196))))</f>
        <v>#REF!</v>
      </c>
    </row>
    <row r="197" ht="15.75" customHeight="1">
      <c r="A197" s="690" t="str">
        <f t="shared" si="1"/>
        <v>#REF!</v>
      </c>
      <c r="B197" s="690" t="str">
        <f t="array" ref="B197">IF($S197="","",IF($S197="Lớp 5",INDEX('Lớp 5 - Phân công'!$I$14:$I$262,$T197),IF($S197="Lớp 4",INDEX('Lớp 4 - Danh mục'!$I$14:$I$132,$T197),INDEX('Lớp 3 - Công việc chính'!$I$14:$I$73,$T197))))</f>
        <v>#REF!</v>
      </c>
      <c r="C197" s="690" t="str">
        <f t="array" ref="C197">IF($S197="","",IF($S197="Lớp 5",INDEX('Lớp 5 - Phân công'!$K$14:$K$262,$T197),IF($S197="Lớp 4",INDEX('Lớp 4 - Danh mục'!$J$14:$J$132,$T197),INDEX('Lớp 3 - Công việc chính'!$I$14:$I$73,$T197))))</f>
        <v>#REF!</v>
      </c>
      <c r="D197" s="690" t="str">
        <f t="array" ref="D197">IF($S197="","",IF($S197="Lớp 5",INDEX('Lớp 5 - Phân công'!$J$14:$J$262,$T197),IF($S197="Lớp 4",INDEX('Lớp 4 - Danh mục'!$I$14:$I$132,$T197),"")))</f>
        <v>#REF!</v>
      </c>
      <c r="E197" s="690" t="str">
        <f t="array" ref="E197">IF($S197="","",IF($S197="Lớp 5",INDEX('Lớp 5 - Phân công'!$L$14:$L$262,$T197),IF($S197="Lớp 4",INDEX('Lớp 4 - Danh mục'!$K$14:$K$132,$T197),INDEX('Lớp 3 - Công việc chính'!$J$14:$J$73,$T197))))</f>
        <v>#REF!</v>
      </c>
      <c r="F197" s="690" t="str">
        <f t="array" ref="F197">IF($S197="","",IF($S197="Lớp 5",INDEX('Lớp 5 - Phân công'!$M$14:$M$262,$T197),IF($S197="Lớp 4",INDEX('Lớp 4 - Danh mục'!$L$14:$L$132,$T197),INDEX('Lớp 3 - Công việc chính'!$K$14:$K$73,$T197))))</f>
        <v>#REF!</v>
      </c>
      <c r="G197" s="691" t="str">
        <f t="array" ref="G197">IF($S197="","",IF($S197="Lớp 5",INDEX('Lớp 5 - Phân công'!$N$14:$N$262,$T197),IF($S197="Lớp 4",INDEX('Lớp 4 - Danh mục'!$M$14:$M$132,$T197),INDEX('Lớp 3 - Công việc chính'!$L$14:$L$73,$T197))))</f>
        <v>#REF!</v>
      </c>
      <c r="H197" s="692" t="str">
        <f t="array" ref="H197">IF($S197="","",IF($S197="Lớp 5",INDEX('Lớp 5 - Phân công'!$O$14:$O$262,$T197),IF($S197="Lớp 4",INDEX('Lớp 4 - Danh mục'!$N$14:$N$132,$T197),INDEX('Lớp 3 - Công việc chính'!$M$14:$M$73,$T197))))</f>
        <v>#REF!</v>
      </c>
      <c r="I197" s="692" t="str">
        <f t="array" ref="I197">IF($S197="","",IF($S197="Lớp 5",INDEX('Lớp 5 - Phân công'!$P$14:$P$262,$T197),IF($S197="Lớp 4",INDEX('Lớp 4 - Danh mục'!$O$14:$O$132,$T197),"")))</f>
        <v>#REF!</v>
      </c>
      <c r="J197" s="693" t="str">
        <f t="array" ref="J197">IF($S197="","",IF($S197="Lớp 5",INDEX('Lớp 5 - Phân công'!$Q$14:$Q$262,$T197),""))</f>
        <v>#REF!</v>
      </c>
      <c r="K197" s="690" t="str">
        <f t="array" ref="K197">IF($S197="","",IF($S197="Lớp 5",INDEX('Lớp 5 - Phân công'!$AA$14:$AA$262,$T197),IF($S197="Lớp 4",INDEX('Lớp 4 - Danh mục'!$Y$14:$Y$132,$T197),INDEX('Lớp 3 - Công việc chính'!$U$14:$U$73,$T197))))</f>
        <v>#REF!</v>
      </c>
      <c r="L197" s="691" t="str">
        <f t="array" ref="L197">IF($S197="","",IF($S197="Lớp 5",INDEX('Lớp 5 - Phân công'!$Z$14:$Z$262,$T197),IF($S197="Lớp 4",INDEX('Lớp 4 - Danh mục'!$X$14:$X$132,$T197),INDEX('Lớp 3 - Công việc chính'!$W$14:$W$73,$T197))))</f>
        <v>#REF!</v>
      </c>
      <c r="M197" s="694" t="str">
        <f t="array" ref="M197">IF($S197="","",IF($S197="Lớp 5",INDEX('Lớp 5 - Phân công'!$AD$14:$AD$262,$T197),IF($S197="Lớp 4",INDEX('Lớp 4 - Danh mục'!$AC$14:$AC$132,$T197),INDEX('Lớp 3 - Công việc chính'!$Z$14:$Z$73,$T197))))</f>
        <v>#REF!</v>
      </c>
      <c r="N197" s="695" t="str">
        <f t="array" ref="N197">IF($S197="","",IF($S197="Lớp 5",INDEX('Lớp 5 - Phân công'!$AE$14:$AE$262,$T197),IF($S197="Lớp 4",INDEX('Lớp 4 - Danh mục'!$AD$14:$AD$132,$T197),INDEX('Lớp 3 - Công việc chính'!$AA$14:$AA$73,$T197))))</f>
        <v>#REF!</v>
      </c>
      <c r="O197" s="690" t="str">
        <f t="array" ref="O197">IF($S197="","",IF($S197="Lớp 5",INDEX('Lớp 5 - Phân công'!$AB$14:$AB$262,$T197),IF($S197="Lớp 4",INDEX('Lớp 4 - Danh mục'!$AA$14:$AA$132,$T197),INDEX('Lớp 3 - Công việc chính'!$X$14:$X$73,$T197))))</f>
        <v>#REF!</v>
      </c>
      <c r="P197" s="703" t="str">
        <f t="array" ref="P197">IF($S197="","",IF($S197="Lớp 5",INDEX('Lớp 5 - Phân công'!$AC$14:$AC$262,$T197),IF($S197="Lớp 4",INDEX('Lớp 4 - Danh mục'!$AB$14:$AB$132,$T197),INDEX('Lớp 3 - Công việc chính'!$Y$14:$Y$73,$T197))))</f>
        <v>#REF!</v>
      </c>
      <c r="Q197" s="697" t="str">
        <f t="array" ref="Q197">IF($S197="","",IF($S197="Lớp 5",INDEX('Lớp 5 - Phân công'!$AG$14:$AG$262,$T197),IF($S197="Lớp 4",INDEX('Lớp 4 - Danh mục'!$AF$14:$AF$132,$T197),INDEX('Lớp 3 - Công việc chính'!$AC$14:$AC$73,$T197))))</f>
        <v>#REF!</v>
      </c>
      <c r="R197" s="698" t="str">
        <f t="array" ref="R197">IF($S197="","",IF($S197="Lớp 5",INDEX('Lớp 5 - Phân công'!$X$14:$X$262,$T197),IF($S197="Lớp 4",INDEX('Lớp 4 - Danh mục'!$V$14:$V$132,$T197),INDEX('Lớp 3 - Công việc chính'!$T$14:$T$73,$T197))))</f>
        <v>#REF!</v>
      </c>
      <c r="S197" s="699" t="str">
        <f>IF(ROWS($S$14:S197)&lt;=COUNTIF('Lớp 5 - Phân công'!$I$14:$I$262,"&lt;&gt;"),"Lớp 5",IF(ROWS($S$14:S197)&lt;=COUNTIF('Lớp 5 - Phân công'!$I$14:$I$262,"&lt;&gt;")+SUMPRODUCT(--('Lớp 4 - Danh mục'!$I$14:$I$132&lt;&gt;""),--(COUNTIF('Lớp 5 - Phân công'!$J$14:$J$262,'Lớp 4 - Danh mục'!$I$14:$I$132)=0)),"Lớp 4",IF(ROWS($S$14:S197)&lt;=COUNTIF('Lớp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7" s="699" t="str">
        <f t="array" ref="T197">IF(S197="","",IF(S197="Lớp 5",IF(S196&lt;&gt;"Lớp 5",MATCH("*",'Lớp 5 - Phân công'!$I$14:$I$262,0),T196+MATCH("*",INDEX('Lớp 5 - Phân công'!$I$14:$I$262,T196+1):'Lớp 5 - Phân công'!$I$262,0)),IF(S197="Lớp 4",IF(S196&lt;&gt;"Lớp 4",MATCH(1,INDEX(('Lớp 4 - Danh mục'!$I$14:$I$132&lt;&gt;"")*(COUNTIF('Lớp 5 - Phân công'!$J$14:$J$262,'Lớp 4 - Danh mục'!$I$14:$I$132)=0),0),0),T196+MATCH(1,INDEX((INDEX('Lớp 4 - Danh mục'!$I$14:$I$132,T196+1):'Lớp 4 - Danh mục'!$I$132&lt;&gt;"")*(COUNTIF('Lớp 5 - Phân công'!$J$14:$J$262,INDEX('Lớp 4 - Danh mục'!$I$14:$I$132,T196+1):'Lớp 4 - Danh mục'!$I$132)=0),0),0)),IF(S196&lt;&gt;"Lớp 3",MATCH(1,INDEX(('Lớp 3 - Công việc chính'!$I$14:$I$73&lt;&gt;"")*(COUNTIF('Lớp 4 - Danh mục'!$J$14:$J$132,'Lớp 3 - Công việc chính'!$I$14:$I$73)=0),0),0),T196+MATCH(1,INDEX((INDEX('Lớp 3 - Công việc chính'!$I$14:$I$73,T196+1):'Lớp 3 - Công việc chính'!$I$73&lt;&gt;"")*(COUNTIF('Lớp 4 - Danh mục'!$J$14:$J$132,INDEX('Lớp 3 - Công việc chính'!$I$14:$I$73,T196+1):'Lớp 3 - Công việc chính'!$I$73)=0),0),0)))))</f>
        <v>#REF!</v>
      </c>
      <c r="Z197" s="700" t="str">
        <f t="array" ref="Z197">IF($S197="","",IF($S197="Lớp 5",INDEX('Lớp 5 - Phân công'!$AS$14:$AS$262,$T197),IF($S197="Lớp 4",INDEX('Lớp 4 - Danh mục'!$AR$14:$AR$132,$T197),INDEX('Lớp 3 - Công việc chính'!$AO$14:$AO$73,$T197))))</f>
        <v>#REF!</v>
      </c>
      <c r="AA197" s="701" t="str">
        <f t="array" ref="AA197">IF($S197="","",IF($S197="Lớp 5",INDEX('Lớp 5 - Phân công'!$AT$14:$AT$262,$T197),IF($S197="Lớp 4",INDEX('Lớp 4 - Danh mục'!$AS$14:$AS$132,$T197),INDEX('Lớp 3 - Công việc chính'!$AP$14:$AP$73,$T197))))</f>
        <v>#REF!</v>
      </c>
      <c r="AB197" s="701" t="str">
        <f t="array" ref="AB197">IF($S197="","",IF($S197="Lớp 5",INDEX('Lớp 5 - Phân công'!$AJ$14:$AJ$262,$T197),IF($S197="Lớp 4",INDEX('Lớp 4 - Danh mục'!$AI$14:$AI$132,$T197),INDEX('Lớp 3 - Công việc chính'!$AF$14:$AF$73,$T197))))</f>
        <v>#REF!</v>
      </c>
      <c r="AC197" s="702" t="str">
        <f t="array" ref="AC197">IF($S197="","",IF($S197="Lớp 5",INDEX('Lớp 5 - Phân công'!$AV$14:$AV$262,$T197),IF($S197="Lớp 4",INDEX('Lớp 4 - Danh mục'!$AU$14:$AU$132,$T197),INDEX('Lớp 3 - Công việc chính'!$AR$14:$AR$73,$T197))))</f>
        <v>#REF!</v>
      </c>
    </row>
    <row r="198" ht="15.75" customHeight="1">
      <c r="A198" s="690" t="str">
        <f t="shared" si="1"/>
        <v>#REF!</v>
      </c>
      <c r="B198" s="690" t="str">
        <f t="array" ref="B198">IF($S198="","",IF($S198="Lớp 5",INDEX('Lớp 5 - Phân công'!$I$14:$I$262,$T198),IF($S198="Lớp 4",INDEX('Lớp 4 - Danh mục'!$I$14:$I$132,$T198),INDEX('Lớp 3 - Công việc chính'!$I$14:$I$73,$T198))))</f>
        <v>#REF!</v>
      </c>
      <c r="C198" s="690" t="str">
        <f t="array" ref="C198">IF($S198="","",IF($S198="Lớp 5",INDEX('Lớp 5 - Phân công'!$K$14:$K$262,$T198),IF($S198="Lớp 4",INDEX('Lớp 4 - Danh mục'!$J$14:$J$132,$T198),INDEX('Lớp 3 - Công việc chính'!$I$14:$I$73,$T198))))</f>
        <v>#REF!</v>
      </c>
      <c r="D198" s="690" t="str">
        <f t="array" ref="D198">IF($S198="","",IF($S198="Lớp 5",INDEX('Lớp 5 - Phân công'!$J$14:$J$262,$T198),IF($S198="Lớp 4",INDEX('Lớp 4 - Danh mục'!$I$14:$I$132,$T198),"")))</f>
        <v>#REF!</v>
      </c>
      <c r="E198" s="690" t="str">
        <f t="array" ref="E198">IF($S198="","",IF($S198="Lớp 5",INDEX('Lớp 5 - Phân công'!$L$14:$L$262,$T198),IF($S198="Lớp 4",INDEX('Lớp 4 - Danh mục'!$K$14:$K$132,$T198),INDEX('Lớp 3 - Công việc chính'!$J$14:$J$73,$T198))))</f>
        <v>#REF!</v>
      </c>
      <c r="F198" s="690" t="str">
        <f t="array" ref="F198">IF($S198="","",IF($S198="Lớp 5",INDEX('Lớp 5 - Phân công'!$M$14:$M$262,$T198),IF($S198="Lớp 4",INDEX('Lớp 4 - Danh mục'!$L$14:$L$132,$T198),INDEX('Lớp 3 - Công việc chính'!$K$14:$K$73,$T198))))</f>
        <v>#REF!</v>
      </c>
      <c r="G198" s="691" t="str">
        <f t="array" ref="G198">IF($S198="","",IF($S198="Lớp 5",INDEX('Lớp 5 - Phân công'!$N$14:$N$262,$T198),IF($S198="Lớp 4",INDEX('Lớp 4 - Danh mục'!$M$14:$M$132,$T198),INDEX('Lớp 3 - Công việc chính'!$L$14:$L$73,$T198))))</f>
        <v>#REF!</v>
      </c>
      <c r="H198" s="692" t="str">
        <f t="array" ref="H198">IF($S198="","",IF($S198="Lớp 5",INDEX('Lớp 5 - Phân công'!$O$14:$O$262,$T198),IF($S198="Lớp 4",INDEX('Lớp 4 - Danh mục'!$N$14:$N$132,$T198),INDEX('Lớp 3 - Công việc chính'!$M$14:$M$73,$T198))))</f>
        <v>#REF!</v>
      </c>
      <c r="I198" s="692" t="str">
        <f t="array" ref="I198">IF($S198="","",IF($S198="Lớp 5",INDEX('Lớp 5 - Phân công'!$P$14:$P$262,$T198),IF($S198="Lớp 4",INDEX('Lớp 4 - Danh mục'!$O$14:$O$132,$T198),"")))</f>
        <v>#REF!</v>
      </c>
      <c r="J198" s="693" t="str">
        <f t="array" ref="J198">IF($S198="","",IF($S198="Lớp 5",INDEX('Lớp 5 - Phân công'!$Q$14:$Q$262,$T198),""))</f>
        <v>#REF!</v>
      </c>
      <c r="K198" s="690" t="str">
        <f t="array" ref="K198">IF($S198="","",IF($S198="Lớp 5",INDEX('Lớp 5 - Phân công'!$AA$14:$AA$262,$T198),IF($S198="Lớp 4",INDEX('Lớp 4 - Danh mục'!$Y$14:$Y$132,$T198),INDEX('Lớp 3 - Công việc chính'!$U$14:$U$73,$T198))))</f>
        <v>#REF!</v>
      </c>
      <c r="L198" s="691" t="str">
        <f t="array" ref="L198">IF($S198="","",IF($S198="Lớp 5",INDEX('Lớp 5 - Phân công'!$Z$14:$Z$262,$T198),IF($S198="Lớp 4",INDEX('Lớp 4 - Danh mục'!$X$14:$X$132,$T198),INDEX('Lớp 3 - Công việc chính'!$W$14:$W$73,$T198))))</f>
        <v>#REF!</v>
      </c>
      <c r="M198" s="694" t="str">
        <f t="array" ref="M198">IF($S198="","",IF($S198="Lớp 5",INDEX('Lớp 5 - Phân công'!$AD$14:$AD$262,$T198),IF($S198="Lớp 4",INDEX('Lớp 4 - Danh mục'!$AC$14:$AC$132,$T198),INDEX('Lớp 3 - Công việc chính'!$Z$14:$Z$73,$T198))))</f>
        <v>#REF!</v>
      </c>
      <c r="N198" s="695" t="str">
        <f t="array" ref="N198">IF($S198="","",IF($S198="Lớp 5",INDEX('Lớp 5 - Phân công'!$AE$14:$AE$262,$T198),IF($S198="Lớp 4",INDEX('Lớp 4 - Danh mục'!$AD$14:$AD$132,$T198),INDEX('Lớp 3 - Công việc chính'!$AA$14:$AA$73,$T198))))</f>
        <v>#REF!</v>
      </c>
      <c r="O198" s="690" t="str">
        <f t="array" ref="O198">IF($S198="","",IF($S198="Lớp 5",INDEX('Lớp 5 - Phân công'!$AB$14:$AB$262,$T198),IF($S198="Lớp 4",INDEX('Lớp 4 - Danh mục'!$AA$14:$AA$132,$T198),INDEX('Lớp 3 - Công việc chính'!$X$14:$X$73,$T198))))</f>
        <v>#REF!</v>
      </c>
      <c r="P198" s="703" t="str">
        <f t="array" ref="P198">IF($S198="","",IF($S198="Lớp 5",INDEX('Lớp 5 - Phân công'!$AC$14:$AC$262,$T198),IF($S198="Lớp 4",INDEX('Lớp 4 - Danh mục'!$AB$14:$AB$132,$T198),INDEX('Lớp 3 - Công việc chính'!$Y$14:$Y$73,$T198))))</f>
        <v>#REF!</v>
      </c>
      <c r="Q198" s="697" t="str">
        <f t="array" ref="Q198">IF($S198="","",IF($S198="Lớp 5",INDEX('Lớp 5 - Phân công'!$AG$14:$AG$262,$T198),IF($S198="Lớp 4",INDEX('Lớp 4 - Danh mục'!$AF$14:$AF$132,$T198),INDEX('Lớp 3 - Công việc chính'!$AC$14:$AC$73,$T198))))</f>
        <v>#REF!</v>
      </c>
      <c r="R198" s="698" t="str">
        <f t="array" ref="R198">IF($S198="","",IF($S198="Lớp 5",INDEX('Lớp 5 - Phân công'!$X$14:$X$262,$T198),IF($S198="Lớp 4",INDEX('Lớp 4 - Danh mục'!$V$14:$V$132,$T198),INDEX('Lớp 3 - Công việc chính'!$T$14:$T$73,$T198))))</f>
        <v>#REF!</v>
      </c>
      <c r="S198" s="699" t="str">
        <f>IF(ROWS($S$14:S198)&lt;=COUNTIF('Lớp 5 - Phân công'!$I$14:$I$262,"&lt;&gt;"),"Lớp 5",IF(ROWS($S$14:S198)&lt;=COUNTIF('Lớp 5 - Phân công'!$I$14:$I$262,"&lt;&gt;")+SUMPRODUCT(--('Lớp 4 - Danh mục'!$I$14:$I$132&lt;&gt;""),--(COUNTIF('Lớp 5 - Phân công'!$J$14:$J$262,'Lớp 4 - Danh mục'!$I$14:$I$132)=0)),"Lớp 4",IF(ROWS($S$14:S198)&lt;=COUNTIF('Lớp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8" s="699" t="str">
        <f t="array" ref="T198">IF(S198="","",IF(S198="Lớp 5",IF(S197&lt;&gt;"Lớp 5",MATCH("*",'Lớp 5 - Phân công'!$I$14:$I$262,0),T197+MATCH("*",INDEX('Lớp 5 - Phân công'!$I$14:$I$262,T197+1):'Lớp 5 - Phân công'!$I$262,0)),IF(S198="Lớp 4",IF(S197&lt;&gt;"Lớp 4",MATCH(1,INDEX(('Lớp 4 - Danh mục'!$I$14:$I$132&lt;&gt;"")*(COUNTIF('Lớp 5 - Phân công'!$J$14:$J$262,'Lớp 4 - Danh mục'!$I$14:$I$132)=0),0),0),T197+MATCH(1,INDEX((INDEX('Lớp 4 - Danh mục'!$I$14:$I$132,T197+1):'Lớp 4 - Danh mục'!$I$132&lt;&gt;"")*(COUNTIF('Lớp 5 - Phân công'!$J$14:$J$262,INDEX('Lớp 4 - Danh mục'!$I$14:$I$132,T197+1):'Lớp 4 - Danh mục'!$I$132)=0),0),0)),IF(S197&lt;&gt;"Lớp 3",MATCH(1,INDEX(('Lớp 3 - Công việc chính'!$I$14:$I$73&lt;&gt;"")*(COUNTIF('Lớp 4 - Danh mục'!$J$14:$J$132,'Lớp 3 - Công việc chính'!$I$14:$I$73)=0),0),0),T197+MATCH(1,INDEX((INDEX('Lớp 3 - Công việc chính'!$I$14:$I$73,T197+1):'Lớp 3 - Công việc chính'!$I$73&lt;&gt;"")*(COUNTIF('Lớp 4 - Danh mục'!$J$14:$J$132,INDEX('Lớp 3 - Công việc chính'!$I$14:$I$73,T197+1):'Lớp 3 - Công việc chính'!$I$73)=0),0),0)))))</f>
        <v>#REF!</v>
      </c>
      <c r="Z198" s="700" t="str">
        <f t="array" ref="Z198">IF($S198="","",IF($S198="Lớp 5",INDEX('Lớp 5 - Phân công'!$AS$14:$AS$262,$T198),IF($S198="Lớp 4",INDEX('Lớp 4 - Danh mục'!$AR$14:$AR$132,$T198),INDEX('Lớp 3 - Công việc chính'!$AO$14:$AO$73,$T198))))</f>
        <v>#REF!</v>
      </c>
      <c r="AA198" s="701" t="str">
        <f t="array" ref="AA198">IF($S198="","",IF($S198="Lớp 5",INDEX('Lớp 5 - Phân công'!$AT$14:$AT$262,$T198),IF($S198="Lớp 4",INDEX('Lớp 4 - Danh mục'!$AS$14:$AS$132,$T198),INDEX('Lớp 3 - Công việc chính'!$AP$14:$AP$73,$T198))))</f>
        <v>#REF!</v>
      </c>
      <c r="AB198" s="701" t="str">
        <f t="array" ref="AB198">IF($S198="","",IF($S198="Lớp 5",INDEX('Lớp 5 - Phân công'!$AJ$14:$AJ$262,$T198),IF($S198="Lớp 4",INDEX('Lớp 4 - Danh mục'!$AI$14:$AI$132,$T198),INDEX('Lớp 3 - Công việc chính'!$AF$14:$AF$73,$T198))))</f>
        <v>#REF!</v>
      </c>
      <c r="AC198" s="702" t="str">
        <f t="array" ref="AC198">IF($S198="","",IF($S198="Lớp 5",INDEX('Lớp 5 - Phân công'!$AV$14:$AV$262,$T198),IF($S198="Lớp 4",INDEX('Lớp 4 - Danh mục'!$AU$14:$AU$132,$T198),INDEX('Lớp 3 - Công việc chính'!$AR$14:$AR$73,$T198))))</f>
        <v>#REF!</v>
      </c>
    </row>
    <row r="199" ht="15.75" customHeight="1">
      <c r="A199" s="690" t="str">
        <f t="shared" si="1"/>
        <v>#REF!</v>
      </c>
      <c r="B199" s="690" t="str">
        <f t="array" ref="B199">IF($S199="","",IF($S199="Lớp 5",INDEX('Lớp 5 - Phân công'!$I$14:$I$262,$T199),IF($S199="Lớp 4",INDEX('Lớp 4 - Danh mục'!$I$14:$I$132,$T199),INDEX('Lớp 3 - Công việc chính'!$I$14:$I$73,$T199))))</f>
        <v>#REF!</v>
      </c>
      <c r="C199" s="690" t="str">
        <f t="array" ref="C199">IF($S199="","",IF($S199="Lớp 5",INDEX('Lớp 5 - Phân công'!$K$14:$K$262,$T199),IF($S199="Lớp 4",INDEX('Lớp 4 - Danh mục'!$J$14:$J$132,$T199),INDEX('Lớp 3 - Công việc chính'!$I$14:$I$73,$T199))))</f>
        <v>#REF!</v>
      </c>
      <c r="D199" s="690" t="str">
        <f t="array" ref="D199">IF($S199="","",IF($S199="Lớp 5",INDEX('Lớp 5 - Phân công'!$J$14:$J$262,$T199),IF($S199="Lớp 4",INDEX('Lớp 4 - Danh mục'!$I$14:$I$132,$T199),"")))</f>
        <v>#REF!</v>
      </c>
      <c r="E199" s="690" t="str">
        <f t="array" ref="E199">IF($S199="","",IF($S199="Lớp 5",INDEX('Lớp 5 - Phân công'!$L$14:$L$262,$T199),IF($S199="Lớp 4",INDEX('Lớp 4 - Danh mục'!$K$14:$K$132,$T199),INDEX('Lớp 3 - Công việc chính'!$J$14:$J$73,$T199))))</f>
        <v>#REF!</v>
      </c>
      <c r="F199" s="690" t="str">
        <f t="array" ref="F199">IF($S199="","",IF($S199="Lớp 5",INDEX('Lớp 5 - Phân công'!$M$14:$M$262,$T199),IF($S199="Lớp 4",INDEX('Lớp 4 - Danh mục'!$L$14:$L$132,$T199),INDEX('Lớp 3 - Công việc chính'!$K$14:$K$73,$T199))))</f>
        <v>#REF!</v>
      </c>
      <c r="G199" s="691" t="str">
        <f t="array" ref="G199">IF($S199="","",IF($S199="Lớp 5",INDEX('Lớp 5 - Phân công'!$N$14:$N$262,$T199),IF($S199="Lớp 4",INDEX('Lớp 4 - Danh mục'!$M$14:$M$132,$T199),INDEX('Lớp 3 - Công việc chính'!$L$14:$L$73,$T199))))</f>
        <v>#REF!</v>
      </c>
      <c r="H199" s="692" t="str">
        <f t="array" ref="H199">IF($S199="","",IF($S199="Lớp 5",INDEX('Lớp 5 - Phân công'!$O$14:$O$262,$T199),IF($S199="Lớp 4",INDEX('Lớp 4 - Danh mục'!$N$14:$N$132,$T199),INDEX('Lớp 3 - Công việc chính'!$M$14:$M$73,$T199))))</f>
        <v>#REF!</v>
      </c>
      <c r="I199" s="692" t="str">
        <f t="array" ref="I199">IF($S199="","",IF($S199="Lớp 5",INDEX('Lớp 5 - Phân công'!$P$14:$P$262,$T199),IF($S199="Lớp 4",INDEX('Lớp 4 - Danh mục'!$O$14:$O$132,$T199),"")))</f>
        <v>#REF!</v>
      </c>
      <c r="J199" s="693" t="str">
        <f t="array" ref="J199">IF($S199="","",IF($S199="Lớp 5",INDEX('Lớp 5 - Phân công'!$Q$14:$Q$262,$T199),""))</f>
        <v>#REF!</v>
      </c>
      <c r="K199" s="690" t="str">
        <f t="array" ref="K199">IF($S199="","",IF($S199="Lớp 5",INDEX('Lớp 5 - Phân công'!$AA$14:$AA$262,$T199),IF($S199="Lớp 4",INDEX('Lớp 4 - Danh mục'!$Y$14:$Y$132,$T199),INDEX('Lớp 3 - Công việc chính'!$U$14:$U$73,$T199))))</f>
        <v>#REF!</v>
      </c>
      <c r="L199" s="691" t="str">
        <f t="array" ref="L199">IF($S199="","",IF($S199="Lớp 5",INDEX('Lớp 5 - Phân công'!$Z$14:$Z$262,$T199),IF($S199="Lớp 4",INDEX('Lớp 4 - Danh mục'!$X$14:$X$132,$T199),INDEX('Lớp 3 - Công việc chính'!$W$14:$W$73,$T199))))</f>
        <v>#REF!</v>
      </c>
      <c r="M199" s="694" t="str">
        <f t="array" ref="M199">IF($S199="","",IF($S199="Lớp 5",INDEX('Lớp 5 - Phân công'!$AD$14:$AD$262,$T199),IF($S199="Lớp 4",INDEX('Lớp 4 - Danh mục'!$AC$14:$AC$132,$T199),INDEX('Lớp 3 - Công việc chính'!$Z$14:$Z$73,$T199))))</f>
        <v>#REF!</v>
      </c>
      <c r="N199" s="695" t="str">
        <f t="array" ref="N199">IF($S199="","",IF($S199="Lớp 5",INDEX('Lớp 5 - Phân công'!$AE$14:$AE$262,$T199),IF($S199="Lớp 4",INDEX('Lớp 4 - Danh mục'!$AD$14:$AD$132,$T199),INDEX('Lớp 3 - Công việc chính'!$AA$14:$AA$73,$T199))))</f>
        <v>#REF!</v>
      </c>
      <c r="O199" s="690" t="str">
        <f t="array" ref="O199">IF($S199="","",IF($S199="Lớp 5",INDEX('Lớp 5 - Phân công'!$AB$14:$AB$262,$T199),IF($S199="Lớp 4",INDEX('Lớp 4 - Danh mục'!$AA$14:$AA$132,$T199),INDEX('Lớp 3 - Công việc chính'!$X$14:$X$73,$T199))))</f>
        <v>#REF!</v>
      </c>
      <c r="P199" s="703" t="str">
        <f t="array" ref="P199">IF($S199="","",IF($S199="Lớp 5",INDEX('Lớp 5 - Phân công'!$AC$14:$AC$262,$T199),IF($S199="Lớp 4",INDEX('Lớp 4 - Danh mục'!$AB$14:$AB$132,$T199),INDEX('Lớp 3 - Công việc chính'!$Y$14:$Y$73,$T199))))</f>
        <v>#REF!</v>
      </c>
      <c r="Q199" s="697" t="str">
        <f t="array" ref="Q199">IF($S199="","",IF($S199="Lớp 5",INDEX('Lớp 5 - Phân công'!$AG$14:$AG$262,$T199),IF($S199="Lớp 4",INDEX('Lớp 4 - Danh mục'!$AF$14:$AF$132,$T199),INDEX('Lớp 3 - Công việc chính'!$AC$14:$AC$73,$T199))))</f>
        <v>#REF!</v>
      </c>
      <c r="R199" s="698" t="str">
        <f t="array" ref="R199">IF($S199="","",IF($S199="Lớp 5",INDEX('Lớp 5 - Phân công'!$X$14:$X$262,$T199),IF($S199="Lớp 4",INDEX('Lớp 4 - Danh mục'!$V$14:$V$132,$T199),INDEX('Lớp 3 - Công việc chính'!$T$14:$T$73,$T199))))</f>
        <v>#REF!</v>
      </c>
      <c r="S199" s="699" t="str">
        <f>IF(ROWS($S$14:S199)&lt;=COUNTIF('Lớp 5 - Phân công'!$I$14:$I$262,"&lt;&gt;"),"Lớp 5",IF(ROWS($S$14:S199)&lt;=COUNTIF('Lớp 5 - Phân công'!$I$14:$I$262,"&lt;&gt;")+SUMPRODUCT(--('Lớp 4 - Danh mục'!$I$14:$I$132&lt;&gt;""),--(COUNTIF('Lớp 5 - Phân công'!$J$14:$J$262,'Lớp 4 - Danh mục'!$I$14:$I$132)=0)),"Lớp 4",IF(ROWS($S$14:S199)&lt;=COUNTIF('Lớp 5 - Phân công'!$I$14:$I$262,"&lt;&gt;")+SUMPRODUCT(--('Lớp 4 - Danh mục'!$I$14:$I$132&lt;&gt;""),--(COUNTIF('Lớp 5 - Phân công'!$J$14:$J$262,'Lớp 4 - Danh mục'!$I$14:$I$132)=0))+SUMPRODUCT(--('Lớp 3 - Công việc chính'!$I$14:$I$73&lt;&gt;""),--(COUNTIF('Lớp 4 - Danh mục'!$J$14:$J$132,'Lớp 3 - Công việc chính'!$I$14:$I$73)=0)),"Lớp 3","")))</f>
        <v>#REF!</v>
      </c>
      <c r="T199" s="699" t="str">
        <f t="array" ref="T199">IF(S199="","",IF(S199="Lớp 5",IF(S198&lt;&gt;"Lớp 5",MATCH("*",'Lớp 5 - Phân công'!$I$14:$I$262,0),T198+MATCH("*",INDEX('Lớp 5 - Phân công'!$I$14:$I$262,T198+1):'Lớp 5 - Phân công'!$I$262,0)),IF(S199="Lớp 4",IF(S198&lt;&gt;"Lớp 4",MATCH(1,INDEX(('Lớp 4 - Danh mục'!$I$14:$I$132&lt;&gt;"")*(COUNTIF('Lớp 5 - Phân công'!$J$14:$J$262,'Lớp 4 - Danh mục'!$I$14:$I$132)=0),0),0),T198+MATCH(1,INDEX((INDEX('Lớp 4 - Danh mục'!$I$14:$I$132,T198+1):'Lớp 4 - Danh mục'!$I$132&lt;&gt;"")*(COUNTIF('Lớp 5 - Phân công'!$J$14:$J$262,INDEX('Lớp 4 - Danh mục'!$I$14:$I$132,T198+1):'Lớp 4 - Danh mục'!$I$132)=0),0),0)),IF(S198&lt;&gt;"Lớp 3",MATCH(1,INDEX(('Lớp 3 - Công việc chính'!$I$14:$I$73&lt;&gt;"")*(COUNTIF('Lớp 4 - Danh mục'!$J$14:$J$132,'Lớp 3 - Công việc chính'!$I$14:$I$73)=0),0),0),T198+MATCH(1,INDEX((INDEX('Lớp 3 - Công việc chính'!$I$14:$I$73,T198+1):'Lớp 3 - Công việc chính'!$I$73&lt;&gt;"")*(COUNTIF('Lớp 4 - Danh mục'!$J$14:$J$132,INDEX('Lớp 3 - Công việc chính'!$I$14:$I$73,T198+1):'Lớp 3 - Công việc chính'!$I$73)=0),0),0)))))</f>
        <v>#REF!</v>
      </c>
      <c r="Z199" s="700" t="str">
        <f t="array" ref="Z199">IF($S199="","",IF($S199="Lớp 5",INDEX('Lớp 5 - Phân công'!$AS$14:$AS$262,$T199),IF($S199="Lớp 4",INDEX('Lớp 4 - Danh mục'!$AR$14:$AR$132,$T199),INDEX('Lớp 3 - Công việc chính'!$AO$14:$AO$73,$T199))))</f>
        <v>#REF!</v>
      </c>
      <c r="AA199" s="701" t="str">
        <f t="array" ref="AA199">IF($S199="","",IF($S199="Lớp 5",INDEX('Lớp 5 - Phân công'!$AT$14:$AT$262,$T199),IF($S199="Lớp 4",INDEX('Lớp 4 - Danh mục'!$AS$14:$AS$132,$T199),INDEX('Lớp 3 - Công việc chính'!$AP$14:$AP$73,$T199))))</f>
        <v>#REF!</v>
      </c>
      <c r="AB199" s="701" t="str">
        <f t="array" ref="AB199">IF($S199="","",IF($S199="Lớp 5",INDEX('Lớp 5 - Phân công'!$AJ$14:$AJ$262,$T199),IF($S199="Lớp 4",INDEX('Lớp 4 - Danh mục'!$AI$14:$AI$132,$T199),INDEX('Lớp 3 - Công việc chính'!$AF$14:$AF$73,$T199))))</f>
        <v>#REF!</v>
      </c>
      <c r="AC199" s="702" t="str">
        <f t="array" ref="AC199">IF($S199="","",IF($S199="Lớp 5",INDEX('Lớp 5 - Phân công'!$AV$14:$AV$262,$T199),IF($S199="Lớp 4",INDEX('Lớp 4 - Danh mục'!$AU$14:$AU$132,$T199),INDEX('Lớp 3 - Công việc chính'!$AR$14:$AR$73,$T199))))</f>
        <v>#REF!</v>
      </c>
    </row>
    <row r="200" ht="15.75" customHeight="1">
      <c r="A200" s="690" t="str">
        <f t="shared" si="1"/>
        <v>#REF!</v>
      </c>
      <c r="B200" s="690" t="str">
        <f t="array" ref="B200">IF($S200="","",IF($S200="Lớp 5",INDEX('Lớp 5 - Phân công'!$I$14:$I$262,$T200),IF($S200="Lớp 4",INDEX('Lớp 4 - Danh mục'!$I$14:$I$132,$T200),INDEX('Lớp 3 - Công việc chính'!$I$14:$I$73,$T200))))</f>
        <v>#REF!</v>
      </c>
      <c r="C200" s="690" t="str">
        <f t="array" ref="C200">IF($S200="","",IF($S200="Lớp 5",INDEX('Lớp 5 - Phân công'!$K$14:$K$262,$T200),IF($S200="Lớp 4",INDEX('Lớp 4 - Danh mục'!$J$14:$J$132,$T200),INDEX('Lớp 3 - Công việc chính'!$I$14:$I$73,$T200))))</f>
        <v>#REF!</v>
      </c>
      <c r="D200" s="690" t="str">
        <f t="array" ref="D200">IF($S200="","",IF($S200="Lớp 5",INDEX('Lớp 5 - Phân công'!$J$14:$J$262,$T200),IF($S200="Lớp 4",INDEX('Lớp 4 - Danh mục'!$I$14:$I$132,$T200),"")))</f>
        <v>#REF!</v>
      </c>
      <c r="E200" s="690" t="str">
        <f t="array" ref="E200">IF($S200="","",IF($S200="Lớp 5",INDEX('Lớp 5 - Phân công'!$L$14:$L$262,$T200),IF($S200="Lớp 4",INDEX('Lớp 4 - Danh mục'!$K$14:$K$132,$T200),INDEX('Lớp 3 - Công việc chính'!$J$14:$J$73,$T200))))</f>
        <v>#REF!</v>
      </c>
      <c r="F200" s="690" t="str">
        <f t="array" ref="F200">IF($S200="","",IF($S200="Lớp 5",INDEX('Lớp 5 - Phân công'!$M$14:$M$262,$T200),IF($S200="Lớp 4",INDEX('Lớp 4 - Danh mục'!$L$14:$L$132,$T200),INDEX('Lớp 3 - Công việc chính'!$K$14:$K$73,$T200))))</f>
        <v>#REF!</v>
      </c>
      <c r="G200" s="691" t="str">
        <f t="array" ref="G200">IF($S200="","",IF($S200="Lớp 5",INDEX('Lớp 5 - Phân công'!$N$14:$N$262,$T200),IF($S200="Lớp 4",INDEX('Lớp 4 - Danh mục'!$M$14:$M$132,$T200),INDEX('Lớp 3 - Công việc chính'!$L$14:$L$73,$T200))))</f>
        <v>#REF!</v>
      </c>
      <c r="H200" s="692" t="str">
        <f t="array" ref="H200">IF($S200="","",IF($S200="Lớp 5",INDEX('Lớp 5 - Phân công'!$O$14:$O$262,$T200),IF($S200="Lớp 4",INDEX('Lớp 4 - Danh mục'!$N$14:$N$132,$T200),INDEX('Lớp 3 - Công việc chính'!$M$14:$M$73,$T200))))</f>
        <v>#REF!</v>
      </c>
      <c r="I200" s="692" t="str">
        <f t="array" ref="I200">IF($S200="","",IF($S200="Lớp 5",INDEX('Lớp 5 - Phân công'!$P$14:$P$262,$T200),IF($S200="Lớp 4",INDEX('Lớp 4 - Danh mục'!$O$14:$O$132,$T200),"")))</f>
        <v>#REF!</v>
      </c>
      <c r="J200" s="693" t="str">
        <f t="array" ref="J200">IF($S200="","",IF($S200="Lớp 5",INDEX('Lớp 5 - Phân công'!$Q$14:$Q$262,$T200),""))</f>
        <v>#REF!</v>
      </c>
      <c r="K200" s="690" t="str">
        <f t="array" ref="K200">IF($S200="","",IF($S200="Lớp 5",INDEX('Lớp 5 - Phân công'!$AA$14:$AA$262,$T200),IF($S200="Lớp 4",INDEX('Lớp 4 - Danh mục'!$Y$14:$Y$132,$T200),INDEX('Lớp 3 - Công việc chính'!$U$14:$U$73,$T200))))</f>
        <v>#REF!</v>
      </c>
      <c r="L200" s="691" t="str">
        <f t="array" ref="L200">IF($S200="","",IF($S200="Lớp 5",INDEX('Lớp 5 - Phân công'!$Z$14:$Z$262,$T200),IF($S200="Lớp 4",INDEX('Lớp 4 - Danh mục'!$X$14:$X$132,$T200),INDEX('Lớp 3 - Công việc chính'!$W$14:$W$73,$T200))))</f>
        <v>#REF!</v>
      </c>
      <c r="M200" s="694" t="str">
        <f t="array" ref="M200">IF($S200="","",IF($S200="Lớp 5",INDEX('Lớp 5 - Phân công'!$AD$14:$AD$262,$T200),IF($S200="Lớp 4",INDEX('Lớp 4 - Danh mục'!$AC$14:$AC$132,$T200),INDEX('Lớp 3 - Công việc chính'!$Z$14:$Z$73,$T200))))</f>
        <v>#REF!</v>
      </c>
      <c r="N200" s="695" t="str">
        <f t="array" ref="N200">IF($S200="","",IF($S200="Lớp 5",INDEX('Lớp 5 - Phân công'!$AE$14:$AE$262,$T200),IF($S200="Lớp 4",INDEX('Lớp 4 - Danh mục'!$AD$14:$AD$132,$T200),INDEX('Lớp 3 - Công việc chính'!$AA$14:$AA$73,$T200))))</f>
        <v>#REF!</v>
      </c>
      <c r="O200" s="690" t="str">
        <f t="array" ref="O200">IF($S200="","",IF($S200="Lớp 5",INDEX('Lớp 5 - Phân công'!$AB$14:$AB$262,$T200),IF($S200="Lớp 4",INDEX('Lớp 4 - Danh mục'!$AA$14:$AA$132,$T200),INDEX('Lớp 3 - Công việc chính'!$X$14:$X$73,$T200))))</f>
        <v>#REF!</v>
      </c>
      <c r="P200" s="703" t="str">
        <f t="array" ref="P200">IF($S200="","",IF($S200="Lớp 5",INDEX('Lớp 5 - Phân công'!$AC$14:$AC$262,$T200),IF($S200="Lớp 4",INDEX('Lớp 4 - Danh mục'!$AB$14:$AB$132,$T200),INDEX('Lớp 3 - Công việc chính'!$Y$14:$Y$73,$T200))))</f>
        <v>#REF!</v>
      </c>
      <c r="Q200" s="697" t="str">
        <f t="array" ref="Q200">IF($S200="","",IF($S200="Lớp 5",INDEX('Lớp 5 - Phân công'!$AG$14:$AG$262,$T200),IF($S200="Lớp 4",INDEX('Lớp 4 - Danh mục'!$AF$14:$AF$132,$T200),INDEX('Lớp 3 - Công việc chính'!$AC$14:$AC$73,$T200))))</f>
        <v>#REF!</v>
      </c>
      <c r="R200" s="698" t="str">
        <f t="array" ref="R200">IF($S200="","",IF($S200="Lớp 5",INDEX('Lớp 5 - Phân công'!$X$14:$X$262,$T200),IF($S200="Lớp 4",INDEX('Lớp 4 - Danh mục'!$V$14:$V$132,$T200),INDEX('Lớp 3 - Công việc chính'!$T$14:$T$73,$T200))))</f>
        <v>#REF!</v>
      </c>
      <c r="S200" s="699" t="str">
        <f>IF(ROWS($S$14:S200)&lt;=COUNTIF('Lớp 5 - Phân công'!$I$14:$I$262,"&lt;&gt;"),"Lớp 5",IF(ROWS($S$14:S200)&lt;=COUNTIF('Lớp 5 - Phân công'!$I$14:$I$262,"&lt;&gt;")+SUMPRODUCT(--('Lớp 4 - Danh mục'!$I$14:$I$132&lt;&gt;""),--(COUNTIF('Lớp 5 - Phân công'!$J$14:$J$262,'Lớp 4 - Danh mục'!$I$14:$I$132)=0)),"Lớp 4",IF(ROWS($S$14:S200)&lt;=COUNTIF('Lớp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0" s="699" t="str">
        <f t="array" ref="T200">IF(S200="","",IF(S200="Lớp 5",IF(S199&lt;&gt;"Lớp 5",MATCH("*",'Lớp 5 - Phân công'!$I$14:$I$262,0),T199+MATCH("*",INDEX('Lớp 5 - Phân công'!$I$14:$I$262,T199+1):'Lớp 5 - Phân công'!$I$262,0)),IF(S200="Lớp 4",IF(S199&lt;&gt;"Lớp 4",MATCH(1,INDEX(('Lớp 4 - Danh mục'!$I$14:$I$132&lt;&gt;"")*(COUNTIF('Lớp 5 - Phân công'!$J$14:$J$262,'Lớp 4 - Danh mục'!$I$14:$I$132)=0),0),0),T199+MATCH(1,INDEX((INDEX('Lớp 4 - Danh mục'!$I$14:$I$132,T199+1):'Lớp 4 - Danh mục'!$I$132&lt;&gt;"")*(COUNTIF('Lớp 5 - Phân công'!$J$14:$J$262,INDEX('Lớp 4 - Danh mục'!$I$14:$I$132,T199+1):'Lớp 4 - Danh mục'!$I$132)=0),0),0)),IF(S199&lt;&gt;"Lớp 3",MATCH(1,INDEX(('Lớp 3 - Công việc chính'!$I$14:$I$73&lt;&gt;"")*(COUNTIF('Lớp 4 - Danh mục'!$J$14:$J$132,'Lớp 3 - Công việc chính'!$I$14:$I$73)=0),0),0),T199+MATCH(1,INDEX((INDEX('Lớp 3 - Công việc chính'!$I$14:$I$73,T199+1):'Lớp 3 - Công việc chính'!$I$73&lt;&gt;"")*(COUNTIF('Lớp 4 - Danh mục'!$J$14:$J$132,INDEX('Lớp 3 - Công việc chính'!$I$14:$I$73,T199+1):'Lớp 3 - Công việc chính'!$I$73)=0),0),0)))))</f>
        <v>#REF!</v>
      </c>
      <c r="Z200" s="700" t="str">
        <f t="array" ref="Z200">IF($S200="","",IF($S200="Lớp 5",INDEX('Lớp 5 - Phân công'!$AS$14:$AS$262,$T200),IF($S200="Lớp 4",INDEX('Lớp 4 - Danh mục'!$AR$14:$AR$132,$T200),INDEX('Lớp 3 - Công việc chính'!$AO$14:$AO$73,$T200))))</f>
        <v>#REF!</v>
      </c>
      <c r="AA200" s="701" t="str">
        <f t="array" ref="AA200">IF($S200="","",IF($S200="Lớp 5",INDEX('Lớp 5 - Phân công'!$AT$14:$AT$262,$T200),IF($S200="Lớp 4",INDEX('Lớp 4 - Danh mục'!$AS$14:$AS$132,$T200),INDEX('Lớp 3 - Công việc chính'!$AP$14:$AP$73,$T200))))</f>
        <v>#REF!</v>
      </c>
      <c r="AB200" s="701" t="str">
        <f t="array" ref="AB200">IF($S200="","",IF($S200="Lớp 5",INDEX('Lớp 5 - Phân công'!$AJ$14:$AJ$262,$T200),IF($S200="Lớp 4",INDEX('Lớp 4 - Danh mục'!$AI$14:$AI$132,$T200),INDEX('Lớp 3 - Công việc chính'!$AF$14:$AF$73,$T200))))</f>
        <v>#REF!</v>
      </c>
      <c r="AC200" s="702" t="str">
        <f t="array" ref="AC200">IF($S200="","",IF($S200="Lớp 5",INDEX('Lớp 5 - Phân công'!$AV$14:$AV$262,$T200),IF($S200="Lớp 4",INDEX('Lớp 4 - Danh mục'!$AU$14:$AU$132,$T200),INDEX('Lớp 3 - Công việc chính'!$AR$14:$AR$73,$T200))))</f>
        <v>#REF!</v>
      </c>
    </row>
    <row r="201" ht="15.75" customHeight="1">
      <c r="A201" s="690" t="str">
        <f t="shared" si="1"/>
        <v>#REF!</v>
      </c>
      <c r="B201" s="690" t="str">
        <f t="array" ref="B201">IF($S201="","",IF($S201="Lớp 5",INDEX('Lớp 5 - Phân công'!$I$14:$I$262,$T201),IF($S201="Lớp 4",INDEX('Lớp 4 - Danh mục'!$I$14:$I$132,$T201),INDEX('Lớp 3 - Công việc chính'!$I$14:$I$73,$T201))))</f>
        <v>#REF!</v>
      </c>
      <c r="C201" s="690" t="str">
        <f t="array" ref="C201">IF($S201="","",IF($S201="Lớp 5",INDEX('Lớp 5 - Phân công'!$K$14:$K$262,$T201),IF($S201="Lớp 4",INDEX('Lớp 4 - Danh mục'!$J$14:$J$132,$T201),INDEX('Lớp 3 - Công việc chính'!$I$14:$I$73,$T201))))</f>
        <v>#REF!</v>
      </c>
      <c r="D201" s="690" t="str">
        <f t="array" ref="D201">IF($S201="","",IF($S201="Lớp 5",INDEX('Lớp 5 - Phân công'!$J$14:$J$262,$T201),IF($S201="Lớp 4",INDEX('Lớp 4 - Danh mục'!$I$14:$I$132,$T201),"")))</f>
        <v>#REF!</v>
      </c>
      <c r="E201" s="690" t="str">
        <f t="array" ref="E201">IF($S201="","",IF($S201="Lớp 5",INDEX('Lớp 5 - Phân công'!$L$14:$L$262,$T201),IF($S201="Lớp 4",INDEX('Lớp 4 - Danh mục'!$K$14:$K$132,$T201),INDEX('Lớp 3 - Công việc chính'!$J$14:$J$73,$T201))))</f>
        <v>#REF!</v>
      </c>
      <c r="F201" s="690" t="str">
        <f t="array" ref="F201">IF($S201="","",IF($S201="Lớp 5",INDEX('Lớp 5 - Phân công'!$M$14:$M$262,$T201),IF($S201="Lớp 4",INDEX('Lớp 4 - Danh mục'!$L$14:$L$132,$T201),INDEX('Lớp 3 - Công việc chính'!$K$14:$K$73,$T201))))</f>
        <v>#REF!</v>
      </c>
      <c r="G201" s="691" t="str">
        <f t="array" ref="G201">IF($S201="","",IF($S201="Lớp 5",INDEX('Lớp 5 - Phân công'!$N$14:$N$262,$T201),IF($S201="Lớp 4",INDEX('Lớp 4 - Danh mục'!$M$14:$M$132,$T201),INDEX('Lớp 3 - Công việc chính'!$L$14:$L$73,$T201))))</f>
        <v>#REF!</v>
      </c>
      <c r="H201" s="692" t="str">
        <f t="array" ref="H201">IF($S201="","",IF($S201="Lớp 5",INDEX('Lớp 5 - Phân công'!$O$14:$O$262,$T201),IF($S201="Lớp 4",INDEX('Lớp 4 - Danh mục'!$N$14:$N$132,$T201),INDEX('Lớp 3 - Công việc chính'!$M$14:$M$73,$T201))))</f>
        <v>#REF!</v>
      </c>
      <c r="I201" s="692" t="str">
        <f t="array" ref="I201">IF($S201="","",IF($S201="Lớp 5",INDEX('Lớp 5 - Phân công'!$P$14:$P$262,$T201),IF($S201="Lớp 4",INDEX('Lớp 4 - Danh mục'!$O$14:$O$132,$T201),"")))</f>
        <v>#REF!</v>
      </c>
      <c r="J201" s="693" t="str">
        <f t="array" ref="J201">IF($S201="","",IF($S201="Lớp 5",INDEX('Lớp 5 - Phân công'!$Q$14:$Q$262,$T201),""))</f>
        <v>#REF!</v>
      </c>
      <c r="K201" s="690" t="str">
        <f t="array" ref="K201">IF($S201="","",IF($S201="Lớp 5",INDEX('Lớp 5 - Phân công'!$AA$14:$AA$262,$T201),IF($S201="Lớp 4",INDEX('Lớp 4 - Danh mục'!$Y$14:$Y$132,$T201),INDEX('Lớp 3 - Công việc chính'!$U$14:$U$73,$T201))))</f>
        <v>#REF!</v>
      </c>
      <c r="L201" s="691" t="str">
        <f t="array" ref="L201">IF($S201="","",IF($S201="Lớp 5",INDEX('Lớp 5 - Phân công'!$Z$14:$Z$262,$T201),IF($S201="Lớp 4",INDEX('Lớp 4 - Danh mục'!$X$14:$X$132,$T201),INDEX('Lớp 3 - Công việc chính'!$W$14:$W$73,$T201))))</f>
        <v>#REF!</v>
      </c>
      <c r="M201" s="694" t="str">
        <f t="array" ref="M201">IF($S201="","",IF($S201="Lớp 5",INDEX('Lớp 5 - Phân công'!$AD$14:$AD$262,$T201),IF($S201="Lớp 4",INDEX('Lớp 4 - Danh mục'!$AC$14:$AC$132,$T201),INDEX('Lớp 3 - Công việc chính'!$Z$14:$Z$73,$T201))))</f>
        <v>#REF!</v>
      </c>
      <c r="N201" s="695" t="str">
        <f t="array" ref="N201">IF($S201="","",IF($S201="Lớp 5",INDEX('Lớp 5 - Phân công'!$AE$14:$AE$262,$T201),IF($S201="Lớp 4",INDEX('Lớp 4 - Danh mục'!$AD$14:$AD$132,$T201),INDEX('Lớp 3 - Công việc chính'!$AA$14:$AA$73,$T201))))</f>
        <v>#REF!</v>
      </c>
      <c r="O201" s="690" t="str">
        <f t="array" ref="O201">IF($S201="","",IF($S201="Lớp 5",INDEX('Lớp 5 - Phân công'!$AB$14:$AB$262,$T201),IF($S201="Lớp 4",INDEX('Lớp 4 - Danh mục'!$AA$14:$AA$132,$T201),INDEX('Lớp 3 - Công việc chính'!$X$14:$X$73,$T201))))</f>
        <v>#REF!</v>
      </c>
      <c r="P201" s="703" t="str">
        <f t="array" ref="P201">IF($S201="","",IF($S201="Lớp 5",INDEX('Lớp 5 - Phân công'!$AC$14:$AC$262,$T201),IF($S201="Lớp 4",INDEX('Lớp 4 - Danh mục'!$AB$14:$AB$132,$T201),INDEX('Lớp 3 - Công việc chính'!$Y$14:$Y$73,$T201))))</f>
        <v>#REF!</v>
      </c>
      <c r="Q201" s="697" t="str">
        <f t="array" ref="Q201">IF($S201="","",IF($S201="Lớp 5",INDEX('Lớp 5 - Phân công'!$AG$14:$AG$262,$T201),IF($S201="Lớp 4",INDEX('Lớp 4 - Danh mục'!$AF$14:$AF$132,$T201),INDEX('Lớp 3 - Công việc chính'!$AC$14:$AC$73,$T201))))</f>
        <v>#REF!</v>
      </c>
      <c r="R201" s="698" t="str">
        <f t="array" ref="R201">IF($S201="","",IF($S201="Lớp 5",INDEX('Lớp 5 - Phân công'!$X$14:$X$262,$T201),IF($S201="Lớp 4",INDEX('Lớp 4 - Danh mục'!$V$14:$V$132,$T201),INDEX('Lớp 3 - Công việc chính'!$T$14:$T$73,$T201))))</f>
        <v>#REF!</v>
      </c>
      <c r="S201" s="699" t="str">
        <f>IF(ROWS($S$14:S201)&lt;=COUNTIF('Lớp 5 - Phân công'!$I$14:$I$262,"&lt;&gt;"),"Lớp 5",IF(ROWS($S$14:S201)&lt;=COUNTIF('Lớp 5 - Phân công'!$I$14:$I$262,"&lt;&gt;")+SUMPRODUCT(--('Lớp 4 - Danh mục'!$I$14:$I$132&lt;&gt;""),--(COUNTIF('Lớp 5 - Phân công'!$J$14:$J$262,'Lớp 4 - Danh mục'!$I$14:$I$132)=0)),"Lớp 4",IF(ROWS($S$14:S201)&lt;=COUNTIF('Lớp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1" s="699" t="str">
        <f t="array" ref="T201">IF(S201="","",IF(S201="Lớp 5",IF(S200&lt;&gt;"Lớp 5",MATCH("*",'Lớp 5 - Phân công'!$I$14:$I$262,0),T200+MATCH("*",INDEX('Lớp 5 - Phân công'!$I$14:$I$262,T200+1):'Lớp 5 - Phân công'!$I$262,0)),IF(S201="Lớp 4",IF(S200&lt;&gt;"Lớp 4",MATCH(1,INDEX(('Lớp 4 - Danh mục'!$I$14:$I$132&lt;&gt;"")*(COUNTIF('Lớp 5 - Phân công'!$J$14:$J$262,'Lớp 4 - Danh mục'!$I$14:$I$132)=0),0),0),T200+MATCH(1,INDEX((INDEX('Lớp 4 - Danh mục'!$I$14:$I$132,T200+1):'Lớp 4 - Danh mục'!$I$132&lt;&gt;"")*(COUNTIF('Lớp 5 - Phân công'!$J$14:$J$262,INDEX('Lớp 4 - Danh mục'!$I$14:$I$132,T200+1):'Lớp 4 - Danh mục'!$I$132)=0),0),0)),IF(S200&lt;&gt;"Lớp 3",MATCH(1,INDEX(('Lớp 3 - Công việc chính'!$I$14:$I$73&lt;&gt;"")*(COUNTIF('Lớp 4 - Danh mục'!$J$14:$J$132,'Lớp 3 - Công việc chính'!$I$14:$I$73)=0),0),0),T200+MATCH(1,INDEX((INDEX('Lớp 3 - Công việc chính'!$I$14:$I$73,T200+1):'Lớp 3 - Công việc chính'!$I$73&lt;&gt;"")*(COUNTIF('Lớp 4 - Danh mục'!$J$14:$J$132,INDEX('Lớp 3 - Công việc chính'!$I$14:$I$73,T200+1):'Lớp 3 - Công việc chính'!$I$73)=0),0),0)))))</f>
        <v>#REF!</v>
      </c>
      <c r="Z201" s="700" t="str">
        <f t="array" ref="Z201">IF($S201="","",IF($S201="Lớp 5",INDEX('Lớp 5 - Phân công'!$AS$14:$AS$262,$T201),IF($S201="Lớp 4",INDEX('Lớp 4 - Danh mục'!$AR$14:$AR$132,$T201),INDEX('Lớp 3 - Công việc chính'!$AO$14:$AO$73,$T201))))</f>
        <v>#REF!</v>
      </c>
      <c r="AA201" s="701" t="str">
        <f t="array" ref="AA201">IF($S201="","",IF($S201="Lớp 5",INDEX('Lớp 5 - Phân công'!$AT$14:$AT$262,$T201),IF($S201="Lớp 4",INDEX('Lớp 4 - Danh mục'!$AS$14:$AS$132,$T201),INDEX('Lớp 3 - Công việc chính'!$AP$14:$AP$73,$T201))))</f>
        <v>#REF!</v>
      </c>
      <c r="AB201" s="701" t="str">
        <f t="array" ref="AB201">IF($S201="","",IF($S201="Lớp 5",INDEX('Lớp 5 - Phân công'!$AJ$14:$AJ$262,$T201),IF($S201="Lớp 4",INDEX('Lớp 4 - Danh mục'!$AI$14:$AI$132,$T201),INDEX('Lớp 3 - Công việc chính'!$AF$14:$AF$73,$T201))))</f>
        <v>#REF!</v>
      </c>
      <c r="AC201" s="702" t="str">
        <f t="array" ref="AC201">IF($S201="","",IF($S201="Lớp 5",INDEX('Lớp 5 - Phân công'!$AV$14:$AV$262,$T201),IF($S201="Lớp 4",INDEX('Lớp 4 - Danh mục'!$AU$14:$AU$132,$T201),INDEX('Lớp 3 - Công việc chính'!$AR$14:$AR$73,$T201))))</f>
        <v>#REF!</v>
      </c>
    </row>
    <row r="202" ht="15.75" customHeight="1">
      <c r="A202" s="690" t="str">
        <f t="shared" si="1"/>
        <v>#REF!</v>
      </c>
      <c r="B202" s="690" t="str">
        <f t="array" ref="B202">IF($S202="","",IF($S202="Lớp 5",INDEX('Lớp 5 - Phân công'!$I$14:$I$262,$T202),IF($S202="Lớp 4",INDEX('Lớp 4 - Danh mục'!$I$14:$I$132,$T202),INDEX('Lớp 3 - Công việc chính'!$I$14:$I$73,$T202))))</f>
        <v>#REF!</v>
      </c>
      <c r="C202" s="690" t="str">
        <f t="array" ref="C202">IF($S202="","",IF($S202="Lớp 5",INDEX('Lớp 5 - Phân công'!$K$14:$K$262,$T202),IF($S202="Lớp 4",INDEX('Lớp 4 - Danh mục'!$J$14:$J$132,$T202),INDEX('Lớp 3 - Công việc chính'!$I$14:$I$73,$T202))))</f>
        <v>#REF!</v>
      </c>
      <c r="D202" s="690" t="str">
        <f t="array" ref="D202">IF($S202="","",IF($S202="Lớp 5",INDEX('Lớp 5 - Phân công'!$J$14:$J$262,$T202),IF($S202="Lớp 4",INDEX('Lớp 4 - Danh mục'!$I$14:$I$132,$T202),"")))</f>
        <v>#REF!</v>
      </c>
      <c r="E202" s="690" t="str">
        <f t="array" ref="E202">IF($S202="","",IF($S202="Lớp 5",INDEX('Lớp 5 - Phân công'!$L$14:$L$262,$T202),IF($S202="Lớp 4",INDEX('Lớp 4 - Danh mục'!$K$14:$K$132,$T202),INDEX('Lớp 3 - Công việc chính'!$J$14:$J$73,$T202))))</f>
        <v>#REF!</v>
      </c>
      <c r="F202" s="690" t="str">
        <f t="array" ref="F202">IF($S202="","",IF($S202="Lớp 5",INDEX('Lớp 5 - Phân công'!$M$14:$M$262,$T202),IF($S202="Lớp 4",INDEX('Lớp 4 - Danh mục'!$L$14:$L$132,$T202),INDEX('Lớp 3 - Công việc chính'!$K$14:$K$73,$T202))))</f>
        <v>#REF!</v>
      </c>
      <c r="G202" s="691" t="str">
        <f t="array" ref="G202">IF($S202="","",IF($S202="Lớp 5",INDEX('Lớp 5 - Phân công'!$N$14:$N$262,$T202),IF($S202="Lớp 4",INDEX('Lớp 4 - Danh mục'!$M$14:$M$132,$T202),INDEX('Lớp 3 - Công việc chính'!$L$14:$L$73,$T202))))</f>
        <v>#REF!</v>
      </c>
      <c r="H202" s="692" t="str">
        <f t="array" ref="H202">IF($S202="","",IF($S202="Lớp 5",INDEX('Lớp 5 - Phân công'!$O$14:$O$262,$T202),IF($S202="Lớp 4",INDEX('Lớp 4 - Danh mục'!$N$14:$N$132,$T202),INDEX('Lớp 3 - Công việc chính'!$M$14:$M$73,$T202))))</f>
        <v>#REF!</v>
      </c>
      <c r="I202" s="692" t="str">
        <f t="array" ref="I202">IF($S202="","",IF($S202="Lớp 5",INDEX('Lớp 5 - Phân công'!$P$14:$P$262,$T202),IF($S202="Lớp 4",INDEX('Lớp 4 - Danh mục'!$O$14:$O$132,$T202),"")))</f>
        <v>#REF!</v>
      </c>
      <c r="J202" s="693" t="str">
        <f t="array" ref="J202">IF($S202="","",IF($S202="Lớp 5",INDEX('Lớp 5 - Phân công'!$Q$14:$Q$262,$T202),""))</f>
        <v>#REF!</v>
      </c>
      <c r="K202" s="690" t="str">
        <f t="array" ref="K202">IF($S202="","",IF($S202="Lớp 5",INDEX('Lớp 5 - Phân công'!$AA$14:$AA$262,$T202),IF($S202="Lớp 4",INDEX('Lớp 4 - Danh mục'!$Y$14:$Y$132,$T202),INDEX('Lớp 3 - Công việc chính'!$U$14:$U$73,$T202))))</f>
        <v>#REF!</v>
      </c>
      <c r="L202" s="691" t="str">
        <f t="array" ref="L202">IF($S202="","",IF($S202="Lớp 5",INDEX('Lớp 5 - Phân công'!$Z$14:$Z$262,$T202),IF($S202="Lớp 4",INDEX('Lớp 4 - Danh mục'!$X$14:$X$132,$T202),INDEX('Lớp 3 - Công việc chính'!$W$14:$W$73,$T202))))</f>
        <v>#REF!</v>
      </c>
      <c r="M202" s="694" t="str">
        <f t="array" ref="M202">IF($S202="","",IF($S202="Lớp 5",INDEX('Lớp 5 - Phân công'!$AD$14:$AD$262,$T202),IF($S202="Lớp 4",INDEX('Lớp 4 - Danh mục'!$AC$14:$AC$132,$T202),INDEX('Lớp 3 - Công việc chính'!$Z$14:$Z$73,$T202))))</f>
        <v>#REF!</v>
      </c>
      <c r="N202" s="695" t="str">
        <f t="array" ref="N202">IF($S202="","",IF($S202="Lớp 5",INDEX('Lớp 5 - Phân công'!$AE$14:$AE$262,$T202),IF($S202="Lớp 4",INDEX('Lớp 4 - Danh mục'!$AD$14:$AD$132,$T202),INDEX('Lớp 3 - Công việc chính'!$AA$14:$AA$73,$T202))))</f>
        <v>#REF!</v>
      </c>
      <c r="O202" s="690" t="str">
        <f t="array" ref="O202">IF($S202="","",IF($S202="Lớp 5",INDEX('Lớp 5 - Phân công'!$AB$14:$AB$262,$T202),IF($S202="Lớp 4",INDEX('Lớp 4 - Danh mục'!$AA$14:$AA$132,$T202),INDEX('Lớp 3 - Công việc chính'!$X$14:$X$73,$T202))))</f>
        <v>#REF!</v>
      </c>
      <c r="P202" s="703" t="str">
        <f t="array" ref="P202">IF($S202="","",IF($S202="Lớp 5",INDEX('Lớp 5 - Phân công'!$AC$14:$AC$262,$T202),IF($S202="Lớp 4",INDEX('Lớp 4 - Danh mục'!$AB$14:$AB$132,$T202),INDEX('Lớp 3 - Công việc chính'!$Y$14:$Y$73,$T202))))</f>
        <v>#REF!</v>
      </c>
      <c r="Q202" s="697" t="str">
        <f t="array" ref="Q202">IF($S202="","",IF($S202="Lớp 5",INDEX('Lớp 5 - Phân công'!$AG$14:$AG$262,$T202),IF($S202="Lớp 4",INDEX('Lớp 4 - Danh mục'!$AF$14:$AF$132,$T202),INDEX('Lớp 3 - Công việc chính'!$AC$14:$AC$73,$T202))))</f>
        <v>#REF!</v>
      </c>
      <c r="R202" s="698" t="str">
        <f t="array" ref="R202">IF($S202="","",IF($S202="Lớp 5",INDEX('Lớp 5 - Phân công'!$X$14:$X$262,$T202),IF($S202="Lớp 4",INDEX('Lớp 4 - Danh mục'!$V$14:$V$132,$T202),INDEX('Lớp 3 - Công việc chính'!$T$14:$T$73,$T202))))</f>
        <v>#REF!</v>
      </c>
      <c r="S202" s="699" t="str">
        <f>IF(ROWS($S$14:S202)&lt;=COUNTIF('Lớp 5 - Phân công'!$I$14:$I$262,"&lt;&gt;"),"Lớp 5",IF(ROWS($S$14:S202)&lt;=COUNTIF('Lớp 5 - Phân công'!$I$14:$I$262,"&lt;&gt;")+SUMPRODUCT(--('Lớp 4 - Danh mục'!$I$14:$I$132&lt;&gt;""),--(COUNTIF('Lớp 5 - Phân công'!$J$14:$J$262,'Lớp 4 - Danh mục'!$I$14:$I$132)=0)),"Lớp 4",IF(ROWS($S$14:S202)&lt;=COUNTIF('Lớp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2" s="699" t="str">
        <f t="array" ref="T202">IF(S202="","",IF(S202="Lớp 5",IF(S201&lt;&gt;"Lớp 5",MATCH("*",'Lớp 5 - Phân công'!$I$14:$I$262,0),T201+MATCH("*",INDEX('Lớp 5 - Phân công'!$I$14:$I$262,T201+1):'Lớp 5 - Phân công'!$I$262,0)),IF(S202="Lớp 4",IF(S201&lt;&gt;"Lớp 4",MATCH(1,INDEX(('Lớp 4 - Danh mục'!$I$14:$I$132&lt;&gt;"")*(COUNTIF('Lớp 5 - Phân công'!$J$14:$J$262,'Lớp 4 - Danh mục'!$I$14:$I$132)=0),0),0),T201+MATCH(1,INDEX((INDEX('Lớp 4 - Danh mục'!$I$14:$I$132,T201+1):'Lớp 4 - Danh mục'!$I$132&lt;&gt;"")*(COUNTIF('Lớp 5 - Phân công'!$J$14:$J$262,INDEX('Lớp 4 - Danh mục'!$I$14:$I$132,T201+1):'Lớp 4 - Danh mục'!$I$132)=0),0),0)),IF(S201&lt;&gt;"Lớp 3",MATCH(1,INDEX(('Lớp 3 - Công việc chính'!$I$14:$I$73&lt;&gt;"")*(COUNTIF('Lớp 4 - Danh mục'!$J$14:$J$132,'Lớp 3 - Công việc chính'!$I$14:$I$73)=0),0),0),T201+MATCH(1,INDEX((INDEX('Lớp 3 - Công việc chính'!$I$14:$I$73,T201+1):'Lớp 3 - Công việc chính'!$I$73&lt;&gt;"")*(COUNTIF('Lớp 4 - Danh mục'!$J$14:$J$132,INDEX('Lớp 3 - Công việc chính'!$I$14:$I$73,T201+1):'Lớp 3 - Công việc chính'!$I$73)=0),0),0)))))</f>
        <v>#REF!</v>
      </c>
      <c r="Z202" s="700" t="str">
        <f t="array" ref="Z202">IF($S202="","",IF($S202="Lớp 5",INDEX('Lớp 5 - Phân công'!$AS$14:$AS$262,$T202),IF($S202="Lớp 4",INDEX('Lớp 4 - Danh mục'!$AR$14:$AR$132,$T202),INDEX('Lớp 3 - Công việc chính'!$AO$14:$AO$73,$T202))))</f>
        <v>#REF!</v>
      </c>
      <c r="AA202" s="701" t="str">
        <f t="array" ref="AA202">IF($S202="","",IF($S202="Lớp 5",INDEX('Lớp 5 - Phân công'!$AT$14:$AT$262,$T202),IF($S202="Lớp 4",INDEX('Lớp 4 - Danh mục'!$AS$14:$AS$132,$T202),INDEX('Lớp 3 - Công việc chính'!$AP$14:$AP$73,$T202))))</f>
        <v>#REF!</v>
      </c>
      <c r="AB202" s="701" t="str">
        <f t="array" ref="AB202">IF($S202="","",IF($S202="Lớp 5",INDEX('Lớp 5 - Phân công'!$AJ$14:$AJ$262,$T202),IF($S202="Lớp 4",INDEX('Lớp 4 - Danh mục'!$AI$14:$AI$132,$T202),INDEX('Lớp 3 - Công việc chính'!$AF$14:$AF$73,$T202))))</f>
        <v>#REF!</v>
      </c>
      <c r="AC202" s="702" t="str">
        <f t="array" ref="AC202">IF($S202="","",IF($S202="Lớp 5",INDEX('Lớp 5 - Phân công'!$AV$14:$AV$262,$T202),IF($S202="Lớp 4",INDEX('Lớp 4 - Danh mục'!$AU$14:$AU$132,$T202),INDEX('Lớp 3 - Công việc chính'!$AR$14:$AR$73,$T202))))</f>
        <v>#REF!</v>
      </c>
    </row>
    <row r="203" ht="15.75" customHeight="1">
      <c r="A203" s="690" t="str">
        <f t="shared" si="1"/>
        <v>#REF!</v>
      </c>
      <c r="B203" s="690" t="str">
        <f t="array" ref="B203">IF($S203="","",IF($S203="Lớp 5",INDEX('Lớp 5 - Phân công'!$I$14:$I$262,$T203),IF($S203="Lớp 4",INDEX('Lớp 4 - Danh mục'!$I$14:$I$132,$T203),INDEX('Lớp 3 - Công việc chính'!$I$14:$I$73,$T203))))</f>
        <v>#REF!</v>
      </c>
      <c r="C203" s="690" t="str">
        <f t="array" ref="C203">IF($S203="","",IF($S203="Lớp 5",INDEX('Lớp 5 - Phân công'!$K$14:$K$262,$T203),IF($S203="Lớp 4",INDEX('Lớp 4 - Danh mục'!$J$14:$J$132,$T203),INDEX('Lớp 3 - Công việc chính'!$I$14:$I$73,$T203))))</f>
        <v>#REF!</v>
      </c>
      <c r="D203" s="690" t="str">
        <f t="array" ref="D203">IF($S203="","",IF($S203="Lớp 5",INDEX('Lớp 5 - Phân công'!$J$14:$J$262,$T203),IF($S203="Lớp 4",INDEX('Lớp 4 - Danh mục'!$I$14:$I$132,$T203),"")))</f>
        <v>#REF!</v>
      </c>
      <c r="E203" s="690" t="str">
        <f t="array" ref="E203">IF($S203="","",IF($S203="Lớp 5",INDEX('Lớp 5 - Phân công'!$L$14:$L$262,$T203),IF($S203="Lớp 4",INDEX('Lớp 4 - Danh mục'!$K$14:$K$132,$T203),INDEX('Lớp 3 - Công việc chính'!$J$14:$J$73,$T203))))</f>
        <v>#REF!</v>
      </c>
      <c r="F203" s="690" t="str">
        <f t="array" ref="F203">IF($S203="","",IF($S203="Lớp 5",INDEX('Lớp 5 - Phân công'!$M$14:$M$262,$T203),IF($S203="Lớp 4",INDEX('Lớp 4 - Danh mục'!$L$14:$L$132,$T203),INDEX('Lớp 3 - Công việc chính'!$K$14:$K$73,$T203))))</f>
        <v>#REF!</v>
      </c>
      <c r="G203" s="691" t="str">
        <f t="array" ref="G203">IF($S203="","",IF($S203="Lớp 5",INDEX('Lớp 5 - Phân công'!$N$14:$N$262,$T203),IF($S203="Lớp 4",INDEX('Lớp 4 - Danh mục'!$M$14:$M$132,$T203),INDEX('Lớp 3 - Công việc chính'!$L$14:$L$73,$T203))))</f>
        <v>#REF!</v>
      </c>
      <c r="H203" s="692" t="str">
        <f t="array" ref="H203">IF($S203="","",IF($S203="Lớp 5",INDEX('Lớp 5 - Phân công'!$O$14:$O$262,$T203),IF($S203="Lớp 4",INDEX('Lớp 4 - Danh mục'!$N$14:$N$132,$T203),INDEX('Lớp 3 - Công việc chính'!$M$14:$M$73,$T203))))</f>
        <v>#REF!</v>
      </c>
      <c r="I203" s="692" t="str">
        <f t="array" ref="I203">IF($S203="","",IF($S203="Lớp 5",INDEX('Lớp 5 - Phân công'!$P$14:$P$262,$T203),IF($S203="Lớp 4",INDEX('Lớp 4 - Danh mục'!$O$14:$O$132,$T203),"")))</f>
        <v>#REF!</v>
      </c>
      <c r="J203" s="693" t="str">
        <f t="array" ref="J203">IF($S203="","",IF($S203="Lớp 5",INDEX('Lớp 5 - Phân công'!$Q$14:$Q$262,$T203),""))</f>
        <v>#REF!</v>
      </c>
      <c r="K203" s="690" t="str">
        <f t="array" ref="K203">IF($S203="","",IF($S203="Lớp 5",INDEX('Lớp 5 - Phân công'!$AA$14:$AA$262,$T203),IF($S203="Lớp 4",INDEX('Lớp 4 - Danh mục'!$Y$14:$Y$132,$T203),INDEX('Lớp 3 - Công việc chính'!$U$14:$U$73,$T203))))</f>
        <v>#REF!</v>
      </c>
      <c r="L203" s="691" t="str">
        <f t="array" ref="L203">IF($S203="","",IF($S203="Lớp 5",INDEX('Lớp 5 - Phân công'!$Z$14:$Z$262,$T203),IF($S203="Lớp 4",INDEX('Lớp 4 - Danh mục'!$X$14:$X$132,$T203),INDEX('Lớp 3 - Công việc chính'!$W$14:$W$73,$T203))))</f>
        <v>#REF!</v>
      </c>
      <c r="M203" s="694" t="str">
        <f t="array" ref="M203">IF($S203="","",IF($S203="Lớp 5",INDEX('Lớp 5 - Phân công'!$AD$14:$AD$262,$T203),IF($S203="Lớp 4",INDEX('Lớp 4 - Danh mục'!$AC$14:$AC$132,$T203),INDEX('Lớp 3 - Công việc chính'!$Z$14:$Z$73,$T203))))</f>
        <v>#REF!</v>
      </c>
      <c r="N203" s="695" t="str">
        <f t="array" ref="N203">IF($S203="","",IF($S203="Lớp 5",INDEX('Lớp 5 - Phân công'!$AE$14:$AE$262,$T203),IF($S203="Lớp 4",INDEX('Lớp 4 - Danh mục'!$AD$14:$AD$132,$T203),INDEX('Lớp 3 - Công việc chính'!$AA$14:$AA$73,$T203))))</f>
        <v>#REF!</v>
      </c>
      <c r="O203" s="690" t="str">
        <f t="array" ref="O203">IF($S203="","",IF($S203="Lớp 5",INDEX('Lớp 5 - Phân công'!$AB$14:$AB$262,$T203),IF($S203="Lớp 4",INDEX('Lớp 4 - Danh mục'!$AA$14:$AA$132,$T203),INDEX('Lớp 3 - Công việc chính'!$X$14:$X$73,$T203))))</f>
        <v>#REF!</v>
      </c>
      <c r="P203" s="703" t="str">
        <f t="array" ref="P203">IF($S203="","",IF($S203="Lớp 5",INDEX('Lớp 5 - Phân công'!$AC$14:$AC$262,$T203),IF($S203="Lớp 4",INDEX('Lớp 4 - Danh mục'!$AB$14:$AB$132,$T203),INDEX('Lớp 3 - Công việc chính'!$Y$14:$Y$73,$T203))))</f>
        <v>#REF!</v>
      </c>
      <c r="Q203" s="697" t="str">
        <f t="array" ref="Q203">IF($S203="","",IF($S203="Lớp 5",INDEX('Lớp 5 - Phân công'!$AG$14:$AG$262,$T203),IF($S203="Lớp 4",INDEX('Lớp 4 - Danh mục'!$AF$14:$AF$132,$T203),INDEX('Lớp 3 - Công việc chính'!$AC$14:$AC$73,$T203))))</f>
        <v>#REF!</v>
      </c>
      <c r="R203" s="698" t="str">
        <f t="array" ref="R203">IF($S203="","",IF($S203="Lớp 5",INDEX('Lớp 5 - Phân công'!$X$14:$X$262,$T203),IF($S203="Lớp 4",INDEX('Lớp 4 - Danh mục'!$V$14:$V$132,$T203),INDEX('Lớp 3 - Công việc chính'!$T$14:$T$73,$T203))))</f>
        <v>#REF!</v>
      </c>
      <c r="S203" s="699" t="str">
        <f>IF(ROWS($S$14:S203)&lt;=COUNTIF('Lớp 5 - Phân công'!$I$14:$I$262,"&lt;&gt;"),"Lớp 5",IF(ROWS($S$14:S203)&lt;=COUNTIF('Lớp 5 - Phân công'!$I$14:$I$262,"&lt;&gt;")+SUMPRODUCT(--('Lớp 4 - Danh mục'!$I$14:$I$132&lt;&gt;""),--(COUNTIF('Lớp 5 - Phân công'!$J$14:$J$262,'Lớp 4 - Danh mục'!$I$14:$I$132)=0)),"Lớp 4",IF(ROWS($S$14:S203)&lt;=COUNTIF('Lớp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3" s="699" t="str">
        <f t="array" ref="T203">IF(S203="","",IF(S203="Lớp 5",IF(S202&lt;&gt;"Lớp 5",MATCH("*",'Lớp 5 - Phân công'!$I$14:$I$262,0),T202+MATCH("*",INDEX('Lớp 5 - Phân công'!$I$14:$I$262,T202+1):'Lớp 5 - Phân công'!$I$262,0)),IF(S203="Lớp 4",IF(S202&lt;&gt;"Lớp 4",MATCH(1,INDEX(('Lớp 4 - Danh mục'!$I$14:$I$132&lt;&gt;"")*(COUNTIF('Lớp 5 - Phân công'!$J$14:$J$262,'Lớp 4 - Danh mục'!$I$14:$I$132)=0),0),0),T202+MATCH(1,INDEX((INDEX('Lớp 4 - Danh mục'!$I$14:$I$132,T202+1):'Lớp 4 - Danh mục'!$I$132&lt;&gt;"")*(COUNTIF('Lớp 5 - Phân công'!$J$14:$J$262,INDEX('Lớp 4 - Danh mục'!$I$14:$I$132,T202+1):'Lớp 4 - Danh mục'!$I$132)=0),0),0)),IF(S202&lt;&gt;"Lớp 3",MATCH(1,INDEX(('Lớp 3 - Công việc chính'!$I$14:$I$73&lt;&gt;"")*(COUNTIF('Lớp 4 - Danh mục'!$J$14:$J$132,'Lớp 3 - Công việc chính'!$I$14:$I$73)=0),0),0),T202+MATCH(1,INDEX((INDEX('Lớp 3 - Công việc chính'!$I$14:$I$73,T202+1):'Lớp 3 - Công việc chính'!$I$73&lt;&gt;"")*(COUNTIF('Lớp 4 - Danh mục'!$J$14:$J$132,INDEX('Lớp 3 - Công việc chính'!$I$14:$I$73,T202+1):'Lớp 3 - Công việc chính'!$I$73)=0),0),0)))))</f>
        <v>#REF!</v>
      </c>
      <c r="Z203" s="700" t="str">
        <f t="array" ref="Z203">IF($S203="","",IF($S203="Lớp 5",INDEX('Lớp 5 - Phân công'!$AS$14:$AS$262,$T203),IF($S203="Lớp 4",INDEX('Lớp 4 - Danh mục'!$AR$14:$AR$132,$T203),INDEX('Lớp 3 - Công việc chính'!$AO$14:$AO$73,$T203))))</f>
        <v>#REF!</v>
      </c>
      <c r="AA203" s="701" t="str">
        <f t="array" ref="AA203">IF($S203="","",IF($S203="Lớp 5",INDEX('Lớp 5 - Phân công'!$AT$14:$AT$262,$T203),IF($S203="Lớp 4",INDEX('Lớp 4 - Danh mục'!$AS$14:$AS$132,$T203),INDEX('Lớp 3 - Công việc chính'!$AP$14:$AP$73,$T203))))</f>
        <v>#REF!</v>
      </c>
      <c r="AB203" s="701" t="str">
        <f t="array" ref="AB203">IF($S203="","",IF($S203="Lớp 5",INDEX('Lớp 5 - Phân công'!$AJ$14:$AJ$262,$T203),IF($S203="Lớp 4",INDEX('Lớp 4 - Danh mục'!$AI$14:$AI$132,$T203),INDEX('Lớp 3 - Công việc chính'!$AF$14:$AF$73,$T203))))</f>
        <v>#REF!</v>
      </c>
      <c r="AC203" s="702" t="str">
        <f t="array" ref="AC203">IF($S203="","",IF($S203="Lớp 5",INDEX('Lớp 5 - Phân công'!$AV$14:$AV$262,$T203),IF($S203="Lớp 4",INDEX('Lớp 4 - Danh mục'!$AU$14:$AU$132,$T203),INDEX('Lớp 3 - Công việc chính'!$AR$14:$AR$73,$T203))))</f>
        <v>#REF!</v>
      </c>
    </row>
    <row r="204" ht="15.75" customHeight="1">
      <c r="A204" s="690" t="str">
        <f t="shared" si="1"/>
        <v>#REF!</v>
      </c>
      <c r="B204" s="690" t="str">
        <f t="array" ref="B204">IF($S204="","",IF($S204="Lớp 5",INDEX('Lớp 5 - Phân công'!$I$14:$I$262,$T204),IF($S204="Lớp 4",INDEX('Lớp 4 - Danh mục'!$I$14:$I$132,$T204),INDEX('Lớp 3 - Công việc chính'!$I$14:$I$73,$T204))))</f>
        <v>#REF!</v>
      </c>
      <c r="C204" s="690" t="str">
        <f t="array" ref="C204">IF($S204="","",IF($S204="Lớp 5",INDEX('Lớp 5 - Phân công'!$K$14:$K$262,$T204),IF($S204="Lớp 4",INDEX('Lớp 4 - Danh mục'!$J$14:$J$132,$T204),INDEX('Lớp 3 - Công việc chính'!$I$14:$I$73,$T204))))</f>
        <v>#REF!</v>
      </c>
      <c r="D204" s="690" t="str">
        <f t="array" ref="D204">IF($S204="","",IF($S204="Lớp 5",INDEX('Lớp 5 - Phân công'!$J$14:$J$262,$T204),IF($S204="Lớp 4",INDEX('Lớp 4 - Danh mục'!$I$14:$I$132,$T204),"")))</f>
        <v>#REF!</v>
      </c>
      <c r="E204" s="690" t="str">
        <f t="array" ref="E204">IF($S204="","",IF($S204="Lớp 5",INDEX('Lớp 5 - Phân công'!$L$14:$L$262,$T204),IF($S204="Lớp 4",INDEX('Lớp 4 - Danh mục'!$K$14:$K$132,$T204),INDEX('Lớp 3 - Công việc chính'!$J$14:$J$73,$T204))))</f>
        <v>#REF!</v>
      </c>
      <c r="F204" s="690" t="str">
        <f t="array" ref="F204">IF($S204="","",IF($S204="Lớp 5",INDEX('Lớp 5 - Phân công'!$M$14:$M$262,$T204),IF($S204="Lớp 4",INDEX('Lớp 4 - Danh mục'!$L$14:$L$132,$T204),INDEX('Lớp 3 - Công việc chính'!$K$14:$K$73,$T204))))</f>
        <v>#REF!</v>
      </c>
      <c r="G204" s="691" t="str">
        <f t="array" ref="G204">IF($S204="","",IF($S204="Lớp 5",INDEX('Lớp 5 - Phân công'!$N$14:$N$262,$T204),IF($S204="Lớp 4",INDEX('Lớp 4 - Danh mục'!$M$14:$M$132,$T204),INDEX('Lớp 3 - Công việc chính'!$L$14:$L$73,$T204))))</f>
        <v>#REF!</v>
      </c>
      <c r="H204" s="692" t="str">
        <f t="array" ref="H204">IF($S204="","",IF($S204="Lớp 5",INDEX('Lớp 5 - Phân công'!$O$14:$O$262,$T204),IF($S204="Lớp 4",INDEX('Lớp 4 - Danh mục'!$N$14:$N$132,$T204),INDEX('Lớp 3 - Công việc chính'!$M$14:$M$73,$T204))))</f>
        <v>#REF!</v>
      </c>
      <c r="I204" s="692" t="str">
        <f t="array" ref="I204">IF($S204="","",IF($S204="Lớp 5",INDEX('Lớp 5 - Phân công'!$P$14:$P$262,$T204),IF($S204="Lớp 4",INDEX('Lớp 4 - Danh mục'!$O$14:$O$132,$T204),"")))</f>
        <v>#REF!</v>
      </c>
      <c r="J204" s="693" t="str">
        <f t="array" ref="J204">IF($S204="","",IF($S204="Lớp 5",INDEX('Lớp 5 - Phân công'!$Q$14:$Q$262,$T204),""))</f>
        <v>#REF!</v>
      </c>
      <c r="K204" s="690" t="str">
        <f t="array" ref="K204">IF($S204="","",IF($S204="Lớp 5",INDEX('Lớp 5 - Phân công'!$AA$14:$AA$262,$T204),IF($S204="Lớp 4",INDEX('Lớp 4 - Danh mục'!$Y$14:$Y$132,$T204),INDEX('Lớp 3 - Công việc chính'!$U$14:$U$73,$T204))))</f>
        <v>#REF!</v>
      </c>
      <c r="L204" s="691" t="str">
        <f t="array" ref="L204">IF($S204="","",IF($S204="Lớp 5",INDEX('Lớp 5 - Phân công'!$Z$14:$Z$262,$T204),IF($S204="Lớp 4",INDEX('Lớp 4 - Danh mục'!$X$14:$X$132,$T204),INDEX('Lớp 3 - Công việc chính'!$W$14:$W$73,$T204))))</f>
        <v>#REF!</v>
      </c>
      <c r="M204" s="694" t="str">
        <f t="array" ref="M204">IF($S204="","",IF($S204="Lớp 5",INDEX('Lớp 5 - Phân công'!$AD$14:$AD$262,$T204),IF($S204="Lớp 4",INDEX('Lớp 4 - Danh mục'!$AC$14:$AC$132,$T204),INDEX('Lớp 3 - Công việc chính'!$Z$14:$Z$73,$T204))))</f>
        <v>#REF!</v>
      </c>
      <c r="N204" s="695" t="str">
        <f t="array" ref="N204">IF($S204="","",IF($S204="Lớp 5",INDEX('Lớp 5 - Phân công'!$AE$14:$AE$262,$T204),IF($S204="Lớp 4",INDEX('Lớp 4 - Danh mục'!$AD$14:$AD$132,$T204),INDEX('Lớp 3 - Công việc chính'!$AA$14:$AA$73,$T204))))</f>
        <v>#REF!</v>
      </c>
      <c r="O204" s="690" t="str">
        <f t="array" ref="O204">IF($S204="","",IF($S204="Lớp 5",INDEX('Lớp 5 - Phân công'!$AB$14:$AB$262,$T204),IF($S204="Lớp 4",INDEX('Lớp 4 - Danh mục'!$AA$14:$AA$132,$T204),INDEX('Lớp 3 - Công việc chính'!$X$14:$X$73,$T204))))</f>
        <v>#REF!</v>
      </c>
      <c r="P204" s="703" t="str">
        <f t="array" ref="P204">IF($S204="","",IF($S204="Lớp 5",INDEX('Lớp 5 - Phân công'!$AC$14:$AC$262,$T204),IF($S204="Lớp 4",INDEX('Lớp 4 - Danh mục'!$AB$14:$AB$132,$T204),INDEX('Lớp 3 - Công việc chính'!$Y$14:$Y$73,$T204))))</f>
        <v>#REF!</v>
      </c>
      <c r="Q204" s="697" t="str">
        <f t="array" ref="Q204">IF($S204="","",IF($S204="Lớp 5",INDEX('Lớp 5 - Phân công'!$AG$14:$AG$262,$T204),IF($S204="Lớp 4",INDEX('Lớp 4 - Danh mục'!$AF$14:$AF$132,$T204),INDEX('Lớp 3 - Công việc chính'!$AC$14:$AC$73,$T204))))</f>
        <v>#REF!</v>
      </c>
      <c r="R204" s="698" t="str">
        <f t="array" ref="R204">IF($S204="","",IF($S204="Lớp 5",INDEX('Lớp 5 - Phân công'!$X$14:$X$262,$T204),IF($S204="Lớp 4",INDEX('Lớp 4 - Danh mục'!$V$14:$V$132,$T204),INDEX('Lớp 3 - Công việc chính'!$T$14:$T$73,$T204))))</f>
        <v>#REF!</v>
      </c>
      <c r="S204" s="699" t="str">
        <f>IF(ROWS($S$14:S204)&lt;=COUNTIF('Lớp 5 - Phân công'!$I$14:$I$262,"&lt;&gt;"),"Lớp 5",IF(ROWS($S$14:S204)&lt;=COUNTIF('Lớp 5 - Phân công'!$I$14:$I$262,"&lt;&gt;")+SUMPRODUCT(--('Lớp 4 - Danh mục'!$I$14:$I$132&lt;&gt;""),--(COUNTIF('Lớp 5 - Phân công'!$J$14:$J$262,'Lớp 4 - Danh mục'!$I$14:$I$132)=0)),"Lớp 4",IF(ROWS($S$14:S204)&lt;=COUNTIF('Lớp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4" s="699" t="str">
        <f t="array" ref="T204">IF(S204="","",IF(S204="Lớp 5",IF(S203&lt;&gt;"Lớp 5",MATCH("*",'Lớp 5 - Phân công'!$I$14:$I$262,0),T203+MATCH("*",INDEX('Lớp 5 - Phân công'!$I$14:$I$262,T203+1):'Lớp 5 - Phân công'!$I$262,0)),IF(S204="Lớp 4",IF(S203&lt;&gt;"Lớp 4",MATCH(1,INDEX(('Lớp 4 - Danh mục'!$I$14:$I$132&lt;&gt;"")*(COUNTIF('Lớp 5 - Phân công'!$J$14:$J$262,'Lớp 4 - Danh mục'!$I$14:$I$132)=0),0),0),T203+MATCH(1,INDEX((INDEX('Lớp 4 - Danh mục'!$I$14:$I$132,T203+1):'Lớp 4 - Danh mục'!$I$132&lt;&gt;"")*(COUNTIF('Lớp 5 - Phân công'!$J$14:$J$262,INDEX('Lớp 4 - Danh mục'!$I$14:$I$132,T203+1):'Lớp 4 - Danh mục'!$I$132)=0),0),0)),IF(S203&lt;&gt;"Lớp 3",MATCH(1,INDEX(('Lớp 3 - Công việc chính'!$I$14:$I$73&lt;&gt;"")*(COUNTIF('Lớp 4 - Danh mục'!$J$14:$J$132,'Lớp 3 - Công việc chính'!$I$14:$I$73)=0),0),0),T203+MATCH(1,INDEX((INDEX('Lớp 3 - Công việc chính'!$I$14:$I$73,T203+1):'Lớp 3 - Công việc chính'!$I$73&lt;&gt;"")*(COUNTIF('Lớp 4 - Danh mục'!$J$14:$J$132,INDEX('Lớp 3 - Công việc chính'!$I$14:$I$73,T203+1):'Lớp 3 - Công việc chính'!$I$73)=0),0),0)))))</f>
        <v>#REF!</v>
      </c>
      <c r="Z204" s="700" t="str">
        <f t="array" ref="Z204">IF($S204="","",IF($S204="Lớp 5",INDEX('Lớp 5 - Phân công'!$AS$14:$AS$262,$T204),IF($S204="Lớp 4",INDEX('Lớp 4 - Danh mục'!$AR$14:$AR$132,$T204),INDEX('Lớp 3 - Công việc chính'!$AO$14:$AO$73,$T204))))</f>
        <v>#REF!</v>
      </c>
      <c r="AA204" s="701" t="str">
        <f t="array" ref="AA204">IF($S204="","",IF($S204="Lớp 5",INDEX('Lớp 5 - Phân công'!$AT$14:$AT$262,$T204),IF($S204="Lớp 4",INDEX('Lớp 4 - Danh mục'!$AS$14:$AS$132,$T204),INDEX('Lớp 3 - Công việc chính'!$AP$14:$AP$73,$T204))))</f>
        <v>#REF!</v>
      </c>
      <c r="AB204" s="701" t="str">
        <f t="array" ref="AB204">IF($S204="","",IF($S204="Lớp 5",INDEX('Lớp 5 - Phân công'!$AJ$14:$AJ$262,$T204),IF($S204="Lớp 4",INDEX('Lớp 4 - Danh mục'!$AI$14:$AI$132,$T204),INDEX('Lớp 3 - Công việc chính'!$AF$14:$AF$73,$T204))))</f>
        <v>#REF!</v>
      </c>
      <c r="AC204" s="702" t="str">
        <f t="array" ref="AC204">IF($S204="","",IF($S204="Lớp 5",INDEX('Lớp 5 - Phân công'!$AV$14:$AV$262,$T204),IF($S204="Lớp 4",INDEX('Lớp 4 - Danh mục'!$AU$14:$AU$132,$T204),INDEX('Lớp 3 - Công việc chính'!$AR$14:$AR$73,$T204))))</f>
        <v>#REF!</v>
      </c>
    </row>
    <row r="205" ht="15.75" customHeight="1">
      <c r="A205" s="690" t="str">
        <f t="shared" si="1"/>
        <v>#REF!</v>
      </c>
      <c r="B205" s="690" t="str">
        <f t="array" ref="B205">IF($S205="","",IF($S205="Lớp 5",INDEX('Lớp 5 - Phân công'!$I$14:$I$262,$T205),IF($S205="Lớp 4",INDEX('Lớp 4 - Danh mục'!$I$14:$I$132,$T205),INDEX('Lớp 3 - Công việc chính'!$I$14:$I$73,$T205))))</f>
        <v>#REF!</v>
      </c>
      <c r="C205" s="690" t="str">
        <f t="array" ref="C205">IF($S205="","",IF($S205="Lớp 5",INDEX('Lớp 5 - Phân công'!$K$14:$K$262,$T205),IF($S205="Lớp 4",INDEX('Lớp 4 - Danh mục'!$J$14:$J$132,$T205),INDEX('Lớp 3 - Công việc chính'!$I$14:$I$73,$T205))))</f>
        <v>#REF!</v>
      </c>
      <c r="D205" s="690" t="str">
        <f t="array" ref="D205">IF($S205="","",IF($S205="Lớp 5",INDEX('Lớp 5 - Phân công'!$J$14:$J$262,$T205),IF($S205="Lớp 4",INDEX('Lớp 4 - Danh mục'!$I$14:$I$132,$T205),"")))</f>
        <v>#REF!</v>
      </c>
      <c r="E205" s="690" t="str">
        <f t="array" ref="E205">IF($S205="","",IF($S205="Lớp 5",INDEX('Lớp 5 - Phân công'!$L$14:$L$262,$T205),IF($S205="Lớp 4",INDEX('Lớp 4 - Danh mục'!$K$14:$K$132,$T205),INDEX('Lớp 3 - Công việc chính'!$J$14:$J$73,$T205))))</f>
        <v>#REF!</v>
      </c>
      <c r="F205" s="690" t="str">
        <f t="array" ref="F205">IF($S205="","",IF($S205="Lớp 5",INDEX('Lớp 5 - Phân công'!$M$14:$M$262,$T205),IF($S205="Lớp 4",INDEX('Lớp 4 - Danh mục'!$L$14:$L$132,$T205),INDEX('Lớp 3 - Công việc chính'!$K$14:$K$73,$T205))))</f>
        <v>#REF!</v>
      </c>
      <c r="G205" s="691" t="str">
        <f t="array" ref="G205">IF($S205="","",IF($S205="Lớp 5",INDEX('Lớp 5 - Phân công'!$N$14:$N$262,$T205),IF($S205="Lớp 4",INDEX('Lớp 4 - Danh mục'!$M$14:$M$132,$T205),INDEX('Lớp 3 - Công việc chính'!$L$14:$L$73,$T205))))</f>
        <v>#REF!</v>
      </c>
      <c r="H205" s="692" t="str">
        <f t="array" ref="H205">IF($S205="","",IF($S205="Lớp 5",INDEX('Lớp 5 - Phân công'!$O$14:$O$262,$T205),IF($S205="Lớp 4",INDEX('Lớp 4 - Danh mục'!$N$14:$N$132,$T205),INDEX('Lớp 3 - Công việc chính'!$M$14:$M$73,$T205))))</f>
        <v>#REF!</v>
      </c>
      <c r="I205" s="692" t="str">
        <f t="array" ref="I205">IF($S205="","",IF($S205="Lớp 5",INDEX('Lớp 5 - Phân công'!$P$14:$P$262,$T205),IF($S205="Lớp 4",INDEX('Lớp 4 - Danh mục'!$O$14:$O$132,$T205),"")))</f>
        <v>#REF!</v>
      </c>
      <c r="J205" s="693" t="str">
        <f t="array" ref="J205">IF($S205="","",IF($S205="Lớp 5",INDEX('Lớp 5 - Phân công'!$Q$14:$Q$262,$T205),""))</f>
        <v>#REF!</v>
      </c>
      <c r="K205" s="690" t="str">
        <f t="array" ref="K205">IF($S205="","",IF($S205="Lớp 5",INDEX('Lớp 5 - Phân công'!$AA$14:$AA$262,$T205),IF($S205="Lớp 4",INDEX('Lớp 4 - Danh mục'!$Y$14:$Y$132,$T205),INDEX('Lớp 3 - Công việc chính'!$U$14:$U$73,$T205))))</f>
        <v>#REF!</v>
      </c>
      <c r="L205" s="691" t="str">
        <f t="array" ref="L205">IF($S205="","",IF($S205="Lớp 5",INDEX('Lớp 5 - Phân công'!$Z$14:$Z$262,$T205),IF($S205="Lớp 4",INDEX('Lớp 4 - Danh mục'!$X$14:$X$132,$T205),INDEX('Lớp 3 - Công việc chính'!$W$14:$W$73,$T205))))</f>
        <v>#REF!</v>
      </c>
      <c r="M205" s="694" t="str">
        <f t="array" ref="M205">IF($S205="","",IF($S205="Lớp 5",INDEX('Lớp 5 - Phân công'!$AD$14:$AD$262,$T205),IF($S205="Lớp 4",INDEX('Lớp 4 - Danh mục'!$AC$14:$AC$132,$T205),INDEX('Lớp 3 - Công việc chính'!$Z$14:$Z$73,$T205))))</f>
        <v>#REF!</v>
      </c>
      <c r="N205" s="695" t="str">
        <f t="array" ref="N205">IF($S205="","",IF($S205="Lớp 5",INDEX('Lớp 5 - Phân công'!$AE$14:$AE$262,$T205),IF($S205="Lớp 4",INDEX('Lớp 4 - Danh mục'!$AD$14:$AD$132,$T205),INDEX('Lớp 3 - Công việc chính'!$AA$14:$AA$73,$T205))))</f>
        <v>#REF!</v>
      </c>
      <c r="O205" s="690" t="str">
        <f t="array" ref="O205">IF($S205="","",IF($S205="Lớp 5",INDEX('Lớp 5 - Phân công'!$AB$14:$AB$262,$T205),IF($S205="Lớp 4",INDEX('Lớp 4 - Danh mục'!$AA$14:$AA$132,$T205),INDEX('Lớp 3 - Công việc chính'!$X$14:$X$73,$T205))))</f>
        <v>#REF!</v>
      </c>
      <c r="P205" s="703" t="str">
        <f t="array" ref="P205">IF($S205="","",IF($S205="Lớp 5",INDEX('Lớp 5 - Phân công'!$AC$14:$AC$262,$T205),IF($S205="Lớp 4",INDEX('Lớp 4 - Danh mục'!$AB$14:$AB$132,$T205),INDEX('Lớp 3 - Công việc chính'!$Y$14:$Y$73,$T205))))</f>
        <v>#REF!</v>
      </c>
      <c r="Q205" s="697" t="str">
        <f t="array" ref="Q205">IF($S205="","",IF($S205="Lớp 5",INDEX('Lớp 5 - Phân công'!$AG$14:$AG$262,$T205),IF($S205="Lớp 4",INDEX('Lớp 4 - Danh mục'!$AF$14:$AF$132,$T205),INDEX('Lớp 3 - Công việc chính'!$AC$14:$AC$73,$T205))))</f>
        <v>#REF!</v>
      </c>
      <c r="R205" s="698" t="str">
        <f t="array" ref="R205">IF($S205="","",IF($S205="Lớp 5",INDEX('Lớp 5 - Phân công'!$X$14:$X$262,$T205),IF($S205="Lớp 4",INDEX('Lớp 4 - Danh mục'!$V$14:$V$132,$T205),INDEX('Lớp 3 - Công việc chính'!$T$14:$T$73,$T205))))</f>
        <v>#REF!</v>
      </c>
      <c r="S205" s="699" t="str">
        <f>IF(ROWS($S$14:S205)&lt;=COUNTIF('Lớp 5 - Phân công'!$I$14:$I$262,"&lt;&gt;"),"Lớp 5",IF(ROWS($S$14:S205)&lt;=COUNTIF('Lớp 5 - Phân công'!$I$14:$I$262,"&lt;&gt;")+SUMPRODUCT(--('Lớp 4 - Danh mục'!$I$14:$I$132&lt;&gt;""),--(COUNTIF('Lớp 5 - Phân công'!$J$14:$J$262,'Lớp 4 - Danh mục'!$I$14:$I$132)=0)),"Lớp 4",IF(ROWS($S$14:S205)&lt;=COUNTIF('Lớp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5" s="699" t="str">
        <f t="array" ref="T205">IF(S205="","",IF(S205="Lớp 5",IF(S204&lt;&gt;"Lớp 5",MATCH("*",'Lớp 5 - Phân công'!$I$14:$I$262,0),T204+MATCH("*",INDEX('Lớp 5 - Phân công'!$I$14:$I$262,T204+1):'Lớp 5 - Phân công'!$I$262,0)),IF(S205="Lớp 4",IF(S204&lt;&gt;"Lớp 4",MATCH(1,INDEX(('Lớp 4 - Danh mục'!$I$14:$I$132&lt;&gt;"")*(COUNTIF('Lớp 5 - Phân công'!$J$14:$J$262,'Lớp 4 - Danh mục'!$I$14:$I$132)=0),0),0),T204+MATCH(1,INDEX((INDEX('Lớp 4 - Danh mục'!$I$14:$I$132,T204+1):'Lớp 4 - Danh mục'!$I$132&lt;&gt;"")*(COUNTIF('Lớp 5 - Phân công'!$J$14:$J$262,INDEX('Lớp 4 - Danh mục'!$I$14:$I$132,T204+1):'Lớp 4 - Danh mục'!$I$132)=0),0),0)),IF(S204&lt;&gt;"Lớp 3",MATCH(1,INDEX(('Lớp 3 - Công việc chính'!$I$14:$I$73&lt;&gt;"")*(COUNTIF('Lớp 4 - Danh mục'!$J$14:$J$132,'Lớp 3 - Công việc chính'!$I$14:$I$73)=0),0),0),T204+MATCH(1,INDEX((INDEX('Lớp 3 - Công việc chính'!$I$14:$I$73,T204+1):'Lớp 3 - Công việc chính'!$I$73&lt;&gt;"")*(COUNTIF('Lớp 4 - Danh mục'!$J$14:$J$132,INDEX('Lớp 3 - Công việc chính'!$I$14:$I$73,T204+1):'Lớp 3 - Công việc chính'!$I$73)=0),0),0)))))</f>
        <v>#REF!</v>
      </c>
      <c r="Z205" s="700" t="str">
        <f t="array" ref="Z205">IF($S205="","",IF($S205="Lớp 5",INDEX('Lớp 5 - Phân công'!$AS$14:$AS$262,$T205),IF($S205="Lớp 4",INDEX('Lớp 4 - Danh mục'!$AR$14:$AR$132,$T205),INDEX('Lớp 3 - Công việc chính'!$AO$14:$AO$73,$T205))))</f>
        <v>#REF!</v>
      </c>
      <c r="AA205" s="701" t="str">
        <f t="array" ref="AA205">IF($S205="","",IF($S205="Lớp 5",INDEX('Lớp 5 - Phân công'!$AT$14:$AT$262,$T205),IF($S205="Lớp 4",INDEX('Lớp 4 - Danh mục'!$AS$14:$AS$132,$T205),INDEX('Lớp 3 - Công việc chính'!$AP$14:$AP$73,$T205))))</f>
        <v>#REF!</v>
      </c>
      <c r="AB205" s="701" t="str">
        <f t="array" ref="AB205">IF($S205="","",IF($S205="Lớp 5",INDEX('Lớp 5 - Phân công'!$AJ$14:$AJ$262,$T205),IF($S205="Lớp 4",INDEX('Lớp 4 - Danh mục'!$AI$14:$AI$132,$T205),INDEX('Lớp 3 - Công việc chính'!$AF$14:$AF$73,$T205))))</f>
        <v>#REF!</v>
      </c>
      <c r="AC205" s="702" t="str">
        <f t="array" ref="AC205">IF($S205="","",IF($S205="Lớp 5",INDEX('Lớp 5 - Phân công'!$AV$14:$AV$262,$T205),IF($S205="Lớp 4",INDEX('Lớp 4 - Danh mục'!$AU$14:$AU$132,$T205),INDEX('Lớp 3 - Công việc chính'!$AR$14:$AR$73,$T205))))</f>
        <v>#REF!</v>
      </c>
    </row>
    <row r="206" ht="15.75" customHeight="1">
      <c r="A206" s="690" t="str">
        <f t="shared" si="1"/>
        <v>#REF!</v>
      </c>
      <c r="B206" s="690" t="str">
        <f t="array" ref="B206">IF($S206="","",IF($S206="Lớp 5",INDEX('Lớp 5 - Phân công'!$I$14:$I$262,$T206),IF($S206="Lớp 4",INDEX('Lớp 4 - Danh mục'!$I$14:$I$132,$T206),INDEX('Lớp 3 - Công việc chính'!$I$14:$I$73,$T206))))</f>
        <v>#REF!</v>
      </c>
      <c r="C206" s="690" t="str">
        <f t="array" ref="C206">IF($S206="","",IF($S206="Lớp 5",INDEX('Lớp 5 - Phân công'!$K$14:$K$262,$T206),IF($S206="Lớp 4",INDEX('Lớp 4 - Danh mục'!$J$14:$J$132,$T206),INDEX('Lớp 3 - Công việc chính'!$I$14:$I$73,$T206))))</f>
        <v>#REF!</v>
      </c>
      <c r="D206" s="690" t="str">
        <f t="array" ref="D206">IF($S206="","",IF($S206="Lớp 5",INDEX('Lớp 5 - Phân công'!$J$14:$J$262,$T206),IF($S206="Lớp 4",INDEX('Lớp 4 - Danh mục'!$I$14:$I$132,$T206),"")))</f>
        <v>#REF!</v>
      </c>
      <c r="E206" s="690" t="str">
        <f t="array" ref="E206">IF($S206="","",IF($S206="Lớp 5",INDEX('Lớp 5 - Phân công'!$L$14:$L$262,$T206),IF($S206="Lớp 4",INDEX('Lớp 4 - Danh mục'!$K$14:$K$132,$T206),INDEX('Lớp 3 - Công việc chính'!$J$14:$J$73,$T206))))</f>
        <v>#REF!</v>
      </c>
      <c r="F206" s="690" t="str">
        <f t="array" ref="F206">IF($S206="","",IF($S206="Lớp 5",INDEX('Lớp 5 - Phân công'!$M$14:$M$262,$T206),IF($S206="Lớp 4",INDEX('Lớp 4 - Danh mục'!$L$14:$L$132,$T206),INDEX('Lớp 3 - Công việc chính'!$K$14:$K$73,$T206))))</f>
        <v>#REF!</v>
      </c>
      <c r="G206" s="691" t="str">
        <f t="array" ref="G206">IF($S206="","",IF($S206="Lớp 5",INDEX('Lớp 5 - Phân công'!$N$14:$N$262,$T206),IF($S206="Lớp 4",INDEX('Lớp 4 - Danh mục'!$M$14:$M$132,$T206),INDEX('Lớp 3 - Công việc chính'!$L$14:$L$73,$T206))))</f>
        <v>#REF!</v>
      </c>
      <c r="H206" s="692" t="str">
        <f t="array" ref="H206">IF($S206="","",IF($S206="Lớp 5",INDEX('Lớp 5 - Phân công'!$O$14:$O$262,$T206),IF($S206="Lớp 4",INDEX('Lớp 4 - Danh mục'!$N$14:$N$132,$T206),INDEX('Lớp 3 - Công việc chính'!$M$14:$M$73,$T206))))</f>
        <v>#REF!</v>
      </c>
      <c r="I206" s="692" t="str">
        <f t="array" ref="I206">IF($S206="","",IF($S206="Lớp 5",INDEX('Lớp 5 - Phân công'!$P$14:$P$262,$T206),IF($S206="Lớp 4",INDEX('Lớp 4 - Danh mục'!$O$14:$O$132,$T206),"")))</f>
        <v>#REF!</v>
      </c>
      <c r="J206" s="693" t="str">
        <f t="array" ref="J206">IF($S206="","",IF($S206="Lớp 5",INDEX('Lớp 5 - Phân công'!$Q$14:$Q$262,$T206),""))</f>
        <v>#REF!</v>
      </c>
      <c r="K206" s="690" t="str">
        <f t="array" ref="K206">IF($S206="","",IF($S206="Lớp 5",INDEX('Lớp 5 - Phân công'!$AA$14:$AA$262,$T206),IF($S206="Lớp 4",INDEX('Lớp 4 - Danh mục'!$Y$14:$Y$132,$T206),INDEX('Lớp 3 - Công việc chính'!$U$14:$U$73,$T206))))</f>
        <v>#REF!</v>
      </c>
      <c r="L206" s="691" t="str">
        <f t="array" ref="L206">IF($S206="","",IF($S206="Lớp 5",INDEX('Lớp 5 - Phân công'!$Z$14:$Z$262,$T206),IF($S206="Lớp 4",INDEX('Lớp 4 - Danh mục'!$X$14:$X$132,$T206),INDEX('Lớp 3 - Công việc chính'!$W$14:$W$73,$T206))))</f>
        <v>#REF!</v>
      </c>
      <c r="M206" s="694" t="str">
        <f t="array" ref="M206">IF($S206="","",IF($S206="Lớp 5",INDEX('Lớp 5 - Phân công'!$AD$14:$AD$262,$T206),IF($S206="Lớp 4",INDEX('Lớp 4 - Danh mục'!$AC$14:$AC$132,$T206),INDEX('Lớp 3 - Công việc chính'!$Z$14:$Z$73,$T206))))</f>
        <v>#REF!</v>
      </c>
      <c r="N206" s="695" t="str">
        <f t="array" ref="N206">IF($S206="","",IF($S206="Lớp 5",INDEX('Lớp 5 - Phân công'!$AE$14:$AE$262,$T206),IF($S206="Lớp 4",INDEX('Lớp 4 - Danh mục'!$AD$14:$AD$132,$T206),INDEX('Lớp 3 - Công việc chính'!$AA$14:$AA$73,$T206))))</f>
        <v>#REF!</v>
      </c>
      <c r="O206" s="690" t="str">
        <f t="array" ref="O206">IF($S206="","",IF($S206="Lớp 5",INDEX('Lớp 5 - Phân công'!$AB$14:$AB$262,$T206),IF($S206="Lớp 4",INDEX('Lớp 4 - Danh mục'!$AA$14:$AA$132,$T206),INDEX('Lớp 3 - Công việc chính'!$X$14:$X$73,$T206))))</f>
        <v>#REF!</v>
      </c>
      <c r="P206" s="703" t="str">
        <f t="array" ref="P206">IF($S206="","",IF($S206="Lớp 5",INDEX('Lớp 5 - Phân công'!$AC$14:$AC$262,$T206),IF($S206="Lớp 4",INDEX('Lớp 4 - Danh mục'!$AB$14:$AB$132,$T206),INDEX('Lớp 3 - Công việc chính'!$Y$14:$Y$73,$T206))))</f>
        <v>#REF!</v>
      </c>
      <c r="Q206" s="697" t="str">
        <f t="array" ref="Q206">IF($S206="","",IF($S206="Lớp 5",INDEX('Lớp 5 - Phân công'!$AG$14:$AG$262,$T206),IF($S206="Lớp 4",INDEX('Lớp 4 - Danh mục'!$AF$14:$AF$132,$T206),INDEX('Lớp 3 - Công việc chính'!$AC$14:$AC$73,$T206))))</f>
        <v>#REF!</v>
      </c>
      <c r="R206" s="698" t="str">
        <f t="array" ref="R206">IF($S206="","",IF($S206="Lớp 5",INDEX('Lớp 5 - Phân công'!$X$14:$X$262,$T206),IF($S206="Lớp 4",INDEX('Lớp 4 - Danh mục'!$V$14:$V$132,$T206),INDEX('Lớp 3 - Công việc chính'!$T$14:$T$73,$T206))))</f>
        <v>#REF!</v>
      </c>
      <c r="S206" s="699" t="str">
        <f>IF(ROWS($S$14:S206)&lt;=COUNTIF('Lớp 5 - Phân công'!$I$14:$I$262,"&lt;&gt;"),"Lớp 5",IF(ROWS($S$14:S206)&lt;=COUNTIF('Lớp 5 - Phân công'!$I$14:$I$262,"&lt;&gt;")+SUMPRODUCT(--('Lớp 4 - Danh mục'!$I$14:$I$132&lt;&gt;""),--(COUNTIF('Lớp 5 - Phân công'!$J$14:$J$262,'Lớp 4 - Danh mục'!$I$14:$I$132)=0)),"Lớp 4",IF(ROWS($S$14:S206)&lt;=COUNTIF('Lớp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6" s="699" t="str">
        <f t="array" ref="T206">IF(S206="","",IF(S206="Lớp 5",IF(S205&lt;&gt;"Lớp 5",MATCH("*",'Lớp 5 - Phân công'!$I$14:$I$262,0),T205+MATCH("*",INDEX('Lớp 5 - Phân công'!$I$14:$I$262,T205+1):'Lớp 5 - Phân công'!$I$262,0)),IF(S206="Lớp 4",IF(S205&lt;&gt;"Lớp 4",MATCH(1,INDEX(('Lớp 4 - Danh mục'!$I$14:$I$132&lt;&gt;"")*(COUNTIF('Lớp 5 - Phân công'!$J$14:$J$262,'Lớp 4 - Danh mục'!$I$14:$I$132)=0),0),0),T205+MATCH(1,INDEX((INDEX('Lớp 4 - Danh mục'!$I$14:$I$132,T205+1):'Lớp 4 - Danh mục'!$I$132&lt;&gt;"")*(COUNTIF('Lớp 5 - Phân công'!$J$14:$J$262,INDEX('Lớp 4 - Danh mục'!$I$14:$I$132,T205+1):'Lớp 4 - Danh mục'!$I$132)=0),0),0)),IF(S205&lt;&gt;"Lớp 3",MATCH(1,INDEX(('Lớp 3 - Công việc chính'!$I$14:$I$73&lt;&gt;"")*(COUNTIF('Lớp 4 - Danh mục'!$J$14:$J$132,'Lớp 3 - Công việc chính'!$I$14:$I$73)=0),0),0),T205+MATCH(1,INDEX((INDEX('Lớp 3 - Công việc chính'!$I$14:$I$73,T205+1):'Lớp 3 - Công việc chính'!$I$73&lt;&gt;"")*(COUNTIF('Lớp 4 - Danh mục'!$J$14:$J$132,INDEX('Lớp 3 - Công việc chính'!$I$14:$I$73,T205+1):'Lớp 3 - Công việc chính'!$I$73)=0),0),0)))))</f>
        <v>#REF!</v>
      </c>
      <c r="Z206" s="700" t="str">
        <f t="array" ref="Z206">IF($S206="","",IF($S206="Lớp 5",INDEX('Lớp 5 - Phân công'!$AS$14:$AS$262,$T206),IF($S206="Lớp 4",INDEX('Lớp 4 - Danh mục'!$AR$14:$AR$132,$T206),INDEX('Lớp 3 - Công việc chính'!$AO$14:$AO$73,$T206))))</f>
        <v>#REF!</v>
      </c>
      <c r="AA206" s="701" t="str">
        <f t="array" ref="AA206">IF($S206="","",IF($S206="Lớp 5",INDEX('Lớp 5 - Phân công'!$AT$14:$AT$262,$T206),IF($S206="Lớp 4",INDEX('Lớp 4 - Danh mục'!$AS$14:$AS$132,$T206),INDEX('Lớp 3 - Công việc chính'!$AP$14:$AP$73,$T206))))</f>
        <v>#REF!</v>
      </c>
      <c r="AB206" s="701" t="str">
        <f t="array" ref="AB206">IF($S206="","",IF($S206="Lớp 5",INDEX('Lớp 5 - Phân công'!$AJ$14:$AJ$262,$T206),IF($S206="Lớp 4",INDEX('Lớp 4 - Danh mục'!$AI$14:$AI$132,$T206),INDEX('Lớp 3 - Công việc chính'!$AF$14:$AF$73,$T206))))</f>
        <v>#REF!</v>
      </c>
      <c r="AC206" s="702" t="str">
        <f t="array" ref="AC206">IF($S206="","",IF($S206="Lớp 5",INDEX('Lớp 5 - Phân công'!$AV$14:$AV$262,$T206),IF($S206="Lớp 4",INDEX('Lớp 4 - Danh mục'!$AU$14:$AU$132,$T206),INDEX('Lớp 3 - Công việc chính'!$AR$14:$AR$73,$T206))))</f>
        <v>#REF!</v>
      </c>
    </row>
    <row r="207" ht="15.75" customHeight="1">
      <c r="A207" s="690" t="str">
        <f t="shared" si="1"/>
        <v>#REF!</v>
      </c>
      <c r="B207" s="690" t="str">
        <f t="array" ref="B207">IF($S207="","",IF($S207="Lớp 5",INDEX('Lớp 5 - Phân công'!$I$14:$I$262,$T207),IF($S207="Lớp 4",INDEX('Lớp 4 - Danh mục'!$I$14:$I$132,$T207),INDEX('Lớp 3 - Công việc chính'!$I$14:$I$73,$T207))))</f>
        <v>#REF!</v>
      </c>
      <c r="C207" s="690" t="str">
        <f t="array" ref="C207">IF($S207="","",IF($S207="Lớp 5",INDEX('Lớp 5 - Phân công'!$K$14:$K$262,$T207),IF($S207="Lớp 4",INDEX('Lớp 4 - Danh mục'!$J$14:$J$132,$T207),INDEX('Lớp 3 - Công việc chính'!$I$14:$I$73,$T207))))</f>
        <v>#REF!</v>
      </c>
      <c r="D207" s="690" t="str">
        <f t="array" ref="D207">IF($S207="","",IF($S207="Lớp 5",INDEX('Lớp 5 - Phân công'!$J$14:$J$262,$T207),IF($S207="Lớp 4",INDEX('Lớp 4 - Danh mục'!$I$14:$I$132,$T207),"")))</f>
        <v>#REF!</v>
      </c>
      <c r="E207" s="690" t="str">
        <f t="array" ref="E207">IF($S207="","",IF($S207="Lớp 5",INDEX('Lớp 5 - Phân công'!$L$14:$L$262,$T207),IF($S207="Lớp 4",INDEX('Lớp 4 - Danh mục'!$K$14:$K$132,$T207),INDEX('Lớp 3 - Công việc chính'!$J$14:$J$73,$T207))))</f>
        <v>#REF!</v>
      </c>
      <c r="F207" s="690" t="str">
        <f t="array" ref="F207">IF($S207="","",IF($S207="Lớp 5",INDEX('Lớp 5 - Phân công'!$M$14:$M$262,$T207),IF($S207="Lớp 4",INDEX('Lớp 4 - Danh mục'!$L$14:$L$132,$T207),INDEX('Lớp 3 - Công việc chính'!$K$14:$K$73,$T207))))</f>
        <v>#REF!</v>
      </c>
      <c r="G207" s="691" t="str">
        <f t="array" ref="G207">IF($S207="","",IF($S207="Lớp 5",INDEX('Lớp 5 - Phân công'!$N$14:$N$262,$T207),IF($S207="Lớp 4",INDEX('Lớp 4 - Danh mục'!$M$14:$M$132,$T207),INDEX('Lớp 3 - Công việc chính'!$L$14:$L$73,$T207))))</f>
        <v>#REF!</v>
      </c>
      <c r="H207" s="692" t="str">
        <f t="array" ref="H207">IF($S207="","",IF($S207="Lớp 5",INDEX('Lớp 5 - Phân công'!$O$14:$O$262,$T207),IF($S207="Lớp 4",INDEX('Lớp 4 - Danh mục'!$N$14:$N$132,$T207),INDEX('Lớp 3 - Công việc chính'!$M$14:$M$73,$T207))))</f>
        <v>#REF!</v>
      </c>
      <c r="I207" s="692" t="str">
        <f t="array" ref="I207">IF($S207="","",IF($S207="Lớp 5",INDEX('Lớp 5 - Phân công'!$P$14:$P$262,$T207),IF($S207="Lớp 4",INDEX('Lớp 4 - Danh mục'!$O$14:$O$132,$T207),"")))</f>
        <v>#REF!</v>
      </c>
      <c r="J207" s="693" t="str">
        <f t="array" ref="J207">IF($S207="","",IF($S207="Lớp 5",INDEX('Lớp 5 - Phân công'!$Q$14:$Q$262,$T207),""))</f>
        <v>#REF!</v>
      </c>
      <c r="K207" s="690" t="str">
        <f t="array" ref="K207">IF($S207="","",IF($S207="Lớp 5",INDEX('Lớp 5 - Phân công'!$AA$14:$AA$262,$T207),IF($S207="Lớp 4",INDEX('Lớp 4 - Danh mục'!$Y$14:$Y$132,$T207),INDEX('Lớp 3 - Công việc chính'!$U$14:$U$73,$T207))))</f>
        <v>#REF!</v>
      </c>
      <c r="L207" s="691" t="str">
        <f t="array" ref="L207">IF($S207="","",IF($S207="Lớp 5",INDEX('Lớp 5 - Phân công'!$Z$14:$Z$262,$T207),IF($S207="Lớp 4",INDEX('Lớp 4 - Danh mục'!$X$14:$X$132,$T207),INDEX('Lớp 3 - Công việc chính'!$W$14:$W$73,$T207))))</f>
        <v>#REF!</v>
      </c>
      <c r="M207" s="694" t="str">
        <f t="array" ref="M207">IF($S207="","",IF($S207="Lớp 5",INDEX('Lớp 5 - Phân công'!$AD$14:$AD$262,$T207),IF($S207="Lớp 4",INDEX('Lớp 4 - Danh mục'!$AC$14:$AC$132,$T207),INDEX('Lớp 3 - Công việc chính'!$Z$14:$Z$73,$T207))))</f>
        <v>#REF!</v>
      </c>
      <c r="N207" s="695" t="str">
        <f t="array" ref="N207">IF($S207="","",IF($S207="Lớp 5",INDEX('Lớp 5 - Phân công'!$AE$14:$AE$262,$T207),IF($S207="Lớp 4",INDEX('Lớp 4 - Danh mục'!$AD$14:$AD$132,$T207),INDEX('Lớp 3 - Công việc chính'!$AA$14:$AA$73,$T207))))</f>
        <v>#REF!</v>
      </c>
      <c r="O207" s="690" t="str">
        <f t="array" ref="O207">IF($S207="","",IF($S207="Lớp 5",INDEX('Lớp 5 - Phân công'!$AB$14:$AB$262,$T207),IF($S207="Lớp 4",INDEX('Lớp 4 - Danh mục'!$AA$14:$AA$132,$T207),INDEX('Lớp 3 - Công việc chính'!$X$14:$X$73,$T207))))</f>
        <v>#REF!</v>
      </c>
      <c r="P207" s="703" t="str">
        <f t="array" ref="P207">IF($S207="","",IF($S207="Lớp 5",INDEX('Lớp 5 - Phân công'!$AC$14:$AC$262,$T207),IF($S207="Lớp 4",INDEX('Lớp 4 - Danh mục'!$AB$14:$AB$132,$T207),INDEX('Lớp 3 - Công việc chính'!$Y$14:$Y$73,$T207))))</f>
        <v>#REF!</v>
      </c>
      <c r="Q207" s="697" t="str">
        <f t="array" ref="Q207">IF($S207="","",IF($S207="Lớp 5",INDEX('Lớp 5 - Phân công'!$AG$14:$AG$262,$T207),IF($S207="Lớp 4",INDEX('Lớp 4 - Danh mục'!$AF$14:$AF$132,$T207),INDEX('Lớp 3 - Công việc chính'!$AC$14:$AC$73,$T207))))</f>
        <v>#REF!</v>
      </c>
      <c r="R207" s="698" t="str">
        <f t="array" ref="R207">IF($S207="","",IF($S207="Lớp 5",INDEX('Lớp 5 - Phân công'!$X$14:$X$262,$T207),IF($S207="Lớp 4",INDEX('Lớp 4 - Danh mục'!$V$14:$V$132,$T207),INDEX('Lớp 3 - Công việc chính'!$T$14:$T$73,$T207))))</f>
        <v>#REF!</v>
      </c>
      <c r="S207" s="699" t="str">
        <f>IF(ROWS($S$14:S207)&lt;=COUNTIF('Lớp 5 - Phân công'!$I$14:$I$262,"&lt;&gt;"),"Lớp 5",IF(ROWS($S$14:S207)&lt;=COUNTIF('Lớp 5 - Phân công'!$I$14:$I$262,"&lt;&gt;")+SUMPRODUCT(--('Lớp 4 - Danh mục'!$I$14:$I$132&lt;&gt;""),--(COUNTIF('Lớp 5 - Phân công'!$J$14:$J$262,'Lớp 4 - Danh mục'!$I$14:$I$132)=0)),"Lớp 4",IF(ROWS($S$14:S207)&lt;=COUNTIF('Lớp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7" s="699" t="str">
        <f t="array" ref="T207">IF(S207="","",IF(S207="Lớp 5",IF(S206&lt;&gt;"Lớp 5",MATCH("*",'Lớp 5 - Phân công'!$I$14:$I$262,0),T206+MATCH("*",INDEX('Lớp 5 - Phân công'!$I$14:$I$262,T206+1):'Lớp 5 - Phân công'!$I$262,0)),IF(S207="Lớp 4",IF(S206&lt;&gt;"Lớp 4",MATCH(1,INDEX(('Lớp 4 - Danh mục'!$I$14:$I$132&lt;&gt;"")*(COUNTIF('Lớp 5 - Phân công'!$J$14:$J$262,'Lớp 4 - Danh mục'!$I$14:$I$132)=0),0),0),T206+MATCH(1,INDEX((INDEX('Lớp 4 - Danh mục'!$I$14:$I$132,T206+1):'Lớp 4 - Danh mục'!$I$132&lt;&gt;"")*(COUNTIF('Lớp 5 - Phân công'!$J$14:$J$262,INDEX('Lớp 4 - Danh mục'!$I$14:$I$132,T206+1):'Lớp 4 - Danh mục'!$I$132)=0),0),0)),IF(S206&lt;&gt;"Lớp 3",MATCH(1,INDEX(('Lớp 3 - Công việc chính'!$I$14:$I$73&lt;&gt;"")*(COUNTIF('Lớp 4 - Danh mục'!$J$14:$J$132,'Lớp 3 - Công việc chính'!$I$14:$I$73)=0),0),0),T206+MATCH(1,INDEX((INDEX('Lớp 3 - Công việc chính'!$I$14:$I$73,T206+1):'Lớp 3 - Công việc chính'!$I$73&lt;&gt;"")*(COUNTIF('Lớp 4 - Danh mục'!$J$14:$J$132,INDEX('Lớp 3 - Công việc chính'!$I$14:$I$73,T206+1):'Lớp 3 - Công việc chính'!$I$73)=0),0),0)))))</f>
        <v>#REF!</v>
      </c>
      <c r="Z207" s="700" t="str">
        <f t="array" ref="Z207">IF($S207="","",IF($S207="Lớp 5",INDEX('Lớp 5 - Phân công'!$AS$14:$AS$262,$T207),IF($S207="Lớp 4",INDEX('Lớp 4 - Danh mục'!$AR$14:$AR$132,$T207),INDEX('Lớp 3 - Công việc chính'!$AO$14:$AO$73,$T207))))</f>
        <v>#REF!</v>
      </c>
      <c r="AA207" s="701" t="str">
        <f t="array" ref="AA207">IF($S207="","",IF($S207="Lớp 5",INDEX('Lớp 5 - Phân công'!$AT$14:$AT$262,$T207),IF($S207="Lớp 4",INDEX('Lớp 4 - Danh mục'!$AS$14:$AS$132,$T207),INDEX('Lớp 3 - Công việc chính'!$AP$14:$AP$73,$T207))))</f>
        <v>#REF!</v>
      </c>
      <c r="AB207" s="701" t="str">
        <f t="array" ref="AB207">IF($S207="","",IF($S207="Lớp 5",INDEX('Lớp 5 - Phân công'!$AJ$14:$AJ$262,$T207),IF($S207="Lớp 4",INDEX('Lớp 4 - Danh mục'!$AI$14:$AI$132,$T207),INDEX('Lớp 3 - Công việc chính'!$AF$14:$AF$73,$T207))))</f>
        <v>#REF!</v>
      </c>
      <c r="AC207" s="702" t="str">
        <f t="array" ref="AC207">IF($S207="","",IF($S207="Lớp 5",INDEX('Lớp 5 - Phân công'!$AV$14:$AV$262,$T207),IF($S207="Lớp 4",INDEX('Lớp 4 - Danh mục'!$AU$14:$AU$132,$T207),INDEX('Lớp 3 - Công việc chính'!$AR$14:$AR$73,$T207))))</f>
        <v>#REF!</v>
      </c>
    </row>
    <row r="208" ht="15.75" customHeight="1">
      <c r="A208" s="690" t="str">
        <f t="shared" si="1"/>
        <v>#REF!</v>
      </c>
      <c r="B208" s="690" t="str">
        <f t="array" ref="B208">IF($S208="","",IF($S208="Lớp 5",INDEX('Lớp 5 - Phân công'!$I$14:$I$262,$T208),IF($S208="Lớp 4",INDEX('Lớp 4 - Danh mục'!$I$14:$I$132,$T208),INDEX('Lớp 3 - Công việc chính'!$I$14:$I$73,$T208))))</f>
        <v>#REF!</v>
      </c>
      <c r="C208" s="690" t="str">
        <f t="array" ref="C208">IF($S208="","",IF($S208="Lớp 5",INDEX('Lớp 5 - Phân công'!$K$14:$K$262,$T208),IF($S208="Lớp 4",INDEX('Lớp 4 - Danh mục'!$J$14:$J$132,$T208),INDEX('Lớp 3 - Công việc chính'!$I$14:$I$73,$T208))))</f>
        <v>#REF!</v>
      </c>
      <c r="D208" s="690" t="str">
        <f t="array" ref="D208">IF($S208="","",IF($S208="Lớp 5",INDEX('Lớp 5 - Phân công'!$J$14:$J$262,$T208),IF($S208="Lớp 4",INDEX('Lớp 4 - Danh mục'!$I$14:$I$132,$T208),"")))</f>
        <v>#REF!</v>
      </c>
      <c r="E208" s="690" t="str">
        <f t="array" ref="E208">IF($S208="","",IF($S208="Lớp 5",INDEX('Lớp 5 - Phân công'!$L$14:$L$262,$T208),IF($S208="Lớp 4",INDEX('Lớp 4 - Danh mục'!$K$14:$K$132,$T208),INDEX('Lớp 3 - Công việc chính'!$J$14:$J$73,$T208))))</f>
        <v>#REF!</v>
      </c>
      <c r="F208" s="690" t="str">
        <f t="array" ref="F208">IF($S208="","",IF($S208="Lớp 5",INDEX('Lớp 5 - Phân công'!$M$14:$M$262,$T208),IF($S208="Lớp 4",INDEX('Lớp 4 - Danh mục'!$L$14:$L$132,$T208),INDEX('Lớp 3 - Công việc chính'!$K$14:$K$73,$T208))))</f>
        <v>#REF!</v>
      </c>
      <c r="G208" s="691" t="str">
        <f t="array" ref="G208">IF($S208="","",IF($S208="Lớp 5",INDEX('Lớp 5 - Phân công'!$N$14:$N$262,$T208),IF($S208="Lớp 4",INDEX('Lớp 4 - Danh mục'!$M$14:$M$132,$T208),INDEX('Lớp 3 - Công việc chính'!$L$14:$L$73,$T208))))</f>
        <v>#REF!</v>
      </c>
      <c r="H208" s="692" t="str">
        <f t="array" ref="H208">IF($S208="","",IF($S208="Lớp 5",INDEX('Lớp 5 - Phân công'!$O$14:$O$262,$T208),IF($S208="Lớp 4",INDEX('Lớp 4 - Danh mục'!$N$14:$N$132,$T208),INDEX('Lớp 3 - Công việc chính'!$M$14:$M$73,$T208))))</f>
        <v>#REF!</v>
      </c>
      <c r="I208" s="692" t="str">
        <f t="array" ref="I208">IF($S208="","",IF($S208="Lớp 5",INDEX('Lớp 5 - Phân công'!$P$14:$P$262,$T208),IF($S208="Lớp 4",INDEX('Lớp 4 - Danh mục'!$O$14:$O$132,$T208),"")))</f>
        <v>#REF!</v>
      </c>
      <c r="J208" s="693" t="str">
        <f t="array" ref="J208">IF($S208="","",IF($S208="Lớp 5",INDEX('Lớp 5 - Phân công'!$Q$14:$Q$262,$T208),""))</f>
        <v>#REF!</v>
      </c>
      <c r="K208" s="690" t="str">
        <f t="array" ref="K208">IF($S208="","",IF($S208="Lớp 5",INDEX('Lớp 5 - Phân công'!$AA$14:$AA$262,$T208),IF($S208="Lớp 4",INDEX('Lớp 4 - Danh mục'!$Y$14:$Y$132,$T208),INDEX('Lớp 3 - Công việc chính'!$U$14:$U$73,$T208))))</f>
        <v>#REF!</v>
      </c>
      <c r="L208" s="691" t="str">
        <f t="array" ref="L208">IF($S208="","",IF($S208="Lớp 5",INDEX('Lớp 5 - Phân công'!$Z$14:$Z$262,$T208),IF($S208="Lớp 4",INDEX('Lớp 4 - Danh mục'!$X$14:$X$132,$T208),INDEX('Lớp 3 - Công việc chính'!$W$14:$W$73,$T208))))</f>
        <v>#REF!</v>
      </c>
      <c r="M208" s="694" t="str">
        <f t="array" ref="M208">IF($S208="","",IF($S208="Lớp 5",INDEX('Lớp 5 - Phân công'!$AD$14:$AD$262,$T208),IF($S208="Lớp 4",INDEX('Lớp 4 - Danh mục'!$AC$14:$AC$132,$T208),INDEX('Lớp 3 - Công việc chính'!$Z$14:$Z$73,$T208))))</f>
        <v>#REF!</v>
      </c>
      <c r="N208" s="695" t="str">
        <f t="array" ref="N208">IF($S208="","",IF($S208="Lớp 5",INDEX('Lớp 5 - Phân công'!$AE$14:$AE$262,$T208),IF($S208="Lớp 4",INDEX('Lớp 4 - Danh mục'!$AD$14:$AD$132,$T208),INDEX('Lớp 3 - Công việc chính'!$AA$14:$AA$73,$T208))))</f>
        <v>#REF!</v>
      </c>
      <c r="O208" s="690" t="str">
        <f t="array" ref="O208">IF($S208="","",IF($S208="Lớp 5",INDEX('Lớp 5 - Phân công'!$AB$14:$AB$262,$T208),IF($S208="Lớp 4",INDEX('Lớp 4 - Danh mục'!$AA$14:$AA$132,$T208),INDEX('Lớp 3 - Công việc chính'!$X$14:$X$73,$T208))))</f>
        <v>#REF!</v>
      </c>
      <c r="P208" s="703" t="str">
        <f t="array" ref="P208">IF($S208="","",IF($S208="Lớp 5",INDEX('Lớp 5 - Phân công'!$AC$14:$AC$262,$T208),IF($S208="Lớp 4",INDEX('Lớp 4 - Danh mục'!$AB$14:$AB$132,$T208),INDEX('Lớp 3 - Công việc chính'!$Y$14:$Y$73,$T208))))</f>
        <v>#REF!</v>
      </c>
      <c r="Q208" s="697" t="str">
        <f t="array" ref="Q208">IF($S208="","",IF($S208="Lớp 5",INDEX('Lớp 5 - Phân công'!$AG$14:$AG$262,$T208),IF($S208="Lớp 4",INDEX('Lớp 4 - Danh mục'!$AF$14:$AF$132,$T208),INDEX('Lớp 3 - Công việc chính'!$AC$14:$AC$73,$T208))))</f>
        <v>#REF!</v>
      </c>
      <c r="R208" s="698" t="str">
        <f t="array" ref="R208">IF($S208="","",IF($S208="Lớp 5",INDEX('Lớp 5 - Phân công'!$X$14:$X$262,$T208),IF($S208="Lớp 4",INDEX('Lớp 4 - Danh mục'!$V$14:$V$132,$T208),INDEX('Lớp 3 - Công việc chính'!$T$14:$T$73,$T208))))</f>
        <v>#REF!</v>
      </c>
      <c r="S208" s="699" t="str">
        <f>IF(ROWS($S$14:S208)&lt;=COUNTIF('Lớp 5 - Phân công'!$I$14:$I$262,"&lt;&gt;"),"Lớp 5",IF(ROWS($S$14:S208)&lt;=COUNTIF('Lớp 5 - Phân công'!$I$14:$I$262,"&lt;&gt;")+SUMPRODUCT(--('Lớp 4 - Danh mục'!$I$14:$I$132&lt;&gt;""),--(COUNTIF('Lớp 5 - Phân công'!$J$14:$J$262,'Lớp 4 - Danh mục'!$I$14:$I$132)=0)),"Lớp 4",IF(ROWS($S$14:S208)&lt;=COUNTIF('Lớp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8" s="699" t="str">
        <f t="array" ref="T208">IF(S208="","",IF(S208="Lớp 5",IF(S207&lt;&gt;"Lớp 5",MATCH("*",'Lớp 5 - Phân công'!$I$14:$I$262,0),T207+MATCH("*",INDEX('Lớp 5 - Phân công'!$I$14:$I$262,T207+1):'Lớp 5 - Phân công'!$I$262,0)),IF(S208="Lớp 4",IF(S207&lt;&gt;"Lớp 4",MATCH(1,INDEX(('Lớp 4 - Danh mục'!$I$14:$I$132&lt;&gt;"")*(COUNTIF('Lớp 5 - Phân công'!$J$14:$J$262,'Lớp 4 - Danh mục'!$I$14:$I$132)=0),0),0),T207+MATCH(1,INDEX((INDEX('Lớp 4 - Danh mục'!$I$14:$I$132,T207+1):'Lớp 4 - Danh mục'!$I$132&lt;&gt;"")*(COUNTIF('Lớp 5 - Phân công'!$J$14:$J$262,INDEX('Lớp 4 - Danh mục'!$I$14:$I$132,T207+1):'Lớp 4 - Danh mục'!$I$132)=0),0),0)),IF(S207&lt;&gt;"Lớp 3",MATCH(1,INDEX(('Lớp 3 - Công việc chính'!$I$14:$I$73&lt;&gt;"")*(COUNTIF('Lớp 4 - Danh mục'!$J$14:$J$132,'Lớp 3 - Công việc chính'!$I$14:$I$73)=0),0),0),T207+MATCH(1,INDEX((INDEX('Lớp 3 - Công việc chính'!$I$14:$I$73,T207+1):'Lớp 3 - Công việc chính'!$I$73&lt;&gt;"")*(COUNTIF('Lớp 4 - Danh mục'!$J$14:$J$132,INDEX('Lớp 3 - Công việc chính'!$I$14:$I$73,T207+1):'Lớp 3 - Công việc chính'!$I$73)=0),0),0)))))</f>
        <v>#REF!</v>
      </c>
      <c r="Z208" s="700" t="str">
        <f t="array" ref="Z208">IF($S208="","",IF($S208="Lớp 5",INDEX('Lớp 5 - Phân công'!$AS$14:$AS$262,$T208),IF($S208="Lớp 4",INDEX('Lớp 4 - Danh mục'!$AR$14:$AR$132,$T208),INDEX('Lớp 3 - Công việc chính'!$AO$14:$AO$73,$T208))))</f>
        <v>#REF!</v>
      </c>
      <c r="AA208" s="701" t="str">
        <f t="array" ref="AA208">IF($S208="","",IF($S208="Lớp 5",INDEX('Lớp 5 - Phân công'!$AT$14:$AT$262,$T208),IF($S208="Lớp 4",INDEX('Lớp 4 - Danh mục'!$AS$14:$AS$132,$T208),INDEX('Lớp 3 - Công việc chính'!$AP$14:$AP$73,$T208))))</f>
        <v>#REF!</v>
      </c>
      <c r="AB208" s="701" t="str">
        <f t="array" ref="AB208">IF($S208="","",IF($S208="Lớp 5",INDEX('Lớp 5 - Phân công'!$AJ$14:$AJ$262,$T208),IF($S208="Lớp 4",INDEX('Lớp 4 - Danh mục'!$AI$14:$AI$132,$T208),INDEX('Lớp 3 - Công việc chính'!$AF$14:$AF$73,$T208))))</f>
        <v>#REF!</v>
      </c>
      <c r="AC208" s="702" t="str">
        <f t="array" ref="AC208">IF($S208="","",IF($S208="Lớp 5",INDEX('Lớp 5 - Phân công'!$AV$14:$AV$262,$T208),IF($S208="Lớp 4",INDEX('Lớp 4 - Danh mục'!$AU$14:$AU$132,$T208),INDEX('Lớp 3 - Công việc chính'!$AR$14:$AR$73,$T208))))</f>
        <v>#REF!</v>
      </c>
    </row>
    <row r="209" ht="15.75" customHeight="1">
      <c r="A209" s="690" t="str">
        <f t="shared" si="1"/>
        <v>#REF!</v>
      </c>
      <c r="B209" s="690" t="str">
        <f t="array" ref="B209">IF($S209="","",IF($S209="Lớp 5",INDEX('Lớp 5 - Phân công'!$I$14:$I$262,$T209),IF($S209="Lớp 4",INDEX('Lớp 4 - Danh mục'!$I$14:$I$132,$T209),INDEX('Lớp 3 - Công việc chính'!$I$14:$I$73,$T209))))</f>
        <v>#REF!</v>
      </c>
      <c r="C209" s="690" t="str">
        <f t="array" ref="C209">IF($S209="","",IF($S209="Lớp 5",INDEX('Lớp 5 - Phân công'!$K$14:$K$262,$T209),IF($S209="Lớp 4",INDEX('Lớp 4 - Danh mục'!$J$14:$J$132,$T209),INDEX('Lớp 3 - Công việc chính'!$I$14:$I$73,$T209))))</f>
        <v>#REF!</v>
      </c>
      <c r="D209" s="690" t="str">
        <f t="array" ref="D209">IF($S209="","",IF($S209="Lớp 5",INDEX('Lớp 5 - Phân công'!$J$14:$J$262,$T209),IF($S209="Lớp 4",INDEX('Lớp 4 - Danh mục'!$I$14:$I$132,$T209),"")))</f>
        <v>#REF!</v>
      </c>
      <c r="E209" s="690" t="str">
        <f t="array" ref="E209">IF($S209="","",IF($S209="Lớp 5",INDEX('Lớp 5 - Phân công'!$L$14:$L$262,$T209),IF($S209="Lớp 4",INDEX('Lớp 4 - Danh mục'!$K$14:$K$132,$T209),INDEX('Lớp 3 - Công việc chính'!$J$14:$J$73,$T209))))</f>
        <v>#REF!</v>
      </c>
      <c r="F209" s="690" t="str">
        <f t="array" ref="F209">IF($S209="","",IF($S209="Lớp 5",INDEX('Lớp 5 - Phân công'!$M$14:$M$262,$T209),IF($S209="Lớp 4",INDEX('Lớp 4 - Danh mục'!$L$14:$L$132,$T209),INDEX('Lớp 3 - Công việc chính'!$K$14:$K$73,$T209))))</f>
        <v>#REF!</v>
      </c>
      <c r="G209" s="691" t="str">
        <f t="array" ref="G209">IF($S209="","",IF($S209="Lớp 5",INDEX('Lớp 5 - Phân công'!$N$14:$N$262,$T209),IF($S209="Lớp 4",INDEX('Lớp 4 - Danh mục'!$M$14:$M$132,$T209),INDEX('Lớp 3 - Công việc chính'!$L$14:$L$73,$T209))))</f>
        <v>#REF!</v>
      </c>
      <c r="H209" s="692" t="str">
        <f t="array" ref="H209">IF($S209="","",IF($S209="Lớp 5",INDEX('Lớp 5 - Phân công'!$O$14:$O$262,$T209),IF($S209="Lớp 4",INDEX('Lớp 4 - Danh mục'!$N$14:$N$132,$T209),INDEX('Lớp 3 - Công việc chính'!$M$14:$M$73,$T209))))</f>
        <v>#REF!</v>
      </c>
      <c r="I209" s="692" t="str">
        <f t="array" ref="I209">IF($S209="","",IF($S209="Lớp 5",INDEX('Lớp 5 - Phân công'!$P$14:$P$262,$T209),IF($S209="Lớp 4",INDEX('Lớp 4 - Danh mục'!$O$14:$O$132,$T209),"")))</f>
        <v>#REF!</v>
      </c>
      <c r="J209" s="693" t="str">
        <f t="array" ref="J209">IF($S209="","",IF($S209="Lớp 5",INDEX('Lớp 5 - Phân công'!$Q$14:$Q$262,$T209),""))</f>
        <v>#REF!</v>
      </c>
      <c r="K209" s="690" t="str">
        <f t="array" ref="K209">IF($S209="","",IF($S209="Lớp 5",INDEX('Lớp 5 - Phân công'!$AA$14:$AA$262,$T209),IF($S209="Lớp 4",INDEX('Lớp 4 - Danh mục'!$Y$14:$Y$132,$T209),INDEX('Lớp 3 - Công việc chính'!$U$14:$U$73,$T209))))</f>
        <v>#REF!</v>
      </c>
      <c r="L209" s="691" t="str">
        <f t="array" ref="L209">IF($S209="","",IF($S209="Lớp 5",INDEX('Lớp 5 - Phân công'!$Z$14:$Z$262,$T209),IF($S209="Lớp 4",INDEX('Lớp 4 - Danh mục'!$X$14:$X$132,$T209),INDEX('Lớp 3 - Công việc chính'!$W$14:$W$73,$T209))))</f>
        <v>#REF!</v>
      </c>
      <c r="M209" s="694" t="str">
        <f t="array" ref="M209">IF($S209="","",IF($S209="Lớp 5",INDEX('Lớp 5 - Phân công'!$AD$14:$AD$262,$T209),IF($S209="Lớp 4",INDEX('Lớp 4 - Danh mục'!$AC$14:$AC$132,$T209),INDEX('Lớp 3 - Công việc chính'!$Z$14:$Z$73,$T209))))</f>
        <v>#REF!</v>
      </c>
      <c r="N209" s="695" t="str">
        <f t="array" ref="N209">IF($S209="","",IF($S209="Lớp 5",INDEX('Lớp 5 - Phân công'!$AE$14:$AE$262,$T209),IF($S209="Lớp 4",INDEX('Lớp 4 - Danh mục'!$AD$14:$AD$132,$T209),INDEX('Lớp 3 - Công việc chính'!$AA$14:$AA$73,$T209))))</f>
        <v>#REF!</v>
      </c>
      <c r="O209" s="690" t="str">
        <f t="array" ref="O209">IF($S209="","",IF($S209="Lớp 5",INDEX('Lớp 5 - Phân công'!$AB$14:$AB$262,$T209),IF($S209="Lớp 4",INDEX('Lớp 4 - Danh mục'!$AA$14:$AA$132,$T209),INDEX('Lớp 3 - Công việc chính'!$X$14:$X$73,$T209))))</f>
        <v>#REF!</v>
      </c>
      <c r="P209" s="703" t="str">
        <f t="array" ref="P209">IF($S209="","",IF($S209="Lớp 5",INDEX('Lớp 5 - Phân công'!$AC$14:$AC$262,$T209),IF($S209="Lớp 4",INDEX('Lớp 4 - Danh mục'!$AB$14:$AB$132,$T209),INDEX('Lớp 3 - Công việc chính'!$Y$14:$Y$73,$T209))))</f>
        <v>#REF!</v>
      </c>
      <c r="Q209" s="697" t="str">
        <f t="array" ref="Q209">IF($S209="","",IF($S209="Lớp 5",INDEX('Lớp 5 - Phân công'!$AG$14:$AG$262,$T209),IF($S209="Lớp 4",INDEX('Lớp 4 - Danh mục'!$AF$14:$AF$132,$T209),INDEX('Lớp 3 - Công việc chính'!$AC$14:$AC$73,$T209))))</f>
        <v>#REF!</v>
      </c>
      <c r="R209" s="698" t="str">
        <f t="array" ref="R209">IF($S209="","",IF($S209="Lớp 5",INDEX('Lớp 5 - Phân công'!$X$14:$X$262,$T209),IF($S209="Lớp 4",INDEX('Lớp 4 - Danh mục'!$V$14:$V$132,$T209),INDEX('Lớp 3 - Công việc chính'!$T$14:$T$73,$T209))))</f>
        <v>#REF!</v>
      </c>
      <c r="S209" s="699" t="str">
        <f>IF(ROWS($S$14:S209)&lt;=COUNTIF('Lớp 5 - Phân công'!$I$14:$I$262,"&lt;&gt;"),"Lớp 5",IF(ROWS($S$14:S209)&lt;=COUNTIF('Lớp 5 - Phân công'!$I$14:$I$262,"&lt;&gt;")+SUMPRODUCT(--('Lớp 4 - Danh mục'!$I$14:$I$132&lt;&gt;""),--(COUNTIF('Lớp 5 - Phân công'!$J$14:$J$262,'Lớp 4 - Danh mục'!$I$14:$I$132)=0)),"Lớp 4",IF(ROWS($S$14:S209)&lt;=COUNTIF('Lớp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09" s="699" t="str">
        <f t="array" ref="T209">IF(S209="","",IF(S209="Lớp 5",IF(S208&lt;&gt;"Lớp 5",MATCH("*",'Lớp 5 - Phân công'!$I$14:$I$262,0),T208+MATCH("*",INDEX('Lớp 5 - Phân công'!$I$14:$I$262,T208+1):'Lớp 5 - Phân công'!$I$262,0)),IF(S209="Lớp 4",IF(S208&lt;&gt;"Lớp 4",MATCH(1,INDEX(('Lớp 4 - Danh mục'!$I$14:$I$132&lt;&gt;"")*(COUNTIF('Lớp 5 - Phân công'!$J$14:$J$262,'Lớp 4 - Danh mục'!$I$14:$I$132)=0),0),0),T208+MATCH(1,INDEX((INDEX('Lớp 4 - Danh mục'!$I$14:$I$132,T208+1):'Lớp 4 - Danh mục'!$I$132&lt;&gt;"")*(COUNTIF('Lớp 5 - Phân công'!$J$14:$J$262,INDEX('Lớp 4 - Danh mục'!$I$14:$I$132,T208+1):'Lớp 4 - Danh mục'!$I$132)=0),0),0)),IF(S208&lt;&gt;"Lớp 3",MATCH(1,INDEX(('Lớp 3 - Công việc chính'!$I$14:$I$73&lt;&gt;"")*(COUNTIF('Lớp 4 - Danh mục'!$J$14:$J$132,'Lớp 3 - Công việc chính'!$I$14:$I$73)=0),0),0),T208+MATCH(1,INDEX((INDEX('Lớp 3 - Công việc chính'!$I$14:$I$73,T208+1):'Lớp 3 - Công việc chính'!$I$73&lt;&gt;"")*(COUNTIF('Lớp 4 - Danh mục'!$J$14:$J$132,INDEX('Lớp 3 - Công việc chính'!$I$14:$I$73,T208+1):'Lớp 3 - Công việc chính'!$I$73)=0),0),0)))))</f>
        <v>#REF!</v>
      </c>
      <c r="Z209" s="700" t="str">
        <f t="array" ref="Z209">IF($S209="","",IF($S209="Lớp 5",INDEX('Lớp 5 - Phân công'!$AS$14:$AS$262,$T209),IF($S209="Lớp 4",INDEX('Lớp 4 - Danh mục'!$AR$14:$AR$132,$T209),INDEX('Lớp 3 - Công việc chính'!$AO$14:$AO$73,$T209))))</f>
        <v>#REF!</v>
      </c>
      <c r="AA209" s="701" t="str">
        <f t="array" ref="AA209">IF($S209="","",IF($S209="Lớp 5",INDEX('Lớp 5 - Phân công'!$AT$14:$AT$262,$T209),IF($S209="Lớp 4",INDEX('Lớp 4 - Danh mục'!$AS$14:$AS$132,$T209),INDEX('Lớp 3 - Công việc chính'!$AP$14:$AP$73,$T209))))</f>
        <v>#REF!</v>
      </c>
      <c r="AB209" s="701" t="str">
        <f t="array" ref="AB209">IF($S209="","",IF($S209="Lớp 5",INDEX('Lớp 5 - Phân công'!$AJ$14:$AJ$262,$T209),IF($S209="Lớp 4",INDEX('Lớp 4 - Danh mục'!$AI$14:$AI$132,$T209),INDEX('Lớp 3 - Công việc chính'!$AF$14:$AF$73,$T209))))</f>
        <v>#REF!</v>
      </c>
      <c r="AC209" s="702" t="str">
        <f t="array" ref="AC209">IF($S209="","",IF($S209="Lớp 5",INDEX('Lớp 5 - Phân công'!$AV$14:$AV$262,$T209),IF($S209="Lớp 4",INDEX('Lớp 4 - Danh mục'!$AU$14:$AU$132,$T209),INDEX('Lớp 3 - Công việc chính'!$AR$14:$AR$73,$T209))))</f>
        <v>#REF!</v>
      </c>
    </row>
    <row r="210" ht="15.75" customHeight="1">
      <c r="A210" s="690" t="str">
        <f t="shared" si="1"/>
        <v>#REF!</v>
      </c>
      <c r="B210" s="690" t="str">
        <f t="array" ref="B210">IF($S210="","",IF($S210="Lớp 5",INDEX('Lớp 5 - Phân công'!$I$14:$I$262,$T210),IF($S210="Lớp 4",INDEX('Lớp 4 - Danh mục'!$I$14:$I$132,$T210),INDEX('Lớp 3 - Công việc chính'!$I$14:$I$73,$T210))))</f>
        <v>#REF!</v>
      </c>
      <c r="C210" s="690" t="str">
        <f t="array" ref="C210">IF($S210="","",IF($S210="Lớp 5",INDEX('Lớp 5 - Phân công'!$K$14:$K$262,$T210),IF($S210="Lớp 4",INDEX('Lớp 4 - Danh mục'!$J$14:$J$132,$T210),INDEX('Lớp 3 - Công việc chính'!$I$14:$I$73,$T210))))</f>
        <v>#REF!</v>
      </c>
      <c r="D210" s="690" t="str">
        <f t="array" ref="D210">IF($S210="","",IF($S210="Lớp 5",INDEX('Lớp 5 - Phân công'!$J$14:$J$262,$T210),IF($S210="Lớp 4",INDEX('Lớp 4 - Danh mục'!$I$14:$I$132,$T210),"")))</f>
        <v>#REF!</v>
      </c>
      <c r="E210" s="690" t="str">
        <f t="array" ref="E210">IF($S210="","",IF($S210="Lớp 5",INDEX('Lớp 5 - Phân công'!$L$14:$L$262,$T210),IF($S210="Lớp 4",INDEX('Lớp 4 - Danh mục'!$K$14:$K$132,$T210),INDEX('Lớp 3 - Công việc chính'!$J$14:$J$73,$T210))))</f>
        <v>#REF!</v>
      </c>
      <c r="F210" s="690" t="str">
        <f t="array" ref="F210">IF($S210="","",IF($S210="Lớp 5",INDEX('Lớp 5 - Phân công'!$M$14:$M$262,$T210),IF($S210="Lớp 4",INDEX('Lớp 4 - Danh mục'!$L$14:$L$132,$T210),INDEX('Lớp 3 - Công việc chính'!$K$14:$K$73,$T210))))</f>
        <v>#REF!</v>
      </c>
      <c r="G210" s="691" t="str">
        <f t="array" ref="G210">IF($S210="","",IF($S210="Lớp 5",INDEX('Lớp 5 - Phân công'!$N$14:$N$262,$T210),IF($S210="Lớp 4",INDEX('Lớp 4 - Danh mục'!$M$14:$M$132,$T210),INDEX('Lớp 3 - Công việc chính'!$L$14:$L$73,$T210))))</f>
        <v>#REF!</v>
      </c>
      <c r="H210" s="692" t="str">
        <f t="array" ref="H210">IF($S210="","",IF($S210="Lớp 5",INDEX('Lớp 5 - Phân công'!$O$14:$O$262,$T210),IF($S210="Lớp 4",INDEX('Lớp 4 - Danh mục'!$N$14:$N$132,$T210),INDEX('Lớp 3 - Công việc chính'!$M$14:$M$73,$T210))))</f>
        <v>#REF!</v>
      </c>
      <c r="I210" s="692" t="str">
        <f t="array" ref="I210">IF($S210="","",IF($S210="Lớp 5",INDEX('Lớp 5 - Phân công'!$P$14:$P$262,$T210),IF($S210="Lớp 4",INDEX('Lớp 4 - Danh mục'!$O$14:$O$132,$T210),"")))</f>
        <v>#REF!</v>
      </c>
      <c r="J210" s="693" t="str">
        <f t="array" ref="J210">IF($S210="","",IF($S210="Lớp 5",INDEX('Lớp 5 - Phân công'!$Q$14:$Q$262,$T210),""))</f>
        <v>#REF!</v>
      </c>
      <c r="K210" s="690" t="str">
        <f t="array" ref="K210">IF($S210="","",IF($S210="Lớp 5",INDEX('Lớp 5 - Phân công'!$AA$14:$AA$262,$T210),IF($S210="Lớp 4",INDEX('Lớp 4 - Danh mục'!$Y$14:$Y$132,$T210),INDEX('Lớp 3 - Công việc chính'!$U$14:$U$73,$T210))))</f>
        <v>#REF!</v>
      </c>
      <c r="L210" s="691" t="str">
        <f t="array" ref="L210">IF($S210="","",IF($S210="Lớp 5",INDEX('Lớp 5 - Phân công'!$Z$14:$Z$262,$T210),IF($S210="Lớp 4",INDEX('Lớp 4 - Danh mục'!$X$14:$X$132,$T210),INDEX('Lớp 3 - Công việc chính'!$W$14:$W$73,$T210))))</f>
        <v>#REF!</v>
      </c>
      <c r="M210" s="694" t="str">
        <f t="array" ref="M210">IF($S210="","",IF($S210="Lớp 5",INDEX('Lớp 5 - Phân công'!$AD$14:$AD$262,$T210),IF($S210="Lớp 4",INDEX('Lớp 4 - Danh mục'!$AC$14:$AC$132,$T210),INDEX('Lớp 3 - Công việc chính'!$Z$14:$Z$73,$T210))))</f>
        <v>#REF!</v>
      </c>
      <c r="N210" s="695" t="str">
        <f t="array" ref="N210">IF($S210="","",IF($S210="Lớp 5",INDEX('Lớp 5 - Phân công'!$AE$14:$AE$262,$T210),IF($S210="Lớp 4",INDEX('Lớp 4 - Danh mục'!$AD$14:$AD$132,$T210),INDEX('Lớp 3 - Công việc chính'!$AA$14:$AA$73,$T210))))</f>
        <v>#REF!</v>
      </c>
      <c r="O210" s="690" t="str">
        <f t="array" ref="O210">IF($S210="","",IF($S210="Lớp 5",INDEX('Lớp 5 - Phân công'!$AB$14:$AB$262,$T210),IF($S210="Lớp 4",INDEX('Lớp 4 - Danh mục'!$AA$14:$AA$132,$T210),INDEX('Lớp 3 - Công việc chính'!$X$14:$X$73,$T210))))</f>
        <v>#REF!</v>
      </c>
      <c r="P210" s="703" t="str">
        <f t="array" ref="P210">IF($S210="","",IF($S210="Lớp 5",INDEX('Lớp 5 - Phân công'!$AC$14:$AC$262,$T210),IF($S210="Lớp 4",INDEX('Lớp 4 - Danh mục'!$AB$14:$AB$132,$T210),INDEX('Lớp 3 - Công việc chính'!$Y$14:$Y$73,$T210))))</f>
        <v>#REF!</v>
      </c>
      <c r="Q210" s="697" t="str">
        <f t="array" ref="Q210">IF($S210="","",IF($S210="Lớp 5",INDEX('Lớp 5 - Phân công'!$AG$14:$AG$262,$T210),IF($S210="Lớp 4",INDEX('Lớp 4 - Danh mục'!$AF$14:$AF$132,$T210),INDEX('Lớp 3 - Công việc chính'!$AC$14:$AC$73,$T210))))</f>
        <v>#REF!</v>
      </c>
      <c r="R210" s="698" t="str">
        <f t="array" ref="R210">IF($S210="","",IF($S210="Lớp 5",INDEX('Lớp 5 - Phân công'!$X$14:$X$262,$T210),IF($S210="Lớp 4",INDEX('Lớp 4 - Danh mục'!$V$14:$V$132,$T210),INDEX('Lớp 3 - Công việc chính'!$T$14:$T$73,$T210))))</f>
        <v>#REF!</v>
      </c>
      <c r="S210" s="699" t="str">
        <f>IF(ROWS($S$14:S210)&lt;=COUNTIF('Lớp 5 - Phân công'!$I$14:$I$262,"&lt;&gt;"),"Lớp 5",IF(ROWS($S$14:S210)&lt;=COUNTIF('Lớp 5 - Phân công'!$I$14:$I$262,"&lt;&gt;")+SUMPRODUCT(--('Lớp 4 - Danh mục'!$I$14:$I$132&lt;&gt;""),--(COUNTIF('Lớp 5 - Phân công'!$J$14:$J$262,'Lớp 4 - Danh mục'!$I$14:$I$132)=0)),"Lớp 4",IF(ROWS($S$14:S210)&lt;=COUNTIF('Lớp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0" s="699" t="str">
        <f t="array" ref="T210">IF(S210="","",IF(S210="Lớp 5",IF(S209&lt;&gt;"Lớp 5",MATCH("*",'Lớp 5 - Phân công'!$I$14:$I$262,0),T209+MATCH("*",INDEX('Lớp 5 - Phân công'!$I$14:$I$262,T209+1):'Lớp 5 - Phân công'!$I$262,0)),IF(S210="Lớp 4",IF(S209&lt;&gt;"Lớp 4",MATCH(1,INDEX(('Lớp 4 - Danh mục'!$I$14:$I$132&lt;&gt;"")*(COUNTIF('Lớp 5 - Phân công'!$J$14:$J$262,'Lớp 4 - Danh mục'!$I$14:$I$132)=0),0),0),T209+MATCH(1,INDEX((INDEX('Lớp 4 - Danh mục'!$I$14:$I$132,T209+1):'Lớp 4 - Danh mục'!$I$132&lt;&gt;"")*(COUNTIF('Lớp 5 - Phân công'!$J$14:$J$262,INDEX('Lớp 4 - Danh mục'!$I$14:$I$132,T209+1):'Lớp 4 - Danh mục'!$I$132)=0),0),0)),IF(S209&lt;&gt;"Lớp 3",MATCH(1,INDEX(('Lớp 3 - Công việc chính'!$I$14:$I$73&lt;&gt;"")*(COUNTIF('Lớp 4 - Danh mục'!$J$14:$J$132,'Lớp 3 - Công việc chính'!$I$14:$I$73)=0),0),0),T209+MATCH(1,INDEX((INDEX('Lớp 3 - Công việc chính'!$I$14:$I$73,T209+1):'Lớp 3 - Công việc chính'!$I$73&lt;&gt;"")*(COUNTIF('Lớp 4 - Danh mục'!$J$14:$J$132,INDEX('Lớp 3 - Công việc chính'!$I$14:$I$73,T209+1):'Lớp 3 - Công việc chính'!$I$73)=0),0),0)))))</f>
        <v>#REF!</v>
      </c>
      <c r="Z210" s="700" t="str">
        <f t="array" ref="Z210">IF($S210="","",IF($S210="Lớp 5",INDEX('Lớp 5 - Phân công'!$AS$14:$AS$262,$T210),IF($S210="Lớp 4",INDEX('Lớp 4 - Danh mục'!$AR$14:$AR$132,$T210),INDEX('Lớp 3 - Công việc chính'!$AO$14:$AO$73,$T210))))</f>
        <v>#REF!</v>
      </c>
      <c r="AA210" s="701" t="str">
        <f t="array" ref="AA210">IF($S210="","",IF($S210="Lớp 5",INDEX('Lớp 5 - Phân công'!$AT$14:$AT$262,$T210),IF($S210="Lớp 4",INDEX('Lớp 4 - Danh mục'!$AS$14:$AS$132,$T210),INDEX('Lớp 3 - Công việc chính'!$AP$14:$AP$73,$T210))))</f>
        <v>#REF!</v>
      </c>
      <c r="AB210" s="701" t="str">
        <f t="array" ref="AB210">IF($S210="","",IF($S210="Lớp 5",INDEX('Lớp 5 - Phân công'!$AJ$14:$AJ$262,$T210),IF($S210="Lớp 4",INDEX('Lớp 4 - Danh mục'!$AI$14:$AI$132,$T210),INDEX('Lớp 3 - Công việc chính'!$AF$14:$AF$73,$T210))))</f>
        <v>#REF!</v>
      </c>
      <c r="AC210" s="702" t="str">
        <f t="array" ref="AC210">IF($S210="","",IF($S210="Lớp 5",INDEX('Lớp 5 - Phân công'!$AV$14:$AV$262,$T210),IF($S210="Lớp 4",INDEX('Lớp 4 - Danh mục'!$AU$14:$AU$132,$T210),INDEX('Lớp 3 - Công việc chính'!$AR$14:$AR$73,$T210))))</f>
        <v>#REF!</v>
      </c>
    </row>
    <row r="211" ht="15.75" customHeight="1">
      <c r="A211" s="690" t="str">
        <f t="shared" si="1"/>
        <v>#REF!</v>
      </c>
      <c r="B211" s="690" t="str">
        <f t="array" ref="B211">IF($S211="","",IF($S211="Lớp 5",INDEX('Lớp 5 - Phân công'!$I$14:$I$262,$T211),IF($S211="Lớp 4",INDEX('Lớp 4 - Danh mục'!$I$14:$I$132,$T211),INDEX('Lớp 3 - Công việc chính'!$I$14:$I$73,$T211))))</f>
        <v>#REF!</v>
      </c>
      <c r="C211" s="690" t="str">
        <f t="array" ref="C211">IF($S211="","",IF($S211="Lớp 5",INDEX('Lớp 5 - Phân công'!$K$14:$K$262,$T211),IF($S211="Lớp 4",INDEX('Lớp 4 - Danh mục'!$J$14:$J$132,$T211),INDEX('Lớp 3 - Công việc chính'!$I$14:$I$73,$T211))))</f>
        <v>#REF!</v>
      </c>
      <c r="D211" s="690" t="str">
        <f t="array" ref="D211">IF($S211="","",IF($S211="Lớp 5",INDEX('Lớp 5 - Phân công'!$J$14:$J$262,$T211),IF($S211="Lớp 4",INDEX('Lớp 4 - Danh mục'!$I$14:$I$132,$T211),"")))</f>
        <v>#REF!</v>
      </c>
      <c r="E211" s="690" t="str">
        <f t="array" ref="E211">IF($S211="","",IF($S211="Lớp 5",INDEX('Lớp 5 - Phân công'!$L$14:$L$262,$T211),IF($S211="Lớp 4",INDEX('Lớp 4 - Danh mục'!$K$14:$K$132,$T211),INDEX('Lớp 3 - Công việc chính'!$J$14:$J$73,$T211))))</f>
        <v>#REF!</v>
      </c>
      <c r="F211" s="690" t="str">
        <f t="array" ref="F211">IF($S211="","",IF($S211="Lớp 5",INDEX('Lớp 5 - Phân công'!$M$14:$M$262,$T211),IF($S211="Lớp 4",INDEX('Lớp 4 - Danh mục'!$L$14:$L$132,$T211),INDEX('Lớp 3 - Công việc chính'!$K$14:$K$73,$T211))))</f>
        <v>#REF!</v>
      </c>
      <c r="G211" s="691" t="str">
        <f t="array" ref="G211">IF($S211="","",IF($S211="Lớp 5",INDEX('Lớp 5 - Phân công'!$N$14:$N$262,$T211),IF($S211="Lớp 4",INDEX('Lớp 4 - Danh mục'!$M$14:$M$132,$T211),INDEX('Lớp 3 - Công việc chính'!$L$14:$L$73,$T211))))</f>
        <v>#REF!</v>
      </c>
      <c r="H211" s="692" t="str">
        <f t="array" ref="H211">IF($S211="","",IF($S211="Lớp 5",INDEX('Lớp 5 - Phân công'!$O$14:$O$262,$T211),IF($S211="Lớp 4",INDEX('Lớp 4 - Danh mục'!$N$14:$N$132,$T211),INDEX('Lớp 3 - Công việc chính'!$M$14:$M$73,$T211))))</f>
        <v>#REF!</v>
      </c>
      <c r="I211" s="692" t="str">
        <f t="array" ref="I211">IF($S211="","",IF($S211="Lớp 5",INDEX('Lớp 5 - Phân công'!$P$14:$P$262,$T211),IF($S211="Lớp 4",INDEX('Lớp 4 - Danh mục'!$O$14:$O$132,$T211),"")))</f>
        <v>#REF!</v>
      </c>
      <c r="J211" s="693" t="str">
        <f t="array" ref="J211">IF($S211="","",IF($S211="Lớp 5",INDEX('Lớp 5 - Phân công'!$Q$14:$Q$262,$T211),""))</f>
        <v>#REF!</v>
      </c>
      <c r="K211" s="690" t="str">
        <f t="array" ref="K211">IF($S211="","",IF($S211="Lớp 5",INDEX('Lớp 5 - Phân công'!$AA$14:$AA$262,$T211),IF($S211="Lớp 4",INDEX('Lớp 4 - Danh mục'!$Y$14:$Y$132,$T211),INDEX('Lớp 3 - Công việc chính'!$U$14:$U$73,$T211))))</f>
        <v>#REF!</v>
      </c>
      <c r="L211" s="691" t="str">
        <f t="array" ref="L211">IF($S211="","",IF($S211="Lớp 5",INDEX('Lớp 5 - Phân công'!$Z$14:$Z$262,$T211),IF($S211="Lớp 4",INDEX('Lớp 4 - Danh mục'!$X$14:$X$132,$T211),INDEX('Lớp 3 - Công việc chính'!$W$14:$W$73,$T211))))</f>
        <v>#REF!</v>
      </c>
      <c r="M211" s="694" t="str">
        <f t="array" ref="M211">IF($S211="","",IF($S211="Lớp 5",INDEX('Lớp 5 - Phân công'!$AD$14:$AD$262,$T211),IF($S211="Lớp 4",INDEX('Lớp 4 - Danh mục'!$AC$14:$AC$132,$T211),INDEX('Lớp 3 - Công việc chính'!$Z$14:$Z$73,$T211))))</f>
        <v>#REF!</v>
      </c>
      <c r="N211" s="695" t="str">
        <f t="array" ref="N211">IF($S211="","",IF($S211="Lớp 5",INDEX('Lớp 5 - Phân công'!$AE$14:$AE$262,$T211),IF($S211="Lớp 4",INDEX('Lớp 4 - Danh mục'!$AD$14:$AD$132,$T211),INDEX('Lớp 3 - Công việc chính'!$AA$14:$AA$73,$T211))))</f>
        <v>#REF!</v>
      </c>
      <c r="O211" s="690" t="str">
        <f t="array" ref="O211">IF($S211="","",IF($S211="Lớp 5",INDEX('Lớp 5 - Phân công'!$AB$14:$AB$262,$T211),IF($S211="Lớp 4",INDEX('Lớp 4 - Danh mục'!$AA$14:$AA$132,$T211),INDEX('Lớp 3 - Công việc chính'!$X$14:$X$73,$T211))))</f>
        <v>#REF!</v>
      </c>
      <c r="P211" s="703" t="str">
        <f t="array" ref="P211">IF($S211="","",IF($S211="Lớp 5",INDEX('Lớp 5 - Phân công'!$AC$14:$AC$262,$T211),IF($S211="Lớp 4",INDEX('Lớp 4 - Danh mục'!$AB$14:$AB$132,$T211),INDEX('Lớp 3 - Công việc chính'!$Y$14:$Y$73,$T211))))</f>
        <v>#REF!</v>
      </c>
      <c r="Q211" s="697" t="str">
        <f t="array" ref="Q211">IF($S211="","",IF($S211="Lớp 5",INDEX('Lớp 5 - Phân công'!$AG$14:$AG$262,$T211),IF($S211="Lớp 4",INDEX('Lớp 4 - Danh mục'!$AF$14:$AF$132,$T211),INDEX('Lớp 3 - Công việc chính'!$AC$14:$AC$73,$T211))))</f>
        <v>#REF!</v>
      </c>
      <c r="R211" s="698" t="str">
        <f t="array" ref="R211">IF($S211="","",IF($S211="Lớp 5",INDEX('Lớp 5 - Phân công'!$X$14:$X$262,$T211),IF($S211="Lớp 4",INDEX('Lớp 4 - Danh mục'!$V$14:$V$132,$T211),INDEX('Lớp 3 - Công việc chính'!$T$14:$T$73,$T211))))</f>
        <v>#REF!</v>
      </c>
      <c r="S211" s="699" t="str">
        <f>IF(ROWS($S$14:S211)&lt;=COUNTIF('Lớp 5 - Phân công'!$I$14:$I$262,"&lt;&gt;"),"Lớp 5",IF(ROWS($S$14:S211)&lt;=COUNTIF('Lớp 5 - Phân công'!$I$14:$I$262,"&lt;&gt;")+SUMPRODUCT(--('Lớp 4 - Danh mục'!$I$14:$I$132&lt;&gt;""),--(COUNTIF('Lớp 5 - Phân công'!$J$14:$J$262,'Lớp 4 - Danh mục'!$I$14:$I$132)=0)),"Lớp 4",IF(ROWS($S$14:S211)&lt;=COUNTIF('Lớp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1" s="699" t="str">
        <f t="array" ref="T211">IF(S211="","",IF(S211="Lớp 5",IF(S210&lt;&gt;"Lớp 5",MATCH("*",'Lớp 5 - Phân công'!$I$14:$I$262,0),T210+MATCH("*",INDEX('Lớp 5 - Phân công'!$I$14:$I$262,T210+1):'Lớp 5 - Phân công'!$I$262,0)),IF(S211="Lớp 4",IF(S210&lt;&gt;"Lớp 4",MATCH(1,INDEX(('Lớp 4 - Danh mục'!$I$14:$I$132&lt;&gt;"")*(COUNTIF('Lớp 5 - Phân công'!$J$14:$J$262,'Lớp 4 - Danh mục'!$I$14:$I$132)=0),0),0),T210+MATCH(1,INDEX((INDEX('Lớp 4 - Danh mục'!$I$14:$I$132,T210+1):'Lớp 4 - Danh mục'!$I$132&lt;&gt;"")*(COUNTIF('Lớp 5 - Phân công'!$J$14:$J$262,INDEX('Lớp 4 - Danh mục'!$I$14:$I$132,T210+1):'Lớp 4 - Danh mục'!$I$132)=0),0),0)),IF(S210&lt;&gt;"Lớp 3",MATCH(1,INDEX(('Lớp 3 - Công việc chính'!$I$14:$I$73&lt;&gt;"")*(COUNTIF('Lớp 4 - Danh mục'!$J$14:$J$132,'Lớp 3 - Công việc chính'!$I$14:$I$73)=0),0),0),T210+MATCH(1,INDEX((INDEX('Lớp 3 - Công việc chính'!$I$14:$I$73,T210+1):'Lớp 3 - Công việc chính'!$I$73&lt;&gt;"")*(COUNTIF('Lớp 4 - Danh mục'!$J$14:$J$132,INDEX('Lớp 3 - Công việc chính'!$I$14:$I$73,T210+1):'Lớp 3 - Công việc chính'!$I$73)=0),0),0)))))</f>
        <v>#REF!</v>
      </c>
      <c r="Z211" s="700" t="str">
        <f t="array" ref="Z211">IF($S211="","",IF($S211="Lớp 5",INDEX('Lớp 5 - Phân công'!$AS$14:$AS$262,$T211),IF($S211="Lớp 4",INDEX('Lớp 4 - Danh mục'!$AR$14:$AR$132,$T211),INDEX('Lớp 3 - Công việc chính'!$AO$14:$AO$73,$T211))))</f>
        <v>#REF!</v>
      </c>
      <c r="AA211" s="701" t="str">
        <f t="array" ref="AA211">IF($S211="","",IF($S211="Lớp 5",INDEX('Lớp 5 - Phân công'!$AT$14:$AT$262,$T211),IF($S211="Lớp 4",INDEX('Lớp 4 - Danh mục'!$AS$14:$AS$132,$T211),INDEX('Lớp 3 - Công việc chính'!$AP$14:$AP$73,$T211))))</f>
        <v>#REF!</v>
      </c>
      <c r="AB211" s="701" t="str">
        <f t="array" ref="AB211">IF($S211="","",IF($S211="Lớp 5",INDEX('Lớp 5 - Phân công'!$AJ$14:$AJ$262,$T211),IF($S211="Lớp 4",INDEX('Lớp 4 - Danh mục'!$AI$14:$AI$132,$T211),INDEX('Lớp 3 - Công việc chính'!$AF$14:$AF$73,$T211))))</f>
        <v>#REF!</v>
      </c>
      <c r="AC211" s="702" t="str">
        <f t="array" ref="AC211">IF($S211="","",IF($S211="Lớp 5",INDEX('Lớp 5 - Phân công'!$AV$14:$AV$262,$T211),IF($S211="Lớp 4",INDEX('Lớp 4 - Danh mục'!$AU$14:$AU$132,$T211),INDEX('Lớp 3 - Công việc chính'!$AR$14:$AR$73,$T211))))</f>
        <v>#REF!</v>
      </c>
    </row>
    <row r="212" ht="15.75" customHeight="1">
      <c r="A212" s="690" t="str">
        <f t="shared" si="1"/>
        <v>#REF!</v>
      </c>
      <c r="B212" s="690" t="str">
        <f t="array" ref="B212">IF($S212="","",IF($S212="Lớp 5",INDEX('Lớp 5 - Phân công'!$I$14:$I$262,$T212),IF($S212="Lớp 4",INDEX('Lớp 4 - Danh mục'!$I$14:$I$132,$T212),INDEX('Lớp 3 - Công việc chính'!$I$14:$I$73,$T212))))</f>
        <v>#REF!</v>
      </c>
      <c r="C212" s="690" t="str">
        <f t="array" ref="C212">IF($S212="","",IF($S212="Lớp 5",INDEX('Lớp 5 - Phân công'!$K$14:$K$262,$T212),IF($S212="Lớp 4",INDEX('Lớp 4 - Danh mục'!$J$14:$J$132,$T212),INDEX('Lớp 3 - Công việc chính'!$I$14:$I$73,$T212))))</f>
        <v>#REF!</v>
      </c>
      <c r="D212" s="690" t="str">
        <f t="array" ref="D212">IF($S212="","",IF($S212="Lớp 5",INDEX('Lớp 5 - Phân công'!$J$14:$J$262,$T212),IF($S212="Lớp 4",INDEX('Lớp 4 - Danh mục'!$I$14:$I$132,$T212),"")))</f>
        <v>#REF!</v>
      </c>
      <c r="E212" s="690" t="str">
        <f t="array" ref="E212">IF($S212="","",IF($S212="Lớp 5",INDEX('Lớp 5 - Phân công'!$L$14:$L$262,$T212),IF($S212="Lớp 4",INDEX('Lớp 4 - Danh mục'!$K$14:$K$132,$T212),INDEX('Lớp 3 - Công việc chính'!$J$14:$J$73,$T212))))</f>
        <v>#REF!</v>
      </c>
      <c r="F212" s="690" t="str">
        <f t="array" ref="F212">IF($S212="","",IF($S212="Lớp 5",INDEX('Lớp 5 - Phân công'!$M$14:$M$262,$T212),IF($S212="Lớp 4",INDEX('Lớp 4 - Danh mục'!$L$14:$L$132,$T212),INDEX('Lớp 3 - Công việc chính'!$K$14:$K$73,$T212))))</f>
        <v>#REF!</v>
      </c>
      <c r="G212" s="691" t="str">
        <f t="array" ref="G212">IF($S212="","",IF($S212="Lớp 5",INDEX('Lớp 5 - Phân công'!$N$14:$N$262,$T212),IF($S212="Lớp 4",INDEX('Lớp 4 - Danh mục'!$M$14:$M$132,$T212),INDEX('Lớp 3 - Công việc chính'!$L$14:$L$73,$T212))))</f>
        <v>#REF!</v>
      </c>
      <c r="H212" s="692" t="str">
        <f t="array" ref="H212">IF($S212="","",IF($S212="Lớp 5",INDEX('Lớp 5 - Phân công'!$O$14:$O$262,$T212),IF($S212="Lớp 4",INDEX('Lớp 4 - Danh mục'!$N$14:$N$132,$T212),INDEX('Lớp 3 - Công việc chính'!$M$14:$M$73,$T212))))</f>
        <v>#REF!</v>
      </c>
      <c r="I212" s="692" t="str">
        <f t="array" ref="I212">IF($S212="","",IF($S212="Lớp 5",INDEX('Lớp 5 - Phân công'!$P$14:$P$262,$T212),IF($S212="Lớp 4",INDEX('Lớp 4 - Danh mục'!$O$14:$O$132,$T212),"")))</f>
        <v>#REF!</v>
      </c>
      <c r="J212" s="693" t="str">
        <f t="array" ref="J212">IF($S212="","",IF($S212="Lớp 5",INDEX('Lớp 5 - Phân công'!$Q$14:$Q$262,$T212),""))</f>
        <v>#REF!</v>
      </c>
      <c r="K212" s="690" t="str">
        <f t="array" ref="K212">IF($S212="","",IF($S212="Lớp 5",INDEX('Lớp 5 - Phân công'!$AA$14:$AA$262,$T212),IF($S212="Lớp 4",INDEX('Lớp 4 - Danh mục'!$Y$14:$Y$132,$T212),INDEX('Lớp 3 - Công việc chính'!$U$14:$U$73,$T212))))</f>
        <v>#REF!</v>
      </c>
      <c r="L212" s="691" t="str">
        <f t="array" ref="L212">IF($S212="","",IF($S212="Lớp 5",INDEX('Lớp 5 - Phân công'!$Z$14:$Z$262,$T212),IF($S212="Lớp 4",INDEX('Lớp 4 - Danh mục'!$X$14:$X$132,$T212),INDEX('Lớp 3 - Công việc chính'!$W$14:$W$73,$T212))))</f>
        <v>#REF!</v>
      </c>
      <c r="M212" s="694" t="str">
        <f t="array" ref="M212">IF($S212="","",IF($S212="Lớp 5",INDEX('Lớp 5 - Phân công'!$AD$14:$AD$262,$T212),IF($S212="Lớp 4",INDEX('Lớp 4 - Danh mục'!$AC$14:$AC$132,$T212),INDEX('Lớp 3 - Công việc chính'!$Z$14:$Z$73,$T212))))</f>
        <v>#REF!</v>
      </c>
      <c r="N212" s="695" t="str">
        <f t="array" ref="N212">IF($S212="","",IF($S212="Lớp 5",INDEX('Lớp 5 - Phân công'!$AE$14:$AE$262,$T212),IF($S212="Lớp 4",INDEX('Lớp 4 - Danh mục'!$AD$14:$AD$132,$T212),INDEX('Lớp 3 - Công việc chính'!$AA$14:$AA$73,$T212))))</f>
        <v>#REF!</v>
      </c>
      <c r="O212" s="690" t="str">
        <f t="array" ref="O212">IF($S212="","",IF($S212="Lớp 5",INDEX('Lớp 5 - Phân công'!$AB$14:$AB$262,$T212),IF($S212="Lớp 4",INDEX('Lớp 4 - Danh mục'!$AA$14:$AA$132,$T212),INDEX('Lớp 3 - Công việc chính'!$X$14:$X$73,$T212))))</f>
        <v>#REF!</v>
      </c>
      <c r="P212" s="703" t="str">
        <f t="array" ref="P212">IF($S212="","",IF($S212="Lớp 5",INDEX('Lớp 5 - Phân công'!$AC$14:$AC$262,$T212),IF($S212="Lớp 4",INDEX('Lớp 4 - Danh mục'!$AB$14:$AB$132,$T212),INDEX('Lớp 3 - Công việc chính'!$Y$14:$Y$73,$T212))))</f>
        <v>#REF!</v>
      </c>
      <c r="Q212" s="697" t="str">
        <f t="array" ref="Q212">IF($S212="","",IF($S212="Lớp 5",INDEX('Lớp 5 - Phân công'!$AG$14:$AG$262,$T212),IF($S212="Lớp 4",INDEX('Lớp 4 - Danh mục'!$AF$14:$AF$132,$T212),INDEX('Lớp 3 - Công việc chính'!$AC$14:$AC$73,$T212))))</f>
        <v>#REF!</v>
      </c>
      <c r="R212" s="698" t="str">
        <f t="array" ref="R212">IF($S212="","",IF($S212="Lớp 5",INDEX('Lớp 5 - Phân công'!$X$14:$X$262,$T212),IF($S212="Lớp 4",INDEX('Lớp 4 - Danh mục'!$V$14:$V$132,$T212),INDEX('Lớp 3 - Công việc chính'!$T$14:$T$73,$T212))))</f>
        <v>#REF!</v>
      </c>
      <c r="S212" s="699" t="str">
        <f>IF(ROWS($S$14:S212)&lt;=COUNTIF('Lớp 5 - Phân công'!$I$14:$I$262,"&lt;&gt;"),"Lớp 5",IF(ROWS($S$14:S212)&lt;=COUNTIF('Lớp 5 - Phân công'!$I$14:$I$262,"&lt;&gt;")+SUMPRODUCT(--('Lớp 4 - Danh mục'!$I$14:$I$132&lt;&gt;""),--(COUNTIF('Lớp 5 - Phân công'!$J$14:$J$262,'Lớp 4 - Danh mục'!$I$14:$I$132)=0)),"Lớp 4",IF(ROWS($S$14:S212)&lt;=COUNTIF('Lớp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2" s="699" t="str">
        <f t="array" ref="T212">IF(S212="","",IF(S212="Lớp 5",IF(S211&lt;&gt;"Lớp 5",MATCH("*",'Lớp 5 - Phân công'!$I$14:$I$262,0),T211+MATCH("*",INDEX('Lớp 5 - Phân công'!$I$14:$I$262,T211+1):'Lớp 5 - Phân công'!$I$262,0)),IF(S212="Lớp 4",IF(S211&lt;&gt;"Lớp 4",MATCH(1,INDEX(('Lớp 4 - Danh mục'!$I$14:$I$132&lt;&gt;"")*(COUNTIF('Lớp 5 - Phân công'!$J$14:$J$262,'Lớp 4 - Danh mục'!$I$14:$I$132)=0),0),0),T211+MATCH(1,INDEX((INDEX('Lớp 4 - Danh mục'!$I$14:$I$132,T211+1):'Lớp 4 - Danh mục'!$I$132&lt;&gt;"")*(COUNTIF('Lớp 5 - Phân công'!$J$14:$J$262,INDEX('Lớp 4 - Danh mục'!$I$14:$I$132,T211+1):'Lớp 4 - Danh mục'!$I$132)=0),0),0)),IF(S211&lt;&gt;"Lớp 3",MATCH(1,INDEX(('Lớp 3 - Công việc chính'!$I$14:$I$73&lt;&gt;"")*(COUNTIF('Lớp 4 - Danh mục'!$J$14:$J$132,'Lớp 3 - Công việc chính'!$I$14:$I$73)=0),0),0),T211+MATCH(1,INDEX((INDEX('Lớp 3 - Công việc chính'!$I$14:$I$73,T211+1):'Lớp 3 - Công việc chính'!$I$73&lt;&gt;"")*(COUNTIF('Lớp 4 - Danh mục'!$J$14:$J$132,INDEX('Lớp 3 - Công việc chính'!$I$14:$I$73,T211+1):'Lớp 3 - Công việc chính'!$I$73)=0),0),0)))))</f>
        <v>#REF!</v>
      </c>
      <c r="Z212" s="700" t="str">
        <f t="array" ref="Z212">IF($S212="","",IF($S212="Lớp 5",INDEX('Lớp 5 - Phân công'!$AS$14:$AS$262,$T212),IF($S212="Lớp 4",INDEX('Lớp 4 - Danh mục'!$AR$14:$AR$132,$T212),INDEX('Lớp 3 - Công việc chính'!$AO$14:$AO$73,$T212))))</f>
        <v>#REF!</v>
      </c>
      <c r="AA212" s="701" t="str">
        <f t="array" ref="AA212">IF($S212="","",IF($S212="Lớp 5",INDEX('Lớp 5 - Phân công'!$AT$14:$AT$262,$T212),IF($S212="Lớp 4",INDEX('Lớp 4 - Danh mục'!$AS$14:$AS$132,$T212),INDEX('Lớp 3 - Công việc chính'!$AP$14:$AP$73,$T212))))</f>
        <v>#REF!</v>
      </c>
      <c r="AB212" s="701" t="str">
        <f t="array" ref="AB212">IF($S212="","",IF($S212="Lớp 5",INDEX('Lớp 5 - Phân công'!$AJ$14:$AJ$262,$T212),IF($S212="Lớp 4",INDEX('Lớp 4 - Danh mục'!$AI$14:$AI$132,$T212),INDEX('Lớp 3 - Công việc chính'!$AF$14:$AF$73,$T212))))</f>
        <v>#REF!</v>
      </c>
      <c r="AC212" s="702" t="str">
        <f t="array" ref="AC212">IF($S212="","",IF($S212="Lớp 5",INDEX('Lớp 5 - Phân công'!$AV$14:$AV$262,$T212),IF($S212="Lớp 4",INDEX('Lớp 4 - Danh mục'!$AU$14:$AU$132,$T212),INDEX('Lớp 3 - Công việc chính'!$AR$14:$AR$73,$T212))))</f>
        <v>#REF!</v>
      </c>
    </row>
    <row r="213" ht="15.75" customHeight="1">
      <c r="A213" s="690" t="str">
        <f t="shared" si="1"/>
        <v>#REF!</v>
      </c>
      <c r="B213" s="690" t="str">
        <f t="array" ref="B213">IF($S213="","",IF($S213="Lớp 5",INDEX('Lớp 5 - Phân công'!$I$14:$I$262,$T213),IF($S213="Lớp 4",INDEX('Lớp 4 - Danh mục'!$I$14:$I$132,$T213),INDEX('Lớp 3 - Công việc chính'!$I$14:$I$73,$T213))))</f>
        <v>#REF!</v>
      </c>
      <c r="C213" s="690" t="str">
        <f t="array" ref="C213">IF($S213="","",IF($S213="Lớp 5",INDEX('Lớp 5 - Phân công'!$K$14:$K$262,$T213),IF($S213="Lớp 4",INDEX('Lớp 4 - Danh mục'!$J$14:$J$132,$T213),INDEX('Lớp 3 - Công việc chính'!$I$14:$I$73,$T213))))</f>
        <v>#REF!</v>
      </c>
      <c r="D213" s="690" t="str">
        <f t="array" ref="D213">IF($S213="","",IF($S213="Lớp 5",INDEX('Lớp 5 - Phân công'!$J$14:$J$262,$T213),IF($S213="Lớp 4",INDEX('Lớp 4 - Danh mục'!$I$14:$I$132,$T213),"")))</f>
        <v>#REF!</v>
      </c>
      <c r="E213" s="690" t="str">
        <f t="array" ref="E213">IF($S213="","",IF($S213="Lớp 5",INDEX('Lớp 5 - Phân công'!$L$14:$L$262,$T213),IF($S213="Lớp 4",INDEX('Lớp 4 - Danh mục'!$K$14:$K$132,$T213),INDEX('Lớp 3 - Công việc chính'!$J$14:$J$73,$T213))))</f>
        <v>#REF!</v>
      </c>
      <c r="F213" s="690" t="str">
        <f t="array" ref="F213">IF($S213="","",IF($S213="Lớp 5",INDEX('Lớp 5 - Phân công'!$M$14:$M$262,$T213),IF($S213="Lớp 4",INDEX('Lớp 4 - Danh mục'!$L$14:$L$132,$T213),INDEX('Lớp 3 - Công việc chính'!$K$14:$K$73,$T213))))</f>
        <v>#REF!</v>
      </c>
      <c r="G213" s="691" t="str">
        <f t="array" ref="G213">IF($S213="","",IF($S213="Lớp 5",INDEX('Lớp 5 - Phân công'!$N$14:$N$262,$T213),IF($S213="Lớp 4",INDEX('Lớp 4 - Danh mục'!$M$14:$M$132,$T213),INDEX('Lớp 3 - Công việc chính'!$L$14:$L$73,$T213))))</f>
        <v>#REF!</v>
      </c>
      <c r="H213" s="692" t="str">
        <f t="array" ref="H213">IF($S213="","",IF($S213="Lớp 5",INDEX('Lớp 5 - Phân công'!$O$14:$O$262,$T213),IF($S213="Lớp 4",INDEX('Lớp 4 - Danh mục'!$N$14:$N$132,$T213),INDEX('Lớp 3 - Công việc chính'!$M$14:$M$73,$T213))))</f>
        <v>#REF!</v>
      </c>
      <c r="I213" s="692" t="str">
        <f t="array" ref="I213">IF($S213="","",IF($S213="Lớp 5",INDEX('Lớp 5 - Phân công'!$P$14:$P$262,$T213),IF($S213="Lớp 4",INDEX('Lớp 4 - Danh mục'!$O$14:$O$132,$T213),"")))</f>
        <v>#REF!</v>
      </c>
      <c r="J213" s="693" t="str">
        <f t="array" ref="J213">IF($S213="","",IF($S213="Lớp 5",INDEX('Lớp 5 - Phân công'!$Q$14:$Q$262,$T213),""))</f>
        <v>#REF!</v>
      </c>
      <c r="K213" s="690" t="str">
        <f t="array" ref="K213">IF($S213="","",IF($S213="Lớp 5",INDEX('Lớp 5 - Phân công'!$AA$14:$AA$262,$T213),IF($S213="Lớp 4",INDEX('Lớp 4 - Danh mục'!$Y$14:$Y$132,$T213),INDEX('Lớp 3 - Công việc chính'!$U$14:$U$73,$T213))))</f>
        <v>#REF!</v>
      </c>
      <c r="L213" s="691" t="str">
        <f t="array" ref="L213">IF($S213="","",IF($S213="Lớp 5",INDEX('Lớp 5 - Phân công'!$Z$14:$Z$262,$T213),IF($S213="Lớp 4",INDEX('Lớp 4 - Danh mục'!$X$14:$X$132,$T213),INDEX('Lớp 3 - Công việc chính'!$W$14:$W$73,$T213))))</f>
        <v>#REF!</v>
      </c>
      <c r="M213" s="694" t="str">
        <f t="array" ref="M213">IF($S213="","",IF($S213="Lớp 5",INDEX('Lớp 5 - Phân công'!$AD$14:$AD$262,$T213),IF($S213="Lớp 4",INDEX('Lớp 4 - Danh mục'!$AC$14:$AC$132,$T213),INDEX('Lớp 3 - Công việc chính'!$Z$14:$Z$73,$T213))))</f>
        <v>#REF!</v>
      </c>
      <c r="N213" s="695" t="str">
        <f t="array" ref="N213">IF($S213="","",IF($S213="Lớp 5",INDEX('Lớp 5 - Phân công'!$AE$14:$AE$262,$T213),IF($S213="Lớp 4",INDEX('Lớp 4 - Danh mục'!$AD$14:$AD$132,$T213),INDEX('Lớp 3 - Công việc chính'!$AA$14:$AA$73,$T213))))</f>
        <v>#REF!</v>
      </c>
      <c r="O213" s="690" t="str">
        <f t="array" ref="O213">IF($S213="","",IF($S213="Lớp 5",INDEX('Lớp 5 - Phân công'!$AB$14:$AB$262,$T213),IF($S213="Lớp 4",INDEX('Lớp 4 - Danh mục'!$AA$14:$AA$132,$T213),INDEX('Lớp 3 - Công việc chính'!$X$14:$X$73,$T213))))</f>
        <v>#REF!</v>
      </c>
      <c r="P213" s="703" t="str">
        <f t="array" ref="P213">IF($S213="","",IF($S213="Lớp 5",INDEX('Lớp 5 - Phân công'!$AC$14:$AC$262,$T213),IF($S213="Lớp 4",INDEX('Lớp 4 - Danh mục'!$AB$14:$AB$132,$T213),INDEX('Lớp 3 - Công việc chính'!$Y$14:$Y$73,$T213))))</f>
        <v>#REF!</v>
      </c>
      <c r="Q213" s="697" t="str">
        <f t="array" ref="Q213">IF($S213="","",IF($S213="Lớp 5",INDEX('Lớp 5 - Phân công'!$AG$14:$AG$262,$T213),IF($S213="Lớp 4",INDEX('Lớp 4 - Danh mục'!$AF$14:$AF$132,$T213),INDEX('Lớp 3 - Công việc chính'!$AC$14:$AC$73,$T213))))</f>
        <v>#REF!</v>
      </c>
      <c r="R213" s="698" t="str">
        <f t="array" ref="R213">IF($S213="","",IF($S213="Lớp 5",INDEX('Lớp 5 - Phân công'!$X$14:$X$262,$T213),IF($S213="Lớp 4",INDEX('Lớp 4 - Danh mục'!$V$14:$V$132,$T213),INDEX('Lớp 3 - Công việc chính'!$T$14:$T$73,$T213))))</f>
        <v>#REF!</v>
      </c>
      <c r="S213" s="699" t="str">
        <f>IF(ROWS($S$14:S213)&lt;=COUNTIF('Lớp 5 - Phân công'!$I$14:$I$262,"&lt;&gt;"),"Lớp 5",IF(ROWS($S$14:S213)&lt;=COUNTIF('Lớp 5 - Phân công'!$I$14:$I$262,"&lt;&gt;")+SUMPRODUCT(--('Lớp 4 - Danh mục'!$I$14:$I$132&lt;&gt;""),--(COUNTIF('Lớp 5 - Phân công'!$J$14:$J$262,'Lớp 4 - Danh mục'!$I$14:$I$132)=0)),"Lớp 4",IF(ROWS($S$14:S213)&lt;=COUNTIF('Lớp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3" s="699" t="str">
        <f t="array" ref="T213">IF(S213="","",IF(S213="Lớp 5",IF(S212&lt;&gt;"Lớp 5",MATCH("*",'Lớp 5 - Phân công'!$I$14:$I$262,0),T212+MATCH("*",INDEX('Lớp 5 - Phân công'!$I$14:$I$262,T212+1):'Lớp 5 - Phân công'!$I$262,0)),IF(S213="Lớp 4",IF(S212&lt;&gt;"Lớp 4",MATCH(1,INDEX(('Lớp 4 - Danh mục'!$I$14:$I$132&lt;&gt;"")*(COUNTIF('Lớp 5 - Phân công'!$J$14:$J$262,'Lớp 4 - Danh mục'!$I$14:$I$132)=0),0),0),T212+MATCH(1,INDEX((INDEX('Lớp 4 - Danh mục'!$I$14:$I$132,T212+1):'Lớp 4 - Danh mục'!$I$132&lt;&gt;"")*(COUNTIF('Lớp 5 - Phân công'!$J$14:$J$262,INDEX('Lớp 4 - Danh mục'!$I$14:$I$132,T212+1):'Lớp 4 - Danh mục'!$I$132)=0),0),0)),IF(S212&lt;&gt;"Lớp 3",MATCH(1,INDEX(('Lớp 3 - Công việc chính'!$I$14:$I$73&lt;&gt;"")*(COUNTIF('Lớp 4 - Danh mục'!$J$14:$J$132,'Lớp 3 - Công việc chính'!$I$14:$I$73)=0),0),0),T212+MATCH(1,INDEX((INDEX('Lớp 3 - Công việc chính'!$I$14:$I$73,T212+1):'Lớp 3 - Công việc chính'!$I$73&lt;&gt;"")*(COUNTIF('Lớp 4 - Danh mục'!$J$14:$J$132,INDEX('Lớp 3 - Công việc chính'!$I$14:$I$73,T212+1):'Lớp 3 - Công việc chính'!$I$73)=0),0),0)))))</f>
        <v>#REF!</v>
      </c>
      <c r="Z213" s="700" t="str">
        <f t="array" ref="Z213">IF($S213="","",IF($S213="Lớp 5",INDEX('Lớp 5 - Phân công'!$AS$14:$AS$262,$T213),IF($S213="Lớp 4",INDEX('Lớp 4 - Danh mục'!$AR$14:$AR$132,$T213),INDEX('Lớp 3 - Công việc chính'!$AO$14:$AO$73,$T213))))</f>
        <v>#REF!</v>
      </c>
      <c r="AA213" s="701" t="str">
        <f t="array" ref="AA213">IF($S213="","",IF($S213="Lớp 5",INDEX('Lớp 5 - Phân công'!$AT$14:$AT$262,$T213),IF($S213="Lớp 4",INDEX('Lớp 4 - Danh mục'!$AS$14:$AS$132,$T213),INDEX('Lớp 3 - Công việc chính'!$AP$14:$AP$73,$T213))))</f>
        <v>#REF!</v>
      </c>
      <c r="AB213" s="701" t="str">
        <f t="array" ref="AB213">IF($S213="","",IF($S213="Lớp 5",INDEX('Lớp 5 - Phân công'!$AJ$14:$AJ$262,$T213),IF($S213="Lớp 4",INDEX('Lớp 4 - Danh mục'!$AI$14:$AI$132,$T213),INDEX('Lớp 3 - Công việc chính'!$AF$14:$AF$73,$T213))))</f>
        <v>#REF!</v>
      </c>
      <c r="AC213" s="702" t="str">
        <f t="array" ref="AC213">IF($S213="","",IF($S213="Lớp 5",INDEX('Lớp 5 - Phân công'!$AV$14:$AV$262,$T213),IF($S213="Lớp 4",INDEX('Lớp 4 - Danh mục'!$AU$14:$AU$132,$T213),INDEX('Lớp 3 - Công việc chính'!$AR$14:$AR$73,$T213))))</f>
        <v>#REF!</v>
      </c>
    </row>
    <row r="214" ht="15.75" customHeight="1">
      <c r="A214" s="690" t="str">
        <f t="shared" si="1"/>
        <v>#REF!</v>
      </c>
      <c r="B214" s="690" t="str">
        <f t="array" ref="B214">IF($S214="","",IF($S214="Lớp 5",INDEX('Lớp 5 - Phân công'!$I$14:$I$262,$T214),IF($S214="Lớp 4",INDEX('Lớp 4 - Danh mục'!$I$14:$I$132,$T214),INDEX('Lớp 3 - Công việc chính'!$I$14:$I$73,$T214))))</f>
        <v>#REF!</v>
      </c>
      <c r="C214" s="690" t="str">
        <f t="array" ref="C214">IF($S214="","",IF($S214="Lớp 5",INDEX('Lớp 5 - Phân công'!$K$14:$K$262,$T214),IF($S214="Lớp 4",INDEX('Lớp 4 - Danh mục'!$J$14:$J$132,$T214),INDEX('Lớp 3 - Công việc chính'!$I$14:$I$73,$T214))))</f>
        <v>#REF!</v>
      </c>
      <c r="D214" s="690" t="str">
        <f t="array" ref="D214">IF($S214="","",IF($S214="Lớp 5",INDEX('Lớp 5 - Phân công'!$J$14:$J$262,$T214),IF($S214="Lớp 4",INDEX('Lớp 4 - Danh mục'!$I$14:$I$132,$T214),"")))</f>
        <v>#REF!</v>
      </c>
      <c r="E214" s="690" t="str">
        <f t="array" ref="E214">IF($S214="","",IF($S214="Lớp 5",INDEX('Lớp 5 - Phân công'!$L$14:$L$262,$T214),IF($S214="Lớp 4",INDEX('Lớp 4 - Danh mục'!$K$14:$K$132,$T214),INDEX('Lớp 3 - Công việc chính'!$J$14:$J$73,$T214))))</f>
        <v>#REF!</v>
      </c>
      <c r="F214" s="690" t="str">
        <f t="array" ref="F214">IF($S214="","",IF($S214="Lớp 5",INDEX('Lớp 5 - Phân công'!$M$14:$M$262,$T214),IF($S214="Lớp 4",INDEX('Lớp 4 - Danh mục'!$L$14:$L$132,$T214),INDEX('Lớp 3 - Công việc chính'!$K$14:$K$73,$T214))))</f>
        <v>#REF!</v>
      </c>
      <c r="G214" s="691" t="str">
        <f t="array" ref="G214">IF($S214="","",IF($S214="Lớp 5",INDEX('Lớp 5 - Phân công'!$N$14:$N$262,$T214),IF($S214="Lớp 4",INDEX('Lớp 4 - Danh mục'!$M$14:$M$132,$T214),INDEX('Lớp 3 - Công việc chính'!$L$14:$L$73,$T214))))</f>
        <v>#REF!</v>
      </c>
      <c r="H214" s="692" t="str">
        <f t="array" ref="H214">IF($S214="","",IF($S214="Lớp 5",INDEX('Lớp 5 - Phân công'!$O$14:$O$262,$T214),IF($S214="Lớp 4",INDEX('Lớp 4 - Danh mục'!$N$14:$N$132,$T214),INDEX('Lớp 3 - Công việc chính'!$M$14:$M$73,$T214))))</f>
        <v>#REF!</v>
      </c>
      <c r="I214" s="692" t="str">
        <f t="array" ref="I214">IF($S214="","",IF($S214="Lớp 5",INDEX('Lớp 5 - Phân công'!$P$14:$P$262,$T214),IF($S214="Lớp 4",INDEX('Lớp 4 - Danh mục'!$O$14:$O$132,$T214),"")))</f>
        <v>#REF!</v>
      </c>
      <c r="J214" s="693" t="str">
        <f t="array" ref="J214">IF($S214="","",IF($S214="Lớp 5",INDEX('Lớp 5 - Phân công'!$Q$14:$Q$262,$T214),""))</f>
        <v>#REF!</v>
      </c>
      <c r="K214" s="690" t="str">
        <f t="array" ref="K214">IF($S214="","",IF($S214="Lớp 5",INDEX('Lớp 5 - Phân công'!$AA$14:$AA$262,$T214),IF($S214="Lớp 4",INDEX('Lớp 4 - Danh mục'!$Y$14:$Y$132,$T214),INDEX('Lớp 3 - Công việc chính'!$U$14:$U$73,$T214))))</f>
        <v>#REF!</v>
      </c>
      <c r="L214" s="691" t="str">
        <f t="array" ref="L214">IF($S214="","",IF($S214="Lớp 5",INDEX('Lớp 5 - Phân công'!$Z$14:$Z$262,$T214),IF($S214="Lớp 4",INDEX('Lớp 4 - Danh mục'!$X$14:$X$132,$T214),INDEX('Lớp 3 - Công việc chính'!$W$14:$W$73,$T214))))</f>
        <v>#REF!</v>
      </c>
      <c r="M214" s="694" t="str">
        <f t="array" ref="M214">IF($S214="","",IF($S214="Lớp 5",INDEX('Lớp 5 - Phân công'!$AD$14:$AD$262,$T214),IF($S214="Lớp 4",INDEX('Lớp 4 - Danh mục'!$AC$14:$AC$132,$T214),INDEX('Lớp 3 - Công việc chính'!$Z$14:$Z$73,$T214))))</f>
        <v>#REF!</v>
      </c>
      <c r="N214" s="695" t="str">
        <f t="array" ref="N214">IF($S214="","",IF($S214="Lớp 5",INDEX('Lớp 5 - Phân công'!$AE$14:$AE$262,$T214),IF($S214="Lớp 4",INDEX('Lớp 4 - Danh mục'!$AD$14:$AD$132,$T214),INDEX('Lớp 3 - Công việc chính'!$AA$14:$AA$73,$T214))))</f>
        <v>#REF!</v>
      </c>
      <c r="O214" s="690" t="str">
        <f t="array" ref="O214">IF($S214="","",IF($S214="Lớp 5",INDEX('Lớp 5 - Phân công'!$AB$14:$AB$262,$T214),IF($S214="Lớp 4",INDEX('Lớp 4 - Danh mục'!$AA$14:$AA$132,$T214),INDEX('Lớp 3 - Công việc chính'!$X$14:$X$73,$T214))))</f>
        <v>#REF!</v>
      </c>
      <c r="P214" s="703" t="str">
        <f t="array" ref="P214">IF($S214="","",IF($S214="Lớp 5",INDEX('Lớp 5 - Phân công'!$AC$14:$AC$262,$T214),IF($S214="Lớp 4",INDEX('Lớp 4 - Danh mục'!$AB$14:$AB$132,$T214),INDEX('Lớp 3 - Công việc chính'!$Y$14:$Y$73,$T214))))</f>
        <v>#REF!</v>
      </c>
      <c r="Q214" s="697" t="str">
        <f t="array" ref="Q214">IF($S214="","",IF($S214="Lớp 5",INDEX('Lớp 5 - Phân công'!$AG$14:$AG$262,$T214),IF($S214="Lớp 4",INDEX('Lớp 4 - Danh mục'!$AF$14:$AF$132,$T214),INDEX('Lớp 3 - Công việc chính'!$AC$14:$AC$73,$T214))))</f>
        <v>#REF!</v>
      </c>
      <c r="R214" s="698" t="str">
        <f t="array" ref="R214">IF($S214="","",IF($S214="Lớp 5",INDEX('Lớp 5 - Phân công'!$X$14:$X$262,$T214),IF($S214="Lớp 4",INDEX('Lớp 4 - Danh mục'!$V$14:$V$132,$T214),INDEX('Lớp 3 - Công việc chính'!$T$14:$T$73,$T214))))</f>
        <v>#REF!</v>
      </c>
      <c r="S214" s="699" t="str">
        <f>IF(ROWS($S$14:S214)&lt;=COUNTIF('Lớp 5 - Phân công'!$I$14:$I$262,"&lt;&gt;"),"Lớp 5",IF(ROWS($S$14:S214)&lt;=COUNTIF('Lớp 5 - Phân công'!$I$14:$I$262,"&lt;&gt;")+SUMPRODUCT(--('Lớp 4 - Danh mục'!$I$14:$I$132&lt;&gt;""),--(COUNTIF('Lớp 5 - Phân công'!$J$14:$J$262,'Lớp 4 - Danh mục'!$I$14:$I$132)=0)),"Lớp 4",IF(ROWS($S$14:S214)&lt;=COUNTIF('Lớp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4" s="699" t="str">
        <f t="array" ref="T214">IF(S214="","",IF(S214="Lớp 5",IF(S213&lt;&gt;"Lớp 5",MATCH("*",'Lớp 5 - Phân công'!$I$14:$I$262,0),T213+MATCH("*",INDEX('Lớp 5 - Phân công'!$I$14:$I$262,T213+1):'Lớp 5 - Phân công'!$I$262,0)),IF(S214="Lớp 4",IF(S213&lt;&gt;"Lớp 4",MATCH(1,INDEX(('Lớp 4 - Danh mục'!$I$14:$I$132&lt;&gt;"")*(COUNTIF('Lớp 5 - Phân công'!$J$14:$J$262,'Lớp 4 - Danh mục'!$I$14:$I$132)=0),0),0),T213+MATCH(1,INDEX((INDEX('Lớp 4 - Danh mục'!$I$14:$I$132,T213+1):'Lớp 4 - Danh mục'!$I$132&lt;&gt;"")*(COUNTIF('Lớp 5 - Phân công'!$J$14:$J$262,INDEX('Lớp 4 - Danh mục'!$I$14:$I$132,T213+1):'Lớp 4 - Danh mục'!$I$132)=0),0),0)),IF(S213&lt;&gt;"Lớp 3",MATCH(1,INDEX(('Lớp 3 - Công việc chính'!$I$14:$I$73&lt;&gt;"")*(COUNTIF('Lớp 4 - Danh mục'!$J$14:$J$132,'Lớp 3 - Công việc chính'!$I$14:$I$73)=0),0),0),T213+MATCH(1,INDEX((INDEX('Lớp 3 - Công việc chính'!$I$14:$I$73,T213+1):'Lớp 3 - Công việc chính'!$I$73&lt;&gt;"")*(COUNTIF('Lớp 4 - Danh mục'!$J$14:$J$132,INDEX('Lớp 3 - Công việc chính'!$I$14:$I$73,T213+1):'Lớp 3 - Công việc chính'!$I$73)=0),0),0)))))</f>
        <v>#REF!</v>
      </c>
      <c r="Z214" s="700" t="str">
        <f t="array" ref="Z214">IF($S214="","",IF($S214="Lớp 5",INDEX('Lớp 5 - Phân công'!$AS$14:$AS$262,$T214),IF($S214="Lớp 4",INDEX('Lớp 4 - Danh mục'!$AR$14:$AR$132,$T214),INDEX('Lớp 3 - Công việc chính'!$AO$14:$AO$73,$T214))))</f>
        <v>#REF!</v>
      </c>
      <c r="AA214" s="701" t="str">
        <f t="array" ref="AA214">IF($S214="","",IF($S214="Lớp 5",INDEX('Lớp 5 - Phân công'!$AT$14:$AT$262,$T214),IF($S214="Lớp 4",INDEX('Lớp 4 - Danh mục'!$AS$14:$AS$132,$T214),INDEX('Lớp 3 - Công việc chính'!$AP$14:$AP$73,$T214))))</f>
        <v>#REF!</v>
      </c>
      <c r="AB214" s="701" t="str">
        <f t="array" ref="AB214">IF($S214="","",IF($S214="Lớp 5",INDEX('Lớp 5 - Phân công'!$AJ$14:$AJ$262,$T214),IF($S214="Lớp 4",INDEX('Lớp 4 - Danh mục'!$AI$14:$AI$132,$T214),INDEX('Lớp 3 - Công việc chính'!$AF$14:$AF$73,$T214))))</f>
        <v>#REF!</v>
      </c>
      <c r="AC214" s="702" t="str">
        <f t="array" ref="AC214">IF($S214="","",IF($S214="Lớp 5",INDEX('Lớp 5 - Phân công'!$AV$14:$AV$262,$T214),IF($S214="Lớp 4",INDEX('Lớp 4 - Danh mục'!$AU$14:$AU$132,$T214),INDEX('Lớp 3 - Công việc chính'!$AR$14:$AR$73,$T214))))</f>
        <v>#REF!</v>
      </c>
    </row>
    <row r="215" ht="15.75" customHeight="1">
      <c r="A215" s="690" t="str">
        <f t="shared" si="1"/>
        <v>#REF!</v>
      </c>
      <c r="B215" s="690" t="str">
        <f t="array" ref="B215">IF($S215="","",IF($S215="Lớp 5",INDEX('Lớp 5 - Phân công'!$I$14:$I$262,$T215),IF($S215="Lớp 4",INDEX('Lớp 4 - Danh mục'!$I$14:$I$132,$T215),INDEX('Lớp 3 - Công việc chính'!$I$14:$I$73,$T215))))</f>
        <v>#REF!</v>
      </c>
      <c r="C215" s="690" t="str">
        <f t="array" ref="C215">IF($S215="","",IF($S215="Lớp 5",INDEX('Lớp 5 - Phân công'!$K$14:$K$262,$T215),IF($S215="Lớp 4",INDEX('Lớp 4 - Danh mục'!$J$14:$J$132,$T215),INDEX('Lớp 3 - Công việc chính'!$I$14:$I$73,$T215))))</f>
        <v>#REF!</v>
      </c>
      <c r="D215" s="690" t="str">
        <f t="array" ref="D215">IF($S215="","",IF($S215="Lớp 5",INDEX('Lớp 5 - Phân công'!$J$14:$J$262,$T215),IF($S215="Lớp 4",INDEX('Lớp 4 - Danh mục'!$I$14:$I$132,$T215),"")))</f>
        <v>#REF!</v>
      </c>
      <c r="E215" s="690" t="str">
        <f t="array" ref="E215">IF($S215="","",IF($S215="Lớp 5",INDEX('Lớp 5 - Phân công'!$L$14:$L$262,$T215),IF($S215="Lớp 4",INDEX('Lớp 4 - Danh mục'!$K$14:$K$132,$T215),INDEX('Lớp 3 - Công việc chính'!$J$14:$J$73,$T215))))</f>
        <v>#REF!</v>
      </c>
      <c r="F215" s="690" t="str">
        <f t="array" ref="F215">IF($S215="","",IF($S215="Lớp 5",INDEX('Lớp 5 - Phân công'!$M$14:$M$262,$T215),IF($S215="Lớp 4",INDEX('Lớp 4 - Danh mục'!$L$14:$L$132,$T215),INDEX('Lớp 3 - Công việc chính'!$K$14:$K$73,$T215))))</f>
        <v>#REF!</v>
      </c>
      <c r="G215" s="691" t="str">
        <f t="array" ref="G215">IF($S215="","",IF($S215="Lớp 5",INDEX('Lớp 5 - Phân công'!$N$14:$N$262,$T215),IF($S215="Lớp 4",INDEX('Lớp 4 - Danh mục'!$M$14:$M$132,$T215),INDEX('Lớp 3 - Công việc chính'!$L$14:$L$73,$T215))))</f>
        <v>#REF!</v>
      </c>
      <c r="H215" s="692" t="str">
        <f t="array" ref="H215">IF($S215="","",IF($S215="Lớp 5",INDEX('Lớp 5 - Phân công'!$O$14:$O$262,$T215),IF($S215="Lớp 4",INDEX('Lớp 4 - Danh mục'!$N$14:$N$132,$T215),INDEX('Lớp 3 - Công việc chính'!$M$14:$M$73,$T215))))</f>
        <v>#REF!</v>
      </c>
      <c r="I215" s="692" t="str">
        <f t="array" ref="I215">IF($S215="","",IF($S215="Lớp 5",INDEX('Lớp 5 - Phân công'!$P$14:$P$262,$T215),IF($S215="Lớp 4",INDEX('Lớp 4 - Danh mục'!$O$14:$O$132,$T215),"")))</f>
        <v>#REF!</v>
      </c>
      <c r="J215" s="693" t="str">
        <f t="array" ref="J215">IF($S215="","",IF($S215="Lớp 5",INDEX('Lớp 5 - Phân công'!$Q$14:$Q$262,$T215),""))</f>
        <v>#REF!</v>
      </c>
      <c r="K215" s="690" t="str">
        <f t="array" ref="K215">IF($S215="","",IF($S215="Lớp 5",INDEX('Lớp 5 - Phân công'!$AA$14:$AA$262,$T215),IF($S215="Lớp 4",INDEX('Lớp 4 - Danh mục'!$Y$14:$Y$132,$T215),INDEX('Lớp 3 - Công việc chính'!$U$14:$U$73,$T215))))</f>
        <v>#REF!</v>
      </c>
      <c r="L215" s="691" t="str">
        <f t="array" ref="L215">IF($S215="","",IF($S215="Lớp 5",INDEX('Lớp 5 - Phân công'!$Z$14:$Z$262,$T215),IF($S215="Lớp 4",INDEX('Lớp 4 - Danh mục'!$X$14:$X$132,$T215),INDEX('Lớp 3 - Công việc chính'!$W$14:$W$73,$T215))))</f>
        <v>#REF!</v>
      </c>
      <c r="M215" s="694" t="str">
        <f t="array" ref="M215">IF($S215="","",IF($S215="Lớp 5",INDEX('Lớp 5 - Phân công'!$AD$14:$AD$262,$T215),IF($S215="Lớp 4",INDEX('Lớp 4 - Danh mục'!$AC$14:$AC$132,$T215),INDEX('Lớp 3 - Công việc chính'!$Z$14:$Z$73,$T215))))</f>
        <v>#REF!</v>
      </c>
      <c r="N215" s="695" t="str">
        <f t="array" ref="N215">IF($S215="","",IF($S215="Lớp 5",INDEX('Lớp 5 - Phân công'!$AE$14:$AE$262,$T215),IF($S215="Lớp 4",INDEX('Lớp 4 - Danh mục'!$AD$14:$AD$132,$T215),INDEX('Lớp 3 - Công việc chính'!$AA$14:$AA$73,$T215))))</f>
        <v>#REF!</v>
      </c>
      <c r="O215" s="690" t="str">
        <f t="array" ref="O215">IF($S215="","",IF($S215="Lớp 5",INDEX('Lớp 5 - Phân công'!$AB$14:$AB$262,$T215),IF($S215="Lớp 4",INDEX('Lớp 4 - Danh mục'!$AA$14:$AA$132,$T215),INDEX('Lớp 3 - Công việc chính'!$X$14:$X$73,$T215))))</f>
        <v>#REF!</v>
      </c>
      <c r="P215" s="703" t="str">
        <f t="array" ref="P215">IF($S215="","",IF($S215="Lớp 5",INDEX('Lớp 5 - Phân công'!$AC$14:$AC$262,$T215),IF($S215="Lớp 4",INDEX('Lớp 4 - Danh mục'!$AB$14:$AB$132,$T215),INDEX('Lớp 3 - Công việc chính'!$Y$14:$Y$73,$T215))))</f>
        <v>#REF!</v>
      </c>
      <c r="Q215" s="697" t="str">
        <f t="array" ref="Q215">IF($S215="","",IF($S215="Lớp 5",INDEX('Lớp 5 - Phân công'!$AG$14:$AG$262,$T215),IF($S215="Lớp 4",INDEX('Lớp 4 - Danh mục'!$AF$14:$AF$132,$T215),INDEX('Lớp 3 - Công việc chính'!$AC$14:$AC$73,$T215))))</f>
        <v>#REF!</v>
      </c>
      <c r="R215" s="698" t="str">
        <f t="array" ref="R215">IF($S215="","",IF($S215="Lớp 5",INDEX('Lớp 5 - Phân công'!$X$14:$X$262,$T215),IF($S215="Lớp 4",INDEX('Lớp 4 - Danh mục'!$V$14:$V$132,$T215),INDEX('Lớp 3 - Công việc chính'!$T$14:$T$73,$T215))))</f>
        <v>#REF!</v>
      </c>
      <c r="S215" s="699" t="str">
        <f>IF(ROWS($S$14:S215)&lt;=COUNTIF('Lớp 5 - Phân công'!$I$14:$I$262,"&lt;&gt;"),"Lớp 5",IF(ROWS($S$14:S215)&lt;=COUNTIF('Lớp 5 - Phân công'!$I$14:$I$262,"&lt;&gt;")+SUMPRODUCT(--('Lớp 4 - Danh mục'!$I$14:$I$132&lt;&gt;""),--(COUNTIF('Lớp 5 - Phân công'!$J$14:$J$262,'Lớp 4 - Danh mục'!$I$14:$I$132)=0)),"Lớp 4",IF(ROWS($S$14:S215)&lt;=COUNTIF('Lớp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5" s="699" t="str">
        <f t="array" ref="T215">IF(S215="","",IF(S215="Lớp 5",IF(S214&lt;&gt;"Lớp 5",MATCH("*",'Lớp 5 - Phân công'!$I$14:$I$262,0),T214+MATCH("*",INDEX('Lớp 5 - Phân công'!$I$14:$I$262,T214+1):'Lớp 5 - Phân công'!$I$262,0)),IF(S215="Lớp 4",IF(S214&lt;&gt;"Lớp 4",MATCH(1,INDEX(('Lớp 4 - Danh mục'!$I$14:$I$132&lt;&gt;"")*(COUNTIF('Lớp 5 - Phân công'!$J$14:$J$262,'Lớp 4 - Danh mục'!$I$14:$I$132)=0),0),0),T214+MATCH(1,INDEX((INDEX('Lớp 4 - Danh mục'!$I$14:$I$132,T214+1):'Lớp 4 - Danh mục'!$I$132&lt;&gt;"")*(COUNTIF('Lớp 5 - Phân công'!$J$14:$J$262,INDEX('Lớp 4 - Danh mục'!$I$14:$I$132,T214+1):'Lớp 4 - Danh mục'!$I$132)=0),0),0)),IF(S214&lt;&gt;"Lớp 3",MATCH(1,INDEX(('Lớp 3 - Công việc chính'!$I$14:$I$73&lt;&gt;"")*(COUNTIF('Lớp 4 - Danh mục'!$J$14:$J$132,'Lớp 3 - Công việc chính'!$I$14:$I$73)=0),0),0),T214+MATCH(1,INDEX((INDEX('Lớp 3 - Công việc chính'!$I$14:$I$73,T214+1):'Lớp 3 - Công việc chính'!$I$73&lt;&gt;"")*(COUNTIF('Lớp 4 - Danh mục'!$J$14:$J$132,INDEX('Lớp 3 - Công việc chính'!$I$14:$I$73,T214+1):'Lớp 3 - Công việc chính'!$I$73)=0),0),0)))))</f>
        <v>#REF!</v>
      </c>
      <c r="Z215" s="700" t="str">
        <f t="array" ref="Z215">IF($S215="","",IF($S215="Lớp 5",INDEX('Lớp 5 - Phân công'!$AS$14:$AS$262,$T215),IF($S215="Lớp 4",INDEX('Lớp 4 - Danh mục'!$AR$14:$AR$132,$T215),INDEX('Lớp 3 - Công việc chính'!$AO$14:$AO$73,$T215))))</f>
        <v>#REF!</v>
      </c>
      <c r="AA215" s="701" t="str">
        <f t="array" ref="AA215">IF($S215="","",IF($S215="Lớp 5",INDEX('Lớp 5 - Phân công'!$AT$14:$AT$262,$T215),IF($S215="Lớp 4",INDEX('Lớp 4 - Danh mục'!$AS$14:$AS$132,$T215),INDEX('Lớp 3 - Công việc chính'!$AP$14:$AP$73,$T215))))</f>
        <v>#REF!</v>
      </c>
      <c r="AB215" s="701" t="str">
        <f t="array" ref="AB215">IF($S215="","",IF($S215="Lớp 5",INDEX('Lớp 5 - Phân công'!$AJ$14:$AJ$262,$T215),IF($S215="Lớp 4",INDEX('Lớp 4 - Danh mục'!$AI$14:$AI$132,$T215),INDEX('Lớp 3 - Công việc chính'!$AF$14:$AF$73,$T215))))</f>
        <v>#REF!</v>
      </c>
      <c r="AC215" s="702" t="str">
        <f t="array" ref="AC215">IF($S215="","",IF($S215="Lớp 5",INDEX('Lớp 5 - Phân công'!$AV$14:$AV$262,$T215),IF($S215="Lớp 4",INDEX('Lớp 4 - Danh mục'!$AU$14:$AU$132,$T215),INDEX('Lớp 3 - Công việc chính'!$AR$14:$AR$73,$T215))))</f>
        <v>#REF!</v>
      </c>
    </row>
    <row r="216" ht="15.75" customHeight="1">
      <c r="A216" s="690" t="str">
        <f t="shared" si="1"/>
        <v>#REF!</v>
      </c>
      <c r="B216" s="690" t="str">
        <f t="array" ref="B216">IF($S216="","",IF($S216="Lớp 5",INDEX('Lớp 5 - Phân công'!$I$14:$I$262,$T216),IF($S216="Lớp 4",INDEX('Lớp 4 - Danh mục'!$I$14:$I$132,$T216),INDEX('Lớp 3 - Công việc chính'!$I$14:$I$73,$T216))))</f>
        <v>#REF!</v>
      </c>
      <c r="C216" s="690" t="str">
        <f t="array" ref="C216">IF($S216="","",IF($S216="Lớp 5",INDEX('Lớp 5 - Phân công'!$K$14:$K$262,$T216),IF($S216="Lớp 4",INDEX('Lớp 4 - Danh mục'!$J$14:$J$132,$T216),INDEX('Lớp 3 - Công việc chính'!$I$14:$I$73,$T216))))</f>
        <v>#REF!</v>
      </c>
      <c r="D216" s="690" t="str">
        <f t="array" ref="D216">IF($S216="","",IF($S216="Lớp 5",INDEX('Lớp 5 - Phân công'!$J$14:$J$262,$T216),IF($S216="Lớp 4",INDEX('Lớp 4 - Danh mục'!$I$14:$I$132,$T216),"")))</f>
        <v>#REF!</v>
      </c>
      <c r="E216" s="690" t="str">
        <f t="array" ref="E216">IF($S216="","",IF($S216="Lớp 5",INDEX('Lớp 5 - Phân công'!$L$14:$L$262,$T216),IF($S216="Lớp 4",INDEX('Lớp 4 - Danh mục'!$K$14:$K$132,$T216),INDEX('Lớp 3 - Công việc chính'!$J$14:$J$73,$T216))))</f>
        <v>#REF!</v>
      </c>
      <c r="F216" s="690" t="str">
        <f t="array" ref="F216">IF($S216="","",IF($S216="Lớp 5",INDEX('Lớp 5 - Phân công'!$M$14:$M$262,$T216),IF($S216="Lớp 4",INDEX('Lớp 4 - Danh mục'!$L$14:$L$132,$T216),INDEX('Lớp 3 - Công việc chính'!$K$14:$K$73,$T216))))</f>
        <v>#REF!</v>
      </c>
      <c r="G216" s="691" t="str">
        <f t="array" ref="G216">IF($S216="","",IF($S216="Lớp 5",INDEX('Lớp 5 - Phân công'!$N$14:$N$262,$T216),IF($S216="Lớp 4",INDEX('Lớp 4 - Danh mục'!$M$14:$M$132,$T216),INDEX('Lớp 3 - Công việc chính'!$L$14:$L$73,$T216))))</f>
        <v>#REF!</v>
      </c>
      <c r="H216" s="692" t="str">
        <f t="array" ref="H216">IF($S216="","",IF($S216="Lớp 5",INDEX('Lớp 5 - Phân công'!$O$14:$O$262,$T216),IF($S216="Lớp 4",INDEX('Lớp 4 - Danh mục'!$N$14:$N$132,$T216),INDEX('Lớp 3 - Công việc chính'!$M$14:$M$73,$T216))))</f>
        <v>#REF!</v>
      </c>
      <c r="I216" s="692" t="str">
        <f t="array" ref="I216">IF($S216="","",IF($S216="Lớp 5",INDEX('Lớp 5 - Phân công'!$P$14:$P$262,$T216),IF($S216="Lớp 4",INDEX('Lớp 4 - Danh mục'!$O$14:$O$132,$T216),"")))</f>
        <v>#REF!</v>
      </c>
      <c r="J216" s="693" t="str">
        <f t="array" ref="J216">IF($S216="","",IF($S216="Lớp 5",INDEX('Lớp 5 - Phân công'!$Q$14:$Q$262,$T216),""))</f>
        <v>#REF!</v>
      </c>
      <c r="K216" s="690" t="str">
        <f t="array" ref="K216">IF($S216="","",IF($S216="Lớp 5",INDEX('Lớp 5 - Phân công'!$AA$14:$AA$262,$T216),IF($S216="Lớp 4",INDEX('Lớp 4 - Danh mục'!$Y$14:$Y$132,$T216),INDEX('Lớp 3 - Công việc chính'!$U$14:$U$73,$T216))))</f>
        <v>#REF!</v>
      </c>
      <c r="L216" s="691" t="str">
        <f t="array" ref="L216">IF($S216="","",IF($S216="Lớp 5",INDEX('Lớp 5 - Phân công'!$Z$14:$Z$262,$T216),IF($S216="Lớp 4",INDEX('Lớp 4 - Danh mục'!$X$14:$X$132,$T216),INDEX('Lớp 3 - Công việc chính'!$W$14:$W$73,$T216))))</f>
        <v>#REF!</v>
      </c>
      <c r="M216" s="694" t="str">
        <f t="array" ref="M216">IF($S216="","",IF($S216="Lớp 5",INDEX('Lớp 5 - Phân công'!$AD$14:$AD$262,$T216),IF($S216="Lớp 4",INDEX('Lớp 4 - Danh mục'!$AC$14:$AC$132,$T216),INDEX('Lớp 3 - Công việc chính'!$Z$14:$Z$73,$T216))))</f>
        <v>#REF!</v>
      </c>
      <c r="N216" s="695" t="str">
        <f t="array" ref="N216">IF($S216="","",IF($S216="Lớp 5",INDEX('Lớp 5 - Phân công'!$AE$14:$AE$262,$T216),IF($S216="Lớp 4",INDEX('Lớp 4 - Danh mục'!$AD$14:$AD$132,$T216),INDEX('Lớp 3 - Công việc chính'!$AA$14:$AA$73,$T216))))</f>
        <v>#REF!</v>
      </c>
      <c r="O216" s="690" t="str">
        <f t="array" ref="O216">IF($S216="","",IF($S216="Lớp 5",INDEX('Lớp 5 - Phân công'!$AB$14:$AB$262,$T216),IF($S216="Lớp 4",INDEX('Lớp 4 - Danh mục'!$AA$14:$AA$132,$T216),INDEX('Lớp 3 - Công việc chính'!$X$14:$X$73,$T216))))</f>
        <v>#REF!</v>
      </c>
      <c r="P216" s="703" t="str">
        <f t="array" ref="P216">IF($S216="","",IF($S216="Lớp 5",INDEX('Lớp 5 - Phân công'!$AC$14:$AC$262,$T216),IF($S216="Lớp 4",INDEX('Lớp 4 - Danh mục'!$AB$14:$AB$132,$T216),INDEX('Lớp 3 - Công việc chính'!$Y$14:$Y$73,$T216))))</f>
        <v>#REF!</v>
      </c>
      <c r="Q216" s="697" t="str">
        <f t="array" ref="Q216">IF($S216="","",IF($S216="Lớp 5",INDEX('Lớp 5 - Phân công'!$AG$14:$AG$262,$T216),IF($S216="Lớp 4",INDEX('Lớp 4 - Danh mục'!$AF$14:$AF$132,$T216),INDEX('Lớp 3 - Công việc chính'!$AC$14:$AC$73,$T216))))</f>
        <v>#REF!</v>
      </c>
      <c r="R216" s="698" t="str">
        <f t="array" ref="R216">IF($S216="","",IF($S216="Lớp 5",INDEX('Lớp 5 - Phân công'!$X$14:$X$262,$T216),IF($S216="Lớp 4",INDEX('Lớp 4 - Danh mục'!$V$14:$V$132,$T216),INDEX('Lớp 3 - Công việc chính'!$T$14:$T$73,$T216))))</f>
        <v>#REF!</v>
      </c>
      <c r="S216" s="699" t="str">
        <f>IF(ROWS($S$14:S216)&lt;=COUNTIF('Lớp 5 - Phân công'!$I$14:$I$262,"&lt;&gt;"),"Lớp 5",IF(ROWS($S$14:S216)&lt;=COUNTIF('Lớp 5 - Phân công'!$I$14:$I$262,"&lt;&gt;")+SUMPRODUCT(--('Lớp 4 - Danh mục'!$I$14:$I$132&lt;&gt;""),--(COUNTIF('Lớp 5 - Phân công'!$J$14:$J$262,'Lớp 4 - Danh mục'!$I$14:$I$132)=0)),"Lớp 4",IF(ROWS($S$14:S216)&lt;=COUNTIF('Lớp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6" s="699" t="str">
        <f t="array" ref="T216">IF(S216="","",IF(S216="Lớp 5",IF(S215&lt;&gt;"Lớp 5",MATCH("*",'Lớp 5 - Phân công'!$I$14:$I$262,0),T215+MATCH("*",INDEX('Lớp 5 - Phân công'!$I$14:$I$262,T215+1):'Lớp 5 - Phân công'!$I$262,0)),IF(S216="Lớp 4",IF(S215&lt;&gt;"Lớp 4",MATCH(1,INDEX(('Lớp 4 - Danh mục'!$I$14:$I$132&lt;&gt;"")*(COUNTIF('Lớp 5 - Phân công'!$J$14:$J$262,'Lớp 4 - Danh mục'!$I$14:$I$132)=0),0),0),T215+MATCH(1,INDEX((INDEX('Lớp 4 - Danh mục'!$I$14:$I$132,T215+1):'Lớp 4 - Danh mục'!$I$132&lt;&gt;"")*(COUNTIF('Lớp 5 - Phân công'!$J$14:$J$262,INDEX('Lớp 4 - Danh mục'!$I$14:$I$132,T215+1):'Lớp 4 - Danh mục'!$I$132)=0),0),0)),IF(S215&lt;&gt;"Lớp 3",MATCH(1,INDEX(('Lớp 3 - Công việc chính'!$I$14:$I$73&lt;&gt;"")*(COUNTIF('Lớp 4 - Danh mục'!$J$14:$J$132,'Lớp 3 - Công việc chính'!$I$14:$I$73)=0),0),0),T215+MATCH(1,INDEX((INDEX('Lớp 3 - Công việc chính'!$I$14:$I$73,T215+1):'Lớp 3 - Công việc chính'!$I$73&lt;&gt;"")*(COUNTIF('Lớp 4 - Danh mục'!$J$14:$J$132,INDEX('Lớp 3 - Công việc chính'!$I$14:$I$73,T215+1):'Lớp 3 - Công việc chính'!$I$73)=0),0),0)))))</f>
        <v>#REF!</v>
      </c>
      <c r="Z216" s="700" t="str">
        <f t="array" ref="Z216">IF($S216="","",IF($S216="Lớp 5",INDEX('Lớp 5 - Phân công'!$AS$14:$AS$262,$T216),IF($S216="Lớp 4",INDEX('Lớp 4 - Danh mục'!$AR$14:$AR$132,$T216),INDEX('Lớp 3 - Công việc chính'!$AO$14:$AO$73,$T216))))</f>
        <v>#REF!</v>
      </c>
      <c r="AA216" s="701" t="str">
        <f t="array" ref="AA216">IF($S216="","",IF($S216="Lớp 5",INDEX('Lớp 5 - Phân công'!$AT$14:$AT$262,$T216),IF($S216="Lớp 4",INDEX('Lớp 4 - Danh mục'!$AS$14:$AS$132,$T216),INDEX('Lớp 3 - Công việc chính'!$AP$14:$AP$73,$T216))))</f>
        <v>#REF!</v>
      </c>
      <c r="AB216" s="701" t="str">
        <f t="array" ref="AB216">IF($S216="","",IF($S216="Lớp 5",INDEX('Lớp 5 - Phân công'!$AJ$14:$AJ$262,$T216),IF($S216="Lớp 4",INDEX('Lớp 4 - Danh mục'!$AI$14:$AI$132,$T216),INDEX('Lớp 3 - Công việc chính'!$AF$14:$AF$73,$T216))))</f>
        <v>#REF!</v>
      </c>
      <c r="AC216" s="702" t="str">
        <f t="array" ref="AC216">IF($S216="","",IF($S216="Lớp 5",INDEX('Lớp 5 - Phân công'!$AV$14:$AV$262,$T216),IF($S216="Lớp 4",INDEX('Lớp 4 - Danh mục'!$AU$14:$AU$132,$T216),INDEX('Lớp 3 - Công việc chính'!$AR$14:$AR$73,$T216))))</f>
        <v>#REF!</v>
      </c>
    </row>
    <row r="217" ht="15.75" customHeight="1">
      <c r="A217" s="690" t="str">
        <f t="shared" si="1"/>
        <v>#REF!</v>
      </c>
      <c r="B217" s="690" t="str">
        <f t="array" ref="B217">IF($S217="","",IF($S217="Lớp 5",INDEX('Lớp 5 - Phân công'!$I$14:$I$262,$T217),IF($S217="Lớp 4",INDEX('Lớp 4 - Danh mục'!$I$14:$I$132,$T217),INDEX('Lớp 3 - Công việc chính'!$I$14:$I$73,$T217))))</f>
        <v>#REF!</v>
      </c>
      <c r="C217" s="690" t="str">
        <f t="array" ref="C217">IF($S217="","",IF($S217="Lớp 5",INDEX('Lớp 5 - Phân công'!$K$14:$K$262,$T217),IF($S217="Lớp 4",INDEX('Lớp 4 - Danh mục'!$J$14:$J$132,$T217),INDEX('Lớp 3 - Công việc chính'!$I$14:$I$73,$T217))))</f>
        <v>#REF!</v>
      </c>
      <c r="D217" s="690" t="str">
        <f t="array" ref="D217">IF($S217="","",IF($S217="Lớp 5",INDEX('Lớp 5 - Phân công'!$J$14:$J$262,$T217),IF($S217="Lớp 4",INDEX('Lớp 4 - Danh mục'!$I$14:$I$132,$T217),"")))</f>
        <v>#REF!</v>
      </c>
      <c r="E217" s="690" t="str">
        <f t="array" ref="E217">IF($S217="","",IF($S217="Lớp 5",INDEX('Lớp 5 - Phân công'!$L$14:$L$262,$T217),IF($S217="Lớp 4",INDEX('Lớp 4 - Danh mục'!$K$14:$K$132,$T217),INDEX('Lớp 3 - Công việc chính'!$J$14:$J$73,$T217))))</f>
        <v>#REF!</v>
      </c>
      <c r="F217" s="690" t="str">
        <f t="array" ref="F217">IF($S217="","",IF($S217="Lớp 5",INDEX('Lớp 5 - Phân công'!$M$14:$M$262,$T217),IF($S217="Lớp 4",INDEX('Lớp 4 - Danh mục'!$L$14:$L$132,$T217),INDEX('Lớp 3 - Công việc chính'!$K$14:$K$73,$T217))))</f>
        <v>#REF!</v>
      </c>
      <c r="G217" s="691" t="str">
        <f t="array" ref="G217">IF($S217="","",IF($S217="Lớp 5",INDEX('Lớp 5 - Phân công'!$N$14:$N$262,$T217),IF($S217="Lớp 4",INDEX('Lớp 4 - Danh mục'!$M$14:$M$132,$T217),INDEX('Lớp 3 - Công việc chính'!$L$14:$L$73,$T217))))</f>
        <v>#REF!</v>
      </c>
      <c r="H217" s="692" t="str">
        <f t="array" ref="H217">IF($S217="","",IF($S217="Lớp 5",INDEX('Lớp 5 - Phân công'!$O$14:$O$262,$T217),IF($S217="Lớp 4",INDEX('Lớp 4 - Danh mục'!$N$14:$N$132,$T217),INDEX('Lớp 3 - Công việc chính'!$M$14:$M$73,$T217))))</f>
        <v>#REF!</v>
      </c>
      <c r="I217" s="692" t="str">
        <f t="array" ref="I217">IF($S217="","",IF($S217="Lớp 5",INDEX('Lớp 5 - Phân công'!$P$14:$P$262,$T217),IF($S217="Lớp 4",INDEX('Lớp 4 - Danh mục'!$O$14:$O$132,$T217),"")))</f>
        <v>#REF!</v>
      </c>
      <c r="J217" s="693" t="str">
        <f t="array" ref="J217">IF($S217="","",IF($S217="Lớp 5",INDEX('Lớp 5 - Phân công'!$Q$14:$Q$262,$T217),""))</f>
        <v>#REF!</v>
      </c>
      <c r="K217" s="690" t="str">
        <f t="array" ref="K217">IF($S217="","",IF($S217="Lớp 5",INDEX('Lớp 5 - Phân công'!$AA$14:$AA$262,$T217),IF($S217="Lớp 4",INDEX('Lớp 4 - Danh mục'!$Y$14:$Y$132,$T217),INDEX('Lớp 3 - Công việc chính'!$U$14:$U$73,$T217))))</f>
        <v>#REF!</v>
      </c>
      <c r="L217" s="691" t="str">
        <f t="array" ref="L217">IF($S217="","",IF($S217="Lớp 5",INDEX('Lớp 5 - Phân công'!$Z$14:$Z$262,$T217),IF($S217="Lớp 4",INDEX('Lớp 4 - Danh mục'!$X$14:$X$132,$T217),INDEX('Lớp 3 - Công việc chính'!$W$14:$W$73,$T217))))</f>
        <v>#REF!</v>
      </c>
      <c r="M217" s="694" t="str">
        <f t="array" ref="M217">IF($S217="","",IF($S217="Lớp 5",INDEX('Lớp 5 - Phân công'!$AD$14:$AD$262,$T217),IF($S217="Lớp 4",INDEX('Lớp 4 - Danh mục'!$AC$14:$AC$132,$T217),INDEX('Lớp 3 - Công việc chính'!$Z$14:$Z$73,$T217))))</f>
        <v>#REF!</v>
      </c>
      <c r="N217" s="695" t="str">
        <f t="array" ref="N217">IF($S217="","",IF($S217="Lớp 5",INDEX('Lớp 5 - Phân công'!$AE$14:$AE$262,$T217),IF($S217="Lớp 4",INDEX('Lớp 4 - Danh mục'!$AD$14:$AD$132,$T217),INDEX('Lớp 3 - Công việc chính'!$AA$14:$AA$73,$T217))))</f>
        <v>#REF!</v>
      </c>
      <c r="O217" s="690" t="str">
        <f t="array" ref="O217">IF($S217="","",IF($S217="Lớp 5",INDEX('Lớp 5 - Phân công'!$AB$14:$AB$262,$T217),IF($S217="Lớp 4",INDEX('Lớp 4 - Danh mục'!$AA$14:$AA$132,$T217),INDEX('Lớp 3 - Công việc chính'!$X$14:$X$73,$T217))))</f>
        <v>#REF!</v>
      </c>
      <c r="P217" s="703" t="str">
        <f t="array" ref="P217">IF($S217="","",IF($S217="Lớp 5",INDEX('Lớp 5 - Phân công'!$AC$14:$AC$262,$T217),IF($S217="Lớp 4",INDEX('Lớp 4 - Danh mục'!$AB$14:$AB$132,$T217),INDEX('Lớp 3 - Công việc chính'!$Y$14:$Y$73,$T217))))</f>
        <v>#REF!</v>
      </c>
      <c r="Q217" s="697" t="str">
        <f t="array" ref="Q217">IF($S217="","",IF($S217="Lớp 5",INDEX('Lớp 5 - Phân công'!$AG$14:$AG$262,$T217),IF($S217="Lớp 4",INDEX('Lớp 4 - Danh mục'!$AF$14:$AF$132,$T217),INDEX('Lớp 3 - Công việc chính'!$AC$14:$AC$73,$T217))))</f>
        <v>#REF!</v>
      </c>
      <c r="R217" s="698" t="str">
        <f t="array" ref="R217">IF($S217="","",IF($S217="Lớp 5",INDEX('Lớp 5 - Phân công'!$X$14:$X$262,$T217),IF($S217="Lớp 4",INDEX('Lớp 4 - Danh mục'!$V$14:$V$132,$T217),INDEX('Lớp 3 - Công việc chính'!$T$14:$T$73,$T217))))</f>
        <v>#REF!</v>
      </c>
      <c r="S217" s="699" t="str">
        <f>IF(ROWS($S$14:S217)&lt;=COUNTIF('Lớp 5 - Phân công'!$I$14:$I$262,"&lt;&gt;"),"Lớp 5",IF(ROWS($S$14:S217)&lt;=COUNTIF('Lớp 5 - Phân công'!$I$14:$I$262,"&lt;&gt;")+SUMPRODUCT(--('Lớp 4 - Danh mục'!$I$14:$I$132&lt;&gt;""),--(COUNTIF('Lớp 5 - Phân công'!$J$14:$J$262,'Lớp 4 - Danh mục'!$I$14:$I$132)=0)),"Lớp 4",IF(ROWS($S$14:S217)&lt;=COUNTIF('Lớp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7" s="699" t="str">
        <f t="array" ref="T217">IF(S217="","",IF(S217="Lớp 5",IF(S216&lt;&gt;"Lớp 5",MATCH("*",'Lớp 5 - Phân công'!$I$14:$I$262,0),T216+MATCH("*",INDEX('Lớp 5 - Phân công'!$I$14:$I$262,T216+1):'Lớp 5 - Phân công'!$I$262,0)),IF(S217="Lớp 4",IF(S216&lt;&gt;"Lớp 4",MATCH(1,INDEX(('Lớp 4 - Danh mục'!$I$14:$I$132&lt;&gt;"")*(COUNTIF('Lớp 5 - Phân công'!$J$14:$J$262,'Lớp 4 - Danh mục'!$I$14:$I$132)=0),0),0),T216+MATCH(1,INDEX((INDEX('Lớp 4 - Danh mục'!$I$14:$I$132,T216+1):'Lớp 4 - Danh mục'!$I$132&lt;&gt;"")*(COUNTIF('Lớp 5 - Phân công'!$J$14:$J$262,INDEX('Lớp 4 - Danh mục'!$I$14:$I$132,T216+1):'Lớp 4 - Danh mục'!$I$132)=0),0),0)),IF(S216&lt;&gt;"Lớp 3",MATCH(1,INDEX(('Lớp 3 - Công việc chính'!$I$14:$I$73&lt;&gt;"")*(COUNTIF('Lớp 4 - Danh mục'!$J$14:$J$132,'Lớp 3 - Công việc chính'!$I$14:$I$73)=0),0),0),T216+MATCH(1,INDEX((INDEX('Lớp 3 - Công việc chính'!$I$14:$I$73,T216+1):'Lớp 3 - Công việc chính'!$I$73&lt;&gt;"")*(COUNTIF('Lớp 4 - Danh mục'!$J$14:$J$132,INDEX('Lớp 3 - Công việc chính'!$I$14:$I$73,T216+1):'Lớp 3 - Công việc chính'!$I$73)=0),0),0)))))</f>
        <v>#REF!</v>
      </c>
      <c r="Z217" s="700" t="str">
        <f t="array" ref="Z217">IF($S217="","",IF($S217="Lớp 5",INDEX('Lớp 5 - Phân công'!$AS$14:$AS$262,$T217),IF($S217="Lớp 4",INDEX('Lớp 4 - Danh mục'!$AR$14:$AR$132,$T217),INDEX('Lớp 3 - Công việc chính'!$AO$14:$AO$73,$T217))))</f>
        <v>#REF!</v>
      </c>
      <c r="AA217" s="701" t="str">
        <f t="array" ref="AA217">IF($S217="","",IF($S217="Lớp 5",INDEX('Lớp 5 - Phân công'!$AT$14:$AT$262,$T217),IF($S217="Lớp 4",INDEX('Lớp 4 - Danh mục'!$AS$14:$AS$132,$T217),INDEX('Lớp 3 - Công việc chính'!$AP$14:$AP$73,$T217))))</f>
        <v>#REF!</v>
      </c>
      <c r="AB217" s="701" t="str">
        <f t="array" ref="AB217">IF($S217="","",IF($S217="Lớp 5",INDEX('Lớp 5 - Phân công'!$AJ$14:$AJ$262,$T217),IF($S217="Lớp 4",INDEX('Lớp 4 - Danh mục'!$AI$14:$AI$132,$T217),INDEX('Lớp 3 - Công việc chính'!$AF$14:$AF$73,$T217))))</f>
        <v>#REF!</v>
      </c>
      <c r="AC217" s="702" t="str">
        <f t="array" ref="AC217">IF($S217="","",IF($S217="Lớp 5",INDEX('Lớp 5 - Phân công'!$AV$14:$AV$262,$T217),IF($S217="Lớp 4",INDEX('Lớp 4 - Danh mục'!$AU$14:$AU$132,$T217),INDEX('Lớp 3 - Công việc chính'!$AR$14:$AR$73,$T217))))</f>
        <v>#REF!</v>
      </c>
    </row>
    <row r="218" ht="15.75" customHeight="1">
      <c r="A218" s="690" t="str">
        <f t="shared" si="1"/>
        <v>#REF!</v>
      </c>
      <c r="B218" s="690" t="str">
        <f t="array" ref="B218">IF($S218="","",IF($S218="Lớp 5",INDEX('Lớp 5 - Phân công'!$I$14:$I$262,$T218),IF($S218="Lớp 4",INDEX('Lớp 4 - Danh mục'!$I$14:$I$132,$T218),INDEX('Lớp 3 - Công việc chính'!$I$14:$I$73,$T218))))</f>
        <v>#REF!</v>
      </c>
      <c r="C218" s="690" t="str">
        <f t="array" ref="C218">IF($S218="","",IF($S218="Lớp 5",INDEX('Lớp 5 - Phân công'!$K$14:$K$262,$T218),IF($S218="Lớp 4",INDEX('Lớp 4 - Danh mục'!$J$14:$J$132,$T218),INDEX('Lớp 3 - Công việc chính'!$I$14:$I$73,$T218))))</f>
        <v>#REF!</v>
      </c>
      <c r="D218" s="690" t="str">
        <f t="array" ref="D218">IF($S218="","",IF($S218="Lớp 5",INDEX('Lớp 5 - Phân công'!$J$14:$J$262,$T218),IF($S218="Lớp 4",INDEX('Lớp 4 - Danh mục'!$I$14:$I$132,$T218),"")))</f>
        <v>#REF!</v>
      </c>
      <c r="E218" s="690" t="str">
        <f t="array" ref="E218">IF($S218="","",IF($S218="Lớp 5",INDEX('Lớp 5 - Phân công'!$L$14:$L$262,$T218),IF($S218="Lớp 4",INDEX('Lớp 4 - Danh mục'!$K$14:$K$132,$T218),INDEX('Lớp 3 - Công việc chính'!$J$14:$J$73,$T218))))</f>
        <v>#REF!</v>
      </c>
      <c r="F218" s="690" t="str">
        <f t="array" ref="F218">IF($S218="","",IF($S218="Lớp 5",INDEX('Lớp 5 - Phân công'!$M$14:$M$262,$T218),IF($S218="Lớp 4",INDEX('Lớp 4 - Danh mục'!$L$14:$L$132,$T218),INDEX('Lớp 3 - Công việc chính'!$K$14:$K$73,$T218))))</f>
        <v>#REF!</v>
      </c>
      <c r="G218" s="691" t="str">
        <f t="array" ref="G218">IF($S218="","",IF($S218="Lớp 5",INDEX('Lớp 5 - Phân công'!$N$14:$N$262,$T218),IF($S218="Lớp 4",INDEX('Lớp 4 - Danh mục'!$M$14:$M$132,$T218),INDEX('Lớp 3 - Công việc chính'!$L$14:$L$73,$T218))))</f>
        <v>#REF!</v>
      </c>
      <c r="H218" s="692" t="str">
        <f t="array" ref="H218">IF($S218="","",IF($S218="Lớp 5",INDEX('Lớp 5 - Phân công'!$O$14:$O$262,$T218),IF($S218="Lớp 4",INDEX('Lớp 4 - Danh mục'!$N$14:$N$132,$T218),INDEX('Lớp 3 - Công việc chính'!$M$14:$M$73,$T218))))</f>
        <v>#REF!</v>
      </c>
      <c r="I218" s="692" t="str">
        <f t="array" ref="I218">IF($S218="","",IF($S218="Lớp 5",INDEX('Lớp 5 - Phân công'!$P$14:$P$262,$T218),IF($S218="Lớp 4",INDEX('Lớp 4 - Danh mục'!$O$14:$O$132,$T218),"")))</f>
        <v>#REF!</v>
      </c>
      <c r="J218" s="693" t="str">
        <f t="array" ref="J218">IF($S218="","",IF($S218="Lớp 5",INDEX('Lớp 5 - Phân công'!$Q$14:$Q$262,$T218),""))</f>
        <v>#REF!</v>
      </c>
      <c r="K218" s="690" t="str">
        <f t="array" ref="K218">IF($S218="","",IF($S218="Lớp 5",INDEX('Lớp 5 - Phân công'!$AA$14:$AA$262,$T218),IF($S218="Lớp 4",INDEX('Lớp 4 - Danh mục'!$Y$14:$Y$132,$T218),INDEX('Lớp 3 - Công việc chính'!$U$14:$U$73,$T218))))</f>
        <v>#REF!</v>
      </c>
      <c r="L218" s="691" t="str">
        <f t="array" ref="L218">IF($S218="","",IF($S218="Lớp 5",INDEX('Lớp 5 - Phân công'!$Z$14:$Z$262,$T218),IF($S218="Lớp 4",INDEX('Lớp 4 - Danh mục'!$X$14:$X$132,$T218),INDEX('Lớp 3 - Công việc chính'!$W$14:$W$73,$T218))))</f>
        <v>#REF!</v>
      </c>
      <c r="M218" s="694" t="str">
        <f t="array" ref="M218">IF($S218="","",IF($S218="Lớp 5",INDEX('Lớp 5 - Phân công'!$AD$14:$AD$262,$T218),IF($S218="Lớp 4",INDEX('Lớp 4 - Danh mục'!$AC$14:$AC$132,$T218),INDEX('Lớp 3 - Công việc chính'!$Z$14:$Z$73,$T218))))</f>
        <v>#REF!</v>
      </c>
      <c r="N218" s="695" t="str">
        <f t="array" ref="N218">IF($S218="","",IF($S218="Lớp 5",INDEX('Lớp 5 - Phân công'!$AE$14:$AE$262,$T218),IF($S218="Lớp 4",INDEX('Lớp 4 - Danh mục'!$AD$14:$AD$132,$T218),INDEX('Lớp 3 - Công việc chính'!$AA$14:$AA$73,$T218))))</f>
        <v>#REF!</v>
      </c>
      <c r="O218" s="690" t="str">
        <f t="array" ref="O218">IF($S218="","",IF($S218="Lớp 5",INDEX('Lớp 5 - Phân công'!$AB$14:$AB$262,$T218),IF($S218="Lớp 4",INDEX('Lớp 4 - Danh mục'!$AA$14:$AA$132,$T218),INDEX('Lớp 3 - Công việc chính'!$X$14:$X$73,$T218))))</f>
        <v>#REF!</v>
      </c>
      <c r="P218" s="703" t="str">
        <f t="array" ref="P218">IF($S218="","",IF($S218="Lớp 5",INDEX('Lớp 5 - Phân công'!$AC$14:$AC$262,$T218),IF($S218="Lớp 4",INDEX('Lớp 4 - Danh mục'!$AB$14:$AB$132,$T218),INDEX('Lớp 3 - Công việc chính'!$Y$14:$Y$73,$T218))))</f>
        <v>#REF!</v>
      </c>
      <c r="Q218" s="697" t="str">
        <f t="array" ref="Q218">IF($S218="","",IF($S218="Lớp 5",INDEX('Lớp 5 - Phân công'!$AG$14:$AG$262,$T218),IF($S218="Lớp 4",INDEX('Lớp 4 - Danh mục'!$AF$14:$AF$132,$T218),INDEX('Lớp 3 - Công việc chính'!$AC$14:$AC$73,$T218))))</f>
        <v>#REF!</v>
      </c>
      <c r="R218" s="698" t="str">
        <f t="array" ref="R218">IF($S218="","",IF($S218="Lớp 5",INDEX('Lớp 5 - Phân công'!$X$14:$X$262,$T218),IF($S218="Lớp 4",INDEX('Lớp 4 - Danh mục'!$V$14:$V$132,$T218),INDEX('Lớp 3 - Công việc chính'!$T$14:$T$73,$T218))))</f>
        <v>#REF!</v>
      </c>
      <c r="S218" s="699" t="str">
        <f>IF(ROWS($S$14:S218)&lt;=COUNTIF('Lớp 5 - Phân công'!$I$14:$I$262,"&lt;&gt;"),"Lớp 5",IF(ROWS($S$14:S218)&lt;=COUNTIF('Lớp 5 - Phân công'!$I$14:$I$262,"&lt;&gt;")+SUMPRODUCT(--('Lớp 4 - Danh mục'!$I$14:$I$132&lt;&gt;""),--(COUNTIF('Lớp 5 - Phân công'!$J$14:$J$262,'Lớp 4 - Danh mục'!$I$14:$I$132)=0)),"Lớp 4",IF(ROWS($S$14:S218)&lt;=COUNTIF('Lớp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8" s="699" t="str">
        <f t="array" ref="T218">IF(S218="","",IF(S218="Lớp 5",IF(S217&lt;&gt;"Lớp 5",MATCH("*",'Lớp 5 - Phân công'!$I$14:$I$262,0),T217+MATCH("*",INDEX('Lớp 5 - Phân công'!$I$14:$I$262,T217+1):'Lớp 5 - Phân công'!$I$262,0)),IF(S218="Lớp 4",IF(S217&lt;&gt;"Lớp 4",MATCH(1,INDEX(('Lớp 4 - Danh mục'!$I$14:$I$132&lt;&gt;"")*(COUNTIF('Lớp 5 - Phân công'!$J$14:$J$262,'Lớp 4 - Danh mục'!$I$14:$I$132)=0),0),0),T217+MATCH(1,INDEX((INDEX('Lớp 4 - Danh mục'!$I$14:$I$132,T217+1):'Lớp 4 - Danh mục'!$I$132&lt;&gt;"")*(COUNTIF('Lớp 5 - Phân công'!$J$14:$J$262,INDEX('Lớp 4 - Danh mục'!$I$14:$I$132,T217+1):'Lớp 4 - Danh mục'!$I$132)=0),0),0)),IF(S217&lt;&gt;"Lớp 3",MATCH(1,INDEX(('Lớp 3 - Công việc chính'!$I$14:$I$73&lt;&gt;"")*(COUNTIF('Lớp 4 - Danh mục'!$J$14:$J$132,'Lớp 3 - Công việc chính'!$I$14:$I$73)=0),0),0),T217+MATCH(1,INDEX((INDEX('Lớp 3 - Công việc chính'!$I$14:$I$73,T217+1):'Lớp 3 - Công việc chính'!$I$73&lt;&gt;"")*(COUNTIF('Lớp 4 - Danh mục'!$J$14:$J$132,INDEX('Lớp 3 - Công việc chính'!$I$14:$I$73,T217+1):'Lớp 3 - Công việc chính'!$I$73)=0),0),0)))))</f>
        <v>#REF!</v>
      </c>
      <c r="Z218" s="700" t="str">
        <f t="array" ref="Z218">IF($S218="","",IF($S218="Lớp 5",INDEX('Lớp 5 - Phân công'!$AS$14:$AS$262,$T218),IF($S218="Lớp 4",INDEX('Lớp 4 - Danh mục'!$AR$14:$AR$132,$T218),INDEX('Lớp 3 - Công việc chính'!$AO$14:$AO$73,$T218))))</f>
        <v>#REF!</v>
      </c>
      <c r="AA218" s="701" t="str">
        <f t="array" ref="AA218">IF($S218="","",IF($S218="Lớp 5",INDEX('Lớp 5 - Phân công'!$AT$14:$AT$262,$T218),IF($S218="Lớp 4",INDEX('Lớp 4 - Danh mục'!$AS$14:$AS$132,$T218),INDEX('Lớp 3 - Công việc chính'!$AP$14:$AP$73,$T218))))</f>
        <v>#REF!</v>
      </c>
      <c r="AB218" s="701" t="str">
        <f t="array" ref="AB218">IF($S218="","",IF($S218="Lớp 5",INDEX('Lớp 5 - Phân công'!$AJ$14:$AJ$262,$T218),IF($S218="Lớp 4",INDEX('Lớp 4 - Danh mục'!$AI$14:$AI$132,$T218),INDEX('Lớp 3 - Công việc chính'!$AF$14:$AF$73,$T218))))</f>
        <v>#REF!</v>
      </c>
      <c r="AC218" s="702" t="str">
        <f t="array" ref="AC218">IF($S218="","",IF($S218="Lớp 5",INDEX('Lớp 5 - Phân công'!$AV$14:$AV$262,$T218),IF($S218="Lớp 4",INDEX('Lớp 4 - Danh mục'!$AU$14:$AU$132,$T218),INDEX('Lớp 3 - Công việc chính'!$AR$14:$AR$73,$T218))))</f>
        <v>#REF!</v>
      </c>
    </row>
    <row r="219" ht="15.75" customHeight="1">
      <c r="A219" s="690" t="str">
        <f t="shared" si="1"/>
        <v>#REF!</v>
      </c>
      <c r="B219" s="690" t="str">
        <f t="array" ref="B219">IF($S219="","",IF($S219="Lớp 5",INDEX('Lớp 5 - Phân công'!$I$14:$I$262,$T219),IF($S219="Lớp 4",INDEX('Lớp 4 - Danh mục'!$I$14:$I$132,$T219),INDEX('Lớp 3 - Công việc chính'!$I$14:$I$73,$T219))))</f>
        <v>#REF!</v>
      </c>
      <c r="C219" s="690" t="str">
        <f t="array" ref="C219">IF($S219="","",IF($S219="Lớp 5",INDEX('Lớp 5 - Phân công'!$K$14:$K$262,$T219),IF($S219="Lớp 4",INDEX('Lớp 4 - Danh mục'!$J$14:$J$132,$T219),INDEX('Lớp 3 - Công việc chính'!$I$14:$I$73,$T219))))</f>
        <v>#REF!</v>
      </c>
      <c r="D219" s="690" t="str">
        <f t="array" ref="D219">IF($S219="","",IF($S219="Lớp 5",INDEX('Lớp 5 - Phân công'!$J$14:$J$262,$T219),IF($S219="Lớp 4",INDEX('Lớp 4 - Danh mục'!$I$14:$I$132,$T219),"")))</f>
        <v>#REF!</v>
      </c>
      <c r="E219" s="690" t="str">
        <f t="array" ref="E219">IF($S219="","",IF($S219="Lớp 5",INDEX('Lớp 5 - Phân công'!$L$14:$L$262,$T219),IF($S219="Lớp 4",INDEX('Lớp 4 - Danh mục'!$K$14:$K$132,$T219),INDEX('Lớp 3 - Công việc chính'!$J$14:$J$73,$T219))))</f>
        <v>#REF!</v>
      </c>
      <c r="F219" s="690" t="str">
        <f t="array" ref="F219">IF($S219="","",IF($S219="Lớp 5",INDEX('Lớp 5 - Phân công'!$M$14:$M$262,$T219),IF($S219="Lớp 4",INDEX('Lớp 4 - Danh mục'!$L$14:$L$132,$T219),INDEX('Lớp 3 - Công việc chính'!$K$14:$K$73,$T219))))</f>
        <v>#REF!</v>
      </c>
      <c r="G219" s="691" t="str">
        <f t="array" ref="G219">IF($S219="","",IF($S219="Lớp 5",INDEX('Lớp 5 - Phân công'!$N$14:$N$262,$T219),IF($S219="Lớp 4",INDEX('Lớp 4 - Danh mục'!$M$14:$M$132,$T219),INDEX('Lớp 3 - Công việc chính'!$L$14:$L$73,$T219))))</f>
        <v>#REF!</v>
      </c>
      <c r="H219" s="692" t="str">
        <f t="array" ref="H219">IF($S219="","",IF($S219="Lớp 5",INDEX('Lớp 5 - Phân công'!$O$14:$O$262,$T219),IF($S219="Lớp 4",INDEX('Lớp 4 - Danh mục'!$N$14:$N$132,$T219),INDEX('Lớp 3 - Công việc chính'!$M$14:$M$73,$T219))))</f>
        <v>#REF!</v>
      </c>
      <c r="I219" s="692" t="str">
        <f t="array" ref="I219">IF($S219="","",IF($S219="Lớp 5",INDEX('Lớp 5 - Phân công'!$P$14:$P$262,$T219),IF($S219="Lớp 4",INDEX('Lớp 4 - Danh mục'!$O$14:$O$132,$T219),"")))</f>
        <v>#REF!</v>
      </c>
      <c r="J219" s="693" t="str">
        <f t="array" ref="J219">IF($S219="","",IF($S219="Lớp 5",INDEX('Lớp 5 - Phân công'!$Q$14:$Q$262,$T219),""))</f>
        <v>#REF!</v>
      </c>
      <c r="K219" s="690" t="str">
        <f t="array" ref="K219">IF($S219="","",IF($S219="Lớp 5",INDEX('Lớp 5 - Phân công'!$AA$14:$AA$262,$T219),IF($S219="Lớp 4",INDEX('Lớp 4 - Danh mục'!$Y$14:$Y$132,$T219),INDEX('Lớp 3 - Công việc chính'!$U$14:$U$73,$T219))))</f>
        <v>#REF!</v>
      </c>
      <c r="L219" s="691" t="str">
        <f t="array" ref="L219">IF($S219="","",IF($S219="Lớp 5",INDEX('Lớp 5 - Phân công'!$Z$14:$Z$262,$T219),IF($S219="Lớp 4",INDEX('Lớp 4 - Danh mục'!$X$14:$X$132,$T219),INDEX('Lớp 3 - Công việc chính'!$W$14:$W$73,$T219))))</f>
        <v>#REF!</v>
      </c>
      <c r="M219" s="694" t="str">
        <f t="array" ref="M219">IF($S219="","",IF($S219="Lớp 5",INDEX('Lớp 5 - Phân công'!$AD$14:$AD$262,$T219),IF($S219="Lớp 4",INDEX('Lớp 4 - Danh mục'!$AC$14:$AC$132,$T219),INDEX('Lớp 3 - Công việc chính'!$Z$14:$Z$73,$T219))))</f>
        <v>#REF!</v>
      </c>
      <c r="N219" s="695" t="str">
        <f t="array" ref="N219">IF($S219="","",IF($S219="Lớp 5",INDEX('Lớp 5 - Phân công'!$AE$14:$AE$262,$T219),IF($S219="Lớp 4",INDEX('Lớp 4 - Danh mục'!$AD$14:$AD$132,$T219),INDEX('Lớp 3 - Công việc chính'!$AA$14:$AA$73,$T219))))</f>
        <v>#REF!</v>
      </c>
      <c r="O219" s="690" t="str">
        <f t="array" ref="O219">IF($S219="","",IF($S219="Lớp 5",INDEX('Lớp 5 - Phân công'!$AB$14:$AB$262,$T219),IF($S219="Lớp 4",INDEX('Lớp 4 - Danh mục'!$AA$14:$AA$132,$T219),INDEX('Lớp 3 - Công việc chính'!$X$14:$X$73,$T219))))</f>
        <v>#REF!</v>
      </c>
      <c r="P219" s="703" t="str">
        <f t="array" ref="P219">IF($S219="","",IF($S219="Lớp 5",INDEX('Lớp 5 - Phân công'!$AC$14:$AC$262,$T219),IF($S219="Lớp 4",INDEX('Lớp 4 - Danh mục'!$AB$14:$AB$132,$T219),INDEX('Lớp 3 - Công việc chính'!$Y$14:$Y$73,$T219))))</f>
        <v>#REF!</v>
      </c>
      <c r="Q219" s="697" t="str">
        <f t="array" ref="Q219">IF($S219="","",IF($S219="Lớp 5",INDEX('Lớp 5 - Phân công'!$AG$14:$AG$262,$T219),IF($S219="Lớp 4",INDEX('Lớp 4 - Danh mục'!$AF$14:$AF$132,$T219),INDEX('Lớp 3 - Công việc chính'!$AC$14:$AC$73,$T219))))</f>
        <v>#REF!</v>
      </c>
      <c r="R219" s="698" t="str">
        <f t="array" ref="R219">IF($S219="","",IF($S219="Lớp 5",INDEX('Lớp 5 - Phân công'!$X$14:$X$262,$T219),IF($S219="Lớp 4",INDEX('Lớp 4 - Danh mục'!$V$14:$V$132,$T219),INDEX('Lớp 3 - Công việc chính'!$T$14:$T$73,$T219))))</f>
        <v>#REF!</v>
      </c>
      <c r="S219" s="699" t="str">
        <f>IF(ROWS($S$14:S219)&lt;=COUNTIF('Lớp 5 - Phân công'!$I$14:$I$262,"&lt;&gt;"),"Lớp 5",IF(ROWS($S$14:S219)&lt;=COUNTIF('Lớp 5 - Phân công'!$I$14:$I$262,"&lt;&gt;")+SUMPRODUCT(--('Lớp 4 - Danh mục'!$I$14:$I$132&lt;&gt;""),--(COUNTIF('Lớp 5 - Phân công'!$J$14:$J$262,'Lớp 4 - Danh mục'!$I$14:$I$132)=0)),"Lớp 4",IF(ROWS($S$14:S219)&lt;=COUNTIF('Lớp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19" s="699" t="str">
        <f t="array" ref="T219">IF(S219="","",IF(S219="Lớp 5",IF(S218&lt;&gt;"Lớp 5",MATCH("*",'Lớp 5 - Phân công'!$I$14:$I$262,0),T218+MATCH("*",INDEX('Lớp 5 - Phân công'!$I$14:$I$262,T218+1):'Lớp 5 - Phân công'!$I$262,0)),IF(S219="Lớp 4",IF(S218&lt;&gt;"Lớp 4",MATCH(1,INDEX(('Lớp 4 - Danh mục'!$I$14:$I$132&lt;&gt;"")*(COUNTIF('Lớp 5 - Phân công'!$J$14:$J$262,'Lớp 4 - Danh mục'!$I$14:$I$132)=0),0),0),T218+MATCH(1,INDEX((INDEX('Lớp 4 - Danh mục'!$I$14:$I$132,T218+1):'Lớp 4 - Danh mục'!$I$132&lt;&gt;"")*(COUNTIF('Lớp 5 - Phân công'!$J$14:$J$262,INDEX('Lớp 4 - Danh mục'!$I$14:$I$132,T218+1):'Lớp 4 - Danh mục'!$I$132)=0),0),0)),IF(S218&lt;&gt;"Lớp 3",MATCH(1,INDEX(('Lớp 3 - Công việc chính'!$I$14:$I$73&lt;&gt;"")*(COUNTIF('Lớp 4 - Danh mục'!$J$14:$J$132,'Lớp 3 - Công việc chính'!$I$14:$I$73)=0),0),0),T218+MATCH(1,INDEX((INDEX('Lớp 3 - Công việc chính'!$I$14:$I$73,T218+1):'Lớp 3 - Công việc chính'!$I$73&lt;&gt;"")*(COUNTIF('Lớp 4 - Danh mục'!$J$14:$J$132,INDEX('Lớp 3 - Công việc chính'!$I$14:$I$73,T218+1):'Lớp 3 - Công việc chính'!$I$73)=0),0),0)))))</f>
        <v>#REF!</v>
      </c>
      <c r="Z219" s="700" t="str">
        <f t="array" ref="Z219">IF($S219="","",IF($S219="Lớp 5",INDEX('Lớp 5 - Phân công'!$AS$14:$AS$262,$T219),IF($S219="Lớp 4",INDEX('Lớp 4 - Danh mục'!$AR$14:$AR$132,$T219),INDEX('Lớp 3 - Công việc chính'!$AO$14:$AO$73,$T219))))</f>
        <v>#REF!</v>
      </c>
      <c r="AA219" s="701" t="str">
        <f t="array" ref="AA219">IF($S219="","",IF($S219="Lớp 5",INDEX('Lớp 5 - Phân công'!$AT$14:$AT$262,$T219),IF($S219="Lớp 4",INDEX('Lớp 4 - Danh mục'!$AS$14:$AS$132,$T219),INDEX('Lớp 3 - Công việc chính'!$AP$14:$AP$73,$T219))))</f>
        <v>#REF!</v>
      </c>
      <c r="AB219" s="701" t="str">
        <f t="array" ref="AB219">IF($S219="","",IF($S219="Lớp 5",INDEX('Lớp 5 - Phân công'!$AJ$14:$AJ$262,$T219),IF($S219="Lớp 4",INDEX('Lớp 4 - Danh mục'!$AI$14:$AI$132,$T219),INDEX('Lớp 3 - Công việc chính'!$AF$14:$AF$73,$T219))))</f>
        <v>#REF!</v>
      </c>
      <c r="AC219" s="702" t="str">
        <f t="array" ref="AC219">IF($S219="","",IF($S219="Lớp 5",INDEX('Lớp 5 - Phân công'!$AV$14:$AV$262,$T219),IF($S219="Lớp 4",INDEX('Lớp 4 - Danh mục'!$AU$14:$AU$132,$T219),INDEX('Lớp 3 - Công việc chính'!$AR$14:$AR$73,$T219))))</f>
        <v>#REF!</v>
      </c>
    </row>
    <row r="220" ht="15.75" customHeight="1">
      <c r="A220" s="690" t="str">
        <f t="shared" si="1"/>
        <v>#REF!</v>
      </c>
      <c r="B220" s="690" t="str">
        <f t="array" ref="B220">IF($S220="","",IF($S220="Lớp 5",INDEX('Lớp 5 - Phân công'!$I$14:$I$262,$T220),IF($S220="Lớp 4",INDEX('Lớp 4 - Danh mục'!$I$14:$I$132,$T220),INDEX('Lớp 3 - Công việc chính'!$I$14:$I$73,$T220))))</f>
        <v>#REF!</v>
      </c>
      <c r="C220" s="690" t="str">
        <f t="array" ref="C220">IF($S220="","",IF($S220="Lớp 5",INDEX('Lớp 5 - Phân công'!$K$14:$K$262,$T220),IF($S220="Lớp 4",INDEX('Lớp 4 - Danh mục'!$J$14:$J$132,$T220),INDEX('Lớp 3 - Công việc chính'!$I$14:$I$73,$T220))))</f>
        <v>#REF!</v>
      </c>
      <c r="D220" s="690" t="str">
        <f t="array" ref="D220">IF($S220="","",IF($S220="Lớp 5",INDEX('Lớp 5 - Phân công'!$J$14:$J$262,$T220),IF($S220="Lớp 4",INDEX('Lớp 4 - Danh mục'!$I$14:$I$132,$T220),"")))</f>
        <v>#REF!</v>
      </c>
      <c r="E220" s="690" t="str">
        <f t="array" ref="E220">IF($S220="","",IF($S220="Lớp 5",INDEX('Lớp 5 - Phân công'!$L$14:$L$262,$T220),IF($S220="Lớp 4",INDEX('Lớp 4 - Danh mục'!$K$14:$K$132,$T220),INDEX('Lớp 3 - Công việc chính'!$J$14:$J$73,$T220))))</f>
        <v>#REF!</v>
      </c>
      <c r="F220" s="690" t="str">
        <f t="array" ref="F220">IF($S220="","",IF($S220="Lớp 5",INDEX('Lớp 5 - Phân công'!$M$14:$M$262,$T220),IF($S220="Lớp 4",INDEX('Lớp 4 - Danh mục'!$L$14:$L$132,$T220),INDEX('Lớp 3 - Công việc chính'!$K$14:$K$73,$T220))))</f>
        <v>#REF!</v>
      </c>
      <c r="G220" s="691" t="str">
        <f t="array" ref="G220">IF($S220="","",IF($S220="Lớp 5",INDEX('Lớp 5 - Phân công'!$N$14:$N$262,$T220),IF($S220="Lớp 4",INDEX('Lớp 4 - Danh mục'!$M$14:$M$132,$T220),INDEX('Lớp 3 - Công việc chính'!$L$14:$L$73,$T220))))</f>
        <v>#REF!</v>
      </c>
      <c r="H220" s="692" t="str">
        <f t="array" ref="H220">IF($S220="","",IF($S220="Lớp 5",INDEX('Lớp 5 - Phân công'!$O$14:$O$262,$T220),IF($S220="Lớp 4",INDEX('Lớp 4 - Danh mục'!$N$14:$N$132,$T220),INDEX('Lớp 3 - Công việc chính'!$M$14:$M$73,$T220))))</f>
        <v>#REF!</v>
      </c>
      <c r="I220" s="692" t="str">
        <f t="array" ref="I220">IF($S220="","",IF($S220="Lớp 5",INDEX('Lớp 5 - Phân công'!$P$14:$P$262,$T220),IF($S220="Lớp 4",INDEX('Lớp 4 - Danh mục'!$O$14:$O$132,$T220),"")))</f>
        <v>#REF!</v>
      </c>
      <c r="J220" s="693" t="str">
        <f t="array" ref="J220">IF($S220="","",IF($S220="Lớp 5",INDEX('Lớp 5 - Phân công'!$Q$14:$Q$262,$T220),""))</f>
        <v>#REF!</v>
      </c>
      <c r="K220" s="690" t="str">
        <f t="array" ref="K220">IF($S220="","",IF($S220="Lớp 5",INDEX('Lớp 5 - Phân công'!$AA$14:$AA$262,$T220),IF($S220="Lớp 4",INDEX('Lớp 4 - Danh mục'!$Y$14:$Y$132,$T220),INDEX('Lớp 3 - Công việc chính'!$U$14:$U$73,$T220))))</f>
        <v>#REF!</v>
      </c>
      <c r="L220" s="691" t="str">
        <f t="array" ref="L220">IF($S220="","",IF($S220="Lớp 5",INDEX('Lớp 5 - Phân công'!$Z$14:$Z$262,$T220),IF($S220="Lớp 4",INDEX('Lớp 4 - Danh mục'!$X$14:$X$132,$T220),INDEX('Lớp 3 - Công việc chính'!$W$14:$W$73,$T220))))</f>
        <v>#REF!</v>
      </c>
      <c r="M220" s="694" t="str">
        <f t="array" ref="M220">IF($S220="","",IF($S220="Lớp 5",INDEX('Lớp 5 - Phân công'!$AD$14:$AD$262,$T220),IF($S220="Lớp 4",INDEX('Lớp 4 - Danh mục'!$AC$14:$AC$132,$T220),INDEX('Lớp 3 - Công việc chính'!$Z$14:$Z$73,$T220))))</f>
        <v>#REF!</v>
      </c>
      <c r="N220" s="695" t="str">
        <f t="array" ref="N220">IF($S220="","",IF($S220="Lớp 5",INDEX('Lớp 5 - Phân công'!$AE$14:$AE$262,$T220),IF($S220="Lớp 4",INDEX('Lớp 4 - Danh mục'!$AD$14:$AD$132,$T220),INDEX('Lớp 3 - Công việc chính'!$AA$14:$AA$73,$T220))))</f>
        <v>#REF!</v>
      </c>
      <c r="O220" s="690" t="str">
        <f t="array" ref="O220">IF($S220="","",IF($S220="Lớp 5",INDEX('Lớp 5 - Phân công'!$AB$14:$AB$262,$T220),IF($S220="Lớp 4",INDEX('Lớp 4 - Danh mục'!$AA$14:$AA$132,$T220),INDEX('Lớp 3 - Công việc chính'!$X$14:$X$73,$T220))))</f>
        <v>#REF!</v>
      </c>
      <c r="P220" s="703" t="str">
        <f t="array" ref="P220">IF($S220="","",IF($S220="Lớp 5",INDEX('Lớp 5 - Phân công'!$AC$14:$AC$262,$T220),IF($S220="Lớp 4",INDEX('Lớp 4 - Danh mục'!$AB$14:$AB$132,$T220),INDEX('Lớp 3 - Công việc chính'!$Y$14:$Y$73,$T220))))</f>
        <v>#REF!</v>
      </c>
      <c r="Q220" s="697" t="str">
        <f t="array" ref="Q220">IF($S220="","",IF($S220="Lớp 5",INDEX('Lớp 5 - Phân công'!$AG$14:$AG$262,$T220),IF($S220="Lớp 4",INDEX('Lớp 4 - Danh mục'!$AF$14:$AF$132,$T220),INDEX('Lớp 3 - Công việc chính'!$AC$14:$AC$73,$T220))))</f>
        <v>#REF!</v>
      </c>
      <c r="R220" s="698" t="str">
        <f t="array" ref="R220">IF($S220="","",IF($S220="Lớp 5",INDEX('Lớp 5 - Phân công'!$X$14:$X$262,$T220),IF($S220="Lớp 4",INDEX('Lớp 4 - Danh mục'!$V$14:$V$132,$T220),INDEX('Lớp 3 - Công việc chính'!$T$14:$T$73,$T220))))</f>
        <v>#REF!</v>
      </c>
      <c r="S220" s="699" t="str">
        <f>IF(ROWS($S$14:S220)&lt;=COUNTIF('Lớp 5 - Phân công'!$I$14:$I$262,"&lt;&gt;"),"Lớp 5",IF(ROWS($S$14:S220)&lt;=COUNTIF('Lớp 5 - Phân công'!$I$14:$I$262,"&lt;&gt;")+SUMPRODUCT(--('Lớp 4 - Danh mục'!$I$14:$I$132&lt;&gt;""),--(COUNTIF('Lớp 5 - Phân công'!$J$14:$J$262,'Lớp 4 - Danh mục'!$I$14:$I$132)=0)),"Lớp 4",IF(ROWS($S$14:S220)&lt;=COUNTIF('Lớp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0" s="699" t="str">
        <f t="array" ref="T220">IF(S220="","",IF(S220="Lớp 5",IF(S219&lt;&gt;"Lớp 5",MATCH("*",'Lớp 5 - Phân công'!$I$14:$I$262,0),T219+MATCH("*",INDEX('Lớp 5 - Phân công'!$I$14:$I$262,T219+1):'Lớp 5 - Phân công'!$I$262,0)),IF(S220="Lớp 4",IF(S219&lt;&gt;"Lớp 4",MATCH(1,INDEX(('Lớp 4 - Danh mục'!$I$14:$I$132&lt;&gt;"")*(COUNTIF('Lớp 5 - Phân công'!$J$14:$J$262,'Lớp 4 - Danh mục'!$I$14:$I$132)=0),0),0),T219+MATCH(1,INDEX((INDEX('Lớp 4 - Danh mục'!$I$14:$I$132,T219+1):'Lớp 4 - Danh mục'!$I$132&lt;&gt;"")*(COUNTIF('Lớp 5 - Phân công'!$J$14:$J$262,INDEX('Lớp 4 - Danh mục'!$I$14:$I$132,T219+1):'Lớp 4 - Danh mục'!$I$132)=0),0),0)),IF(S219&lt;&gt;"Lớp 3",MATCH(1,INDEX(('Lớp 3 - Công việc chính'!$I$14:$I$73&lt;&gt;"")*(COUNTIF('Lớp 4 - Danh mục'!$J$14:$J$132,'Lớp 3 - Công việc chính'!$I$14:$I$73)=0),0),0),T219+MATCH(1,INDEX((INDEX('Lớp 3 - Công việc chính'!$I$14:$I$73,T219+1):'Lớp 3 - Công việc chính'!$I$73&lt;&gt;"")*(COUNTIF('Lớp 4 - Danh mục'!$J$14:$J$132,INDEX('Lớp 3 - Công việc chính'!$I$14:$I$73,T219+1):'Lớp 3 - Công việc chính'!$I$73)=0),0),0)))))</f>
        <v>#REF!</v>
      </c>
      <c r="Z220" s="700" t="str">
        <f t="array" ref="Z220">IF($S220="","",IF($S220="Lớp 5",INDEX('Lớp 5 - Phân công'!$AS$14:$AS$262,$T220),IF($S220="Lớp 4",INDEX('Lớp 4 - Danh mục'!$AR$14:$AR$132,$T220),INDEX('Lớp 3 - Công việc chính'!$AO$14:$AO$73,$T220))))</f>
        <v>#REF!</v>
      </c>
      <c r="AA220" s="701" t="str">
        <f t="array" ref="AA220">IF($S220="","",IF($S220="Lớp 5",INDEX('Lớp 5 - Phân công'!$AT$14:$AT$262,$T220),IF($S220="Lớp 4",INDEX('Lớp 4 - Danh mục'!$AS$14:$AS$132,$T220),INDEX('Lớp 3 - Công việc chính'!$AP$14:$AP$73,$T220))))</f>
        <v>#REF!</v>
      </c>
      <c r="AB220" s="701" t="str">
        <f t="array" ref="AB220">IF($S220="","",IF($S220="Lớp 5",INDEX('Lớp 5 - Phân công'!$AJ$14:$AJ$262,$T220),IF($S220="Lớp 4",INDEX('Lớp 4 - Danh mục'!$AI$14:$AI$132,$T220),INDEX('Lớp 3 - Công việc chính'!$AF$14:$AF$73,$T220))))</f>
        <v>#REF!</v>
      </c>
      <c r="AC220" s="702" t="str">
        <f t="array" ref="AC220">IF($S220="","",IF($S220="Lớp 5",INDEX('Lớp 5 - Phân công'!$AV$14:$AV$262,$T220),IF($S220="Lớp 4",INDEX('Lớp 4 - Danh mục'!$AU$14:$AU$132,$T220),INDEX('Lớp 3 - Công việc chính'!$AR$14:$AR$73,$T220))))</f>
        <v>#REF!</v>
      </c>
    </row>
    <row r="221" ht="15.75" customHeight="1">
      <c r="A221" s="690" t="str">
        <f t="shared" si="1"/>
        <v>#REF!</v>
      </c>
      <c r="B221" s="690" t="str">
        <f t="array" ref="B221">IF($S221="","",IF($S221="Lớp 5",INDEX('Lớp 5 - Phân công'!$I$14:$I$262,$T221),IF($S221="Lớp 4",INDEX('Lớp 4 - Danh mục'!$I$14:$I$132,$T221),INDEX('Lớp 3 - Công việc chính'!$I$14:$I$73,$T221))))</f>
        <v>#REF!</v>
      </c>
      <c r="C221" s="690" t="str">
        <f t="array" ref="C221">IF($S221="","",IF($S221="Lớp 5",INDEX('Lớp 5 - Phân công'!$K$14:$K$262,$T221),IF($S221="Lớp 4",INDEX('Lớp 4 - Danh mục'!$J$14:$J$132,$T221),INDEX('Lớp 3 - Công việc chính'!$I$14:$I$73,$T221))))</f>
        <v>#REF!</v>
      </c>
      <c r="D221" s="690" t="str">
        <f t="array" ref="D221">IF($S221="","",IF($S221="Lớp 5",INDEX('Lớp 5 - Phân công'!$J$14:$J$262,$T221),IF($S221="Lớp 4",INDEX('Lớp 4 - Danh mục'!$I$14:$I$132,$T221),"")))</f>
        <v>#REF!</v>
      </c>
      <c r="E221" s="690" t="str">
        <f t="array" ref="E221">IF($S221="","",IF($S221="Lớp 5",INDEX('Lớp 5 - Phân công'!$L$14:$L$262,$T221),IF($S221="Lớp 4",INDEX('Lớp 4 - Danh mục'!$K$14:$K$132,$T221),INDEX('Lớp 3 - Công việc chính'!$J$14:$J$73,$T221))))</f>
        <v>#REF!</v>
      </c>
      <c r="F221" s="690" t="str">
        <f t="array" ref="F221">IF($S221="","",IF($S221="Lớp 5",INDEX('Lớp 5 - Phân công'!$M$14:$M$262,$T221),IF($S221="Lớp 4",INDEX('Lớp 4 - Danh mục'!$L$14:$L$132,$T221),INDEX('Lớp 3 - Công việc chính'!$K$14:$K$73,$T221))))</f>
        <v>#REF!</v>
      </c>
      <c r="G221" s="691" t="str">
        <f t="array" ref="G221">IF($S221="","",IF($S221="Lớp 5",INDEX('Lớp 5 - Phân công'!$N$14:$N$262,$T221),IF($S221="Lớp 4",INDEX('Lớp 4 - Danh mục'!$M$14:$M$132,$T221),INDEX('Lớp 3 - Công việc chính'!$L$14:$L$73,$T221))))</f>
        <v>#REF!</v>
      </c>
      <c r="H221" s="692" t="str">
        <f t="array" ref="H221">IF($S221="","",IF($S221="Lớp 5",INDEX('Lớp 5 - Phân công'!$O$14:$O$262,$T221),IF($S221="Lớp 4",INDEX('Lớp 4 - Danh mục'!$N$14:$N$132,$T221),INDEX('Lớp 3 - Công việc chính'!$M$14:$M$73,$T221))))</f>
        <v>#REF!</v>
      </c>
      <c r="I221" s="692" t="str">
        <f t="array" ref="I221">IF($S221="","",IF($S221="Lớp 5",INDEX('Lớp 5 - Phân công'!$P$14:$P$262,$T221),IF($S221="Lớp 4",INDEX('Lớp 4 - Danh mục'!$O$14:$O$132,$T221),"")))</f>
        <v>#REF!</v>
      </c>
      <c r="J221" s="693" t="str">
        <f t="array" ref="J221">IF($S221="","",IF($S221="Lớp 5",INDEX('Lớp 5 - Phân công'!$Q$14:$Q$262,$T221),""))</f>
        <v>#REF!</v>
      </c>
      <c r="K221" s="690" t="str">
        <f t="array" ref="K221">IF($S221="","",IF($S221="Lớp 5",INDEX('Lớp 5 - Phân công'!$AA$14:$AA$262,$T221),IF($S221="Lớp 4",INDEX('Lớp 4 - Danh mục'!$Y$14:$Y$132,$T221),INDEX('Lớp 3 - Công việc chính'!$U$14:$U$73,$T221))))</f>
        <v>#REF!</v>
      </c>
      <c r="L221" s="691" t="str">
        <f t="array" ref="L221">IF($S221="","",IF($S221="Lớp 5",INDEX('Lớp 5 - Phân công'!$Z$14:$Z$262,$T221),IF($S221="Lớp 4",INDEX('Lớp 4 - Danh mục'!$X$14:$X$132,$T221),INDEX('Lớp 3 - Công việc chính'!$W$14:$W$73,$T221))))</f>
        <v>#REF!</v>
      </c>
      <c r="M221" s="694" t="str">
        <f t="array" ref="M221">IF($S221="","",IF($S221="Lớp 5",INDEX('Lớp 5 - Phân công'!$AD$14:$AD$262,$T221),IF($S221="Lớp 4",INDEX('Lớp 4 - Danh mục'!$AC$14:$AC$132,$T221),INDEX('Lớp 3 - Công việc chính'!$Z$14:$Z$73,$T221))))</f>
        <v>#REF!</v>
      </c>
      <c r="N221" s="695" t="str">
        <f t="array" ref="N221">IF($S221="","",IF($S221="Lớp 5",INDEX('Lớp 5 - Phân công'!$AE$14:$AE$262,$T221),IF($S221="Lớp 4",INDEX('Lớp 4 - Danh mục'!$AD$14:$AD$132,$T221),INDEX('Lớp 3 - Công việc chính'!$AA$14:$AA$73,$T221))))</f>
        <v>#REF!</v>
      </c>
      <c r="O221" s="690" t="str">
        <f t="array" ref="O221">IF($S221="","",IF($S221="Lớp 5",INDEX('Lớp 5 - Phân công'!$AB$14:$AB$262,$T221),IF($S221="Lớp 4",INDEX('Lớp 4 - Danh mục'!$AA$14:$AA$132,$T221),INDEX('Lớp 3 - Công việc chính'!$X$14:$X$73,$T221))))</f>
        <v>#REF!</v>
      </c>
      <c r="P221" s="703" t="str">
        <f t="array" ref="P221">IF($S221="","",IF($S221="Lớp 5",INDEX('Lớp 5 - Phân công'!$AC$14:$AC$262,$T221),IF($S221="Lớp 4",INDEX('Lớp 4 - Danh mục'!$AB$14:$AB$132,$T221),INDEX('Lớp 3 - Công việc chính'!$Y$14:$Y$73,$T221))))</f>
        <v>#REF!</v>
      </c>
      <c r="Q221" s="697" t="str">
        <f t="array" ref="Q221">IF($S221="","",IF($S221="Lớp 5",INDEX('Lớp 5 - Phân công'!$AG$14:$AG$262,$T221),IF($S221="Lớp 4",INDEX('Lớp 4 - Danh mục'!$AF$14:$AF$132,$T221),INDEX('Lớp 3 - Công việc chính'!$AC$14:$AC$73,$T221))))</f>
        <v>#REF!</v>
      </c>
      <c r="R221" s="698" t="str">
        <f t="array" ref="R221">IF($S221="","",IF($S221="Lớp 5",INDEX('Lớp 5 - Phân công'!$X$14:$X$262,$T221),IF($S221="Lớp 4",INDEX('Lớp 4 - Danh mục'!$V$14:$V$132,$T221),INDEX('Lớp 3 - Công việc chính'!$T$14:$T$73,$T221))))</f>
        <v>#REF!</v>
      </c>
      <c r="S221" s="699" t="str">
        <f>IF(ROWS($S$14:S221)&lt;=COUNTIF('Lớp 5 - Phân công'!$I$14:$I$262,"&lt;&gt;"),"Lớp 5",IF(ROWS($S$14:S221)&lt;=COUNTIF('Lớp 5 - Phân công'!$I$14:$I$262,"&lt;&gt;")+SUMPRODUCT(--('Lớp 4 - Danh mục'!$I$14:$I$132&lt;&gt;""),--(COUNTIF('Lớp 5 - Phân công'!$J$14:$J$262,'Lớp 4 - Danh mục'!$I$14:$I$132)=0)),"Lớp 4",IF(ROWS($S$14:S221)&lt;=COUNTIF('Lớp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1" s="699" t="str">
        <f t="array" ref="T221">IF(S221="","",IF(S221="Lớp 5",IF(S220&lt;&gt;"Lớp 5",MATCH("*",'Lớp 5 - Phân công'!$I$14:$I$262,0),T220+MATCH("*",INDEX('Lớp 5 - Phân công'!$I$14:$I$262,T220+1):'Lớp 5 - Phân công'!$I$262,0)),IF(S221="Lớp 4",IF(S220&lt;&gt;"Lớp 4",MATCH(1,INDEX(('Lớp 4 - Danh mục'!$I$14:$I$132&lt;&gt;"")*(COUNTIF('Lớp 5 - Phân công'!$J$14:$J$262,'Lớp 4 - Danh mục'!$I$14:$I$132)=0),0),0),T220+MATCH(1,INDEX((INDEX('Lớp 4 - Danh mục'!$I$14:$I$132,T220+1):'Lớp 4 - Danh mục'!$I$132&lt;&gt;"")*(COUNTIF('Lớp 5 - Phân công'!$J$14:$J$262,INDEX('Lớp 4 - Danh mục'!$I$14:$I$132,T220+1):'Lớp 4 - Danh mục'!$I$132)=0),0),0)),IF(S220&lt;&gt;"Lớp 3",MATCH(1,INDEX(('Lớp 3 - Công việc chính'!$I$14:$I$73&lt;&gt;"")*(COUNTIF('Lớp 4 - Danh mục'!$J$14:$J$132,'Lớp 3 - Công việc chính'!$I$14:$I$73)=0),0),0),T220+MATCH(1,INDEX((INDEX('Lớp 3 - Công việc chính'!$I$14:$I$73,T220+1):'Lớp 3 - Công việc chính'!$I$73&lt;&gt;"")*(COUNTIF('Lớp 4 - Danh mục'!$J$14:$J$132,INDEX('Lớp 3 - Công việc chính'!$I$14:$I$73,T220+1):'Lớp 3 - Công việc chính'!$I$73)=0),0),0)))))</f>
        <v>#REF!</v>
      </c>
      <c r="Z221" s="700" t="str">
        <f t="array" ref="Z221">IF($S221="","",IF($S221="Lớp 5",INDEX('Lớp 5 - Phân công'!$AS$14:$AS$262,$T221),IF($S221="Lớp 4",INDEX('Lớp 4 - Danh mục'!$AR$14:$AR$132,$T221),INDEX('Lớp 3 - Công việc chính'!$AO$14:$AO$73,$T221))))</f>
        <v>#REF!</v>
      </c>
      <c r="AA221" s="701" t="str">
        <f t="array" ref="AA221">IF($S221="","",IF($S221="Lớp 5",INDEX('Lớp 5 - Phân công'!$AT$14:$AT$262,$T221),IF($S221="Lớp 4",INDEX('Lớp 4 - Danh mục'!$AS$14:$AS$132,$T221),INDEX('Lớp 3 - Công việc chính'!$AP$14:$AP$73,$T221))))</f>
        <v>#REF!</v>
      </c>
      <c r="AB221" s="701" t="str">
        <f t="array" ref="AB221">IF($S221="","",IF($S221="Lớp 5",INDEX('Lớp 5 - Phân công'!$AJ$14:$AJ$262,$T221),IF($S221="Lớp 4",INDEX('Lớp 4 - Danh mục'!$AI$14:$AI$132,$T221),INDEX('Lớp 3 - Công việc chính'!$AF$14:$AF$73,$T221))))</f>
        <v>#REF!</v>
      </c>
      <c r="AC221" s="702" t="str">
        <f t="array" ref="AC221">IF($S221="","",IF($S221="Lớp 5",INDEX('Lớp 5 - Phân công'!$AV$14:$AV$262,$T221),IF($S221="Lớp 4",INDEX('Lớp 4 - Danh mục'!$AU$14:$AU$132,$T221),INDEX('Lớp 3 - Công việc chính'!$AR$14:$AR$73,$T221))))</f>
        <v>#REF!</v>
      </c>
    </row>
    <row r="222" ht="15.75" customHeight="1">
      <c r="A222" s="690" t="str">
        <f t="shared" si="1"/>
        <v>#REF!</v>
      </c>
      <c r="B222" s="690" t="str">
        <f t="array" ref="B222">IF($S222="","",IF($S222="Lớp 5",INDEX('Lớp 5 - Phân công'!$I$14:$I$262,$T222),IF($S222="Lớp 4",INDEX('Lớp 4 - Danh mục'!$I$14:$I$132,$T222),INDEX('Lớp 3 - Công việc chính'!$I$14:$I$73,$T222))))</f>
        <v>#REF!</v>
      </c>
      <c r="C222" s="690" t="str">
        <f t="array" ref="C222">IF($S222="","",IF($S222="Lớp 5",INDEX('Lớp 5 - Phân công'!$K$14:$K$262,$T222),IF($S222="Lớp 4",INDEX('Lớp 4 - Danh mục'!$J$14:$J$132,$T222),INDEX('Lớp 3 - Công việc chính'!$I$14:$I$73,$T222))))</f>
        <v>#REF!</v>
      </c>
      <c r="D222" s="690" t="str">
        <f t="array" ref="D222">IF($S222="","",IF($S222="Lớp 5",INDEX('Lớp 5 - Phân công'!$J$14:$J$262,$T222),IF($S222="Lớp 4",INDEX('Lớp 4 - Danh mục'!$I$14:$I$132,$T222),"")))</f>
        <v>#REF!</v>
      </c>
      <c r="E222" s="690" t="str">
        <f t="array" ref="E222">IF($S222="","",IF($S222="Lớp 5",INDEX('Lớp 5 - Phân công'!$L$14:$L$262,$T222),IF($S222="Lớp 4",INDEX('Lớp 4 - Danh mục'!$K$14:$K$132,$T222),INDEX('Lớp 3 - Công việc chính'!$J$14:$J$73,$T222))))</f>
        <v>#REF!</v>
      </c>
      <c r="F222" s="690" t="str">
        <f t="array" ref="F222">IF($S222="","",IF($S222="Lớp 5",INDEX('Lớp 5 - Phân công'!$M$14:$M$262,$T222),IF($S222="Lớp 4",INDEX('Lớp 4 - Danh mục'!$L$14:$L$132,$T222),INDEX('Lớp 3 - Công việc chính'!$K$14:$K$73,$T222))))</f>
        <v>#REF!</v>
      </c>
      <c r="G222" s="691" t="str">
        <f t="array" ref="G222">IF($S222="","",IF($S222="Lớp 5",INDEX('Lớp 5 - Phân công'!$N$14:$N$262,$T222),IF($S222="Lớp 4",INDEX('Lớp 4 - Danh mục'!$M$14:$M$132,$T222),INDEX('Lớp 3 - Công việc chính'!$L$14:$L$73,$T222))))</f>
        <v>#REF!</v>
      </c>
      <c r="H222" s="692" t="str">
        <f t="array" ref="H222">IF($S222="","",IF($S222="Lớp 5",INDEX('Lớp 5 - Phân công'!$O$14:$O$262,$T222),IF($S222="Lớp 4",INDEX('Lớp 4 - Danh mục'!$N$14:$N$132,$T222),INDEX('Lớp 3 - Công việc chính'!$M$14:$M$73,$T222))))</f>
        <v>#REF!</v>
      </c>
      <c r="I222" s="692" t="str">
        <f t="array" ref="I222">IF($S222="","",IF($S222="Lớp 5",INDEX('Lớp 5 - Phân công'!$P$14:$P$262,$T222),IF($S222="Lớp 4",INDEX('Lớp 4 - Danh mục'!$O$14:$O$132,$T222),"")))</f>
        <v>#REF!</v>
      </c>
      <c r="J222" s="693" t="str">
        <f t="array" ref="J222">IF($S222="","",IF($S222="Lớp 5",INDEX('Lớp 5 - Phân công'!$Q$14:$Q$262,$T222),""))</f>
        <v>#REF!</v>
      </c>
      <c r="K222" s="690" t="str">
        <f t="array" ref="K222">IF($S222="","",IF($S222="Lớp 5",INDEX('Lớp 5 - Phân công'!$AA$14:$AA$262,$T222),IF($S222="Lớp 4",INDEX('Lớp 4 - Danh mục'!$Y$14:$Y$132,$T222),INDEX('Lớp 3 - Công việc chính'!$U$14:$U$73,$T222))))</f>
        <v>#REF!</v>
      </c>
      <c r="L222" s="691" t="str">
        <f t="array" ref="L222">IF($S222="","",IF($S222="Lớp 5",INDEX('Lớp 5 - Phân công'!$Z$14:$Z$262,$T222),IF($S222="Lớp 4",INDEX('Lớp 4 - Danh mục'!$X$14:$X$132,$T222),INDEX('Lớp 3 - Công việc chính'!$W$14:$W$73,$T222))))</f>
        <v>#REF!</v>
      </c>
      <c r="M222" s="694" t="str">
        <f t="array" ref="M222">IF($S222="","",IF($S222="Lớp 5",INDEX('Lớp 5 - Phân công'!$AD$14:$AD$262,$T222),IF($S222="Lớp 4",INDEX('Lớp 4 - Danh mục'!$AC$14:$AC$132,$T222),INDEX('Lớp 3 - Công việc chính'!$Z$14:$Z$73,$T222))))</f>
        <v>#REF!</v>
      </c>
      <c r="N222" s="695" t="str">
        <f t="array" ref="N222">IF($S222="","",IF($S222="Lớp 5",INDEX('Lớp 5 - Phân công'!$AE$14:$AE$262,$T222),IF($S222="Lớp 4",INDEX('Lớp 4 - Danh mục'!$AD$14:$AD$132,$T222),INDEX('Lớp 3 - Công việc chính'!$AA$14:$AA$73,$T222))))</f>
        <v>#REF!</v>
      </c>
      <c r="O222" s="690" t="str">
        <f t="array" ref="O222">IF($S222="","",IF($S222="Lớp 5",INDEX('Lớp 5 - Phân công'!$AB$14:$AB$262,$T222),IF($S222="Lớp 4",INDEX('Lớp 4 - Danh mục'!$AA$14:$AA$132,$T222),INDEX('Lớp 3 - Công việc chính'!$X$14:$X$73,$T222))))</f>
        <v>#REF!</v>
      </c>
      <c r="P222" s="703" t="str">
        <f t="array" ref="P222">IF($S222="","",IF($S222="Lớp 5",INDEX('Lớp 5 - Phân công'!$AC$14:$AC$262,$T222),IF($S222="Lớp 4",INDEX('Lớp 4 - Danh mục'!$AB$14:$AB$132,$T222),INDEX('Lớp 3 - Công việc chính'!$Y$14:$Y$73,$T222))))</f>
        <v>#REF!</v>
      </c>
      <c r="Q222" s="697" t="str">
        <f t="array" ref="Q222">IF($S222="","",IF($S222="Lớp 5",INDEX('Lớp 5 - Phân công'!$AG$14:$AG$262,$T222),IF($S222="Lớp 4",INDEX('Lớp 4 - Danh mục'!$AF$14:$AF$132,$T222),INDEX('Lớp 3 - Công việc chính'!$AC$14:$AC$73,$T222))))</f>
        <v>#REF!</v>
      </c>
      <c r="R222" s="698" t="str">
        <f t="array" ref="R222">IF($S222="","",IF($S222="Lớp 5",INDEX('Lớp 5 - Phân công'!$X$14:$X$262,$T222),IF($S222="Lớp 4",INDEX('Lớp 4 - Danh mục'!$V$14:$V$132,$T222),INDEX('Lớp 3 - Công việc chính'!$T$14:$T$73,$T222))))</f>
        <v>#REF!</v>
      </c>
      <c r="S222" s="699" t="str">
        <f>IF(ROWS($S$14:S222)&lt;=COUNTIF('Lớp 5 - Phân công'!$I$14:$I$262,"&lt;&gt;"),"Lớp 5",IF(ROWS($S$14:S222)&lt;=COUNTIF('Lớp 5 - Phân công'!$I$14:$I$262,"&lt;&gt;")+SUMPRODUCT(--('Lớp 4 - Danh mục'!$I$14:$I$132&lt;&gt;""),--(COUNTIF('Lớp 5 - Phân công'!$J$14:$J$262,'Lớp 4 - Danh mục'!$I$14:$I$132)=0)),"Lớp 4",IF(ROWS($S$14:S222)&lt;=COUNTIF('Lớp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2" s="699" t="str">
        <f t="array" ref="T222">IF(S222="","",IF(S222="Lớp 5",IF(S221&lt;&gt;"Lớp 5",MATCH("*",'Lớp 5 - Phân công'!$I$14:$I$262,0),T221+MATCH("*",INDEX('Lớp 5 - Phân công'!$I$14:$I$262,T221+1):'Lớp 5 - Phân công'!$I$262,0)),IF(S222="Lớp 4",IF(S221&lt;&gt;"Lớp 4",MATCH(1,INDEX(('Lớp 4 - Danh mục'!$I$14:$I$132&lt;&gt;"")*(COUNTIF('Lớp 5 - Phân công'!$J$14:$J$262,'Lớp 4 - Danh mục'!$I$14:$I$132)=0),0),0),T221+MATCH(1,INDEX((INDEX('Lớp 4 - Danh mục'!$I$14:$I$132,T221+1):'Lớp 4 - Danh mục'!$I$132&lt;&gt;"")*(COUNTIF('Lớp 5 - Phân công'!$J$14:$J$262,INDEX('Lớp 4 - Danh mục'!$I$14:$I$132,T221+1):'Lớp 4 - Danh mục'!$I$132)=0),0),0)),IF(S221&lt;&gt;"Lớp 3",MATCH(1,INDEX(('Lớp 3 - Công việc chính'!$I$14:$I$73&lt;&gt;"")*(COUNTIF('Lớp 4 - Danh mục'!$J$14:$J$132,'Lớp 3 - Công việc chính'!$I$14:$I$73)=0),0),0),T221+MATCH(1,INDEX((INDEX('Lớp 3 - Công việc chính'!$I$14:$I$73,T221+1):'Lớp 3 - Công việc chính'!$I$73&lt;&gt;"")*(COUNTIF('Lớp 4 - Danh mục'!$J$14:$J$132,INDEX('Lớp 3 - Công việc chính'!$I$14:$I$73,T221+1):'Lớp 3 - Công việc chính'!$I$73)=0),0),0)))))</f>
        <v>#REF!</v>
      </c>
      <c r="Z222" s="700" t="str">
        <f t="array" ref="Z222">IF($S222="","",IF($S222="Lớp 5",INDEX('Lớp 5 - Phân công'!$AS$14:$AS$262,$T222),IF($S222="Lớp 4",INDEX('Lớp 4 - Danh mục'!$AR$14:$AR$132,$T222),INDEX('Lớp 3 - Công việc chính'!$AO$14:$AO$73,$T222))))</f>
        <v>#REF!</v>
      </c>
      <c r="AA222" s="701" t="str">
        <f t="array" ref="AA222">IF($S222="","",IF($S222="Lớp 5",INDEX('Lớp 5 - Phân công'!$AT$14:$AT$262,$T222),IF($S222="Lớp 4",INDEX('Lớp 4 - Danh mục'!$AS$14:$AS$132,$T222),INDEX('Lớp 3 - Công việc chính'!$AP$14:$AP$73,$T222))))</f>
        <v>#REF!</v>
      </c>
      <c r="AB222" s="701" t="str">
        <f t="array" ref="AB222">IF($S222="","",IF($S222="Lớp 5",INDEX('Lớp 5 - Phân công'!$AJ$14:$AJ$262,$T222),IF($S222="Lớp 4",INDEX('Lớp 4 - Danh mục'!$AI$14:$AI$132,$T222),INDEX('Lớp 3 - Công việc chính'!$AF$14:$AF$73,$T222))))</f>
        <v>#REF!</v>
      </c>
      <c r="AC222" s="702" t="str">
        <f t="array" ref="AC222">IF($S222="","",IF($S222="Lớp 5",INDEX('Lớp 5 - Phân công'!$AV$14:$AV$262,$T222),IF($S222="Lớp 4",INDEX('Lớp 4 - Danh mục'!$AU$14:$AU$132,$T222),INDEX('Lớp 3 - Công việc chính'!$AR$14:$AR$73,$T222))))</f>
        <v>#REF!</v>
      </c>
    </row>
    <row r="223" ht="15.75" customHeight="1">
      <c r="A223" s="690" t="str">
        <f t="shared" si="1"/>
        <v>#REF!</v>
      </c>
      <c r="B223" s="690" t="str">
        <f t="array" ref="B223">IF($S223="","",IF($S223="Lớp 5",INDEX('Lớp 5 - Phân công'!$I$14:$I$262,$T223),IF($S223="Lớp 4",INDEX('Lớp 4 - Danh mục'!$I$14:$I$132,$T223),INDEX('Lớp 3 - Công việc chính'!$I$14:$I$73,$T223))))</f>
        <v>#REF!</v>
      </c>
      <c r="C223" s="690" t="str">
        <f t="array" ref="C223">IF($S223="","",IF($S223="Lớp 5",INDEX('Lớp 5 - Phân công'!$K$14:$K$262,$T223),IF($S223="Lớp 4",INDEX('Lớp 4 - Danh mục'!$J$14:$J$132,$T223),INDEX('Lớp 3 - Công việc chính'!$I$14:$I$73,$T223))))</f>
        <v>#REF!</v>
      </c>
      <c r="D223" s="690" t="str">
        <f t="array" ref="D223">IF($S223="","",IF($S223="Lớp 5",INDEX('Lớp 5 - Phân công'!$J$14:$J$262,$T223),IF($S223="Lớp 4",INDEX('Lớp 4 - Danh mục'!$I$14:$I$132,$T223),"")))</f>
        <v>#REF!</v>
      </c>
      <c r="E223" s="690" t="str">
        <f t="array" ref="E223">IF($S223="","",IF($S223="Lớp 5",INDEX('Lớp 5 - Phân công'!$L$14:$L$262,$T223),IF($S223="Lớp 4",INDEX('Lớp 4 - Danh mục'!$K$14:$K$132,$T223),INDEX('Lớp 3 - Công việc chính'!$J$14:$J$73,$T223))))</f>
        <v>#REF!</v>
      </c>
      <c r="F223" s="690" t="str">
        <f t="array" ref="F223">IF($S223="","",IF($S223="Lớp 5",INDEX('Lớp 5 - Phân công'!$M$14:$M$262,$T223),IF($S223="Lớp 4",INDEX('Lớp 4 - Danh mục'!$L$14:$L$132,$T223),INDEX('Lớp 3 - Công việc chính'!$K$14:$K$73,$T223))))</f>
        <v>#REF!</v>
      </c>
      <c r="G223" s="691" t="str">
        <f t="array" ref="G223">IF($S223="","",IF($S223="Lớp 5",INDEX('Lớp 5 - Phân công'!$N$14:$N$262,$T223),IF($S223="Lớp 4",INDEX('Lớp 4 - Danh mục'!$M$14:$M$132,$T223),INDEX('Lớp 3 - Công việc chính'!$L$14:$L$73,$T223))))</f>
        <v>#REF!</v>
      </c>
      <c r="H223" s="692" t="str">
        <f t="array" ref="H223">IF($S223="","",IF($S223="Lớp 5",INDEX('Lớp 5 - Phân công'!$O$14:$O$262,$T223),IF($S223="Lớp 4",INDEX('Lớp 4 - Danh mục'!$N$14:$N$132,$T223),INDEX('Lớp 3 - Công việc chính'!$M$14:$M$73,$T223))))</f>
        <v>#REF!</v>
      </c>
      <c r="I223" s="692" t="str">
        <f t="array" ref="I223">IF($S223="","",IF($S223="Lớp 5",INDEX('Lớp 5 - Phân công'!$P$14:$P$262,$T223),IF($S223="Lớp 4",INDEX('Lớp 4 - Danh mục'!$O$14:$O$132,$T223),"")))</f>
        <v>#REF!</v>
      </c>
      <c r="J223" s="693" t="str">
        <f t="array" ref="J223">IF($S223="","",IF($S223="Lớp 5",INDEX('Lớp 5 - Phân công'!$Q$14:$Q$262,$T223),""))</f>
        <v>#REF!</v>
      </c>
      <c r="K223" s="690" t="str">
        <f t="array" ref="K223">IF($S223="","",IF($S223="Lớp 5",INDEX('Lớp 5 - Phân công'!$AA$14:$AA$262,$T223),IF($S223="Lớp 4",INDEX('Lớp 4 - Danh mục'!$Y$14:$Y$132,$T223),INDEX('Lớp 3 - Công việc chính'!$U$14:$U$73,$T223))))</f>
        <v>#REF!</v>
      </c>
      <c r="L223" s="691" t="str">
        <f t="array" ref="L223">IF($S223="","",IF($S223="Lớp 5",INDEX('Lớp 5 - Phân công'!$Z$14:$Z$262,$T223),IF($S223="Lớp 4",INDEX('Lớp 4 - Danh mục'!$X$14:$X$132,$T223),INDEX('Lớp 3 - Công việc chính'!$W$14:$W$73,$T223))))</f>
        <v>#REF!</v>
      </c>
      <c r="M223" s="694" t="str">
        <f t="array" ref="M223">IF($S223="","",IF($S223="Lớp 5",INDEX('Lớp 5 - Phân công'!$AD$14:$AD$262,$T223),IF($S223="Lớp 4",INDEX('Lớp 4 - Danh mục'!$AC$14:$AC$132,$T223),INDEX('Lớp 3 - Công việc chính'!$Z$14:$Z$73,$T223))))</f>
        <v>#REF!</v>
      </c>
      <c r="N223" s="695" t="str">
        <f t="array" ref="N223">IF($S223="","",IF($S223="Lớp 5",INDEX('Lớp 5 - Phân công'!$AE$14:$AE$262,$T223),IF($S223="Lớp 4",INDEX('Lớp 4 - Danh mục'!$AD$14:$AD$132,$T223),INDEX('Lớp 3 - Công việc chính'!$AA$14:$AA$73,$T223))))</f>
        <v>#REF!</v>
      </c>
      <c r="O223" s="690" t="str">
        <f t="array" ref="O223">IF($S223="","",IF($S223="Lớp 5",INDEX('Lớp 5 - Phân công'!$AB$14:$AB$262,$T223),IF($S223="Lớp 4",INDEX('Lớp 4 - Danh mục'!$AA$14:$AA$132,$T223),INDEX('Lớp 3 - Công việc chính'!$X$14:$X$73,$T223))))</f>
        <v>#REF!</v>
      </c>
      <c r="P223" s="703" t="str">
        <f t="array" ref="P223">IF($S223="","",IF($S223="Lớp 5",INDEX('Lớp 5 - Phân công'!$AC$14:$AC$262,$T223),IF($S223="Lớp 4",INDEX('Lớp 4 - Danh mục'!$AB$14:$AB$132,$T223),INDEX('Lớp 3 - Công việc chính'!$Y$14:$Y$73,$T223))))</f>
        <v>#REF!</v>
      </c>
      <c r="Q223" s="697" t="str">
        <f t="array" ref="Q223">IF($S223="","",IF($S223="Lớp 5",INDEX('Lớp 5 - Phân công'!$AG$14:$AG$262,$T223),IF($S223="Lớp 4",INDEX('Lớp 4 - Danh mục'!$AF$14:$AF$132,$T223),INDEX('Lớp 3 - Công việc chính'!$AC$14:$AC$73,$T223))))</f>
        <v>#REF!</v>
      </c>
      <c r="R223" s="698" t="str">
        <f t="array" ref="R223">IF($S223="","",IF($S223="Lớp 5",INDEX('Lớp 5 - Phân công'!$X$14:$X$262,$T223),IF($S223="Lớp 4",INDEX('Lớp 4 - Danh mục'!$V$14:$V$132,$T223),INDEX('Lớp 3 - Công việc chính'!$T$14:$T$73,$T223))))</f>
        <v>#REF!</v>
      </c>
      <c r="S223" s="699" t="str">
        <f>IF(ROWS($S$14:S223)&lt;=COUNTIF('Lớp 5 - Phân công'!$I$14:$I$262,"&lt;&gt;"),"Lớp 5",IF(ROWS($S$14:S223)&lt;=COUNTIF('Lớp 5 - Phân công'!$I$14:$I$262,"&lt;&gt;")+SUMPRODUCT(--('Lớp 4 - Danh mục'!$I$14:$I$132&lt;&gt;""),--(COUNTIF('Lớp 5 - Phân công'!$J$14:$J$262,'Lớp 4 - Danh mục'!$I$14:$I$132)=0)),"Lớp 4",IF(ROWS($S$14:S223)&lt;=COUNTIF('Lớp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3" s="699" t="str">
        <f t="array" ref="T223">IF(S223="","",IF(S223="Lớp 5",IF(S222&lt;&gt;"Lớp 5",MATCH("*",'Lớp 5 - Phân công'!$I$14:$I$262,0),T222+MATCH("*",INDEX('Lớp 5 - Phân công'!$I$14:$I$262,T222+1):'Lớp 5 - Phân công'!$I$262,0)),IF(S223="Lớp 4",IF(S222&lt;&gt;"Lớp 4",MATCH(1,INDEX(('Lớp 4 - Danh mục'!$I$14:$I$132&lt;&gt;"")*(COUNTIF('Lớp 5 - Phân công'!$J$14:$J$262,'Lớp 4 - Danh mục'!$I$14:$I$132)=0),0),0),T222+MATCH(1,INDEX((INDEX('Lớp 4 - Danh mục'!$I$14:$I$132,T222+1):'Lớp 4 - Danh mục'!$I$132&lt;&gt;"")*(COUNTIF('Lớp 5 - Phân công'!$J$14:$J$262,INDEX('Lớp 4 - Danh mục'!$I$14:$I$132,T222+1):'Lớp 4 - Danh mục'!$I$132)=0),0),0)),IF(S222&lt;&gt;"Lớp 3",MATCH(1,INDEX(('Lớp 3 - Công việc chính'!$I$14:$I$73&lt;&gt;"")*(COUNTIF('Lớp 4 - Danh mục'!$J$14:$J$132,'Lớp 3 - Công việc chính'!$I$14:$I$73)=0),0),0),T222+MATCH(1,INDEX((INDEX('Lớp 3 - Công việc chính'!$I$14:$I$73,T222+1):'Lớp 3 - Công việc chính'!$I$73&lt;&gt;"")*(COUNTIF('Lớp 4 - Danh mục'!$J$14:$J$132,INDEX('Lớp 3 - Công việc chính'!$I$14:$I$73,T222+1):'Lớp 3 - Công việc chính'!$I$73)=0),0),0)))))</f>
        <v>#REF!</v>
      </c>
      <c r="Z223" s="700" t="str">
        <f t="array" ref="Z223">IF($S223="","",IF($S223="Lớp 5",INDEX('Lớp 5 - Phân công'!$AS$14:$AS$262,$T223),IF($S223="Lớp 4",INDEX('Lớp 4 - Danh mục'!$AR$14:$AR$132,$T223),INDEX('Lớp 3 - Công việc chính'!$AO$14:$AO$73,$T223))))</f>
        <v>#REF!</v>
      </c>
      <c r="AA223" s="701" t="str">
        <f t="array" ref="AA223">IF($S223="","",IF($S223="Lớp 5",INDEX('Lớp 5 - Phân công'!$AT$14:$AT$262,$T223),IF($S223="Lớp 4",INDEX('Lớp 4 - Danh mục'!$AS$14:$AS$132,$T223),INDEX('Lớp 3 - Công việc chính'!$AP$14:$AP$73,$T223))))</f>
        <v>#REF!</v>
      </c>
      <c r="AB223" s="701" t="str">
        <f t="array" ref="AB223">IF($S223="","",IF($S223="Lớp 5",INDEX('Lớp 5 - Phân công'!$AJ$14:$AJ$262,$T223),IF($S223="Lớp 4",INDEX('Lớp 4 - Danh mục'!$AI$14:$AI$132,$T223),INDEX('Lớp 3 - Công việc chính'!$AF$14:$AF$73,$T223))))</f>
        <v>#REF!</v>
      </c>
      <c r="AC223" s="702" t="str">
        <f t="array" ref="AC223">IF($S223="","",IF($S223="Lớp 5",INDEX('Lớp 5 - Phân công'!$AV$14:$AV$262,$T223),IF($S223="Lớp 4",INDEX('Lớp 4 - Danh mục'!$AU$14:$AU$132,$T223),INDEX('Lớp 3 - Công việc chính'!$AR$14:$AR$73,$T223))))</f>
        <v>#REF!</v>
      </c>
    </row>
    <row r="224" ht="15.75" customHeight="1">
      <c r="A224" s="690" t="str">
        <f t="shared" si="1"/>
        <v>#REF!</v>
      </c>
      <c r="B224" s="690" t="str">
        <f t="array" ref="B224">IF($S224="","",IF($S224="Lớp 5",INDEX('Lớp 5 - Phân công'!$I$14:$I$262,$T224),IF($S224="Lớp 4",INDEX('Lớp 4 - Danh mục'!$I$14:$I$132,$T224),INDEX('Lớp 3 - Công việc chính'!$I$14:$I$73,$T224))))</f>
        <v>#REF!</v>
      </c>
      <c r="C224" s="690" t="str">
        <f t="array" ref="C224">IF($S224="","",IF($S224="Lớp 5",INDEX('Lớp 5 - Phân công'!$K$14:$K$262,$T224),IF($S224="Lớp 4",INDEX('Lớp 4 - Danh mục'!$J$14:$J$132,$T224),INDEX('Lớp 3 - Công việc chính'!$I$14:$I$73,$T224))))</f>
        <v>#REF!</v>
      </c>
      <c r="D224" s="690" t="str">
        <f t="array" ref="D224">IF($S224="","",IF($S224="Lớp 5",INDEX('Lớp 5 - Phân công'!$J$14:$J$262,$T224),IF($S224="Lớp 4",INDEX('Lớp 4 - Danh mục'!$I$14:$I$132,$T224),"")))</f>
        <v>#REF!</v>
      </c>
      <c r="E224" s="690" t="str">
        <f t="array" ref="E224">IF($S224="","",IF($S224="Lớp 5",INDEX('Lớp 5 - Phân công'!$L$14:$L$262,$T224),IF($S224="Lớp 4",INDEX('Lớp 4 - Danh mục'!$K$14:$K$132,$T224),INDEX('Lớp 3 - Công việc chính'!$J$14:$J$73,$T224))))</f>
        <v>#REF!</v>
      </c>
      <c r="F224" s="690" t="str">
        <f t="array" ref="F224">IF($S224="","",IF($S224="Lớp 5",INDEX('Lớp 5 - Phân công'!$M$14:$M$262,$T224),IF($S224="Lớp 4",INDEX('Lớp 4 - Danh mục'!$L$14:$L$132,$T224),INDEX('Lớp 3 - Công việc chính'!$K$14:$K$73,$T224))))</f>
        <v>#REF!</v>
      </c>
      <c r="G224" s="691" t="str">
        <f t="array" ref="G224">IF($S224="","",IF($S224="Lớp 5",INDEX('Lớp 5 - Phân công'!$N$14:$N$262,$T224),IF($S224="Lớp 4",INDEX('Lớp 4 - Danh mục'!$M$14:$M$132,$T224),INDEX('Lớp 3 - Công việc chính'!$L$14:$L$73,$T224))))</f>
        <v>#REF!</v>
      </c>
      <c r="H224" s="692" t="str">
        <f t="array" ref="H224">IF($S224="","",IF($S224="Lớp 5",INDEX('Lớp 5 - Phân công'!$O$14:$O$262,$T224),IF($S224="Lớp 4",INDEX('Lớp 4 - Danh mục'!$N$14:$N$132,$T224),INDEX('Lớp 3 - Công việc chính'!$M$14:$M$73,$T224))))</f>
        <v>#REF!</v>
      </c>
      <c r="I224" s="692" t="str">
        <f t="array" ref="I224">IF($S224="","",IF($S224="Lớp 5",INDEX('Lớp 5 - Phân công'!$P$14:$P$262,$T224),IF($S224="Lớp 4",INDEX('Lớp 4 - Danh mục'!$O$14:$O$132,$T224),"")))</f>
        <v>#REF!</v>
      </c>
      <c r="J224" s="693" t="str">
        <f t="array" ref="J224">IF($S224="","",IF($S224="Lớp 5",INDEX('Lớp 5 - Phân công'!$Q$14:$Q$262,$T224),""))</f>
        <v>#REF!</v>
      </c>
      <c r="K224" s="690" t="str">
        <f t="array" ref="K224">IF($S224="","",IF($S224="Lớp 5",INDEX('Lớp 5 - Phân công'!$AA$14:$AA$262,$T224),IF($S224="Lớp 4",INDEX('Lớp 4 - Danh mục'!$Y$14:$Y$132,$T224),INDEX('Lớp 3 - Công việc chính'!$U$14:$U$73,$T224))))</f>
        <v>#REF!</v>
      </c>
      <c r="L224" s="691" t="str">
        <f t="array" ref="L224">IF($S224="","",IF($S224="Lớp 5",INDEX('Lớp 5 - Phân công'!$Z$14:$Z$262,$T224),IF($S224="Lớp 4",INDEX('Lớp 4 - Danh mục'!$X$14:$X$132,$T224),INDEX('Lớp 3 - Công việc chính'!$W$14:$W$73,$T224))))</f>
        <v>#REF!</v>
      </c>
      <c r="M224" s="694" t="str">
        <f t="array" ref="M224">IF($S224="","",IF($S224="Lớp 5",INDEX('Lớp 5 - Phân công'!$AD$14:$AD$262,$T224),IF($S224="Lớp 4",INDEX('Lớp 4 - Danh mục'!$AC$14:$AC$132,$T224),INDEX('Lớp 3 - Công việc chính'!$Z$14:$Z$73,$T224))))</f>
        <v>#REF!</v>
      </c>
      <c r="N224" s="695" t="str">
        <f t="array" ref="N224">IF($S224="","",IF($S224="Lớp 5",INDEX('Lớp 5 - Phân công'!$AE$14:$AE$262,$T224),IF($S224="Lớp 4",INDEX('Lớp 4 - Danh mục'!$AD$14:$AD$132,$T224),INDEX('Lớp 3 - Công việc chính'!$AA$14:$AA$73,$T224))))</f>
        <v>#REF!</v>
      </c>
      <c r="O224" s="690" t="str">
        <f t="array" ref="O224">IF($S224="","",IF($S224="Lớp 5",INDEX('Lớp 5 - Phân công'!$AB$14:$AB$262,$T224),IF($S224="Lớp 4",INDEX('Lớp 4 - Danh mục'!$AA$14:$AA$132,$T224),INDEX('Lớp 3 - Công việc chính'!$X$14:$X$73,$T224))))</f>
        <v>#REF!</v>
      </c>
      <c r="P224" s="703" t="str">
        <f t="array" ref="P224">IF($S224="","",IF($S224="Lớp 5",INDEX('Lớp 5 - Phân công'!$AC$14:$AC$262,$T224),IF($S224="Lớp 4",INDEX('Lớp 4 - Danh mục'!$AB$14:$AB$132,$T224),INDEX('Lớp 3 - Công việc chính'!$Y$14:$Y$73,$T224))))</f>
        <v>#REF!</v>
      </c>
      <c r="Q224" s="697" t="str">
        <f t="array" ref="Q224">IF($S224="","",IF($S224="Lớp 5",INDEX('Lớp 5 - Phân công'!$AG$14:$AG$262,$T224),IF($S224="Lớp 4",INDEX('Lớp 4 - Danh mục'!$AF$14:$AF$132,$T224),INDEX('Lớp 3 - Công việc chính'!$AC$14:$AC$73,$T224))))</f>
        <v>#REF!</v>
      </c>
      <c r="R224" s="698" t="str">
        <f t="array" ref="R224">IF($S224="","",IF($S224="Lớp 5",INDEX('Lớp 5 - Phân công'!$X$14:$X$262,$T224),IF($S224="Lớp 4",INDEX('Lớp 4 - Danh mục'!$V$14:$V$132,$T224),INDEX('Lớp 3 - Công việc chính'!$T$14:$T$73,$T224))))</f>
        <v>#REF!</v>
      </c>
      <c r="S224" s="699" t="str">
        <f>IF(ROWS($S$14:S224)&lt;=COUNTIF('Lớp 5 - Phân công'!$I$14:$I$262,"&lt;&gt;"),"Lớp 5",IF(ROWS($S$14:S224)&lt;=COUNTIF('Lớp 5 - Phân công'!$I$14:$I$262,"&lt;&gt;")+SUMPRODUCT(--('Lớp 4 - Danh mục'!$I$14:$I$132&lt;&gt;""),--(COUNTIF('Lớp 5 - Phân công'!$J$14:$J$262,'Lớp 4 - Danh mục'!$I$14:$I$132)=0)),"Lớp 4",IF(ROWS($S$14:S224)&lt;=COUNTIF('Lớp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4" s="699" t="str">
        <f t="array" ref="T224">IF(S224="","",IF(S224="Lớp 5",IF(S223&lt;&gt;"Lớp 5",MATCH("*",'Lớp 5 - Phân công'!$I$14:$I$262,0),T223+MATCH("*",INDEX('Lớp 5 - Phân công'!$I$14:$I$262,T223+1):'Lớp 5 - Phân công'!$I$262,0)),IF(S224="Lớp 4",IF(S223&lt;&gt;"Lớp 4",MATCH(1,INDEX(('Lớp 4 - Danh mục'!$I$14:$I$132&lt;&gt;"")*(COUNTIF('Lớp 5 - Phân công'!$J$14:$J$262,'Lớp 4 - Danh mục'!$I$14:$I$132)=0),0),0),T223+MATCH(1,INDEX((INDEX('Lớp 4 - Danh mục'!$I$14:$I$132,T223+1):'Lớp 4 - Danh mục'!$I$132&lt;&gt;"")*(COUNTIF('Lớp 5 - Phân công'!$J$14:$J$262,INDEX('Lớp 4 - Danh mục'!$I$14:$I$132,T223+1):'Lớp 4 - Danh mục'!$I$132)=0),0),0)),IF(S223&lt;&gt;"Lớp 3",MATCH(1,INDEX(('Lớp 3 - Công việc chính'!$I$14:$I$73&lt;&gt;"")*(COUNTIF('Lớp 4 - Danh mục'!$J$14:$J$132,'Lớp 3 - Công việc chính'!$I$14:$I$73)=0),0),0),T223+MATCH(1,INDEX((INDEX('Lớp 3 - Công việc chính'!$I$14:$I$73,T223+1):'Lớp 3 - Công việc chính'!$I$73&lt;&gt;"")*(COUNTIF('Lớp 4 - Danh mục'!$J$14:$J$132,INDEX('Lớp 3 - Công việc chính'!$I$14:$I$73,T223+1):'Lớp 3 - Công việc chính'!$I$73)=0),0),0)))))</f>
        <v>#REF!</v>
      </c>
      <c r="Z224" s="700" t="str">
        <f t="array" ref="Z224">IF($S224="","",IF($S224="Lớp 5",INDEX('Lớp 5 - Phân công'!$AS$14:$AS$262,$T224),IF($S224="Lớp 4",INDEX('Lớp 4 - Danh mục'!$AR$14:$AR$132,$T224),INDEX('Lớp 3 - Công việc chính'!$AO$14:$AO$73,$T224))))</f>
        <v>#REF!</v>
      </c>
      <c r="AA224" s="701" t="str">
        <f t="array" ref="AA224">IF($S224="","",IF($S224="Lớp 5",INDEX('Lớp 5 - Phân công'!$AT$14:$AT$262,$T224),IF($S224="Lớp 4",INDEX('Lớp 4 - Danh mục'!$AS$14:$AS$132,$T224),INDEX('Lớp 3 - Công việc chính'!$AP$14:$AP$73,$T224))))</f>
        <v>#REF!</v>
      </c>
      <c r="AB224" s="701" t="str">
        <f t="array" ref="AB224">IF($S224="","",IF($S224="Lớp 5",INDEX('Lớp 5 - Phân công'!$AJ$14:$AJ$262,$T224),IF($S224="Lớp 4",INDEX('Lớp 4 - Danh mục'!$AI$14:$AI$132,$T224),INDEX('Lớp 3 - Công việc chính'!$AF$14:$AF$73,$T224))))</f>
        <v>#REF!</v>
      </c>
      <c r="AC224" s="702" t="str">
        <f t="array" ref="AC224">IF($S224="","",IF($S224="Lớp 5",INDEX('Lớp 5 - Phân công'!$AV$14:$AV$262,$T224),IF($S224="Lớp 4",INDEX('Lớp 4 - Danh mục'!$AU$14:$AU$132,$T224),INDEX('Lớp 3 - Công việc chính'!$AR$14:$AR$73,$T224))))</f>
        <v>#REF!</v>
      </c>
    </row>
    <row r="225" ht="15.75" customHeight="1">
      <c r="A225" s="690" t="str">
        <f t="shared" si="1"/>
        <v>#REF!</v>
      </c>
      <c r="B225" s="690" t="str">
        <f t="array" ref="B225">IF($S225="","",IF($S225="Lớp 5",INDEX('Lớp 5 - Phân công'!$I$14:$I$262,$T225),IF($S225="Lớp 4",INDEX('Lớp 4 - Danh mục'!$I$14:$I$132,$T225),INDEX('Lớp 3 - Công việc chính'!$I$14:$I$73,$T225))))</f>
        <v>#REF!</v>
      </c>
      <c r="C225" s="690" t="str">
        <f t="array" ref="C225">IF($S225="","",IF($S225="Lớp 5",INDEX('Lớp 5 - Phân công'!$K$14:$K$262,$T225),IF($S225="Lớp 4",INDEX('Lớp 4 - Danh mục'!$J$14:$J$132,$T225),INDEX('Lớp 3 - Công việc chính'!$I$14:$I$73,$T225))))</f>
        <v>#REF!</v>
      </c>
      <c r="D225" s="690" t="str">
        <f t="array" ref="D225">IF($S225="","",IF($S225="Lớp 5",INDEX('Lớp 5 - Phân công'!$J$14:$J$262,$T225),IF($S225="Lớp 4",INDEX('Lớp 4 - Danh mục'!$I$14:$I$132,$T225),"")))</f>
        <v>#REF!</v>
      </c>
      <c r="E225" s="690" t="str">
        <f t="array" ref="E225">IF($S225="","",IF($S225="Lớp 5",INDEX('Lớp 5 - Phân công'!$L$14:$L$262,$T225),IF($S225="Lớp 4",INDEX('Lớp 4 - Danh mục'!$K$14:$K$132,$T225),INDEX('Lớp 3 - Công việc chính'!$J$14:$J$73,$T225))))</f>
        <v>#REF!</v>
      </c>
      <c r="F225" s="690" t="str">
        <f t="array" ref="F225">IF($S225="","",IF($S225="Lớp 5",INDEX('Lớp 5 - Phân công'!$M$14:$M$262,$T225),IF($S225="Lớp 4",INDEX('Lớp 4 - Danh mục'!$L$14:$L$132,$T225),INDEX('Lớp 3 - Công việc chính'!$K$14:$K$73,$T225))))</f>
        <v>#REF!</v>
      </c>
      <c r="G225" s="691" t="str">
        <f t="array" ref="G225">IF($S225="","",IF($S225="Lớp 5",INDEX('Lớp 5 - Phân công'!$N$14:$N$262,$T225),IF($S225="Lớp 4",INDEX('Lớp 4 - Danh mục'!$M$14:$M$132,$T225),INDEX('Lớp 3 - Công việc chính'!$L$14:$L$73,$T225))))</f>
        <v>#REF!</v>
      </c>
      <c r="H225" s="692" t="str">
        <f t="array" ref="H225">IF($S225="","",IF($S225="Lớp 5",INDEX('Lớp 5 - Phân công'!$O$14:$O$262,$T225),IF($S225="Lớp 4",INDEX('Lớp 4 - Danh mục'!$N$14:$N$132,$T225),INDEX('Lớp 3 - Công việc chính'!$M$14:$M$73,$T225))))</f>
        <v>#REF!</v>
      </c>
      <c r="I225" s="692" t="str">
        <f t="array" ref="I225">IF($S225="","",IF($S225="Lớp 5",INDEX('Lớp 5 - Phân công'!$P$14:$P$262,$T225),IF($S225="Lớp 4",INDEX('Lớp 4 - Danh mục'!$O$14:$O$132,$T225),"")))</f>
        <v>#REF!</v>
      </c>
      <c r="J225" s="693" t="str">
        <f t="array" ref="J225">IF($S225="","",IF($S225="Lớp 5",INDEX('Lớp 5 - Phân công'!$Q$14:$Q$262,$T225),""))</f>
        <v>#REF!</v>
      </c>
      <c r="K225" s="690" t="str">
        <f t="array" ref="K225">IF($S225="","",IF($S225="Lớp 5",INDEX('Lớp 5 - Phân công'!$AA$14:$AA$262,$T225),IF($S225="Lớp 4",INDEX('Lớp 4 - Danh mục'!$Y$14:$Y$132,$T225),INDEX('Lớp 3 - Công việc chính'!$U$14:$U$73,$T225))))</f>
        <v>#REF!</v>
      </c>
      <c r="L225" s="691" t="str">
        <f t="array" ref="L225">IF($S225="","",IF($S225="Lớp 5",INDEX('Lớp 5 - Phân công'!$Z$14:$Z$262,$T225),IF($S225="Lớp 4",INDEX('Lớp 4 - Danh mục'!$X$14:$X$132,$T225),INDEX('Lớp 3 - Công việc chính'!$W$14:$W$73,$T225))))</f>
        <v>#REF!</v>
      </c>
      <c r="M225" s="694" t="str">
        <f t="array" ref="M225">IF($S225="","",IF($S225="Lớp 5",INDEX('Lớp 5 - Phân công'!$AD$14:$AD$262,$T225),IF($S225="Lớp 4",INDEX('Lớp 4 - Danh mục'!$AC$14:$AC$132,$T225),INDEX('Lớp 3 - Công việc chính'!$Z$14:$Z$73,$T225))))</f>
        <v>#REF!</v>
      </c>
      <c r="N225" s="695" t="str">
        <f t="array" ref="N225">IF($S225="","",IF($S225="Lớp 5",INDEX('Lớp 5 - Phân công'!$AE$14:$AE$262,$T225),IF($S225="Lớp 4",INDEX('Lớp 4 - Danh mục'!$AD$14:$AD$132,$T225),INDEX('Lớp 3 - Công việc chính'!$AA$14:$AA$73,$T225))))</f>
        <v>#REF!</v>
      </c>
      <c r="O225" s="690" t="str">
        <f t="array" ref="O225">IF($S225="","",IF($S225="Lớp 5",INDEX('Lớp 5 - Phân công'!$AB$14:$AB$262,$T225),IF($S225="Lớp 4",INDEX('Lớp 4 - Danh mục'!$AA$14:$AA$132,$T225),INDEX('Lớp 3 - Công việc chính'!$X$14:$X$73,$T225))))</f>
        <v>#REF!</v>
      </c>
      <c r="P225" s="703" t="str">
        <f t="array" ref="P225">IF($S225="","",IF($S225="Lớp 5",INDEX('Lớp 5 - Phân công'!$AC$14:$AC$262,$T225),IF($S225="Lớp 4",INDEX('Lớp 4 - Danh mục'!$AB$14:$AB$132,$T225),INDEX('Lớp 3 - Công việc chính'!$Y$14:$Y$73,$T225))))</f>
        <v>#REF!</v>
      </c>
      <c r="Q225" s="697" t="str">
        <f t="array" ref="Q225">IF($S225="","",IF($S225="Lớp 5",INDEX('Lớp 5 - Phân công'!$AG$14:$AG$262,$T225),IF($S225="Lớp 4",INDEX('Lớp 4 - Danh mục'!$AF$14:$AF$132,$T225),INDEX('Lớp 3 - Công việc chính'!$AC$14:$AC$73,$T225))))</f>
        <v>#REF!</v>
      </c>
      <c r="R225" s="698" t="str">
        <f t="array" ref="R225">IF($S225="","",IF($S225="Lớp 5",INDEX('Lớp 5 - Phân công'!$X$14:$X$262,$T225),IF($S225="Lớp 4",INDEX('Lớp 4 - Danh mục'!$V$14:$V$132,$T225),INDEX('Lớp 3 - Công việc chính'!$T$14:$T$73,$T225))))</f>
        <v>#REF!</v>
      </c>
      <c r="S225" s="699" t="str">
        <f>IF(ROWS($S$14:S225)&lt;=COUNTIF('Lớp 5 - Phân công'!$I$14:$I$262,"&lt;&gt;"),"Lớp 5",IF(ROWS($S$14:S225)&lt;=COUNTIF('Lớp 5 - Phân công'!$I$14:$I$262,"&lt;&gt;")+SUMPRODUCT(--('Lớp 4 - Danh mục'!$I$14:$I$132&lt;&gt;""),--(COUNTIF('Lớp 5 - Phân công'!$J$14:$J$262,'Lớp 4 - Danh mục'!$I$14:$I$132)=0)),"Lớp 4",IF(ROWS($S$14:S225)&lt;=COUNTIF('Lớp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5" s="699" t="str">
        <f t="array" ref="T225">IF(S225="","",IF(S225="Lớp 5",IF(S224&lt;&gt;"Lớp 5",MATCH("*",'Lớp 5 - Phân công'!$I$14:$I$262,0),T224+MATCH("*",INDEX('Lớp 5 - Phân công'!$I$14:$I$262,T224+1):'Lớp 5 - Phân công'!$I$262,0)),IF(S225="Lớp 4",IF(S224&lt;&gt;"Lớp 4",MATCH(1,INDEX(('Lớp 4 - Danh mục'!$I$14:$I$132&lt;&gt;"")*(COUNTIF('Lớp 5 - Phân công'!$J$14:$J$262,'Lớp 4 - Danh mục'!$I$14:$I$132)=0),0),0),T224+MATCH(1,INDEX((INDEX('Lớp 4 - Danh mục'!$I$14:$I$132,T224+1):'Lớp 4 - Danh mục'!$I$132&lt;&gt;"")*(COUNTIF('Lớp 5 - Phân công'!$J$14:$J$262,INDEX('Lớp 4 - Danh mục'!$I$14:$I$132,T224+1):'Lớp 4 - Danh mục'!$I$132)=0),0),0)),IF(S224&lt;&gt;"Lớp 3",MATCH(1,INDEX(('Lớp 3 - Công việc chính'!$I$14:$I$73&lt;&gt;"")*(COUNTIF('Lớp 4 - Danh mục'!$J$14:$J$132,'Lớp 3 - Công việc chính'!$I$14:$I$73)=0),0),0),T224+MATCH(1,INDEX((INDEX('Lớp 3 - Công việc chính'!$I$14:$I$73,T224+1):'Lớp 3 - Công việc chính'!$I$73&lt;&gt;"")*(COUNTIF('Lớp 4 - Danh mục'!$J$14:$J$132,INDEX('Lớp 3 - Công việc chính'!$I$14:$I$73,T224+1):'Lớp 3 - Công việc chính'!$I$73)=0),0),0)))))</f>
        <v>#REF!</v>
      </c>
      <c r="Z225" s="700" t="str">
        <f t="array" ref="Z225">IF($S225="","",IF($S225="Lớp 5",INDEX('Lớp 5 - Phân công'!$AS$14:$AS$262,$T225),IF($S225="Lớp 4",INDEX('Lớp 4 - Danh mục'!$AR$14:$AR$132,$T225),INDEX('Lớp 3 - Công việc chính'!$AO$14:$AO$73,$T225))))</f>
        <v>#REF!</v>
      </c>
      <c r="AA225" s="701" t="str">
        <f t="array" ref="AA225">IF($S225="","",IF($S225="Lớp 5",INDEX('Lớp 5 - Phân công'!$AT$14:$AT$262,$T225),IF($S225="Lớp 4",INDEX('Lớp 4 - Danh mục'!$AS$14:$AS$132,$T225),INDEX('Lớp 3 - Công việc chính'!$AP$14:$AP$73,$T225))))</f>
        <v>#REF!</v>
      </c>
      <c r="AB225" s="701" t="str">
        <f t="array" ref="AB225">IF($S225="","",IF($S225="Lớp 5",INDEX('Lớp 5 - Phân công'!$AJ$14:$AJ$262,$T225),IF($S225="Lớp 4",INDEX('Lớp 4 - Danh mục'!$AI$14:$AI$132,$T225),INDEX('Lớp 3 - Công việc chính'!$AF$14:$AF$73,$T225))))</f>
        <v>#REF!</v>
      </c>
      <c r="AC225" s="702" t="str">
        <f t="array" ref="AC225">IF($S225="","",IF($S225="Lớp 5",INDEX('Lớp 5 - Phân công'!$AV$14:$AV$262,$T225),IF($S225="Lớp 4",INDEX('Lớp 4 - Danh mục'!$AU$14:$AU$132,$T225),INDEX('Lớp 3 - Công việc chính'!$AR$14:$AR$73,$T225))))</f>
        <v>#REF!</v>
      </c>
    </row>
    <row r="226" ht="15.75" customHeight="1">
      <c r="A226" s="690" t="str">
        <f t="shared" si="1"/>
        <v>#REF!</v>
      </c>
      <c r="B226" s="690" t="str">
        <f t="array" ref="B226">IF($S226="","",IF($S226="Lớp 5",INDEX('Lớp 5 - Phân công'!$I$14:$I$262,$T226),IF($S226="Lớp 4",INDEX('Lớp 4 - Danh mục'!$I$14:$I$132,$T226),INDEX('Lớp 3 - Công việc chính'!$I$14:$I$73,$T226))))</f>
        <v>#REF!</v>
      </c>
      <c r="C226" s="690" t="str">
        <f t="array" ref="C226">IF($S226="","",IF($S226="Lớp 5",INDEX('Lớp 5 - Phân công'!$K$14:$K$262,$T226),IF($S226="Lớp 4",INDEX('Lớp 4 - Danh mục'!$J$14:$J$132,$T226),INDEX('Lớp 3 - Công việc chính'!$I$14:$I$73,$T226))))</f>
        <v>#REF!</v>
      </c>
      <c r="D226" s="690" t="str">
        <f t="array" ref="D226">IF($S226="","",IF($S226="Lớp 5",INDEX('Lớp 5 - Phân công'!$J$14:$J$262,$T226),IF($S226="Lớp 4",INDEX('Lớp 4 - Danh mục'!$I$14:$I$132,$T226),"")))</f>
        <v>#REF!</v>
      </c>
      <c r="E226" s="690" t="str">
        <f t="array" ref="E226">IF($S226="","",IF($S226="Lớp 5",INDEX('Lớp 5 - Phân công'!$L$14:$L$262,$T226),IF($S226="Lớp 4",INDEX('Lớp 4 - Danh mục'!$K$14:$K$132,$T226),INDEX('Lớp 3 - Công việc chính'!$J$14:$J$73,$T226))))</f>
        <v>#REF!</v>
      </c>
      <c r="F226" s="690" t="str">
        <f t="array" ref="F226">IF($S226="","",IF($S226="Lớp 5",INDEX('Lớp 5 - Phân công'!$M$14:$M$262,$T226),IF($S226="Lớp 4",INDEX('Lớp 4 - Danh mục'!$L$14:$L$132,$T226),INDEX('Lớp 3 - Công việc chính'!$K$14:$K$73,$T226))))</f>
        <v>#REF!</v>
      </c>
      <c r="G226" s="691" t="str">
        <f t="array" ref="G226">IF($S226="","",IF($S226="Lớp 5",INDEX('Lớp 5 - Phân công'!$N$14:$N$262,$T226),IF($S226="Lớp 4",INDEX('Lớp 4 - Danh mục'!$M$14:$M$132,$T226),INDEX('Lớp 3 - Công việc chính'!$L$14:$L$73,$T226))))</f>
        <v>#REF!</v>
      </c>
      <c r="H226" s="692" t="str">
        <f t="array" ref="H226">IF($S226="","",IF($S226="Lớp 5",INDEX('Lớp 5 - Phân công'!$O$14:$O$262,$T226),IF($S226="Lớp 4",INDEX('Lớp 4 - Danh mục'!$N$14:$N$132,$T226),INDEX('Lớp 3 - Công việc chính'!$M$14:$M$73,$T226))))</f>
        <v>#REF!</v>
      </c>
      <c r="I226" s="692" t="str">
        <f t="array" ref="I226">IF($S226="","",IF($S226="Lớp 5",INDEX('Lớp 5 - Phân công'!$P$14:$P$262,$T226),IF($S226="Lớp 4",INDEX('Lớp 4 - Danh mục'!$O$14:$O$132,$T226),"")))</f>
        <v>#REF!</v>
      </c>
      <c r="J226" s="693" t="str">
        <f t="array" ref="J226">IF($S226="","",IF($S226="Lớp 5",INDEX('Lớp 5 - Phân công'!$Q$14:$Q$262,$T226),""))</f>
        <v>#REF!</v>
      </c>
      <c r="K226" s="690" t="str">
        <f t="array" ref="K226">IF($S226="","",IF($S226="Lớp 5",INDEX('Lớp 5 - Phân công'!$AA$14:$AA$262,$T226),IF($S226="Lớp 4",INDEX('Lớp 4 - Danh mục'!$Y$14:$Y$132,$T226),INDEX('Lớp 3 - Công việc chính'!$U$14:$U$73,$T226))))</f>
        <v>#REF!</v>
      </c>
      <c r="L226" s="691" t="str">
        <f t="array" ref="L226">IF($S226="","",IF($S226="Lớp 5",INDEX('Lớp 5 - Phân công'!$Z$14:$Z$262,$T226),IF($S226="Lớp 4",INDEX('Lớp 4 - Danh mục'!$X$14:$X$132,$T226),INDEX('Lớp 3 - Công việc chính'!$W$14:$W$73,$T226))))</f>
        <v>#REF!</v>
      </c>
      <c r="M226" s="694" t="str">
        <f t="array" ref="M226">IF($S226="","",IF($S226="Lớp 5",INDEX('Lớp 5 - Phân công'!$AD$14:$AD$262,$T226),IF($S226="Lớp 4",INDEX('Lớp 4 - Danh mục'!$AC$14:$AC$132,$T226),INDEX('Lớp 3 - Công việc chính'!$Z$14:$Z$73,$T226))))</f>
        <v>#REF!</v>
      </c>
      <c r="N226" s="695" t="str">
        <f t="array" ref="N226">IF($S226="","",IF($S226="Lớp 5",INDEX('Lớp 5 - Phân công'!$AE$14:$AE$262,$T226),IF($S226="Lớp 4",INDEX('Lớp 4 - Danh mục'!$AD$14:$AD$132,$T226),INDEX('Lớp 3 - Công việc chính'!$AA$14:$AA$73,$T226))))</f>
        <v>#REF!</v>
      </c>
      <c r="O226" s="690" t="str">
        <f t="array" ref="O226">IF($S226="","",IF($S226="Lớp 5",INDEX('Lớp 5 - Phân công'!$AB$14:$AB$262,$T226),IF($S226="Lớp 4",INDEX('Lớp 4 - Danh mục'!$AA$14:$AA$132,$T226),INDEX('Lớp 3 - Công việc chính'!$X$14:$X$73,$T226))))</f>
        <v>#REF!</v>
      </c>
      <c r="P226" s="703" t="str">
        <f t="array" ref="P226">IF($S226="","",IF($S226="Lớp 5",INDEX('Lớp 5 - Phân công'!$AC$14:$AC$262,$T226),IF($S226="Lớp 4",INDEX('Lớp 4 - Danh mục'!$AB$14:$AB$132,$T226),INDEX('Lớp 3 - Công việc chính'!$Y$14:$Y$73,$T226))))</f>
        <v>#REF!</v>
      </c>
      <c r="Q226" s="697" t="str">
        <f t="array" ref="Q226">IF($S226="","",IF($S226="Lớp 5",INDEX('Lớp 5 - Phân công'!$AG$14:$AG$262,$T226),IF($S226="Lớp 4",INDEX('Lớp 4 - Danh mục'!$AF$14:$AF$132,$T226),INDEX('Lớp 3 - Công việc chính'!$AC$14:$AC$73,$T226))))</f>
        <v>#REF!</v>
      </c>
      <c r="R226" s="698" t="str">
        <f t="array" ref="R226">IF($S226="","",IF($S226="Lớp 5",INDEX('Lớp 5 - Phân công'!$X$14:$X$262,$T226),IF($S226="Lớp 4",INDEX('Lớp 4 - Danh mục'!$V$14:$V$132,$T226),INDEX('Lớp 3 - Công việc chính'!$T$14:$T$73,$T226))))</f>
        <v>#REF!</v>
      </c>
      <c r="S226" s="699" t="str">
        <f>IF(ROWS($S$14:S226)&lt;=COUNTIF('Lớp 5 - Phân công'!$I$14:$I$262,"&lt;&gt;"),"Lớp 5",IF(ROWS($S$14:S226)&lt;=COUNTIF('Lớp 5 - Phân công'!$I$14:$I$262,"&lt;&gt;")+SUMPRODUCT(--('Lớp 4 - Danh mục'!$I$14:$I$132&lt;&gt;""),--(COUNTIF('Lớp 5 - Phân công'!$J$14:$J$262,'Lớp 4 - Danh mục'!$I$14:$I$132)=0)),"Lớp 4",IF(ROWS($S$14:S226)&lt;=COUNTIF('Lớp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6" s="699" t="str">
        <f t="array" ref="T226">IF(S226="","",IF(S226="Lớp 5",IF(S225&lt;&gt;"Lớp 5",MATCH("*",'Lớp 5 - Phân công'!$I$14:$I$262,0),T225+MATCH("*",INDEX('Lớp 5 - Phân công'!$I$14:$I$262,T225+1):'Lớp 5 - Phân công'!$I$262,0)),IF(S226="Lớp 4",IF(S225&lt;&gt;"Lớp 4",MATCH(1,INDEX(('Lớp 4 - Danh mục'!$I$14:$I$132&lt;&gt;"")*(COUNTIF('Lớp 5 - Phân công'!$J$14:$J$262,'Lớp 4 - Danh mục'!$I$14:$I$132)=0),0),0),T225+MATCH(1,INDEX((INDEX('Lớp 4 - Danh mục'!$I$14:$I$132,T225+1):'Lớp 4 - Danh mục'!$I$132&lt;&gt;"")*(COUNTIF('Lớp 5 - Phân công'!$J$14:$J$262,INDEX('Lớp 4 - Danh mục'!$I$14:$I$132,T225+1):'Lớp 4 - Danh mục'!$I$132)=0),0),0)),IF(S225&lt;&gt;"Lớp 3",MATCH(1,INDEX(('Lớp 3 - Công việc chính'!$I$14:$I$73&lt;&gt;"")*(COUNTIF('Lớp 4 - Danh mục'!$J$14:$J$132,'Lớp 3 - Công việc chính'!$I$14:$I$73)=0),0),0),T225+MATCH(1,INDEX((INDEX('Lớp 3 - Công việc chính'!$I$14:$I$73,T225+1):'Lớp 3 - Công việc chính'!$I$73&lt;&gt;"")*(COUNTIF('Lớp 4 - Danh mục'!$J$14:$J$132,INDEX('Lớp 3 - Công việc chính'!$I$14:$I$73,T225+1):'Lớp 3 - Công việc chính'!$I$73)=0),0),0)))))</f>
        <v>#REF!</v>
      </c>
      <c r="Z226" s="700" t="str">
        <f t="array" ref="Z226">IF($S226="","",IF($S226="Lớp 5",INDEX('Lớp 5 - Phân công'!$AS$14:$AS$262,$T226),IF($S226="Lớp 4",INDEX('Lớp 4 - Danh mục'!$AR$14:$AR$132,$T226),INDEX('Lớp 3 - Công việc chính'!$AO$14:$AO$73,$T226))))</f>
        <v>#REF!</v>
      </c>
      <c r="AA226" s="701" t="str">
        <f t="array" ref="AA226">IF($S226="","",IF($S226="Lớp 5",INDEX('Lớp 5 - Phân công'!$AT$14:$AT$262,$T226),IF($S226="Lớp 4",INDEX('Lớp 4 - Danh mục'!$AS$14:$AS$132,$T226),INDEX('Lớp 3 - Công việc chính'!$AP$14:$AP$73,$T226))))</f>
        <v>#REF!</v>
      </c>
      <c r="AB226" s="701" t="str">
        <f t="array" ref="AB226">IF($S226="","",IF($S226="Lớp 5",INDEX('Lớp 5 - Phân công'!$AJ$14:$AJ$262,$T226),IF($S226="Lớp 4",INDEX('Lớp 4 - Danh mục'!$AI$14:$AI$132,$T226),INDEX('Lớp 3 - Công việc chính'!$AF$14:$AF$73,$T226))))</f>
        <v>#REF!</v>
      </c>
      <c r="AC226" s="702" t="str">
        <f t="array" ref="AC226">IF($S226="","",IF($S226="Lớp 5",INDEX('Lớp 5 - Phân công'!$AV$14:$AV$262,$T226),IF($S226="Lớp 4",INDEX('Lớp 4 - Danh mục'!$AU$14:$AU$132,$T226),INDEX('Lớp 3 - Công việc chính'!$AR$14:$AR$73,$T226))))</f>
        <v>#REF!</v>
      </c>
    </row>
    <row r="227" ht="15.75" customHeight="1">
      <c r="A227" s="690" t="str">
        <f t="shared" si="1"/>
        <v>#REF!</v>
      </c>
      <c r="B227" s="690" t="str">
        <f t="array" ref="B227">IF($S227="","",IF($S227="Lớp 5",INDEX('Lớp 5 - Phân công'!$I$14:$I$262,$T227),IF($S227="Lớp 4",INDEX('Lớp 4 - Danh mục'!$I$14:$I$132,$T227),INDEX('Lớp 3 - Công việc chính'!$I$14:$I$73,$T227))))</f>
        <v>#REF!</v>
      </c>
      <c r="C227" s="690" t="str">
        <f t="array" ref="C227">IF($S227="","",IF($S227="Lớp 5",INDEX('Lớp 5 - Phân công'!$K$14:$K$262,$T227),IF($S227="Lớp 4",INDEX('Lớp 4 - Danh mục'!$J$14:$J$132,$T227),INDEX('Lớp 3 - Công việc chính'!$I$14:$I$73,$T227))))</f>
        <v>#REF!</v>
      </c>
      <c r="D227" s="690" t="str">
        <f t="array" ref="D227">IF($S227="","",IF($S227="Lớp 5",INDEX('Lớp 5 - Phân công'!$J$14:$J$262,$T227),IF($S227="Lớp 4",INDEX('Lớp 4 - Danh mục'!$I$14:$I$132,$T227),"")))</f>
        <v>#REF!</v>
      </c>
      <c r="E227" s="690" t="str">
        <f t="array" ref="E227">IF($S227="","",IF($S227="Lớp 5",INDEX('Lớp 5 - Phân công'!$L$14:$L$262,$T227),IF($S227="Lớp 4",INDEX('Lớp 4 - Danh mục'!$K$14:$K$132,$T227),INDEX('Lớp 3 - Công việc chính'!$J$14:$J$73,$T227))))</f>
        <v>#REF!</v>
      </c>
      <c r="F227" s="690" t="str">
        <f t="array" ref="F227">IF($S227="","",IF($S227="Lớp 5",INDEX('Lớp 5 - Phân công'!$M$14:$M$262,$T227),IF($S227="Lớp 4",INDEX('Lớp 4 - Danh mục'!$L$14:$L$132,$T227),INDEX('Lớp 3 - Công việc chính'!$K$14:$K$73,$T227))))</f>
        <v>#REF!</v>
      </c>
      <c r="G227" s="691" t="str">
        <f t="array" ref="G227">IF($S227="","",IF($S227="Lớp 5",INDEX('Lớp 5 - Phân công'!$N$14:$N$262,$T227),IF($S227="Lớp 4",INDEX('Lớp 4 - Danh mục'!$M$14:$M$132,$T227),INDEX('Lớp 3 - Công việc chính'!$L$14:$L$73,$T227))))</f>
        <v>#REF!</v>
      </c>
      <c r="H227" s="692" t="str">
        <f t="array" ref="H227">IF($S227="","",IF($S227="Lớp 5",INDEX('Lớp 5 - Phân công'!$O$14:$O$262,$T227),IF($S227="Lớp 4",INDEX('Lớp 4 - Danh mục'!$N$14:$N$132,$T227),INDEX('Lớp 3 - Công việc chính'!$M$14:$M$73,$T227))))</f>
        <v>#REF!</v>
      </c>
      <c r="I227" s="692" t="str">
        <f t="array" ref="I227">IF($S227="","",IF($S227="Lớp 5",INDEX('Lớp 5 - Phân công'!$P$14:$P$262,$T227),IF($S227="Lớp 4",INDEX('Lớp 4 - Danh mục'!$O$14:$O$132,$T227),"")))</f>
        <v>#REF!</v>
      </c>
      <c r="J227" s="693" t="str">
        <f t="array" ref="J227">IF($S227="","",IF($S227="Lớp 5",INDEX('Lớp 5 - Phân công'!$Q$14:$Q$262,$T227),""))</f>
        <v>#REF!</v>
      </c>
      <c r="K227" s="690" t="str">
        <f t="array" ref="K227">IF($S227="","",IF($S227="Lớp 5",INDEX('Lớp 5 - Phân công'!$AA$14:$AA$262,$T227),IF($S227="Lớp 4",INDEX('Lớp 4 - Danh mục'!$Y$14:$Y$132,$T227),INDEX('Lớp 3 - Công việc chính'!$U$14:$U$73,$T227))))</f>
        <v>#REF!</v>
      </c>
      <c r="L227" s="691" t="str">
        <f t="array" ref="L227">IF($S227="","",IF($S227="Lớp 5",INDEX('Lớp 5 - Phân công'!$Z$14:$Z$262,$T227),IF($S227="Lớp 4",INDEX('Lớp 4 - Danh mục'!$X$14:$X$132,$T227),INDEX('Lớp 3 - Công việc chính'!$W$14:$W$73,$T227))))</f>
        <v>#REF!</v>
      </c>
      <c r="M227" s="694" t="str">
        <f t="array" ref="M227">IF($S227="","",IF($S227="Lớp 5",INDEX('Lớp 5 - Phân công'!$AD$14:$AD$262,$T227),IF($S227="Lớp 4",INDEX('Lớp 4 - Danh mục'!$AC$14:$AC$132,$T227),INDEX('Lớp 3 - Công việc chính'!$Z$14:$Z$73,$T227))))</f>
        <v>#REF!</v>
      </c>
      <c r="N227" s="695" t="str">
        <f t="array" ref="N227">IF($S227="","",IF($S227="Lớp 5",INDEX('Lớp 5 - Phân công'!$AE$14:$AE$262,$T227),IF($S227="Lớp 4",INDEX('Lớp 4 - Danh mục'!$AD$14:$AD$132,$T227),INDEX('Lớp 3 - Công việc chính'!$AA$14:$AA$73,$T227))))</f>
        <v>#REF!</v>
      </c>
      <c r="O227" s="690" t="str">
        <f t="array" ref="O227">IF($S227="","",IF($S227="Lớp 5",INDEX('Lớp 5 - Phân công'!$AB$14:$AB$262,$T227),IF($S227="Lớp 4",INDEX('Lớp 4 - Danh mục'!$AA$14:$AA$132,$T227),INDEX('Lớp 3 - Công việc chính'!$X$14:$X$73,$T227))))</f>
        <v>#REF!</v>
      </c>
      <c r="P227" s="703" t="str">
        <f t="array" ref="P227">IF($S227="","",IF($S227="Lớp 5",INDEX('Lớp 5 - Phân công'!$AC$14:$AC$262,$T227),IF($S227="Lớp 4",INDEX('Lớp 4 - Danh mục'!$AB$14:$AB$132,$T227),INDEX('Lớp 3 - Công việc chính'!$Y$14:$Y$73,$T227))))</f>
        <v>#REF!</v>
      </c>
      <c r="Q227" s="697" t="str">
        <f t="array" ref="Q227">IF($S227="","",IF($S227="Lớp 5",INDEX('Lớp 5 - Phân công'!$AG$14:$AG$262,$T227),IF($S227="Lớp 4",INDEX('Lớp 4 - Danh mục'!$AF$14:$AF$132,$T227),INDEX('Lớp 3 - Công việc chính'!$AC$14:$AC$73,$T227))))</f>
        <v>#REF!</v>
      </c>
      <c r="R227" s="698" t="str">
        <f t="array" ref="R227">IF($S227="","",IF($S227="Lớp 5",INDEX('Lớp 5 - Phân công'!$X$14:$X$262,$T227),IF($S227="Lớp 4",INDEX('Lớp 4 - Danh mục'!$V$14:$V$132,$T227),INDEX('Lớp 3 - Công việc chính'!$T$14:$T$73,$T227))))</f>
        <v>#REF!</v>
      </c>
      <c r="S227" s="699" t="str">
        <f>IF(ROWS($S$14:S227)&lt;=COUNTIF('Lớp 5 - Phân công'!$I$14:$I$262,"&lt;&gt;"),"Lớp 5",IF(ROWS($S$14:S227)&lt;=COUNTIF('Lớp 5 - Phân công'!$I$14:$I$262,"&lt;&gt;")+SUMPRODUCT(--('Lớp 4 - Danh mục'!$I$14:$I$132&lt;&gt;""),--(COUNTIF('Lớp 5 - Phân công'!$J$14:$J$262,'Lớp 4 - Danh mục'!$I$14:$I$132)=0)),"Lớp 4",IF(ROWS($S$14:S227)&lt;=COUNTIF('Lớp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7" s="699" t="str">
        <f t="array" ref="T227">IF(S227="","",IF(S227="Lớp 5",IF(S226&lt;&gt;"Lớp 5",MATCH("*",'Lớp 5 - Phân công'!$I$14:$I$262,0),T226+MATCH("*",INDEX('Lớp 5 - Phân công'!$I$14:$I$262,T226+1):'Lớp 5 - Phân công'!$I$262,0)),IF(S227="Lớp 4",IF(S226&lt;&gt;"Lớp 4",MATCH(1,INDEX(('Lớp 4 - Danh mục'!$I$14:$I$132&lt;&gt;"")*(COUNTIF('Lớp 5 - Phân công'!$J$14:$J$262,'Lớp 4 - Danh mục'!$I$14:$I$132)=0),0),0),T226+MATCH(1,INDEX((INDEX('Lớp 4 - Danh mục'!$I$14:$I$132,T226+1):'Lớp 4 - Danh mục'!$I$132&lt;&gt;"")*(COUNTIF('Lớp 5 - Phân công'!$J$14:$J$262,INDEX('Lớp 4 - Danh mục'!$I$14:$I$132,T226+1):'Lớp 4 - Danh mục'!$I$132)=0),0),0)),IF(S226&lt;&gt;"Lớp 3",MATCH(1,INDEX(('Lớp 3 - Công việc chính'!$I$14:$I$73&lt;&gt;"")*(COUNTIF('Lớp 4 - Danh mục'!$J$14:$J$132,'Lớp 3 - Công việc chính'!$I$14:$I$73)=0),0),0),T226+MATCH(1,INDEX((INDEX('Lớp 3 - Công việc chính'!$I$14:$I$73,T226+1):'Lớp 3 - Công việc chính'!$I$73&lt;&gt;"")*(COUNTIF('Lớp 4 - Danh mục'!$J$14:$J$132,INDEX('Lớp 3 - Công việc chính'!$I$14:$I$73,T226+1):'Lớp 3 - Công việc chính'!$I$73)=0),0),0)))))</f>
        <v>#REF!</v>
      </c>
      <c r="Z227" s="700" t="str">
        <f t="array" ref="Z227">IF($S227="","",IF($S227="Lớp 5",INDEX('Lớp 5 - Phân công'!$AS$14:$AS$262,$T227),IF($S227="Lớp 4",INDEX('Lớp 4 - Danh mục'!$AR$14:$AR$132,$T227),INDEX('Lớp 3 - Công việc chính'!$AO$14:$AO$73,$T227))))</f>
        <v>#REF!</v>
      </c>
      <c r="AA227" s="701" t="str">
        <f t="array" ref="AA227">IF($S227="","",IF($S227="Lớp 5",INDEX('Lớp 5 - Phân công'!$AT$14:$AT$262,$T227),IF($S227="Lớp 4",INDEX('Lớp 4 - Danh mục'!$AS$14:$AS$132,$T227),INDEX('Lớp 3 - Công việc chính'!$AP$14:$AP$73,$T227))))</f>
        <v>#REF!</v>
      </c>
      <c r="AB227" s="701" t="str">
        <f t="array" ref="AB227">IF($S227="","",IF($S227="Lớp 5",INDEX('Lớp 5 - Phân công'!$AJ$14:$AJ$262,$T227),IF($S227="Lớp 4",INDEX('Lớp 4 - Danh mục'!$AI$14:$AI$132,$T227),INDEX('Lớp 3 - Công việc chính'!$AF$14:$AF$73,$T227))))</f>
        <v>#REF!</v>
      </c>
      <c r="AC227" s="702" t="str">
        <f t="array" ref="AC227">IF($S227="","",IF($S227="Lớp 5",INDEX('Lớp 5 - Phân công'!$AV$14:$AV$262,$T227),IF($S227="Lớp 4",INDEX('Lớp 4 - Danh mục'!$AU$14:$AU$132,$T227),INDEX('Lớp 3 - Công việc chính'!$AR$14:$AR$73,$T227))))</f>
        <v>#REF!</v>
      </c>
    </row>
    <row r="228" ht="15.75" customHeight="1">
      <c r="A228" s="690" t="str">
        <f t="shared" si="1"/>
        <v>#REF!</v>
      </c>
      <c r="B228" s="690" t="str">
        <f t="array" ref="B228">IF($S228="","",IF($S228="Lớp 5",INDEX('Lớp 5 - Phân công'!$I$14:$I$262,$T228),IF($S228="Lớp 4",INDEX('Lớp 4 - Danh mục'!$I$14:$I$132,$T228),INDEX('Lớp 3 - Công việc chính'!$I$14:$I$73,$T228))))</f>
        <v>#REF!</v>
      </c>
      <c r="C228" s="690" t="str">
        <f t="array" ref="C228">IF($S228="","",IF($S228="Lớp 5",INDEX('Lớp 5 - Phân công'!$K$14:$K$262,$T228),IF($S228="Lớp 4",INDEX('Lớp 4 - Danh mục'!$J$14:$J$132,$T228),INDEX('Lớp 3 - Công việc chính'!$I$14:$I$73,$T228))))</f>
        <v>#REF!</v>
      </c>
      <c r="D228" s="690" t="str">
        <f t="array" ref="D228">IF($S228="","",IF($S228="Lớp 5",INDEX('Lớp 5 - Phân công'!$J$14:$J$262,$T228),IF($S228="Lớp 4",INDEX('Lớp 4 - Danh mục'!$I$14:$I$132,$T228),"")))</f>
        <v>#REF!</v>
      </c>
      <c r="E228" s="690" t="str">
        <f t="array" ref="E228">IF($S228="","",IF($S228="Lớp 5",INDEX('Lớp 5 - Phân công'!$L$14:$L$262,$T228),IF($S228="Lớp 4",INDEX('Lớp 4 - Danh mục'!$K$14:$K$132,$T228),INDEX('Lớp 3 - Công việc chính'!$J$14:$J$73,$T228))))</f>
        <v>#REF!</v>
      </c>
      <c r="F228" s="690" t="str">
        <f t="array" ref="F228">IF($S228="","",IF($S228="Lớp 5",INDEX('Lớp 5 - Phân công'!$M$14:$M$262,$T228),IF($S228="Lớp 4",INDEX('Lớp 4 - Danh mục'!$L$14:$L$132,$T228),INDEX('Lớp 3 - Công việc chính'!$K$14:$K$73,$T228))))</f>
        <v>#REF!</v>
      </c>
      <c r="G228" s="691" t="str">
        <f t="array" ref="G228">IF($S228="","",IF($S228="Lớp 5",INDEX('Lớp 5 - Phân công'!$N$14:$N$262,$T228),IF($S228="Lớp 4",INDEX('Lớp 4 - Danh mục'!$M$14:$M$132,$T228),INDEX('Lớp 3 - Công việc chính'!$L$14:$L$73,$T228))))</f>
        <v>#REF!</v>
      </c>
      <c r="H228" s="692" t="str">
        <f t="array" ref="H228">IF($S228="","",IF($S228="Lớp 5",INDEX('Lớp 5 - Phân công'!$O$14:$O$262,$T228),IF($S228="Lớp 4",INDEX('Lớp 4 - Danh mục'!$N$14:$N$132,$T228),INDEX('Lớp 3 - Công việc chính'!$M$14:$M$73,$T228))))</f>
        <v>#REF!</v>
      </c>
      <c r="I228" s="692" t="str">
        <f t="array" ref="I228">IF($S228="","",IF($S228="Lớp 5",INDEX('Lớp 5 - Phân công'!$P$14:$P$262,$T228),IF($S228="Lớp 4",INDEX('Lớp 4 - Danh mục'!$O$14:$O$132,$T228),"")))</f>
        <v>#REF!</v>
      </c>
      <c r="J228" s="693" t="str">
        <f t="array" ref="J228">IF($S228="","",IF($S228="Lớp 5",INDEX('Lớp 5 - Phân công'!$Q$14:$Q$262,$T228),""))</f>
        <v>#REF!</v>
      </c>
      <c r="K228" s="690" t="str">
        <f t="array" ref="K228">IF($S228="","",IF($S228="Lớp 5",INDEX('Lớp 5 - Phân công'!$AA$14:$AA$262,$T228),IF($S228="Lớp 4",INDEX('Lớp 4 - Danh mục'!$Y$14:$Y$132,$T228),INDEX('Lớp 3 - Công việc chính'!$U$14:$U$73,$T228))))</f>
        <v>#REF!</v>
      </c>
      <c r="L228" s="691" t="str">
        <f t="array" ref="L228">IF($S228="","",IF($S228="Lớp 5",INDEX('Lớp 5 - Phân công'!$Z$14:$Z$262,$T228),IF($S228="Lớp 4",INDEX('Lớp 4 - Danh mục'!$X$14:$X$132,$T228),INDEX('Lớp 3 - Công việc chính'!$W$14:$W$73,$T228))))</f>
        <v>#REF!</v>
      </c>
      <c r="M228" s="694" t="str">
        <f t="array" ref="M228">IF($S228="","",IF($S228="Lớp 5",INDEX('Lớp 5 - Phân công'!$AD$14:$AD$262,$T228),IF($S228="Lớp 4",INDEX('Lớp 4 - Danh mục'!$AC$14:$AC$132,$T228),INDEX('Lớp 3 - Công việc chính'!$Z$14:$Z$73,$T228))))</f>
        <v>#REF!</v>
      </c>
      <c r="N228" s="695" t="str">
        <f t="array" ref="N228">IF($S228="","",IF($S228="Lớp 5",INDEX('Lớp 5 - Phân công'!$AE$14:$AE$262,$T228),IF($S228="Lớp 4",INDEX('Lớp 4 - Danh mục'!$AD$14:$AD$132,$T228),INDEX('Lớp 3 - Công việc chính'!$AA$14:$AA$73,$T228))))</f>
        <v>#REF!</v>
      </c>
      <c r="O228" s="690" t="str">
        <f t="array" ref="O228">IF($S228="","",IF($S228="Lớp 5",INDEX('Lớp 5 - Phân công'!$AB$14:$AB$262,$T228),IF($S228="Lớp 4",INDEX('Lớp 4 - Danh mục'!$AA$14:$AA$132,$T228),INDEX('Lớp 3 - Công việc chính'!$X$14:$X$73,$T228))))</f>
        <v>#REF!</v>
      </c>
      <c r="P228" s="703" t="str">
        <f t="array" ref="P228">IF($S228="","",IF($S228="Lớp 5",INDEX('Lớp 5 - Phân công'!$AC$14:$AC$262,$T228),IF($S228="Lớp 4",INDEX('Lớp 4 - Danh mục'!$AB$14:$AB$132,$T228),INDEX('Lớp 3 - Công việc chính'!$Y$14:$Y$73,$T228))))</f>
        <v>#REF!</v>
      </c>
      <c r="Q228" s="697" t="str">
        <f t="array" ref="Q228">IF($S228="","",IF($S228="Lớp 5",INDEX('Lớp 5 - Phân công'!$AG$14:$AG$262,$T228),IF($S228="Lớp 4",INDEX('Lớp 4 - Danh mục'!$AF$14:$AF$132,$T228),INDEX('Lớp 3 - Công việc chính'!$AC$14:$AC$73,$T228))))</f>
        <v>#REF!</v>
      </c>
      <c r="R228" s="698" t="str">
        <f t="array" ref="R228">IF($S228="","",IF($S228="Lớp 5",INDEX('Lớp 5 - Phân công'!$X$14:$X$262,$T228),IF($S228="Lớp 4",INDEX('Lớp 4 - Danh mục'!$V$14:$V$132,$T228),INDEX('Lớp 3 - Công việc chính'!$T$14:$T$73,$T228))))</f>
        <v>#REF!</v>
      </c>
      <c r="S228" s="699" t="str">
        <f>IF(ROWS($S$14:S228)&lt;=COUNTIF('Lớp 5 - Phân công'!$I$14:$I$262,"&lt;&gt;"),"Lớp 5",IF(ROWS($S$14:S228)&lt;=COUNTIF('Lớp 5 - Phân công'!$I$14:$I$262,"&lt;&gt;")+SUMPRODUCT(--('Lớp 4 - Danh mục'!$I$14:$I$132&lt;&gt;""),--(COUNTIF('Lớp 5 - Phân công'!$J$14:$J$262,'Lớp 4 - Danh mục'!$I$14:$I$132)=0)),"Lớp 4",IF(ROWS($S$14:S228)&lt;=COUNTIF('Lớp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8" s="699" t="str">
        <f t="array" ref="T228">IF(S228="","",IF(S228="Lớp 5",IF(S227&lt;&gt;"Lớp 5",MATCH("*",'Lớp 5 - Phân công'!$I$14:$I$262,0),T227+MATCH("*",INDEX('Lớp 5 - Phân công'!$I$14:$I$262,T227+1):'Lớp 5 - Phân công'!$I$262,0)),IF(S228="Lớp 4",IF(S227&lt;&gt;"Lớp 4",MATCH(1,INDEX(('Lớp 4 - Danh mục'!$I$14:$I$132&lt;&gt;"")*(COUNTIF('Lớp 5 - Phân công'!$J$14:$J$262,'Lớp 4 - Danh mục'!$I$14:$I$132)=0),0),0),T227+MATCH(1,INDEX((INDEX('Lớp 4 - Danh mục'!$I$14:$I$132,T227+1):'Lớp 4 - Danh mục'!$I$132&lt;&gt;"")*(COUNTIF('Lớp 5 - Phân công'!$J$14:$J$262,INDEX('Lớp 4 - Danh mục'!$I$14:$I$132,T227+1):'Lớp 4 - Danh mục'!$I$132)=0),0),0)),IF(S227&lt;&gt;"Lớp 3",MATCH(1,INDEX(('Lớp 3 - Công việc chính'!$I$14:$I$73&lt;&gt;"")*(COUNTIF('Lớp 4 - Danh mục'!$J$14:$J$132,'Lớp 3 - Công việc chính'!$I$14:$I$73)=0),0),0),T227+MATCH(1,INDEX((INDEX('Lớp 3 - Công việc chính'!$I$14:$I$73,T227+1):'Lớp 3 - Công việc chính'!$I$73&lt;&gt;"")*(COUNTIF('Lớp 4 - Danh mục'!$J$14:$J$132,INDEX('Lớp 3 - Công việc chính'!$I$14:$I$73,T227+1):'Lớp 3 - Công việc chính'!$I$73)=0),0),0)))))</f>
        <v>#REF!</v>
      </c>
      <c r="Z228" s="700" t="str">
        <f t="array" ref="Z228">IF($S228="","",IF($S228="Lớp 5",INDEX('Lớp 5 - Phân công'!$AS$14:$AS$262,$T228),IF($S228="Lớp 4",INDEX('Lớp 4 - Danh mục'!$AR$14:$AR$132,$T228),INDEX('Lớp 3 - Công việc chính'!$AO$14:$AO$73,$T228))))</f>
        <v>#REF!</v>
      </c>
      <c r="AA228" s="701" t="str">
        <f t="array" ref="AA228">IF($S228="","",IF($S228="Lớp 5",INDEX('Lớp 5 - Phân công'!$AT$14:$AT$262,$T228),IF($S228="Lớp 4",INDEX('Lớp 4 - Danh mục'!$AS$14:$AS$132,$T228),INDEX('Lớp 3 - Công việc chính'!$AP$14:$AP$73,$T228))))</f>
        <v>#REF!</v>
      </c>
      <c r="AB228" s="701" t="str">
        <f t="array" ref="AB228">IF($S228="","",IF($S228="Lớp 5",INDEX('Lớp 5 - Phân công'!$AJ$14:$AJ$262,$T228),IF($S228="Lớp 4",INDEX('Lớp 4 - Danh mục'!$AI$14:$AI$132,$T228),INDEX('Lớp 3 - Công việc chính'!$AF$14:$AF$73,$T228))))</f>
        <v>#REF!</v>
      </c>
      <c r="AC228" s="702" t="str">
        <f t="array" ref="AC228">IF($S228="","",IF($S228="Lớp 5",INDEX('Lớp 5 - Phân công'!$AV$14:$AV$262,$T228),IF($S228="Lớp 4",INDEX('Lớp 4 - Danh mục'!$AU$14:$AU$132,$T228),INDEX('Lớp 3 - Công việc chính'!$AR$14:$AR$73,$T228))))</f>
        <v>#REF!</v>
      </c>
    </row>
    <row r="229" ht="15.75" customHeight="1">
      <c r="A229" s="690" t="str">
        <f t="shared" si="1"/>
        <v>#REF!</v>
      </c>
      <c r="B229" s="690" t="str">
        <f t="array" ref="B229">IF($S229="","",IF($S229="Lớp 5",INDEX('Lớp 5 - Phân công'!$I$14:$I$262,$T229),IF($S229="Lớp 4",INDEX('Lớp 4 - Danh mục'!$I$14:$I$132,$T229),INDEX('Lớp 3 - Công việc chính'!$I$14:$I$73,$T229))))</f>
        <v>#REF!</v>
      </c>
      <c r="C229" s="690" t="str">
        <f t="array" ref="C229">IF($S229="","",IF($S229="Lớp 5",INDEX('Lớp 5 - Phân công'!$K$14:$K$262,$T229),IF($S229="Lớp 4",INDEX('Lớp 4 - Danh mục'!$J$14:$J$132,$T229),INDEX('Lớp 3 - Công việc chính'!$I$14:$I$73,$T229))))</f>
        <v>#REF!</v>
      </c>
      <c r="D229" s="690" t="str">
        <f t="array" ref="D229">IF($S229="","",IF($S229="Lớp 5",INDEX('Lớp 5 - Phân công'!$J$14:$J$262,$T229),IF($S229="Lớp 4",INDEX('Lớp 4 - Danh mục'!$I$14:$I$132,$T229),"")))</f>
        <v>#REF!</v>
      </c>
      <c r="E229" s="690" t="str">
        <f t="array" ref="E229">IF($S229="","",IF($S229="Lớp 5",INDEX('Lớp 5 - Phân công'!$L$14:$L$262,$T229),IF($S229="Lớp 4",INDEX('Lớp 4 - Danh mục'!$K$14:$K$132,$T229),INDEX('Lớp 3 - Công việc chính'!$J$14:$J$73,$T229))))</f>
        <v>#REF!</v>
      </c>
      <c r="F229" s="690" t="str">
        <f t="array" ref="F229">IF($S229="","",IF($S229="Lớp 5",INDEX('Lớp 5 - Phân công'!$M$14:$M$262,$T229),IF($S229="Lớp 4",INDEX('Lớp 4 - Danh mục'!$L$14:$L$132,$T229),INDEX('Lớp 3 - Công việc chính'!$K$14:$K$73,$T229))))</f>
        <v>#REF!</v>
      </c>
      <c r="G229" s="691" t="str">
        <f t="array" ref="G229">IF($S229="","",IF($S229="Lớp 5",INDEX('Lớp 5 - Phân công'!$N$14:$N$262,$T229),IF($S229="Lớp 4",INDEX('Lớp 4 - Danh mục'!$M$14:$M$132,$T229),INDEX('Lớp 3 - Công việc chính'!$L$14:$L$73,$T229))))</f>
        <v>#REF!</v>
      </c>
      <c r="H229" s="692" t="str">
        <f t="array" ref="H229">IF($S229="","",IF($S229="Lớp 5",INDEX('Lớp 5 - Phân công'!$O$14:$O$262,$T229),IF($S229="Lớp 4",INDEX('Lớp 4 - Danh mục'!$N$14:$N$132,$T229),INDEX('Lớp 3 - Công việc chính'!$M$14:$M$73,$T229))))</f>
        <v>#REF!</v>
      </c>
      <c r="I229" s="692" t="str">
        <f t="array" ref="I229">IF($S229="","",IF($S229="Lớp 5",INDEX('Lớp 5 - Phân công'!$P$14:$P$262,$T229),IF($S229="Lớp 4",INDEX('Lớp 4 - Danh mục'!$O$14:$O$132,$T229),"")))</f>
        <v>#REF!</v>
      </c>
      <c r="J229" s="693" t="str">
        <f t="array" ref="J229">IF($S229="","",IF($S229="Lớp 5",INDEX('Lớp 5 - Phân công'!$Q$14:$Q$262,$T229),""))</f>
        <v>#REF!</v>
      </c>
      <c r="K229" s="690" t="str">
        <f t="array" ref="K229">IF($S229="","",IF($S229="Lớp 5",INDEX('Lớp 5 - Phân công'!$AA$14:$AA$262,$T229),IF($S229="Lớp 4",INDEX('Lớp 4 - Danh mục'!$Y$14:$Y$132,$T229),INDEX('Lớp 3 - Công việc chính'!$U$14:$U$73,$T229))))</f>
        <v>#REF!</v>
      </c>
      <c r="L229" s="691" t="str">
        <f t="array" ref="L229">IF($S229="","",IF($S229="Lớp 5",INDEX('Lớp 5 - Phân công'!$Z$14:$Z$262,$T229),IF($S229="Lớp 4",INDEX('Lớp 4 - Danh mục'!$X$14:$X$132,$T229),INDEX('Lớp 3 - Công việc chính'!$W$14:$W$73,$T229))))</f>
        <v>#REF!</v>
      </c>
      <c r="M229" s="694" t="str">
        <f t="array" ref="M229">IF($S229="","",IF($S229="Lớp 5",INDEX('Lớp 5 - Phân công'!$AD$14:$AD$262,$T229),IF($S229="Lớp 4",INDEX('Lớp 4 - Danh mục'!$AC$14:$AC$132,$T229),INDEX('Lớp 3 - Công việc chính'!$Z$14:$Z$73,$T229))))</f>
        <v>#REF!</v>
      </c>
      <c r="N229" s="695" t="str">
        <f t="array" ref="N229">IF($S229="","",IF($S229="Lớp 5",INDEX('Lớp 5 - Phân công'!$AE$14:$AE$262,$T229),IF($S229="Lớp 4",INDEX('Lớp 4 - Danh mục'!$AD$14:$AD$132,$T229),INDEX('Lớp 3 - Công việc chính'!$AA$14:$AA$73,$T229))))</f>
        <v>#REF!</v>
      </c>
      <c r="O229" s="690" t="str">
        <f t="array" ref="O229">IF($S229="","",IF($S229="Lớp 5",INDEX('Lớp 5 - Phân công'!$AB$14:$AB$262,$T229),IF($S229="Lớp 4",INDEX('Lớp 4 - Danh mục'!$AA$14:$AA$132,$T229),INDEX('Lớp 3 - Công việc chính'!$X$14:$X$73,$T229))))</f>
        <v>#REF!</v>
      </c>
      <c r="P229" s="703" t="str">
        <f t="array" ref="P229">IF($S229="","",IF($S229="Lớp 5",INDEX('Lớp 5 - Phân công'!$AC$14:$AC$262,$T229),IF($S229="Lớp 4",INDEX('Lớp 4 - Danh mục'!$AB$14:$AB$132,$T229),INDEX('Lớp 3 - Công việc chính'!$Y$14:$Y$73,$T229))))</f>
        <v>#REF!</v>
      </c>
      <c r="Q229" s="697" t="str">
        <f t="array" ref="Q229">IF($S229="","",IF($S229="Lớp 5",INDEX('Lớp 5 - Phân công'!$AG$14:$AG$262,$T229),IF($S229="Lớp 4",INDEX('Lớp 4 - Danh mục'!$AF$14:$AF$132,$T229),INDEX('Lớp 3 - Công việc chính'!$AC$14:$AC$73,$T229))))</f>
        <v>#REF!</v>
      </c>
      <c r="R229" s="698" t="str">
        <f t="array" ref="R229">IF($S229="","",IF($S229="Lớp 5",INDEX('Lớp 5 - Phân công'!$X$14:$X$262,$T229),IF($S229="Lớp 4",INDEX('Lớp 4 - Danh mục'!$V$14:$V$132,$T229),INDEX('Lớp 3 - Công việc chính'!$T$14:$T$73,$T229))))</f>
        <v>#REF!</v>
      </c>
      <c r="S229" s="699" t="str">
        <f>IF(ROWS($S$14:S229)&lt;=COUNTIF('Lớp 5 - Phân công'!$I$14:$I$262,"&lt;&gt;"),"Lớp 5",IF(ROWS($S$14:S229)&lt;=COUNTIF('Lớp 5 - Phân công'!$I$14:$I$262,"&lt;&gt;")+SUMPRODUCT(--('Lớp 4 - Danh mục'!$I$14:$I$132&lt;&gt;""),--(COUNTIF('Lớp 5 - Phân công'!$J$14:$J$262,'Lớp 4 - Danh mục'!$I$14:$I$132)=0)),"Lớp 4",IF(ROWS($S$14:S229)&lt;=COUNTIF('Lớp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29" s="699" t="str">
        <f t="array" ref="T229">IF(S229="","",IF(S229="Lớp 5",IF(S228&lt;&gt;"Lớp 5",MATCH("*",'Lớp 5 - Phân công'!$I$14:$I$262,0),T228+MATCH("*",INDEX('Lớp 5 - Phân công'!$I$14:$I$262,T228+1):'Lớp 5 - Phân công'!$I$262,0)),IF(S229="Lớp 4",IF(S228&lt;&gt;"Lớp 4",MATCH(1,INDEX(('Lớp 4 - Danh mục'!$I$14:$I$132&lt;&gt;"")*(COUNTIF('Lớp 5 - Phân công'!$J$14:$J$262,'Lớp 4 - Danh mục'!$I$14:$I$132)=0),0),0),T228+MATCH(1,INDEX((INDEX('Lớp 4 - Danh mục'!$I$14:$I$132,T228+1):'Lớp 4 - Danh mục'!$I$132&lt;&gt;"")*(COUNTIF('Lớp 5 - Phân công'!$J$14:$J$262,INDEX('Lớp 4 - Danh mục'!$I$14:$I$132,T228+1):'Lớp 4 - Danh mục'!$I$132)=0),0),0)),IF(S228&lt;&gt;"Lớp 3",MATCH(1,INDEX(('Lớp 3 - Công việc chính'!$I$14:$I$73&lt;&gt;"")*(COUNTIF('Lớp 4 - Danh mục'!$J$14:$J$132,'Lớp 3 - Công việc chính'!$I$14:$I$73)=0),0),0),T228+MATCH(1,INDEX((INDEX('Lớp 3 - Công việc chính'!$I$14:$I$73,T228+1):'Lớp 3 - Công việc chính'!$I$73&lt;&gt;"")*(COUNTIF('Lớp 4 - Danh mục'!$J$14:$J$132,INDEX('Lớp 3 - Công việc chính'!$I$14:$I$73,T228+1):'Lớp 3 - Công việc chính'!$I$73)=0),0),0)))))</f>
        <v>#REF!</v>
      </c>
      <c r="Z229" s="700" t="str">
        <f t="array" ref="Z229">IF($S229="","",IF($S229="Lớp 5",INDEX('Lớp 5 - Phân công'!$AS$14:$AS$262,$T229),IF($S229="Lớp 4",INDEX('Lớp 4 - Danh mục'!$AR$14:$AR$132,$T229),INDEX('Lớp 3 - Công việc chính'!$AO$14:$AO$73,$T229))))</f>
        <v>#REF!</v>
      </c>
      <c r="AA229" s="701" t="str">
        <f t="array" ref="AA229">IF($S229="","",IF($S229="Lớp 5",INDEX('Lớp 5 - Phân công'!$AT$14:$AT$262,$T229),IF($S229="Lớp 4",INDEX('Lớp 4 - Danh mục'!$AS$14:$AS$132,$T229),INDEX('Lớp 3 - Công việc chính'!$AP$14:$AP$73,$T229))))</f>
        <v>#REF!</v>
      </c>
      <c r="AB229" s="701" t="str">
        <f t="array" ref="AB229">IF($S229="","",IF($S229="Lớp 5",INDEX('Lớp 5 - Phân công'!$AJ$14:$AJ$262,$T229),IF($S229="Lớp 4",INDEX('Lớp 4 - Danh mục'!$AI$14:$AI$132,$T229),INDEX('Lớp 3 - Công việc chính'!$AF$14:$AF$73,$T229))))</f>
        <v>#REF!</v>
      </c>
      <c r="AC229" s="702" t="str">
        <f t="array" ref="AC229">IF($S229="","",IF($S229="Lớp 5",INDEX('Lớp 5 - Phân công'!$AV$14:$AV$262,$T229),IF($S229="Lớp 4",INDEX('Lớp 4 - Danh mục'!$AU$14:$AU$132,$T229),INDEX('Lớp 3 - Công việc chính'!$AR$14:$AR$73,$T229))))</f>
        <v>#REF!</v>
      </c>
    </row>
    <row r="230" ht="15.75" customHeight="1">
      <c r="A230" s="690" t="str">
        <f t="shared" si="1"/>
        <v>#REF!</v>
      </c>
      <c r="B230" s="690" t="str">
        <f t="array" ref="B230">IF($S230="","",IF($S230="Lớp 5",INDEX('Lớp 5 - Phân công'!$I$14:$I$262,$T230),IF($S230="Lớp 4",INDEX('Lớp 4 - Danh mục'!$I$14:$I$132,$T230),INDEX('Lớp 3 - Công việc chính'!$I$14:$I$73,$T230))))</f>
        <v>#REF!</v>
      </c>
      <c r="C230" s="690" t="str">
        <f t="array" ref="C230">IF($S230="","",IF($S230="Lớp 5",INDEX('Lớp 5 - Phân công'!$K$14:$K$262,$T230),IF($S230="Lớp 4",INDEX('Lớp 4 - Danh mục'!$J$14:$J$132,$T230),INDEX('Lớp 3 - Công việc chính'!$I$14:$I$73,$T230))))</f>
        <v>#REF!</v>
      </c>
      <c r="D230" s="690" t="str">
        <f t="array" ref="D230">IF($S230="","",IF($S230="Lớp 5",INDEX('Lớp 5 - Phân công'!$J$14:$J$262,$T230),IF($S230="Lớp 4",INDEX('Lớp 4 - Danh mục'!$I$14:$I$132,$T230),"")))</f>
        <v>#REF!</v>
      </c>
      <c r="E230" s="690" t="str">
        <f t="array" ref="E230">IF($S230="","",IF($S230="Lớp 5",INDEX('Lớp 5 - Phân công'!$L$14:$L$262,$T230),IF($S230="Lớp 4",INDEX('Lớp 4 - Danh mục'!$K$14:$K$132,$T230),INDEX('Lớp 3 - Công việc chính'!$J$14:$J$73,$T230))))</f>
        <v>#REF!</v>
      </c>
      <c r="F230" s="690" t="str">
        <f t="array" ref="F230">IF($S230="","",IF($S230="Lớp 5",INDEX('Lớp 5 - Phân công'!$M$14:$M$262,$T230),IF($S230="Lớp 4",INDEX('Lớp 4 - Danh mục'!$L$14:$L$132,$T230),INDEX('Lớp 3 - Công việc chính'!$K$14:$K$73,$T230))))</f>
        <v>#REF!</v>
      </c>
      <c r="G230" s="691" t="str">
        <f t="array" ref="G230">IF($S230="","",IF($S230="Lớp 5",INDEX('Lớp 5 - Phân công'!$N$14:$N$262,$T230),IF($S230="Lớp 4",INDEX('Lớp 4 - Danh mục'!$M$14:$M$132,$T230),INDEX('Lớp 3 - Công việc chính'!$L$14:$L$73,$T230))))</f>
        <v>#REF!</v>
      </c>
      <c r="H230" s="692" t="str">
        <f t="array" ref="H230">IF($S230="","",IF($S230="Lớp 5",INDEX('Lớp 5 - Phân công'!$O$14:$O$262,$T230),IF($S230="Lớp 4",INDEX('Lớp 4 - Danh mục'!$N$14:$N$132,$T230),INDEX('Lớp 3 - Công việc chính'!$M$14:$M$73,$T230))))</f>
        <v>#REF!</v>
      </c>
      <c r="I230" s="692" t="str">
        <f t="array" ref="I230">IF($S230="","",IF($S230="Lớp 5",INDEX('Lớp 5 - Phân công'!$P$14:$P$262,$T230),IF($S230="Lớp 4",INDEX('Lớp 4 - Danh mục'!$O$14:$O$132,$T230),"")))</f>
        <v>#REF!</v>
      </c>
      <c r="J230" s="693" t="str">
        <f t="array" ref="J230">IF($S230="","",IF($S230="Lớp 5",INDEX('Lớp 5 - Phân công'!$Q$14:$Q$262,$T230),""))</f>
        <v>#REF!</v>
      </c>
      <c r="K230" s="690" t="str">
        <f t="array" ref="K230">IF($S230="","",IF($S230="Lớp 5",INDEX('Lớp 5 - Phân công'!$AA$14:$AA$262,$T230),IF($S230="Lớp 4",INDEX('Lớp 4 - Danh mục'!$Y$14:$Y$132,$T230),INDEX('Lớp 3 - Công việc chính'!$U$14:$U$73,$T230))))</f>
        <v>#REF!</v>
      </c>
      <c r="L230" s="691" t="str">
        <f t="array" ref="L230">IF($S230="","",IF($S230="Lớp 5",INDEX('Lớp 5 - Phân công'!$Z$14:$Z$262,$T230),IF($S230="Lớp 4",INDEX('Lớp 4 - Danh mục'!$X$14:$X$132,$T230),INDEX('Lớp 3 - Công việc chính'!$W$14:$W$73,$T230))))</f>
        <v>#REF!</v>
      </c>
      <c r="M230" s="694" t="str">
        <f t="array" ref="M230">IF($S230="","",IF($S230="Lớp 5",INDEX('Lớp 5 - Phân công'!$AD$14:$AD$262,$T230),IF($S230="Lớp 4",INDEX('Lớp 4 - Danh mục'!$AC$14:$AC$132,$T230),INDEX('Lớp 3 - Công việc chính'!$Z$14:$Z$73,$T230))))</f>
        <v>#REF!</v>
      </c>
      <c r="N230" s="695" t="str">
        <f t="array" ref="N230">IF($S230="","",IF($S230="Lớp 5",INDEX('Lớp 5 - Phân công'!$AE$14:$AE$262,$T230),IF($S230="Lớp 4",INDEX('Lớp 4 - Danh mục'!$AD$14:$AD$132,$T230),INDEX('Lớp 3 - Công việc chính'!$AA$14:$AA$73,$T230))))</f>
        <v>#REF!</v>
      </c>
      <c r="O230" s="690" t="str">
        <f t="array" ref="O230">IF($S230="","",IF($S230="Lớp 5",INDEX('Lớp 5 - Phân công'!$AB$14:$AB$262,$T230),IF($S230="Lớp 4",INDEX('Lớp 4 - Danh mục'!$AA$14:$AA$132,$T230),INDEX('Lớp 3 - Công việc chính'!$X$14:$X$73,$T230))))</f>
        <v>#REF!</v>
      </c>
      <c r="P230" s="703" t="str">
        <f t="array" ref="P230">IF($S230="","",IF($S230="Lớp 5",INDEX('Lớp 5 - Phân công'!$AC$14:$AC$262,$T230),IF($S230="Lớp 4",INDEX('Lớp 4 - Danh mục'!$AB$14:$AB$132,$T230),INDEX('Lớp 3 - Công việc chính'!$Y$14:$Y$73,$T230))))</f>
        <v>#REF!</v>
      </c>
      <c r="Q230" s="697" t="str">
        <f t="array" ref="Q230">IF($S230="","",IF($S230="Lớp 5",INDEX('Lớp 5 - Phân công'!$AG$14:$AG$262,$T230),IF($S230="Lớp 4",INDEX('Lớp 4 - Danh mục'!$AF$14:$AF$132,$T230),INDEX('Lớp 3 - Công việc chính'!$AC$14:$AC$73,$T230))))</f>
        <v>#REF!</v>
      </c>
      <c r="R230" s="698" t="str">
        <f t="array" ref="R230">IF($S230="","",IF($S230="Lớp 5",INDEX('Lớp 5 - Phân công'!$X$14:$X$262,$T230),IF($S230="Lớp 4",INDEX('Lớp 4 - Danh mục'!$V$14:$V$132,$T230),INDEX('Lớp 3 - Công việc chính'!$T$14:$T$73,$T230))))</f>
        <v>#REF!</v>
      </c>
      <c r="S230" s="699" t="str">
        <f>IF(ROWS($S$14:S230)&lt;=COUNTIF('Lớp 5 - Phân công'!$I$14:$I$262,"&lt;&gt;"),"Lớp 5",IF(ROWS($S$14:S230)&lt;=COUNTIF('Lớp 5 - Phân công'!$I$14:$I$262,"&lt;&gt;")+SUMPRODUCT(--('Lớp 4 - Danh mục'!$I$14:$I$132&lt;&gt;""),--(COUNTIF('Lớp 5 - Phân công'!$J$14:$J$262,'Lớp 4 - Danh mục'!$I$14:$I$132)=0)),"Lớp 4",IF(ROWS($S$14:S230)&lt;=COUNTIF('Lớp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0" s="699" t="str">
        <f t="array" ref="T230">IF(S230="","",IF(S230="Lớp 5",IF(S229&lt;&gt;"Lớp 5",MATCH("*",'Lớp 5 - Phân công'!$I$14:$I$262,0),T229+MATCH("*",INDEX('Lớp 5 - Phân công'!$I$14:$I$262,T229+1):'Lớp 5 - Phân công'!$I$262,0)),IF(S230="Lớp 4",IF(S229&lt;&gt;"Lớp 4",MATCH(1,INDEX(('Lớp 4 - Danh mục'!$I$14:$I$132&lt;&gt;"")*(COUNTIF('Lớp 5 - Phân công'!$J$14:$J$262,'Lớp 4 - Danh mục'!$I$14:$I$132)=0),0),0),T229+MATCH(1,INDEX((INDEX('Lớp 4 - Danh mục'!$I$14:$I$132,T229+1):'Lớp 4 - Danh mục'!$I$132&lt;&gt;"")*(COUNTIF('Lớp 5 - Phân công'!$J$14:$J$262,INDEX('Lớp 4 - Danh mục'!$I$14:$I$132,T229+1):'Lớp 4 - Danh mục'!$I$132)=0),0),0)),IF(S229&lt;&gt;"Lớp 3",MATCH(1,INDEX(('Lớp 3 - Công việc chính'!$I$14:$I$73&lt;&gt;"")*(COUNTIF('Lớp 4 - Danh mục'!$J$14:$J$132,'Lớp 3 - Công việc chính'!$I$14:$I$73)=0),0),0),T229+MATCH(1,INDEX((INDEX('Lớp 3 - Công việc chính'!$I$14:$I$73,T229+1):'Lớp 3 - Công việc chính'!$I$73&lt;&gt;"")*(COUNTIF('Lớp 4 - Danh mục'!$J$14:$J$132,INDEX('Lớp 3 - Công việc chính'!$I$14:$I$73,T229+1):'Lớp 3 - Công việc chính'!$I$73)=0),0),0)))))</f>
        <v>#REF!</v>
      </c>
      <c r="Z230" s="700" t="str">
        <f t="array" ref="Z230">IF($S230="","",IF($S230="Lớp 5",INDEX('Lớp 5 - Phân công'!$AS$14:$AS$262,$T230),IF($S230="Lớp 4",INDEX('Lớp 4 - Danh mục'!$AR$14:$AR$132,$T230),INDEX('Lớp 3 - Công việc chính'!$AO$14:$AO$73,$T230))))</f>
        <v>#REF!</v>
      </c>
      <c r="AA230" s="701" t="str">
        <f t="array" ref="AA230">IF($S230="","",IF($S230="Lớp 5",INDEX('Lớp 5 - Phân công'!$AT$14:$AT$262,$T230),IF($S230="Lớp 4",INDEX('Lớp 4 - Danh mục'!$AS$14:$AS$132,$T230),INDEX('Lớp 3 - Công việc chính'!$AP$14:$AP$73,$T230))))</f>
        <v>#REF!</v>
      </c>
      <c r="AB230" s="701" t="str">
        <f t="array" ref="AB230">IF($S230="","",IF($S230="Lớp 5",INDEX('Lớp 5 - Phân công'!$AJ$14:$AJ$262,$T230),IF($S230="Lớp 4",INDEX('Lớp 4 - Danh mục'!$AI$14:$AI$132,$T230),INDEX('Lớp 3 - Công việc chính'!$AF$14:$AF$73,$T230))))</f>
        <v>#REF!</v>
      </c>
      <c r="AC230" s="702" t="str">
        <f t="array" ref="AC230">IF($S230="","",IF($S230="Lớp 5",INDEX('Lớp 5 - Phân công'!$AV$14:$AV$262,$T230),IF($S230="Lớp 4",INDEX('Lớp 4 - Danh mục'!$AU$14:$AU$132,$T230),INDEX('Lớp 3 - Công việc chính'!$AR$14:$AR$73,$T230))))</f>
        <v>#REF!</v>
      </c>
    </row>
    <row r="231" ht="15.75" customHeight="1">
      <c r="A231" s="690" t="str">
        <f t="shared" si="1"/>
        <v>#REF!</v>
      </c>
      <c r="B231" s="690" t="str">
        <f t="array" ref="B231">IF($S231="","",IF($S231="Lớp 5",INDEX('Lớp 5 - Phân công'!$I$14:$I$262,$T231),IF($S231="Lớp 4",INDEX('Lớp 4 - Danh mục'!$I$14:$I$132,$T231),INDEX('Lớp 3 - Công việc chính'!$I$14:$I$73,$T231))))</f>
        <v>#REF!</v>
      </c>
      <c r="C231" s="690" t="str">
        <f t="array" ref="C231">IF($S231="","",IF($S231="Lớp 5",INDEX('Lớp 5 - Phân công'!$K$14:$K$262,$T231),IF($S231="Lớp 4",INDEX('Lớp 4 - Danh mục'!$J$14:$J$132,$T231),INDEX('Lớp 3 - Công việc chính'!$I$14:$I$73,$T231))))</f>
        <v>#REF!</v>
      </c>
      <c r="D231" s="690" t="str">
        <f t="array" ref="D231">IF($S231="","",IF($S231="Lớp 5",INDEX('Lớp 5 - Phân công'!$J$14:$J$262,$T231),IF($S231="Lớp 4",INDEX('Lớp 4 - Danh mục'!$I$14:$I$132,$T231),"")))</f>
        <v>#REF!</v>
      </c>
      <c r="E231" s="690" t="str">
        <f t="array" ref="E231">IF($S231="","",IF($S231="Lớp 5",INDEX('Lớp 5 - Phân công'!$L$14:$L$262,$T231),IF($S231="Lớp 4",INDEX('Lớp 4 - Danh mục'!$K$14:$K$132,$T231),INDEX('Lớp 3 - Công việc chính'!$J$14:$J$73,$T231))))</f>
        <v>#REF!</v>
      </c>
      <c r="F231" s="690" t="str">
        <f t="array" ref="F231">IF($S231="","",IF($S231="Lớp 5",INDEX('Lớp 5 - Phân công'!$M$14:$M$262,$T231),IF($S231="Lớp 4",INDEX('Lớp 4 - Danh mục'!$L$14:$L$132,$T231),INDEX('Lớp 3 - Công việc chính'!$K$14:$K$73,$T231))))</f>
        <v>#REF!</v>
      </c>
      <c r="G231" s="691" t="str">
        <f t="array" ref="G231">IF($S231="","",IF($S231="Lớp 5",INDEX('Lớp 5 - Phân công'!$N$14:$N$262,$T231),IF($S231="Lớp 4",INDEX('Lớp 4 - Danh mục'!$M$14:$M$132,$T231),INDEX('Lớp 3 - Công việc chính'!$L$14:$L$73,$T231))))</f>
        <v>#REF!</v>
      </c>
      <c r="H231" s="692" t="str">
        <f t="array" ref="H231">IF($S231="","",IF($S231="Lớp 5",INDEX('Lớp 5 - Phân công'!$O$14:$O$262,$T231),IF($S231="Lớp 4",INDEX('Lớp 4 - Danh mục'!$N$14:$N$132,$T231),INDEX('Lớp 3 - Công việc chính'!$M$14:$M$73,$T231))))</f>
        <v>#REF!</v>
      </c>
      <c r="I231" s="692" t="str">
        <f t="array" ref="I231">IF($S231="","",IF($S231="Lớp 5",INDEX('Lớp 5 - Phân công'!$P$14:$P$262,$T231),IF($S231="Lớp 4",INDEX('Lớp 4 - Danh mục'!$O$14:$O$132,$T231),"")))</f>
        <v>#REF!</v>
      </c>
      <c r="J231" s="693" t="str">
        <f t="array" ref="J231">IF($S231="","",IF($S231="Lớp 5",INDEX('Lớp 5 - Phân công'!$Q$14:$Q$262,$T231),""))</f>
        <v>#REF!</v>
      </c>
      <c r="K231" s="690" t="str">
        <f t="array" ref="K231">IF($S231="","",IF($S231="Lớp 5",INDEX('Lớp 5 - Phân công'!$AA$14:$AA$262,$T231),IF($S231="Lớp 4",INDEX('Lớp 4 - Danh mục'!$Y$14:$Y$132,$T231),INDEX('Lớp 3 - Công việc chính'!$U$14:$U$73,$T231))))</f>
        <v>#REF!</v>
      </c>
      <c r="L231" s="691" t="str">
        <f t="array" ref="L231">IF($S231="","",IF($S231="Lớp 5",INDEX('Lớp 5 - Phân công'!$Z$14:$Z$262,$T231),IF($S231="Lớp 4",INDEX('Lớp 4 - Danh mục'!$X$14:$X$132,$T231),INDEX('Lớp 3 - Công việc chính'!$W$14:$W$73,$T231))))</f>
        <v>#REF!</v>
      </c>
      <c r="M231" s="694" t="str">
        <f t="array" ref="M231">IF($S231="","",IF($S231="Lớp 5",INDEX('Lớp 5 - Phân công'!$AD$14:$AD$262,$T231),IF($S231="Lớp 4",INDEX('Lớp 4 - Danh mục'!$AC$14:$AC$132,$T231),INDEX('Lớp 3 - Công việc chính'!$Z$14:$Z$73,$T231))))</f>
        <v>#REF!</v>
      </c>
      <c r="N231" s="695" t="str">
        <f t="array" ref="N231">IF($S231="","",IF($S231="Lớp 5",INDEX('Lớp 5 - Phân công'!$AE$14:$AE$262,$T231),IF($S231="Lớp 4",INDEX('Lớp 4 - Danh mục'!$AD$14:$AD$132,$T231),INDEX('Lớp 3 - Công việc chính'!$AA$14:$AA$73,$T231))))</f>
        <v>#REF!</v>
      </c>
      <c r="O231" s="690" t="str">
        <f t="array" ref="O231">IF($S231="","",IF($S231="Lớp 5",INDEX('Lớp 5 - Phân công'!$AB$14:$AB$262,$T231),IF($S231="Lớp 4",INDEX('Lớp 4 - Danh mục'!$AA$14:$AA$132,$T231),INDEX('Lớp 3 - Công việc chính'!$X$14:$X$73,$T231))))</f>
        <v>#REF!</v>
      </c>
      <c r="P231" s="703" t="str">
        <f t="array" ref="P231">IF($S231="","",IF($S231="Lớp 5",INDEX('Lớp 5 - Phân công'!$AC$14:$AC$262,$T231),IF($S231="Lớp 4",INDEX('Lớp 4 - Danh mục'!$AB$14:$AB$132,$T231),INDEX('Lớp 3 - Công việc chính'!$Y$14:$Y$73,$T231))))</f>
        <v>#REF!</v>
      </c>
      <c r="Q231" s="697" t="str">
        <f t="array" ref="Q231">IF($S231="","",IF($S231="Lớp 5",INDEX('Lớp 5 - Phân công'!$AG$14:$AG$262,$T231),IF($S231="Lớp 4",INDEX('Lớp 4 - Danh mục'!$AF$14:$AF$132,$T231),INDEX('Lớp 3 - Công việc chính'!$AC$14:$AC$73,$T231))))</f>
        <v>#REF!</v>
      </c>
      <c r="R231" s="698" t="str">
        <f t="array" ref="R231">IF($S231="","",IF($S231="Lớp 5",INDEX('Lớp 5 - Phân công'!$X$14:$X$262,$T231),IF($S231="Lớp 4",INDEX('Lớp 4 - Danh mục'!$V$14:$V$132,$T231),INDEX('Lớp 3 - Công việc chính'!$T$14:$T$73,$T231))))</f>
        <v>#REF!</v>
      </c>
      <c r="S231" s="699" t="str">
        <f>IF(ROWS($S$14:S231)&lt;=COUNTIF('Lớp 5 - Phân công'!$I$14:$I$262,"&lt;&gt;"),"Lớp 5",IF(ROWS($S$14:S231)&lt;=COUNTIF('Lớp 5 - Phân công'!$I$14:$I$262,"&lt;&gt;")+SUMPRODUCT(--('Lớp 4 - Danh mục'!$I$14:$I$132&lt;&gt;""),--(COUNTIF('Lớp 5 - Phân công'!$J$14:$J$262,'Lớp 4 - Danh mục'!$I$14:$I$132)=0)),"Lớp 4",IF(ROWS($S$14:S231)&lt;=COUNTIF('Lớp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1" s="699" t="str">
        <f t="array" ref="T231">IF(S231="","",IF(S231="Lớp 5",IF(S230&lt;&gt;"Lớp 5",MATCH("*",'Lớp 5 - Phân công'!$I$14:$I$262,0),T230+MATCH("*",INDEX('Lớp 5 - Phân công'!$I$14:$I$262,T230+1):'Lớp 5 - Phân công'!$I$262,0)),IF(S231="Lớp 4",IF(S230&lt;&gt;"Lớp 4",MATCH(1,INDEX(('Lớp 4 - Danh mục'!$I$14:$I$132&lt;&gt;"")*(COUNTIF('Lớp 5 - Phân công'!$J$14:$J$262,'Lớp 4 - Danh mục'!$I$14:$I$132)=0),0),0),T230+MATCH(1,INDEX((INDEX('Lớp 4 - Danh mục'!$I$14:$I$132,T230+1):'Lớp 4 - Danh mục'!$I$132&lt;&gt;"")*(COUNTIF('Lớp 5 - Phân công'!$J$14:$J$262,INDEX('Lớp 4 - Danh mục'!$I$14:$I$132,T230+1):'Lớp 4 - Danh mục'!$I$132)=0),0),0)),IF(S230&lt;&gt;"Lớp 3",MATCH(1,INDEX(('Lớp 3 - Công việc chính'!$I$14:$I$73&lt;&gt;"")*(COUNTIF('Lớp 4 - Danh mục'!$J$14:$J$132,'Lớp 3 - Công việc chính'!$I$14:$I$73)=0),0),0),T230+MATCH(1,INDEX((INDEX('Lớp 3 - Công việc chính'!$I$14:$I$73,T230+1):'Lớp 3 - Công việc chính'!$I$73&lt;&gt;"")*(COUNTIF('Lớp 4 - Danh mục'!$J$14:$J$132,INDEX('Lớp 3 - Công việc chính'!$I$14:$I$73,T230+1):'Lớp 3 - Công việc chính'!$I$73)=0),0),0)))))</f>
        <v>#REF!</v>
      </c>
      <c r="Z231" s="700" t="str">
        <f t="array" ref="Z231">IF($S231="","",IF($S231="Lớp 5",INDEX('Lớp 5 - Phân công'!$AS$14:$AS$262,$T231),IF($S231="Lớp 4",INDEX('Lớp 4 - Danh mục'!$AR$14:$AR$132,$T231),INDEX('Lớp 3 - Công việc chính'!$AO$14:$AO$73,$T231))))</f>
        <v>#REF!</v>
      </c>
      <c r="AA231" s="701" t="str">
        <f t="array" ref="AA231">IF($S231="","",IF($S231="Lớp 5",INDEX('Lớp 5 - Phân công'!$AT$14:$AT$262,$T231),IF($S231="Lớp 4",INDEX('Lớp 4 - Danh mục'!$AS$14:$AS$132,$T231),INDEX('Lớp 3 - Công việc chính'!$AP$14:$AP$73,$T231))))</f>
        <v>#REF!</v>
      </c>
      <c r="AB231" s="701" t="str">
        <f t="array" ref="AB231">IF($S231="","",IF($S231="Lớp 5",INDEX('Lớp 5 - Phân công'!$AJ$14:$AJ$262,$T231),IF($S231="Lớp 4",INDEX('Lớp 4 - Danh mục'!$AI$14:$AI$132,$T231),INDEX('Lớp 3 - Công việc chính'!$AF$14:$AF$73,$T231))))</f>
        <v>#REF!</v>
      </c>
      <c r="AC231" s="702" t="str">
        <f t="array" ref="AC231">IF($S231="","",IF($S231="Lớp 5",INDEX('Lớp 5 - Phân công'!$AV$14:$AV$262,$T231),IF($S231="Lớp 4",INDEX('Lớp 4 - Danh mục'!$AU$14:$AU$132,$T231),INDEX('Lớp 3 - Công việc chính'!$AR$14:$AR$73,$T231))))</f>
        <v>#REF!</v>
      </c>
    </row>
    <row r="232" ht="15.75" customHeight="1">
      <c r="A232" s="690" t="str">
        <f t="shared" si="1"/>
        <v>#REF!</v>
      </c>
      <c r="B232" s="690" t="str">
        <f t="array" ref="B232">IF($S232="","",IF($S232="Lớp 5",INDEX('Lớp 5 - Phân công'!$I$14:$I$262,$T232),IF($S232="Lớp 4",INDEX('Lớp 4 - Danh mục'!$I$14:$I$132,$T232),INDEX('Lớp 3 - Công việc chính'!$I$14:$I$73,$T232))))</f>
        <v>#REF!</v>
      </c>
      <c r="C232" s="690" t="str">
        <f t="array" ref="C232">IF($S232="","",IF($S232="Lớp 5",INDEX('Lớp 5 - Phân công'!$K$14:$K$262,$T232),IF($S232="Lớp 4",INDEX('Lớp 4 - Danh mục'!$J$14:$J$132,$T232),INDEX('Lớp 3 - Công việc chính'!$I$14:$I$73,$T232))))</f>
        <v>#REF!</v>
      </c>
      <c r="D232" s="690" t="str">
        <f t="array" ref="D232">IF($S232="","",IF($S232="Lớp 5",INDEX('Lớp 5 - Phân công'!$J$14:$J$262,$T232),IF($S232="Lớp 4",INDEX('Lớp 4 - Danh mục'!$I$14:$I$132,$T232),"")))</f>
        <v>#REF!</v>
      </c>
      <c r="E232" s="690" t="str">
        <f t="array" ref="E232">IF($S232="","",IF($S232="Lớp 5",INDEX('Lớp 5 - Phân công'!$L$14:$L$262,$T232),IF($S232="Lớp 4",INDEX('Lớp 4 - Danh mục'!$K$14:$K$132,$T232),INDEX('Lớp 3 - Công việc chính'!$J$14:$J$73,$T232))))</f>
        <v>#REF!</v>
      </c>
      <c r="F232" s="690" t="str">
        <f t="array" ref="F232">IF($S232="","",IF($S232="Lớp 5",INDEX('Lớp 5 - Phân công'!$M$14:$M$262,$T232),IF($S232="Lớp 4",INDEX('Lớp 4 - Danh mục'!$L$14:$L$132,$T232),INDEX('Lớp 3 - Công việc chính'!$K$14:$K$73,$T232))))</f>
        <v>#REF!</v>
      </c>
      <c r="G232" s="691" t="str">
        <f t="array" ref="G232">IF($S232="","",IF($S232="Lớp 5",INDEX('Lớp 5 - Phân công'!$N$14:$N$262,$T232),IF($S232="Lớp 4",INDEX('Lớp 4 - Danh mục'!$M$14:$M$132,$T232),INDEX('Lớp 3 - Công việc chính'!$L$14:$L$73,$T232))))</f>
        <v>#REF!</v>
      </c>
      <c r="H232" s="692" t="str">
        <f t="array" ref="H232">IF($S232="","",IF($S232="Lớp 5",INDEX('Lớp 5 - Phân công'!$O$14:$O$262,$T232),IF($S232="Lớp 4",INDEX('Lớp 4 - Danh mục'!$N$14:$N$132,$T232),INDEX('Lớp 3 - Công việc chính'!$M$14:$M$73,$T232))))</f>
        <v>#REF!</v>
      </c>
      <c r="I232" s="692" t="str">
        <f t="array" ref="I232">IF($S232="","",IF($S232="Lớp 5",INDEX('Lớp 5 - Phân công'!$P$14:$P$262,$T232),IF($S232="Lớp 4",INDEX('Lớp 4 - Danh mục'!$O$14:$O$132,$T232),"")))</f>
        <v>#REF!</v>
      </c>
      <c r="J232" s="693" t="str">
        <f t="array" ref="J232">IF($S232="","",IF($S232="Lớp 5",INDEX('Lớp 5 - Phân công'!$Q$14:$Q$262,$T232),""))</f>
        <v>#REF!</v>
      </c>
      <c r="K232" s="690" t="str">
        <f t="array" ref="K232">IF($S232="","",IF($S232="Lớp 5",INDEX('Lớp 5 - Phân công'!$AA$14:$AA$262,$T232),IF($S232="Lớp 4",INDEX('Lớp 4 - Danh mục'!$Y$14:$Y$132,$T232),INDEX('Lớp 3 - Công việc chính'!$U$14:$U$73,$T232))))</f>
        <v>#REF!</v>
      </c>
      <c r="L232" s="691" t="str">
        <f t="array" ref="L232">IF($S232="","",IF($S232="Lớp 5",INDEX('Lớp 5 - Phân công'!$Z$14:$Z$262,$T232),IF($S232="Lớp 4",INDEX('Lớp 4 - Danh mục'!$X$14:$X$132,$T232),INDEX('Lớp 3 - Công việc chính'!$W$14:$W$73,$T232))))</f>
        <v>#REF!</v>
      </c>
      <c r="M232" s="694" t="str">
        <f t="array" ref="M232">IF($S232="","",IF($S232="Lớp 5",INDEX('Lớp 5 - Phân công'!$AD$14:$AD$262,$T232),IF($S232="Lớp 4",INDEX('Lớp 4 - Danh mục'!$AC$14:$AC$132,$T232),INDEX('Lớp 3 - Công việc chính'!$Z$14:$Z$73,$T232))))</f>
        <v>#REF!</v>
      </c>
      <c r="N232" s="695" t="str">
        <f t="array" ref="N232">IF($S232="","",IF($S232="Lớp 5",INDEX('Lớp 5 - Phân công'!$AE$14:$AE$262,$T232),IF($S232="Lớp 4",INDEX('Lớp 4 - Danh mục'!$AD$14:$AD$132,$T232),INDEX('Lớp 3 - Công việc chính'!$AA$14:$AA$73,$T232))))</f>
        <v>#REF!</v>
      </c>
      <c r="O232" s="690" t="str">
        <f t="array" ref="O232">IF($S232="","",IF($S232="Lớp 5",INDEX('Lớp 5 - Phân công'!$AB$14:$AB$262,$T232),IF($S232="Lớp 4",INDEX('Lớp 4 - Danh mục'!$AA$14:$AA$132,$T232),INDEX('Lớp 3 - Công việc chính'!$X$14:$X$73,$T232))))</f>
        <v>#REF!</v>
      </c>
      <c r="P232" s="703" t="str">
        <f t="array" ref="P232">IF($S232="","",IF($S232="Lớp 5",INDEX('Lớp 5 - Phân công'!$AC$14:$AC$262,$T232),IF($S232="Lớp 4",INDEX('Lớp 4 - Danh mục'!$AB$14:$AB$132,$T232),INDEX('Lớp 3 - Công việc chính'!$Y$14:$Y$73,$T232))))</f>
        <v>#REF!</v>
      </c>
      <c r="Q232" s="697" t="str">
        <f t="array" ref="Q232">IF($S232="","",IF($S232="Lớp 5",INDEX('Lớp 5 - Phân công'!$AG$14:$AG$262,$T232),IF($S232="Lớp 4",INDEX('Lớp 4 - Danh mục'!$AF$14:$AF$132,$T232),INDEX('Lớp 3 - Công việc chính'!$AC$14:$AC$73,$T232))))</f>
        <v>#REF!</v>
      </c>
      <c r="R232" s="698" t="str">
        <f t="array" ref="R232">IF($S232="","",IF($S232="Lớp 5",INDEX('Lớp 5 - Phân công'!$X$14:$X$262,$T232),IF($S232="Lớp 4",INDEX('Lớp 4 - Danh mục'!$V$14:$V$132,$T232),INDEX('Lớp 3 - Công việc chính'!$T$14:$T$73,$T232))))</f>
        <v>#REF!</v>
      </c>
      <c r="S232" s="699" t="str">
        <f>IF(ROWS($S$14:S232)&lt;=COUNTIF('Lớp 5 - Phân công'!$I$14:$I$262,"&lt;&gt;"),"Lớp 5",IF(ROWS($S$14:S232)&lt;=COUNTIF('Lớp 5 - Phân công'!$I$14:$I$262,"&lt;&gt;")+SUMPRODUCT(--('Lớp 4 - Danh mục'!$I$14:$I$132&lt;&gt;""),--(COUNTIF('Lớp 5 - Phân công'!$J$14:$J$262,'Lớp 4 - Danh mục'!$I$14:$I$132)=0)),"Lớp 4",IF(ROWS($S$14:S232)&lt;=COUNTIF('Lớp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2" s="699" t="str">
        <f t="array" ref="T232">IF(S232="","",IF(S232="Lớp 5",IF(S231&lt;&gt;"Lớp 5",MATCH("*",'Lớp 5 - Phân công'!$I$14:$I$262,0),T231+MATCH("*",INDEX('Lớp 5 - Phân công'!$I$14:$I$262,T231+1):'Lớp 5 - Phân công'!$I$262,0)),IF(S232="Lớp 4",IF(S231&lt;&gt;"Lớp 4",MATCH(1,INDEX(('Lớp 4 - Danh mục'!$I$14:$I$132&lt;&gt;"")*(COUNTIF('Lớp 5 - Phân công'!$J$14:$J$262,'Lớp 4 - Danh mục'!$I$14:$I$132)=0),0),0),T231+MATCH(1,INDEX((INDEX('Lớp 4 - Danh mục'!$I$14:$I$132,T231+1):'Lớp 4 - Danh mục'!$I$132&lt;&gt;"")*(COUNTIF('Lớp 5 - Phân công'!$J$14:$J$262,INDEX('Lớp 4 - Danh mục'!$I$14:$I$132,T231+1):'Lớp 4 - Danh mục'!$I$132)=0),0),0)),IF(S231&lt;&gt;"Lớp 3",MATCH(1,INDEX(('Lớp 3 - Công việc chính'!$I$14:$I$73&lt;&gt;"")*(COUNTIF('Lớp 4 - Danh mục'!$J$14:$J$132,'Lớp 3 - Công việc chính'!$I$14:$I$73)=0),0),0),T231+MATCH(1,INDEX((INDEX('Lớp 3 - Công việc chính'!$I$14:$I$73,T231+1):'Lớp 3 - Công việc chính'!$I$73&lt;&gt;"")*(COUNTIF('Lớp 4 - Danh mục'!$J$14:$J$132,INDEX('Lớp 3 - Công việc chính'!$I$14:$I$73,T231+1):'Lớp 3 - Công việc chính'!$I$73)=0),0),0)))))</f>
        <v>#REF!</v>
      </c>
      <c r="Z232" s="700" t="str">
        <f t="array" ref="Z232">IF($S232="","",IF($S232="Lớp 5",INDEX('Lớp 5 - Phân công'!$AS$14:$AS$262,$T232),IF($S232="Lớp 4",INDEX('Lớp 4 - Danh mục'!$AR$14:$AR$132,$T232),INDEX('Lớp 3 - Công việc chính'!$AO$14:$AO$73,$T232))))</f>
        <v>#REF!</v>
      </c>
      <c r="AA232" s="701" t="str">
        <f t="array" ref="AA232">IF($S232="","",IF($S232="Lớp 5",INDEX('Lớp 5 - Phân công'!$AT$14:$AT$262,$T232),IF($S232="Lớp 4",INDEX('Lớp 4 - Danh mục'!$AS$14:$AS$132,$T232),INDEX('Lớp 3 - Công việc chính'!$AP$14:$AP$73,$T232))))</f>
        <v>#REF!</v>
      </c>
      <c r="AB232" s="701" t="str">
        <f t="array" ref="AB232">IF($S232="","",IF($S232="Lớp 5",INDEX('Lớp 5 - Phân công'!$AJ$14:$AJ$262,$T232),IF($S232="Lớp 4",INDEX('Lớp 4 - Danh mục'!$AI$14:$AI$132,$T232),INDEX('Lớp 3 - Công việc chính'!$AF$14:$AF$73,$T232))))</f>
        <v>#REF!</v>
      </c>
      <c r="AC232" s="702" t="str">
        <f t="array" ref="AC232">IF($S232="","",IF($S232="Lớp 5",INDEX('Lớp 5 - Phân công'!$AV$14:$AV$262,$T232),IF($S232="Lớp 4",INDEX('Lớp 4 - Danh mục'!$AU$14:$AU$132,$T232),INDEX('Lớp 3 - Công việc chính'!$AR$14:$AR$73,$T232))))</f>
        <v>#REF!</v>
      </c>
    </row>
    <row r="233" ht="15.75" customHeight="1">
      <c r="A233" s="690" t="str">
        <f t="shared" si="1"/>
        <v>#REF!</v>
      </c>
      <c r="B233" s="690" t="str">
        <f t="array" ref="B233">IF($S233="","",IF($S233="Lớp 5",INDEX('Lớp 5 - Phân công'!$I$14:$I$262,$T233),IF($S233="Lớp 4",INDEX('Lớp 4 - Danh mục'!$I$14:$I$132,$T233),INDEX('Lớp 3 - Công việc chính'!$I$14:$I$73,$T233))))</f>
        <v>#REF!</v>
      </c>
      <c r="C233" s="690" t="str">
        <f t="array" ref="C233">IF($S233="","",IF($S233="Lớp 5",INDEX('Lớp 5 - Phân công'!$K$14:$K$262,$T233),IF($S233="Lớp 4",INDEX('Lớp 4 - Danh mục'!$J$14:$J$132,$T233),INDEX('Lớp 3 - Công việc chính'!$I$14:$I$73,$T233))))</f>
        <v>#REF!</v>
      </c>
      <c r="D233" s="690" t="str">
        <f t="array" ref="D233">IF($S233="","",IF($S233="Lớp 5",INDEX('Lớp 5 - Phân công'!$J$14:$J$262,$T233),IF($S233="Lớp 4",INDEX('Lớp 4 - Danh mục'!$I$14:$I$132,$T233),"")))</f>
        <v>#REF!</v>
      </c>
      <c r="E233" s="690" t="str">
        <f t="array" ref="E233">IF($S233="","",IF($S233="Lớp 5",INDEX('Lớp 5 - Phân công'!$L$14:$L$262,$T233),IF($S233="Lớp 4",INDEX('Lớp 4 - Danh mục'!$K$14:$K$132,$T233),INDEX('Lớp 3 - Công việc chính'!$J$14:$J$73,$T233))))</f>
        <v>#REF!</v>
      </c>
      <c r="F233" s="690" t="str">
        <f t="array" ref="F233">IF($S233="","",IF($S233="Lớp 5",INDEX('Lớp 5 - Phân công'!$M$14:$M$262,$T233),IF($S233="Lớp 4",INDEX('Lớp 4 - Danh mục'!$L$14:$L$132,$T233),INDEX('Lớp 3 - Công việc chính'!$K$14:$K$73,$T233))))</f>
        <v>#REF!</v>
      </c>
      <c r="G233" s="691" t="str">
        <f t="array" ref="G233">IF($S233="","",IF($S233="Lớp 5",INDEX('Lớp 5 - Phân công'!$N$14:$N$262,$T233),IF($S233="Lớp 4",INDEX('Lớp 4 - Danh mục'!$M$14:$M$132,$T233),INDEX('Lớp 3 - Công việc chính'!$L$14:$L$73,$T233))))</f>
        <v>#REF!</v>
      </c>
      <c r="H233" s="692" t="str">
        <f t="array" ref="H233">IF($S233="","",IF($S233="Lớp 5",INDEX('Lớp 5 - Phân công'!$O$14:$O$262,$T233),IF($S233="Lớp 4",INDEX('Lớp 4 - Danh mục'!$N$14:$N$132,$T233),INDEX('Lớp 3 - Công việc chính'!$M$14:$M$73,$T233))))</f>
        <v>#REF!</v>
      </c>
      <c r="I233" s="692" t="str">
        <f t="array" ref="I233">IF($S233="","",IF($S233="Lớp 5",INDEX('Lớp 5 - Phân công'!$P$14:$P$262,$T233),IF($S233="Lớp 4",INDEX('Lớp 4 - Danh mục'!$O$14:$O$132,$T233),"")))</f>
        <v>#REF!</v>
      </c>
      <c r="J233" s="693" t="str">
        <f t="array" ref="J233">IF($S233="","",IF($S233="Lớp 5",INDEX('Lớp 5 - Phân công'!$Q$14:$Q$262,$T233),""))</f>
        <v>#REF!</v>
      </c>
      <c r="K233" s="690" t="str">
        <f t="array" ref="K233">IF($S233="","",IF($S233="Lớp 5",INDEX('Lớp 5 - Phân công'!$AA$14:$AA$262,$T233),IF($S233="Lớp 4",INDEX('Lớp 4 - Danh mục'!$Y$14:$Y$132,$T233),INDEX('Lớp 3 - Công việc chính'!$U$14:$U$73,$T233))))</f>
        <v>#REF!</v>
      </c>
      <c r="L233" s="691" t="str">
        <f t="array" ref="L233">IF($S233="","",IF($S233="Lớp 5",INDEX('Lớp 5 - Phân công'!$Z$14:$Z$262,$T233),IF($S233="Lớp 4",INDEX('Lớp 4 - Danh mục'!$X$14:$X$132,$T233),INDEX('Lớp 3 - Công việc chính'!$W$14:$W$73,$T233))))</f>
        <v>#REF!</v>
      </c>
      <c r="M233" s="694" t="str">
        <f t="array" ref="M233">IF($S233="","",IF($S233="Lớp 5",INDEX('Lớp 5 - Phân công'!$AD$14:$AD$262,$T233),IF($S233="Lớp 4",INDEX('Lớp 4 - Danh mục'!$AC$14:$AC$132,$T233),INDEX('Lớp 3 - Công việc chính'!$Z$14:$Z$73,$T233))))</f>
        <v>#REF!</v>
      </c>
      <c r="N233" s="695" t="str">
        <f t="array" ref="N233">IF($S233="","",IF($S233="Lớp 5",INDEX('Lớp 5 - Phân công'!$AE$14:$AE$262,$T233),IF($S233="Lớp 4",INDEX('Lớp 4 - Danh mục'!$AD$14:$AD$132,$T233),INDEX('Lớp 3 - Công việc chính'!$AA$14:$AA$73,$T233))))</f>
        <v>#REF!</v>
      </c>
      <c r="O233" s="690" t="str">
        <f t="array" ref="O233">IF($S233="","",IF($S233="Lớp 5",INDEX('Lớp 5 - Phân công'!$AB$14:$AB$262,$T233),IF($S233="Lớp 4",INDEX('Lớp 4 - Danh mục'!$AA$14:$AA$132,$T233),INDEX('Lớp 3 - Công việc chính'!$X$14:$X$73,$T233))))</f>
        <v>#REF!</v>
      </c>
      <c r="P233" s="703" t="str">
        <f t="array" ref="P233">IF($S233="","",IF($S233="Lớp 5",INDEX('Lớp 5 - Phân công'!$AC$14:$AC$262,$T233),IF($S233="Lớp 4",INDEX('Lớp 4 - Danh mục'!$AB$14:$AB$132,$T233),INDEX('Lớp 3 - Công việc chính'!$Y$14:$Y$73,$T233))))</f>
        <v>#REF!</v>
      </c>
      <c r="Q233" s="697" t="str">
        <f t="array" ref="Q233">IF($S233="","",IF($S233="Lớp 5",INDEX('Lớp 5 - Phân công'!$AG$14:$AG$262,$T233),IF($S233="Lớp 4",INDEX('Lớp 4 - Danh mục'!$AF$14:$AF$132,$T233),INDEX('Lớp 3 - Công việc chính'!$AC$14:$AC$73,$T233))))</f>
        <v>#REF!</v>
      </c>
      <c r="R233" s="698" t="str">
        <f t="array" ref="R233">IF($S233="","",IF($S233="Lớp 5",INDEX('Lớp 5 - Phân công'!$X$14:$X$262,$T233),IF($S233="Lớp 4",INDEX('Lớp 4 - Danh mục'!$V$14:$V$132,$T233),INDEX('Lớp 3 - Công việc chính'!$T$14:$T$73,$T233))))</f>
        <v>#REF!</v>
      </c>
      <c r="S233" s="699" t="str">
        <f>IF(ROWS($S$14:S233)&lt;=COUNTIF('Lớp 5 - Phân công'!$I$14:$I$262,"&lt;&gt;"),"Lớp 5",IF(ROWS($S$14:S233)&lt;=COUNTIF('Lớp 5 - Phân công'!$I$14:$I$262,"&lt;&gt;")+SUMPRODUCT(--('Lớp 4 - Danh mục'!$I$14:$I$132&lt;&gt;""),--(COUNTIF('Lớp 5 - Phân công'!$J$14:$J$262,'Lớp 4 - Danh mục'!$I$14:$I$132)=0)),"Lớp 4",IF(ROWS($S$14:S233)&lt;=COUNTIF('Lớp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3" s="699" t="str">
        <f t="array" ref="T233">IF(S233="","",IF(S233="Lớp 5",IF(S232&lt;&gt;"Lớp 5",MATCH("*",'Lớp 5 - Phân công'!$I$14:$I$262,0),T232+MATCH("*",INDEX('Lớp 5 - Phân công'!$I$14:$I$262,T232+1):'Lớp 5 - Phân công'!$I$262,0)),IF(S233="Lớp 4",IF(S232&lt;&gt;"Lớp 4",MATCH(1,INDEX(('Lớp 4 - Danh mục'!$I$14:$I$132&lt;&gt;"")*(COUNTIF('Lớp 5 - Phân công'!$J$14:$J$262,'Lớp 4 - Danh mục'!$I$14:$I$132)=0),0),0),T232+MATCH(1,INDEX((INDEX('Lớp 4 - Danh mục'!$I$14:$I$132,T232+1):'Lớp 4 - Danh mục'!$I$132&lt;&gt;"")*(COUNTIF('Lớp 5 - Phân công'!$J$14:$J$262,INDEX('Lớp 4 - Danh mục'!$I$14:$I$132,T232+1):'Lớp 4 - Danh mục'!$I$132)=0),0),0)),IF(S232&lt;&gt;"Lớp 3",MATCH(1,INDEX(('Lớp 3 - Công việc chính'!$I$14:$I$73&lt;&gt;"")*(COUNTIF('Lớp 4 - Danh mục'!$J$14:$J$132,'Lớp 3 - Công việc chính'!$I$14:$I$73)=0),0),0),T232+MATCH(1,INDEX((INDEX('Lớp 3 - Công việc chính'!$I$14:$I$73,T232+1):'Lớp 3 - Công việc chính'!$I$73&lt;&gt;"")*(COUNTIF('Lớp 4 - Danh mục'!$J$14:$J$132,INDEX('Lớp 3 - Công việc chính'!$I$14:$I$73,T232+1):'Lớp 3 - Công việc chính'!$I$73)=0),0),0)))))</f>
        <v>#REF!</v>
      </c>
      <c r="Z233" s="700" t="str">
        <f t="array" ref="Z233">IF($S233="","",IF($S233="Lớp 5",INDEX('Lớp 5 - Phân công'!$AS$14:$AS$262,$T233),IF($S233="Lớp 4",INDEX('Lớp 4 - Danh mục'!$AR$14:$AR$132,$T233),INDEX('Lớp 3 - Công việc chính'!$AO$14:$AO$73,$T233))))</f>
        <v>#REF!</v>
      </c>
      <c r="AA233" s="701" t="str">
        <f t="array" ref="AA233">IF($S233="","",IF($S233="Lớp 5",INDEX('Lớp 5 - Phân công'!$AT$14:$AT$262,$T233),IF($S233="Lớp 4",INDEX('Lớp 4 - Danh mục'!$AS$14:$AS$132,$T233),INDEX('Lớp 3 - Công việc chính'!$AP$14:$AP$73,$T233))))</f>
        <v>#REF!</v>
      </c>
      <c r="AB233" s="701" t="str">
        <f t="array" ref="AB233">IF($S233="","",IF($S233="Lớp 5",INDEX('Lớp 5 - Phân công'!$AJ$14:$AJ$262,$T233),IF($S233="Lớp 4",INDEX('Lớp 4 - Danh mục'!$AI$14:$AI$132,$T233),INDEX('Lớp 3 - Công việc chính'!$AF$14:$AF$73,$T233))))</f>
        <v>#REF!</v>
      </c>
      <c r="AC233" s="702" t="str">
        <f t="array" ref="AC233">IF($S233="","",IF($S233="Lớp 5",INDEX('Lớp 5 - Phân công'!$AV$14:$AV$262,$T233),IF($S233="Lớp 4",INDEX('Lớp 4 - Danh mục'!$AU$14:$AU$132,$T233),INDEX('Lớp 3 - Công việc chính'!$AR$14:$AR$73,$T233))))</f>
        <v>#REF!</v>
      </c>
    </row>
    <row r="234" ht="15.75" customHeight="1">
      <c r="A234" s="690" t="str">
        <f t="shared" si="1"/>
        <v>#REF!</v>
      </c>
      <c r="B234" s="690" t="str">
        <f t="array" ref="B234">IF($S234="","",IF($S234="Lớp 5",INDEX('Lớp 5 - Phân công'!$I$14:$I$262,$T234),IF($S234="Lớp 4",INDEX('Lớp 4 - Danh mục'!$I$14:$I$132,$T234),INDEX('Lớp 3 - Công việc chính'!$I$14:$I$73,$T234))))</f>
        <v>#REF!</v>
      </c>
      <c r="C234" s="690" t="str">
        <f t="array" ref="C234">IF($S234="","",IF($S234="Lớp 5",INDEX('Lớp 5 - Phân công'!$K$14:$K$262,$T234),IF($S234="Lớp 4",INDEX('Lớp 4 - Danh mục'!$J$14:$J$132,$T234),INDEX('Lớp 3 - Công việc chính'!$I$14:$I$73,$T234))))</f>
        <v>#REF!</v>
      </c>
      <c r="D234" s="690" t="str">
        <f t="array" ref="D234">IF($S234="","",IF($S234="Lớp 5",INDEX('Lớp 5 - Phân công'!$J$14:$J$262,$T234),IF($S234="Lớp 4",INDEX('Lớp 4 - Danh mục'!$I$14:$I$132,$T234),"")))</f>
        <v>#REF!</v>
      </c>
      <c r="E234" s="690" t="str">
        <f t="array" ref="E234">IF($S234="","",IF($S234="Lớp 5",INDEX('Lớp 5 - Phân công'!$L$14:$L$262,$T234),IF($S234="Lớp 4",INDEX('Lớp 4 - Danh mục'!$K$14:$K$132,$T234),INDEX('Lớp 3 - Công việc chính'!$J$14:$J$73,$T234))))</f>
        <v>#REF!</v>
      </c>
      <c r="F234" s="690" t="str">
        <f t="array" ref="F234">IF($S234="","",IF($S234="Lớp 5",INDEX('Lớp 5 - Phân công'!$M$14:$M$262,$T234),IF($S234="Lớp 4",INDEX('Lớp 4 - Danh mục'!$L$14:$L$132,$T234),INDEX('Lớp 3 - Công việc chính'!$K$14:$K$73,$T234))))</f>
        <v>#REF!</v>
      </c>
      <c r="G234" s="691" t="str">
        <f t="array" ref="G234">IF($S234="","",IF($S234="Lớp 5",INDEX('Lớp 5 - Phân công'!$N$14:$N$262,$T234),IF($S234="Lớp 4",INDEX('Lớp 4 - Danh mục'!$M$14:$M$132,$T234),INDEX('Lớp 3 - Công việc chính'!$L$14:$L$73,$T234))))</f>
        <v>#REF!</v>
      </c>
      <c r="H234" s="692" t="str">
        <f t="array" ref="H234">IF($S234="","",IF($S234="Lớp 5",INDEX('Lớp 5 - Phân công'!$O$14:$O$262,$T234),IF($S234="Lớp 4",INDEX('Lớp 4 - Danh mục'!$N$14:$N$132,$T234),INDEX('Lớp 3 - Công việc chính'!$M$14:$M$73,$T234))))</f>
        <v>#REF!</v>
      </c>
      <c r="I234" s="692" t="str">
        <f t="array" ref="I234">IF($S234="","",IF($S234="Lớp 5",INDEX('Lớp 5 - Phân công'!$P$14:$P$262,$T234),IF($S234="Lớp 4",INDEX('Lớp 4 - Danh mục'!$O$14:$O$132,$T234),"")))</f>
        <v>#REF!</v>
      </c>
      <c r="J234" s="693" t="str">
        <f t="array" ref="J234">IF($S234="","",IF($S234="Lớp 5",INDEX('Lớp 5 - Phân công'!$Q$14:$Q$262,$T234),""))</f>
        <v>#REF!</v>
      </c>
      <c r="K234" s="690" t="str">
        <f t="array" ref="K234">IF($S234="","",IF($S234="Lớp 5",INDEX('Lớp 5 - Phân công'!$AA$14:$AA$262,$T234),IF($S234="Lớp 4",INDEX('Lớp 4 - Danh mục'!$Y$14:$Y$132,$T234),INDEX('Lớp 3 - Công việc chính'!$U$14:$U$73,$T234))))</f>
        <v>#REF!</v>
      </c>
      <c r="L234" s="691" t="str">
        <f t="array" ref="L234">IF($S234="","",IF($S234="Lớp 5",INDEX('Lớp 5 - Phân công'!$Z$14:$Z$262,$T234),IF($S234="Lớp 4",INDEX('Lớp 4 - Danh mục'!$X$14:$X$132,$T234),INDEX('Lớp 3 - Công việc chính'!$W$14:$W$73,$T234))))</f>
        <v>#REF!</v>
      </c>
      <c r="M234" s="694" t="str">
        <f t="array" ref="M234">IF($S234="","",IF($S234="Lớp 5",INDEX('Lớp 5 - Phân công'!$AD$14:$AD$262,$T234),IF($S234="Lớp 4",INDEX('Lớp 4 - Danh mục'!$AC$14:$AC$132,$T234),INDEX('Lớp 3 - Công việc chính'!$Z$14:$Z$73,$T234))))</f>
        <v>#REF!</v>
      </c>
      <c r="N234" s="695" t="str">
        <f t="array" ref="N234">IF($S234="","",IF($S234="Lớp 5",INDEX('Lớp 5 - Phân công'!$AE$14:$AE$262,$T234),IF($S234="Lớp 4",INDEX('Lớp 4 - Danh mục'!$AD$14:$AD$132,$T234),INDEX('Lớp 3 - Công việc chính'!$AA$14:$AA$73,$T234))))</f>
        <v>#REF!</v>
      </c>
      <c r="O234" s="690" t="str">
        <f t="array" ref="O234">IF($S234="","",IF($S234="Lớp 5",INDEX('Lớp 5 - Phân công'!$AB$14:$AB$262,$T234),IF($S234="Lớp 4",INDEX('Lớp 4 - Danh mục'!$AA$14:$AA$132,$T234),INDEX('Lớp 3 - Công việc chính'!$X$14:$X$73,$T234))))</f>
        <v>#REF!</v>
      </c>
      <c r="P234" s="703" t="str">
        <f t="array" ref="P234">IF($S234="","",IF($S234="Lớp 5",INDEX('Lớp 5 - Phân công'!$AC$14:$AC$262,$T234),IF($S234="Lớp 4",INDEX('Lớp 4 - Danh mục'!$AB$14:$AB$132,$T234),INDEX('Lớp 3 - Công việc chính'!$Y$14:$Y$73,$T234))))</f>
        <v>#REF!</v>
      </c>
      <c r="Q234" s="697" t="str">
        <f t="array" ref="Q234">IF($S234="","",IF($S234="Lớp 5",INDEX('Lớp 5 - Phân công'!$AG$14:$AG$262,$T234),IF($S234="Lớp 4",INDEX('Lớp 4 - Danh mục'!$AF$14:$AF$132,$T234),INDEX('Lớp 3 - Công việc chính'!$AC$14:$AC$73,$T234))))</f>
        <v>#REF!</v>
      </c>
      <c r="R234" s="698" t="str">
        <f t="array" ref="R234">IF($S234="","",IF($S234="Lớp 5",INDEX('Lớp 5 - Phân công'!$X$14:$X$262,$T234),IF($S234="Lớp 4",INDEX('Lớp 4 - Danh mục'!$V$14:$V$132,$T234),INDEX('Lớp 3 - Công việc chính'!$T$14:$T$73,$T234))))</f>
        <v>#REF!</v>
      </c>
      <c r="S234" s="699" t="str">
        <f>IF(ROWS($S$14:S234)&lt;=COUNTIF('Lớp 5 - Phân công'!$I$14:$I$262,"&lt;&gt;"),"Lớp 5",IF(ROWS($S$14:S234)&lt;=COUNTIF('Lớp 5 - Phân công'!$I$14:$I$262,"&lt;&gt;")+SUMPRODUCT(--('Lớp 4 - Danh mục'!$I$14:$I$132&lt;&gt;""),--(COUNTIF('Lớp 5 - Phân công'!$J$14:$J$262,'Lớp 4 - Danh mục'!$I$14:$I$132)=0)),"Lớp 4",IF(ROWS($S$14:S234)&lt;=COUNTIF('Lớp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4" s="699" t="str">
        <f t="array" ref="T234">IF(S234="","",IF(S234="Lớp 5",IF(S233&lt;&gt;"Lớp 5",MATCH("*",'Lớp 5 - Phân công'!$I$14:$I$262,0),T233+MATCH("*",INDEX('Lớp 5 - Phân công'!$I$14:$I$262,T233+1):'Lớp 5 - Phân công'!$I$262,0)),IF(S234="Lớp 4",IF(S233&lt;&gt;"Lớp 4",MATCH(1,INDEX(('Lớp 4 - Danh mục'!$I$14:$I$132&lt;&gt;"")*(COUNTIF('Lớp 5 - Phân công'!$J$14:$J$262,'Lớp 4 - Danh mục'!$I$14:$I$132)=0),0),0),T233+MATCH(1,INDEX((INDEX('Lớp 4 - Danh mục'!$I$14:$I$132,T233+1):'Lớp 4 - Danh mục'!$I$132&lt;&gt;"")*(COUNTIF('Lớp 5 - Phân công'!$J$14:$J$262,INDEX('Lớp 4 - Danh mục'!$I$14:$I$132,T233+1):'Lớp 4 - Danh mục'!$I$132)=0),0),0)),IF(S233&lt;&gt;"Lớp 3",MATCH(1,INDEX(('Lớp 3 - Công việc chính'!$I$14:$I$73&lt;&gt;"")*(COUNTIF('Lớp 4 - Danh mục'!$J$14:$J$132,'Lớp 3 - Công việc chính'!$I$14:$I$73)=0),0),0),T233+MATCH(1,INDEX((INDEX('Lớp 3 - Công việc chính'!$I$14:$I$73,T233+1):'Lớp 3 - Công việc chính'!$I$73&lt;&gt;"")*(COUNTIF('Lớp 4 - Danh mục'!$J$14:$J$132,INDEX('Lớp 3 - Công việc chính'!$I$14:$I$73,T233+1):'Lớp 3 - Công việc chính'!$I$73)=0),0),0)))))</f>
        <v>#REF!</v>
      </c>
      <c r="Z234" s="700" t="str">
        <f t="array" ref="Z234">IF($S234="","",IF($S234="Lớp 5",INDEX('Lớp 5 - Phân công'!$AS$14:$AS$262,$T234),IF($S234="Lớp 4",INDEX('Lớp 4 - Danh mục'!$AR$14:$AR$132,$T234),INDEX('Lớp 3 - Công việc chính'!$AO$14:$AO$73,$T234))))</f>
        <v>#REF!</v>
      </c>
      <c r="AA234" s="701" t="str">
        <f t="array" ref="AA234">IF($S234="","",IF($S234="Lớp 5",INDEX('Lớp 5 - Phân công'!$AT$14:$AT$262,$T234),IF($S234="Lớp 4",INDEX('Lớp 4 - Danh mục'!$AS$14:$AS$132,$T234),INDEX('Lớp 3 - Công việc chính'!$AP$14:$AP$73,$T234))))</f>
        <v>#REF!</v>
      </c>
      <c r="AB234" s="701" t="str">
        <f t="array" ref="AB234">IF($S234="","",IF($S234="Lớp 5",INDEX('Lớp 5 - Phân công'!$AJ$14:$AJ$262,$T234),IF($S234="Lớp 4",INDEX('Lớp 4 - Danh mục'!$AI$14:$AI$132,$T234),INDEX('Lớp 3 - Công việc chính'!$AF$14:$AF$73,$T234))))</f>
        <v>#REF!</v>
      </c>
      <c r="AC234" s="702" t="str">
        <f t="array" ref="AC234">IF($S234="","",IF($S234="Lớp 5",INDEX('Lớp 5 - Phân công'!$AV$14:$AV$262,$T234),IF($S234="Lớp 4",INDEX('Lớp 4 - Danh mục'!$AU$14:$AU$132,$T234),INDEX('Lớp 3 - Công việc chính'!$AR$14:$AR$73,$T234))))</f>
        <v>#REF!</v>
      </c>
    </row>
    <row r="235" ht="15.75" customHeight="1">
      <c r="A235" s="690" t="str">
        <f t="shared" si="1"/>
        <v>#REF!</v>
      </c>
      <c r="B235" s="690" t="str">
        <f t="array" ref="B235">IF($S235="","",IF($S235="Lớp 5",INDEX('Lớp 5 - Phân công'!$I$14:$I$262,$T235),IF($S235="Lớp 4",INDEX('Lớp 4 - Danh mục'!$I$14:$I$132,$T235),INDEX('Lớp 3 - Công việc chính'!$I$14:$I$73,$T235))))</f>
        <v>#REF!</v>
      </c>
      <c r="C235" s="690" t="str">
        <f t="array" ref="C235">IF($S235="","",IF($S235="Lớp 5",INDEX('Lớp 5 - Phân công'!$K$14:$K$262,$T235),IF($S235="Lớp 4",INDEX('Lớp 4 - Danh mục'!$J$14:$J$132,$T235),INDEX('Lớp 3 - Công việc chính'!$I$14:$I$73,$T235))))</f>
        <v>#REF!</v>
      </c>
      <c r="D235" s="690" t="str">
        <f t="array" ref="D235">IF($S235="","",IF($S235="Lớp 5",INDEX('Lớp 5 - Phân công'!$J$14:$J$262,$T235),IF($S235="Lớp 4",INDEX('Lớp 4 - Danh mục'!$I$14:$I$132,$T235),"")))</f>
        <v>#REF!</v>
      </c>
      <c r="E235" s="690" t="str">
        <f t="array" ref="E235">IF($S235="","",IF($S235="Lớp 5",INDEX('Lớp 5 - Phân công'!$L$14:$L$262,$T235),IF($S235="Lớp 4",INDEX('Lớp 4 - Danh mục'!$K$14:$K$132,$T235),INDEX('Lớp 3 - Công việc chính'!$J$14:$J$73,$T235))))</f>
        <v>#REF!</v>
      </c>
      <c r="F235" s="690" t="str">
        <f t="array" ref="F235">IF($S235="","",IF($S235="Lớp 5",INDEX('Lớp 5 - Phân công'!$M$14:$M$262,$T235),IF($S235="Lớp 4",INDEX('Lớp 4 - Danh mục'!$L$14:$L$132,$T235),INDEX('Lớp 3 - Công việc chính'!$K$14:$K$73,$T235))))</f>
        <v>#REF!</v>
      </c>
      <c r="G235" s="691" t="str">
        <f t="array" ref="G235">IF($S235="","",IF($S235="Lớp 5",INDEX('Lớp 5 - Phân công'!$N$14:$N$262,$T235),IF($S235="Lớp 4",INDEX('Lớp 4 - Danh mục'!$M$14:$M$132,$T235),INDEX('Lớp 3 - Công việc chính'!$L$14:$L$73,$T235))))</f>
        <v>#REF!</v>
      </c>
      <c r="H235" s="692" t="str">
        <f t="array" ref="H235">IF($S235="","",IF($S235="Lớp 5",INDEX('Lớp 5 - Phân công'!$O$14:$O$262,$T235),IF($S235="Lớp 4",INDEX('Lớp 4 - Danh mục'!$N$14:$N$132,$T235),INDEX('Lớp 3 - Công việc chính'!$M$14:$M$73,$T235))))</f>
        <v>#REF!</v>
      </c>
      <c r="I235" s="692" t="str">
        <f t="array" ref="I235">IF($S235="","",IF($S235="Lớp 5",INDEX('Lớp 5 - Phân công'!$P$14:$P$262,$T235),IF($S235="Lớp 4",INDEX('Lớp 4 - Danh mục'!$O$14:$O$132,$T235),"")))</f>
        <v>#REF!</v>
      </c>
      <c r="J235" s="693" t="str">
        <f t="array" ref="J235">IF($S235="","",IF($S235="Lớp 5",INDEX('Lớp 5 - Phân công'!$Q$14:$Q$262,$T235),""))</f>
        <v>#REF!</v>
      </c>
      <c r="K235" s="690" t="str">
        <f t="array" ref="K235">IF($S235="","",IF($S235="Lớp 5",INDEX('Lớp 5 - Phân công'!$AA$14:$AA$262,$T235),IF($S235="Lớp 4",INDEX('Lớp 4 - Danh mục'!$Y$14:$Y$132,$T235),INDEX('Lớp 3 - Công việc chính'!$U$14:$U$73,$T235))))</f>
        <v>#REF!</v>
      </c>
      <c r="L235" s="691" t="str">
        <f t="array" ref="L235">IF($S235="","",IF($S235="Lớp 5",INDEX('Lớp 5 - Phân công'!$Z$14:$Z$262,$T235),IF($S235="Lớp 4",INDEX('Lớp 4 - Danh mục'!$X$14:$X$132,$T235),INDEX('Lớp 3 - Công việc chính'!$W$14:$W$73,$T235))))</f>
        <v>#REF!</v>
      </c>
      <c r="M235" s="694" t="str">
        <f t="array" ref="M235">IF($S235="","",IF($S235="Lớp 5",INDEX('Lớp 5 - Phân công'!$AD$14:$AD$262,$T235),IF($S235="Lớp 4",INDEX('Lớp 4 - Danh mục'!$AC$14:$AC$132,$T235),INDEX('Lớp 3 - Công việc chính'!$Z$14:$Z$73,$T235))))</f>
        <v>#REF!</v>
      </c>
      <c r="N235" s="695" t="str">
        <f t="array" ref="N235">IF($S235="","",IF($S235="Lớp 5",INDEX('Lớp 5 - Phân công'!$AE$14:$AE$262,$T235),IF($S235="Lớp 4",INDEX('Lớp 4 - Danh mục'!$AD$14:$AD$132,$T235),INDEX('Lớp 3 - Công việc chính'!$AA$14:$AA$73,$T235))))</f>
        <v>#REF!</v>
      </c>
      <c r="O235" s="690" t="str">
        <f t="array" ref="O235">IF($S235="","",IF($S235="Lớp 5",INDEX('Lớp 5 - Phân công'!$AB$14:$AB$262,$T235),IF($S235="Lớp 4",INDEX('Lớp 4 - Danh mục'!$AA$14:$AA$132,$T235),INDEX('Lớp 3 - Công việc chính'!$X$14:$X$73,$T235))))</f>
        <v>#REF!</v>
      </c>
      <c r="P235" s="703" t="str">
        <f t="array" ref="P235">IF($S235="","",IF($S235="Lớp 5",INDEX('Lớp 5 - Phân công'!$AC$14:$AC$262,$T235),IF($S235="Lớp 4",INDEX('Lớp 4 - Danh mục'!$AB$14:$AB$132,$T235),INDEX('Lớp 3 - Công việc chính'!$Y$14:$Y$73,$T235))))</f>
        <v>#REF!</v>
      </c>
      <c r="Q235" s="697" t="str">
        <f t="array" ref="Q235">IF($S235="","",IF($S235="Lớp 5",INDEX('Lớp 5 - Phân công'!$AG$14:$AG$262,$T235),IF($S235="Lớp 4",INDEX('Lớp 4 - Danh mục'!$AF$14:$AF$132,$T235),INDEX('Lớp 3 - Công việc chính'!$AC$14:$AC$73,$T235))))</f>
        <v>#REF!</v>
      </c>
      <c r="R235" s="698" t="str">
        <f t="array" ref="R235">IF($S235="","",IF($S235="Lớp 5",INDEX('Lớp 5 - Phân công'!$X$14:$X$262,$T235),IF($S235="Lớp 4",INDEX('Lớp 4 - Danh mục'!$V$14:$V$132,$T235),INDEX('Lớp 3 - Công việc chính'!$T$14:$T$73,$T235))))</f>
        <v>#REF!</v>
      </c>
      <c r="S235" s="699" t="str">
        <f>IF(ROWS($S$14:S235)&lt;=COUNTIF('Lớp 5 - Phân công'!$I$14:$I$262,"&lt;&gt;"),"Lớp 5",IF(ROWS($S$14:S235)&lt;=COUNTIF('Lớp 5 - Phân công'!$I$14:$I$262,"&lt;&gt;")+SUMPRODUCT(--('Lớp 4 - Danh mục'!$I$14:$I$132&lt;&gt;""),--(COUNTIF('Lớp 5 - Phân công'!$J$14:$J$262,'Lớp 4 - Danh mục'!$I$14:$I$132)=0)),"Lớp 4",IF(ROWS($S$14:S235)&lt;=COUNTIF('Lớp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5" s="699" t="str">
        <f t="array" ref="T235">IF(S235="","",IF(S235="Lớp 5",IF(S234&lt;&gt;"Lớp 5",MATCH("*",'Lớp 5 - Phân công'!$I$14:$I$262,0),T234+MATCH("*",INDEX('Lớp 5 - Phân công'!$I$14:$I$262,T234+1):'Lớp 5 - Phân công'!$I$262,0)),IF(S235="Lớp 4",IF(S234&lt;&gt;"Lớp 4",MATCH(1,INDEX(('Lớp 4 - Danh mục'!$I$14:$I$132&lt;&gt;"")*(COUNTIF('Lớp 5 - Phân công'!$J$14:$J$262,'Lớp 4 - Danh mục'!$I$14:$I$132)=0),0),0),T234+MATCH(1,INDEX((INDEX('Lớp 4 - Danh mục'!$I$14:$I$132,T234+1):'Lớp 4 - Danh mục'!$I$132&lt;&gt;"")*(COUNTIF('Lớp 5 - Phân công'!$J$14:$J$262,INDEX('Lớp 4 - Danh mục'!$I$14:$I$132,T234+1):'Lớp 4 - Danh mục'!$I$132)=0),0),0)),IF(S234&lt;&gt;"Lớp 3",MATCH(1,INDEX(('Lớp 3 - Công việc chính'!$I$14:$I$73&lt;&gt;"")*(COUNTIF('Lớp 4 - Danh mục'!$J$14:$J$132,'Lớp 3 - Công việc chính'!$I$14:$I$73)=0),0),0),T234+MATCH(1,INDEX((INDEX('Lớp 3 - Công việc chính'!$I$14:$I$73,T234+1):'Lớp 3 - Công việc chính'!$I$73&lt;&gt;"")*(COUNTIF('Lớp 4 - Danh mục'!$J$14:$J$132,INDEX('Lớp 3 - Công việc chính'!$I$14:$I$73,T234+1):'Lớp 3 - Công việc chính'!$I$73)=0),0),0)))))</f>
        <v>#REF!</v>
      </c>
      <c r="Z235" s="700" t="str">
        <f t="array" ref="Z235">IF($S235="","",IF($S235="Lớp 5",INDEX('Lớp 5 - Phân công'!$AS$14:$AS$262,$T235),IF($S235="Lớp 4",INDEX('Lớp 4 - Danh mục'!$AR$14:$AR$132,$T235),INDEX('Lớp 3 - Công việc chính'!$AO$14:$AO$73,$T235))))</f>
        <v>#REF!</v>
      </c>
      <c r="AA235" s="701" t="str">
        <f t="array" ref="AA235">IF($S235="","",IF($S235="Lớp 5",INDEX('Lớp 5 - Phân công'!$AT$14:$AT$262,$T235),IF($S235="Lớp 4",INDEX('Lớp 4 - Danh mục'!$AS$14:$AS$132,$T235),INDEX('Lớp 3 - Công việc chính'!$AP$14:$AP$73,$T235))))</f>
        <v>#REF!</v>
      </c>
      <c r="AB235" s="701" t="str">
        <f t="array" ref="AB235">IF($S235="","",IF($S235="Lớp 5",INDEX('Lớp 5 - Phân công'!$AJ$14:$AJ$262,$T235),IF($S235="Lớp 4",INDEX('Lớp 4 - Danh mục'!$AI$14:$AI$132,$T235),INDEX('Lớp 3 - Công việc chính'!$AF$14:$AF$73,$T235))))</f>
        <v>#REF!</v>
      </c>
      <c r="AC235" s="702" t="str">
        <f t="array" ref="AC235">IF($S235="","",IF($S235="Lớp 5",INDEX('Lớp 5 - Phân công'!$AV$14:$AV$262,$T235),IF($S235="Lớp 4",INDEX('Lớp 4 - Danh mục'!$AU$14:$AU$132,$T235),INDEX('Lớp 3 - Công việc chính'!$AR$14:$AR$73,$T235))))</f>
        <v>#REF!</v>
      </c>
    </row>
    <row r="236" ht="15.75" customHeight="1">
      <c r="A236" s="690" t="str">
        <f t="shared" si="1"/>
        <v>#REF!</v>
      </c>
      <c r="B236" s="690" t="str">
        <f t="array" ref="B236">IF($S236="","",IF($S236="Lớp 5",INDEX('Lớp 5 - Phân công'!$I$14:$I$262,$T236),IF($S236="Lớp 4",INDEX('Lớp 4 - Danh mục'!$I$14:$I$132,$T236),INDEX('Lớp 3 - Công việc chính'!$I$14:$I$73,$T236))))</f>
        <v>#REF!</v>
      </c>
      <c r="C236" s="690" t="str">
        <f t="array" ref="C236">IF($S236="","",IF($S236="Lớp 5",INDEX('Lớp 5 - Phân công'!$K$14:$K$262,$T236),IF($S236="Lớp 4",INDEX('Lớp 4 - Danh mục'!$J$14:$J$132,$T236),INDEX('Lớp 3 - Công việc chính'!$I$14:$I$73,$T236))))</f>
        <v>#REF!</v>
      </c>
      <c r="D236" s="690" t="str">
        <f t="array" ref="D236">IF($S236="","",IF($S236="Lớp 5",INDEX('Lớp 5 - Phân công'!$J$14:$J$262,$T236),IF($S236="Lớp 4",INDEX('Lớp 4 - Danh mục'!$I$14:$I$132,$T236),"")))</f>
        <v>#REF!</v>
      </c>
      <c r="E236" s="690" t="str">
        <f t="array" ref="E236">IF($S236="","",IF($S236="Lớp 5",INDEX('Lớp 5 - Phân công'!$L$14:$L$262,$T236),IF($S236="Lớp 4",INDEX('Lớp 4 - Danh mục'!$K$14:$K$132,$T236),INDEX('Lớp 3 - Công việc chính'!$J$14:$J$73,$T236))))</f>
        <v>#REF!</v>
      </c>
      <c r="F236" s="690" t="str">
        <f t="array" ref="F236">IF($S236="","",IF($S236="Lớp 5",INDEX('Lớp 5 - Phân công'!$M$14:$M$262,$T236),IF($S236="Lớp 4",INDEX('Lớp 4 - Danh mục'!$L$14:$L$132,$T236),INDEX('Lớp 3 - Công việc chính'!$K$14:$K$73,$T236))))</f>
        <v>#REF!</v>
      </c>
      <c r="G236" s="691" t="str">
        <f t="array" ref="G236">IF($S236="","",IF($S236="Lớp 5",INDEX('Lớp 5 - Phân công'!$N$14:$N$262,$T236),IF($S236="Lớp 4",INDEX('Lớp 4 - Danh mục'!$M$14:$M$132,$T236),INDEX('Lớp 3 - Công việc chính'!$L$14:$L$73,$T236))))</f>
        <v>#REF!</v>
      </c>
      <c r="H236" s="692" t="str">
        <f t="array" ref="H236">IF($S236="","",IF($S236="Lớp 5",INDEX('Lớp 5 - Phân công'!$O$14:$O$262,$T236),IF($S236="Lớp 4",INDEX('Lớp 4 - Danh mục'!$N$14:$N$132,$T236),INDEX('Lớp 3 - Công việc chính'!$M$14:$M$73,$T236))))</f>
        <v>#REF!</v>
      </c>
      <c r="I236" s="692" t="str">
        <f t="array" ref="I236">IF($S236="","",IF($S236="Lớp 5",INDEX('Lớp 5 - Phân công'!$P$14:$P$262,$T236),IF($S236="Lớp 4",INDEX('Lớp 4 - Danh mục'!$O$14:$O$132,$T236),"")))</f>
        <v>#REF!</v>
      </c>
      <c r="J236" s="693" t="str">
        <f t="array" ref="J236">IF($S236="","",IF($S236="Lớp 5",INDEX('Lớp 5 - Phân công'!$Q$14:$Q$262,$T236),""))</f>
        <v>#REF!</v>
      </c>
      <c r="K236" s="690" t="str">
        <f t="array" ref="K236">IF($S236="","",IF($S236="Lớp 5",INDEX('Lớp 5 - Phân công'!$AA$14:$AA$262,$T236),IF($S236="Lớp 4",INDEX('Lớp 4 - Danh mục'!$Y$14:$Y$132,$T236),INDEX('Lớp 3 - Công việc chính'!$U$14:$U$73,$T236))))</f>
        <v>#REF!</v>
      </c>
      <c r="L236" s="691" t="str">
        <f t="array" ref="L236">IF($S236="","",IF($S236="Lớp 5",INDEX('Lớp 5 - Phân công'!$Z$14:$Z$262,$T236),IF($S236="Lớp 4",INDEX('Lớp 4 - Danh mục'!$X$14:$X$132,$T236),INDEX('Lớp 3 - Công việc chính'!$W$14:$W$73,$T236))))</f>
        <v>#REF!</v>
      </c>
      <c r="M236" s="694" t="str">
        <f t="array" ref="M236">IF($S236="","",IF($S236="Lớp 5",INDEX('Lớp 5 - Phân công'!$AD$14:$AD$262,$T236),IF($S236="Lớp 4",INDEX('Lớp 4 - Danh mục'!$AC$14:$AC$132,$T236),INDEX('Lớp 3 - Công việc chính'!$Z$14:$Z$73,$T236))))</f>
        <v>#REF!</v>
      </c>
      <c r="N236" s="695" t="str">
        <f t="array" ref="N236">IF($S236="","",IF($S236="Lớp 5",INDEX('Lớp 5 - Phân công'!$AE$14:$AE$262,$T236),IF($S236="Lớp 4",INDEX('Lớp 4 - Danh mục'!$AD$14:$AD$132,$T236),INDEX('Lớp 3 - Công việc chính'!$AA$14:$AA$73,$T236))))</f>
        <v>#REF!</v>
      </c>
      <c r="O236" s="690" t="str">
        <f t="array" ref="O236">IF($S236="","",IF($S236="Lớp 5",INDEX('Lớp 5 - Phân công'!$AB$14:$AB$262,$T236),IF($S236="Lớp 4",INDEX('Lớp 4 - Danh mục'!$AA$14:$AA$132,$T236),INDEX('Lớp 3 - Công việc chính'!$X$14:$X$73,$T236))))</f>
        <v>#REF!</v>
      </c>
      <c r="P236" s="703" t="str">
        <f t="array" ref="P236">IF($S236="","",IF($S236="Lớp 5",INDEX('Lớp 5 - Phân công'!$AC$14:$AC$262,$T236),IF($S236="Lớp 4",INDEX('Lớp 4 - Danh mục'!$AB$14:$AB$132,$T236),INDEX('Lớp 3 - Công việc chính'!$Y$14:$Y$73,$T236))))</f>
        <v>#REF!</v>
      </c>
      <c r="Q236" s="697" t="str">
        <f t="array" ref="Q236">IF($S236="","",IF($S236="Lớp 5",INDEX('Lớp 5 - Phân công'!$AG$14:$AG$262,$T236),IF($S236="Lớp 4",INDEX('Lớp 4 - Danh mục'!$AF$14:$AF$132,$T236),INDEX('Lớp 3 - Công việc chính'!$AC$14:$AC$73,$T236))))</f>
        <v>#REF!</v>
      </c>
      <c r="R236" s="698" t="str">
        <f t="array" ref="R236">IF($S236="","",IF($S236="Lớp 5",INDEX('Lớp 5 - Phân công'!$X$14:$X$262,$T236),IF($S236="Lớp 4",INDEX('Lớp 4 - Danh mục'!$V$14:$V$132,$T236),INDEX('Lớp 3 - Công việc chính'!$T$14:$T$73,$T236))))</f>
        <v>#REF!</v>
      </c>
      <c r="S236" s="699" t="str">
        <f>IF(ROWS($S$14:S236)&lt;=COUNTIF('Lớp 5 - Phân công'!$I$14:$I$262,"&lt;&gt;"),"Lớp 5",IF(ROWS($S$14:S236)&lt;=COUNTIF('Lớp 5 - Phân công'!$I$14:$I$262,"&lt;&gt;")+SUMPRODUCT(--('Lớp 4 - Danh mục'!$I$14:$I$132&lt;&gt;""),--(COUNTIF('Lớp 5 - Phân công'!$J$14:$J$262,'Lớp 4 - Danh mục'!$I$14:$I$132)=0)),"Lớp 4",IF(ROWS($S$14:S236)&lt;=COUNTIF('Lớp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6" s="699" t="str">
        <f t="array" ref="T236">IF(S236="","",IF(S236="Lớp 5",IF(S235&lt;&gt;"Lớp 5",MATCH("*",'Lớp 5 - Phân công'!$I$14:$I$262,0),T235+MATCH("*",INDEX('Lớp 5 - Phân công'!$I$14:$I$262,T235+1):'Lớp 5 - Phân công'!$I$262,0)),IF(S236="Lớp 4",IF(S235&lt;&gt;"Lớp 4",MATCH(1,INDEX(('Lớp 4 - Danh mục'!$I$14:$I$132&lt;&gt;"")*(COUNTIF('Lớp 5 - Phân công'!$J$14:$J$262,'Lớp 4 - Danh mục'!$I$14:$I$132)=0),0),0),T235+MATCH(1,INDEX((INDEX('Lớp 4 - Danh mục'!$I$14:$I$132,T235+1):'Lớp 4 - Danh mục'!$I$132&lt;&gt;"")*(COUNTIF('Lớp 5 - Phân công'!$J$14:$J$262,INDEX('Lớp 4 - Danh mục'!$I$14:$I$132,T235+1):'Lớp 4 - Danh mục'!$I$132)=0),0),0)),IF(S235&lt;&gt;"Lớp 3",MATCH(1,INDEX(('Lớp 3 - Công việc chính'!$I$14:$I$73&lt;&gt;"")*(COUNTIF('Lớp 4 - Danh mục'!$J$14:$J$132,'Lớp 3 - Công việc chính'!$I$14:$I$73)=0),0),0),T235+MATCH(1,INDEX((INDEX('Lớp 3 - Công việc chính'!$I$14:$I$73,T235+1):'Lớp 3 - Công việc chính'!$I$73&lt;&gt;"")*(COUNTIF('Lớp 4 - Danh mục'!$J$14:$J$132,INDEX('Lớp 3 - Công việc chính'!$I$14:$I$73,T235+1):'Lớp 3 - Công việc chính'!$I$73)=0),0),0)))))</f>
        <v>#REF!</v>
      </c>
      <c r="Z236" s="700" t="str">
        <f t="array" ref="Z236">IF($S236="","",IF($S236="Lớp 5",INDEX('Lớp 5 - Phân công'!$AS$14:$AS$262,$T236),IF($S236="Lớp 4",INDEX('Lớp 4 - Danh mục'!$AR$14:$AR$132,$T236),INDEX('Lớp 3 - Công việc chính'!$AO$14:$AO$73,$T236))))</f>
        <v>#REF!</v>
      </c>
      <c r="AA236" s="701" t="str">
        <f t="array" ref="AA236">IF($S236="","",IF($S236="Lớp 5",INDEX('Lớp 5 - Phân công'!$AT$14:$AT$262,$T236),IF($S236="Lớp 4",INDEX('Lớp 4 - Danh mục'!$AS$14:$AS$132,$T236),INDEX('Lớp 3 - Công việc chính'!$AP$14:$AP$73,$T236))))</f>
        <v>#REF!</v>
      </c>
      <c r="AB236" s="701" t="str">
        <f t="array" ref="AB236">IF($S236="","",IF($S236="Lớp 5",INDEX('Lớp 5 - Phân công'!$AJ$14:$AJ$262,$T236),IF($S236="Lớp 4",INDEX('Lớp 4 - Danh mục'!$AI$14:$AI$132,$T236),INDEX('Lớp 3 - Công việc chính'!$AF$14:$AF$73,$T236))))</f>
        <v>#REF!</v>
      </c>
      <c r="AC236" s="702" t="str">
        <f t="array" ref="AC236">IF($S236="","",IF($S236="Lớp 5",INDEX('Lớp 5 - Phân công'!$AV$14:$AV$262,$T236),IF($S236="Lớp 4",INDEX('Lớp 4 - Danh mục'!$AU$14:$AU$132,$T236),INDEX('Lớp 3 - Công việc chính'!$AR$14:$AR$73,$T236))))</f>
        <v>#REF!</v>
      </c>
    </row>
    <row r="237" ht="15.75" customHeight="1">
      <c r="A237" s="690" t="str">
        <f t="shared" si="1"/>
        <v>#REF!</v>
      </c>
      <c r="B237" s="690" t="str">
        <f t="array" ref="B237">IF($S237="","",IF($S237="Lớp 5",INDEX('Lớp 5 - Phân công'!$I$14:$I$262,$T237),IF($S237="Lớp 4",INDEX('Lớp 4 - Danh mục'!$I$14:$I$132,$T237),INDEX('Lớp 3 - Công việc chính'!$I$14:$I$73,$T237))))</f>
        <v>#REF!</v>
      </c>
      <c r="C237" s="690" t="str">
        <f t="array" ref="C237">IF($S237="","",IF($S237="Lớp 5",INDEX('Lớp 5 - Phân công'!$K$14:$K$262,$T237),IF($S237="Lớp 4",INDEX('Lớp 4 - Danh mục'!$J$14:$J$132,$T237),INDEX('Lớp 3 - Công việc chính'!$I$14:$I$73,$T237))))</f>
        <v>#REF!</v>
      </c>
      <c r="D237" s="690" t="str">
        <f t="array" ref="D237">IF($S237="","",IF($S237="Lớp 5",INDEX('Lớp 5 - Phân công'!$J$14:$J$262,$T237),IF($S237="Lớp 4",INDEX('Lớp 4 - Danh mục'!$I$14:$I$132,$T237),"")))</f>
        <v>#REF!</v>
      </c>
      <c r="E237" s="690" t="str">
        <f t="array" ref="E237">IF($S237="","",IF($S237="Lớp 5",INDEX('Lớp 5 - Phân công'!$L$14:$L$262,$T237),IF($S237="Lớp 4",INDEX('Lớp 4 - Danh mục'!$K$14:$K$132,$T237),INDEX('Lớp 3 - Công việc chính'!$J$14:$J$73,$T237))))</f>
        <v>#REF!</v>
      </c>
      <c r="F237" s="690" t="str">
        <f t="array" ref="F237">IF($S237="","",IF($S237="Lớp 5",INDEX('Lớp 5 - Phân công'!$M$14:$M$262,$T237),IF($S237="Lớp 4",INDEX('Lớp 4 - Danh mục'!$L$14:$L$132,$T237),INDEX('Lớp 3 - Công việc chính'!$K$14:$K$73,$T237))))</f>
        <v>#REF!</v>
      </c>
      <c r="G237" s="691" t="str">
        <f t="array" ref="G237">IF($S237="","",IF($S237="Lớp 5",INDEX('Lớp 5 - Phân công'!$N$14:$N$262,$T237),IF($S237="Lớp 4",INDEX('Lớp 4 - Danh mục'!$M$14:$M$132,$T237),INDEX('Lớp 3 - Công việc chính'!$L$14:$L$73,$T237))))</f>
        <v>#REF!</v>
      </c>
      <c r="H237" s="692" t="str">
        <f t="array" ref="H237">IF($S237="","",IF($S237="Lớp 5",INDEX('Lớp 5 - Phân công'!$O$14:$O$262,$T237),IF($S237="Lớp 4",INDEX('Lớp 4 - Danh mục'!$N$14:$N$132,$T237),INDEX('Lớp 3 - Công việc chính'!$M$14:$M$73,$T237))))</f>
        <v>#REF!</v>
      </c>
      <c r="I237" s="692" t="str">
        <f t="array" ref="I237">IF($S237="","",IF($S237="Lớp 5",INDEX('Lớp 5 - Phân công'!$P$14:$P$262,$T237),IF($S237="Lớp 4",INDEX('Lớp 4 - Danh mục'!$O$14:$O$132,$T237),"")))</f>
        <v>#REF!</v>
      </c>
      <c r="J237" s="693" t="str">
        <f t="array" ref="J237">IF($S237="","",IF($S237="Lớp 5",INDEX('Lớp 5 - Phân công'!$Q$14:$Q$262,$T237),""))</f>
        <v>#REF!</v>
      </c>
      <c r="K237" s="690" t="str">
        <f t="array" ref="K237">IF($S237="","",IF($S237="Lớp 5",INDEX('Lớp 5 - Phân công'!$AA$14:$AA$262,$T237),IF($S237="Lớp 4",INDEX('Lớp 4 - Danh mục'!$Y$14:$Y$132,$T237),INDEX('Lớp 3 - Công việc chính'!$U$14:$U$73,$T237))))</f>
        <v>#REF!</v>
      </c>
      <c r="L237" s="691" t="str">
        <f t="array" ref="L237">IF($S237="","",IF($S237="Lớp 5",INDEX('Lớp 5 - Phân công'!$Z$14:$Z$262,$T237),IF($S237="Lớp 4",INDEX('Lớp 4 - Danh mục'!$X$14:$X$132,$T237),INDEX('Lớp 3 - Công việc chính'!$W$14:$W$73,$T237))))</f>
        <v>#REF!</v>
      </c>
      <c r="M237" s="694" t="str">
        <f t="array" ref="M237">IF($S237="","",IF($S237="Lớp 5",INDEX('Lớp 5 - Phân công'!$AD$14:$AD$262,$T237),IF($S237="Lớp 4",INDEX('Lớp 4 - Danh mục'!$AC$14:$AC$132,$T237),INDEX('Lớp 3 - Công việc chính'!$Z$14:$Z$73,$T237))))</f>
        <v>#REF!</v>
      </c>
      <c r="N237" s="695" t="str">
        <f t="array" ref="N237">IF($S237="","",IF($S237="Lớp 5",INDEX('Lớp 5 - Phân công'!$AE$14:$AE$262,$T237),IF($S237="Lớp 4",INDEX('Lớp 4 - Danh mục'!$AD$14:$AD$132,$T237),INDEX('Lớp 3 - Công việc chính'!$AA$14:$AA$73,$T237))))</f>
        <v>#REF!</v>
      </c>
      <c r="O237" s="690" t="str">
        <f t="array" ref="O237">IF($S237="","",IF($S237="Lớp 5",INDEX('Lớp 5 - Phân công'!$AB$14:$AB$262,$T237),IF($S237="Lớp 4",INDEX('Lớp 4 - Danh mục'!$AA$14:$AA$132,$T237),INDEX('Lớp 3 - Công việc chính'!$X$14:$X$73,$T237))))</f>
        <v>#REF!</v>
      </c>
      <c r="P237" s="703" t="str">
        <f t="array" ref="P237">IF($S237="","",IF($S237="Lớp 5",INDEX('Lớp 5 - Phân công'!$AC$14:$AC$262,$T237),IF($S237="Lớp 4",INDEX('Lớp 4 - Danh mục'!$AB$14:$AB$132,$T237),INDEX('Lớp 3 - Công việc chính'!$Y$14:$Y$73,$T237))))</f>
        <v>#REF!</v>
      </c>
      <c r="Q237" s="697" t="str">
        <f t="array" ref="Q237">IF($S237="","",IF($S237="Lớp 5",INDEX('Lớp 5 - Phân công'!$AG$14:$AG$262,$T237),IF($S237="Lớp 4",INDEX('Lớp 4 - Danh mục'!$AF$14:$AF$132,$T237),INDEX('Lớp 3 - Công việc chính'!$AC$14:$AC$73,$T237))))</f>
        <v>#REF!</v>
      </c>
      <c r="R237" s="698" t="str">
        <f t="array" ref="R237">IF($S237="","",IF($S237="Lớp 5",INDEX('Lớp 5 - Phân công'!$X$14:$X$262,$T237),IF($S237="Lớp 4",INDEX('Lớp 4 - Danh mục'!$V$14:$V$132,$T237),INDEX('Lớp 3 - Công việc chính'!$T$14:$T$73,$T237))))</f>
        <v>#REF!</v>
      </c>
      <c r="S237" s="699" t="str">
        <f>IF(ROWS($S$14:S237)&lt;=COUNTIF('Lớp 5 - Phân công'!$I$14:$I$262,"&lt;&gt;"),"Lớp 5",IF(ROWS($S$14:S237)&lt;=COUNTIF('Lớp 5 - Phân công'!$I$14:$I$262,"&lt;&gt;")+SUMPRODUCT(--('Lớp 4 - Danh mục'!$I$14:$I$132&lt;&gt;""),--(COUNTIF('Lớp 5 - Phân công'!$J$14:$J$262,'Lớp 4 - Danh mục'!$I$14:$I$132)=0)),"Lớp 4",IF(ROWS($S$14:S237)&lt;=COUNTIF('Lớp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7" s="699" t="str">
        <f t="array" ref="T237">IF(S237="","",IF(S237="Lớp 5",IF(S236&lt;&gt;"Lớp 5",MATCH("*",'Lớp 5 - Phân công'!$I$14:$I$262,0),T236+MATCH("*",INDEX('Lớp 5 - Phân công'!$I$14:$I$262,T236+1):'Lớp 5 - Phân công'!$I$262,0)),IF(S237="Lớp 4",IF(S236&lt;&gt;"Lớp 4",MATCH(1,INDEX(('Lớp 4 - Danh mục'!$I$14:$I$132&lt;&gt;"")*(COUNTIF('Lớp 5 - Phân công'!$J$14:$J$262,'Lớp 4 - Danh mục'!$I$14:$I$132)=0),0),0),T236+MATCH(1,INDEX((INDEX('Lớp 4 - Danh mục'!$I$14:$I$132,T236+1):'Lớp 4 - Danh mục'!$I$132&lt;&gt;"")*(COUNTIF('Lớp 5 - Phân công'!$J$14:$J$262,INDEX('Lớp 4 - Danh mục'!$I$14:$I$132,T236+1):'Lớp 4 - Danh mục'!$I$132)=0),0),0)),IF(S236&lt;&gt;"Lớp 3",MATCH(1,INDEX(('Lớp 3 - Công việc chính'!$I$14:$I$73&lt;&gt;"")*(COUNTIF('Lớp 4 - Danh mục'!$J$14:$J$132,'Lớp 3 - Công việc chính'!$I$14:$I$73)=0),0),0),T236+MATCH(1,INDEX((INDEX('Lớp 3 - Công việc chính'!$I$14:$I$73,T236+1):'Lớp 3 - Công việc chính'!$I$73&lt;&gt;"")*(COUNTIF('Lớp 4 - Danh mục'!$J$14:$J$132,INDEX('Lớp 3 - Công việc chính'!$I$14:$I$73,T236+1):'Lớp 3 - Công việc chính'!$I$73)=0),0),0)))))</f>
        <v>#REF!</v>
      </c>
      <c r="Z237" s="700" t="str">
        <f t="array" ref="Z237">IF($S237="","",IF($S237="Lớp 5",INDEX('Lớp 5 - Phân công'!$AS$14:$AS$262,$T237),IF($S237="Lớp 4",INDEX('Lớp 4 - Danh mục'!$AR$14:$AR$132,$T237),INDEX('Lớp 3 - Công việc chính'!$AO$14:$AO$73,$T237))))</f>
        <v>#REF!</v>
      </c>
      <c r="AA237" s="701" t="str">
        <f t="array" ref="AA237">IF($S237="","",IF($S237="Lớp 5",INDEX('Lớp 5 - Phân công'!$AT$14:$AT$262,$T237),IF($S237="Lớp 4",INDEX('Lớp 4 - Danh mục'!$AS$14:$AS$132,$T237),INDEX('Lớp 3 - Công việc chính'!$AP$14:$AP$73,$T237))))</f>
        <v>#REF!</v>
      </c>
      <c r="AB237" s="701" t="str">
        <f t="array" ref="AB237">IF($S237="","",IF($S237="Lớp 5",INDEX('Lớp 5 - Phân công'!$AJ$14:$AJ$262,$T237),IF($S237="Lớp 4",INDEX('Lớp 4 - Danh mục'!$AI$14:$AI$132,$T237),INDEX('Lớp 3 - Công việc chính'!$AF$14:$AF$73,$T237))))</f>
        <v>#REF!</v>
      </c>
      <c r="AC237" s="702" t="str">
        <f t="array" ref="AC237">IF($S237="","",IF($S237="Lớp 5",INDEX('Lớp 5 - Phân công'!$AV$14:$AV$262,$T237),IF($S237="Lớp 4",INDEX('Lớp 4 - Danh mục'!$AU$14:$AU$132,$T237),INDEX('Lớp 3 - Công việc chính'!$AR$14:$AR$73,$T237))))</f>
        <v>#REF!</v>
      </c>
    </row>
    <row r="238" ht="15.75" customHeight="1">
      <c r="A238" s="690" t="str">
        <f t="shared" si="1"/>
        <v>#REF!</v>
      </c>
      <c r="B238" s="690" t="str">
        <f t="array" ref="B238">IF($S238="","",IF($S238="Lớp 5",INDEX('Lớp 5 - Phân công'!$I$14:$I$262,$T238),IF($S238="Lớp 4",INDEX('Lớp 4 - Danh mục'!$I$14:$I$132,$T238),INDEX('Lớp 3 - Công việc chính'!$I$14:$I$73,$T238))))</f>
        <v>#REF!</v>
      </c>
      <c r="C238" s="690" t="str">
        <f t="array" ref="C238">IF($S238="","",IF($S238="Lớp 5",INDEX('Lớp 5 - Phân công'!$K$14:$K$262,$T238),IF($S238="Lớp 4",INDEX('Lớp 4 - Danh mục'!$J$14:$J$132,$T238),INDEX('Lớp 3 - Công việc chính'!$I$14:$I$73,$T238))))</f>
        <v>#REF!</v>
      </c>
      <c r="D238" s="690" t="str">
        <f t="array" ref="D238">IF($S238="","",IF($S238="Lớp 5",INDEX('Lớp 5 - Phân công'!$J$14:$J$262,$T238),IF($S238="Lớp 4",INDEX('Lớp 4 - Danh mục'!$I$14:$I$132,$T238),"")))</f>
        <v>#REF!</v>
      </c>
      <c r="E238" s="690" t="str">
        <f t="array" ref="E238">IF($S238="","",IF($S238="Lớp 5",INDEX('Lớp 5 - Phân công'!$L$14:$L$262,$T238),IF($S238="Lớp 4",INDEX('Lớp 4 - Danh mục'!$K$14:$K$132,$T238),INDEX('Lớp 3 - Công việc chính'!$J$14:$J$73,$T238))))</f>
        <v>#REF!</v>
      </c>
      <c r="F238" s="690" t="str">
        <f t="array" ref="F238">IF($S238="","",IF($S238="Lớp 5",INDEX('Lớp 5 - Phân công'!$M$14:$M$262,$T238),IF($S238="Lớp 4",INDEX('Lớp 4 - Danh mục'!$L$14:$L$132,$T238),INDEX('Lớp 3 - Công việc chính'!$K$14:$K$73,$T238))))</f>
        <v>#REF!</v>
      </c>
      <c r="G238" s="691" t="str">
        <f t="array" ref="G238">IF($S238="","",IF($S238="Lớp 5",INDEX('Lớp 5 - Phân công'!$N$14:$N$262,$T238),IF($S238="Lớp 4",INDEX('Lớp 4 - Danh mục'!$M$14:$M$132,$T238),INDEX('Lớp 3 - Công việc chính'!$L$14:$L$73,$T238))))</f>
        <v>#REF!</v>
      </c>
      <c r="H238" s="692" t="str">
        <f t="array" ref="H238">IF($S238="","",IF($S238="Lớp 5",INDEX('Lớp 5 - Phân công'!$O$14:$O$262,$T238),IF($S238="Lớp 4",INDEX('Lớp 4 - Danh mục'!$N$14:$N$132,$T238),INDEX('Lớp 3 - Công việc chính'!$M$14:$M$73,$T238))))</f>
        <v>#REF!</v>
      </c>
      <c r="I238" s="692" t="str">
        <f t="array" ref="I238">IF($S238="","",IF($S238="Lớp 5",INDEX('Lớp 5 - Phân công'!$P$14:$P$262,$T238),IF($S238="Lớp 4",INDEX('Lớp 4 - Danh mục'!$O$14:$O$132,$T238),"")))</f>
        <v>#REF!</v>
      </c>
      <c r="J238" s="693" t="str">
        <f t="array" ref="J238">IF($S238="","",IF($S238="Lớp 5",INDEX('Lớp 5 - Phân công'!$Q$14:$Q$262,$T238),""))</f>
        <v>#REF!</v>
      </c>
      <c r="K238" s="690" t="str">
        <f t="array" ref="K238">IF($S238="","",IF($S238="Lớp 5",INDEX('Lớp 5 - Phân công'!$AA$14:$AA$262,$T238),IF($S238="Lớp 4",INDEX('Lớp 4 - Danh mục'!$Y$14:$Y$132,$T238),INDEX('Lớp 3 - Công việc chính'!$U$14:$U$73,$T238))))</f>
        <v>#REF!</v>
      </c>
      <c r="L238" s="691" t="str">
        <f t="array" ref="L238">IF($S238="","",IF($S238="Lớp 5",INDEX('Lớp 5 - Phân công'!$Z$14:$Z$262,$T238),IF($S238="Lớp 4",INDEX('Lớp 4 - Danh mục'!$X$14:$X$132,$T238),INDEX('Lớp 3 - Công việc chính'!$W$14:$W$73,$T238))))</f>
        <v>#REF!</v>
      </c>
      <c r="M238" s="694" t="str">
        <f t="array" ref="M238">IF($S238="","",IF($S238="Lớp 5",INDEX('Lớp 5 - Phân công'!$AD$14:$AD$262,$T238),IF($S238="Lớp 4",INDEX('Lớp 4 - Danh mục'!$AC$14:$AC$132,$T238),INDEX('Lớp 3 - Công việc chính'!$Z$14:$Z$73,$T238))))</f>
        <v>#REF!</v>
      </c>
      <c r="N238" s="695" t="str">
        <f t="array" ref="N238">IF($S238="","",IF($S238="Lớp 5",INDEX('Lớp 5 - Phân công'!$AE$14:$AE$262,$T238),IF($S238="Lớp 4",INDEX('Lớp 4 - Danh mục'!$AD$14:$AD$132,$T238),INDEX('Lớp 3 - Công việc chính'!$AA$14:$AA$73,$T238))))</f>
        <v>#REF!</v>
      </c>
      <c r="O238" s="690" t="str">
        <f t="array" ref="O238">IF($S238="","",IF($S238="Lớp 5",INDEX('Lớp 5 - Phân công'!$AB$14:$AB$262,$T238),IF($S238="Lớp 4",INDEX('Lớp 4 - Danh mục'!$AA$14:$AA$132,$T238),INDEX('Lớp 3 - Công việc chính'!$X$14:$X$73,$T238))))</f>
        <v>#REF!</v>
      </c>
      <c r="P238" s="703" t="str">
        <f t="array" ref="P238">IF($S238="","",IF($S238="Lớp 5",INDEX('Lớp 5 - Phân công'!$AC$14:$AC$262,$T238),IF($S238="Lớp 4",INDEX('Lớp 4 - Danh mục'!$AB$14:$AB$132,$T238),INDEX('Lớp 3 - Công việc chính'!$Y$14:$Y$73,$T238))))</f>
        <v>#REF!</v>
      </c>
      <c r="Q238" s="697" t="str">
        <f t="array" ref="Q238">IF($S238="","",IF($S238="Lớp 5",INDEX('Lớp 5 - Phân công'!$AG$14:$AG$262,$T238),IF($S238="Lớp 4",INDEX('Lớp 4 - Danh mục'!$AF$14:$AF$132,$T238),INDEX('Lớp 3 - Công việc chính'!$AC$14:$AC$73,$T238))))</f>
        <v>#REF!</v>
      </c>
      <c r="R238" s="698" t="str">
        <f t="array" ref="R238">IF($S238="","",IF($S238="Lớp 5",INDEX('Lớp 5 - Phân công'!$X$14:$X$262,$T238),IF($S238="Lớp 4",INDEX('Lớp 4 - Danh mục'!$V$14:$V$132,$T238),INDEX('Lớp 3 - Công việc chính'!$T$14:$T$73,$T238))))</f>
        <v>#REF!</v>
      </c>
      <c r="S238" s="699" t="str">
        <f>IF(ROWS($S$14:S238)&lt;=COUNTIF('Lớp 5 - Phân công'!$I$14:$I$262,"&lt;&gt;"),"Lớp 5",IF(ROWS($S$14:S238)&lt;=COUNTIF('Lớp 5 - Phân công'!$I$14:$I$262,"&lt;&gt;")+SUMPRODUCT(--('Lớp 4 - Danh mục'!$I$14:$I$132&lt;&gt;""),--(COUNTIF('Lớp 5 - Phân công'!$J$14:$J$262,'Lớp 4 - Danh mục'!$I$14:$I$132)=0)),"Lớp 4",IF(ROWS($S$14:S238)&lt;=COUNTIF('Lớp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8" s="699" t="str">
        <f t="array" ref="T238">IF(S238="","",IF(S238="Lớp 5",IF(S237&lt;&gt;"Lớp 5",MATCH("*",'Lớp 5 - Phân công'!$I$14:$I$262,0),T237+MATCH("*",INDEX('Lớp 5 - Phân công'!$I$14:$I$262,T237+1):'Lớp 5 - Phân công'!$I$262,0)),IF(S238="Lớp 4",IF(S237&lt;&gt;"Lớp 4",MATCH(1,INDEX(('Lớp 4 - Danh mục'!$I$14:$I$132&lt;&gt;"")*(COUNTIF('Lớp 5 - Phân công'!$J$14:$J$262,'Lớp 4 - Danh mục'!$I$14:$I$132)=0),0),0),T237+MATCH(1,INDEX((INDEX('Lớp 4 - Danh mục'!$I$14:$I$132,T237+1):'Lớp 4 - Danh mục'!$I$132&lt;&gt;"")*(COUNTIF('Lớp 5 - Phân công'!$J$14:$J$262,INDEX('Lớp 4 - Danh mục'!$I$14:$I$132,T237+1):'Lớp 4 - Danh mục'!$I$132)=0),0),0)),IF(S237&lt;&gt;"Lớp 3",MATCH(1,INDEX(('Lớp 3 - Công việc chính'!$I$14:$I$73&lt;&gt;"")*(COUNTIF('Lớp 4 - Danh mục'!$J$14:$J$132,'Lớp 3 - Công việc chính'!$I$14:$I$73)=0),0),0),T237+MATCH(1,INDEX((INDEX('Lớp 3 - Công việc chính'!$I$14:$I$73,T237+1):'Lớp 3 - Công việc chính'!$I$73&lt;&gt;"")*(COUNTIF('Lớp 4 - Danh mục'!$J$14:$J$132,INDEX('Lớp 3 - Công việc chính'!$I$14:$I$73,T237+1):'Lớp 3 - Công việc chính'!$I$73)=0),0),0)))))</f>
        <v>#REF!</v>
      </c>
      <c r="Z238" s="700" t="str">
        <f t="array" ref="Z238">IF($S238="","",IF($S238="Lớp 5",INDEX('Lớp 5 - Phân công'!$AS$14:$AS$262,$T238),IF($S238="Lớp 4",INDEX('Lớp 4 - Danh mục'!$AR$14:$AR$132,$T238),INDEX('Lớp 3 - Công việc chính'!$AO$14:$AO$73,$T238))))</f>
        <v>#REF!</v>
      </c>
      <c r="AA238" s="701" t="str">
        <f t="array" ref="AA238">IF($S238="","",IF($S238="Lớp 5",INDEX('Lớp 5 - Phân công'!$AT$14:$AT$262,$T238),IF($S238="Lớp 4",INDEX('Lớp 4 - Danh mục'!$AS$14:$AS$132,$T238),INDEX('Lớp 3 - Công việc chính'!$AP$14:$AP$73,$T238))))</f>
        <v>#REF!</v>
      </c>
      <c r="AB238" s="701" t="str">
        <f t="array" ref="AB238">IF($S238="","",IF($S238="Lớp 5",INDEX('Lớp 5 - Phân công'!$AJ$14:$AJ$262,$T238),IF($S238="Lớp 4",INDEX('Lớp 4 - Danh mục'!$AI$14:$AI$132,$T238),INDEX('Lớp 3 - Công việc chính'!$AF$14:$AF$73,$T238))))</f>
        <v>#REF!</v>
      </c>
      <c r="AC238" s="702" t="str">
        <f t="array" ref="AC238">IF($S238="","",IF($S238="Lớp 5",INDEX('Lớp 5 - Phân công'!$AV$14:$AV$262,$T238),IF($S238="Lớp 4",INDEX('Lớp 4 - Danh mục'!$AU$14:$AU$132,$T238),INDEX('Lớp 3 - Công việc chính'!$AR$14:$AR$73,$T238))))</f>
        <v>#REF!</v>
      </c>
    </row>
    <row r="239" ht="15.75" customHeight="1">
      <c r="A239" s="690" t="str">
        <f t="shared" si="1"/>
        <v>#REF!</v>
      </c>
      <c r="B239" s="690" t="str">
        <f t="array" ref="B239">IF($S239="","",IF($S239="Lớp 5",INDEX('Lớp 5 - Phân công'!$I$14:$I$262,$T239),IF($S239="Lớp 4",INDEX('Lớp 4 - Danh mục'!$I$14:$I$132,$T239),INDEX('Lớp 3 - Công việc chính'!$I$14:$I$73,$T239))))</f>
        <v>#REF!</v>
      </c>
      <c r="C239" s="690" t="str">
        <f t="array" ref="C239">IF($S239="","",IF($S239="Lớp 5",INDEX('Lớp 5 - Phân công'!$K$14:$K$262,$T239),IF($S239="Lớp 4",INDEX('Lớp 4 - Danh mục'!$J$14:$J$132,$T239),INDEX('Lớp 3 - Công việc chính'!$I$14:$I$73,$T239))))</f>
        <v>#REF!</v>
      </c>
      <c r="D239" s="690" t="str">
        <f t="array" ref="D239">IF($S239="","",IF($S239="Lớp 5",INDEX('Lớp 5 - Phân công'!$J$14:$J$262,$T239),IF($S239="Lớp 4",INDEX('Lớp 4 - Danh mục'!$I$14:$I$132,$T239),"")))</f>
        <v>#REF!</v>
      </c>
      <c r="E239" s="690" t="str">
        <f t="array" ref="E239">IF($S239="","",IF($S239="Lớp 5",INDEX('Lớp 5 - Phân công'!$L$14:$L$262,$T239),IF($S239="Lớp 4",INDEX('Lớp 4 - Danh mục'!$K$14:$K$132,$T239),INDEX('Lớp 3 - Công việc chính'!$J$14:$J$73,$T239))))</f>
        <v>#REF!</v>
      </c>
      <c r="F239" s="690" t="str">
        <f t="array" ref="F239">IF($S239="","",IF($S239="Lớp 5",INDEX('Lớp 5 - Phân công'!$M$14:$M$262,$T239),IF($S239="Lớp 4",INDEX('Lớp 4 - Danh mục'!$L$14:$L$132,$T239),INDEX('Lớp 3 - Công việc chính'!$K$14:$K$73,$T239))))</f>
        <v>#REF!</v>
      </c>
      <c r="G239" s="691" t="str">
        <f t="array" ref="G239">IF($S239="","",IF($S239="Lớp 5",INDEX('Lớp 5 - Phân công'!$N$14:$N$262,$T239),IF($S239="Lớp 4",INDEX('Lớp 4 - Danh mục'!$M$14:$M$132,$T239),INDEX('Lớp 3 - Công việc chính'!$L$14:$L$73,$T239))))</f>
        <v>#REF!</v>
      </c>
      <c r="H239" s="692" t="str">
        <f t="array" ref="H239">IF($S239="","",IF($S239="Lớp 5",INDEX('Lớp 5 - Phân công'!$O$14:$O$262,$T239),IF($S239="Lớp 4",INDEX('Lớp 4 - Danh mục'!$N$14:$N$132,$T239),INDEX('Lớp 3 - Công việc chính'!$M$14:$M$73,$T239))))</f>
        <v>#REF!</v>
      </c>
      <c r="I239" s="692" t="str">
        <f t="array" ref="I239">IF($S239="","",IF($S239="Lớp 5",INDEX('Lớp 5 - Phân công'!$P$14:$P$262,$T239),IF($S239="Lớp 4",INDEX('Lớp 4 - Danh mục'!$O$14:$O$132,$T239),"")))</f>
        <v>#REF!</v>
      </c>
      <c r="J239" s="693" t="str">
        <f t="array" ref="J239">IF($S239="","",IF($S239="Lớp 5",INDEX('Lớp 5 - Phân công'!$Q$14:$Q$262,$T239),""))</f>
        <v>#REF!</v>
      </c>
      <c r="K239" s="690" t="str">
        <f t="array" ref="K239">IF($S239="","",IF($S239="Lớp 5",INDEX('Lớp 5 - Phân công'!$AA$14:$AA$262,$T239),IF($S239="Lớp 4",INDEX('Lớp 4 - Danh mục'!$Y$14:$Y$132,$T239),INDEX('Lớp 3 - Công việc chính'!$U$14:$U$73,$T239))))</f>
        <v>#REF!</v>
      </c>
      <c r="L239" s="691" t="str">
        <f t="array" ref="L239">IF($S239="","",IF($S239="Lớp 5",INDEX('Lớp 5 - Phân công'!$Z$14:$Z$262,$T239),IF($S239="Lớp 4",INDEX('Lớp 4 - Danh mục'!$X$14:$X$132,$T239),INDEX('Lớp 3 - Công việc chính'!$W$14:$W$73,$T239))))</f>
        <v>#REF!</v>
      </c>
      <c r="M239" s="694" t="str">
        <f t="array" ref="M239">IF($S239="","",IF($S239="Lớp 5",INDEX('Lớp 5 - Phân công'!$AD$14:$AD$262,$T239),IF($S239="Lớp 4",INDEX('Lớp 4 - Danh mục'!$AC$14:$AC$132,$T239),INDEX('Lớp 3 - Công việc chính'!$Z$14:$Z$73,$T239))))</f>
        <v>#REF!</v>
      </c>
      <c r="N239" s="695" t="str">
        <f t="array" ref="N239">IF($S239="","",IF($S239="Lớp 5",INDEX('Lớp 5 - Phân công'!$AE$14:$AE$262,$T239),IF($S239="Lớp 4",INDEX('Lớp 4 - Danh mục'!$AD$14:$AD$132,$T239),INDEX('Lớp 3 - Công việc chính'!$AA$14:$AA$73,$T239))))</f>
        <v>#REF!</v>
      </c>
      <c r="O239" s="690" t="str">
        <f t="array" ref="O239">IF($S239="","",IF($S239="Lớp 5",INDEX('Lớp 5 - Phân công'!$AB$14:$AB$262,$T239),IF($S239="Lớp 4",INDEX('Lớp 4 - Danh mục'!$AA$14:$AA$132,$T239),INDEX('Lớp 3 - Công việc chính'!$X$14:$X$73,$T239))))</f>
        <v>#REF!</v>
      </c>
      <c r="P239" s="703" t="str">
        <f t="array" ref="P239">IF($S239="","",IF($S239="Lớp 5",INDEX('Lớp 5 - Phân công'!$AC$14:$AC$262,$T239),IF($S239="Lớp 4",INDEX('Lớp 4 - Danh mục'!$AB$14:$AB$132,$T239),INDEX('Lớp 3 - Công việc chính'!$Y$14:$Y$73,$T239))))</f>
        <v>#REF!</v>
      </c>
      <c r="Q239" s="697" t="str">
        <f t="array" ref="Q239">IF($S239="","",IF($S239="Lớp 5",INDEX('Lớp 5 - Phân công'!$AG$14:$AG$262,$T239),IF($S239="Lớp 4",INDEX('Lớp 4 - Danh mục'!$AF$14:$AF$132,$T239),INDEX('Lớp 3 - Công việc chính'!$AC$14:$AC$73,$T239))))</f>
        <v>#REF!</v>
      </c>
      <c r="R239" s="698" t="str">
        <f t="array" ref="R239">IF($S239="","",IF($S239="Lớp 5",INDEX('Lớp 5 - Phân công'!$X$14:$X$262,$T239),IF($S239="Lớp 4",INDEX('Lớp 4 - Danh mục'!$V$14:$V$132,$T239),INDEX('Lớp 3 - Công việc chính'!$T$14:$T$73,$T239))))</f>
        <v>#REF!</v>
      </c>
      <c r="S239" s="699" t="str">
        <f>IF(ROWS($S$14:S239)&lt;=COUNTIF('Lớp 5 - Phân công'!$I$14:$I$262,"&lt;&gt;"),"Lớp 5",IF(ROWS($S$14:S239)&lt;=COUNTIF('Lớp 5 - Phân công'!$I$14:$I$262,"&lt;&gt;")+SUMPRODUCT(--('Lớp 4 - Danh mục'!$I$14:$I$132&lt;&gt;""),--(COUNTIF('Lớp 5 - Phân công'!$J$14:$J$262,'Lớp 4 - Danh mục'!$I$14:$I$132)=0)),"Lớp 4",IF(ROWS($S$14:S239)&lt;=COUNTIF('Lớp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39" s="699" t="str">
        <f t="array" ref="T239">IF(S239="","",IF(S239="Lớp 5",IF(S238&lt;&gt;"Lớp 5",MATCH("*",'Lớp 5 - Phân công'!$I$14:$I$262,0),T238+MATCH("*",INDEX('Lớp 5 - Phân công'!$I$14:$I$262,T238+1):'Lớp 5 - Phân công'!$I$262,0)),IF(S239="Lớp 4",IF(S238&lt;&gt;"Lớp 4",MATCH(1,INDEX(('Lớp 4 - Danh mục'!$I$14:$I$132&lt;&gt;"")*(COUNTIF('Lớp 5 - Phân công'!$J$14:$J$262,'Lớp 4 - Danh mục'!$I$14:$I$132)=0),0),0),T238+MATCH(1,INDEX((INDEX('Lớp 4 - Danh mục'!$I$14:$I$132,T238+1):'Lớp 4 - Danh mục'!$I$132&lt;&gt;"")*(COUNTIF('Lớp 5 - Phân công'!$J$14:$J$262,INDEX('Lớp 4 - Danh mục'!$I$14:$I$132,T238+1):'Lớp 4 - Danh mục'!$I$132)=0),0),0)),IF(S238&lt;&gt;"Lớp 3",MATCH(1,INDEX(('Lớp 3 - Công việc chính'!$I$14:$I$73&lt;&gt;"")*(COUNTIF('Lớp 4 - Danh mục'!$J$14:$J$132,'Lớp 3 - Công việc chính'!$I$14:$I$73)=0),0),0),T238+MATCH(1,INDEX((INDEX('Lớp 3 - Công việc chính'!$I$14:$I$73,T238+1):'Lớp 3 - Công việc chính'!$I$73&lt;&gt;"")*(COUNTIF('Lớp 4 - Danh mục'!$J$14:$J$132,INDEX('Lớp 3 - Công việc chính'!$I$14:$I$73,T238+1):'Lớp 3 - Công việc chính'!$I$73)=0),0),0)))))</f>
        <v>#REF!</v>
      </c>
      <c r="Z239" s="700" t="str">
        <f t="array" ref="Z239">IF($S239="","",IF($S239="Lớp 5",INDEX('Lớp 5 - Phân công'!$AS$14:$AS$262,$T239),IF($S239="Lớp 4",INDEX('Lớp 4 - Danh mục'!$AR$14:$AR$132,$T239),INDEX('Lớp 3 - Công việc chính'!$AO$14:$AO$73,$T239))))</f>
        <v>#REF!</v>
      </c>
      <c r="AA239" s="701" t="str">
        <f t="array" ref="AA239">IF($S239="","",IF($S239="Lớp 5",INDEX('Lớp 5 - Phân công'!$AT$14:$AT$262,$T239),IF($S239="Lớp 4",INDEX('Lớp 4 - Danh mục'!$AS$14:$AS$132,$T239),INDEX('Lớp 3 - Công việc chính'!$AP$14:$AP$73,$T239))))</f>
        <v>#REF!</v>
      </c>
      <c r="AB239" s="701" t="str">
        <f t="array" ref="AB239">IF($S239="","",IF($S239="Lớp 5",INDEX('Lớp 5 - Phân công'!$AJ$14:$AJ$262,$T239),IF($S239="Lớp 4",INDEX('Lớp 4 - Danh mục'!$AI$14:$AI$132,$T239),INDEX('Lớp 3 - Công việc chính'!$AF$14:$AF$73,$T239))))</f>
        <v>#REF!</v>
      </c>
      <c r="AC239" s="702" t="str">
        <f t="array" ref="AC239">IF($S239="","",IF($S239="Lớp 5",INDEX('Lớp 5 - Phân công'!$AV$14:$AV$262,$T239),IF($S239="Lớp 4",INDEX('Lớp 4 - Danh mục'!$AU$14:$AU$132,$T239),INDEX('Lớp 3 - Công việc chính'!$AR$14:$AR$73,$T239))))</f>
        <v>#REF!</v>
      </c>
    </row>
    <row r="240" ht="15.75" customHeight="1">
      <c r="A240" s="690" t="str">
        <f t="shared" si="1"/>
        <v>#REF!</v>
      </c>
      <c r="B240" s="690" t="str">
        <f t="array" ref="B240">IF($S240="","",IF($S240="Lớp 5",INDEX('Lớp 5 - Phân công'!$I$14:$I$262,$T240),IF($S240="Lớp 4",INDEX('Lớp 4 - Danh mục'!$I$14:$I$132,$T240),INDEX('Lớp 3 - Công việc chính'!$I$14:$I$73,$T240))))</f>
        <v>#REF!</v>
      </c>
      <c r="C240" s="690" t="str">
        <f t="array" ref="C240">IF($S240="","",IF($S240="Lớp 5",INDEX('Lớp 5 - Phân công'!$K$14:$K$262,$T240),IF($S240="Lớp 4",INDEX('Lớp 4 - Danh mục'!$J$14:$J$132,$T240),INDEX('Lớp 3 - Công việc chính'!$I$14:$I$73,$T240))))</f>
        <v>#REF!</v>
      </c>
      <c r="D240" s="690" t="str">
        <f t="array" ref="D240">IF($S240="","",IF($S240="Lớp 5",INDEX('Lớp 5 - Phân công'!$J$14:$J$262,$T240),IF($S240="Lớp 4",INDEX('Lớp 4 - Danh mục'!$I$14:$I$132,$T240),"")))</f>
        <v>#REF!</v>
      </c>
      <c r="E240" s="690" t="str">
        <f t="array" ref="E240">IF($S240="","",IF($S240="Lớp 5",INDEX('Lớp 5 - Phân công'!$L$14:$L$262,$T240),IF($S240="Lớp 4",INDEX('Lớp 4 - Danh mục'!$K$14:$K$132,$T240),INDEX('Lớp 3 - Công việc chính'!$J$14:$J$73,$T240))))</f>
        <v>#REF!</v>
      </c>
      <c r="F240" s="690" t="str">
        <f t="array" ref="F240">IF($S240="","",IF($S240="Lớp 5",INDEX('Lớp 5 - Phân công'!$M$14:$M$262,$T240),IF($S240="Lớp 4",INDEX('Lớp 4 - Danh mục'!$L$14:$L$132,$T240),INDEX('Lớp 3 - Công việc chính'!$K$14:$K$73,$T240))))</f>
        <v>#REF!</v>
      </c>
      <c r="G240" s="691" t="str">
        <f t="array" ref="G240">IF($S240="","",IF($S240="Lớp 5",INDEX('Lớp 5 - Phân công'!$N$14:$N$262,$T240),IF($S240="Lớp 4",INDEX('Lớp 4 - Danh mục'!$M$14:$M$132,$T240),INDEX('Lớp 3 - Công việc chính'!$L$14:$L$73,$T240))))</f>
        <v>#REF!</v>
      </c>
      <c r="H240" s="692" t="str">
        <f t="array" ref="H240">IF($S240="","",IF($S240="Lớp 5",INDEX('Lớp 5 - Phân công'!$O$14:$O$262,$T240),IF($S240="Lớp 4",INDEX('Lớp 4 - Danh mục'!$N$14:$N$132,$T240),INDEX('Lớp 3 - Công việc chính'!$M$14:$M$73,$T240))))</f>
        <v>#REF!</v>
      </c>
      <c r="I240" s="692" t="str">
        <f t="array" ref="I240">IF($S240="","",IF($S240="Lớp 5",INDEX('Lớp 5 - Phân công'!$P$14:$P$262,$T240),IF($S240="Lớp 4",INDEX('Lớp 4 - Danh mục'!$O$14:$O$132,$T240),"")))</f>
        <v>#REF!</v>
      </c>
      <c r="J240" s="693" t="str">
        <f t="array" ref="J240">IF($S240="","",IF($S240="Lớp 5",INDEX('Lớp 5 - Phân công'!$Q$14:$Q$262,$T240),""))</f>
        <v>#REF!</v>
      </c>
      <c r="K240" s="690" t="str">
        <f t="array" ref="K240">IF($S240="","",IF($S240="Lớp 5",INDEX('Lớp 5 - Phân công'!$AA$14:$AA$262,$T240),IF($S240="Lớp 4",INDEX('Lớp 4 - Danh mục'!$Y$14:$Y$132,$T240),INDEX('Lớp 3 - Công việc chính'!$U$14:$U$73,$T240))))</f>
        <v>#REF!</v>
      </c>
      <c r="L240" s="691" t="str">
        <f t="array" ref="L240">IF($S240="","",IF($S240="Lớp 5",INDEX('Lớp 5 - Phân công'!$Z$14:$Z$262,$T240),IF($S240="Lớp 4",INDEX('Lớp 4 - Danh mục'!$X$14:$X$132,$T240),INDEX('Lớp 3 - Công việc chính'!$W$14:$W$73,$T240))))</f>
        <v>#REF!</v>
      </c>
      <c r="M240" s="694" t="str">
        <f t="array" ref="M240">IF($S240="","",IF($S240="Lớp 5",INDEX('Lớp 5 - Phân công'!$AD$14:$AD$262,$T240),IF($S240="Lớp 4",INDEX('Lớp 4 - Danh mục'!$AC$14:$AC$132,$T240),INDEX('Lớp 3 - Công việc chính'!$Z$14:$Z$73,$T240))))</f>
        <v>#REF!</v>
      </c>
      <c r="N240" s="695" t="str">
        <f t="array" ref="N240">IF($S240="","",IF($S240="Lớp 5",INDEX('Lớp 5 - Phân công'!$AE$14:$AE$262,$T240),IF($S240="Lớp 4",INDEX('Lớp 4 - Danh mục'!$AD$14:$AD$132,$T240),INDEX('Lớp 3 - Công việc chính'!$AA$14:$AA$73,$T240))))</f>
        <v>#REF!</v>
      </c>
      <c r="O240" s="690" t="str">
        <f t="array" ref="O240">IF($S240="","",IF($S240="Lớp 5",INDEX('Lớp 5 - Phân công'!$AB$14:$AB$262,$T240),IF($S240="Lớp 4",INDEX('Lớp 4 - Danh mục'!$AA$14:$AA$132,$T240),INDEX('Lớp 3 - Công việc chính'!$X$14:$X$73,$T240))))</f>
        <v>#REF!</v>
      </c>
      <c r="P240" s="703" t="str">
        <f t="array" ref="P240">IF($S240="","",IF($S240="Lớp 5",INDEX('Lớp 5 - Phân công'!$AC$14:$AC$262,$T240),IF($S240="Lớp 4",INDEX('Lớp 4 - Danh mục'!$AB$14:$AB$132,$T240),INDEX('Lớp 3 - Công việc chính'!$Y$14:$Y$73,$T240))))</f>
        <v>#REF!</v>
      </c>
      <c r="Q240" s="697" t="str">
        <f t="array" ref="Q240">IF($S240="","",IF($S240="Lớp 5",INDEX('Lớp 5 - Phân công'!$AG$14:$AG$262,$T240),IF($S240="Lớp 4",INDEX('Lớp 4 - Danh mục'!$AF$14:$AF$132,$T240),INDEX('Lớp 3 - Công việc chính'!$AC$14:$AC$73,$T240))))</f>
        <v>#REF!</v>
      </c>
      <c r="R240" s="698" t="str">
        <f t="array" ref="R240">IF($S240="","",IF($S240="Lớp 5",INDEX('Lớp 5 - Phân công'!$X$14:$X$262,$T240),IF($S240="Lớp 4",INDEX('Lớp 4 - Danh mục'!$V$14:$V$132,$T240),INDEX('Lớp 3 - Công việc chính'!$T$14:$T$73,$T240))))</f>
        <v>#REF!</v>
      </c>
      <c r="S240" s="699" t="str">
        <f>IF(ROWS($S$14:S240)&lt;=COUNTIF('Lớp 5 - Phân công'!$I$14:$I$262,"&lt;&gt;"),"Lớp 5",IF(ROWS($S$14:S240)&lt;=COUNTIF('Lớp 5 - Phân công'!$I$14:$I$262,"&lt;&gt;")+SUMPRODUCT(--('Lớp 4 - Danh mục'!$I$14:$I$132&lt;&gt;""),--(COUNTIF('Lớp 5 - Phân công'!$J$14:$J$262,'Lớp 4 - Danh mục'!$I$14:$I$132)=0)),"Lớp 4",IF(ROWS($S$14:S240)&lt;=COUNTIF('Lớp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0" s="699" t="str">
        <f t="array" ref="T240">IF(S240="","",IF(S240="Lớp 5",IF(S239&lt;&gt;"Lớp 5",MATCH("*",'Lớp 5 - Phân công'!$I$14:$I$262,0),T239+MATCH("*",INDEX('Lớp 5 - Phân công'!$I$14:$I$262,T239+1):'Lớp 5 - Phân công'!$I$262,0)),IF(S240="Lớp 4",IF(S239&lt;&gt;"Lớp 4",MATCH(1,INDEX(('Lớp 4 - Danh mục'!$I$14:$I$132&lt;&gt;"")*(COUNTIF('Lớp 5 - Phân công'!$J$14:$J$262,'Lớp 4 - Danh mục'!$I$14:$I$132)=0),0),0),T239+MATCH(1,INDEX((INDEX('Lớp 4 - Danh mục'!$I$14:$I$132,T239+1):'Lớp 4 - Danh mục'!$I$132&lt;&gt;"")*(COUNTIF('Lớp 5 - Phân công'!$J$14:$J$262,INDEX('Lớp 4 - Danh mục'!$I$14:$I$132,T239+1):'Lớp 4 - Danh mục'!$I$132)=0),0),0)),IF(S239&lt;&gt;"Lớp 3",MATCH(1,INDEX(('Lớp 3 - Công việc chính'!$I$14:$I$73&lt;&gt;"")*(COUNTIF('Lớp 4 - Danh mục'!$J$14:$J$132,'Lớp 3 - Công việc chính'!$I$14:$I$73)=0),0),0),T239+MATCH(1,INDEX((INDEX('Lớp 3 - Công việc chính'!$I$14:$I$73,T239+1):'Lớp 3 - Công việc chính'!$I$73&lt;&gt;"")*(COUNTIF('Lớp 4 - Danh mục'!$J$14:$J$132,INDEX('Lớp 3 - Công việc chính'!$I$14:$I$73,T239+1):'Lớp 3 - Công việc chính'!$I$73)=0),0),0)))))</f>
        <v>#REF!</v>
      </c>
      <c r="Z240" s="700" t="str">
        <f t="array" ref="Z240">IF($S240="","",IF($S240="Lớp 5",INDEX('Lớp 5 - Phân công'!$AS$14:$AS$262,$T240),IF($S240="Lớp 4",INDEX('Lớp 4 - Danh mục'!$AR$14:$AR$132,$T240),INDEX('Lớp 3 - Công việc chính'!$AO$14:$AO$73,$T240))))</f>
        <v>#REF!</v>
      </c>
      <c r="AA240" s="701" t="str">
        <f t="array" ref="AA240">IF($S240="","",IF($S240="Lớp 5",INDEX('Lớp 5 - Phân công'!$AT$14:$AT$262,$T240),IF($S240="Lớp 4",INDEX('Lớp 4 - Danh mục'!$AS$14:$AS$132,$T240),INDEX('Lớp 3 - Công việc chính'!$AP$14:$AP$73,$T240))))</f>
        <v>#REF!</v>
      </c>
      <c r="AB240" s="701" t="str">
        <f t="array" ref="AB240">IF($S240="","",IF($S240="Lớp 5",INDEX('Lớp 5 - Phân công'!$AJ$14:$AJ$262,$T240),IF($S240="Lớp 4",INDEX('Lớp 4 - Danh mục'!$AI$14:$AI$132,$T240),INDEX('Lớp 3 - Công việc chính'!$AF$14:$AF$73,$T240))))</f>
        <v>#REF!</v>
      </c>
      <c r="AC240" s="702" t="str">
        <f t="array" ref="AC240">IF($S240="","",IF($S240="Lớp 5",INDEX('Lớp 5 - Phân công'!$AV$14:$AV$262,$T240),IF($S240="Lớp 4",INDEX('Lớp 4 - Danh mục'!$AU$14:$AU$132,$T240),INDEX('Lớp 3 - Công việc chính'!$AR$14:$AR$73,$T240))))</f>
        <v>#REF!</v>
      </c>
    </row>
    <row r="241" ht="15.75" customHeight="1">
      <c r="A241" s="690" t="str">
        <f t="shared" si="1"/>
        <v>#REF!</v>
      </c>
      <c r="B241" s="690" t="str">
        <f t="array" ref="B241">IF($S241="","",IF($S241="Lớp 5",INDEX('Lớp 5 - Phân công'!$I$14:$I$262,$T241),IF($S241="Lớp 4",INDEX('Lớp 4 - Danh mục'!$I$14:$I$132,$T241),INDEX('Lớp 3 - Công việc chính'!$I$14:$I$73,$T241))))</f>
        <v>#REF!</v>
      </c>
      <c r="C241" s="690" t="str">
        <f t="array" ref="C241">IF($S241="","",IF($S241="Lớp 5",INDEX('Lớp 5 - Phân công'!$K$14:$K$262,$T241),IF($S241="Lớp 4",INDEX('Lớp 4 - Danh mục'!$J$14:$J$132,$T241),INDEX('Lớp 3 - Công việc chính'!$I$14:$I$73,$T241))))</f>
        <v>#REF!</v>
      </c>
      <c r="D241" s="690" t="str">
        <f t="array" ref="D241">IF($S241="","",IF($S241="Lớp 5",INDEX('Lớp 5 - Phân công'!$J$14:$J$262,$T241),IF($S241="Lớp 4",INDEX('Lớp 4 - Danh mục'!$I$14:$I$132,$T241),"")))</f>
        <v>#REF!</v>
      </c>
      <c r="E241" s="690" t="str">
        <f t="array" ref="E241">IF($S241="","",IF($S241="Lớp 5",INDEX('Lớp 5 - Phân công'!$L$14:$L$262,$T241),IF($S241="Lớp 4",INDEX('Lớp 4 - Danh mục'!$K$14:$K$132,$T241),INDEX('Lớp 3 - Công việc chính'!$J$14:$J$73,$T241))))</f>
        <v>#REF!</v>
      </c>
      <c r="F241" s="690" t="str">
        <f t="array" ref="F241">IF($S241="","",IF($S241="Lớp 5",INDEX('Lớp 5 - Phân công'!$M$14:$M$262,$T241),IF($S241="Lớp 4",INDEX('Lớp 4 - Danh mục'!$L$14:$L$132,$T241),INDEX('Lớp 3 - Công việc chính'!$K$14:$K$73,$T241))))</f>
        <v>#REF!</v>
      </c>
      <c r="G241" s="691" t="str">
        <f t="array" ref="G241">IF($S241="","",IF($S241="Lớp 5",INDEX('Lớp 5 - Phân công'!$N$14:$N$262,$T241),IF($S241="Lớp 4",INDEX('Lớp 4 - Danh mục'!$M$14:$M$132,$T241),INDEX('Lớp 3 - Công việc chính'!$L$14:$L$73,$T241))))</f>
        <v>#REF!</v>
      </c>
      <c r="H241" s="692" t="str">
        <f t="array" ref="H241">IF($S241="","",IF($S241="Lớp 5",INDEX('Lớp 5 - Phân công'!$O$14:$O$262,$T241),IF($S241="Lớp 4",INDEX('Lớp 4 - Danh mục'!$N$14:$N$132,$T241),INDEX('Lớp 3 - Công việc chính'!$M$14:$M$73,$T241))))</f>
        <v>#REF!</v>
      </c>
      <c r="I241" s="692" t="str">
        <f t="array" ref="I241">IF($S241="","",IF($S241="Lớp 5",INDEX('Lớp 5 - Phân công'!$P$14:$P$262,$T241),IF($S241="Lớp 4",INDEX('Lớp 4 - Danh mục'!$O$14:$O$132,$T241),"")))</f>
        <v>#REF!</v>
      </c>
      <c r="J241" s="693" t="str">
        <f t="array" ref="J241">IF($S241="","",IF($S241="Lớp 5",INDEX('Lớp 5 - Phân công'!$Q$14:$Q$262,$T241),""))</f>
        <v>#REF!</v>
      </c>
      <c r="K241" s="690" t="str">
        <f t="array" ref="K241">IF($S241="","",IF($S241="Lớp 5",INDEX('Lớp 5 - Phân công'!$AA$14:$AA$262,$T241),IF($S241="Lớp 4",INDEX('Lớp 4 - Danh mục'!$Y$14:$Y$132,$T241),INDEX('Lớp 3 - Công việc chính'!$U$14:$U$73,$T241))))</f>
        <v>#REF!</v>
      </c>
      <c r="L241" s="691" t="str">
        <f t="array" ref="L241">IF($S241="","",IF($S241="Lớp 5",INDEX('Lớp 5 - Phân công'!$Z$14:$Z$262,$T241),IF($S241="Lớp 4",INDEX('Lớp 4 - Danh mục'!$X$14:$X$132,$T241),INDEX('Lớp 3 - Công việc chính'!$W$14:$W$73,$T241))))</f>
        <v>#REF!</v>
      </c>
      <c r="M241" s="694" t="str">
        <f t="array" ref="M241">IF($S241="","",IF($S241="Lớp 5",INDEX('Lớp 5 - Phân công'!$AD$14:$AD$262,$T241),IF($S241="Lớp 4",INDEX('Lớp 4 - Danh mục'!$AC$14:$AC$132,$T241),INDEX('Lớp 3 - Công việc chính'!$Z$14:$Z$73,$T241))))</f>
        <v>#REF!</v>
      </c>
      <c r="N241" s="695" t="str">
        <f t="array" ref="N241">IF($S241="","",IF($S241="Lớp 5",INDEX('Lớp 5 - Phân công'!$AE$14:$AE$262,$T241),IF($S241="Lớp 4",INDEX('Lớp 4 - Danh mục'!$AD$14:$AD$132,$T241),INDEX('Lớp 3 - Công việc chính'!$AA$14:$AA$73,$T241))))</f>
        <v>#REF!</v>
      </c>
      <c r="O241" s="690" t="str">
        <f t="array" ref="O241">IF($S241="","",IF($S241="Lớp 5",INDEX('Lớp 5 - Phân công'!$AB$14:$AB$262,$T241),IF($S241="Lớp 4",INDEX('Lớp 4 - Danh mục'!$AA$14:$AA$132,$T241),INDEX('Lớp 3 - Công việc chính'!$X$14:$X$73,$T241))))</f>
        <v>#REF!</v>
      </c>
      <c r="P241" s="703" t="str">
        <f t="array" ref="P241">IF($S241="","",IF($S241="Lớp 5",INDEX('Lớp 5 - Phân công'!$AC$14:$AC$262,$T241),IF($S241="Lớp 4",INDEX('Lớp 4 - Danh mục'!$AB$14:$AB$132,$T241),INDEX('Lớp 3 - Công việc chính'!$Y$14:$Y$73,$T241))))</f>
        <v>#REF!</v>
      </c>
      <c r="Q241" s="697" t="str">
        <f t="array" ref="Q241">IF($S241="","",IF($S241="Lớp 5",INDEX('Lớp 5 - Phân công'!$AG$14:$AG$262,$T241),IF($S241="Lớp 4",INDEX('Lớp 4 - Danh mục'!$AF$14:$AF$132,$T241),INDEX('Lớp 3 - Công việc chính'!$AC$14:$AC$73,$T241))))</f>
        <v>#REF!</v>
      </c>
      <c r="R241" s="698" t="str">
        <f t="array" ref="R241">IF($S241="","",IF($S241="Lớp 5",INDEX('Lớp 5 - Phân công'!$X$14:$X$262,$T241),IF($S241="Lớp 4",INDEX('Lớp 4 - Danh mục'!$V$14:$V$132,$T241),INDEX('Lớp 3 - Công việc chính'!$T$14:$T$73,$T241))))</f>
        <v>#REF!</v>
      </c>
      <c r="S241" s="699" t="str">
        <f>IF(ROWS($S$14:S241)&lt;=COUNTIF('Lớp 5 - Phân công'!$I$14:$I$262,"&lt;&gt;"),"Lớp 5",IF(ROWS($S$14:S241)&lt;=COUNTIF('Lớp 5 - Phân công'!$I$14:$I$262,"&lt;&gt;")+SUMPRODUCT(--('Lớp 4 - Danh mục'!$I$14:$I$132&lt;&gt;""),--(COUNTIF('Lớp 5 - Phân công'!$J$14:$J$262,'Lớp 4 - Danh mục'!$I$14:$I$132)=0)),"Lớp 4",IF(ROWS($S$14:S241)&lt;=COUNTIF('Lớp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1" s="699" t="str">
        <f t="array" ref="T241">IF(S241="","",IF(S241="Lớp 5",IF(S240&lt;&gt;"Lớp 5",MATCH("*",'Lớp 5 - Phân công'!$I$14:$I$262,0),T240+MATCH("*",INDEX('Lớp 5 - Phân công'!$I$14:$I$262,T240+1):'Lớp 5 - Phân công'!$I$262,0)),IF(S241="Lớp 4",IF(S240&lt;&gt;"Lớp 4",MATCH(1,INDEX(('Lớp 4 - Danh mục'!$I$14:$I$132&lt;&gt;"")*(COUNTIF('Lớp 5 - Phân công'!$J$14:$J$262,'Lớp 4 - Danh mục'!$I$14:$I$132)=0),0),0),T240+MATCH(1,INDEX((INDEX('Lớp 4 - Danh mục'!$I$14:$I$132,T240+1):'Lớp 4 - Danh mục'!$I$132&lt;&gt;"")*(COUNTIF('Lớp 5 - Phân công'!$J$14:$J$262,INDEX('Lớp 4 - Danh mục'!$I$14:$I$132,T240+1):'Lớp 4 - Danh mục'!$I$132)=0),0),0)),IF(S240&lt;&gt;"Lớp 3",MATCH(1,INDEX(('Lớp 3 - Công việc chính'!$I$14:$I$73&lt;&gt;"")*(COUNTIF('Lớp 4 - Danh mục'!$J$14:$J$132,'Lớp 3 - Công việc chính'!$I$14:$I$73)=0),0),0),T240+MATCH(1,INDEX((INDEX('Lớp 3 - Công việc chính'!$I$14:$I$73,T240+1):'Lớp 3 - Công việc chính'!$I$73&lt;&gt;"")*(COUNTIF('Lớp 4 - Danh mục'!$J$14:$J$132,INDEX('Lớp 3 - Công việc chính'!$I$14:$I$73,T240+1):'Lớp 3 - Công việc chính'!$I$73)=0),0),0)))))</f>
        <v>#REF!</v>
      </c>
      <c r="Z241" s="700" t="str">
        <f t="array" ref="Z241">IF($S241="","",IF($S241="Lớp 5",INDEX('Lớp 5 - Phân công'!$AS$14:$AS$262,$T241),IF($S241="Lớp 4",INDEX('Lớp 4 - Danh mục'!$AR$14:$AR$132,$T241),INDEX('Lớp 3 - Công việc chính'!$AO$14:$AO$73,$T241))))</f>
        <v>#REF!</v>
      </c>
      <c r="AA241" s="701" t="str">
        <f t="array" ref="AA241">IF($S241="","",IF($S241="Lớp 5",INDEX('Lớp 5 - Phân công'!$AT$14:$AT$262,$T241),IF($S241="Lớp 4",INDEX('Lớp 4 - Danh mục'!$AS$14:$AS$132,$T241),INDEX('Lớp 3 - Công việc chính'!$AP$14:$AP$73,$T241))))</f>
        <v>#REF!</v>
      </c>
      <c r="AB241" s="701" t="str">
        <f t="array" ref="AB241">IF($S241="","",IF($S241="Lớp 5",INDEX('Lớp 5 - Phân công'!$AJ$14:$AJ$262,$T241),IF($S241="Lớp 4",INDEX('Lớp 4 - Danh mục'!$AI$14:$AI$132,$T241),INDEX('Lớp 3 - Công việc chính'!$AF$14:$AF$73,$T241))))</f>
        <v>#REF!</v>
      </c>
      <c r="AC241" s="702" t="str">
        <f t="array" ref="AC241">IF($S241="","",IF($S241="Lớp 5",INDEX('Lớp 5 - Phân công'!$AV$14:$AV$262,$T241),IF($S241="Lớp 4",INDEX('Lớp 4 - Danh mục'!$AU$14:$AU$132,$T241),INDEX('Lớp 3 - Công việc chính'!$AR$14:$AR$73,$T241))))</f>
        <v>#REF!</v>
      </c>
    </row>
    <row r="242" ht="15.75" customHeight="1">
      <c r="A242" s="690" t="str">
        <f t="shared" si="1"/>
        <v>#REF!</v>
      </c>
      <c r="B242" s="690" t="str">
        <f t="array" ref="B242">IF($S242="","",IF($S242="Lớp 5",INDEX('Lớp 5 - Phân công'!$I$14:$I$262,$T242),IF($S242="Lớp 4",INDEX('Lớp 4 - Danh mục'!$I$14:$I$132,$T242),INDEX('Lớp 3 - Công việc chính'!$I$14:$I$73,$T242))))</f>
        <v>#REF!</v>
      </c>
      <c r="C242" s="690" t="str">
        <f t="array" ref="C242">IF($S242="","",IF($S242="Lớp 5",INDEX('Lớp 5 - Phân công'!$K$14:$K$262,$T242),IF($S242="Lớp 4",INDEX('Lớp 4 - Danh mục'!$J$14:$J$132,$T242),INDEX('Lớp 3 - Công việc chính'!$I$14:$I$73,$T242))))</f>
        <v>#REF!</v>
      </c>
      <c r="D242" s="690" t="str">
        <f t="array" ref="D242">IF($S242="","",IF($S242="Lớp 5",INDEX('Lớp 5 - Phân công'!$J$14:$J$262,$T242),IF($S242="Lớp 4",INDEX('Lớp 4 - Danh mục'!$I$14:$I$132,$T242),"")))</f>
        <v>#REF!</v>
      </c>
      <c r="E242" s="690" t="str">
        <f t="array" ref="E242">IF($S242="","",IF($S242="Lớp 5",INDEX('Lớp 5 - Phân công'!$L$14:$L$262,$T242),IF($S242="Lớp 4",INDEX('Lớp 4 - Danh mục'!$K$14:$K$132,$T242),INDEX('Lớp 3 - Công việc chính'!$J$14:$J$73,$T242))))</f>
        <v>#REF!</v>
      </c>
      <c r="F242" s="690" t="str">
        <f t="array" ref="F242">IF($S242="","",IF($S242="Lớp 5",INDEX('Lớp 5 - Phân công'!$M$14:$M$262,$T242),IF($S242="Lớp 4",INDEX('Lớp 4 - Danh mục'!$L$14:$L$132,$T242),INDEX('Lớp 3 - Công việc chính'!$K$14:$K$73,$T242))))</f>
        <v>#REF!</v>
      </c>
      <c r="G242" s="691" t="str">
        <f t="array" ref="G242">IF($S242="","",IF($S242="Lớp 5",INDEX('Lớp 5 - Phân công'!$N$14:$N$262,$T242),IF($S242="Lớp 4",INDEX('Lớp 4 - Danh mục'!$M$14:$M$132,$T242),INDEX('Lớp 3 - Công việc chính'!$L$14:$L$73,$T242))))</f>
        <v>#REF!</v>
      </c>
      <c r="H242" s="692" t="str">
        <f t="array" ref="H242">IF($S242="","",IF($S242="Lớp 5",INDEX('Lớp 5 - Phân công'!$O$14:$O$262,$T242),IF($S242="Lớp 4",INDEX('Lớp 4 - Danh mục'!$N$14:$N$132,$T242),INDEX('Lớp 3 - Công việc chính'!$M$14:$M$73,$T242))))</f>
        <v>#REF!</v>
      </c>
      <c r="I242" s="692" t="str">
        <f t="array" ref="I242">IF($S242="","",IF($S242="Lớp 5",INDEX('Lớp 5 - Phân công'!$P$14:$P$262,$T242),IF($S242="Lớp 4",INDEX('Lớp 4 - Danh mục'!$O$14:$O$132,$T242),"")))</f>
        <v>#REF!</v>
      </c>
      <c r="J242" s="693" t="str">
        <f t="array" ref="J242">IF($S242="","",IF($S242="Lớp 5",INDEX('Lớp 5 - Phân công'!$Q$14:$Q$262,$T242),""))</f>
        <v>#REF!</v>
      </c>
      <c r="K242" s="690" t="str">
        <f t="array" ref="K242">IF($S242="","",IF($S242="Lớp 5",INDEX('Lớp 5 - Phân công'!$AA$14:$AA$262,$T242),IF($S242="Lớp 4",INDEX('Lớp 4 - Danh mục'!$Y$14:$Y$132,$T242),INDEX('Lớp 3 - Công việc chính'!$U$14:$U$73,$T242))))</f>
        <v>#REF!</v>
      </c>
      <c r="L242" s="691" t="str">
        <f t="array" ref="L242">IF($S242="","",IF($S242="Lớp 5",INDEX('Lớp 5 - Phân công'!$Z$14:$Z$262,$T242),IF($S242="Lớp 4",INDEX('Lớp 4 - Danh mục'!$X$14:$X$132,$T242),INDEX('Lớp 3 - Công việc chính'!$W$14:$W$73,$T242))))</f>
        <v>#REF!</v>
      </c>
      <c r="M242" s="694" t="str">
        <f t="array" ref="M242">IF($S242="","",IF($S242="Lớp 5",INDEX('Lớp 5 - Phân công'!$AD$14:$AD$262,$T242),IF($S242="Lớp 4",INDEX('Lớp 4 - Danh mục'!$AC$14:$AC$132,$T242),INDEX('Lớp 3 - Công việc chính'!$Z$14:$Z$73,$T242))))</f>
        <v>#REF!</v>
      </c>
      <c r="N242" s="695" t="str">
        <f t="array" ref="N242">IF($S242="","",IF($S242="Lớp 5",INDEX('Lớp 5 - Phân công'!$AE$14:$AE$262,$T242),IF($S242="Lớp 4",INDEX('Lớp 4 - Danh mục'!$AD$14:$AD$132,$T242),INDEX('Lớp 3 - Công việc chính'!$AA$14:$AA$73,$T242))))</f>
        <v>#REF!</v>
      </c>
      <c r="O242" s="690" t="str">
        <f t="array" ref="O242">IF($S242="","",IF($S242="Lớp 5",INDEX('Lớp 5 - Phân công'!$AB$14:$AB$262,$T242),IF($S242="Lớp 4",INDEX('Lớp 4 - Danh mục'!$AA$14:$AA$132,$T242),INDEX('Lớp 3 - Công việc chính'!$X$14:$X$73,$T242))))</f>
        <v>#REF!</v>
      </c>
      <c r="P242" s="703" t="str">
        <f t="array" ref="P242">IF($S242="","",IF($S242="Lớp 5",INDEX('Lớp 5 - Phân công'!$AC$14:$AC$262,$T242),IF($S242="Lớp 4",INDEX('Lớp 4 - Danh mục'!$AB$14:$AB$132,$T242),INDEX('Lớp 3 - Công việc chính'!$Y$14:$Y$73,$T242))))</f>
        <v>#REF!</v>
      </c>
      <c r="Q242" s="697" t="str">
        <f t="array" ref="Q242">IF($S242="","",IF($S242="Lớp 5",INDEX('Lớp 5 - Phân công'!$AG$14:$AG$262,$T242),IF($S242="Lớp 4",INDEX('Lớp 4 - Danh mục'!$AF$14:$AF$132,$T242),INDEX('Lớp 3 - Công việc chính'!$AC$14:$AC$73,$T242))))</f>
        <v>#REF!</v>
      </c>
      <c r="R242" s="698" t="str">
        <f t="array" ref="R242">IF($S242="","",IF($S242="Lớp 5",INDEX('Lớp 5 - Phân công'!$X$14:$X$262,$T242),IF($S242="Lớp 4",INDEX('Lớp 4 - Danh mục'!$V$14:$V$132,$T242),INDEX('Lớp 3 - Công việc chính'!$T$14:$T$73,$T242))))</f>
        <v>#REF!</v>
      </c>
      <c r="S242" s="699" t="str">
        <f>IF(ROWS($S$14:S242)&lt;=COUNTIF('Lớp 5 - Phân công'!$I$14:$I$262,"&lt;&gt;"),"Lớp 5",IF(ROWS($S$14:S242)&lt;=COUNTIF('Lớp 5 - Phân công'!$I$14:$I$262,"&lt;&gt;")+SUMPRODUCT(--('Lớp 4 - Danh mục'!$I$14:$I$132&lt;&gt;""),--(COUNTIF('Lớp 5 - Phân công'!$J$14:$J$262,'Lớp 4 - Danh mục'!$I$14:$I$132)=0)),"Lớp 4",IF(ROWS($S$14:S242)&lt;=COUNTIF('Lớp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2" s="699" t="str">
        <f t="array" ref="T242">IF(S242="","",IF(S242="Lớp 5",IF(S241&lt;&gt;"Lớp 5",MATCH("*",'Lớp 5 - Phân công'!$I$14:$I$262,0),T241+MATCH("*",INDEX('Lớp 5 - Phân công'!$I$14:$I$262,T241+1):'Lớp 5 - Phân công'!$I$262,0)),IF(S242="Lớp 4",IF(S241&lt;&gt;"Lớp 4",MATCH(1,INDEX(('Lớp 4 - Danh mục'!$I$14:$I$132&lt;&gt;"")*(COUNTIF('Lớp 5 - Phân công'!$J$14:$J$262,'Lớp 4 - Danh mục'!$I$14:$I$132)=0),0),0),T241+MATCH(1,INDEX((INDEX('Lớp 4 - Danh mục'!$I$14:$I$132,T241+1):'Lớp 4 - Danh mục'!$I$132&lt;&gt;"")*(COUNTIF('Lớp 5 - Phân công'!$J$14:$J$262,INDEX('Lớp 4 - Danh mục'!$I$14:$I$132,T241+1):'Lớp 4 - Danh mục'!$I$132)=0),0),0)),IF(S241&lt;&gt;"Lớp 3",MATCH(1,INDEX(('Lớp 3 - Công việc chính'!$I$14:$I$73&lt;&gt;"")*(COUNTIF('Lớp 4 - Danh mục'!$J$14:$J$132,'Lớp 3 - Công việc chính'!$I$14:$I$73)=0),0),0),T241+MATCH(1,INDEX((INDEX('Lớp 3 - Công việc chính'!$I$14:$I$73,T241+1):'Lớp 3 - Công việc chính'!$I$73&lt;&gt;"")*(COUNTIF('Lớp 4 - Danh mục'!$J$14:$J$132,INDEX('Lớp 3 - Công việc chính'!$I$14:$I$73,T241+1):'Lớp 3 - Công việc chính'!$I$73)=0),0),0)))))</f>
        <v>#REF!</v>
      </c>
      <c r="Z242" s="700" t="str">
        <f t="array" ref="Z242">IF($S242="","",IF($S242="Lớp 5",INDEX('Lớp 5 - Phân công'!$AS$14:$AS$262,$T242),IF($S242="Lớp 4",INDEX('Lớp 4 - Danh mục'!$AR$14:$AR$132,$T242),INDEX('Lớp 3 - Công việc chính'!$AO$14:$AO$73,$T242))))</f>
        <v>#REF!</v>
      </c>
      <c r="AA242" s="701" t="str">
        <f t="array" ref="AA242">IF($S242="","",IF($S242="Lớp 5",INDEX('Lớp 5 - Phân công'!$AT$14:$AT$262,$T242),IF($S242="Lớp 4",INDEX('Lớp 4 - Danh mục'!$AS$14:$AS$132,$T242),INDEX('Lớp 3 - Công việc chính'!$AP$14:$AP$73,$T242))))</f>
        <v>#REF!</v>
      </c>
      <c r="AB242" s="701" t="str">
        <f t="array" ref="AB242">IF($S242="","",IF($S242="Lớp 5",INDEX('Lớp 5 - Phân công'!$AJ$14:$AJ$262,$T242),IF($S242="Lớp 4",INDEX('Lớp 4 - Danh mục'!$AI$14:$AI$132,$T242),INDEX('Lớp 3 - Công việc chính'!$AF$14:$AF$73,$T242))))</f>
        <v>#REF!</v>
      </c>
      <c r="AC242" s="702" t="str">
        <f t="array" ref="AC242">IF($S242="","",IF($S242="Lớp 5",INDEX('Lớp 5 - Phân công'!$AV$14:$AV$262,$T242),IF($S242="Lớp 4",INDEX('Lớp 4 - Danh mục'!$AU$14:$AU$132,$T242),INDEX('Lớp 3 - Công việc chính'!$AR$14:$AR$73,$T242))))</f>
        <v>#REF!</v>
      </c>
    </row>
    <row r="243" ht="15.75" customHeight="1">
      <c r="A243" s="690" t="str">
        <f t="shared" si="1"/>
        <v>#REF!</v>
      </c>
      <c r="B243" s="690" t="str">
        <f t="array" ref="B243">IF($S243="","",IF($S243="Lớp 5",INDEX('Lớp 5 - Phân công'!$I$14:$I$262,$T243),IF($S243="Lớp 4",INDEX('Lớp 4 - Danh mục'!$I$14:$I$132,$T243),INDEX('Lớp 3 - Công việc chính'!$I$14:$I$73,$T243))))</f>
        <v>#REF!</v>
      </c>
      <c r="C243" s="690" t="str">
        <f t="array" ref="C243">IF($S243="","",IF($S243="Lớp 5",INDEX('Lớp 5 - Phân công'!$K$14:$K$262,$T243),IF($S243="Lớp 4",INDEX('Lớp 4 - Danh mục'!$J$14:$J$132,$T243),INDEX('Lớp 3 - Công việc chính'!$I$14:$I$73,$T243))))</f>
        <v>#REF!</v>
      </c>
      <c r="D243" s="690" t="str">
        <f t="array" ref="D243">IF($S243="","",IF($S243="Lớp 5",INDEX('Lớp 5 - Phân công'!$J$14:$J$262,$T243),IF($S243="Lớp 4",INDEX('Lớp 4 - Danh mục'!$I$14:$I$132,$T243),"")))</f>
        <v>#REF!</v>
      </c>
      <c r="E243" s="690" t="str">
        <f t="array" ref="E243">IF($S243="","",IF($S243="Lớp 5",INDEX('Lớp 5 - Phân công'!$L$14:$L$262,$T243),IF($S243="Lớp 4",INDEX('Lớp 4 - Danh mục'!$K$14:$K$132,$T243),INDEX('Lớp 3 - Công việc chính'!$J$14:$J$73,$T243))))</f>
        <v>#REF!</v>
      </c>
      <c r="F243" s="690" t="str">
        <f t="array" ref="F243">IF($S243="","",IF($S243="Lớp 5",INDEX('Lớp 5 - Phân công'!$M$14:$M$262,$T243),IF($S243="Lớp 4",INDEX('Lớp 4 - Danh mục'!$L$14:$L$132,$T243),INDEX('Lớp 3 - Công việc chính'!$K$14:$K$73,$T243))))</f>
        <v>#REF!</v>
      </c>
      <c r="G243" s="691" t="str">
        <f t="array" ref="G243">IF($S243="","",IF($S243="Lớp 5",INDEX('Lớp 5 - Phân công'!$N$14:$N$262,$T243),IF($S243="Lớp 4",INDEX('Lớp 4 - Danh mục'!$M$14:$M$132,$T243),INDEX('Lớp 3 - Công việc chính'!$L$14:$L$73,$T243))))</f>
        <v>#REF!</v>
      </c>
      <c r="H243" s="692" t="str">
        <f t="array" ref="H243">IF($S243="","",IF($S243="Lớp 5",INDEX('Lớp 5 - Phân công'!$O$14:$O$262,$T243),IF($S243="Lớp 4",INDEX('Lớp 4 - Danh mục'!$N$14:$N$132,$T243),INDEX('Lớp 3 - Công việc chính'!$M$14:$M$73,$T243))))</f>
        <v>#REF!</v>
      </c>
      <c r="I243" s="692" t="str">
        <f t="array" ref="I243">IF($S243="","",IF($S243="Lớp 5",INDEX('Lớp 5 - Phân công'!$P$14:$P$262,$T243),IF($S243="Lớp 4",INDEX('Lớp 4 - Danh mục'!$O$14:$O$132,$T243),"")))</f>
        <v>#REF!</v>
      </c>
      <c r="J243" s="693" t="str">
        <f t="array" ref="J243">IF($S243="","",IF($S243="Lớp 5",INDEX('Lớp 5 - Phân công'!$Q$14:$Q$262,$T243),""))</f>
        <v>#REF!</v>
      </c>
      <c r="K243" s="690" t="str">
        <f t="array" ref="K243">IF($S243="","",IF($S243="Lớp 5",INDEX('Lớp 5 - Phân công'!$AA$14:$AA$262,$T243),IF($S243="Lớp 4",INDEX('Lớp 4 - Danh mục'!$Y$14:$Y$132,$T243),INDEX('Lớp 3 - Công việc chính'!$U$14:$U$73,$T243))))</f>
        <v>#REF!</v>
      </c>
      <c r="L243" s="691" t="str">
        <f t="array" ref="L243">IF($S243="","",IF($S243="Lớp 5",INDEX('Lớp 5 - Phân công'!$Z$14:$Z$262,$T243),IF($S243="Lớp 4",INDEX('Lớp 4 - Danh mục'!$X$14:$X$132,$T243),INDEX('Lớp 3 - Công việc chính'!$W$14:$W$73,$T243))))</f>
        <v>#REF!</v>
      </c>
      <c r="M243" s="694" t="str">
        <f t="array" ref="M243">IF($S243="","",IF($S243="Lớp 5",INDEX('Lớp 5 - Phân công'!$AD$14:$AD$262,$T243),IF($S243="Lớp 4",INDEX('Lớp 4 - Danh mục'!$AC$14:$AC$132,$T243),INDEX('Lớp 3 - Công việc chính'!$Z$14:$Z$73,$T243))))</f>
        <v>#REF!</v>
      </c>
      <c r="N243" s="695" t="str">
        <f t="array" ref="N243">IF($S243="","",IF($S243="Lớp 5",INDEX('Lớp 5 - Phân công'!$AE$14:$AE$262,$T243),IF($S243="Lớp 4",INDEX('Lớp 4 - Danh mục'!$AD$14:$AD$132,$T243),INDEX('Lớp 3 - Công việc chính'!$AA$14:$AA$73,$T243))))</f>
        <v>#REF!</v>
      </c>
      <c r="O243" s="690" t="str">
        <f t="array" ref="O243">IF($S243="","",IF($S243="Lớp 5",INDEX('Lớp 5 - Phân công'!$AB$14:$AB$262,$T243),IF($S243="Lớp 4",INDEX('Lớp 4 - Danh mục'!$AA$14:$AA$132,$T243),INDEX('Lớp 3 - Công việc chính'!$X$14:$X$73,$T243))))</f>
        <v>#REF!</v>
      </c>
      <c r="P243" s="703" t="str">
        <f t="array" ref="P243">IF($S243="","",IF($S243="Lớp 5",INDEX('Lớp 5 - Phân công'!$AC$14:$AC$262,$T243),IF($S243="Lớp 4",INDEX('Lớp 4 - Danh mục'!$AB$14:$AB$132,$T243),INDEX('Lớp 3 - Công việc chính'!$Y$14:$Y$73,$T243))))</f>
        <v>#REF!</v>
      </c>
      <c r="Q243" s="697" t="str">
        <f t="array" ref="Q243">IF($S243="","",IF($S243="Lớp 5",INDEX('Lớp 5 - Phân công'!$AG$14:$AG$262,$T243),IF($S243="Lớp 4",INDEX('Lớp 4 - Danh mục'!$AF$14:$AF$132,$T243),INDEX('Lớp 3 - Công việc chính'!$AC$14:$AC$73,$T243))))</f>
        <v>#REF!</v>
      </c>
      <c r="R243" s="698" t="str">
        <f t="array" ref="R243">IF($S243="","",IF($S243="Lớp 5",INDEX('Lớp 5 - Phân công'!$X$14:$X$262,$T243),IF($S243="Lớp 4",INDEX('Lớp 4 - Danh mục'!$V$14:$V$132,$T243),INDEX('Lớp 3 - Công việc chính'!$T$14:$T$73,$T243))))</f>
        <v>#REF!</v>
      </c>
      <c r="S243" s="699" t="str">
        <f>IF(ROWS($S$14:S243)&lt;=COUNTIF('Lớp 5 - Phân công'!$I$14:$I$262,"&lt;&gt;"),"Lớp 5",IF(ROWS($S$14:S243)&lt;=COUNTIF('Lớp 5 - Phân công'!$I$14:$I$262,"&lt;&gt;")+SUMPRODUCT(--('Lớp 4 - Danh mục'!$I$14:$I$132&lt;&gt;""),--(COUNTIF('Lớp 5 - Phân công'!$J$14:$J$262,'Lớp 4 - Danh mục'!$I$14:$I$132)=0)),"Lớp 4",IF(ROWS($S$14:S243)&lt;=COUNTIF('Lớp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3" s="699" t="str">
        <f t="array" ref="T243">IF(S243="","",IF(S243="Lớp 5",IF(S242&lt;&gt;"Lớp 5",MATCH("*",'Lớp 5 - Phân công'!$I$14:$I$262,0),T242+MATCH("*",INDEX('Lớp 5 - Phân công'!$I$14:$I$262,T242+1):'Lớp 5 - Phân công'!$I$262,0)),IF(S243="Lớp 4",IF(S242&lt;&gt;"Lớp 4",MATCH(1,INDEX(('Lớp 4 - Danh mục'!$I$14:$I$132&lt;&gt;"")*(COUNTIF('Lớp 5 - Phân công'!$J$14:$J$262,'Lớp 4 - Danh mục'!$I$14:$I$132)=0),0),0),T242+MATCH(1,INDEX((INDEX('Lớp 4 - Danh mục'!$I$14:$I$132,T242+1):'Lớp 4 - Danh mục'!$I$132&lt;&gt;"")*(COUNTIF('Lớp 5 - Phân công'!$J$14:$J$262,INDEX('Lớp 4 - Danh mục'!$I$14:$I$132,T242+1):'Lớp 4 - Danh mục'!$I$132)=0),0),0)),IF(S242&lt;&gt;"Lớp 3",MATCH(1,INDEX(('Lớp 3 - Công việc chính'!$I$14:$I$73&lt;&gt;"")*(COUNTIF('Lớp 4 - Danh mục'!$J$14:$J$132,'Lớp 3 - Công việc chính'!$I$14:$I$73)=0),0),0),T242+MATCH(1,INDEX((INDEX('Lớp 3 - Công việc chính'!$I$14:$I$73,T242+1):'Lớp 3 - Công việc chính'!$I$73&lt;&gt;"")*(COUNTIF('Lớp 4 - Danh mục'!$J$14:$J$132,INDEX('Lớp 3 - Công việc chính'!$I$14:$I$73,T242+1):'Lớp 3 - Công việc chính'!$I$73)=0),0),0)))))</f>
        <v>#REF!</v>
      </c>
      <c r="Z243" s="700" t="str">
        <f t="array" ref="Z243">IF($S243="","",IF($S243="Lớp 5",INDEX('Lớp 5 - Phân công'!$AS$14:$AS$262,$T243),IF($S243="Lớp 4",INDEX('Lớp 4 - Danh mục'!$AR$14:$AR$132,$T243),INDEX('Lớp 3 - Công việc chính'!$AO$14:$AO$73,$T243))))</f>
        <v>#REF!</v>
      </c>
      <c r="AA243" s="701" t="str">
        <f t="array" ref="AA243">IF($S243="","",IF($S243="Lớp 5",INDEX('Lớp 5 - Phân công'!$AT$14:$AT$262,$T243),IF($S243="Lớp 4",INDEX('Lớp 4 - Danh mục'!$AS$14:$AS$132,$T243),INDEX('Lớp 3 - Công việc chính'!$AP$14:$AP$73,$T243))))</f>
        <v>#REF!</v>
      </c>
      <c r="AB243" s="701" t="str">
        <f t="array" ref="AB243">IF($S243="","",IF($S243="Lớp 5",INDEX('Lớp 5 - Phân công'!$AJ$14:$AJ$262,$T243),IF($S243="Lớp 4",INDEX('Lớp 4 - Danh mục'!$AI$14:$AI$132,$T243),INDEX('Lớp 3 - Công việc chính'!$AF$14:$AF$73,$T243))))</f>
        <v>#REF!</v>
      </c>
      <c r="AC243" s="702" t="str">
        <f t="array" ref="AC243">IF($S243="","",IF($S243="Lớp 5",INDEX('Lớp 5 - Phân công'!$AV$14:$AV$262,$T243),IF($S243="Lớp 4",INDEX('Lớp 4 - Danh mục'!$AU$14:$AU$132,$T243),INDEX('Lớp 3 - Công việc chính'!$AR$14:$AR$73,$T243))))</f>
        <v>#REF!</v>
      </c>
    </row>
    <row r="244" ht="15.75" customHeight="1">
      <c r="A244" s="690" t="str">
        <f t="shared" si="1"/>
        <v>#REF!</v>
      </c>
      <c r="B244" s="690" t="str">
        <f t="array" ref="B244">IF($S244="","",IF($S244="Lớp 5",INDEX('Lớp 5 - Phân công'!$I$14:$I$262,$T244),IF($S244="Lớp 4",INDEX('Lớp 4 - Danh mục'!$I$14:$I$132,$T244),INDEX('Lớp 3 - Công việc chính'!$I$14:$I$73,$T244))))</f>
        <v>#REF!</v>
      </c>
      <c r="C244" s="690" t="str">
        <f t="array" ref="C244">IF($S244="","",IF($S244="Lớp 5",INDEX('Lớp 5 - Phân công'!$K$14:$K$262,$T244),IF($S244="Lớp 4",INDEX('Lớp 4 - Danh mục'!$J$14:$J$132,$T244),INDEX('Lớp 3 - Công việc chính'!$I$14:$I$73,$T244))))</f>
        <v>#REF!</v>
      </c>
      <c r="D244" s="690" t="str">
        <f t="array" ref="D244">IF($S244="","",IF($S244="Lớp 5",INDEX('Lớp 5 - Phân công'!$J$14:$J$262,$T244),IF($S244="Lớp 4",INDEX('Lớp 4 - Danh mục'!$I$14:$I$132,$T244),"")))</f>
        <v>#REF!</v>
      </c>
      <c r="E244" s="690" t="str">
        <f t="array" ref="E244">IF($S244="","",IF($S244="Lớp 5",INDEX('Lớp 5 - Phân công'!$L$14:$L$262,$T244),IF($S244="Lớp 4",INDEX('Lớp 4 - Danh mục'!$K$14:$K$132,$T244),INDEX('Lớp 3 - Công việc chính'!$J$14:$J$73,$T244))))</f>
        <v>#REF!</v>
      </c>
      <c r="F244" s="690" t="str">
        <f t="array" ref="F244">IF($S244="","",IF($S244="Lớp 5",INDEX('Lớp 5 - Phân công'!$M$14:$M$262,$T244),IF($S244="Lớp 4",INDEX('Lớp 4 - Danh mục'!$L$14:$L$132,$T244),INDEX('Lớp 3 - Công việc chính'!$K$14:$K$73,$T244))))</f>
        <v>#REF!</v>
      </c>
      <c r="G244" s="691" t="str">
        <f t="array" ref="G244">IF($S244="","",IF($S244="Lớp 5",INDEX('Lớp 5 - Phân công'!$N$14:$N$262,$T244),IF($S244="Lớp 4",INDEX('Lớp 4 - Danh mục'!$M$14:$M$132,$T244),INDEX('Lớp 3 - Công việc chính'!$L$14:$L$73,$T244))))</f>
        <v>#REF!</v>
      </c>
      <c r="H244" s="692" t="str">
        <f t="array" ref="H244">IF($S244="","",IF($S244="Lớp 5",INDEX('Lớp 5 - Phân công'!$O$14:$O$262,$T244),IF($S244="Lớp 4",INDEX('Lớp 4 - Danh mục'!$N$14:$N$132,$T244),INDEX('Lớp 3 - Công việc chính'!$M$14:$M$73,$T244))))</f>
        <v>#REF!</v>
      </c>
      <c r="I244" s="692" t="str">
        <f t="array" ref="I244">IF($S244="","",IF($S244="Lớp 5",INDEX('Lớp 5 - Phân công'!$P$14:$P$262,$T244),IF($S244="Lớp 4",INDEX('Lớp 4 - Danh mục'!$O$14:$O$132,$T244),"")))</f>
        <v>#REF!</v>
      </c>
      <c r="J244" s="693" t="str">
        <f t="array" ref="J244">IF($S244="","",IF($S244="Lớp 5",INDEX('Lớp 5 - Phân công'!$Q$14:$Q$262,$T244),""))</f>
        <v>#REF!</v>
      </c>
      <c r="K244" s="690" t="str">
        <f t="array" ref="K244">IF($S244="","",IF($S244="Lớp 5",INDEX('Lớp 5 - Phân công'!$AA$14:$AA$262,$T244),IF($S244="Lớp 4",INDEX('Lớp 4 - Danh mục'!$Y$14:$Y$132,$T244),INDEX('Lớp 3 - Công việc chính'!$U$14:$U$73,$T244))))</f>
        <v>#REF!</v>
      </c>
      <c r="L244" s="691" t="str">
        <f t="array" ref="L244">IF($S244="","",IF($S244="Lớp 5",INDEX('Lớp 5 - Phân công'!$Z$14:$Z$262,$T244),IF($S244="Lớp 4",INDEX('Lớp 4 - Danh mục'!$X$14:$X$132,$T244),INDEX('Lớp 3 - Công việc chính'!$W$14:$W$73,$T244))))</f>
        <v>#REF!</v>
      </c>
      <c r="M244" s="694" t="str">
        <f t="array" ref="M244">IF($S244="","",IF($S244="Lớp 5",INDEX('Lớp 5 - Phân công'!$AD$14:$AD$262,$T244),IF($S244="Lớp 4",INDEX('Lớp 4 - Danh mục'!$AC$14:$AC$132,$T244),INDEX('Lớp 3 - Công việc chính'!$Z$14:$Z$73,$T244))))</f>
        <v>#REF!</v>
      </c>
      <c r="N244" s="695" t="str">
        <f t="array" ref="N244">IF($S244="","",IF($S244="Lớp 5",INDEX('Lớp 5 - Phân công'!$AE$14:$AE$262,$T244),IF($S244="Lớp 4",INDEX('Lớp 4 - Danh mục'!$AD$14:$AD$132,$T244),INDEX('Lớp 3 - Công việc chính'!$AA$14:$AA$73,$T244))))</f>
        <v>#REF!</v>
      </c>
      <c r="O244" s="690" t="str">
        <f t="array" ref="O244">IF($S244="","",IF($S244="Lớp 5",INDEX('Lớp 5 - Phân công'!$AB$14:$AB$262,$T244),IF($S244="Lớp 4",INDEX('Lớp 4 - Danh mục'!$AA$14:$AA$132,$T244),INDEX('Lớp 3 - Công việc chính'!$X$14:$X$73,$T244))))</f>
        <v>#REF!</v>
      </c>
      <c r="P244" s="703" t="str">
        <f t="array" ref="P244">IF($S244="","",IF($S244="Lớp 5",INDEX('Lớp 5 - Phân công'!$AC$14:$AC$262,$T244),IF($S244="Lớp 4",INDEX('Lớp 4 - Danh mục'!$AB$14:$AB$132,$T244),INDEX('Lớp 3 - Công việc chính'!$Y$14:$Y$73,$T244))))</f>
        <v>#REF!</v>
      </c>
      <c r="Q244" s="697" t="str">
        <f t="array" ref="Q244">IF($S244="","",IF($S244="Lớp 5",INDEX('Lớp 5 - Phân công'!$AG$14:$AG$262,$T244),IF($S244="Lớp 4",INDEX('Lớp 4 - Danh mục'!$AF$14:$AF$132,$T244),INDEX('Lớp 3 - Công việc chính'!$AC$14:$AC$73,$T244))))</f>
        <v>#REF!</v>
      </c>
      <c r="R244" s="698" t="str">
        <f t="array" ref="R244">IF($S244="","",IF($S244="Lớp 5",INDEX('Lớp 5 - Phân công'!$X$14:$X$262,$T244),IF($S244="Lớp 4",INDEX('Lớp 4 - Danh mục'!$V$14:$V$132,$T244),INDEX('Lớp 3 - Công việc chính'!$T$14:$T$73,$T244))))</f>
        <v>#REF!</v>
      </c>
      <c r="S244" s="699" t="str">
        <f>IF(ROWS($S$14:S244)&lt;=COUNTIF('Lớp 5 - Phân công'!$I$14:$I$262,"&lt;&gt;"),"Lớp 5",IF(ROWS($S$14:S244)&lt;=COUNTIF('Lớp 5 - Phân công'!$I$14:$I$262,"&lt;&gt;")+SUMPRODUCT(--('Lớp 4 - Danh mục'!$I$14:$I$132&lt;&gt;""),--(COUNTIF('Lớp 5 - Phân công'!$J$14:$J$262,'Lớp 4 - Danh mục'!$I$14:$I$132)=0)),"Lớp 4",IF(ROWS($S$14:S244)&lt;=COUNTIF('Lớp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4" s="699" t="str">
        <f t="array" ref="T244">IF(S244="","",IF(S244="Lớp 5",IF(S243&lt;&gt;"Lớp 5",MATCH("*",'Lớp 5 - Phân công'!$I$14:$I$262,0),T243+MATCH("*",INDEX('Lớp 5 - Phân công'!$I$14:$I$262,T243+1):'Lớp 5 - Phân công'!$I$262,0)),IF(S244="Lớp 4",IF(S243&lt;&gt;"Lớp 4",MATCH(1,INDEX(('Lớp 4 - Danh mục'!$I$14:$I$132&lt;&gt;"")*(COUNTIF('Lớp 5 - Phân công'!$J$14:$J$262,'Lớp 4 - Danh mục'!$I$14:$I$132)=0),0),0),T243+MATCH(1,INDEX((INDEX('Lớp 4 - Danh mục'!$I$14:$I$132,T243+1):'Lớp 4 - Danh mục'!$I$132&lt;&gt;"")*(COUNTIF('Lớp 5 - Phân công'!$J$14:$J$262,INDEX('Lớp 4 - Danh mục'!$I$14:$I$132,T243+1):'Lớp 4 - Danh mục'!$I$132)=0),0),0)),IF(S243&lt;&gt;"Lớp 3",MATCH(1,INDEX(('Lớp 3 - Công việc chính'!$I$14:$I$73&lt;&gt;"")*(COUNTIF('Lớp 4 - Danh mục'!$J$14:$J$132,'Lớp 3 - Công việc chính'!$I$14:$I$73)=0),0),0),T243+MATCH(1,INDEX((INDEX('Lớp 3 - Công việc chính'!$I$14:$I$73,T243+1):'Lớp 3 - Công việc chính'!$I$73&lt;&gt;"")*(COUNTIF('Lớp 4 - Danh mục'!$J$14:$J$132,INDEX('Lớp 3 - Công việc chính'!$I$14:$I$73,T243+1):'Lớp 3 - Công việc chính'!$I$73)=0),0),0)))))</f>
        <v>#REF!</v>
      </c>
      <c r="Z244" s="700" t="str">
        <f t="array" ref="Z244">IF($S244="","",IF($S244="Lớp 5",INDEX('Lớp 5 - Phân công'!$AS$14:$AS$262,$T244),IF($S244="Lớp 4",INDEX('Lớp 4 - Danh mục'!$AR$14:$AR$132,$T244),INDEX('Lớp 3 - Công việc chính'!$AO$14:$AO$73,$T244))))</f>
        <v>#REF!</v>
      </c>
      <c r="AA244" s="701" t="str">
        <f t="array" ref="AA244">IF($S244="","",IF($S244="Lớp 5",INDEX('Lớp 5 - Phân công'!$AT$14:$AT$262,$T244),IF($S244="Lớp 4",INDEX('Lớp 4 - Danh mục'!$AS$14:$AS$132,$T244),INDEX('Lớp 3 - Công việc chính'!$AP$14:$AP$73,$T244))))</f>
        <v>#REF!</v>
      </c>
      <c r="AB244" s="701" t="str">
        <f t="array" ref="AB244">IF($S244="","",IF($S244="Lớp 5",INDEX('Lớp 5 - Phân công'!$AJ$14:$AJ$262,$T244),IF($S244="Lớp 4",INDEX('Lớp 4 - Danh mục'!$AI$14:$AI$132,$T244),INDEX('Lớp 3 - Công việc chính'!$AF$14:$AF$73,$T244))))</f>
        <v>#REF!</v>
      </c>
      <c r="AC244" s="702" t="str">
        <f t="array" ref="AC244">IF($S244="","",IF($S244="Lớp 5",INDEX('Lớp 5 - Phân công'!$AV$14:$AV$262,$T244),IF($S244="Lớp 4",INDEX('Lớp 4 - Danh mục'!$AU$14:$AU$132,$T244),INDEX('Lớp 3 - Công việc chính'!$AR$14:$AR$73,$T244))))</f>
        <v>#REF!</v>
      </c>
    </row>
    <row r="245" ht="15.75" customHeight="1">
      <c r="A245" s="690" t="str">
        <f t="shared" si="1"/>
        <v>#REF!</v>
      </c>
      <c r="B245" s="690" t="str">
        <f t="array" ref="B245">IF($S245="","",IF($S245="Lớp 5",INDEX('Lớp 5 - Phân công'!$I$14:$I$262,$T245),IF($S245="Lớp 4",INDEX('Lớp 4 - Danh mục'!$I$14:$I$132,$T245),INDEX('Lớp 3 - Công việc chính'!$I$14:$I$73,$T245))))</f>
        <v>#REF!</v>
      </c>
      <c r="C245" s="690" t="str">
        <f t="array" ref="C245">IF($S245="","",IF($S245="Lớp 5",INDEX('Lớp 5 - Phân công'!$K$14:$K$262,$T245),IF($S245="Lớp 4",INDEX('Lớp 4 - Danh mục'!$J$14:$J$132,$T245),INDEX('Lớp 3 - Công việc chính'!$I$14:$I$73,$T245))))</f>
        <v>#REF!</v>
      </c>
      <c r="D245" s="690" t="str">
        <f t="array" ref="D245">IF($S245="","",IF($S245="Lớp 5",INDEX('Lớp 5 - Phân công'!$J$14:$J$262,$T245),IF($S245="Lớp 4",INDEX('Lớp 4 - Danh mục'!$I$14:$I$132,$T245),"")))</f>
        <v>#REF!</v>
      </c>
      <c r="E245" s="690" t="str">
        <f t="array" ref="E245">IF($S245="","",IF($S245="Lớp 5",INDEX('Lớp 5 - Phân công'!$L$14:$L$262,$T245),IF($S245="Lớp 4",INDEX('Lớp 4 - Danh mục'!$K$14:$K$132,$T245),INDEX('Lớp 3 - Công việc chính'!$J$14:$J$73,$T245))))</f>
        <v>#REF!</v>
      </c>
      <c r="F245" s="690" t="str">
        <f t="array" ref="F245">IF($S245="","",IF($S245="Lớp 5",INDEX('Lớp 5 - Phân công'!$M$14:$M$262,$T245),IF($S245="Lớp 4",INDEX('Lớp 4 - Danh mục'!$L$14:$L$132,$T245),INDEX('Lớp 3 - Công việc chính'!$K$14:$K$73,$T245))))</f>
        <v>#REF!</v>
      </c>
      <c r="G245" s="691" t="str">
        <f t="array" ref="G245">IF($S245="","",IF($S245="Lớp 5",INDEX('Lớp 5 - Phân công'!$N$14:$N$262,$T245),IF($S245="Lớp 4",INDEX('Lớp 4 - Danh mục'!$M$14:$M$132,$T245),INDEX('Lớp 3 - Công việc chính'!$L$14:$L$73,$T245))))</f>
        <v>#REF!</v>
      </c>
      <c r="H245" s="692" t="str">
        <f t="array" ref="H245">IF($S245="","",IF($S245="Lớp 5",INDEX('Lớp 5 - Phân công'!$O$14:$O$262,$T245),IF($S245="Lớp 4",INDEX('Lớp 4 - Danh mục'!$N$14:$N$132,$T245),INDEX('Lớp 3 - Công việc chính'!$M$14:$M$73,$T245))))</f>
        <v>#REF!</v>
      </c>
      <c r="I245" s="692" t="str">
        <f t="array" ref="I245">IF($S245="","",IF($S245="Lớp 5",INDEX('Lớp 5 - Phân công'!$P$14:$P$262,$T245),IF($S245="Lớp 4",INDEX('Lớp 4 - Danh mục'!$O$14:$O$132,$T245),"")))</f>
        <v>#REF!</v>
      </c>
      <c r="J245" s="693" t="str">
        <f t="array" ref="J245">IF($S245="","",IF($S245="Lớp 5",INDEX('Lớp 5 - Phân công'!$Q$14:$Q$262,$T245),""))</f>
        <v>#REF!</v>
      </c>
      <c r="K245" s="690" t="str">
        <f t="array" ref="K245">IF($S245="","",IF($S245="Lớp 5",INDEX('Lớp 5 - Phân công'!$AA$14:$AA$262,$T245),IF($S245="Lớp 4",INDEX('Lớp 4 - Danh mục'!$Y$14:$Y$132,$T245),INDEX('Lớp 3 - Công việc chính'!$U$14:$U$73,$T245))))</f>
        <v>#REF!</v>
      </c>
      <c r="L245" s="691" t="str">
        <f t="array" ref="L245">IF($S245="","",IF($S245="Lớp 5",INDEX('Lớp 5 - Phân công'!$Z$14:$Z$262,$T245),IF($S245="Lớp 4",INDEX('Lớp 4 - Danh mục'!$X$14:$X$132,$T245),INDEX('Lớp 3 - Công việc chính'!$W$14:$W$73,$T245))))</f>
        <v>#REF!</v>
      </c>
      <c r="M245" s="694" t="str">
        <f t="array" ref="M245">IF($S245="","",IF($S245="Lớp 5",INDEX('Lớp 5 - Phân công'!$AD$14:$AD$262,$T245),IF($S245="Lớp 4",INDEX('Lớp 4 - Danh mục'!$AC$14:$AC$132,$T245),INDEX('Lớp 3 - Công việc chính'!$Z$14:$Z$73,$T245))))</f>
        <v>#REF!</v>
      </c>
      <c r="N245" s="695" t="str">
        <f t="array" ref="N245">IF($S245="","",IF($S245="Lớp 5",INDEX('Lớp 5 - Phân công'!$AE$14:$AE$262,$T245),IF($S245="Lớp 4",INDEX('Lớp 4 - Danh mục'!$AD$14:$AD$132,$T245),INDEX('Lớp 3 - Công việc chính'!$AA$14:$AA$73,$T245))))</f>
        <v>#REF!</v>
      </c>
      <c r="O245" s="690" t="str">
        <f t="array" ref="O245">IF($S245="","",IF($S245="Lớp 5",INDEX('Lớp 5 - Phân công'!$AB$14:$AB$262,$T245),IF($S245="Lớp 4",INDEX('Lớp 4 - Danh mục'!$AA$14:$AA$132,$T245),INDEX('Lớp 3 - Công việc chính'!$X$14:$X$73,$T245))))</f>
        <v>#REF!</v>
      </c>
      <c r="P245" s="703" t="str">
        <f t="array" ref="P245">IF($S245="","",IF($S245="Lớp 5",INDEX('Lớp 5 - Phân công'!$AC$14:$AC$262,$T245),IF($S245="Lớp 4",INDEX('Lớp 4 - Danh mục'!$AB$14:$AB$132,$T245),INDEX('Lớp 3 - Công việc chính'!$Y$14:$Y$73,$T245))))</f>
        <v>#REF!</v>
      </c>
      <c r="Q245" s="697" t="str">
        <f t="array" ref="Q245">IF($S245="","",IF($S245="Lớp 5",INDEX('Lớp 5 - Phân công'!$AG$14:$AG$262,$T245),IF($S245="Lớp 4",INDEX('Lớp 4 - Danh mục'!$AF$14:$AF$132,$T245),INDEX('Lớp 3 - Công việc chính'!$AC$14:$AC$73,$T245))))</f>
        <v>#REF!</v>
      </c>
      <c r="R245" s="698" t="str">
        <f t="array" ref="R245">IF($S245="","",IF($S245="Lớp 5",INDEX('Lớp 5 - Phân công'!$X$14:$X$262,$T245),IF($S245="Lớp 4",INDEX('Lớp 4 - Danh mục'!$V$14:$V$132,$T245),INDEX('Lớp 3 - Công việc chính'!$T$14:$T$73,$T245))))</f>
        <v>#REF!</v>
      </c>
      <c r="S245" s="699" t="str">
        <f>IF(ROWS($S$14:S245)&lt;=COUNTIF('Lớp 5 - Phân công'!$I$14:$I$262,"&lt;&gt;"),"Lớp 5",IF(ROWS($S$14:S245)&lt;=COUNTIF('Lớp 5 - Phân công'!$I$14:$I$262,"&lt;&gt;")+SUMPRODUCT(--('Lớp 4 - Danh mục'!$I$14:$I$132&lt;&gt;""),--(COUNTIF('Lớp 5 - Phân công'!$J$14:$J$262,'Lớp 4 - Danh mục'!$I$14:$I$132)=0)),"Lớp 4",IF(ROWS($S$14:S245)&lt;=COUNTIF('Lớp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5" s="699" t="str">
        <f t="array" ref="T245">IF(S245="","",IF(S245="Lớp 5",IF(S244&lt;&gt;"Lớp 5",MATCH("*",'Lớp 5 - Phân công'!$I$14:$I$262,0),T244+MATCH("*",INDEX('Lớp 5 - Phân công'!$I$14:$I$262,T244+1):'Lớp 5 - Phân công'!$I$262,0)),IF(S245="Lớp 4",IF(S244&lt;&gt;"Lớp 4",MATCH(1,INDEX(('Lớp 4 - Danh mục'!$I$14:$I$132&lt;&gt;"")*(COUNTIF('Lớp 5 - Phân công'!$J$14:$J$262,'Lớp 4 - Danh mục'!$I$14:$I$132)=0),0),0),T244+MATCH(1,INDEX((INDEX('Lớp 4 - Danh mục'!$I$14:$I$132,T244+1):'Lớp 4 - Danh mục'!$I$132&lt;&gt;"")*(COUNTIF('Lớp 5 - Phân công'!$J$14:$J$262,INDEX('Lớp 4 - Danh mục'!$I$14:$I$132,T244+1):'Lớp 4 - Danh mục'!$I$132)=0),0),0)),IF(S244&lt;&gt;"Lớp 3",MATCH(1,INDEX(('Lớp 3 - Công việc chính'!$I$14:$I$73&lt;&gt;"")*(COUNTIF('Lớp 4 - Danh mục'!$J$14:$J$132,'Lớp 3 - Công việc chính'!$I$14:$I$73)=0),0),0),T244+MATCH(1,INDEX((INDEX('Lớp 3 - Công việc chính'!$I$14:$I$73,T244+1):'Lớp 3 - Công việc chính'!$I$73&lt;&gt;"")*(COUNTIF('Lớp 4 - Danh mục'!$J$14:$J$132,INDEX('Lớp 3 - Công việc chính'!$I$14:$I$73,T244+1):'Lớp 3 - Công việc chính'!$I$73)=0),0),0)))))</f>
        <v>#REF!</v>
      </c>
      <c r="Z245" s="700" t="str">
        <f t="array" ref="Z245">IF($S245="","",IF($S245="Lớp 5",INDEX('Lớp 5 - Phân công'!$AS$14:$AS$262,$T245),IF($S245="Lớp 4",INDEX('Lớp 4 - Danh mục'!$AR$14:$AR$132,$T245),INDEX('Lớp 3 - Công việc chính'!$AO$14:$AO$73,$T245))))</f>
        <v>#REF!</v>
      </c>
      <c r="AA245" s="701" t="str">
        <f t="array" ref="AA245">IF($S245="","",IF($S245="Lớp 5",INDEX('Lớp 5 - Phân công'!$AT$14:$AT$262,$T245),IF($S245="Lớp 4",INDEX('Lớp 4 - Danh mục'!$AS$14:$AS$132,$T245),INDEX('Lớp 3 - Công việc chính'!$AP$14:$AP$73,$T245))))</f>
        <v>#REF!</v>
      </c>
      <c r="AB245" s="701" t="str">
        <f t="array" ref="AB245">IF($S245="","",IF($S245="Lớp 5",INDEX('Lớp 5 - Phân công'!$AJ$14:$AJ$262,$T245),IF($S245="Lớp 4",INDEX('Lớp 4 - Danh mục'!$AI$14:$AI$132,$T245),INDEX('Lớp 3 - Công việc chính'!$AF$14:$AF$73,$T245))))</f>
        <v>#REF!</v>
      </c>
      <c r="AC245" s="702" t="str">
        <f t="array" ref="AC245">IF($S245="","",IF($S245="Lớp 5",INDEX('Lớp 5 - Phân công'!$AV$14:$AV$262,$T245),IF($S245="Lớp 4",INDEX('Lớp 4 - Danh mục'!$AU$14:$AU$132,$T245),INDEX('Lớp 3 - Công việc chính'!$AR$14:$AR$73,$T245))))</f>
        <v>#REF!</v>
      </c>
    </row>
    <row r="246" ht="15.75" customHeight="1">
      <c r="A246" s="690" t="str">
        <f t="shared" si="1"/>
        <v>#REF!</v>
      </c>
      <c r="B246" s="690" t="str">
        <f t="array" ref="B246">IF($S246="","",IF($S246="Lớp 5",INDEX('Lớp 5 - Phân công'!$I$14:$I$262,$T246),IF($S246="Lớp 4",INDEX('Lớp 4 - Danh mục'!$I$14:$I$132,$T246),INDEX('Lớp 3 - Công việc chính'!$I$14:$I$73,$T246))))</f>
        <v>#REF!</v>
      </c>
      <c r="C246" s="690" t="str">
        <f t="array" ref="C246">IF($S246="","",IF($S246="Lớp 5",INDEX('Lớp 5 - Phân công'!$K$14:$K$262,$T246),IF($S246="Lớp 4",INDEX('Lớp 4 - Danh mục'!$J$14:$J$132,$T246),INDEX('Lớp 3 - Công việc chính'!$I$14:$I$73,$T246))))</f>
        <v>#REF!</v>
      </c>
      <c r="D246" s="690" t="str">
        <f t="array" ref="D246">IF($S246="","",IF($S246="Lớp 5",INDEX('Lớp 5 - Phân công'!$J$14:$J$262,$T246),IF($S246="Lớp 4",INDEX('Lớp 4 - Danh mục'!$I$14:$I$132,$T246),"")))</f>
        <v>#REF!</v>
      </c>
      <c r="E246" s="690" t="str">
        <f t="array" ref="E246">IF($S246="","",IF($S246="Lớp 5",INDEX('Lớp 5 - Phân công'!$L$14:$L$262,$T246),IF($S246="Lớp 4",INDEX('Lớp 4 - Danh mục'!$K$14:$K$132,$T246),INDEX('Lớp 3 - Công việc chính'!$J$14:$J$73,$T246))))</f>
        <v>#REF!</v>
      </c>
      <c r="F246" s="690" t="str">
        <f t="array" ref="F246">IF($S246="","",IF($S246="Lớp 5",INDEX('Lớp 5 - Phân công'!$M$14:$M$262,$T246),IF($S246="Lớp 4",INDEX('Lớp 4 - Danh mục'!$L$14:$L$132,$T246),INDEX('Lớp 3 - Công việc chính'!$K$14:$K$73,$T246))))</f>
        <v>#REF!</v>
      </c>
      <c r="G246" s="691" t="str">
        <f t="array" ref="G246">IF($S246="","",IF($S246="Lớp 5",INDEX('Lớp 5 - Phân công'!$N$14:$N$262,$T246),IF($S246="Lớp 4",INDEX('Lớp 4 - Danh mục'!$M$14:$M$132,$T246),INDEX('Lớp 3 - Công việc chính'!$L$14:$L$73,$T246))))</f>
        <v>#REF!</v>
      </c>
      <c r="H246" s="692" t="str">
        <f t="array" ref="H246">IF($S246="","",IF($S246="Lớp 5",INDEX('Lớp 5 - Phân công'!$O$14:$O$262,$T246),IF($S246="Lớp 4",INDEX('Lớp 4 - Danh mục'!$N$14:$N$132,$T246),INDEX('Lớp 3 - Công việc chính'!$M$14:$M$73,$T246))))</f>
        <v>#REF!</v>
      </c>
      <c r="I246" s="692" t="str">
        <f t="array" ref="I246">IF($S246="","",IF($S246="Lớp 5",INDEX('Lớp 5 - Phân công'!$P$14:$P$262,$T246),IF($S246="Lớp 4",INDEX('Lớp 4 - Danh mục'!$O$14:$O$132,$T246),"")))</f>
        <v>#REF!</v>
      </c>
      <c r="J246" s="693" t="str">
        <f t="array" ref="J246">IF($S246="","",IF($S246="Lớp 5",INDEX('Lớp 5 - Phân công'!$Q$14:$Q$262,$T246),""))</f>
        <v>#REF!</v>
      </c>
      <c r="K246" s="690" t="str">
        <f t="array" ref="K246">IF($S246="","",IF($S246="Lớp 5",INDEX('Lớp 5 - Phân công'!$AA$14:$AA$262,$T246),IF($S246="Lớp 4",INDEX('Lớp 4 - Danh mục'!$Y$14:$Y$132,$T246),INDEX('Lớp 3 - Công việc chính'!$U$14:$U$73,$T246))))</f>
        <v>#REF!</v>
      </c>
      <c r="L246" s="691" t="str">
        <f t="array" ref="L246">IF($S246="","",IF($S246="Lớp 5",INDEX('Lớp 5 - Phân công'!$Z$14:$Z$262,$T246),IF($S246="Lớp 4",INDEX('Lớp 4 - Danh mục'!$X$14:$X$132,$T246),INDEX('Lớp 3 - Công việc chính'!$W$14:$W$73,$T246))))</f>
        <v>#REF!</v>
      </c>
      <c r="M246" s="694" t="str">
        <f t="array" ref="M246">IF($S246="","",IF($S246="Lớp 5",INDEX('Lớp 5 - Phân công'!$AD$14:$AD$262,$T246),IF($S246="Lớp 4",INDEX('Lớp 4 - Danh mục'!$AC$14:$AC$132,$T246),INDEX('Lớp 3 - Công việc chính'!$Z$14:$Z$73,$T246))))</f>
        <v>#REF!</v>
      </c>
      <c r="N246" s="695" t="str">
        <f t="array" ref="N246">IF($S246="","",IF($S246="Lớp 5",INDEX('Lớp 5 - Phân công'!$AE$14:$AE$262,$T246),IF($S246="Lớp 4",INDEX('Lớp 4 - Danh mục'!$AD$14:$AD$132,$T246),INDEX('Lớp 3 - Công việc chính'!$AA$14:$AA$73,$T246))))</f>
        <v>#REF!</v>
      </c>
      <c r="O246" s="690" t="str">
        <f t="array" ref="O246">IF($S246="","",IF($S246="Lớp 5",INDEX('Lớp 5 - Phân công'!$AB$14:$AB$262,$T246),IF($S246="Lớp 4",INDEX('Lớp 4 - Danh mục'!$AA$14:$AA$132,$T246),INDEX('Lớp 3 - Công việc chính'!$X$14:$X$73,$T246))))</f>
        <v>#REF!</v>
      </c>
      <c r="P246" s="703" t="str">
        <f t="array" ref="P246">IF($S246="","",IF($S246="Lớp 5",INDEX('Lớp 5 - Phân công'!$AC$14:$AC$262,$T246),IF($S246="Lớp 4",INDEX('Lớp 4 - Danh mục'!$AB$14:$AB$132,$T246),INDEX('Lớp 3 - Công việc chính'!$Y$14:$Y$73,$T246))))</f>
        <v>#REF!</v>
      </c>
      <c r="Q246" s="697" t="str">
        <f t="array" ref="Q246">IF($S246="","",IF($S246="Lớp 5",INDEX('Lớp 5 - Phân công'!$AG$14:$AG$262,$T246),IF($S246="Lớp 4",INDEX('Lớp 4 - Danh mục'!$AF$14:$AF$132,$T246),INDEX('Lớp 3 - Công việc chính'!$AC$14:$AC$73,$T246))))</f>
        <v>#REF!</v>
      </c>
      <c r="R246" s="698" t="str">
        <f t="array" ref="R246">IF($S246="","",IF($S246="Lớp 5",INDEX('Lớp 5 - Phân công'!$X$14:$X$262,$T246),IF($S246="Lớp 4",INDEX('Lớp 4 - Danh mục'!$V$14:$V$132,$T246),INDEX('Lớp 3 - Công việc chính'!$T$14:$T$73,$T246))))</f>
        <v>#REF!</v>
      </c>
      <c r="S246" s="699" t="str">
        <f>IF(ROWS($S$14:S246)&lt;=COUNTIF('Lớp 5 - Phân công'!$I$14:$I$262,"&lt;&gt;"),"Lớp 5",IF(ROWS($S$14:S246)&lt;=COUNTIF('Lớp 5 - Phân công'!$I$14:$I$262,"&lt;&gt;")+SUMPRODUCT(--('Lớp 4 - Danh mục'!$I$14:$I$132&lt;&gt;""),--(COUNTIF('Lớp 5 - Phân công'!$J$14:$J$262,'Lớp 4 - Danh mục'!$I$14:$I$132)=0)),"Lớp 4",IF(ROWS($S$14:S246)&lt;=COUNTIF('Lớp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6" s="699" t="str">
        <f t="array" ref="T246">IF(S246="","",IF(S246="Lớp 5",IF(S245&lt;&gt;"Lớp 5",MATCH("*",'Lớp 5 - Phân công'!$I$14:$I$262,0),T245+MATCH("*",INDEX('Lớp 5 - Phân công'!$I$14:$I$262,T245+1):'Lớp 5 - Phân công'!$I$262,0)),IF(S246="Lớp 4",IF(S245&lt;&gt;"Lớp 4",MATCH(1,INDEX(('Lớp 4 - Danh mục'!$I$14:$I$132&lt;&gt;"")*(COUNTIF('Lớp 5 - Phân công'!$J$14:$J$262,'Lớp 4 - Danh mục'!$I$14:$I$132)=0),0),0),T245+MATCH(1,INDEX((INDEX('Lớp 4 - Danh mục'!$I$14:$I$132,T245+1):'Lớp 4 - Danh mục'!$I$132&lt;&gt;"")*(COUNTIF('Lớp 5 - Phân công'!$J$14:$J$262,INDEX('Lớp 4 - Danh mục'!$I$14:$I$132,T245+1):'Lớp 4 - Danh mục'!$I$132)=0),0),0)),IF(S245&lt;&gt;"Lớp 3",MATCH(1,INDEX(('Lớp 3 - Công việc chính'!$I$14:$I$73&lt;&gt;"")*(COUNTIF('Lớp 4 - Danh mục'!$J$14:$J$132,'Lớp 3 - Công việc chính'!$I$14:$I$73)=0),0),0),T245+MATCH(1,INDEX((INDEX('Lớp 3 - Công việc chính'!$I$14:$I$73,T245+1):'Lớp 3 - Công việc chính'!$I$73&lt;&gt;"")*(COUNTIF('Lớp 4 - Danh mục'!$J$14:$J$132,INDEX('Lớp 3 - Công việc chính'!$I$14:$I$73,T245+1):'Lớp 3 - Công việc chính'!$I$73)=0),0),0)))))</f>
        <v>#REF!</v>
      </c>
      <c r="Z246" s="700" t="str">
        <f t="array" ref="Z246">IF($S246="","",IF($S246="Lớp 5",INDEX('Lớp 5 - Phân công'!$AS$14:$AS$262,$T246),IF($S246="Lớp 4",INDEX('Lớp 4 - Danh mục'!$AR$14:$AR$132,$T246),INDEX('Lớp 3 - Công việc chính'!$AO$14:$AO$73,$T246))))</f>
        <v>#REF!</v>
      </c>
      <c r="AA246" s="701" t="str">
        <f t="array" ref="AA246">IF($S246="","",IF($S246="Lớp 5",INDEX('Lớp 5 - Phân công'!$AT$14:$AT$262,$T246),IF($S246="Lớp 4",INDEX('Lớp 4 - Danh mục'!$AS$14:$AS$132,$T246),INDEX('Lớp 3 - Công việc chính'!$AP$14:$AP$73,$T246))))</f>
        <v>#REF!</v>
      </c>
      <c r="AB246" s="701" t="str">
        <f t="array" ref="AB246">IF($S246="","",IF($S246="Lớp 5",INDEX('Lớp 5 - Phân công'!$AJ$14:$AJ$262,$T246),IF($S246="Lớp 4",INDEX('Lớp 4 - Danh mục'!$AI$14:$AI$132,$T246),INDEX('Lớp 3 - Công việc chính'!$AF$14:$AF$73,$T246))))</f>
        <v>#REF!</v>
      </c>
      <c r="AC246" s="702" t="str">
        <f t="array" ref="AC246">IF($S246="","",IF($S246="Lớp 5",INDEX('Lớp 5 - Phân công'!$AV$14:$AV$262,$T246),IF($S246="Lớp 4",INDEX('Lớp 4 - Danh mục'!$AU$14:$AU$132,$T246),INDEX('Lớp 3 - Công việc chính'!$AR$14:$AR$73,$T246))))</f>
        <v>#REF!</v>
      </c>
    </row>
    <row r="247" ht="15.75" customHeight="1">
      <c r="A247" s="690" t="str">
        <f t="shared" si="1"/>
        <v>#REF!</v>
      </c>
      <c r="B247" s="690" t="str">
        <f t="array" ref="B247">IF($S247="","",IF($S247="Lớp 5",INDEX('Lớp 5 - Phân công'!$I$14:$I$262,$T247),IF($S247="Lớp 4",INDEX('Lớp 4 - Danh mục'!$I$14:$I$132,$T247),INDEX('Lớp 3 - Công việc chính'!$I$14:$I$73,$T247))))</f>
        <v>#REF!</v>
      </c>
      <c r="C247" s="690" t="str">
        <f t="array" ref="C247">IF($S247="","",IF($S247="Lớp 5",INDEX('Lớp 5 - Phân công'!$K$14:$K$262,$T247),IF($S247="Lớp 4",INDEX('Lớp 4 - Danh mục'!$J$14:$J$132,$T247),INDEX('Lớp 3 - Công việc chính'!$I$14:$I$73,$T247))))</f>
        <v>#REF!</v>
      </c>
      <c r="D247" s="690" t="str">
        <f t="array" ref="D247">IF($S247="","",IF($S247="Lớp 5",INDEX('Lớp 5 - Phân công'!$J$14:$J$262,$T247),IF($S247="Lớp 4",INDEX('Lớp 4 - Danh mục'!$I$14:$I$132,$T247),"")))</f>
        <v>#REF!</v>
      </c>
      <c r="E247" s="690" t="str">
        <f t="array" ref="E247">IF($S247="","",IF($S247="Lớp 5",INDEX('Lớp 5 - Phân công'!$L$14:$L$262,$T247),IF($S247="Lớp 4",INDEX('Lớp 4 - Danh mục'!$K$14:$K$132,$T247),INDEX('Lớp 3 - Công việc chính'!$J$14:$J$73,$T247))))</f>
        <v>#REF!</v>
      </c>
      <c r="F247" s="690" t="str">
        <f t="array" ref="F247">IF($S247="","",IF($S247="Lớp 5",INDEX('Lớp 5 - Phân công'!$M$14:$M$262,$T247),IF($S247="Lớp 4",INDEX('Lớp 4 - Danh mục'!$L$14:$L$132,$T247),INDEX('Lớp 3 - Công việc chính'!$K$14:$K$73,$T247))))</f>
        <v>#REF!</v>
      </c>
      <c r="G247" s="691" t="str">
        <f t="array" ref="G247">IF($S247="","",IF($S247="Lớp 5",INDEX('Lớp 5 - Phân công'!$N$14:$N$262,$T247),IF($S247="Lớp 4",INDEX('Lớp 4 - Danh mục'!$M$14:$M$132,$T247),INDEX('Lớp 3 - Công việc chính'!$L$14:$L$73,$T247))))</f>
        <v>#REF!</v>
      </c>
      <c r="H247" s="692" t="str">
        <f t="array" ref="H247">IF($S247="","",IF($S247="Lớp 5",INDEX('Lớp 5 - Phân công'!$O$14:$O$262,$T247),IF($S247="Lớp 4",INDEX('Lớp 4 - Danh mục'!$N$14:$N$132,$T247),INDEX('Lớp 3 - Công việc chính'!$M$14:$M$73,$T247))))</f>
        <v>#REF!</v>
      </c>
      <c r="I247" s="692" t="str">
        <f t="array" ref="I247">IF($S247="","",IF($S247="Lớp 5",INDEX('Lớp 5 - Phân công'!$P$14:$P$262,$T247),IF($S247="Lớp 4",INDEX('Lớp 4 - Danh mục'!$O$14:$O$132,$T247),"")))</f>
        <v>#REF!</v>
      </c>
      <c r="J247" s="693" t="str">
        <f t="array" ref="J247">IF($S247="","",IF($S247="Lớp 5",INDEX('Lớp 5 - Phân công'!$Q$14:$Q$262,$T247),""))</f>
        <v>#REF!</v>
      </c>
      <c r="K247" s="690" t="str">
        <f t="array" ref="K247">IF($S247="","",IF($S247="Lớp 5",INDEX('Lớp 5 - Phân công'!$AA$14:$AA$262,$T247),IF($S247="Lớp 4",INDEX('Lớp 4 - Danh mục'!$Y$14:$Y$132,$T247),INDEX('Lớp 3 - Công việc chính'!$U$14:$U$73,$T247))))</f>
        <v>#REF!</v>
      </c>
      <c r="L247" s="691" t="str">
        <f t="array" ref="L247">IF($S247="","",IF($S247="Lớp 5",INDEX('Lớp 5 - Phân công'!$Z$14:$Z$262,$T247),IF($S247="Lớp 4",INDEX('Lớp 4 - Danh mục'!$X$14:$X$132,$T247),INDEX('Lớp 3 - Công việc chính'!$W$14:$W$73,$T247))))</f>
        <v>#REF!</v>
      </c>
      <c r="M247" s="694" t="str">
        <f t="array" ref="M247">IF($S247="","",IF($S247="Lớp 5",INDEX('Lớp 5 - Phân công'!$AD$14:$AD$262,$T247),IF($S247="Lớp 4",INDEX('Lớp 4 - Danh mục'!$AC$14:$AC$132,$T247),INDEX('Lớp 3 - Công việc chính'!$Z$14:$Z$73,$T247))))</f>
        <v>#REF!</v>
      </c>
      <c r="N247" s="695" t="str">
        <f t="array" ref="N247">IF($S247="","",IF($S247="Lớp 5",INDEX('Lớp 5 - Phân công'!$AE$14:$AE$262,$T247),IF($S247="Lớp 4",INDEX('Lớp 4 - Danh mục'!$AD$14:$AD$132,$T247),INDEX('Lớp 3 - Công việc chính'!$AA$14:$AA$73,$T247))))</f>
        <v>#REF!</v>
      </c>
      <c r="O247" s="690" t="str">
        <f t="array" ref="O247">IF($S247="","",IF($S247="Lớp 5",INDEX('Lớp 5 - Phân công'!$AB$14:$AB$262,$T247),IF($S247="Lớp 4",INDEX('Lớp 4 - Danh mục'!$AA$14:$AA$132,$T247),INDEX('Lớp 3 - Công việc chính'!$X$14:$X$73,$T247))))</f>
        <v>#REF!</v>
      </c>
      <c r="P247" s="703" t="str">
        <f t="array" ref="P247">IF($S247="","",IF($S247="Lớp 5",INDEX('Lớp 5 - Phân công'!$AC$14:$AC$262,$T247),IF($S247="Lớp 4",INDEX('Lớp 4 - Danh mục'!$AB$14:$AB$132,$T247),INDEX('Lớp 3 - Công việc chính'!$Y$14:$Y$73,$T247))))</f>
        <v>#REF!</v>
      </c>
      <c r="Q247" s="697" t="str">
        <f t="array" ref="Q247">IF($S247="","",IF($S247="Lớp 5",INDEX('Lớp 5 - Phân công'!$AG$14:$AG$262,$T247),IF($S247="Lớp 4",INDEX('Lớp 4 - Danh mục'!$AF$14:$AF$132,$T247),INDEX('Lớp 3 - Công việc chính'!$AC$14:$AC$73,$T247))))</f>
        <v>#REF!</v>
      </c>
      <c r="R247" s="698" t="str">
        <f t="array" ref="R247">IF($S247="","",IF($S247="Lớp 5",INDEX('Lớp 5 - Phân công'!$X$14:$X$262,$T247),IF($S247="Lớp 4",INDEX('Lớp 4 - Danh mục'!$V$14:$V$132,$T247),INDEX('Lớp 3 - Công việc chính'!$T$14:$T$73,$T247))))</f>
        <v>#REF!</v>
      </c>
      <c r="S247" s="699" t="str">
        <f>IF(ROWS($S$14:S247)&lt;=COUNTIF('Lớp 5 - Phân công'!$I$14:$I$262,"&lt;&gt;"),"Lớp 5",IF(ROWS($S$14:S247)&lt;=COUNTIF('Lớp 5 - Phân công'!$I$14:$I$262,"&lt;&gt;")+SUMPRODUCT(--('Lớp 4 - Danh mục'!$I$14:$I$132&lt;&gt;""),--(COUNTIF('Lớp 5 - Phân công'!$J$14:$J$262,'Lớp 4 - Danh mục'!$I$14:$I$132)=0)),"Lớp 4",IF(ROWS($S$14:S247)&lt;=COUNTIF('Lớp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7" s="699" t="str">
        <f t="array" ref="T247">IF(S247="","",IF(S247="Lớp 5",IF(S246&lt;&gt;"Lớp 5",MATCH("*",'Lớp 5 - Phân công'!$I$14:$I$262,0),T246+MATCH("*",INDEX('Lớp 5 - Phân công'!$I$14:$I$262,T246+1):'Lớp 5 - Phân công'!$I$262,0)),IF(S247="Lớp 4",IF(S246&lt;&gt;"Lớp 4",MATCH(1,INDEX(('Lớp 4 - Danh mục'!$I$14:$I$132&lt;&gt;"")*(COUNTIF('Lớp 5 - Phân công'!$J$14:$J$262,'Lớp 4 - Danh mục'!$I$14:$I$132)=0),0),0),T246+MATCH(1,INDEX((INDEX('Lớp 4 - Danh mục'!$I$14:$I$132,T246+1):'Lớp 4 - Danh mục'!$I$132&lt;&gt;"")*(COUNTIF('Lớp 5 - Phân công'!$J$14:$J$262,INDEX('Lớp 4 - Danh mục'!$I$14:$I$132,T246+1):'Lớp 4 - Danh mục'!$I$132)=0),0),0)),IF(S246&lt;&gt;"Lớp 3",MATCH(1,INDEX(('Lớp 3 - Công việc chính'!$I$14:$I$73&lt;&gt;"")*(COUNTIF('Lớp 4 - Danh mục'!$J$14:$J$132,'Lớp 3 - Công việc chính'!$I$14:$I$73)=0),0),0),T246+MATCH(1,INDEX((INDEX('Lớp 3 - Công việc chính'!$I$14:$I$73,T246+1):'Lớp 3 - Công việc chính'!$I$73&lt;&gt;"")*(COUNTIF('Lớp 4 - Danh mục'!$J$14:$J$132,INDEX('Lớp 3 - Công việc chính'!$I$14:$I$73,T246+1):'Lớp 3 - Công việc chính'!$I$73)=0),0),0)))))</f>
        <v>#REF!</v>
      </c>
      <c r="Z247" s="700" t="str">
        <f t="array" ref="Z247">IF($S247="","",IF($S247="Lớp 5",INDEX('Lớp 5 - Phân công'!$AS$14:$AS$262,$T247),IF($S247="Lớp 4",INDEX('Lớp 4 - Danh mục'!$AR$14:$AR$132,$T247),INDEX('Lớp 3 - Công việc chính'!$AO$14:$AO$73,$T247))))</f>
        <v>#REF!</v>
      </c>
      <c r="AA247" s="701" t="str">
        <f t="array" ref="AA247">IF($S247="","",IF($S247="Lớp 5",INDEX('Lớp 5 - Phân công'!$AT$14:$AT$262,$T247),IF($S247="Lớp 4",INDEX('Lớp 4 - Danh mục'!$AS$14:$AS$132,$T247),INDEX('Lớp 3 - Công việc chính'!$AP$14:$AP$73,$T247))))</f>
        <v>#REF!</v>
      </c>
      <c r="AB247" s="701" t="str">
        <f t="array" ref="AB247">IF($S247="","",IF($S247="Lớp 5",INDEX('Lớp 5 - Phân công'!$AJ$14:$AJ$262,$T247),IF($S247="Lớp 4",INDEX('Lớp 4 - Danh mục'!$AI$14:$AI$132,$T247),INDEX('Lớp 3 - Công việc chính'!$AF$14:$AF$73,$T247))))</f>
        <v>#REF!</v>
      </c>
      <c r="AC247" s="702" t="str">
        <f t="array" ref="AC247">IF($S247="","",IF($S247="Lớp 5",INDEX('Lớp 5 - Phân công'!$AV$14:$AV$262,$T247),IF($S247="Lớp 4",INDEX('Lớp 4 - Danh mục'!$AU$14:$AU$132,$T247),INDEX('Lớp 3 - Công việc chính'!$AR$14:$AR$73,$T247))))</f>
        <v>#REF!</v>
      </c>
    </row>
    <row r="248" ht="15.75" customHeight="1">
      <c r="A248" s="690" t="str">
        <f t="shared" si="1"/>
        <v>#REF!</v>
      </c>
      <c r="B248" s="690" t="str">
        <f t="array" ref="B248">IF($S248="","",IF($S248="Lớp 5",INDEX('Lớp 5 - Phân công'!$I$14:$I$262,$T248),IF($S248="Lớp 4",INDEX('Lớp 4 - Danh mục'!$I$14:$I$132,$T248),INDEX('Lớp 3 - Công việc chính'!$I$14:$I$73,$T248))))</f>
        <v>#REF!</v>
      </c>
      <c r="C248" s="690" t="str">
        <f t="array" ref="C248">IF($S248="","",IF($S248="Lớp 5",INDEX('Lớp 5 - Phân công'!$K$14:$K$262,$T248),IF($S248="Lớp 4",INDEX('Lớp 4 - Danh mục'!$J$14:$J$132,$T248),INDEX('Lớp 3 - Công việc chính'!$I$14:$I$73,$T248))))</f>
        <v>#REF!</v>
      </c>
      <c r="D248" s="690" t="str">
        <f t="array" ref="D248">IF($S248="","",IF($S248="Lớp 5",INDEX('Lớp 5 - Phân công'!$J$14:$J$262,$T248),IF($S248="Lớp 4",INDEX('Lớp 4 - Danh mục'!$I$14:$I$132,$T248),"")))</f>
        <v>#REF!</v>
      </c>
      <c r="E248" s="690" t="str">
        <f t="array" ref="E248">IF($S248="","",IF($S248="Lớp 5",INDEX('Lớp 5 - Phân công'!$L$14:$L$262,$T248),IF($S248="Lớp 4",INDEX('Lớp 4 - Danh mục'!$K$14:$K$132,$T248),INDEX('Lớp 3 - Công việc chính'!$J$14:$J$73,$T248))))</f>
        <v>#REF!</v>
      </c>
      <c r="F248" s="690" t="str">
        <f t="array" ref="F248">IF($S248="","",IF($S248="Lớp 5",INDEX('Lớp 5 - Phân công'!$M$14:$M$262,$T248),IF($S248="Lớp 4",INDEX('Lớp 4 - Danh mục'!$L$14:$L$132,$T248),INDEX('Lớp 3 - Công việc chính'!$K$14:$K$73,$T248))))</f>
        <v>#REF!</v>
      </c>
      <c r="G248" s="691" t="str">
        <f t="array" ref="G248">IF($S248="","",IF($S248="Lớp 5",INDEX('Lớp 5 - Phân công'!$N$14:$N$262,$T248),IF($S248="Lớp 4",INDEX('Lớp 4 - Danh mục'!$M$14:$M$132,$T248),INDEX('Lớp 3 - Công việc chính'!$L$14:$L$73,$T248))))</f>
        <v>#REF!</v>
      </c>
      <c r="H248" s="692" t="str">
        <f t="array" ref="H248">IF($S248="","",IF($S248="Lớp 5",INDEX('Lớp 5 - Phân công'!$O$14:$O$262,$T248),IF($S248="Lớp 4",INDEX('Lớp 4 - Danh mục'!$N$14:$N$132,$T248),INDEX('Lớp 3 - Công việc chính'!$M$14:$M$73,$T248))))</f>
        <v>#REF!</v>
      </c>
      <c r="I248" s="692" t="str">
        <f t="array" ref="I248">IF($S248="","",IF($S248="Lớp 5",INDEX('Lớp 5 - Phân công'!$P$14:$P$262,$T248),IF($S248="Lớp 4",INDEX('Lớp 4 - Danh mục'!$O$14:$O$132,$T248),"")))</f>
        <v>#REF!</v>
      </c>
      <c r="J248" s="693" t="str">
        <f t="array" ref="J248">IF($S248="","",IF($S248="Lớp 5",INDEX('Lớp 5 - Phân công'!$Q$14:$Q$262,$T248),""))</f>
        <v>#REF!</v>
      </c>
      <c r="K248" s="690" t="str">
        <f t="array" ref="K248">IF($S248="","",IF($S248="Lớp 5",INDEX('Lớp 5 - Phân công'!$AA$14:$AA$262,$T248),IF($S248="Lớp 4",INDEX('Lớp 4 - Danh mục'!$Y$14:$Y$132,$T248),INDEX('Lớp 3 - Công việc chính'!$U$14:$U$73,$T248))))</f>
        <v>#REF!</v>
      </c>
      <c r="L248" s="691" t="str">
        <f t="array" ref="L248">IF($S248="","",IF($S248="Lớp 5",INDEX('Lớp 5 - Phân công'!$Z$14:$Z$262,$T248),IF($S248="Lớp 4",INDEX('Lớp 4 - Danh mục'!$X$14:$X$132,$T248),INDEX('Lớp 3 - Công việc chính'!$W$14:$W$73,$T248))))</f>
        <v>#REF!</v>
      </c>
      <c r="M248" s="694" t="str">
        <f t="array" ref="M248">IF($S248="","",IF($S248="Lớp 5",INDEX('Lớp 5 - Phân công'!$AD$14:$AD$262,$T248),IF($S248="Lớp 4",INDEX('Lớp 4 - Danh mục'!$AC$14:$AC$132,$T248),INDEX('Lớp 3 - Công việc chính'!$Z$14:$Z$73,$T248))))</f>
        <v>#REF!</v>
      </c>
      <c r="N248" s="695" t="str">
        <f t="array" ref="N248">IF($S248="","",IF($S248="Lớp 5",INDEX('Lớp 5 - Phân công'!$AE$14:$AE$262,$T248),IF($S248="Lớp 4",INDEX('Lớp 4 - Danh mục'!$AD$14:$AD$132,$T248),INDEX('Lớp 3 - Công việc chính'!$AA$14:$AA$73,$T248))))</f>
        <v>#REF!</v>
      </c>
      <c r="O248" s="690" t="str">
        <f t="array" ref="O248">IF($S248="","",IF($S248="Lớp 5",INDEX('Lớp 5 - Phân công'!$AB$14:$AB$262,$T248),IF($S248="Lớp 4",INDEX('Lớp 4 - Danh mục'!$AA$14:$AA$132,$T248),INDEX('Lớp 3 - Công việc chính'!$X$14:$X$73,$T248))))</f>
        <v>#REF!</v>
      </c>
      <c r="P248" s="703" t="str">
        <f t="array" ref="P248">IF($S248="","",IF($S248="Lớp 5",INDEX('Lớp 5 - Phân công'!$AC$14:$AC$262,$T248),IF($S248="Lớp 4",INDEX('Lớp 4 - Danh mục'!$AB$14:$AB$132,$T248),INDEX('Lớp 3 - Công việc chính'!$Y$14:$Y$73,$T248))))</f>
        <v>#REF!</v>
      </c>
      <c r="Q248" s="697" t="str">
        <f t="array" ref="Q248">IF($S248="","",IF($S248="Lớp 5",INDEX('Lớp 5 - Phân công'!$AG$14:$AG$262,$T248),IF($S248="Lớp 4",INDEX('Lớp 4 - Danh mục'!$AF$14:$AF$132,$T248),INDEX('Lớp 3 - Công việc chính'!$AC$14:$AC$73,$T248))))</f>
        <v>#REF!</v>
      </c>
      <c r="R248" s="698" t="str">
        <f t="array" ref="R248">IF($S248="","",IF($S248="Lớp 5",INDEX('Lớp 5 - Phân công'!$X$14:$X$262,$T248),IF($S248="Lớp 4",INDEX('Lớp 4 - Danh mục'!$V$14:$V$132,$T248),INDEX('Lớp 3 - Công việc chính'!$T$14:$T$73,$T248))))</f>
        <v>#REF!</v>
      </c>
      <c r="S248" s="699" t="str">
        <f>IF(ROWS($S$14:S248)&lt;=COUNTIF('Lớp 5 - Phân công'!$I$14:$I$262,"&lt;&gt;"),"Lớp 5",IF(ROWS($S$14:S248)&lt;=COUNTIF('Lớp 5 - Phân công'!$I$14:$I$262,"&lt;&gt;")+SUMPRODUCT(--('Lớp 4 - Danh mục'!$I$14:$I$132&lt;&gt;""),--(COUNTIF('Lớp 5 - Phân công'!$J$14:$J$262,'Lớp 4 - Danh mục'!$I$14:$I$132)=0)),"Lớp 4",IF(ROWS($S$14:S248)&lt;=COUNTIF('Lớp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8" s="699" t="str">
        <f t="array" ref="T248">IF(S248="","",IF(S248="Lớp 5",IF(S247&lt;&gt;"Lớp 5",MATCH("*",'Lớp 5 - Phân công'!$I$14:$I$262,0),T247+MATCH("*",INDEX('Lớp 5 - Phân công'!$I$14:$I$262,T247+1):'Lớp 5 - Phân công'!$I$262,0)),IF(S248="Lớp 4",IF(S247&lt;&gt;"Lớp 4",MATCH(1,INDEX(('Lớp 4 - Danh mục'!$I$14:$I$132&lt;&gt;"")*(COUNTIF('Lớp 5 - Phân công'!$J$14:$J$262,'Lớp 4 - Danh mục'!$I$14:$I$132)=0),0),0),T247+MATCH(1,INDEX((INDEX('Lớp 4 - Danh mục'!$I$14:$I$132,T247+1):'Lớp 4 - Danh mục'!$I$132&lt;&gt;"")*(COUNTIF('Lớp 5 - Phân công'!$J$14:$J$262,INDEX('Lớp 4 - Danh mục'!$I$14:$I$132,T247+1):'Lớp 4 - Danh mục'!$I$132)=0),0),0)),IF(S247&lt;&gt;"Lớp 3",MATCH(1,INDEX(('Lớp 3 - Công việc chính'!$I$14:$I$73&lt;&gt;"")*(COUNTIF('Lớp 4 - Danh mục'!$J$14:$J$132,'Lớp 3 - Công việc chính'!$I$14:$I$73)=0),0),0),T247+MATCH(1,INDEX((INDEX('Lớp 3 - Công việc chính'!$I$14:$I$73,T247+1):'Lớp 3 - Công việc chính'!$I$73&lt;&gt;"")*(COUNTIF('Lớp 4 - Danh mục'!$J$14:$J$132,INDEX('Lớp 3 - Công việc chính'!$I$14:$I$73,T247+1):'Lớp 3 - Công việc chính'!$I$73)=0),0),0)))))</f>
        <v>#REF!</v>
      </c>
      <c r="Z248" s="700" t="str">
        <f t="array" ref="Z248">IF($S248="","",IF($S248="Lớp 5",INDEX('Lớp 5 - Phân công'!$AS$14:$AS$262,$T248),IF($S248="Lớp 4",INDEX('Lớp 4 - Danh mục'!$AR$14:$AR$132,$T248),INDEX('Lớp 3 - Công việc chính'!$AO$14:$AO$73,$T248))))</f>
        <v>#REF!</v>
      </c>
      <c r="AA248" s="701" t="str">
        <f t="array" ref="AA248">IF($S248="","",IF($S248="Lớp 5",INDEX('Lớp 5 - Phân công'!$AT$14:$AT$262,$T248),IF($S248="Lớp 4",INDEX('Lớp 4 - Danh mục'!$AS$14:$AS$132,$T248),INDEX('Lớp 3 - Công việc chính'!$AP$14:$AP$73,$T248))))</f>
        <v>#REF!</v>
      </c>
      <c r="AB248" s="701" t="str">
        <f t="array" ref="AB248">IF($S248="","",IF($S248="Lớp 5",INDEX('Lớp 5 - Phân công'!$AJ$14:$AJ$262,$T248),IF($S248="Lớp 4",INDEX('Lớp 4 - Danh mục'!$AI$14:$AI$132,$T248),INDEX('Lớp 3 - Công việc chính'!$AF$14:$AF$73,$T248))))</f>
        <v>#REF!</v>
      </c>
      <c r="AC248" s="702" t="str">
        <f t="array" ref="AC248">IF($S248="","",IF($S248="Lớp 5",INDEX('Lớp 5 - Phân công'!$AV$14:$AV$262,$T248),IF($S248="Lớp 4",INDEX('Lớp 4 - Danh mục'!$AU$14:$AU$132,$T248),INDEX('Lớp 3 - Công việc chính'!$AR$14:$AR$73,$T248))))</f>
        <v>#REF!</v>
      </c>
    </row>
    <row r="249" ht="15.75" customHeight="1">
      <c r="A249" s="690" t="str">
        <f t="shared" si="1"/>
        <v>#REF!</v>
      </c>
      <c r="B249" s="690" t="str">
        <f t="array" ref="B249">IF($S249="","",IF($S249="Lớp 5",INDEX('Lớp 5 - Phân công'!$I$14:$I$262,$T249),IF($S249="Lớp 4",INDEX('Lớp 4 - Danh mục'!$I$14:$I$132,$T249),INDEX('Lớp 3 - Công việc chính'!$I$14:$I$73,$T249))))</f>
        <v>#REF!</v>
      </c>
      <c r="C249" s="690" t="str">
        <f t="array" ref="C249">IF($S249="","",IF($S249="Lớp 5",INDEX('Lớp 5 - Phân công'!$K$14:$K$262,$T249),IF($S249="Lớp 4",INDEX('Lớp 4 - Danh mục'!$J$14:$J$132,$T249),INDEX('Lớp 3 - Công việc chính'!$I$14:$I$73,$T249))))</f>
        <v>#REF!</v>
      </c>
      <c r="D249" s="690" t="str">
        <f t="array" ref="D249">IF($S249="","",IF($S249="Lớp 5",INDEX('Lớp 5 - Phân công'!$J$14:$J$262,$T249),IF($S249="Lớp 4",INDEX('Lớp 4 - Danh mục'!$I$14:$I$132,$T249),"")))</f>
        <v>#REF!</v>
      </c>
      <c r="E249" s="690" t="str">
        <f t="array" ref="E249">IF($S249="","",IF($S249="Lớp 5",INDEX('Lớp 5 - Phân công'!$L$14:$L$262,$T249),IF($S249="Lớp 4",INDEX('Lớp 4 - Danh mục'!$K$14:$K$132,$T249),INDEX('Lớp 3 - Công việc chính'!$J$14:$J$73,$T249))))</f>
        <v>#REF!</v>
      </c>
      <c r="F249" s="690" t="str">
        <f t="array" ref="F249">IF($S249="","",IF($S249="Lớp 5",INDEX('Lớp 5 - Phân công'!$M$14:$M$262,$T249),IF($S249="Lớp 4",INDEX('Lớp 4 - Danh mục'!$L$14:$L$132,$T249),INDEX('Lớp 3 - Công việc chính'!$K$14:$K$73,$T249))))</f>
        <v>#REF!</v>
      </c>
      <c r="G249" s="691" t="str">
        <f t="array" ref="G249">IF($S249="","",IF($S249="Lớp 5",INDEX('Lớp 5 - Phân công'!$N$14:$N$262,$T249),IF($S249="Lớp 4",INDEX('Lớp 4 - Danh mục'!$M$14:$M$132,$T249),INDEX('Lớp 3 - Công việc chính'!$L$14:$L$73,$T249))))</f>
        <v>#REF!</v>
      </c>
      <c r="H249" s="692" t="str">
        <f t="array" ref="H249">IF($S249="","",IF($S249="Lớp 5",INDEX('Lớp 5 - Phân công'!$O$14:$O$262,$T249),IF($S249="Lớp 4",INDEX('Lớp 4 - Danh mục'!$N$14:$N$132,$T249),INDEX('Lớp 3 - Công việc chính'!$M$14:$M$73,$T249))))</f>
        <v>#REF!</v>
      </c>
      <c r="I249" s="692" t="str">
        <f t="array" ref="I249">IF($S249="","",IF($S249="Lớp 5",INDEX('Lớp 5 - Phân công'!$P$14:$P$262,$T249),IF($S249="Lớp 4",INDEX('Lớp 4 - Danh mục'!$O$14:$O$132,$T249),"")))</f>
        <v>#REF!</v>
      </c>
      <c r="J249" s="693" t="str">
        <f t="array" ref="J249">IF($S249="","",IF($S249="Lớp 5",INDEX('Lớp 5 - Phân công'!$Q$14:$Q$262,$T249),""))</f>
        <v>#REF!</v>
      </c>
      <c r="K249" s="690" t="str">
        <f t="array" ref="K249">IF($S249="","",IF($S249="Lớp 5",INDEX('Lớp 5 - Phân công'!$AA$14:$AA$262,$T249),IF($S249="Lớp 4",INDEX('Lớp 4 - Danh mục'!$Y$14:$Y$132,$T249),INDEX('Lớp 3 - Công việc chính'!$U$14:$U$73,$T249))))</f>
        <v>#REF!</v>
      </c>
      <c r="L249" s="691" t="str">
        <f t="array" ref="L249">IF($S249="","",IF($S249="Lớp 5",INDEX('Lớp 5 - Phân công'!$Z$14:$Z$262,$T249),IF($S249="Lớp 4",INDEX('Lớp 4 - Danh mục'!$X$14:$X$132,$T249),INDEX('Lớp 3 - Công việc chính'!$W$14:$W$73,$T249))))</f>
        <v>#REF!</v>
      </c>
      <c r="M249" s="694" t="str">
        <f t="array" ref="M249">IF($S249="","",IF($S249="Lớp 5",INDEX('Lớp 5 - Phân công'!$AD$14:$AD$262,$T249),IF($S249="Lớp 4",INDEX('Lớp 4 - Danh mục'!$AC$14:$AC$132,$T249),INDEX('Lớp 3 - Công việc chính'!$Z$14:$Z$73,$T249))))</f>
        <v>#REF!</v>
      </c>
      <c r="N249" s="695" t="str">
        <f t="array" ref="N249">IF($S249="","",IF($S249="Lớp 5",INDEX('Lớp 5 - Phân công'!$AE$14:$AE$262,$T249),IF($S249="Lớp 4",INDEX('Lớp 4 - Danh mục'!$AD$14:$AD$132,$T249),INDEX('Lớp 3 - Công việc chính'!$AA$14:$AA$73,$T249))))</f>
        <v>#REF!</v>
      </c>
      <c r="O249" s="690" t="str">
        <f t="array" ref="O249">IF($S249="","",IF($S249="Lớp 5",INDEX('Lớp 5 - Phân công'!$AB$14:$AB$262,$T249),IF($S249="Lớp 4",INDEX('Lớp 4 - Danh mục'!$AA$14:$AA$132,$T249),INDEX('Lớp 3 - Công việc chính'!$X$14:$X$73,$T249))))</f>
        <v>#REF!</v>
      </c>
      <c r="P249" s="703" t="str">
        <f t="array" ref="P249">IF($S249="","",IF($S249="Lớp 5",INDEX('Lớp 5 - Phân công'!$AC$14:$AC$262,$T249),IF($S249="Lớp 4",INDEX('Lớp 4 - Danh mục'!$AB$14:$AB$132,$T249),INDEX('Lớp 3 - Công việc chính'!$Y$14:$Y$73,$T249))))</f>
        <v>#REF!</v>
      </c>
      <c r="Q249" s="697" t="str">
        <f t="array" ref="Q249">IF($S249="","",IF($S249="Lớp 5",INDEX('Lớp 5 - Phân công'!$AG$14:$AG$262,$T249),IF($S249="Lớp 4",INDEX('Lớp 4 - Danh mục'!$AF$14:$AF$132,$T249),INDEX('Lớp 3 - Công việc chính'!$AC$14:$AC$73,$T249))))</f>
        <v>#REF!</v>
      </c>
      <c r="R249" s="698" t="str">
        <f t="array" ref="R249">IF($S249="","",IF($S249="Lớp 5",INDEX('Lớp 5 - Phân công'!$X$14:$X$262,$T249),IF($S249="Lớp 4",INDEX('Lớp 4 - Danh mục'!$V$14:$V$132,$T249),INDEX('Lớp 3 - Công việc chính'!$T$14:$T$73,$T249))))</f>
        <v>#REF!</v>
      </c>
      <c r="S249" s="699" t="str">
        <f>IF(ROWS($S$14:S249)&lt;=COUNTIF('Lớp 5 - Phân công'!$I$14:$I$262,"&lt;&gt;"),"Lớp 5",IF(ROWS($S$14:S249)&lt;=COUNTIF('Lớp 5 - Phân công'!$I$14:$I$262,"&lt;&gt;")+SUMPRODUCT(--('Lớp 4 - Danh mục'!$I$14:$I$132&lt;&gt;""),--(COUNTIF('Lớp 5 - Phân công'!$J$14:$J$262,'Lớp 4 - Danh mục'!$I$14:$I$132)=0)),"Lớp 4",IF(ROWS($S$14:S249)&lt;=COUNTIF('Lớp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49" s="699" t="str">
        <f t="array" ref="T249">IF(S249="","",IF(S249="Lớp 5",IF(S248&lt;&gt;"Lớp 5",MATCH("*",'Lớp 5 - Phân công'!$I$14:$I$262,0),T248+MATCH("*",INDEX('Lớp 5 - Phân công'!$I$14:$I$262,T248+1):'Lớp 5 - Phân công'!$I$262,0)),IF(S249="Lớp 4",IF(S248&lt;&gt;"Lớp 4",MATCH(1,INDEX(('Lớp 4 - Danh mục'!$I$14:$I$132&lt;&gt;"")*(COUNTIF('Lớp 5 - Phân công'!$J$14:$J$262,'Lớp 4 - Danh mục'!$I$14:$I$132)=0),0),0),T248+MATCH(1,INDEX((INDEX('Lớp 4 - Danh mục'!$I$14:$I$132,T248+1):'Lớp 4 - Danh mục'!$I$132&lt;&gt;"")*(COUNTIF('Lớp 5 - Phân công'!$J$14:$J$262,INDEX('Lớp 4 - Danh mục'!$I$14:$I$132,T248+1):'Lớp 4 - Danh mục'!$I$132)=0),0),0)),IF(S248&lt;&gt;"Lớp 3",MATCH(1,INDEX(('Lớp 3 - Công việc chính'!$I$14:$I$73&lt;&gt;"")*(COUNTIF('Lớp 4 - Danh mục'!$J$14:$J$132,'Lớp 3 - Công việc chính'!$I$14:$I$73)=0),0),0),T248+MATCH(1,INDEX((INDEX('Lớp 3 - Công việc chính'!$I$14:$I$73,T248+1):'Lớp 3 - Công việc chính'!$I$73&lt;&gt;"")*(COUNTIF('Lớp 4 - Danh mục'!$J$14:$J$132,INDEX('Lớp 3 - Công việc chính'!$I$14:$I$73,T248+1):'Lớp 3 - Công việc chính'!$I$73)=0),0),0)))))</f>
        <v>#REF!</v>
      </c>
      <c r="Z249" s="700" t="str">
        <f t="array" ref="Z249">IF($S249="","",IF($S249="Lớp 5",INDEX('Lớp 5 - Phân công'!$AS$14:$AS$262,$T249),IF($S249="Lớp 4",INDEX('Lớp 4 - Danh mục'!$AR$14:$AR$132,$T249),INDEX('Lớp 3 - Công việc chính'!$AO$14:$AO$73,$T249))))</f>
        <v>#REF!</v>
      </c>
      <c r="AA249" s="701" t="str">
        <f t="array" ref="AA249">IF($S249="","",IF($S249="Lớp 5",INDEX('Lớp 5 - Phân công'!$AT$14:$AT$262,$T249),IF($S249="Lớp 4",INDEX('Lớp 4 - Danh mục'!$AS$14:$AS$132,$T249),INDEX('Lớp 3 - Công việc chính'!$AP$14:$AP$73,$T249))))</f>
        <v>#REF!</v>
      </c>
      <c r="AB249" s="701" t="str">
        <f t="array" ref="AB249">IF($S249="","",IF($S249="Lớp 5",INDEX('Lớp 5 - Phân công'!$AJ$14:$AJ$262,$T249),IF($S249="Lớp 4",INDEX('Lớp 4 - Danh mục'!$AI$14:$AI$132,$T249),INDEX('Lớp 3 - Công việc chính'!$AF$14:$AF$73,$T249))))</f>
        <v>#REF!</v>
      </c>
      <c r="AC249" s="702" t="str">
        <f t="array" ref="AC249">IF($S249="","",IF($S249="Lớp 5",INDEX('Lớp 5 - Phân công'!$AV$14:$AV$262,$T249),IF($S249="Lớp 4",INDEX('Lớp 4 - Danh mục'!$AU$14:$AU$132,$T249),INDEX('Lớp 3 - Công việc chính'!$AR$14:$AR$73,$T249))))</f>
        <v>#REF!</v>
      </c>
    </row>
    <row r="250" ht="15.75" customHeight="1">
      <c r="A250" s="690" t="str">
        <f t="shared" si="1"/>
        <v>#REF!</v>
      </c>
      <c r="B250" s="690" t="str">
        <f t="array" ref="B250">IF($S250="","",IF($S250="Lớp 5",INDEX('Lớp 5 - Phân công'!$I$14:$I$262,$T250),IF($S250="Lớp 4",INDEX('Lớp 4 - Danh mục'!$I$14:$I$132,$T250),INDEX('Lớp 3 - Công việc chính'!$I$14:$I$73,$T250))))</f>
        <v>#REF!</v>
      </c>
      <c r="C250" s="690" t="str">
        <f t="array" ref="C250">IF($S250="","",IF($S250="Lớp 5",INDEX('Lớp 5 - Phân công'!$K$14:$K$262,$T250),IF($S250="Lớp 4",INDEX('Lớp 4 - Danh mục'!$J$14:$J$132,$T250),INDEX('Lớp 3 - Công việc chính'!$I$14:$I$73,$T250))))</f>
        <v>#REF!</v>
      </c>
      <c r="D250" s="690" t="str">
        <f t="array" ref="D250">IF($S250="","",IF($S250="Lớp 5",INDEX('Lớp 5 - Phân công'!$J$14:$J$262,$T250),IF($S250="Lớp 4",INDEX('Lớp 4 - Danh mục'!$I$14:$I$132,$T250),"")))</f>
        <v>#REF!</v>
      </c>
      <c r="E250" s="690" t="str">
        <f t="array" ref="E250">IF($S250="","",IF($S250="Lớp 5",INDEX('Lớp 5 - Phân công'!$L$14:$L$262,$T250),IF($S250="Lớp 4",INDEX('Lớp 4 - Danh mục'!$K$14:$K$132,$T250),INDEX('Lớp 3 - Công việc chính'!$J$14:$J$73,$T250))))</f>
        <v>#REF!</v>
      </c>
      <c r="F250" s="690" t="str">
        <f t="array" ref="F250">IF($S250="","",IF($S250="Lớp 5",INDEX('Lớp 5 - Phân công'!$M$14:$M$262,$T250),IF($S250="Lớp 4",INDEX('Lớp 4 - Danh mục'!$L$14:$L$132,$T250),INDEX('Lớp 3 - Công việc chính'!$K$14:$K$73,$T250))))</f>
        <v>#REF!</v>
      </c>
      <c r="G250" s="691" t="str">
        <f t="array" ref="G250">IF($S250="","",IF($S250="Lớp 5",INDEX('Lớp 5 - Phân công'!$N$14:$N$262,$T250),IF($S250="Lớp 4",INDEX('Lớp 4 - Danh mục'!$M$14:$M$132,$T250),INDEX('Lớp 3 - Công việc chính'!$L$14:$L$73,$T250))))</f>
        <v>#REF!</v>
      </c>
      <c r="H250" s="692" t="str">
        <f t="array" ref="H250">IF($S250="","",IF($S250="Lớp 5",INDEX('Lớp 5 - Phân công'!$O$14:$O$262,$T250),IF($S250="Lớp 4",INDEX('Lớp 4 - Danh mục'!$N$14:$N$132,$T250),INDEX('Lớp 3 - Công việc chính'!$M$14:$M$73,$T250))))</f>
        <v>#REF!</v>
      </c>
      <c r="I250" s="692" t="str">
        <f t="array" ref="I250">IF($S250="","",IF($S250="Lớp 5",INDEX('Lớp 5 - Phân công'!$P$14:$P$262,$T250),IF($S250="Lớp 4",INDEX('Lớp 4 - Danh mục'!$O$14:$O$132,$T250),"")))</f>
        <v>#REF!</v>
      </c>
      <c r="J250" s="693" t="str">
        <f t="array" ref="J250">IF($S250="","",IF($S250="Lớp 5",INDEX('Lớp 5 - Phân công'!$Q$14:$Q$262,$T250),""))</f>
        <v>#REF!</v>
      </c>
      <c r="K250" s="690" t="str">
        <f t="array" ref="K250">IF($S250="","",IF($S250="Lớp 5",INDEX('Lớp 5 - Phân công'!$AA$14:$AA$262,$T250),IF($S250="Lớp 4",INDEX('Lớp 4 - Danh mục'!$Y$14:$Y$132,$T250),INDEX('Lớp 3 - Công việc chính'!$U$14:$U$73,$T250))))</f>
        <v>#REF!</v>
      </c>
      <c r="L250" s="691" t="str">
        <f t="array" ref="L250">IF($S250="","",IF($S250="Lớp 5",INDEX('Lớp 5 - Phân công'!$Z$14:$Z$262,$T250),IF($S250="Lớp 4",INDEX('Lớp 4 - Danh mục'!$X$14:$X$132,$T250),INDEX('Lớp 3 - Công việc chính'!$W$14:$W$73,$T250))))</f>
        <v>#REF!</v>
      </c>
      <c r="M250" s="694" t="str">
        <f t="array" ref="M250">IF($S250="","",IF($S250="Lớp 5",INDEX('Lớp 5 - Phân công'!$AD$14:$AD$262,$T250),IF($S250="Lớp 4",INDEX('Lớp 4 - Danh mục'!$AC$14:$AC$132,$T250),INDEX('Lớp 3 - Công việc chính'!$Z$14:$Z$73,$T250))))</f>
        <v>#REF!</v>
      </c>
      <c r="N250" s="695" t="str">
        <f t="array" ref="N250">IF($S250="","",IF($S250="Lớp 5",INDEX('Lớp 5 - Phân công'!$AE$14:$AE$262,$T250),IF($S250="Lớp 4",INDEX('Lớp 4 - Danh mục'!$AD$14:$AD$132,$T250),INDEX('Lớp 3 - Công việc chính'!$AA$14:$AA$73,$T250))))</f>
        <v>#REF!</v>
      </c>
      <c r="O250" s="690" t="str">
        <f t="array" ref="O250">IF($S250="","",IF($S250="Lớp 5",INDEX('Lớp 5 - Phân công'!$AB$14:$AB$262,$T250),IF($S250="Lớp 4",INDEX('Lớp 4 - Danh mục'!$AA$14:$AA$132,$T250),INDEX('Lớp 3 - Công việc chính'!$X$14:$X$73,$T250))))</f>
        <v>#REF!</v>
      </c>
      <c r="P250" s="703" t="str">
        <f t="array" ref="P250">IF($S250="","",IF($S250="Lớp 5",INDEX('Lớp 5 - Phân công'!$AC$14:$AC$262,$T250),IF($S250="Lớp 4",INDEX('Lớp 4 - Danh mục'!$AB$14:$AB$132,$T250),INDEX('Lớp 3 - Công việc chính'!$Y$14:$Y$73,$T250))))</f>
        <v>#REF!</v>
      </c>
      <c r="Q250" s="697" t="str">
        <f t="array" ref="Q250">IF($S250="","",IF($S250="Lớp 5",INDEX('Lớp 5 - Phân công'!$AG$14:$AG$262,$T250),IF($S250="Lớp 4",INDEX('Lớp 4 - Danh mục'!$AF$14:$AF$132,$T250),INDEX('Lớp 3 - Công việc chính'!$AC$14:$AC$73,$T250))))</f>
        <v>#REF!</v>
      </c>
      <c r="R250" s="698" t="str">
        <f t="array" ref="R250">IF($S250="","",IF($S250="Lớp 5",INDEX('Lớp 5 - Phân công'!$X$14:$X$262,$T250),IF($S250="Lớp 4",INDEX('Lớp 4 - Danh mục'!$V$14:$V$132,$T250),INDEX('Lớp 3 - Công việc chính'!$T$14:$T$73,$T250))))</f>
        <v>#REF!</v>
      </c>
      <c r="S250" s="699" t="str">
        <f>IF(ROWS($S$14:S250)&lt;=COUNTIF('Lớp 5 - Phân công'!$I$14:$I$262,"&lt;&gt;"),"Lớp 5",IF(ROWS($S$14:S250)&lt;=COUNTIF('Lớp 5 - Phân công'!$I$14:$I$262,"&lt;&gt;")+SUMPRODUCT(--('Lớp 4 - Danh mục'!$I$14:$I$132&lt;&gt;""),--(COUNTIF('Lớp 5 - Phân công'!$J$14:$J$262,'Lớp 4 - Danh mục'!$I$14:$I$132)=0)),"Lớp 4",IF(ROWS($S$14:S250)&lt;=COUNTIF('Lớp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0" s="699" t="str">
        <f t="array" ref="T250">IF(S250="","",IF(S250="Lớp 5",IF(S249&lt;&gt;"Lớp 5",MATCH("*",'Lớp 5 - Phân công'!$I$14:$I$262,0),T249+MATCH("*",INDEX('Lớp 5 - Phân công'!$I$14:$I$262,T249+1):'Lớp 5 - Phân công'!$I$262,0)),IF(S250="Lớp 4",IF(S249&lt;&gt;"Lớp 4",MATCH(1,INDEX(('Lớp 4 - Danh mục'!$I$14:$I$132&lt;&gt;"")*(COUNTIF('Lớp 5 - Phân công'!$J$14:$J$262,'Lớp 4 - Danh mục'!$I$14:$I$132)=0),0),0),T249+MATCH(1,INDEX((INDEX('Lớp 4 - Danh mục'!$I$14:$I$132,T249+1):'Lớp 4 - Danh mục'!$I$132&lt;&gt;"")*(COUNTIF('Lớp 5 - Phân công'!$J$14:$J$262,INDEX('Lớp 4 - Danh mục'!$I$14:$I$132,T249+1):'Lớp 4 - Danh mục'!$I$132)=0),0),0)),IF(S249&lt;&gt;"Lớp 3",MATCH(1,INDEX(('Lớp 3 - Công việc chính'!$I$14:$I$73&lt;&gt;"")*(COUNTIF('Lớp 4 - Danh mục'!$J$14:$J$132,'Lớp 3 - Công việc chính'!$I$14:$I$73)=0),0),0),T249+MATCH(1,INDEX((INDEX('Lớp 3 - Công việc chính'!$I$14:$I$73,T249+1):'Lớp 3 - Công việc chính'!$I$73&lt;&gt;"")*(COUNTIF('Lớp 4 - Danh mục'!$J$14:$J$132,INDEX('Lớp 3 - Công việc chính'!$I$14:$I$73,T249+1):'Lớp 3 - Công việc chính'!$I$73)=0),0),0)))))</f>
        <v>#REF!</v>
      </c>
      <c r="Z250" s="700" t="str">
        <f t="array" ref="Z250">IF($S250="","",IF($S250="Lớp 5",INDEX('Lớp 5 - Phân công'!$AS$14:$AS$262,$T250),IF($S250="Lớp 4",INDEX('Lớp 4 - Danh mục'!$AR$14:$AR$132,$T250),INDEX('Lớp 3 - Công việc chính'!$AO$14:$AO$73,$T250))))</f>
        <v>#REF!</v>
      </c>
      <c r="AA250" s="701" t="str">
        <f t="array" ref="AA250">IF($S250="","",IF($S250="Lớp 5",INDEX('Lớp 5 - Phân công'!$AT$14:$AT$262,$T250),IF($S250="Lớp 4",INDEX('Lớp 4 - Danh mục'!$AS$14:$AS$132,$T250),INDEX('Lớp 3 - Công việc chính'!$AP$14:$AP$73,$T250))))</f>
        <v>#REF!</v>
      </c>
      <c r="AB250" s="701" t="str">
        <f t="array" ref="AB250">IF($S250="","",IF($S250="Lớp 5",INDEX('Lớp 5 - Phân công'!$AJ$14:$AJ$262,$T250),IF($S250="Lớp 4",INDEX('Lớp 4 - Danh mục'!$AI$14:$AI$132,$T250),INDEX('Lớp 3 - Công việc chính'!$AF$14:$AF$73,$T250))))</f>
        <v>#REF!</v>
      </c>
      <c r="AC250" s="702" t="str">
        <f t="array" ref="AC250">IF($S250="","",IF($S250="Lớp 5",INDEX('Lớp 5 - Phân công'!$AV$14:$AV$262,$T250),IF($S250="Lớp 4",INDEX('Lớp 4 - Danh mục'!$AU$14:$AU$132,$T250),INDEX('Lớp 3 - Công việc chính'!$AR$14:$AR$73,$T250))))</f>
        <v>#REF!</v>
      </c>
    </row>
    <row r="251" ht="15.75" customHeight="1">
      <c r="A251" s="690" t="str">
        <f t="shared" si="1"/>
        <v>#REF!</v>
      </c>
      <c r="B251" s="690" t="str">
        <f t="array" ref="B251">IF($S251="","",IF($S251="Lớp 5",INDEX('Lớp 5 - Phân công'!$I$14:$I$262,$T251),IF($S251="Lớp 4",INDEX('Lớp 4 - Danh mục'!$I$14:$I$132,$T251),INDEX('Lớp 3 - Công việc chính'!$I$14:$I$73,$T251))))</f>
        <v>#REF!</v>
      </c>
      <c r="C251" s="690" t="str">
        <f t="array" ref="C251">IF($S251="","",IF($S251="Lớp 5",INDEX('Lớp 5 - Phân công'!$K$14:$K$262,$T251),IF($S251="Lớp 4",INDEX('Lớp 4 - Danh mục'!$J$14:$J$132,$T251),INDEX('Lớp 3 - Công việc chính'!$I$14:$I$73,$T251))))</f>
        <v>#REF!</v>
      </c>
      <c r="D251" s="690" t="str">
        <f t="array" ref="D251">IF($S251="","",IF($S251="Lớp 5",INDEX('Lớp 5 - Phân công'!$J$14:$J$262,$T251),IF($S251="Lớp 4",INDEX('Lớp 4 - Danh mục'!$I$14:$I$132,$T251),"")))</f>
        <v>#REF!</v>
      </c>
      <c r="E251" s="690" t="str">
        <f t="array" ref="E251">IF($S251="","",IF($S251="Lớp 5",INDEX('Lớp 5 - Phân công'!$L$14:$L$262,$T251),IF($S251="Lớp 4",INDEX('Lớp 4 - Danh mục'!$K$14:$K$132,$T251),INDEX('Lớp 3 - Công việc chính'!$J$14:$J$73,$T251))))</f>
        <v>#REF!</v>
      </c>
      <c r="F251" s="690" t="str">
        <f t="array" ref="F251">IF($S251="","",IF($S251="Lớp 5",INDEX('Lớp 5 - Phân công'!$M$14:$M$262,$T251),IF($S251="Lớp 4",INDEX('Lớp 4 - Danh mục'!$L$14:$L$132,$T251),INDEX('Lớp 3 - Công việc chính'!$K$14:$K$73,$T251))))</f>
        <v>#REF!</v>
      </c>
      <c r="G251" s="691" t="str">
        <f t="array" ref="G251">IF($S251="","",IF($S251="Lớp 5",INDEX('Lớp 5 - Phân công'!$N$14:$N$262,$T251),IF($S251="Lớp 4",INDEX('Lớp 4 - Danh mục'!$M$14:$M$132,$T251),INDEX('Lớp 3 - Công việc chính'!$L$14:$L$73,$T251))))</f>
        <v>#REF!</v>
      </c>
      <c r="H251" s="692" t="str">
        <f t="array" ref="H251">IF($S251="","",IF($S251="Lớp 5",INDEX('Lớp 5 - Phân công'!$O$14:$O$262,$T251),IF($S251="Lớp 4",INDEX('Lớp 4 - Danh mục'!$N$14:$N$132,$T251),INDEX('Lớp 3 - Công việc chính'!$M$14:$M$73,$T251))))</f>
        <v>#REF!</v>
      </c>
      <c r="I251" s="692" t="str">
        <f t="array" ref="I251">IF($S251="","",IF($S251="Lớp 5",INDEX('Lớp 5 - Phân công'!$P$14:$P$262,$T251),IF($S251="Lớp 4",INDEX('Lớp 4 - Danh mục'!$O$14:$O$132,$T251),"")))</f>
        <v>#REF!</v>
      </c>
      <c r="J251" s="693" t="str">
        <f t="array" ref="J251">IF($S251="","",IF($S251="Lớp 5",INDEX('Lớp 5 - Phân công'!$Q$14:$Q$262,$T251),""))</f>
        <v>#REF!</v>
      </c>
      <c r="K251" s="690" t="str">
        <f t="array" ref="K251">IF($S251="","",IF($S251="Lớp 5",INDEX('Lớp 5 - Phân công'!$AA$14:$AA$262,$T251),IF($S251="Lớp 4",INDEX('Lớp 4 - Danh mục'!$Y$14:$Y$132,$T251),INDEX('Lớp 3 - Công việc chính'!$U$14:$U$73,$T251))))</f>
        <v>#REF!</v>
      </c>
      <c r="L251" s="691" t="str">
        <f t="array" ref="L251">IF($S251="","",IF($S251="Lớp 5",INDEX('Lớp 5 - Phân công'!$Z$14:$Z$262,$T251),IF($S251="Lớp 4",INDEX('Lớp 4 - Danh mục'!$X$14:$X$132,$T251),INDEX('Lớp 3 - Công việc chính'!$W$14:$W$73,$T251))))</f>
        <v>#REF!</v>
      </c>
      <c r="M251" s="694" t="str">
        <f t="array" ref="M251">IF($S251="","",IF($S251="Lớp 5",INDEX('Lớp 5 - Phân công'!$AD$14:$AD$262,$T251),IF($S251="Lớp 4",INDEX('Lớp 4 - Danh mục'!$AC$14:$AC$132,$T251),INDEX('Lớp 3 - Công việc chính'!$Z$14:$Z$73,$T251))))</f>
        <v>#REF!</v>
      </c>
      <c r="N251" s="695" t="str">
        <f t="array" ref="N251">IF($S251="","",IF($S251="Lớp 5",INDEX('Lớp 5 - Phân công'!$AE$14:$AE$262,$T251),IF($S251="Lớp 4",INDEX('Lớp 4 - Danh mục'!$AD$14:$AD$132,$T251),INDEX('Lớp 3 - Công việc chính'!$AA$14:$AA$73,$T251))))</f>
        <v>#REF!</v>
      </c>
      <c r="O251" s="690" t="str">
        <f t="array" ref="O251">IF($S251="","",IF($S251="Lớp 5",INDEX('Lớp 5 - Phân công'!$AB$14:$AB$262,$T251),IF($S251="Lớp 4",INDEX('Lớp 4 - Danh mục'!$AA$14:$AA$132,$T251),INDEX('Lớp 3 - Công việc chính'!$X$14:$X$73,$T251))))</f>
        <v>#REF!</v>
      </c>
      <c r="P251" s="703" t="str">
        <f t="array" ref="P251">IF($S251="","",IF($S251="Lớp 5",INDEX('Lớp 5 - Phân công'!$AC$14:$AC$262,$T251),IF($S251="Lớp 4",INDEX('Lớp 4 - Danh mục'!$AB$14:$AB$132,$T251),INDEX('Lớp 3 - Công việc chính'!$Y$14:$Y$73,$T251))))</f>
        <v>#REF!</v>
      </c>
      <c r="Q251" s="697" t="str">
        <f t="array" ref="Q251">IF($S251="","",IF($S251="Lớp 5",INDEX('Lớp 5 - Phân công'!$AG$14:$AG$262,$T251),IF($S251="Lớp 4",INDEX('Lớp 4 - Danh mục'!$AF$14:$AF$132,$T251),INDEX('Lớp 3 - Công việc chính'!$AC$14:$AC$73,$T251))))</f>
        <v>#REF!</v>
      </c>
      <c r="R251" s="698" t="str">
        <f t="array" ref="R251">IF($S251="","",IF($S251="Lớp 5",INDEX('Lớp 5 - Phân công'!$X$14:$X$262,$T251),IF($S251="Lớp 4",INDEX('Lớp 4 - Danh mục'!$V$14:$V$132,$T251),INDEX('Lớp 3 - Công việc chính'!$T$14:$T$73,$T251))))</f>
        <v>#REF!</v>
      </c>
      <c r="S251" s="699" t="str">
        <f>IF(ROWS($S$14:S251)&lt;=COUNTIF('Lớp 5 - Phân công'!$I$14:$I$262,"&lt;&gt;"),"Lớp 5",IF(ROWS($S$14:S251)&lt;=COUNTIF('Lớp 5 - Phân công'!$I$14:$I$262,"&lt;&gt;")+SUMPRODUCT(--('Lớp 4 - Danh mục'!$I$14:$I$132&lt;&gt;""),--(COUNTIF('Lớp 5 - Phân công'!$J$14:$J$262,'Lớp 4 - Danh mục'!$I$14:$I$132)=0)),"Lớp 4",IF(ROWS($S$14:S251)&lt;=COUNTIF('Lớp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1" s="699" t="str">
        <f t="array" ref="T251">IF(S251="","",IF(S251="Lớp 5",IF(S250&lt;&gt;"Lớp 5",MATCH("*",'Lớp 5 - Phân công'!$I$14:$I$262,0),T250+MATCH("*",INDEX('Lớp 5 - Phân công'!$I$14:$I$262,T250+1):'Lớp 5 - Phân công'!$I$262,0)),IF(S251="Lớp 4",IF(S250&lt;&gt;"Lớp 4",MATCH(1,INDEX(('Lớp 4 - Danh mục'!$I$14:$I$132&lt;&gt;"")*(COUNTIF('Lớp 5 - Phân công'!$J$14:$J$262,'Lớp 4 - Danh mục'!$I$14:$I$132)=0),0),0),T250+MATCH(1,INDEX((INDEX('Lớp 4 - Danh mục'!$I$14:$I$132,T250+1):'Lớp 4 - Danh mục'!$I$132&lt;&gt;"")*(COUNTIF('Lớp 5 - Phân công'!$J$14:$J$262,INDEX('Lớp 4 - Danh mục'!$I$14:$I$132,T250+1):'Lớp 4 - Danh mục'!$I$132)=0),0),0)),IF(S250&lt;&gt;"Lớp 3",MATCH(1,INDEX(('Lớp 3 - Công việc chính'!$I$14:$I$73&lt;&gt;"")*(COUNTIF('Lớp 4 - Danh mục'!$J$14:$J$132,'Lớp 3 - Công việc chính'!$I$14:$I$73)=0),0),0),T250+MATCH(1,INDEX((INDEX('Lớp 3 - Công việc chính'!$I$14:$I$73,T250+1):'Lớp 3 - Công việc chính'!$I$73&lt;&gt;"")*(COUNTIF('Lớp 4 - Danh mục'!$J$14:$J$132,INDEX('Lớp 3 - Công việc chính'!$I$14:$I$73,T250+1):'Lớp 3 - Công việc chính'!$I$73)=0),0),0)))))</f>
        <v>#REF!</v>
      </c>
      <c r="Z251" s="700" t="str">
        <f t="array" ref="Z251">IF($S251="","",IF($S251="Lớp 5",INDEX('Lớp 5 - Phân công'!$AS$14:$AS$262,$T251),IF($S251="Lớp 4",INDEX('Lớp 4 - Danh mục'!$AR$14:$AR$132,$T251),INDEX('Lớp 3 - Công việc chính'!$AO$14:$AO$73,$T251))))</f>
        <v>#REF!</v>
      </c>
      <c r="AA251" s="701" t="str">
        <f t="array" ref="AA251">IF($S251="","",IF($S251="Lớp 5",INDEX('Lớp 5 - Phân công'!$AT$14:$AT$262,$T251),IF($S251="Lớp 4",INDEX('Lớp 4 - Danh mục'!$AS$14:$AS$132,$T251),INDEX('Lớp 3 - Công việc chính'!$AP$14:$AP$73,$T251))))</f>
        <v>#REF!</v>
      </c>
      <c r="AB251" s="701" t="str">
        <f t="array" ref="AB251">IF($S251="","",IF($S251="Lớp 5",INDEX('Lớp 5 - Phân công'!$AJ$14:$AJ$262,$T251),IF($S251="Lớp 4",INDEX('Lớp 4 - Danh mục'!$AI$14:$AI$132,$T251),INDEX('Lớp 3 - Công việc chính'!$AF$14:$AF$73,$T251))))</f>
        <v>#REF!</v>
      </c>
      <c r="AC251" s="702" t="str">
        <f t="array" ref="AC251">IF($S251="","",IF($S251="Lớp 5",INDEX('Lớp 5 - Phân công'!$AV$14:$AV$262,$T251),IF($S251="Lớp 4",INDEX('Lớp 4 - Danh mục'!$AU$14:$AU$132,$T251),INDEX('Lớp 3 - Công việc chính'!$AR$14:$AR$73,$T251))))</f>
        <v>#REF!</v>
      </c>
    </row>
    <row r="252" ht="15.75" customHeight="1">
      <c r="A252" s="690" t="str">
        <f t="shared" si="1"/>
        <v>#REF!</v>
      </c>
      <c r="B252" s="690" t="str">
        <f t="array" ref="B252">IF($S252="","",IF($S252="Lớp 5",INDEX('Lớp 5 - Phân công'!$I$14:$I$262,$T252),IF($S252="Lớp 4",INDEX('Lớp 4 - Danh mục'!$I$14:$I$132,$T252),INDEX('Lớp 3 - Công việc chính'!$I$14:$I$73,$T252))))</f>
        <v>#REF!</v>
      </c>
      <c r="C252" s="690" t="str">
        <f t="array" ref="C252">IF($S252="","",IF($S252="Lớp 5",INDEX('Lớp 5 - Phân công'!$K$14:$K$262,$T252),IF($S252="Lớp 4",INDEX('Lớp 4 - Danh mục'!$J$14:$J$132,$T252),INDEX('Lớp 3 - Công việc chính'!$I$14:$I$73,$T252))))</f>
        <v>#REF!</v>
      </c>
      <c r="D252" s="690" t="str">
        <f t="array" ref="D252">IF($S252="","",IF($S252="Lớp 5",INDEX('Lớp 5 - Phân công'!$J$14:$J$262,$T252),IF($S252="Lớp 4",INDEX('Lớp 4 - Danh mục'!$I$14:$I$132,$T252),"")))</f>
        <v>#REF!</v>
      </c>
      <c r="E252" s="690" t="str">
        <f t="array" ref="E252">IF($S252="","",IF($S252="Lớp 5",INDEX('Lớp 5 - Phân công'!$L$14:$L$262,$T252),IF($S252="Lớp 4",INDEX('Lớp 4 - Danh mục'!$K$14:$K$132,$T252),INDEX('Lớp 3 - Công việc chính'!$J$14:$J$73,$T252))))</f>
        <v>#REF!</v>
      </c>
      <c r="F252" s="690" t="str">
        <f t="array" ref="F252">IF($S252="","",IF($S252="Lớp 5",INDEX('Lớp 5 - Phân công'!$M$14:$M$262,$T252),IF($S252="Lớp 4",INDEX('Lớp 4 - Danh mục'!$L$14:$L$132,$T252),INDEX('Lớp 3 - Công việc chính'!$K$14:$K$73,$T252))))</f>
        <v>#REF!</v>
      </c>
      <c r="G252" s="691" t="str">
        <f t="array" ref="G252">IF($S252="","",IF($S252="Lớp 5",INDEX('Lớp 5 - Phân công'!$N$14:$N$262,$T252),IF($S252="Lớp 4",INDEX('Lớp 4 - Danh mục'!$M$14:$M$132,$T252),INDEX('Lớp 3 - Công việc chính'!$L$14:$L$73,$T252))))</f>
        <v>#REF!</v>
      </c>
      <c r="H252" s="692" t="str">
        <f t="array" ref="H252">IF($S252="","",IF($S252="Lớp 5",INDEX('Lớp 5 - Phân công'!$O$14:$O$262,$T252),IF($S252="Lớp 4",INDEX('Lớp 4 - Danh mục'!$N$14:$N$132,$T252),INDEX('Lớp 3 - Công việc chính'!$M$14:$M$73,$T252))))</f>
        <v>#REF!</v>
      </c>
      <c r="I252" s="692" t="str">
        <f t="array" ref="I252">IF($S252="","",IF($S252="Lớp 5",INDEX('Lớp 5 - Phân công'!$P$14:$P$262,$T252),IF($S252="Lớp 4",INDEX('Lớp 4 - Danh mục'!$O$14:$O$132,$T252),"")))</f>
        <v>#REF!</v>
      </c>
      <c r="J252" s="693" t="str">
        <f t="array" ref="J252">IF($S252="","",IF($S252="Lớp 5",INDEX('Lớp 5 - Phân công'!$Q$14:$Q$262,$T252),""))</f>
        <v>#REF!</v>
      </c>
      <c r="K252" s="690" t="str">
        <f t="array" ref="K252">IF($S252="","",IF($S252="Lớp 5",INDEX('Lớp 5 - Phân công'!$AA$14:$AA$262,$T252),IF($S252="Lớp 4",INDEX('Lớp 4 - Danh mục'!$Y$14:$Y$132,$T252),INDEX('Lớp 3 - Công việc chính'!$U$14:$U$73,$T252))))</f>
        <v>#REF!</v>
      </c>
      <c r="L252" s="691" t="str">
        <f t="array" ref="L252">IF($S252="","",IF($S252="Lớp 5",INDEX('Lớp 5 - Phân công'!$Z$14:$Z$262,$T252),IF($S252="Lớp 4",INDEX('Lớp 4 - Danh mục'!$X$14:$X$132,$T252),INDEX('Lớp 3 - Công việc chính'!$W$14:$W$73,$T252))))</f>
        <v>#REF!</v>
      </c>
      <c r="M252" s="694" t="str">
        <f t="array" ref="M252">IF($S252="","",IF($S252="Lớp 5",INDEX('Lớp 5 - Phân công'!$AD$14:$AD$262,$T252),IF($S252="Lớp 4",INDEX('Lớp 4 - Danh mục'!$AC$14:$AC$132,$T252),INDEX('Lớp 3 - Công việc chính'!$Z$14:$Z$73,$T252))))</f>
        <v>#REF!</v>
      </c>
      <c r="N252" s="695" t="str">
        <f t="array" ref="N252">IF($S252="","",IF($S252="Lớp 5",INDEX('Lớp 5 - Phân công'!$AE$14:$AE$262,$T252),IF($S252="Lớp 4",INDEX('Lớp 4 - Danh mục'!$AD$14:$AD$132,$T252),INDEX('Lớp 3 - Công việc chính'!$AA$14:$AA$73,$T252))))</f>
        <v>#REF!</v>
      </c>
      <c r="O252" s="690" t="str">
        <f t="array" ref="O252">IF($S252="","",IF($S252="Lớp 5",INDEX('Lớp 5 - Phân công'!$AB$14:$AB$262,$T252),IF($S252="Lớp 4",INDEX('Lớp 4 - Danh mục'!$AA$14:$AA$132,$T252),INDEX('Lớp 3 - Công việc chính'!$X$14:$X$73,$T252))))</f>
        <v>#REF!</v>
      </c>
      <c r="P252" s="703" t="str">
        <f t="array" ref="P252">IF($S252="","",IF($S252="Lớp 5",INDEX('Lớp 5 - Phân công'!$AC$14:$AC$262,$T252),IF($S252="Lớp 4",INDEX('Lớp 4 - Danh mục'!$AB$14:$AB$132,$T252),INDEX('Lớp 3 - Công việc chính'!$Y$14:$Y$73,$T252))))</f>
        <v>#REF!</v>
      </c>
      <c r="Q252" s="697" t="str">
        <f t="array" ref="Q252">IF($S252="","",IF($S252="Lớp 5",INDEX('Lớp 5 - Phân công'!$AG$14:$AG$262,$T252),IF($S252="Lớp 4",INDEX('Lớp 4 - Danh mục'!$AF$14:$AF$132,$T252),INDEX('Lớp 3 - Công việc chính'!$AC$14:$AC$73,$T252))))</f>
        <v>#REF!</v>
      </c>
      <c r="R252" s="698" t="str">
        <f t="array" ref="R252">IF($S252="","",IF($S252="Lớp 5",INDEX('Lớp 5 - Phân công'!$X$14:$X$262,$T252),IF($S252="Lớp 4",INDEX('Lớp 4 - Danh mục'!$V$14:$V$132,$T252),INDEX('Lớp 3 - Công việc chính'!$T$14:$T$73,$T252))))</f>
        <v>#REF!</v>
      </c>
      <c r="S252" s="699" t="str">
        <f>IF(ROWS($S$14:S252)&lt;=COUNTIF('Lớp 5 - Phân công'!$I$14:$I$262,"&lt;&gt;"),"Lớp 5",IF(ROWS($S$14:S252)&lt;=COUNTIF('Lớp 5 - Phân công'!$I$14:$I$262,"&lt;&gt;")+SUMPRODUCT(--('Lớp 4 - Danh mục'!$I$14:$I$132&lt;&gt;""),--(COUNTIF('Lớp 5 - Phân công'!$J$14:$J$262,'Lớp 4 - Danh mục'!$I$14:$I$132)=0)),"Lớp 4",IF(ROWS($S$14:S252)&lt;=COUNTIF('Lớp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2" s="699" t="str">
        <f t="array" ref="T252">IF(S252="","",IF(S252="Lớp 5",IF(S251&lt;&gt;"Lớp 5",MATCH("*",'Lớp 5 - Phân công'!$I$14:$I$262,0),T251+MATCH("*",INDEX('Lớp 5 - Phân công'!$I$14:$I$262,T251+1):'Lớp 5 - Phân công'!$I$262,0)),IF(S252="Lớp 4",IF(S251&lt;&gt;"Lớp 4",MATCH(1,INDEX(('Lớp 4 - Danh mục'!$I$14:$I$132&lt;&gt;"")*(COUNTIF('Lớp 5 - Phân công'!$J$14:$J$262,'Lớp 4 - Danh mục'!$I$14:$I$132)=0),0),0),T251+MATCH(1,INDEX((INDEX('Lớp 4 - Danh mục'!$I$14:$I$132,T251+1):'Lớp 4 - Danh mục'!$I$132&lt;&gt;"")*(COUNTIF('Lớp 5 - Phân công'!$J$14:$J$262,INDEX('Lớp 4 - Danh mục'!$I$14:$I$132,T251+1):'Lớp 4 - Danh mục'!$I$132)=0),0),0)),IF(S251&lt;&gt;"Lớp 3",MATCH(1,INDEX(('Lớp 3 - Công việc chính'!$I$14:$I$73&lt;&gt;"")*(COUNTIF('Lớp 4 - Danh mục'!$J$14:$J$132,'Lớp 3 - Công việc chính'!$I$14:$I$73)=0),0),0),T251+MATCH(1,INDEX((INDEX('Lớp 3 - Công việc chính'!$I$14:$I$73,T251+1):'Lớp 3 - Công việc chính'!$I$73&lt;&gt;"")*(COUNTIF('Lớp 4 - Danh mục'!$J$14:$J$132,INDEX('Lớp 3 - Công việc chính'!$I$14:$I$73,T251+1):'Lớp 3 - Công việc chính'!$I$73)=0),0),0)))))</f>
        <v>#REF!</v>
      </c>
      <c r="Z252" s="700" t="str">
        <f t="array" ref="Z252">IF($S252="","",IF($S252="Lớp 5",INDEX('Lớp 5 - Phân công'!$AS$14:$AS$262,$T252),IF($S252="Lớp 4",INDEX('Lớp 4 - Danh mục'!$AR$14:$AR$132,$T252),INDEX('Lớp 3 - Công việc chính'!$AO$14:$AO$73,$T252))))</f>
        <v>#REF!</v>
      </c>
      <c r="AA252" s="701" t="str">
        <f t="array" ref="AA252">IF($S252="","",IF($S252="Lớp 5",INDEX('Lớp 5 - Phân công'!$AT$14:$AT$262,$T252),IF($S252="Lớp 4",INDEX('Lớp 4 - Danh mục'!$AS$14:$AS$132,$T252),INDEX('Lớp 3 - Công việc chính'!$AP$14:$AP$73,$T252))))</f>
        <v>#REF!</v>
      </c>
      <c r="AB252" s="701" t="str">
        <f t="array" ref="AB252">IF($S252="","",IF($S252="Lớp 5",INDEX('Lớp 5 - Phân công'!$AJ$14:$AJ$262,$T252),IF($S252="Lớp 4",INDEX('Lớp 4 - Danh mục'!$AI$14:$AI$132,$T252),INDEX('Lớp 3 - Công việc chính'!$AF$14:$AF$73,$T252))))</f>
        <v>#REF!</v>
      </c>
      <c r="AC252" s="702" t="str">
        <f t="array" ref="AC252">IF($S252="","",IF($S252="Lớp 5",INDEX('Lớp 5 - Phân công'!$AV$14:$AV$262,$T252),IF($S252="Lớp 4",INDEX('Lớp 4 - Danh mục'!$AU$14:$AU$132,$T252),INDEX('Lớp 3 - Công việc chính'!$AR$14:$AR$73,$T252))))</f>
        <v>#REF!</v>
      </c>
    </row>
    <row r="253" ht="15.75" customHeight="1">
      <c r="A253" s="690" t="str">
        <f t="shared" si="1"/>
        <v>#REF!</v>
      </c>
      <c r="B253" s="690" t="str">
        <f t="array" ref="B253">IF($S253="","",IF($S253="Lớp 5",INDEX('Lớp 5 - Phân công'!$I$14:$I$262,$T253),IF($S253="Lớp 4",INDEX('Lớp 4 - Danh mục'!$I$14:$I$132,$T253),INDEX('Lớp 3 - Công việc chính'!$I$14:$I$73,$T253))))</f>
        <v>#REF!</v>
      </c>
      <c r="C253" s="690" t="str">
        <f t="array" ref="C253">IF($S253="","",IF($S253="Lớp 5",INDEX('Lớp 5 - Phân công'!$K$14:$K$262,$T253),IF($S253="Lớp 4",INDEX('Lớp 4 - Danh mục'!$J$14:$J$132,$T253),INDEX('Lớp 3 - Công việc chính'!$I$14:$I$73,$T253))))</f>
        <v>#REF!</v>
      </c>
      <c r="D253" s="690" t="str">
        <f t="array" ref="D253">IF($S253="","",IF($S253="Lớp 5",INDEX('Lớp 5 - Phân công'!$J$14:$J$262,$T253),IF($S253="Lớp 4",INDEX('Lớp 4 - Danh mục'!$I$14:$I$132,$T253),"")))</f>
        <v>#REF!</v>
      </c>
      <c r="E253" s="690" t="str">
        <f t="array" ref="E253">IF($S253="","",IF($S253="Lớp 5",INDEX('Lớp 5 - Phân công'!$L$14:$L$262,$T253),IF($S253="Lớp 4",INDEX('Lớp 4 - Danh mục'!$K$14:$K$132,$T253),INDEX('Lớp 3 - Công việc chính'!$J$14:$J$73,$T253))))</f>
        <v>#REF!</v>
      </c>
      <c r="F253" s="690" t="str">
        <f t="array" ref="F253">IF($S253="","",IF($S253="Lớp 5",INDEX('Lớp 5 - Phân công'!$M$14:$M$262,$T253),IF($S253="Lớp 4",INDEX('Lớp 4 - Danh mục'!$L$14:$L$132,$T253),INDEX('Lớp 3 - Công việc chính'!$K$14:$K$73,$T253))))</f>
        <v>#REF!</v>
      </c>
      <c r="G253" s="691" t="str">
        <f t="array" ref="G253">IF($S253="","",IF($S253="Lớp 5",INDEX('Lớp 5 - Phân công'!$N$14:$N$262,$T253),IF($S253="Lớp 4",INDEX('Lớp 4 - Danh mục'!$M$14:$M$132,$T253),INDEX('Lớp 3 - Công việc chính'!$L$14:$L$73,$T253))))</f>
        <v>#REF!</v>
      </c>
      <c r="H253" s="692" t="str">
        <f t="array" ref="H253">IF($S253="","",IF($S253="Lớp 5",INDEX('Lớp 5 - Phân công'!$O$14:$O$262,$T253),IF($S253="Lớp 4",INDEX('Lớp 4 - Danh mục'!$N$14:$N$132,$T253),INDEX('Lớp 3 - Công việc chính'!$M$14:$M$73,$T253))))</f>
        <v>#REF!</v>
      </c>
      <c r="I253" s="692" t="str">
        <f t="array" ref="I253">IF($S253="","",IF($S253="Lớp 5",INDEX('Lớp 5 - Phân công'!$P$14:$P$262,$T253),IF($S253="Lớp 4",INDEX('Lớp 4 - Danh mục'!$O$14:$O$132,$T253),"")))</f>
        <v>#REF!</v>
      </c>
      <c r="J253" s="693" t="str">
        <f t="array" ref="J253">IF($S253="","",IF($S253="Lớp 5",INDEX('Lớp 5 - Phân công'!$Q$14:$Q$262,$T253),""))</f>
        <v>#REF!</v>
      </c>
      <c r="K253" s="690" t="str">
        <f t="array" ref="K253">IF($S253="","",IF($S253="Lớp 5",INDEX('Lớp 5 - Phân công'!$AA$14:$AA$262,$T253),IF($S253="Lớp 4",INDEX('Lớp 4 - Danh mục'!$Y$14:$Y$132,$T253),INDEX('Lớp 3 - Công việc chính'!$U$14:$U$73,$T253))))</f>
        <v>#REF!</v>
      </c>
      <c r="L253" s="691" t="str">
        <f t="array" ref="L253">IF($S253="","",IF($S253="Lớp 5",INDEX('Lớp 5 - Phân công'!$Z$14:$Z$262,$T253),IF($S253="Lớp 4",INDEX('Lớp 4 - Danh mục'!$X$14:$X$132,$T253),INDEX('Lớp 3 - Công việc chính'!$W$14:$W$73,$T253))))</f>
        <v>#REF!</v>
      </c>
      <c r="M253" s="694" t="str">
        <f t="array" ref="M253">IF($S253="","",IF($S253="Lớp 5",INDEX('Lớp 5 - Phân công'!$AD$14:$AD$262,$T253),IF($S253="Lớp 4",INDEX('Lớp 4 - Danh mục'!$AC$14:$AC$132,$T253),INDEX('Lớp 3 - Công việc chính'!$Z$14:$Z$73,$T253))))</f>
        <v>#REF!</v>
      </c>
      <c r="N253" s="695" t="str">
        <f t="array" ref="N253">IF($S253="","",IF($S253="Lớp 5",INDEX('Lớp 5 - Phân công'!$AE$14:$AE$262,$T253),IF($S253="Lớp 4",INDEX('Lớp 4 - Danh mục'!$AD$14:$AD$132,$T253),INDEX('Lớp 3 - Công việc chính'!$AA$14:$AA$73,$T253))))</f>
        <v>#REF!</v>
      </c>
      <c r="O253" s="690" t="str">
        <f t="array" ref="O253">IF($S253="","",IF($S253="Lớp 5",INDEX('Lớp 5 - Phân công'!$AB$14:$AB$262,$T253),IF($S253="Lớp 4",INDEX('Lớp 4 - Danh mục'!$AA$14:$AA$132,$T253),INDEX('Lớp 3 - Công việc chính'!$X$14:$X$73,$T253))))</f>
        <v>#REF!</v>
      </c>
      <c r="P253" s="703" t="str">
        <f t="array" ref="P253">IF($S253="","",IF($S253="Lớp 5",INDEX('Lớp 5 - Phân công'!$AC$14:$AC$262,$T253),IF($S253="Lớp 4",INDEX('Lớp 4 - Danh mục'!$AB$14:$AB$132,$T253),INDEX('Lớp 3 - Công việc chính'!$Y$14:$Y$73,$T253))))</f>
        <v>#REF!</v>
      </c>
      <c r="Q253" s="697" t="str">
        <f t="array" ref="Q253">IF($S253="","",IF($S253="Lớp 5",INDEX('Lớp 5 - Phân công'!$AG$14:$AG$262,$T253),IF($S253="Lớp 4",INDEX('Lớp 4 - Danh mục'!$AF$14:$AF$132,$T253),INDEX('Lớp 3 - Công việc chính'!$AC$14:$AC$73,$T253))))</f>
        <v>#REF!</v>
      </c>
      <c r="R253" s="698" t="str">
        <f t="array" ref="R253">IF($S253="","",IF($S253="Lớp 5",INDEX('Lớp 5 - Phân công'!$X$14:$X$262,$T253),IF($S253="Lớp 4",INDEX('Lớp 4 - Danh mục'!$V$14:$V$132,$T253),INDEX('Lớp 3 - Công việc chính'!$T$14:$T$73,$T253))))</f>
        <v>#REF!</v>
      </c>
      <c r="S253" s="699" t="str">
        <f>IF(ROWS($S$14:S253)&lt;=COUNTIF('Lớp 5 - Phân công'!$I$14:$I$262,"&lt;&gt;"),"Lớp 5",IF(ROWS($S$14:S253)&lt;=COUNTIF('Lớp 5 - Phân công'!$I$14:$I$262,"&lt;&gt;")+SUMPRODUCT(--('Lớp 4 - Danh mục'!$I$14:$I$132&lt;&gt;""),--(COUNTIF('Lớp 5 - Phân công'!$J$14:$J$262,'Lớp 4 - Danh mục'!$I$14:$I$132)=0)),"Lớp 4",IF(ROWS($S$14:S253)&lt;=COUNTIF('Lớp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3" s="699" t="str">
        <f t="array" ref="T253">IF(S253="","",IF(S253="Lớp 5",IF(S252&lt;&gt;"Lớp 5",MATCH("*",'Lớp 5 - Phân công'!$I$14:$I$262,0),T252+MATCH("*",INDEX('Lớp 5 - Phân công'!$I$14:$I$262,T252+1):'Lớp 5 - Phân công'!$I$262,0)),IF(S253="Lớp 4",IF(S252&lt;&gt;"Lớp 4",MATCH(1,INDEX(('Lớp 4 - Danh mục'!$I$14:$I$132&lt;&gt;"")*(COUNTIF('Lớp 5 - Phân công'!$J$14:$J$262,'Lớp 4 - Danh mục'!$I$14:$I$132)=0),0),0),T252+MATCH(1,INDEX((INDEX('Lớp 4 - Danh mục'!$I$14:$I$132,T252+1):'Lớp 4 - Danh mục'!$I$132&lt;&gt;"")*(COUNTIF('Lớp 5 - Phân công'!$J$14:$J$262,INDEX('Lớp 4 - Danh mục'!$I$14:$I$132,T252+1):'Lớp 4 - Danh mục'!$I$132)=0),0),0)),IF(S252&lt;&gt;"Lớp 3",MATCH(1,INDEX(('Lớp 3 - Công việc chính'!$I$14:$I$73&lt;&gt;"")*(COUNTIF('Lớp 4 - Danh mục'!$J$14:$J$132,'Lớp 3 - Công việc chính'!$I$14:$I$73)=0),0),0),T252+MATCH(1,INDEX((INDEX('Lớp 3 - Công việc chính'!$I$14:$I$73,T252+1):'Lớp 3 - Công việc chính'!$I$73&lt;&gt;"")*(COUNTIF('Lớp 4 - Danh mục'!$J$14:$J$132,INDEX('Lớp 3 - Công việc chính'!$I$14:$I$73,T252+1):'Lớp 3 - Công việc chính'!$I$73)=0),0),0)))))</f>
        <v>#REF!</v>
      </c>
      <c r="Z253" s="700" t="str">
        <f t="array" ref="Z253">IF($S253="","",IF($S253="Lớp 5",INDEX('Lớp 5 - Phân công'!$AS$14:$AS$262,$T253),IF($S253="Lớp 4",INDEX('Lớp 4 - Danh mục'!$AR$14:$AR$132,$T253),INDEX('Lớp 3 - Công việc chính'!$AO$14:$AO$73,$T253))))</f>
        <v>#REF!</v>
      </c>
      <c r="AA253" s="701" t="str">
        <f t="array" ref="AA253">IF($S253="","",IF($S253="Lớp 5",INDEX('Lớp 5 - Phân công'!$AT$14:$AT$262,$T253),IF($S253="Lớp 4",INDEX('Lớp 4 - Danh mục'!$AS$14:$AS$132,$T253),INDEX('Lớp 3 - Công việc chính'!$AP$14:$AP$73,$T253))))</f>
        <v>#REF!</v>
      </c>
      <c r="AB253" s="701" t="str">
        <f t="array" ref="AB253">IF($S253="","",IF($S253="Lớp 5",INDEX('Lớp 5 - Phân công'!$AJ$14:$AJ$262,$T253),IF($S253="Lớp 4",INDEX('Lớp 4 - Danh mục'!$AI$14:$AI$132,$T253),INDEX('Lớp 3 - Công việc chính'!$AF$14:$AF$73,$T253))))</f>
        <v>#REF!</v>
      </c>
      <c r="AC253" s="702" t="str">
        <f t="array" ref="AC253">IF($S253="","",IF($S253="Lớp 5",INDEX('Lớp 5 - Phân công'!$AV$14:$AV$262,$T253),IF($S253="Lớp 4",INDEX('Lớp 4 - Danh mục'!$AU$14:$AU$132,$T253),INDEX('Lớp 3 - Công việc chính'!$AR$14:$AR$73,$T253))))</f>
        <v>#REF!</v>
      </c>
    </row>
    <row r="254" ht="15.75" customHeight="1">
      <c r="A254" s="690" t="str">
        <f t="shared" si="1"/>
        <v>#REF!</v>
      </c>
      <c r="B254" s="690" t="str">
        <f t="array" ref="B254">IF($S254="","",IF($S254="Lớp 5",INDEX('Lớp 5 - Phân công'!$I$14:$I$262,$T254),IF($S254="Lớp 4",INDEX('Lớp 4 - Danh mục'!$I$14:$I$132,$T254),INDEX('Lớp 3 - Công việc chính'!$I$14:$I$73,$T254))))</f>
        <v>#REF!</v>
      </c>
      <c r="C254" s="690" t="str">
        <f t="array" ref="C254">IF($S254="","",IF($S254="Lớp 5",INDEX('Lớp 5 - Phân công'!$K$14:$K$262,$T254),IF($S254="Lớp 4",INDEX('Lớp 4 - Danh mục'!$J$14:$J$132,$T254),INDEX('Lớp 3 - Công việc chính'!$I$14:$I$73,$T254))))</f>
        <v>#REF!</v>
      </c>
      <c r="D254" s="690" t="str">
        <f t="array" ref="D254">IF($S254="","",IF($S254="Lớp 5",INDEX('Lớp 5 - Phân công'!$J$14:$J$262,$T254),IF($S254="Lớp 4",INDEX('Lớp 4 - Danh mục'!$I$14:$I$132,$T254),"")))</f>
        <v>#REF!</v>
      </c>
      <c r="E254" s="690" t="str">
        <f t="array" ref="E254">IF($S254="","",IF($S254="Lớp 5",INDEX('Lớp 5 - Phân công'!$L$14:$L$262,$T254),IF($S254="Lớp 4",INDEX('Lớp 4 - Danh mục'!$K$14:$K$132,$T254),INDEX('Lớp 3 - Công việc chính'!$J$14:$J$73,$T254))))</f>
        <v>#REF!</v>
      </c>
      <c r="F254" s="690" t="str">
        <f t="array" ref="F254">IF($S254="","",IF($S254="Lớp 5",INDEX('Lớp 5 - Phân công'!$M$14:$M$262,$T254),IF($S254="Lớp 4",INDEX('Lớp 4 - Danh mục'!$L$14:$L$132,$T254),INDEX('Lớp 3 - Công việc chính'!$K$14:$K$73,$T254))))</f>
        <v>#REF!</v>
      </c>
      <c r="G254" s="691" t="str">
        <f t="array" ref="G254">IF($S254="","",IF($S254="Lớp 5",INDEX('Lớp 5 - Phân công'!$N$14:$N$262,$T254),IF($S254="Lớp 4",INDEX('Lớp 4 - Danh mục'!$M$14:$M$132,$T254),INDEX('Lớp 3 - Công việc chính'!$L$14:$L$73,$T254))))</f>
        <v>#REF!</v>
      </c>
      <c r="H254" s="692" t="str">
        <f t="array" ref="H254">IF($S254="","",IF($S254="Lớp 5",INDEX('Lớp 5 - Phân công'!$O$14:$O$262,$T254),IF($S254="Lớp 4",INDEX('Lớp 4 - Danh mục'!$N$14:$N$132,$T254),INDEX('Lớp 3 - Công việc chính'!$M$14:$M$73,$T254))))</f>
        <v>#REF!</v>
      </c>
      <c r="I254" s="692" t="str">
        <f t="array" ref="I254">IF($S254="","",IF($S254="Lớp 5",INDEX('Lớp 5 - Phân công'!$P$14:$P$262,$T254),IF($S254="Lớp 4",INDEX('Lớp 4 - Danh mục'!$O$14:$O$132,$T254),"")))</f>
        <v>#REF!</v>
      </c>
      <c r="J254" s="693" t="str">
        <f t="array" ref="J254">IF($S254="","",IF($S254="Lớp 5",INDEX('Lớp 5 - Phân công'!$Q$14:$Q$262,$T254),""))</f>
        <v>#REF!</v>
      </c>
      <c r="K254" s="690" t="str">
        <f t="array" ref="K254">IF($S254="","",IF($S254="Lớp 5",INDEX('Lớp 5 - Phân công'!$AA$14:$AA$262,$T254),IF($S254="Lớp 4",INDEX('Lớp 4 - Danh mục'!$Y$14:$Y$132,$T254),INDEX('Lớp 3 - Công việc chính'!$U$14:$U$73,$T254))))</f>
        <v>#REF!</v>
      </c>
      <c r="L254" s="691" t="str">
        <f t="array" ref="L254">IF($S254="","",IF($S254="Lớp 5",INDEX('Lớp 5 - Phân công'!$Z$14:$Z$262,$T254),IF($S254="Lớp 4",INDEX('Lớp 4 - Danh mục'!$X$14:$X$132,$T254),INDEX('Lớp 3 - Công việc chính'!$W$14:$W$73,$T254))))</f>
        <v>#REF!</v>
      </c>
      <c r="M254" s="694" t="str">
        <f t="array" ref="M254">IF($S254="","",IF($S254="Lớp 5",INDEX('Lớp 5 - Phân công'!$AD$14:$AD$262,$T254),IF($S254="Lớp 4",INDEX('Lớp 4 - Danh mục'!$AC$14:$AC$132,$T254),INDEX('Lớp 3 - Công việc chính'!$Z$14:$Z$73,$T254))))</f>
        <v>#REF!</v>
      </c>
      <c r="N254" s="695" t="str">
        <f t="array" ref="N254">IF($S254="","",IF($S254="Lớp 5",INDEX('Lớp 5 - Phân công'!$AE$14:$AE$262,$T254),IF($S254="Lớp 4",INDEX('Lớp 4 - Danh mục'!$AD$14:$AD$132,$T254),INDEX('Lớp 3 - Công việc chính'!$AA$14:$AA$73,$T254))))</f>
        <v>#REF!</v>
      </c>
      <c r="O254" s="690" t="str">
        <f t="array" ref="O254">IF($S254="","",IF($S254="Lớp 5",INDEX('Lớp 5 - Phân công'!$AB$14:$AB$262,$T254),IF($S254="Lớp 4",INDEX('Lớp 4 - Danh mục'!$AA$14:$AA$132,$T254),INDEX('Lớp 3 - Công việc chính'!$X$14:$X$73,$T254))))</f>
        <v>#REF!</v>
      </c>
      <c r="P254" s="703" t="str">
        <f t="array" ref="P254">IF($S254="","",IF($S254="Lớp 5",INDEX('Lớp 5 - Phân công'!$AC$14:$AC$262,$T254),IF($S254="Lớp 4",INDEX('Lớp 4 - Danh mục'!$AB$14:$AB$132,$T254),INDEX('Lớp 3 - Công việc chính'!$Y$14:$Y$73,$T254))))</f>
        <v>#REF!</v>
      </c>
      <c r="Q254" s="697" t="str">
        <f t="array" ref="Q254">IF($S254="","",IF($S254="Lớp 5",INDEX('Lớp 5 - Phân công'!$AG$14:$AG$262,$T254),IF($S254="Lớp 4",INDEX('Lớp 4 - Danh mục'!$AF$14:$AF$132,$T254),INDEX('Lớp 3 - Công việc chính'!$AC$14:$AC$73,$T254))))</f>
        <v>#REF!</v>
      </c>
      <c r="R254" s="698" t="str">
        <f t="array" ref="R254">IF($S254="","",IF($S254="Lớp 5",INDEX('Lớp 5 - Phân công'!$X$14:$X$262,$T254),IF($S254="Lớp 4",INDEX('Lớp 4 - Danh mục'!$V$14:$V$132,$T254),INDEX('Lớp 3 - Công việc chính'!$T$14:$T$73,$T254))))</f>
        <v>#REF!</v>
      </c>
      <c r="S254" s="699" t="str">
        <f>IF(ROWS($S$14:S254)&lt;=COUNTIF('Lớp 5 - Phân công'!$I$14:$I$262,"&lt;&gt;"),"Lớp 5",IF(ROWS($S$14:S254)&lt;=COUNTIF('Lớp 5 - Phân công'!$I$14:$I$262,"&lt;&gt;")+SUMPRODUCT(--('Lớp 4 - Danh mục'!$I$14:$I$132&lt;&gt;""),--(COUNTIF('Lớp 5 - Phân công'!$J$14:$J$262,'Lớp 4 - Danh mục'!$I$14:$I$132)=0)),"Lớp 4",IF(ROWS($S$14:S254)&lt;=COUNTIF('Lớp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4" s="699" t="str">
        <f t="array" ref="T254">IF(S254="","",IF(S254="Lớp 5",IF(S253&lt;&gt;"Lớp 5",MATCH("*",'Lớp 5 - Phân công'!$I$14:$I$262,0),T253+MATCH("*",INDEX('Lớp 5 - Phân công'!$I$14:$I$262,T253+1):'Lớp 5 - Phân công'!$I$262,0)),IF(S254="Lớp 4",IF(S253&lt;&gt;"Lớp 4",MATCH(1,INDEX(('Lớp 4 - Danh mục'!$I$14:$I$132&lt;&gt;"")*(COUNTIF('Lớp 5 - Phân công'!$J$14:$J$262,'Lớp 4 - Danh mục'!$I$14:$I$132)=0),0),0),T253+MATCH(1,INDEX((INDEX('Lớp 4 - Danh mục'!$I$14:$I$132,T253+1):'Lớp 4 - Danh mục'!$I$132&lt;&gt;"")*(COUNTIF('Lớp 5 - Phân công'!$J$14:$J$262,INDEX('Lớp 4 - Danh mục'!$I$14:$I$132,T253+1):'Lớp 4 - Danh mục'!$I$132)=0),0),0)),IF(S253&lt;&gt;"Lớp 3",MATCH(1,INDEX(('Lớp 3 - Công việc chính'!$I$14:$I$73&lt;&gt;"")*(COUNTIF('Lớp 4 - Danh mục'!$J$14:$J$132,'Lớp 3 - Công việc chính'!$I$14:$I$73)=0),0),0),T253+MATCH(1,INDEX((INDEX('Lớp 3 - Công việc chính'!$I$14:$I$73,T253+1):'Lớp 3 - Công việc chính'!$I$73&lt;&gt;"")*(COUNTIF('Lớp 4 - Danh mục'!$J$14:$J$132,INDEX('Lớp 3 - Công việc chính'!$I$14:$I$73,T253+1):'Lớp 3 - Công việc chính'!$I$73)=0),0),0)))))</f>
        <v>#REF!</v>
      </c>
      <c r="Z254" s="700" t="str">
        <f t="array" ref="Z254">IF($S254="","",IF($S254="Lớp 5",INDEX('Lớp 5 - Phân công'!$AS$14:$AS$262,$T254),IF($S254="Lớp 4",INDEX('Lớp 4 - Danh mục'!$AR$14:$AR$132,$T254),INDEX('Lớp 3 - Công việc chính'!$AO$14:$AO$73,$T254))))</f>
        <v>#REF!</v>
      </c>
      <c r="AA254" s="701" t="str">
        <f t="array" ref="AA254">IF($S254="","",IF($S254="Lớp 5",INDEX('Lớp 5 - Phân công'!$AT$14:$AT$262,$T254),IF($S254="Lớp 4",INDEX('Lớp 4 - Danh mục'!$AS$14:$AS$132,$T254),INDEX('Lớp 3 - Công việc chính'!$AP$14:$AP$73,$T254))))</f>
        <v>#REF!</v>
      </c>
      <c r="AB254" s="701" t="str">
        <f t="array" ref="AB254">IF($S254="","",IF($S254="Lớp 5",INDEX('Lớp 5 - Phân công'!$AJ$14:$AJ$262,$T254),IF($S254="Lớp 4",INDEX('Lớp 4 - Danh mục'!$AI$14:$AI$132,$T254),INDEX('Lớp 3 - Công việc chính'!$AF$14:$AF$73,$T254))))</f>
        <v>#REF!</v>
      </c>
      <c r="AC254" s="702" t="str">
        <f t="array" ref="AC254">IF($S254="","",IF($S254="Lớp 5",INDEX('Lớp 5 - Phân công'!$AV$14:$AV$262,$T254),IF($S254="Lớp 4",INDEX('Lớp 4 - Danh mục'!$AU$14:$AU$132,$T254),INDEX('Lớp 3 - Công việc chính'!$AR$14:$AR$73,$T254))))</f>
        <v>#REF!</v>
      </c>
    </row>
    <row r="255" ht="15.75" customHeight="1">
      <c r="A255" s="690" t="str">
        <f t="shared" si="1"/>
        <v>#REF!</v>
      </c>
      <c r="B255" s="690" t="str">
        <f t="array" ref="B255">IF($S255="","",IF($S255="Lớp 5",INDEX('Lớp 5 - Phân công'!$I$14:$I$262,$T255),IF($S255="Lớp 4",INDEX('Lớp 4 - Danh mục'!$I$14:$I$132,$T255),INDEX('Lớp 3 - Công việc chính'!$I$14:$I$73,$T255))))</f>
        <v>#REF!</v>
      </c>
      <c r="C255" s="690" t="str">
        <f t="array" ref="C255">IF($S255="","",IF($S255="Lớp 5",INDEX('Lớp 5 - Phân công'!$K$14:$K$262,$T255),IF($S255="Lớp 4",INDEX('Lớp 4 - Danh mục'!$J$14:$J$132,$T255),INDEX('Lớp 3 - Công việc chính'!$I$14:$I$73,$T255))))</f>
        <v>#REF!</v>
      </c>
      <c r="D255" s="690" t="str">
        <f t="array" ref="D255">IF($S255="","",IF($S255="Lớp 5",INDEX('Lớp 5 - Phân công'!$J$14:$J$262,$T255),IF($S255="Lớp 4",INDEX('Lớp 4 - Danh mục'!$I$14:$I$132,$T255),"")))</f>
        <v>#REF!</v>
      </c>
      <c r="E255" s="690" t="str">
        <f t="array" ref="E255">IF($S255="","",IF($S255="Lớp 5",INDEX('Lớp 5 - Phân công'!$L$14:$L$262,$T255),IF($S255="Lớp 4",INDEX('Lớp 4 - Danh mục'!$K$14:$K$132,$T255),INDEX('Lớp 3 - Công việc chính'!$J$14:$J$73,$T255))))</f>
        <v>#REF!</v>
      </c>
      <c r="F255" s="690" t="str">
        <f t="array" ref="F255">IF($S255="","",IF($S255="Lớp 5",INDEX('Lớp 5 - Phân công'!$M$14:$M$262,$T255),IF($S255="Lớp 4",INDEX('Lớp 4 - Danh mục'!$L$14:$L$132,$T255),INDEX('Lớp 3 - Công việc chính'!$K$14:$K$73,$T255))))</f>
        <v>#REF!</v>
      </c>
      <c r="G255" s="691" t="str">
        <f t="array" ref="G255">IF($S255="","",IF($S255="Lớp 5",INDEX('Lớp 5 - Phân công'!$N$14:$N$262,$T255),IF($S255="Lớp 4",INDEX('Lớp 4 - Danh mục'!$M$14:$M$132,$T255),INDEX('Lớp 3 - Công việc chính'!$L$14:$L$73,$T255))))</f>
        <v>#REF!</v>
      </c>
      <c r="H255" s="692" t="str">
        <f t="array" ref="H255">IF($S255="","",IF($S255="Lớp 5",INDEX('Lớp 5 - Phân công'!$O$14:$O$262,$T255),IF($S255="Lớp 4",INDEX('Lớp 4 - Danh mục'!$N$14:$N$132,$T255),INDEX('Lớp 3 - Công việc chính'!$M$14:$M$73,$T255))))</f>
        <v>#REF!</v>
      </c>
      <c r="I255" s="692" t="str">
        <f t="array" ref="I255">IF($S255="","",IF($S255="Lớp 5",INDEX('Lớp 5 - Phân công'!$P$14:$P$262,$T255),IF($S255="Lớp 4",INDEX('Lớp 4 - Danh mục'!$O$14:$O$132,$T255),"")))</f>
        <v>#REF!</v>
      </c>
      <c r="J255" s="693" t="str">
        <f t="array" ref="J255">IF($S255="","",IF($S255="Lớp 5",INDEX('Lớp 5 - Phân công'!$Q$14:$Q$262,$T255),""))</f>
        <v>#REF!</v>
      </c>
      <c r="K255" s="690" t="str">
        <f t="array" ref="K255">IF($S255="","",IF($S255="Lớp 5",INDEX('Lớp 5 - Phân công'!$AA$14:$AA$262,$T255),IF($S255="Lớp 4",INDEX('Lớp 4 - Danh mục'!$Y$14:$Y$132,$T255),INDEX('Lớp 3 - Công việc chính'!$U$14:$U$73,$T255))))</f>
        <v>#REF!</v>
      </c>
      <c r="L255" s="691" t="str">
        <f t="array" ref="L255">IF($S255="","",IF($S255="Lớp 5",INDEX('Lớp 5 - Phân công'!$Z$14:$Z$262,$T255),IF($S255="Lớp 4",INDEX('Lớp 4 - Danh mục'!$X$14:$X$132,$T255),INDEX('Lớp 3 - Công việc chính'!$W$14:$W$73,$T255))))</f>
        <v>#REF!</v>
      </c>
      <c r="M255" s="694" t="str">
        <f t="array" ref="M255">IF($S255="","",IF($S255="Lớp 5",INDEX('Lớp 5 - Phân công'!$AD$14:$AD$262,$T255),IF($S255="Lớp 4",INDEX('Lớp 4 - Danh mục'!$AC$14:$AC$132,$T255),INDEX('Lớp 3 - Công việc chính'!$Z$14:$Z$73,$T255))))</f>
        <v>#REF!</v>
      </c>
      <c r="N255" s="695" t="str">
        <f t="array" ref="N255">IF($S255="","",IF($S255="Lớp 5",INDEX('Lớp 5 - Phân công'!$AE$14:$AE$262,$T255),IF($S255="Lớp 4",INDEX('Lớp 4 - Danh mục'!$AD$14:$AD$132,$T255),INDEX('Lớp 3 - Công việc chính'!$AA$14:$AA$73,$T255))))</f>
        <v>#REF!</v>
      </c>
      <c r="O255" s="690" t="str">
        <f t="array" ref="O255">IF($S255="","",IF($S255="Lớp 5",INDEX('Lớp 5 - Phân công'!$AB$14:$AB$262,$T255),IF($S255="Lớp 4",INDEX('Lớp 4 - Danh mục'!$AA$14:$AA$132,$T255),INDEX('Lớp 3 - Công việc chính'!$X$14:$X$73,$T255))))</f>
        <v>#REF!</v>
      </c>
      <c r="P255" s="703" t="str">
        <f t="array" ref="P255">IF($S255="","",IF($S255="Lớp 5",INDEX('Lớp 5 - Phân công'!$AC$14:$AC$262,$T255),IF($S255="Lớp 4",INDEX('Lớp 4 - Danh mục'!$AB$14:$AB$132,$T255),INDEX('Lớp 3 - Công việc chính'!$Y$14:$Y$73,$T255))))</f>
        <v>#REF!</v>
      </c>
      <c r="Q255" s="697" t="str">
        <f t="array" ref="Q255">IF($S255="","",IF($S255="Lớp 5",INDEX('Lớp 5 - Phân công'!$AG$14:$AG$262,$T255),IF($S255="Lớp 4",INDEX('Lớp 4 - Danh mục'!$AF$14:$AF$132,$T255),INDEX('Lớp 3 - Công việc chính'!$AC$14:$AC$73,$T255))))</f>
        <v>#REF!</v>
      </c>
      <c r="R255" s="698" t="str">
        <f t="array" ref="R255">IF($S255="","",IF($S255="Lớp 5",INDEX('Lớp 5 - Phân công'!$X$14:$X$262,$T255),IF($S255="Lớp 4",INDEX('Lớp 4 - Danh mục'!$V$14:$V$132,$T255),INDEX('Lớp 3 - Công việc chính'!$T$14:$T$73,$T255))))</f>
        <v>#REF!</v>
      </c>
      <c r="S255" s="699" t="str">
        <f>IF(ROWS($S$14:S255)&lt;=COUNTIF('Lớp 5 - Phân công'!$I$14:$I$262,"&lt;&gt;"),"Lớp 5",IF(ROWS($S$14:S255)&lt;=COUNTIF('Lớp 5 - Phân công'!$I$14:$I$262,"&lt;&gt;")+SUMPRODUCT(--('Lớp 4 - Danh mục'!$I$14:$I$132&lt;&gt;""),--(COUNTIF('Lớp 5 - Phân công'!$J$14:$J$262,'Lớp 4 - Danh mục'!$I$14:$I$132)=0)),"Lớp 4",IF(ROWS($S$14:S255)&lt;=COUNTIF('Lớp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5" s="699" t="str">
        <f t="array" ref="T255">IF(S255="","",IF(S255="Lớp 5",IF(S254&lt;&gt;"Lớp 5",MATCH("*",'Lớp 5 - Phân công'!$I$14:$I$262,0),T254+MATCH("*",INDEX('Lớp 5 - Phân công'!$I$14:$I$262,T254+1):'Lớp 5 - Phân công'!$I$262,0)),IF(S255="Lớp 4",IF(S254&lt;&gt;"Lớp 4",MATCH(1,INDEX(('Lớp 4 - Danh mục'!$I$14:$I$132&lt;&gt;"")*(COUNTIF('Lớp 5 - Phân công'!$J$14:$J$262,'Lớp 4 - Danh mục'!$I$14:$I$132)=0),0),0),T254+MATCH(1,INDEX((INDEX('Lớp 4 - Danh mục'!$I$14:$I$132,T254+1):'Lớp 4 - Danh mục'!$I$132&lt;&gt;"")*(COUNTIF('Lớp 5 - Phân công'!$J$14:$J$262,INDEX('Lớp 4 - Danh mục'!$I$14:$I$132,T254+1):'Lớp 4 - Danh mục'!$I$132)=0),0),0)),IF(S254&lt;&gt;"Lớp 3",MATCH(1,INDEX(('Lớp 3 - Công việc chính'!$I$14:$I$73&lt;&gt;"")*(COUNTIF('Lớp 4 - Danh mục'!$J$14:$J$132,'Lớp 3 - Công việc chính'!$I$14:$I$73)=0),0),0),T254+MATCH(1,INDEX((INDEX('Lớp 3 - Công việc chính'!$I$14:$I$73,T254+1):'Lớp 3 - Công việc chính'!$I$73&lt;&gt;"")*(COUNTIF('Lớp 4 - Danh mục'!$J$14:$J$132,INDEX('Lớp 3 - Công việc chính'!$I$14:$I$73,T254+1):'Lớp 3 - Công việc chính'!$I$73)=0),0),0)))))</f>
        <v>#REF!</v>
      </c>
      <c r="Z255" s="700" t="str">
        <f t="array" ref="Z255">IF($S255="","",IF($S255="Lớp 5",INDEX('Lớp 5 - Phân công'!$AS$14:$AS$262,$T255),IF($S255="Lớp 4",INDEX('Lớp 4 - Danh mục'!$AR$14:$AR$132,$T255),INDEX('Lớp 3 - Công việc chính'!$AO$14:$AO$73,$T255))))</f>
        <v>#REF!</v>
      </c>
      <c r="AA255" s="701" t="str">
        <f t="array" ref="AA255">IF($S255="","",IF($S255="Lớp 5",INDEX('Lớp 5 - Phân công'!$AT$14:$AT$262,$T255),IF($S255="Lớp 4",INDEX('Lớp 4 - Danh mục'!$AS$14:$AS$132,$T255),INDEX('Lớp 3 - Công việc chính'!$AP$14:$AP$73,$T255))))</f>
        <v>#REF!</v>
      </c>
      <c r="AB255" s="701" t="str">
        <f t="array" ref="AB255">IF($S255="","",IF($S255="Lớp 5",INDEX('Lớp 5 - Phân công'!$AJ$14:$AJ$262,$T255),IF($S255="Lớp 4",INDEX('Lớp 4 - Danh mục'!$AI$14:$AI$132,$T255),INDEX('Lớp 3 - Công việc chính'!$AF$14:$AF$73,$T255))))</f>
        <v>#REF!</v>
      </c>
      <c r="AC255" s="702" t="str">
        <f t="array" ref="AC255">IF($S255="","",IF($S255="Lớp 5",INDEX('Lớp 5 - Phân công'!$AV$14:$AV$262,$T255),IF($S255="Lớp 4",INDEX('Lớp 4 - Danh mục'!$AU$14:$AU$132,$T255),INDEX('Lớp 3 - Công việc chính'!$AR$14:$AR$73,$T255))))</f>
        <v>#REF!</v>
      </c>
    </row>
    <row r="256" ht="15.75" customHeight="1">
      <c r="A256" s="690" t="str">
        <f t="shared" si="1"/>
        <v>#REF!</v>
      </c>
      <c r="B256" s="690" t="str">
        <f t="array" ref="B256">IF($S256="","",IF($S256="Lớp 5",INDEX('Lớp 5 - Phân công'!$I$14:$I$262,$T256),IF($S256="Lớp 4",INDEX('Lớp 4 - Danh mục'!$I$14:$I$132,$T256),INDEX('Lớp 3 - Công việc chính'!$I$14:$I$73,$T256))))</f>
        <v>#REF!</v>
      </c>
      <c r="C256" s="690" t="str">
        <f t="array" ref="C256">IF($S256="","",IF($S256="Lớp 5",INDEX('Lớp 5 - Phân công'!$K$14:$K$262,$T256),IF($S256="Lớp 4",INDEX('Lớp 4 - Danh mục'!$J$14:$J$132,$T256),INDEX('Lớp 3 - Công việc chính'!$I$14:$I$73,$T256))))</f>
        <v>#REF!</v>
      </c>
      <c r="D256" s="690" t="str">
        <f t="array" ref="D256">IF($S256="","",IF($S256="Lớp 5",INDEX('Lớp 5 - Phân công'!$J$14:$J$262,$T256),IF($S256="Lớp 4",INDEX('Lớp 4 - Danh mục'!$I$14:$I$132,$T256),"")))</f>
        <v>#REF!</v>
      </c>
      <c r="E256" s="690" t="str">
        <f t="array" ref="E256">IF($S256="","",IF($S256="Lớp 5",INDEX('Lớp 5 - Phân công'!$L$14:$L$262,$T256),IF($S256="Lớp 4",INDEX('Lớp 4 - Danh mục'!$K$14:$K$132,$T256),INDEX('Lớp 3 - Công việc chính'!$J$14:$J$73,$T256))))</f>
        <v>#REF!</v>
      </c>
      <c r="F256" s="690" t="str">
        <f t="array" ref="F256">IF($S256="","",IF($S256="Lớp 5",INDEX('Lớp 5 - Phân công'!$M$14:$M$262,$T256),IF($S256="Lớp 4",INDEX('Lớp 4 - Danh mục'!$L$14:$L$132,$T256),INDEX('Lớp 3 - Công việc chính'!$K$14:$K$73,$T256))))</f>
        <v>#REF!</v>
      </c>
      <c r="G256" s="691" t="str">
        <f t="array" ref="G256">IF($S256="","",IF($S256="Lớp 5",INDEX('Lớp 5 - Phân công'!$N$14:$N$262,$T256),IF($S256="Lớp 4",INDEX('Lớp 4 - Danh mục'!$M$14:$M$132,$T256),INDEX('Lớp 3 - Công việc chính'!$L$14:$L$73,$T256))))</f>
        <v>#REF!</v>
      </c>
      <c r="H256" s="692" t="str">
        <f t="array" ref="H256">IF($S256="","",IF($S256="Lớp 5",INDEX('Lớp 5 - Phân công'!$O$14:$O$262,$T256),IF($S256="Lớp 4",INDEX('Lớp 4 - Danh mục'!$N$14:$N$132,$T256),INDEX('Lớp 3 - Công việc chính'!$M$14:$M$73,$T256))))</f>
        <v>#REF!</v>
      </c>
      <c r="I256" s="692" t="str">
        <f t="array" ref="I256">IF($S256="","",IF($S256="Lớp 5",INDEX('Lớp 5 - Phân công'!$P$14:$P$262,$T256),IF($S256="Lớp 4",INDEX('Lớp 4 - Danh mục'!$O$14:$O$132,$T256),"")))</f>
        <v>#REF!</v>
      </c>
      <c r="J256" s="693" t="str">
        <f t="array" ref="J256">IF($S256="","",IF($S256="Lớp 5",INDEX('Lớp 5 - Phân công'!$Q$14:$Q$262,$T256),""))</f>
        <v>#REF!</v>
      </c>
      <c r="K256" s="690" t="str">
        <f t="array" ref="K256">IF($S256="","",IF($S256="Lớp 5",INDEX('Lớp 5 - Phân công'!$AA$14:$AA$262,$T256),IF($S256="Lớp 4",INDEX('Lớp 4 - Danh mục'!$Y$14:$Y$132,$T256),INDEX('Lớp 3 - Công việc chính'!$U$14:$U$73,$T256))))</f>
        <v>#REF!</v>
      </c>
      <c r="L256" s="691" t="str">
        <f t="array" ref="L256">IF($S256="","",IF($S256="Lớp 5",INDEX('Lớp 5 - Phân công'!$Z$14:$Z$262,$T256),IF($S256="Lớp 4",INDEX('Lớp 4 - Danh mục'!$X$14:$X$132,$T256),INDEX('Lớp 3 - Công việc chính'!$W$14:$W$73,$T256))))</f>
        <v>#REF!</v>
      </c>
      <c r="M256" s="694" t="str">
        <f t="array" ref="M256">IF($S256="","",IF($S256="Lớp 5",INDEX('Lớp 5 - Phân công'!$AD$14:$AD$262,$T256),IF($S256="Lớp 4",INDEX('Lớp 4 - Danh mục'!$AC$14:$AC$132,$T256),INDEX('Lớp 3 - Công việc chính'!$Z$14:$Z$73,$T256))))</f>
        <v>#REF!</v>
      </c>
      <c r="N256" s="695" t="str">
        <f t="array" ref="N256">IF($S256="","",IF($S256="Lớp 5",INDEX('Lớp 5 - Phân công'!$AE$14:$AE$262,$T256),IF($S256="Lớp 4",INDEX('Lớp 4 - Danh mục'!$AD$14:$AD$132,$T256),INDEX('Lớp 3 - Công việc chính'!$AA$14:$AA$73,$T256))))</f>
        <v>#REF!</v>
      </c>
      <c r="O256" s="690" t="str">
        <f t="array" ref="O256">IF($S256="","",IF($S256="Lớp 5",INDEX('Lớp 5 - Phân công'!$AB$14:$AB$262,$T256),IF($S256="Lớp 4",INDEX('Lớp 4 - Danh mục'!$AA$14:$AA$132,$T256),INDEX('Lớp 3 - Công việc chính'!$X$14:$X$73,$T256))))</f>
        <v>#REF!</v>
      </c>
      <c r="P256" s="703" t="str">
        <f t="array" ref="P256">IF($S256="","",IF($S256="Lớp 5",INDEX('Lớp 5 - Phân công'!$AC$14:$AC$262,$T256),IF($S256="Lớp 4",INDEX('Lớp 4 - Danh mục'!$AB$14:$AB$132,$T256),INDEX('Lớp 3 - Công việc chính'!$Y$14:$Y$73,$T256))))</f>
        <v>#REF!</v>
      </c>
      <c r="Q256" s="697" t="str">
        <f t="array" ref="Q256">IF($S256="","",IF($S256="Lớp 5",INDEX('Lớp 5 - Phân công'!$AG$14:$AG$262,$T256),IF($S256="Lớp 4",INDEX('Lớp 4 - Danh mục'!$AF$14:$AF$132,$T256),INDEX('Lớp 3 - Công việc chính'!$AC$14:$AC$73,$T256))))</f>
        <v>#REF!</v>
      </c>
      <c r="R256" s="698" t="str">
        <f t="array" ref="R256">IF($S256="","",IF($S256="Lớp 5",INDEX('Lớp 5 - Phân công'!$X$14:$X$262,$T256),IF($S256="Lớp 4",INDEX('Lớp 4 - Danh mục'!$V$14:$V$132,$T256),INDEX('Lớp 3 - Công việc chính'!$T$14:$T$73,$T256))))</f>
        <v>#REF!</v>
      </c>
      <c r="S256" s="699" t="str">
        <f>IF(ROWS($S$14:S256)&lt;=COUNTIF('Lớp 5 - Phân công'!$I$14:$I$262,"&lt;&gt;"),"Lớp 5",IF(ROWS($S$14:S256)&lt;=COUNTIF('Lớp 5 - Phân công'!$I$14:$I$262,"&lt;&gt;")+SUMPRODUCT(--('Lớp 4 - Danh mục'!$I$14:$I$132&lt;&gt;""),--(COUNTIF('Lớp 5 - Phân công'!$J$14:$J$262,'Lớp 4 - Danh mục'!$I$14:$I$132)=0)),"Lớp 4",IF(ROWS($S$14:S256)&lt;=COUNTIF('Lớp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6" s="699" t="str">
        <f t="array" ref="T256">IF(S256="","",IF(S256="Lớp 5",IF(S255&lt;&gt;"Lớp 5",MATCH("*",'Lớp 5 - Phân công'!$I$14:$I$262,0),T255+MATCH("*",INDEX('Lớp 5 - Phân công'!$I$14:$I$262,T255+1):'Lớp 5 - Phân công'!$I$262,0)),IF(S256="Lớp 4",IF(S255&lt;&gt;"Lớp 4",MATCH(1,INDEX(('Lớp 4 - Danh mục'!$I$14:$I$132&lt;&gt;"")*(COUNTIF('Lớp 5 - Phân công'!$J$14:$J$262,'Lớp 4 - Danh mục'!$I$14:$I$132)=0),0),0),T255+MATCH(1,INDEX((INDEX('Lớp 4 - Danh mục'!$I$14:$I$132,T255+1):'Lớp 4 - Danh mục'!$I$132&lt;&gt;"")*(COUNTIF('Lớp 5 - Phân công'!$J$14:$J$262,INDEX('Lớp 4 - Danh mục'!$I$14:$I$132,T255+1):'Lớp 4 - Danh mục'!$I$132)=0),0),0)),IF(S255&lt;&gt;"Lớp 3",MATCH(1,INDEX(('Lớp 3 - Công việc chính'!$I$14:$I$73&lt;&gt;"")*(COUNTIF('Lớp 4 - Danh mục'!$J$14:$J$132,'Lớp 3 - Công việc chính'!$I$14:$I$73)=0),0),0),T255+MATCH(1,INDEX((INDEX('Lớp 3 - Công việc chính'!$I$14:$I$73,T255+1):'Lớp 3 - Công việc chính'!$I$73&lt;&gt;"")*(COUNTIF('Lớp 4 - Danh mục'!$J$14:$J$132,INDEX('Lớp 3 - Công việc chính'!$I$14:$I$73,T255+1):'Lớp 3 - Công việc chính'!$I$73)=0),0),0)))))</f>
        <v>#REF!</v>
      </c>
      <c r="Z256" s="700" t="str">
        <f t="array" ref="Z256">IF($S256="","",IF($S256="Lớp 5",INDEX('Lớp 5 - Phân công'!$AS$14:$AS$262,$T256),IF($S256="Lớp 4",INDEX('Lớp 4 - Danh mục'!$AR$14:$AR$132,$T256),INDEX('Lớp 3 - Công việc chính'!$AO$14:$AO$73,$T256))))</f>
        <v>#REF!</v>
      </c>
      <c r="AA256" s="701" t="str">
        <f t="array" ref="AA256">IF($S256="","",IF($S256="Lớp 5",INDEX('Lớp 5 - Phân công'!$AT$14:$AT$262,$T256),IF($S256="Lớp 4",INDEX('Lớp 4 - Danh mục'!$AS$14:$AS$132,$T256),INDEX('Lớp 3 - Công việc chính'!$AP$14:$AP$73,$T256))))</f>
        <v>#REF!</v>
      </c>
      <c r="AB256" s="701" t="str">
        <f t="array" ref="AB256">IF($S256="","",IF($S256="Lớp 5",INDEX('Lớp 5 - Phân công'!$AJ$14:$AJ$262,$T256),IF($S256="Lớp 4",INDEX('Lớp 4 - Danh mục'!$AI$14:$AI$132,$T256),INDEX('Lớp 3 - Công việc chính'!$AF$14:$AF$73,$T256))))</f>
        <v>#REF!</v>
      </c>
      <c r="AC256" s="702" t="str">
        <f t="array" ref="AC256">IF($S256="","",IF($S256="Lớp 5",INDEX('Lớp 5 - Phân công'!$AV$14:$AV$262,$T256),IF($S256="Lớp 4",INDEX('Lớp 4 - Danh mục'!$AU$14:$AU$132,$T256),INDEX('Lớp 3 - Công việc chính'!$AR$14:$AR$73,$T256))))</f>
        <v>#REF!</v>
      </c>
    </row>
    <row r="257" ht="15.75" customHeight="1">
      <c r="A257" s="690" t="str">
        <f t="shared" si="1"/>
        <v>#REF!</v>
      </c>
      <c r="B257" s="690" t="str">
        <f t="array" ref="B257">IF($S257="","",IF($S257="Lớp 5",INDEX('Lớp 5 - Phân công'!$I$14:$I$262,$T257),IF($S257="Lớp 4",INDEX('Lớp 4 - Danh mục'!$I$14:$I$132,$T257),INDEX('Lớp 3 - Công việc chính'!$I$14:$I$73,$T257))))</f>
        <v>#REF!</v>
      </c>
      <c r="C257" s="690" t="str">
        <f t="array" ref="C257">IF($S257="","",IF($S257="Lớp 5",INDEX('Lớp 5 - Phân công'!$K$14:$K$262,$T257),IF($S257="Lớp 4",INDEX('Lớp 4 - Danh mục'!$J$14:$J$132,$T257),INDEX('Lớp 3 - Công việc chính'!$I$14:$I$73,$T257))))</f>
        <v>#REF!</v>
      </c>
      <c r="D257" s="690" t="str">
        <f t="array" ref="D257">IF($S257="","",IF($S257="Lớp 5",INDEX('Lớp 5 - Phân công'!$J$14:$J$262,$T257),IF($S257="Lớp 4",INDEX('Lớp 4 - Danh mục'!$I$14:$I$132,$T257),"")))</f>
        <v>#REF!</v>
      </c>
      <c r="E257" s="690" t="str">
        <f t="array" ref="E257">IF($S257="","",IF($S257="Lớp 5",INDEX('Lớp 5 - Phân công'!$L$14:$L$262,$T257),IF($S257="Lớp 4",INDEX('Lớp 4 - Danh mục'!$K$14:$K$132,$T257),INDEX('Lớp 3 - Công việc chính'!$J$14:$J$73,$T257))))</f>
        <v>#REF!</v>
      </c>
      <c r="F257" s="690" t="str">
        <f t="array" ref="F257">IF($S257="","",IF($S257="Lớp 5",INDEX('Lớp 5 - Phân công'!$M$14:$M$262,$T257),IF($S257="Lớp 4",INDEX('Lớp 4 - Danh mục'!$L$14:$L$132,$T257),INDEX('Lớp 3 - Công việc chính'!$K$14:$K$73,$T257))))</f>
        <v>#REF!</v>
      </c>
      <c r="G257" s="691" t="str">
        <f t="array" ref="G257">IF($S257="","",IF($S257="Lớp 5",INDEX('Lớp 5 - Phân công'!$N$14:$N$262,$T257),IF($S257="Lớp 4",INDEX('Lớp 4 - Danh mục'!$M$14:$M$132,$T257),INDEX('Lớp 3 - Công việc chính'!$L$14:$L$73,$T257))))</f>
        <v>#REF!</v>
      </c>
      <c r="H257" s="692" t="str">
        <f t="array" ref="H257">IF($S257="","",IF($S257="Lớp 5",INDEX('Lớp 5 - Phân công'!$O$14:$O$262,$T257),IF($S257="Lớp 4",INDEX('Lớp 4 - Danh mục'!$N$14:$N$132,$T257),INDEX('Lớp 3 - Công việc chính'!$M$14:$M$73,$T257))))</f>
        <v>#REF!</v>
      </c>
      <c r="I257" s="692" t="str">
        <f t="array" ref="I257">IF($S257="","",IF($S257="Lớp 5",INDEX('Lớp 5 - Phân công'!$P$14:$P$262,$T257),IF($S257="Lớp 4",INDEX('Lớp 4 - Danh mục'!$O$14:$O$132,$T257),"")))</f>
        <v>#REF!</v>
      </c>
      <c r="J257" s="693" t="str">
        <f t="array" ref="J257">IF($S257="","",IF($S257="Lớp 5",INDEX('Lớp 5 - Phân công'!$Q$14:$Q$262,$T257),""))</f>
        <v>#REF!</v>
      </c>
      <c r="K257" s="690" t="str">
        <f t="array" ref="K257">IF($S257="","",IF($S257="Lớp 5",INDEX('Lớp 5 - Phân công'!$AA$14:$AA$262,$T257),IF($S257="Lớp 4",INDEX('Lớp 4 - Danh mục'!$Y$14:$Y$132,$T257),INDEX('Lớp 3 - Công việc chính'!$U$14:$U$73,$T257))))</f>
        <v>#REF!</v>
      </c>
      <c r="L257" s="691" t="str">
        <f t="array" ref="L257">IF($S257="","",IF($S257="Lớp 5",INDEX('Lớp 5 - Phân công'!$Z$14:$Z$262,$T257),IF($S257="Lớp 4",INDEX('Lớp 4 - Danh mục'!$X$14:$X$132,$T257),INDEX('Lớp 3 - Công việc chính'!$W$14:$W$73,$T257))))</f>
        <v>#REF!</v>
      </c>
      <c r="M257" s="694" t="str">
        <f t="array" ref="M257">IF($S257="","",IF($S257="Lớp 5",INDEX('Lớp 5 - Phân công'!$AD$14:$AD$262,$T257),IF($S257="Lớp 4",INDEX('Lớp 4 - Danh mục'!$AC$14:$AC$132,$T257),INDEX('Lớp 3 - Công việc chính'!$Z$14:$Z$73,$T257))))</f>
        <v>#REF!</v>
      </c>
      <c r="N257" s="695" t="str">
        <f t="array" ref="N257">IF($S257="","",IF($S257="Lớp 5",INDEX('Lớp 5 - Phân công'!$AE$14:$AE$262,$T257),IF($S257="Lớp 4",INDEX('Lớp 4 - Danh mục'!$AD$14:$AD$132,$T257),INDEX('Lớp 3 - Công việc chính'!$AA$14:$AA$73,$T257))))</f>
        <v>#REF!</v>
      </c>
      <c r="O257" s="690" t="str">
        <f t="array" ref="O257">IF($S257="","",IF($S257="Lớp 5",INDEX('Lớp 5 - Phân công'!$AB$14:$AB$262,$T257),IF($S257="Lớp 4",INDEX('Lớp 4 - Danh mục'!$AA$14:$AA$132,$T257),INDEX('Lớp 3 - Công việc chính'!$X$14:$X$73,$T257))))</f>
        <v>#REF!</v>
      </c>
      <c r="P257" s="703" t="str">
        <f t="array" ref="P257">IF($S257="","",IF($S257="Lớp 5",INDEX('Lớp 5 - Phân công'!$AC$14:$AC$262,$T257),IF($S257="Lớp 4",INDEX('Lớp 4 - Danh mục'!$AB$14:$AB$132,$T257),INDEX('Lớp 3 - Công việc chính'!$Y$14:$Y$73,$T257))))</f>
        <v>#REF!</v>
      </c>
      <c r="Q257" s="697" t="str">
        <f t="array" ref="Q257">IF($S257="","",IF($S257="Lớp 5",INDEX('Lớp 5 - Phân công'!$AG$14:$AG$262,$T257),IF($S257="Lớp 4",INDEX('Lớp 4 - Danh mục'!$AF$14:$AF$132,$T257),INDEX('Lớp 3 - Công việc chính'!$AC$14:$AC$73,$T257))))</f>
        <v>#REF!</v>
      </c>
      <c r="R257" s="698" t="str">
        <f t="array" ref="R257">IF($S257="","",IF($S257="Lớp 5",INDEX('Lớp 5 - Phân công'!$X$14:$X$262,$T257),IF($S257="Lớp 4",INDEX('Lớp 4 - Danh mục'!$V$14:$V$132,$T257),INDEX('Lớp 3 - Công việc chính'!$T$14:$T$73,$T257))))</f>
        <v>#REF!</v>
      </c>
      <c r="S257" s="699" t="str">
        <f>IF(ROWS($S$14:S257)&lt;=COUNTIF('Lớp 5 - Phân công'!$I$14:$I$262,"&lt;&gt;"),"Lớp 5",IF(ROWS($S$14:S257)&lt;=COUNTIF('Lớp 5 - Phân công'!$I$14:$I$262,"&lt;&gt;")+SUMPRODUCT(--('Lớp 4 - Danh mục'!$I$14:$I$132&lt;&gt;""),--(COUNTIF('Lớp 5 - Phân công'!$J$14:$J$262,'Lớp 4 - Danh mục'!$I$14:$I$132)=0)),"Lớp 4",IF(ROWS($S$14:S257)&lt;=COUNTIF('Lớp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7" s="699" t="str">
        <f t="array" ref="T257">IF(S257="","",IF(S257="Lớp 5",IF(S256&lt;&gt;"Lớp 5",MATCH("*",'Lớp 5 - Phân công'!$I$14:$I$262,0),T256+MATCH("*",INDEX('Lớp 5 - Phân công'!$I$14:$I$262,T256+1):'Lớp 5 - Phân công'!$I$262,0)),IF(S257="Lớp 4",IF(S256&lt;&gt;"Lớp 4",MATCH(1,INDEX(('Lớp 4 - Danh mục'!$I$14:$I$132&lt;&gt;"")*(COUNTIF('Lớp 5 - Phân công'!$J$14:$J$262,'Lớp 4 - Danh mục'!$I$14:$I$132)=0),0),0),T256+MATCH(1,INDEX((INDEX('Lớp 4 - Danh mục'!$I$14:$I$132,T256+1):'Lớp 4 - Danh mục'!$I$132&lt;&gt;"")*(COUNTIF('Lớp 5 - Phân công'!$J$14:$J$262,INDEX('Lớp 4 - Danh mục'!$I$14:$I$132,T256+1):'Lớp 4 - Danh mục'!$I$132)=0),0),0)),IF(S256&lt;&gt;"Lớp 3",MATCH(1,INDEX(('Lớp 3 - Công việc chính'!$I$14:$I$73&lt;&gt;"")*(COUNTIF('Lớp 4 - Danh mục'!$J$14:$J$132,'Lớp 3 - Công việc chính'!$I$14:$I$73)=0),0),0),T256+MATCH(1,INDEX((INDEX('Lớp 3 - Công việc chính'!$I$14:$I$73,T256+1):'Lớp 3 - Công việc chính'!$I$73&lt;&gt;"")*(COUNTIF('Lớp 4 - Danh mục'!$J$14:$J$132,INDEX('Lớp 3 - Công việc chính'!$I$14:$I$73,T256+1):'Lớp 3 - Công việc chính'!$I$73)=0),0),0)))))</f>
        <v>#REF!</v>
      </c>
      <c r="Z257" s="700" t="str">
        <f t="array" ref="Z257">IF($S257="","",IF($S257="Lớp 5",INDEX('Lớp 5 - Phân công'!$AS$14:$AS$262,$T257),IF($S257="Lớp 4",INDEX('Lớp 4 - Danh mục'!$AR$14:$AR$132,$T257),INDEX('Lớp 3 - Công việc chính'!$AO$14:$AO$73,$T257))))</f>
        <v>#REF!</v>
      </c>
      <c r="AA257" s="701" t="str">
        <f t="array" ref="AA257">IF($S257="","",IF($S257="Lớp 5",INDEX('Lớp 5 - Phân công'!$AT$14:$AT$262,$T257),IF($S257="Lớp 4",INDEX('Lớp 4 - Danh mục'!$AS$14:$AS$132,$T257),INDEX('Lớp 3 - Công việc chính'!$AP$14:$AP$73,$T257))))</f>
        <v>#REF!</v>
      </c>
      <c r="AB257" s="701" t="str">
        <f t="array" ref="AB257">IF($S257="","",IF($S257="Lớp 5",INDEX('Lớp 5 - Phân công'!$AJ$14:$AJ$262,$T257),IF($S257="Lớp 4",INDEX('Lớp 4 - Danh mục'!$AI$14:$AI$132,$T257),INDEX('Lớp 3 - Công việc chính'!$AF$14:$AF$73,$T257))))</f>
        <v>#REF!</v>
      </c>
      <c r="AC257" s="702" t="str">
        <f t="array" ref="AC257">IF($S257="","",IF($S257="Lớp 5",INDEX('Lớp 5 - Phân công'!$AV$14:$AV$262,$T257),IF($S257="Lớp 4",INDEX('Lớp 4 - Danh mục'!$AU$14:$AU$132,$T257),INDEX('Lớp 3 - Công việc chính'!$AR$14:$AR$73,$T257))))</f>
        <v>#REF!</v>
      </c>
    </row>
    <row r="258" ht="15.75" customHeight="1">
      <c r="A258" s="690" t="str">
        <f t="shared" si="1"/>
        <v>#REF!</v>
      </c>
      <c r="B258" s="690" t="str">
        <f t="array" ref="B258">IF($S258="","",IF($S258="Lớp 5",INDEX('Lớp 5 - Phân công'!$I$14:$I$262,$T258),IF($S258="Lớp 4",INDEX('Lớp 4 - Danh mục'!$I$14:$I$132,$T258),INDEX('Lớp 3 - Công việc chính'!$I$14:$I$73,$T258))))</f>
        <v>#REF!</v>
      </c>
      <c r="C258" s="690" t="str">
        <f t="array" ref="C258">IF($S258="","",IF($S258="Lớp 5",INDEX('Lớp 5 - Phân công'!$K$14:$K$262,$T258),IF($S258="Lớp 4",INDEX('Lớp 4 - Danh mục'!$J$14:$J$132,$T258),INDEX('Lớp 3 - Công việc chính'!$I$14:$I$73,$T258))))</f>
        <v>#REF!</v>
      </c>
      <c r="D258" s="690" t="str">
        <f t="array" ref="D258">IF($S258="","",IF($S258="Lớp 5",INDEX('Lớp 5 - Phân công'!$J$14:$J$262,$T258),IF($S258="Lớp 4",INDEX('Lớp 4 - Danh mục'!$I$14:$I$132,$T258),"")))</f>
        <v>#REF!</v>
      </c>
      <c r="E258" s="690" t="str">
        <f t="array" ref="E258">IF($S258="","",IF($S258="Lớp 5",INDEX('Lớp 5 - Phân công'!$L$14:$L$262,$T258),IF($S258="Lớp 4",INDEX('Lớp 4 - Danh mục'!$K$14:$K$132,$T258),INDEX('Lớp 3 - Công việc chính'!$J$14:$J$73,$T258))))</f>
        <v>#REF!</v>
      </c>
      <c r="F258" s="690" t="str">
        <f t="array" ref="F258">IF($S258="","",IF($S258="Lớp 5",INDEX('Lớp 5 - Phân công'!$M$14:$M$262,$T258),IF($S258="Lớp 4",INDEX('Lớp 4 - Danh mục'!$L$14:$L$132,$T258),INDEX('Lớp 3 - Công việc chính'!$K$14:$K$73,$T258))))</f>
        <v>#REF!</v>
      </c>
      <c r="G258" s="691" t="str">
        <f t="array" ref="G258">IF($S258="","",IF($S258="Lớp 5",INDEX('Lớp 5 - Phân công'!$N$14:$N$262,$T258),IF($S258="Lớp 4",INDEX('Lớp 4 - Danh mục'!$M$14:$M$132,$T258),INDEX('Lớp 3 - Công việc chính'!$L$14:$L$73,$T258))))</f>
        <v>#REF!</v>
      </c>
      <c r="H258" s="692" t="str">
        <f t="array" ref="H258">IF($S258="","",IF($S258="Lớp 5",INDEX('Lớp 5 - Phân công'!$O$14:$O$262,$T258),IF($S258="Lớp 4",INDEX('Lớp 4 - Danh mục'!$N$14:$N$132,$T258),INDEX('Lớp 3 - Công việc chính'!$M$14:$M$73,$T258))))</f>
        <v>#REF!</v>
      </c>
      <c r="I258" s="692" t="str">
        <f t="array" ref="I258">IF($S258="","",IF($S258="Lớp 5",INDEX('Lớp 5 - Phân công'!$P$14:$P$262,$T258),IF($S258="Lớp 4",INDEX('Lớp 4 - Danh mục'!$O$14:$O$132,$T258),"")))</f>
        <v>#REF!</v>
      </c>
      <c r="J258" s="693" t="str">
        <f t="array" ref="J258">IF($S258="","",IF($S258="Lớp 5",INDEX('Lớp 5 - Phân công'!$Q$14:$Q$262,$T258),""))</f>
        <v>#REF!</v>
      </c>
      <c r="K258" s="690" t="str">
        <f t="array" ref="K258">IF($S258="","",IF($S258="Lớp 5",INDEX('Lớp 5 - Phân công'!$AA$14:$AA$262,$T258),IF($S258="Lớp 4",INDEX('Lớp 4 - Danh mục'!$Y$14:$Y$132,$T258),INDEX('Lớp 3 - Công việc chính'!$U$14:$U$73,$T258))))</f>
        <v>#REF!</v>
      </c>
      <c r="L258" s="691" t="str">
        <f t="array" ref="L258">IF($S258="","",IF($S258="Lớp 5",INDEX('Lớp 5 - Phân công'!$Z$14:$Z$262,$T258),IF($S258="Lớp 4",INDEX('Lớp 4 - Danh mục'!$X$14:$X$132,$T258),INDEX('Lớp 3 - Công việc chính'!$W$14:$W$73,$T258))))</f>
        <v>#REF!</v>
      </c>
      <c r="M258" s="694" t="str">
        <f t="array" ref="M258">IF($S258="","",IF($S258="Lớp 5",INDEX('Lớp 5 - Phân công'!$AD$14:$AD$262,$T258),IF($S258="Lớp 4",INDEX('Lớp 4 - Danh mục'!$AC$14:$AC$132,$T258),INDEX('Lớp 3 - Công việc chính'!$Z$14:$Z$73,$T258))))</f>
        <v>#REF!</v>
      </c>
      <c r="N258" s="695" t="str">
        <f t="array" ref="N258">IF($S258="","",IF($S258="Lớp 5",INDEX('Lớp 5 - Phân công'!$AE$14:$AE$262,$T258),IF($S258="Lớp 4",INDEX('Lớp 4 - Danh mục'!$AD$14:$AD$132,$T258),INDEX('Lớp 3 - Công việc chính'!$AA$14:$AA$73,$T258))))</f>
        <v>#REF!</v>
      </c>
      <c r="O258" s="690" t="str">
        <f t="array" ref="O258">IF($S258="","",IF($S258="Lớp 5",INDEX('Lớp 5 - Phân công'!$AB$14:$AB$262,$T258),IF($S258="Lớp 4",INDEX('Lớp 4 - Danh mục'!$AA$14:$AA$132,$T258),INDEX('Lớp 3 - Công việc chính'!$X$14:$X$73,$T258))))</f>
        <v>#REF!</v>
      </c>
      <c r="P258" s="703" t="str">
        <f t="array" ref="P258">IF($S258="","",IF($S258="Lớp 5",INDEX('Lớp 5 - Phân công'!$AC$14:$AC$262,$T258),IF($S258="Lớp 4",INDEX('Lớp 4 - Danh mục'!$AB$14:$AB$132,$T258),INDEX('Lớp 3 - Công việc chính'!$Y$14:$Y$73,$T258))))</f>
        <v>#REF!</v>
      </c>
      <c r="Q258" s="697" t="str">
        <f t="array" ref="Q258">IF($S258="","",IF($S258="Lớp 5",INDEX('Lớp 5 - Phân công'!$AG$14:$AG$262,$T258),IF($S258="Lớp 4",INDEX('Lớp 4 - Danh mục'!$AF$14:$AF$132,$T258),INDEX('Lớp 3 - Công việc chính'!$AC$14:$AC$73,$T258))))</f>
        <v>#REF!</v>
      </c>
      <c r="R258" s="698" t="str">
        <f t="array" ref="R258">IF($S258="","",IF($S258="Lớp 5",INDEX('Lớp 5 - Phân công'!$X$14:$X$262,$T258),IF($S258="Lớp 4",INDEX('Lớp 4 - Danh mục'!$V$14:$V$132,$T258),INDEX('Lớp 3 - Công việc chính'!$T$14:$T$73,$T258))))</f>
        <v>#REF!</v>
      </c>
      <c r="S258" s="699" t="str">
        <f>IF(ROWS($S$14:S258)&lt;=COUNTIF('Lớp 5 - Phân công'!$I$14:$I$262,"&lt;&gt;"),"Lớp 5",IF(ROWS($S$14:S258)&lt;=COUNTIF('Lớp 5 - Phân công'!$I$14:$I$262,"&lt;&gt;")+SUMPRODUCT(--('Lớp 4 - Danh mục'!$I$14:$I$132&lt;&gt;""),--(COUNTIF('Lớp 5 - Phân công'!$J$14:$J$262,'Lớp 4 - Danh mục'!$I$14:$I$132)=0)),"Lớp 4",IF(ROWS($S$14:S258)&lt;=COUNTIF('Lớp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8" s="699" t="str">
        <f t="array" ref="T258">IF(S258="","",IF(S258="Lớp 5",IF(S257&lt;&gt;"Lớp 5",MATCH("*",'Lớp 5 - Phân công'!$I$14:$I$262,0),T257+MATCH("*",INDEX('Lớp 5 - Phân công'!$I$14:$I$262,T257+1):'Lớp 5 - Phân công'!$I$262,0)),IF(S258="Lớp 4",IF(S257&lt;&gt;"Lớp 4",MATCH(1,INDEX(('Lớp 4 - Danh mục'!$I$14:$I$132&lt;&gt;"")*(COUNTIF('Lớp 5 - Phân công'!$J$14:$J$262,'Lớp 4 - Danh mục'!$I$14:$I$132)=0),0),0),T257+MATCH(1,INDEX((INDEX('Lớp 4 - Danh mục'!$I$14:$I$132,T257+1):'Lớp 4 - Danh mục'!$I$132&lt;&gt;"")*(COUNTIF('Lớp 5 - Phân công'!$J$14:$J$262,INDEX('Lớp 4 - Danh mục'!$I$14:$I$132,T257+1):'Lớp 4 - Danh mục'!$I$132)=0),0),0)),IF(S257&lt;&gt;"Lớp 3",MATCH(1,INDEX(('Lớp 3 - Công việc chính'!$I$14:$I$73&lt;&gt;"")*(COUNTIF('Lớp 4 - Danh mục'!$J$14:$J$132,'Lớp 3 - Công việc chính'!$I$14:$I$73)=0),0),0),T257+MATCH(1,INDEX((INDEX('Lớp 3 - Công việc chính'!$I$14:$I$73,T257+1):'Lớp 3 - Công việc chính'!$I$73&lt;&gt;"")*(COUNTIF('Lớp 4 - Danh mục'!$J$14:$J$132,INDEX('Lớp 3 - Công việc chính'!$I$14:$I$73,T257+1):'Lớp 3 - Công việc chính'!$I$73)=0),0),0)))))</f>
        <v>#REF!</v>
      </c>
      <c r="Z258" s="700" t="str">
        <f t="array" ref="Z258">IF($S258="","",IF($S258="Lớp 5",INDEX('Lớp 5 - Phân công'!$AS$14:$AS$262,$T258),IF($S258="Lớp 4",INDEX('Lớp 4 - Danh mục'!$AR$14:$AR$132,$T258),INDEX('Lớp 3 - Công việc chính'!$AO$14:$AO$73,$T258))))</f>
        <v>#REF!</v>
      </c>
      <c r="AA258" s="701" t="str">
        <f t="array" ref="AA258">IF($S258="","",IF($S258="Lớp 5",INDEX('Lớp 5 - Phân công'!$AT$14:$AT$262,$T258),IF($S258="Lớp 4",INDEX('Lớp 4 - Danh mục'!$AS$14:$AS$132,$T258),INDEX('Lớp 3 - Công việc chính'!$AP$14:$AP$73,$T258))))</f>
        <v>#REF!</v>
      </c>
      <c r="AB258" s="701" t="str">
        <f t="array" ref="AB258">IF($S258="","",IF($S258="Lớp 5",INDEX('Lớp 5 - Phân công'!$AJ$14:$AJ$262,$T258),IF($S258="Lớp 4",INDEX('Lớp 4 - Danh mục'!$AI$14:$AI$132,$T258),INDEX('Lớp 3 - Công việc chính'!$AF$14:$AF$73,$T258))))</f>
        <v>#REF!</v>
      </c>
      <c r="AC258" s="702" t="str">
        <f t="array" ref="AC258">IF($S258="","",IF($S258="Lớp 5",INDEX('Lớp 5 - Phân công'!$AV$14:$AV$262,$T258),IF($S258="Lớp 4",INDEX('Lớp 4 - Danh mục'!$AU$14:$AU$132,$T258),INDEX('Lớp 3 - Công việc chính'!$AR$14:$AR$73,$T258))))</f>
        <v>#REF!</v>
      </c>
    </row>
    <row r="259" ht="15.75" customHeight="1">
      <c r="A259" s="690" t="str">
        <f t="shared" si="1"/>
        <v>#REF!</v>
      </c>
      <c r="B259" s="690" t="str">
        <f t="array" ref="B259">IF($S259="","",IF($S259="Lớp 5",INDEX('Lớp 5 - Phân công'!$I$14:$I$262,$T259),IF($S259="Lớp 4",INDEX('Lớp 4 - Danh mục'!$I$14:$I$132,$T259),INDEX('Lớp 3 - Công việc chính'!$I$14:$I$73,$T259))))</f>
        <v>#REF!</v>
      </c>
      <c r="C259" s="690" t="str">
        <f t="array" ref="C259">IF($S259="","",IF($S259="Lớp 5",INDEX('Lớp 5 - Phân công'!$K$14:$K$262,$T259),IF($S259="Lớp 4",INDEX('Lớp 4 - Danh mục'!$J$14:$J$132,$T259),INDEX('Lớp 3 - Công việc chính'!$I$14:$I$73,$T259))))</f>
        <v>#REF!</v>
      </c>
      <c r="D259" s="690" t="str">
        <f t="array" ref="D259">IF($S259="","",IF($S259="Lớp 5",INDEX('Lớp 5 - Phân công'!$J$14:$J$262,$T259),IF($S259="Lớp 4",INDEX('Lớp 4 - Danh mục'!$I$14:$I$132,$T259),"")))</f>
        <v>#REF!</v>
      </c>
      <c r="E259" s="690" t="str">
        <f t="array" ref="E259">IF($S259="","",IF($S259="Lớp 5",INDEX('Lớp 5 - Phân công'!$L$14:$L$262,$T259),IF($S259="Lớp 4",INDEX('Lớp 4 - Danh mục'!$K$14:$K$132,$T259),INDEX('Lớp 3 - Công việc chính'!$J$14:$J$73,$T259))))</f>
        <v>#REF!</v>
      </c>
      <c r="F259" s="690" t="str">
        <f t="array" ref="F259">IF($S259="","",IF($S259="Lớp 5",INDEX('Lớp 5 - Phân công'!$M$14:$M$262,$T259),IF($S259="Lớp 4",INDEX('Lớp 4 - Danh mục'!$L$14:$L$132,$T259),INDEX('Lớp 3 - Công việc chính'!$K$14:$K$73,$T259))))</f>
        <v>#REF!</v>
      </c>
      <c r="G259" s="691" t="str">
        <f t="array" ref="G259">IF($S259="","",IF($S259="Lớp 5",INDEX('Lớp 5 - Phân công'!$N$14:$N$262,$T259),IF($S259="Lớp 4",INDEX('Lớp 4 - Danh mục'!$M$14:$M$132,$T259),INDEX('Lớp 3 - Công việc chính'!$L$14:$L$73,$T259))))</f>
        <v>#REF!</v>
      </c>
      <c r="H259" s="692" t="str">
        <f t="array" ref="H259">IF($S259="","",IF($S259="Lớp 5",INDEX('Lớp 5 - Phân công'!$O$14:$O$262,$T259),IF($S259="Lớp 4",INDEX('Lớp 4 - Danh mục'!$N$14:$N$132,$T259),INDEX('Lớp 3 - Công việc chính'!$M$14:$M$73,$T259))))</f>
        <v>#REF!</v>
      </c>
      <c r="I259" s="692" t="str">
        <f t="array" ref="I259">IF($S259="","",IF($S259="Lớp 5",INDEX('Lớp 5 - Phân công'!$P$14:$P$262,$T259),IF($S259="Lớp 4",INDEX('Lớp 4 - Danh mục'!$O$14:$O$132,$T259),"")))</f>
        <v>#REF!</v>
      </c>
      <c r="J259" s="693" t="str">
        <f t="array" ref="J259">IF($S259="","",IF($S259="Lớp 5",INDEX('Lớp 5 - Phân công'!$Q$14:$Q$262,$T259),""))</f>
        <v>#REF!</v>
      </c>
      <c r="K259" s="690" t="str">
        <f t="array" ref="K259">IF($S259="","",IF($S259="Lớp 5",INDEX('Lớp 5 - Phân công'!$AA$14:$AA$262,$T259),IF($S259="Lớp 4",INDEX('Lớp 4 - Danh mục'!$Y$14:$Y$132,$T259),INDEX('Lớp 3 - Công việc chính'!$U$14:$U$73,$T259))))</f>
        <v>#REF!</v>
      </c>
      <c r="L259" s="691" t="str">
        <f t="array" ref="L259">IF($S259="","",IF($S259="Lớp 5",INDEX('Lớp 5 - Phân công'!$Z$14:$Z$262,$T259),IF($S259="Lớp 4",INDEX('Lớp 4 - Danh mục'!$X$14:$X$132,$T259),INDEX('Lớp 3 - Công việc chính'!$W$14:$W$73,$T259))))</f>
        <v>#REF!</v>
      </c>
      <c r="M259" s="694" t="str">
        <f t="array" ref="M259">IF($S259="","",IF($S259="Lớp 5",INDEX('Lớp 5 - Phân công'!$AD$14:$AD$262,$T259),IF($S259="Lớp 4",INDEX('Lớp 4 - Danh mục'!$AC$14:$AC$132,$T259),INDEX('Lớp 3 - Công việc chính'!$Z$14:$Z$73,$T259))))</f>
        <v>#REF!</v>
      </c>
      <c r="N259" s="695" t="str">
        <f t="array" ref="N259">IF($S259="","",IF($S259="Lớp 5",INDEX('Lớp 5 - Phân công'!$AE$14:$AE$262,$T259),IF($S259="Lớp 4",INDEX('Lớp 4 - Danh mục'!$AD$14:$AD$132,$T259),INDEX('Lớp 3 - Công việc chính'!$AA$14:$AA$73,$T259))))</f>
        <v>#REF!</v>
      </c>
      <c r="O259" s="690" t="str">
        <f t="array" ref="O259">IF($S259="","",IF($S259="Lớp 5",INDEX('Lớp 5 - Phân công'!$AB$14:$AB$262,$T259),IF($S259="Lớp 4",INDEX('Lớp 4 - Danh mục'!$AA$14:$AA$132,$T259),INDEX('Lớp 3 - Công việc chính'!$X$14:$X$73,$T259))))</f>
        <v>#REF!</v>
      </c>
      <c r="P259" s="703" t="str">
        <f t="array" ref="P259">IF($S259="","",IF($S259="Lớp 5",INDEX('Lớp 5 - Phân công'!$AC$14:$AC$262,$T259),IF($S259="Lớp 4",INDEX('Lớp 4 - Danh mục'!$AB$14:$AB$132,$T259),INDEX('Lớp 3 - Công việc chính'!$Y$14:$Y$73,$T259))))</f>
        <v>#REF!</v>
      </c>
      <c r="Q259" s="697" t="str">
        <f t="array" ref="Q259">IF($S259="","",IF($S259="Lớp 5",INDEX('Lớp 5 - Phân công'!$AG$14:$AG$262,$T259),IF($S259="Lớp 4",INDEX('Lớp 4 - Danh mục'!$AF$14:$AF$132,$T259),INDEX('Lớp 3 - Công việc chính'!$AC$14:$AC$73,$T259))))</f>
        <v>#REF!</v>
      </c>
      <c r="R259" s="698" t="str">
        <f t="array" ref="R259">IF($S259="","",IF($S259="Lớp 5",INDEX('Lớp 5 - Phân công'!$X$14:$X$262,$T259),IF($S259="Lớp 4",INDEX('Lớp 4 - Danh mục'!$V$14:$V$132,$T259),INDEX('Lớp 3 - Công việc chính'!$T$14:$T$73,$T259))))</f>
        <v>#REF!</v>
      </c>
      <c r="S259" s="699" t="str">
        <f>IF(ROWS($S$14:S259)&lt;=COUNTIF('Lớp 5 - Phân công'!$I$14:$I$262,"&lt;&gt;"),"Lớp 5",IF(ROWS($S$14:S259)&lt;=COUNTIF('Lớp 5 - Phân công'!$I$14:$I$262,"&lt;&gt;")+SUMPRODUCT(--('Lớp 4 - Danh mục'!$I$14:$I$132&lt;&gt;""),--(COUNTIF('Lớp 5 - Phân công'!$J$14:$J$262,'Lớp 4 - Danh mục'!$I$14:$I$132)=0)),"Lớp 4",IF(ROWS($S$14:S259)&lt;=COUNTIF('Lớp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59" s="699" t="str">
        <f t="array" ref="T259">IF(S259="","",IF(S259="Lớp 5",IF(S258&lt;&gt;"Lớp 5",MATCH("*",'Lớp 5 - Phân công'!$I$14:$I$262,0),T258+MATCH("*",INDEX('Lớp 5 - Phân công'!$I$14:$I$262,T258+1):'Lớp 5 - Phân công'!$I$262,0)),IF(S259="Lớp 4",IF(S258&lt;&gt;"Lớp 4",MATCH(1,INDEX(('Lớp 4 - Danh mục'!$I$14:$I$132&lt;&gt;"")*(COUNTIF('Lớp 5 - Phân công'!$J$14:$J$262,'Lớp 4 - Danh mục'!$I$14:$I$132)=0),0),0),T258+MATCH(1,INDEX((INDEX('Lớp 4 - Danh mục'!$I$14:$I$132,T258+1):'Lớp 4 - Danh mục'!$I$132&lt;&gt;"")*(COUNTIF('Lớp 5 - Phân công'!$J$14:$J$262,INDEX('Lớp 4 - Danh mục'!$I$14:$I$132,T258+1):'Lớp 4 - Danh mục'!$I$132)=0),0),0)),IF(S258&lt;&gt;"Lớp 3",MATCH(1,INDEX(('Lớp 3 - Công việc chính'!$I$14:$I$73&lt;&gt;"")*(COUNTIF('Lớp 4 - Danh mục'!$J$14:$J$132,'Lớp 3 - Công việc chính'!$I$14:$I$73)=0),0),0),T258+MATCH(1,INDEX((INDEX('Lớp 3 - Công việc chính'!$I$14:$I$73,T258+1):'Lớp 3 - Công việc chính'!$I$73&lt;&gt;"")*(COUNTIF('Lớp 4 - Danh mục'!$J$14:$J$132,INDEX('Lớp 3 - Công việc chính'!$I$14:$I$73,T258+1):'Lớp 3 - Công việc chính'!$I$73)=0),0),0)))))</f>
        <v>#REF!</v>
      </c>
      <c r="Z259" s="700" t="str">
        <f t="array" ref="Z259">IF($S259="","",IF($S259="Lớp 5",INDEX('Lớp 5 - Phân công'!$AS$14:$AS$262,$T259),IF($S259="Lớp 4",INDEX('Lớp 4 - Danh mục'!$AR$14:$AR$132,$T259),INDEX('Lớp 3 - Công việc chính'!$AO$14:$AO$73,$T259))))</f>
        <v>#REF!</v>
      </c>
      <c r="AA259" s="701" t="str">
        <f t="array" ref="AA259">IF($S259="","",IF($S259="Lớp 5",INDEX('Lớp 5 - Phân công'!$AT$14:$AT$262,$T259),IF($S259="Lớp 4",INDEX('Lớp 4 - Danh mục'!$AS$14:$AS$132,$T259),INDEX('Lớp 3 - Công việc chính'!$AP$14:$AP$73,$T259))))</f>
        <v>#REF!</v>
      </c>
      <c r="AB259" s="701" t="str">
        <f t="array" ref="AB259">IF($S259="","",IF($S259="Lớp 5",INDEX('Lớp 5 - Phân công'!$AJ$14:$AJ$262,$T259),IF($S259="Lớp 4",INDEX('Lớp 4 - Danh mục'!$AI$14:$AI$132,$T259),INDEX('Lớp 3 - Công việc chính'!$AF$14:$AF$73,$T259))))</f>
        <v>#REF!</v>
      </c>
      <c r="AC259" s="702" t="str">
        <f t="array" ref="AC259">IF($S259="","",IF($S259="Lớp 5",INDEX('Lớp 5 - Phân công'!$AV$14:$AV$262,$T259),IF($S259="Lớp 4",INDEX('Lớp 4 - Danh mục'!$AU$14:$AU$132,$T259),INDEX('Lớp 3 - Công việc chính'!$AR$14:$AR$73,$T259))))</f>
        <v>#REF!</v>
      </c>
    </row>
    <row r="260" ht="15.75" customHeight="1">
      <c r="A260" s="690" t="str">
        <f t="shared" si="1"/>
        <v>#REF!</v>
      </c>
      <c r="B260" s="690" t="str">
        <f t="array" ref="B260">IF($S260="","",IF($S260="Lớp 5",INDEX('Lớp 5 - Phân công'!$I$14:$I$262,$T260),IF($S260="Lớp 4",INDEX('Lớp 4 - Danh mục'!$I$14:$I$132,$T260),INDEX('Lớp 3 - Công việc chính'!$I$14:$I$73,$T260))))</f>
        <v>#REF!</v>
      </c>
      <c r="C260" s="690" t="str">
        <f t="array" ref="C260">IF($S260="","",IF($S260="Lớp 5",INDEX('Lớp 5 - Phân công'!$K$14:$K$262,$T260),IF($S260="Lớp 4",INDEX('Lớp 4 - Danh mục'!$J$14:$J$132,$T260),INDEX('Lớp 3 - Công việc chính'!$I$14:$I$73,$T260))))</f>
        <v>#REF!</v>
      </c>
      <c r="D260" s="690" t="str">
        <f t="array" ref="D260">IF($S260="","",IF($S260="Lớp 5",INDEX('Lớp 5 - Phân công'!$J$14:$J$262,$T260),IF($S260="Lớp 4",INDEX('Lớp 4 - Danh mục'!$I$14:$I$132,$T260),"")))</f>
        <v>#REF!</v>
      </c>
      <c r="E260" s="690" t="str">
        <f t="array" ref="E260">IF($S260="","",IF($S260="Lớp 5",INDEX('Lớp 5 - Phân công'!$L$14:$L$262,$T260),IF($S260="Lớp 4",INDEX('Lớp 4 - Danh mục'!$K$14:$K$132,$T260),INDEX('Lớp 3 - Công việc chính'!$J$14:$J$73,$T260))))</f>
        <v>#REF!</v>
      </c>
      <c r="F260" s="690" t="str">
        <f t="array" ref="F260">IF($S260="","",IF($S260="Lớp 5",INDEX('Lớp 5 - Phân công'!$M$14:$M$262,$T260),IF($S260="Lớp 4",INDEX('Lớp 4 - Danh mục'!$L$14:$L$132,$T260),INDEX('Lớp 3 - Công việc chính'!$K$14:$K$73,$T260))))</f>
        <v>#REF!</v>
      </c>
      <c r="G260" s="691" t="str">
        <f t="array" ref="G260">IF($S260="","",IF($S260="Lớp 5",INDEX('Lớp 5 - Phân công'!$N$14:$N$262,$T260),IF($S260="Lớp 4",INDEX('Lớp 4 - Danh mục'!$M$14:$M$132,$T260),INDEX('Lớp 3 - Công việc chính'!$L$14:$L$73,$T260))))</f>
        <v>#REF!</v>
      </c>
      <c r="H260" s="692" t="str">
        <f t="array" ref="H260">IF($S260="","",IF($S260="Lớp 5",INDEX('Lớp 5 - Phân công'!$O$14:$O$262,$T260),IF($S260="Lớp 4",INDEX('Lớp 4 - Danh mục'!$N$14:$N$132,$T260),INDEX('Lớp 3 - Công việc chính'!$M$14:$M$73,$T260))))</f>
        <v>#REF!</v>
      </c>
      <c r="I260" s="692" t="str">
        <f t="array" ref="I260">IF($S260="","",IF($S260="Lớp 5",INDEX('Lớp 5 - Phân công'!$P$14:$P$262,$T260),IF($S260="Lớp 4",INDEX('Lớp 4 - Danh mục'!$O$14:$O$132,$T260),"")))</f>
        <v>#REF!</v>
      </c>
      <c r="J260" s="693" t="str">
        <f t="array" ref="J260">IF($S260="","",IF($S260="Lớp 5",INDEX('Lớp 5 - Phân công'!$Q$14:$Q$262,$T260),""))</f>
        <v>#REF!</v>
      </c>
      <c r="K260" s="690" t="str">
        <f t="array" ref="K260">IF($S260="","",IF($S260="Lớp 5",INDEX('Lớp 5 - Phân công'!$AA$14:$AA$262,$T260),IF($S260="Lớp 4",INDEX('Lớp 4 - Danh mục'!$Y$14:$Y$132,$T260),INDEX('Lớp 3 - Công việc chính'!$U$14:$U$73,$T260))))</f>
        <v>#REF!</v>
      </c>
      <c r="L260" s="691" t="str">
        <f t="array" ref="L260">IF($S260="","",IF($S260="Lớp 5",INDEX('Lớp 5 - Phân công'!$Z$14:$Z$262,$T260),IF($S260="Lớp 4",INDEX('Lớp 4 - Danh mục'!$X$14:$X$132,$T260),INDEX('Lớp 3 - Công việc chính'!$W$14:$W$73,$T260))))</f>
        <v>#REF!</v>
      </c>
      <c r="M260" s="694" t="str">
        <f t="array" ref="M260">IF($S260="","",IF($S260="Lớp 5",INDEX('Lớp 5 - Phân công'!$AD$14:$AD$262,$T260),IF($S260="Lớp 4",INDEX('Lớp 4 - Danh mục'!$AC$14:$AC$132,$T260),INDEX('Lớp 3 - Công việc chính'!$Z$14:$Z$73,$T260))))</f>
        <v>#REF!</v>
      </c>
      <c r="N260" s="695" t="str">
        <f t="array" ref="N260">IF($S260="","",IF($S260="Lớp 5",INDEX('Lớp 5 - Phân công'!$AE$14:$AE$262,$T260),IF($S260="Lớp 4",INDEX('Lớp 4 - Danh mục'!$AD$14:$AD$132,$T260),INDEX('Lớp 3 - Công việc chính'!$AA$14:$AA$73,$T260))))</f>
        <v>#REF!</v>
      </c>
      <c r="O260" s="690" t="str">
        <f t="array" ref="O260">IF($S260="","",IF($S260="Lớp 5",INDEX('Lớp 5 - Phân công'!$AB$14:$AB$262,$T260),IF($S260="Lớp 4",INDEX('Lớp 4 - Danh mục'!$AA$14:$AA$132,$T260),INDEX('Lớp 3 - Công việc chính'!$X$14:$X$73,$T260))))</f>
        <v>#REF!</v>
      </c>
      <c r="P260" s="703" t="str">
        <f t="array" ref="P260">IF($S260="","",IF($S260="Lớp 5",INDEX('Lớp 5 - Phân công'!$AC$14:$AC$262,$T260),IF($S260="Lớp 4",INDEX('Lớp 4 - Danh mục'!$AB$14:$AB$132,$T260),INDEX('Lớp 3 - Công việc chính'!$Y$14:$Y$73,$T260))))</f>
        <v>#REF!</v>
      </c>
      <c r="Q260" s="697" t="str">
        <f t="array" ref="Q260">IF($S260="","",IF($S260="Lớp 5",INDEX('Lớp 5 - Phân công'!$AG$14:$AG$262,$T260),IF($S260="Lớp 4",INDEX('Lớp 4 - Danh mục'!$AF$14:$AF$132,$T260),INDEX('Lớp 3 - Công việc chính'!$AC$14:$AC$73,$T260))))</f>
        <v>#REF!</v>
      </c>
      <c r="R260" s="698" t="str">
        <f t="array" ref="R260">IF($S260="","",IF($S260="Lớp 5",INDEX('Lớp 5 - Phân công'!$X$14:$X$262,$T260),IF($S260="Lớp 4",INDEX('Lớp 4 - Danh mục'!$V$14:$V$132,$T260),INDEX('Lớp 3 - Công việc chính'!$T$14:$T$73,$T260))))</f>
        <v>#REF!</v>
      </c>
      <c r="S260" s="699" t="str">
        <f>IF(ROWS($S$14:S260)&lt;=COUNTIF('Lớp 5 - Phân công'!$I$14:$I$262,"&lt;&gt;"),"Lớp 5",IF(ROWS($S$14:S260)&lt;=COUNTIF('Lớp 5 - Phân công'!$I$14:$I$262,"&lt;&gt;")+SUMPRODUCT(--('Lớp 4 - Danh mục'!$I$14:$I$132&lt;&gt;""),--(COUNTIF('Lớp 5 - Phân công'!$J$14:$J$262,'Lớp 4 - Danh mục'!$I$14:$I$132)=0)),"Lớp 4",IF(ROWS($S$14:S260)&lt;=COUNTIF('Lớp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0" s="699" t="str">
        <f t="array" ref="T260">IF(S260="","",IF(S260="Lớp 5",IF(S259&lt;&gt;"Lớp 5",MATCH("*",'Lớp 5 - Phân công'!$I$14:$I$262,0),T259+MATCH("*",INDEX('Lớp 5 - Phân công'!$I$14:$I$262,T259+1):'Lớp 5 - Phân công'!$I$262,0)),IF(S260="Lớp 4",IF(S259&lt;&gt;"Lớp 4",MATCH(1,INDEX(('Lớp 4 - Danh mục'!$I$14:$I$132&lt;&gt;"")*(COUNTIF('Lớp 5 - Phân công'!$J$14:$J$262,'Lớp 4 - Danh mục'!$I$14:$I$132)=0),0),0),T259+MATCH(1,INDEX((INDEX('Lớp 4 - Danh mục'!$I$14:$I$132,T259+1):'Lớp 4 - Danh mục'!$I$132&lt;&gt;"")*(COUNTIF('Lớp 5 - Phân công'!$J$14:$J$262,INDEX('Lớp 4 - Danh mục'!$I$14:$I$132,T259+1):'Lớp 4 - Danh mục'!$I$132)=0),0),0)),IF(S259&lt;&gt;"Lớp 3",MATCH(1,INDEX(('Lớp 3 - Công việc chính'!$I$14:$I$73&lt;&gt;"")*(COUNTIF('Lớp 4 - Danh mục'!$J$14:$J$132,'Lớp 3 - Công việc chính'!$I$14:$I$73)=0),0),0),T259+MATCH(1,INDEX((INDEX('Lớp 3 - Công việc chính'!$I$14:$I$73,T259+1):'Lớp 3 - Công việc chính'!$I$73&lt;&gt;"")*(COUNTIF('Lớp 4 - Danh mục'!$J$14:$J$132,INDEX('Lớp 3 - Công việc chính'!$I$14:$I$73,T259+1):'Lớp 3 - Công việc chính'!$I$73)=0),0),0)))))</f>
        <v>#REF!</v>
      </c>
      <c r="Z260" s="700" t="str">
        <f t="array" ref="Z260">IF($S260="","",IF($S260="Lớp 5",INDEX('Lớp 5 - Phân công'!$AS$14:$AS$262,$T260),IF($S260="Lớp 4",INDEX('Lớp 4 - Danh mục'!$AR$14:$AR$132,$T260),INDEX('Lớp 3 - Công việc chính'!$AO$14:$AO$73,$T260))))</f>
        <v>#REF!</v>
      </c>
      <c r="AA260" s="701" t="str">
        <f t="array" ref="AA260">IF($S260="","",IF($S260="Lớp 5",INDEX('Lớp 5 - Phân công'!$AT$14:$AT$262,$T260),IF($S260="Lớp 4",INDEX('Lớp 4 - Danh mục'!$AS$14:$AS$132,$T260),INDEX('Lớp 3 - Công việc chính'!$AP$14:$AP$73,$T260))))</f>
        <v>#REF!</v>
      </c>
      <c r="AB260" s="701" t="str">
        <f t="array" ref="AB260">IF($S260="","",IF($S260="Lớp 5",INDEX('Lớp 5 - Phân công'!$AJ$14:$AJ$262,$T260),IF($S260="Lớp 4",INDEX('Lớp 4 - Danh mục'!$AI$14:$AI$132,$T260),INDEX('Lớp 3 - Công việc chính'!$AF$14:$AF$73,$T260))))</f>
        <v>#REF!</v>
      </c>
      <c r="AC260" s="702" t="str">
        <f t="array" ref="AC260">IF($S260="","",IF($S260="Lớp 5",INDEX('Lớp 5 - Phân công'!$AV$14:$AV$262,$T260),IF($S260="Lớp 4",INDEX('Lớp 4 - Danh mục'!$AU$14:$AU$132,$T260),INDEX('Lớp 3 - Công việc chính'!$AR$14:$AR$73,$T260))))</f>
        <v>#REF!</v>
      </c>
    </row>
    <row r="261" ht="15.75" customHeight="1">
      <c r="A261" s="690" t="str">
        <f t="shared" si="1"/>
        <v>#REF!</v>
      </c>
      <c r="B261" s="690" t="str">
        <f t="array" ref="B261">IF($S261="","",IF($S261="Lớp 5",INDEX('Lớp 5 - Phân công'!$I$14:$I$262,$T261),IF($S261="Lớp 4",INDEX('Lớp 4 - Danh mục'!$I$14:$I$132,$T261),INDEX('Lớp 3 - Công việc chính'!$I$14:$I$73,$T261))))</f>
        <v>#REF!</v>
      </c>
      <c r="C261" s="690" t="str">
        <f t="array" ref="C261">IF($S261="","",IF($S261="Lớp 5",INDEX('Lớp 5 - Phân công'!$K$14:$K$262,$T261),IF($S261="Lớp 4",INDEX('Lớp 4 - Danh mục'!$J$14:$J$132,$T261),INDEX('Lớp 3 - Công việc chính'!$I$14:$I$73,$T261))))</f>
        <v>#REF!</v>
      </c>
      <c r="D261" s="690" t="str">
        <f t="array" ref="D261">IF($S261="","",IF($S261="Lớp 5",INDEX('Lớp 5 - Phân công'!$J$14:$J$262,$T261),IF($S261="Lớp 4",INDEX('Lớp 4 - Danh mục'!$I$14:$I$132,$T261),"")))</f>
        <v>#REF!</v>
      </c>
      <c r="E261" s="690" t="str">
        <f t="array" ref="E261">IF($S261="","",IF($S261="Lớp 5",INDEX('Lớp 5 - Phân công'!$L$14:$L$262,$T261),IF($S261="Lớp 4",INDEX('Lớp 4 - Danh mục'!$K$14:$K$132,$T261),INDEX('Lớp 3 - Công việc chính'!$J$14:$J$73,$T261))))</f>
        <v>#REF!</v>
      </c>
      <c r="F261" s="690" t="str">
        <f t="array" ref="F261">IF($S261="","",IF($S261="Lớp 5",INDEX('Lớp 5 - Phân công'!$M$14:$M$262,$T261),IF($S261="Lớp 4",INDEX('Lớp 4 - Danh mục'!$L$14:$L$132,$T261),INDEX('Lớp 3 - Công việc chính'!$K$14:$K$73,$T261))))</f>
        <v>#REF!</v>
      </c>
      <c r="G261" s="691" t="str">
        <f t="array" ref="G261">IF($S261="","",IF($S261="Lớp 5",INDEX('Lớp 5 - Phân công'!$N$14:$N$262,$T261),IF($S261="Lớp 4",INDEX('Lớp 4 - Danh mục'!$M$14:$M$132,$T261),INDEX('Lớp 3 - Công việc chính'!$L$14:$L$73,$T261))))</f>
        <v>#REF!</v>
      </c>
      <c r="H261" s="692" t="str">
        <f t="array" ref="H261">IF($S261="","",IF($S261="Lớp 5",INDEX('Lớp 5 - Phân công'!$O$14:$O$262,$T261),IF($S261="Lớp 4",INDEX('Lớp 4 - Danh mục'!$N$14:$N$132,$T261),INDEX('Lớp 3 - Công việc chính'!$M$14:$M$73,$T261))))</f>
        <v>#REF!</v>
      </c>
      <c r="I261" s="692" t="str">
        <f t="array" ref="I261">IF($S261="","",IF($S261="Lớp 5",INDEX('Lớp 5 - Phân công'!$P$14:$P$262,$T261),IF($S261="Lớp 4",INDEX('Lớp 4 - Danh mục'!$O$14:$O$132,$T261),"")))</f>
        <v>#REF!</v>
      </c>
      <c r="J261" s="693" t="str">
        <f t="array" ref="J261">IF($S261="","",IF($S261="Lớp 5",INDEX('Lớp 5 - Phân công'!$Q$14:$Q$262,$T261),""))</f>
        <v>#REF!</v>
      </c>
      <c r="K261" s="690" t="str">
        <f t="array" ref="K261">IF($S261="","",IF($S261="Lớp 5",INDEX('Lớp 5 - Phân công'!$AA$14:$AA$262,$T261),IF($S261="Lớp 4",INDEX('Lớp 4 - Danh mục'!$Y$14:$Y$132,$T261),INDEX('Lớp 3 - Công việc chính'!$U$14:$U$73,$T261))))</f>
        <v>#REF!</v>
      </c>
      <c r="L261" s="691" t="str">
        <f t="array" ref="L261">IF($S261="","",IF($S261="Lớp 5",INDEX('Lớp 5 - Phân công'!$Z$14:$Z$262,$T261),IF($S261="Lớp 4",INDEX('Lớp 4 - Danh mục'!$X$14:$X$132,$T261),INDEX('Lớp 3 - Công việc chính'!$W$14:$W$73,$T261))))</f>
        <v>#REF!</v>
      </c>
      <c r="M261" s="694" t="str">
        <f t="array" ref="M261">IF($S261="","",IF($S261="Lớp 5",INDEX('Lớp 5 - Phân công'!$AD$14:$AD$262,$T261),IF($S261="Lớp 4",INDEX('Lớp 4 - Danh mục'!$AC$14:$AC$132,$T261),INDEX('Lớp 3 - Công việc chính'!$Z$14:$Z$73,$T261))))</f>
        <v>#REF!</v>
      </c>
      <c r="N261" s="695" t="str">
        <f t="array" ref="N261">IF($S261="","",IF($S261="Lớp 5",INDEX('Lớp 5 - Phân công'!$AE$14:$AE$262,$T261),IF($S261="Lớp 4",INDEX('Lớp 4 - Danh mục'!$AD$14:$AD$132,$T261),INDEX('Lớp 3 - Công việc chính'!$AA$14:$AA$73,$T261))))</f>
        <v>#REF!</v>
      </c>
      <c r="O261" s="690" t="str">
        <f t="array" ref="O261">IF($S261="","",IF($S261="Lớp 5",INDEX('Lớp 5 - Phân công'!$AB$14:$AB$262,$T261),IF($S261="Lớp 4",INDEX('Lớp 4 - Danh mục'!$AA$14:$AA$132,$T261),INDEX('Lớp 3 - Công việc chính'!$X$14:$X$73,$T261))))</f>
        <v>#REF!</v>
      </c>
      <c r="P261" s="703" t="str">
        <f t="array" ref="P261">IF($S261="","",IF($S261="Lớp 5",INDEX('Lớp 5 - Phân công'!$AC$14:$AC$262,$T261),IF($S261="Lớp 4",INDEX('Lớp 4 - Danh mục'!$AB$14:$AB$132,$T261),INDEX('Lớp 3 - Công việc chính'!$Y$14:$Y$73,$T261))))</f>
        <v>#REF!</v>
      </c>
      <c r="Q261" s="697" t="str">
        <f t="array" ref="Q261">IF($S261="","",IF($S261="Lớp 5",INDEX('Lớp 5 - Phân công'!$AG$14:$AG$262,$T261),IF($S261="Lớp 4",INDEX('Lớp 4 - Danh mục'!$AF$14:$AF$132,$T261),INDEX('Lớp 3 - Công việc chính'!$AC$14:$AC$73,$T261))))</f>
        <v>#REF!</v>
      </c>
      <c r="R261" s="698" t="str">
        <f t="array" ref="R261">IF($S261="","",IF($S261="Lớp 5",INDEX('Lớp 5 - Phân công'!$X$14:$X$262,$T261),IF($S261="Lớp 4",INDEX('Lớp 4 - Danh mục'!$V$14:$V$132,$T261),INDEX('Lớp 3 - Công việc chính'!$T$14:$T$73,$T261))))</f>
        <v>#REF!</v>
      </c>
      <c r="S261" s="699" t="str">
        <f>IF(ROWS($S$14:S261)&lt;=COUNTIF('Lớp 5 - Phân công'!$I$14:$I$262,"&lt;&gt;"),"Lớp 5",IF(ROWS($S$14:S261)&lt;=COUNTIF('Lớp 5 - Phân công'!$I$14:$I$262,"&lt;&gt;")+SUMPRODUCT(--('Lớp 4 - Danh mục'!$I$14:$I$132&lt;&gt;""),--(COUNTIF('Lớp 5 - Phân công'!$J$14:$J$262,'Lớp 4 - Danh mục'!$I$14:$I$132)=0)),"Lớp 4",IF(ROWS($S$14:S261)&lt;=COUNTIF('Lớp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1" s="699" t="str">
        <f t="array" ref="T261">IF(S261="","",IF(S261="Lớp 5",IF(S260&lt;&gt;"Lớp 5",MATCH("*",'Lớp 5 - Phân công'!$I$14:$I$262,0),T260+MATCH("*",INDEX('Lớp 5 - Phân công'!$I$14:$I$262,T260+1):'Lớp 5 - Phân công'!$I$262,0)),IF(S261="Lớp 4",IF(S260&lt;&gt;"Lớp 4",MATCH(1,INDEX(('Lớp 4 - Danh mục'!$I$14:$I$132&lt;&gt;"")*(COUNTIF('Lớp 5 - Phân công'!$J$14:$J$262,'Lớp 4 - Danh mục'!$I$14:$I$132)=0),0),0),T260+MATCH(1,INDEX((INDEX('Lớp 4 - Danh mục'!$I$14:$I$132,T260+1):'Lớp 4 - Danh mục'!$I$132&lt;&gt;"")*(COUNTIF('Lớp 5 - Phân công'!$J$14:$J$262,INDEX('Lớp 4 - Danh mục'!$I$14:$I$132,T260+1):'Lớp 4 - Danh mục'!$I$132)=0),0),0)),IF(S260&lt;&gt;"Lớp 3",MATCH(1,INDEX(('Lớp 3 - Công việc chính'!$I$14:$I$73&lt;&gt;"")*(COUNTIF('Lớp 4 - Danh mục'!$J$14:$J$132,'Lớp 3 - Công việc chính'!$I$14:$I$73)=0),0),0),T260+MATCH(1,INDEX((INDEX('Lớp 3 - Công việc chính'!$I$14:$I$73,T260+1):'Lớp 3 - Công việc chính'!$I$73&lt;&gt;"")*(COUNTIF('Lớp 4 - Danh mục'!$J$14:$J$132,INDEX('Lớp 3 - Công việc chính'!$I$14:$I$73,T260+1):'Lớp 3 - Công việc chính'!$I$73)=0),0),0)))))</f>
        <v>#REF!</v>
      </c>
      <c r="Z261" s="700" t="str">
        <f t="array" ref="Z261">IF($S261="","",IF($S261="Lớp 5",INDEX('Lớp 5 - Phân công'!$AS$14:$AS$262,$T261),IF($S261="Lớp 4",INDEX('Lớp 4 - Danh mục'!$AR$14:$AR$132,$T261),INDEX('Lớp 3 - Công việc chính'!$AO$14:$AO$73,$T261))))</f>
        <v>#REF!</v>
      </c>
      <c r="AA261" s="701" t="str">
        <f t="array" ref="AA261">IF($S261="","",IF($S261="Lớp 5",INDEX('Lớp 5 - Phân công'!$AT$14:$AT$262,$T261),IF($S261="Lớp 4",INDEX('Lớp 4 - Danh mục'!$AS$14:$AS$132,$T261),INDEX('Lớp 3 - Công việc chính'!$AP$14:$AP$73,$T261))))</f>
        <v>#REF!</v>
      </c>
      <c r="AB261" s="701" t="str">
        <f t="array" ref="AB261">IF($S261="","",IF($S261="Lớp 5",INDEX('Lớp 5 - Phân công'!$AJ$14:$AJ$262,$T261),IF($S261="Lớp 4",INDEX('Lớp 4 - Danh mục'!$AI$14:$AI$132,$T261),INDEX('Lớp 3 - Công việc chính'!$AF$14:$AF$73,$T261))))</f>
        <v>#REF!</v>
      </c>
      <c r="AC261" s="702" t="str">
        <f t="array" ref="AC261">IF($S261="","",IF($S261="Lớp 5",INDEX('Lớp 5 - Phân công'!$AV$14:$AV$262,$T261),IF($S261="Lớp 4",INDEX('Lớp 4 - Danh mục'!$AU$14:$AU$132,$T261),INDEX('Lớp 3 - Công việc chính'!$AR$14:$AR$73,$T261))))</f>
        <v>#REF!</v>
      </c>
    </row>
    <row r="262" ht="15.75" customHeight="1">
      <c r="A262" s="690" t="str">
        <f t="shared" si="1"/>
        <v>#REF!</v>
      </c>
      <c r="B262" s="690" t="str">
        <f t="array" ref="B262">IF($S262="","",IF($S262="Lớp 5",INDEX('Lớp 5 - Phân công'!$I$14:$I$262,$T262),IF($S262="Lớp 4",INDEX('Lớp 4 - Danh mục'!$I$14:$I$132,$T262),INDEX('Lớp 3 - Công việc chính'!$I$14:$I$73,$T262))))</f>
        <v>#REF!</v>
      </c>
      <c r="C262" s="690" t="str">
        <f t="array" ref="C262">IF($S262="","",IF($S262="Lớp 5",INDEX('Lớp 5 - Phân công'!$K$14:$K$262,$T262),IF($S262="Lớp 4",INDEX('Lớp 4 - Danh mục'!$J$14:$J$132,$T262),INDEX('Lớp 3 - Công việc chính'!$I$14:$I$73,$T262))))</f>
        <v>#REF!</v>
      </c>
      <c r="D262" s="690" t="str">
        <f t="array" ref="D262">IF($S262="","",IF($S262="Lớp 5",INDEX('Lớp 5 - Phân công'!$J$14:$J$262,$T262),IF($S262="Lớp 4",INDEX('Lớp 4 - Danh mục'!$I$14:$I$132,$T262),"")))</f>
        <v>#REF!</v>
      </c>
      <c r="E262" s="690" t="str">
        <f t="array" ref="E262">IF($S262="","",IF($S262="Lớp 5",INDEX('Lớp 5 - Phân công'!$L$14:$L$262,$T262),IF($S262="Lớp 4",INDEX('Lớp 4 - Danh mục'!$K$14:$K$132,$T262),INDEX('Lớp 3 - Công việc chính'!$J$14:$J$73,$T262))))</f>
        <v>#REF!</v>
      </c>
      <c r="F262" s="690" t="str">
        <f t="array" ref="F262">IF($S262="","",IF($S262="Lớp 5",INDEX('Lớp 5 - Phân công'!$M$14:$M$262,$T262),IF($S262="Lớp 4",INDEX('Lớp 4 - Danh mục'!$L$14:$L$132,$T262),INDEX('Lớp 3 - Công việc chính'!$K$14:$K$73,$T262))))</f>
        <v>#REF!</v>
      </c>
      <c r="G262" s="691" t="str">
        <f t="array" ref="G262">IF($S262="","",IF($S262="Lớp 5",INDEX('Lớp 5 - Phân công'!$N$14:$N$262,$T262),IF($S262="Lớp 4",INDEX('Lớp 4 - Danh mục'!$M$14:$M$132,$T262),INDEX('Lớp 3 - Công việc chính'!$L$14:$L$73,$T262))))</f>
        <v>#REF!</v>
      </c>
      <c r="H262" s="692" t="str">
        <f t="array" ref="H262">IF($S262="","",IF($S262="Lớp 5",INDEX('Lớp 5 - Phân công'!$O$14:$O$262,$T262),IF($S262="Lớp 4",INDEX('Lớp 4 - Danh mục'!$N$14:$N$132,$T262),INDEX('Lớp 3 - Công việc chính'!$M$14:$M$73,$T262))))</f>
        <v>#REF!</v>
      </c>
      <c r="I262" s="692" t="str">
        <f t="array" ref="I262">IF($S262="","",IF($S262="Lớp 5",INDEX('Lớp 5 - Phân công'!$P$14:$P$262,$T262),IF($S262="Lớp 4",INDEX('Lớp 4 - Danh mục'!$O$14:$O$132,$T262),"")))</f>
        <v>#REF!</v>
      </c>
      <c r="J262" s="693" t="str">
        <f t="array" ref="J262">IF($S262="","",IF($S262="Lớp 5",INDEX('Lớp 5 - Phân công'!$Q$14:$Q$262,$T262),""))</f>
        <v>#REF!</v>
      </c>
      <c r="K262" s="690" t="str">
        <f t="array" ref="K262">IF($S262="","",IF($S262="Lớp 5",INDEX('Lớp 5 - Phân công'!$AA$14:$AA$262,$T262),IF($S262="Lớp 4",INDEX('Lớp 4 - Danh mục'!$Y$14:$Y$132,$T262),INDEX('Lớp 3 - Công việc chính'!$U$14:$U$73,$T262))))</f>
        <v>#REF!</v>
      </c>
      <c r="L262" s="691" t="str">
        <f t="array" ref="L262">IF($S262="","",IF($S262="Lớp 5",INDEX('Lớp 5 - Phân công'!$Z$14:$Z$262,$T262),IF($S262="Lớp 4",INDEX('Lớp 4 - Danh mục'!$X$14:$X$132,$T262),INDEX('Lớp 3 - Công việc chính'!$W$14:$W$73,$T262))))</f>
        <v>#REF!</v>
      </c>
      <c r="M262" s="694" t="str">
        <f t="array" ref="M262">IF($S262="","",IF($S262="Lớp 5",INDEX('Lớp 5 - Phân công'!$AD$14:$AD$262,$T262),IF($S262="Lớp 4",INDEX('Lớp 4 - Danh mục'!$AC$14:$AC$132,$T262),INDEX('Lớp 3 - Công việc chính'!$Z$14:$Z$73,$T262))))</f>
        <v>#REF!</v>
      </c>
      <c r="N262" s="695" t="str">
        <f t="array" ref="N262">IF($S262="","",IF($S262="Lớp 5",INDEX('Lớp 5 - Phân công'!$AE$14:$AE$262,$T262),IF($S262="Lớp 4",INDEX('Lớp 4 - Danh mục'!$AD$14:$AD$132,$T262),INDEX('Lớp 3 - Công việc chính'!$AA$14:$AA$73,$T262))))</f>
        <v>#REF!</v>
      </c>
      <c r="O262" s="690" t="str">
        <f t="array" ref="O262">IF($S262="","",IF($S262="Lớp 5",INDEX('Lớp 5 - Phân công'!$AB$14:$AB$262,$T262),IF($S262="Lớp 4",INDEX('Lớp 4 - Danh mục'!$AA$14:$AA$132,$T262),INDEX('Lớp 3 - Công việc chính'!$X$14:$X$73,$T262))))</f>
        <v>#REF!</v>
      </c>
      <c r="P262" s="703" t="str">
        <f t="array" ref="P262">IF($S262="","",IF($S262="Lớp 5",INDEX('Lớp 5 - Phân công'!$AC$14:$AC$262,$T262),IF($S262="Lớp 4",INDEX('Lớp 4 - Danh mục'!$AB$14:$AB$132,$T262),INDEX('Lớp 3 - Công việc chính'!$Y$14:$Y$73,$T262))))</f>
        <v>#REF!</v>
      </c>
      <c r="Q262" s="697" t="str">
        <f t="array" ref="Q262">IF($S262="","",IF($S262="Lớp 5",INDEX('Lớp 5 - Phân công'!$AG$14:$AG$262,$T262),IF($S262="Lớp 4",INDEX('Lớp 4 - Danh mục'!$AF$14:$AF$132,$T262),INDEX('Lớp 3 - Công việc chính'!$AC$14:$AC$73,$T262))))</f>
        <v>#REF!</v>
      </c>
      <c r="R262" s="698" t="str">
        <f t="array" ref="R262">IF($S262="","",IF($S262="Lớp 5",INDEX('Lớp 5 - Phân công'!$X$14:$X$262,$T262),IF($S262="Lớp 4",INDEX('Lớp 4 - Danh mục'!$V$14:$V$132,$T262),INDEX('Lớp 3 - Công việc chính'!$T$14:$T$73,$T262))))</f>
        <v>#REF!</v>
      </c>
      <c r="S262" s="699" t="str">
        <f>IF(ROWS($S$14:S262)&lt;=COUNTIF('Lớp 5 - Phân công'!$I$14:$I$262,"&lt;&gt;"),"Lớp 5",IF(ROWS($S$14:S262)&lt;=COUNTIF('Lớp 5 - Phân công'!$I$14:$I$262,"&lt;&gt;")+SUMPRODUCT(--('Lớp 4 - Danh mục'!$I$14:$I$132&lt;&gt;""),--(COUNTIF('Lớp 5 - Phân công'!$J$14:$J$262,'Lớp 4 - Danh mục'!$I$14:$I$132)=0)),"Lớp 4",IF(ROWS($S$14:S262)&lt;=COUNTIF('Lớp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2" s="699" t="str">
        <f t="array" ref="T262">IF(S262="","",IF(S262="Lớp 5",IF(S261&lt;&gt;"Lớp 5",MATCH("*",'Lớp 5 - Phân công'!$I$14:$I$262,0),T261+MATCH("*",INDEX('Lớp 5 - Phân công'!$I$14:$I$262,T261+1):'Lớp 5 - Phân công'!$I$262,0)),IF(S262="Lớp 4",IF(S261&lt;&gt;"Lớp 4",MATCH(1,INDEX(('Lớp 4 - Danh mục'!$I$14:$I$132&lt;&gt;"")*(COUNTIF('Lớp 5 - Phân công'!$J$14:$J$262,'Lớp 4 - Danh mục'!$I$14:$I$132)=0),0),0),T261+MATCH(1,INDEX((INDEX('Lớp 4 - Danh mục'!$I$14:$I$132,T261+1):'Lớp 4 - Danh mục'!$I$132&lt;&gt;"")*(COUNTIF('Lớp 5 - Phân công'!$J$14:$J$262,INDEX('Lớp 4 - Danh mục'!$I$14:$I$132,T261+1):'Lớp 4 - Danh mục'!$I$132)=0),0),0)),IF(S261&lt;&gt;"Lớp 3",MATCH(1,INDEX(('Lớp 3 - Công việc chính'!$I$14:$I$73&lt;&gt;"")*(COUNTIF('Lớp 4 - Danh mục'!$J$14:$J$132,'Lớp 3 - Công việc chính'!$I$14:$I$73)=0),0),0),T261+MATCH(1,INDEX((INDEX('Lớp 3 - Công việc chính'!$I$14:$I$73,T261+1):'Lớp 3 - Công việc chính'!$I$73&lt;&gt;"")*(COUNTIF('Lớp 4 - Danh mục'!$J$14:$J$132,INDEX('Lớp 3 - Công việc chính'!$I$14:$I$73,T261+1):'Lớp 3 - Công việc chính'!$I$73)=0),0),0)))))</f>
        <v>#REF!</v>
      </c>
      <c r="Z262" s="700" t="str">
        <f t="array" ref="Z262">IF($S262="","",IF($S262="Lớp 5",INDEX('Lớp 5 - Phân công'!$AS$14:$AS$262,$T262),IF($S262="Lớp 4",INDEX('Lớp 4 - Danh mục'!$AR$14:$AR$132,$T262),INDEX('Lớp 3 - Công việc chính'!$AO$14:$AO$73,$T262))))</f>
        <v>#REF!</v>
      </c>
      <c r="AA262" s="701" t="str">
        <f t="array" ref="AA262">IF($S262="","",IF($S262="Lớp 5",INDEX('Lớp 5 - Phân công'!$AT$14:$AT$262,$T262),IF($S262="Lớp 4",INDEX('Lớp 4 - Danh mục'!$AS$14:$AS$132,$T262),INDEX('Lớp 3 - Công việc chính'!$AP$14:$AP$73,$T262))))</f>
        <v>#REF!</v>
      </c>
      <c r="AB262" s="701" t="str">
        <f t="array" ref="AB262">IF($S262="","",IF($S262="Lớp 5",INDEX('Lớp 5 - Phân công'!$AJ$14:$AJ$262,$T262),IF($S262="Lớp 4",INDEX('Lớp 4 - Danh mục'!$AI$14:$AI$132,$T262),INDEX('Lớp 3 - Công việc chính'!$AF$14:$AF$73,$T262))))</f>
        <v>#REF!</v>
      </c>
      <c r="AC262" s="702" t="str">
        <f t="array" ref="AC262">IF($S262="","",IF($S262="Lớp 5",INDEX('Lớp 5 - Phân công'!$AV$14:$AV$262,$T262),IF($S262="Lớp 4",INDEX('Lớp 4 - Danh mục'!$AU$14:$AU$132,$T262),INDEX('Lớp 3 - Công việc chính'!$AR$14:$AR$73,$T262))))</f>
        <v>#REF!</v>
      </c>
    </row>
    <row r="263" ht="15.75" customHeight="1">
      <c r="A263" s="690" t="str">
        <f t="shared" si="1"/>
        <v>#REF!</v>
      </c>
      <c r="B263" s="690" t="str">
        <f t="array" ref="B263">IF($S263="","",IF($S263="Lớp 5",INDEX('Lớp 5 - Phân công'!$I$14:$I$262,$T263),IF($S263="Lớp 4",INDEX('Lớp 4 - Danh mục'!$I$14:$I$132,$T263),INDEX('Lớp 3 - Công việc chính'!$I$14:$I$73,$T263))))</f>
        <v>#REF!</v>
      </c>
      <c r="C263" s="690" t="str">
        <f t="array" ref="C263">IF($S263="","",IF($S263="Lớp 5",INDEX('Lớp 5 - Phân công'!$K$14:$K$262,$T263),IF($S263="Lớp 4",INDEX('Lớp 4 - Danh mục'!$J$14:$J$132,$T263),INDEX('Lớp 3 - Công việc chính'!$I$14:$I$73,$T263))))</f>
        <v>#REF!</v>
      </c>
      <c r="D263" s="690" t="str">
        <f t="array" ref="D263">IF($S263="","",IF($S263="Lớp 5",INDEX('Lớp 5 - Phân công'!$J$14:$J$262,$T263),IF($S263="Lớp 4",INDEX('Lớp 4 - Danh mục'!$I$14:$I$132,$T263),"")))</f>
        <v>#REF!</v>
      </c>
      <c r="E263" s="690" t="str">
        <f t="array" ref="E263">IF($S263="","",IF($S263="Lớp 5",INDEX('Lớp 5 - Phân công'!$L$14:$L$262,$T263),IF($S263="Lớp 4",INDEX('Lớp 4 - Danh mục'!$K$14:$K$132,$T263),INDEX('Lớp 3 - Công việc chính'!$J$14:$J$73,$T263))))</f>
        <v>#REF!</v>
      </c>
      <c r="F263" s="690" t="str">
        <f t="array" ref="F263">IF($S263="","",IF($S263="Lớp 5",INDEX('Lớp 5 - Phân công'!$M$14:$M$262,$T263),IF($S263="Lớp 4",INDEX('Lớp 4 - Danh mục'!$L$14:$L$132,$T263),INDEX('Lớp 3 - Công việc chính'!$K$14:$K$73,$T263))))</f>
        <v>#REF!</v>
      </c>
      <c r="G263" s="691" t="str">
        <f t="array" ref="G263">IF($S263="","",IF($S263="Lớp 5",INDEX('Lớp 5 - Phân công'!$N$14:$N$262,$T263),IF($S263="Lớp 4",INDEX('Lớp 4 - Danh mục'!$M$14:$M$132,$T263),INDEX('Lớp 3 - Công việc chính'!$L$14:$L$73,$T263))))</f>
        <v>#REF!</v>
      </c>
      <c r="H263" s="692" t="str">
        <f t="array" ref="H263">IF($S263="","",IF($S263="Lớp 5",INDEX('Lớp 5 - Phân công'!$O$14:$O$262,$T263),IF($S263="Lớp 4",INDEX('Lớp 4 - Danh mục'!$N$14:$N$132,$T263),INDEX('Lớp 3 - Công việc chính'!$M$14:$M$73,$T263))))</f>
        <v>#REF!</v>
      </c>
      <c r="I263" s="692" t="str">
        <f t="array" ref="I263">IF($S263="","",IF($S263="Lớp 5",INDEX('Lớp 5 - Phân công'!$P$14:$P$262,$T263),IF($S263="Lớp 4",INDEX('Lớp 4 - Danh mục'!$O$14:$O$132,$T263),"")))</f>
        <v>#REF!</v>
      </c>
      <c r="J263" s="693" t="str">
        <f t="array" ref="J263">IF($S263="","",IF($S263="Lớp 5",INDEX('Lớp 5 - Phân công'!$Q$14:$Q$262,$T263),""))</f>
        <v>#REF!</v>
      </c>
      <c r="K263" s="690" t="str">
        <f t="array" ref="K263">IF($S263="","",IF($S263="Lớp 5",INDEX('Lớp 5 - Phân công'!$AA$14:$AA$262,$T263),IF($S263="Lớp 4",INDEX('Lớp 4 - Danh mục'!$Y$14:$Y$132,$T263),INDEX('Lớp 3 - Công việc chính'!$U$14:$U$73,$T263))))</f>
        <v>#REF!</v>
      </c>
      <c r="L263" s="691" t="str">
        <f t="array" ref="L263">IF($S263="","",IF($S263="Lớp 5",INDEX('Lớp 5 - Phân công'!$Z$14:$Z$262,$T263),IF($S263="Lớp 4",INDEX('Lớp 4 - Danh mục'!$X$14:$X$132,$T263),INDEX('Lớp 3 - Công việc chính'!$W$14:$W$73,$T263))))</f>
        <v>#REF!</v>
      </c>
      <c r="M263" s="694" t="str">
        <f t="array" ref="M263">IF($S263="","",IF($S263="Lớp 5",INDEX('Lớp 5 - Phân công'!$AD$14:$AD$262,$T263),IF($S263="Lớp 4",INDEX('Lớp 4 - Danh mục'!$AC$14:$AC$132,$T263),INDEX('Lớp 3 - Công việc chính'!$Z$14:$Z$73,$T263))))</f>
        <v>#REF!</v>
      </c>
      <c r="N263" s="695" t="str">
        <f t="array" ref="N263">IF($S263="","",IF($S263="Lớp 5",INDEX('Lớp 5 - Phân công'!$AE$14:$AE$262,$T263),IF($S263="Lớp 4",INDEX('Lớp 4 - Danh mục'!$AD$14:$AD$132,$T263),INDEX('Lớp 3 - Công việc chính'!$AA$14:$AA$73,$T263))))</f>
        <v>#REF!</v>
      </c>
      <c r="O263" s="690" t="str">
        <f t="array" ref="O263">IF($S263="","",IF($S263="Lớp 5",INDEX('Lớp 5 - Phân công'!$AB$14:$AB$262,$T263),IF($S263="Lớp 4",INDEX('Lớp 4 - Danh mục'!$AA$14:$AA$132,$T263),INDEX('Lớp 3 - Công việc chính'!$X$14:$X$73,$T263))))</f>
        <v>#REF!</v>
      </c>
      <c r="P263" s="703" t="str">
        <f t="array" ref="P263">IF($S263="","",IF($S263="Lớp 5",INDEX('Lớp 5 - Phân công'!$AC$14:$AC$262,$T263),IF($S263="Lớp 4",INDEX('Lớp 4 - Danh mục'!$AB$14:$AB$132,$T263),INDEX('Lớp 3 - Công việc chính'!$Y$14:$Y$73,$T263))))</f>
        <v>#REF!</v>
      </c>
      <c r="Q263" s="697" t="str">
        <f t="array" ref="Q263">IF($S263="","",IF($S263="Lớp 5",INDEX('Lớp 5 - Phân công'!$AG$14:$AG$262,$T263),IF($S263="Lớp 4",INDEX('Lớp 4 - Danh mục'!$AF$14:$AF$132,$T263),INDEX('Lớp 3 - Công việc chính'!$AC$14:$AC$73,$T263))))</f>
        <v>#REF!</v>
      </c>
      <c r="R263" s="698" t="str">
        <f t="array" ref="R263">IF($S263="","",IF($S263="Lớp 5",INDEX('Lớp 5 - Phân công'!$X$14:$X$262,$T263),IF($S263="Lớp 4",INDEX('Lớp 4 - Danh mục'!$V$14:$V$132,$T263),INDEX('Lớp 3 - Công việc chính'!$T$14:$T$73,$T263))))</f>
        <v>#REF!</v>
      </c>
      <c r="S263" s="699" t="str">
        <f>IF(ROWS($S$14:S263)&lt;=COUNTIF('Lớp 5 - Phân công'!$I$14:$I$262,"&lt;&gt;"),"Lớp 5",IF(ROWS($S$14:S263)&lt;=COUNTIF('Lớp 5 - Phân công'!$I$14:$I$262,"&lt;&gt;")+SUMPRODUCT(--('Lớp 4 - Danh mục'!$I$14:$I$132&lt;&gt;""),--(COUNTIF('Lớp 5 - Phân công'!$J$14:$J$262,'Lớp 4 - Danh mục'!$I$14:$I$132)=0)),"Lớp 4",IF(ROWS($S$14:S263)&lt;=COUNTIF('Lớp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3" s="699" t="str">
        <f t="array" ref="T263">IF(S263="","",IF(S263="Lớp 5",IF(S262&lt;&gt;"Lớp 5",MATCH("*",'Lớp 5 - Phân công'!$I$14:$I$262,0),T262+MATCH("*",INDEX('Lớp 5 - Phân công'!$I$14:$I$262,T262+1):'Lớp 5 - Phân công'!$I$262,0)),IF(S263="Lớp 4",IF(S262&lt;&gt;"Lớp 4",MATCH(1,INDEX(('Lớp 4 - Danh mục'!$I$14:$I$132&lt;&gt;"")*(COUNTIF('Lớp 5 - Phân công'!$J$14:$J$262,'Lớp 4 - Danh mục'!$I$14:$I$132)=0),0),0),T262+MATCH(1,INDEX((INDEX('Lớp 4 - Danh mục'!$I$14:$I$132,T262+1):'Lớp 4 - Danh mục'!$I$132&lt;&gt;"")*(COUNTIF('Lớp 5 - Phân công'!$J$14:$J$262,INDEX('Lớp 4 - Danh mục'!$I$14:$I$132,T262+1):'Lớp 4 - Danh mục'!$I$132)=0),0),0)),IF(S262&lt;&gt;"Lớp 3",MATCH(1,INDEX(('Lớp 3 - Công việc chính'!$I$14:$I$73&lt;&gt;"")*(COUNTIF('Lớp 4 - Danh mục'!$J$14:$J$132,'Lớp 3 - Công việc chính'!$I$14:$I$73)=0),0),0),T262+MATCH(1,INDEX((INDEX('Lớp 3 - Công việc chính'!$I$14:$I$73,T262+1):'Lớp 3 - Công việc chính'!$I$73&lt;&gt;"")*(COUNTIF('Lớp 4 - Danh mục'!$J$14:$J$132,INDEX('Lớp 3 - Công việc chính'!$I$14:$I$73,T262+1):'Lớp 3 - Công việc chính'!$I$73)=0),0),0)))))</f>
        <v>#REF!</v>
      </c>
      <c r="Z263" s="700" t="str">
        <f t="array" ref="Z263">IF($S263="","",IF($S263="Lớp 5",INDEX('Lớp 5 - Phân công'!$AS$14:$AS$262,$T263),IF($S263="Lớp 4",INDEX('Lớp 4 - Danh mục'!$AR$14:$AR$132,$T263),INDEX('Lớp 3 - Công việc chính'!$AO$14:$AO$73,$T263))))</f>
        <v>#REF!</v>
      </c>
      <c r="AA263" s="701" t="str">
        <f t="array" ref="AA263">IF($S263="","",IF($S263="Lớp 5",INDEX('Lớp 5 - Phân công'!$AT$14:$AT$262,$T263),IF($S263="Lớp 4",INDEX('Lớp 4 - Danh mục'!$AS$14:$AS$132,$T263),INDEX('Lớp 3 - Công việc chính'!$AP$14:$AP$73,$T263))))</f>
        <v>#REF!</v>
      </c>
      <c r="AB263" s="701" t="str">
        <f t="array" ref="AB263">IF($S263="","",IF($S263="Lớp 5",INDEX('Lớp 5 - Phân công'!$AJ$14:$AJ$262,$T263),IF($S263="Lớp 4",INDEX('Lớp 4 - Danh mục'!$AI$14:$AI$132,$T263),INDEX('Lớp 3 - Công việc chính'!$AF$14:$AF$73,$T263))))</f>
        <v>#REF!</v>
      </c>
      <c r="AC263" s="702" t="str">
        <f t="array" ref="AC263">IF($S263="","",IF($S263="Lớp 5",INDEX('Lớp 5 - Phân công'!$AV$14:$AV$262,$T263),IF($S263="Lớp 4",INDEX('Lớp 4 - Danh mục'!$AU$14:$AU$132,$T263),INDEX('Lớp 3 - Công việc chính'!$AR$14:$AR$73,$T263))))</f>
        <v>#REF!</v>
      </c>
    </row>
    <row r="264" ht="15.75" customHeight="1">
      <c r="A264" s="690" t="str">
        <f t="shared" si="1"/>
        <v>#REF!</v>
      </c>
      <c r="B264" s="690" t="str">
        <f t="array" ref="B264">IF($S264="","",IF($S264="Lớp 5",INDEX('Lớp 5 - Phân công'!$I$14:$I$262,$T264),IF($S264="Lớp 4",INDEX('Lớp 4 - Danh mục'!$I$14:$I$132,$T264),INDEX('Lớp 3 - Công việc chính'!$I$14:$I$73,$T264))))</f>
        <v>#REF!</v>
      </c>
      <c r="C264" s="690" t="str">
        <f t="array" ref="C264">IF($S264="","",IF($S264="Lớp 5",INDEX('Lớp 5 - Phân công'!$K$14:$K$262,$T264),IF($S264="Lớp 4",INDEX('Lớp 4 - Danh mục'!$J$14:$J$132,$T264),INDEX('Lớp 3 - Công việc chính'!$I$14:$I$73,$T264))))</f>
        <v>#REF!</v>
      </c>
      <c r="D264" s="690" t="str">
        <f t="array" ref="D264">IF($S264="","",IF($S264="Lớp 5",INDEX('Lớp 5 - Phân công'!$J$14:$J$262,$T264),IF($S264="Lớp 4",INDEX('Lớp 4 - Danh mục'!$I$14:$I$132,$T264),"")))</f>
        <v>#REF!</v>
      </c>
      <c r="E264" s="690" t="str">
        <f t="array" ref="E264">IF($S264="","",IF($S264="Lớp 5",INDEX('Lớp 5 - Phân công'!$L$14:$L$262,$T264),IF($S264="Lớp 4",INDEX('Lớp 4 - Danh mục'!$K$14:$K$132,$T264),INDEX('Lớp 3 - Công việc chính'!$J$14:$J$73,$T264))))</f>
        <v>#REF!</v>
      </c>
      <c r="F264" s="690" t="str">
        <f t="array" ref="F264">IF($S264="","",IF($S264="Lớp 5",INDEX('Lớp 5 - Phân công'!$M$14:$M$262,$T264),IF($S264="Lớp 4",INDEX('Lớp 4 - Danh mục'!$L$14:$L$132,$T264),INDEX('Lớp 3 - Công việc chính'!$K$14:$K$73,$T264))))</f>
        <v>#REF!</v>
      </c>
      <c r="G264" s="691" t="str">
        <f t="array" ref="G264">IF($S264="","",IF($S264="Lớp 5",INDEX('Lớp 5 - Phân công'!$N$14:$N$262,$T264),IF($S264="Lớp 4",INDEX('Lớp 4 - Danh mục'!$M$14:$M$132,$T264),INDEX('Lớp 3 - Công việc chính'!$L$14:$L$73,$T264))))</f>
        <v>#REF!</v>
      </c>
      <c r="H264" s="692" t="str">
        <f t="array" ref="H264">IF($S264="","",IF($S264="Lớp 5",INDEX('Lớp 5 - Phân công'!$O$14:$O$262,$T264),IF($S264="Lớp 4",INDEX('Lớp 4 - Danh mục'!$N$14:$N$132,$T264),INDEX('Lớp 3 - Công việc chính'!$M$14:$M$73,$T264))))</f>
        <v>#REF!</v>
      </c>
      <c r="I264" s="692" t="str">
        <f t="array" ref="I264">IF($S264="","",IF($S264="Lớp 5",INDEX('Lớp 5 - Phân công'!$P$14:$P$262,$T264),IF($S264="Lớp 4",INDEX('Lớp 4 - Danh mục'!$O$14:$O$132,$T264),"")))</f>
        <v>#REF!</v>
      </c>
      <c r="J264" s="693" t="str">
        <f t="array" ref="J264">IF($S264="","",IF($S264="Lớp 5",INDEX('Lớp 5 - Phân công'!$Q$14:$Q$262,$T264),""))</f>
        <v>#REF!</v>
      </c>
      <c r="K264" s="690" t="str">
        <f t="array" ref="K264">IF($S264="","",IF($S264="Lớp 5",INDEX('Lớp 5 - Phân công'!$AA$14:$AA$262,$T264),IF($S264="Lớp 4",INDEX('Lớp 4 - Danh mục'!$Y$14:$Y$132,$T264),INDEX('Lớp 3 - Công việc chính'!$U$14:$U$73,$T264))))</f>
        <v>#REF!</v>
      </c>
      <c r="L264" s="691" t="str">
        <f t="array" ref="L264">IF($S264="","",IF($S264="Lớp 5",INDEX('Lớp 5 - Phân công'!$Z$14:$Z$262,$T264),IF($S264="Lớp 4",INDEX('Lớp 4 - Danh mục'!$X$14:$X$132,$T264),INDEX('Lớp 3 - Công việc chính'!$W$14:$W$73,$T264))))</f>
        <v>#REF!</v>
      </c>
      <c r="M264" s="694" t="str">
        <f t="array" ref="M264">IF($S264="","",IF($S264="Lớp 5",INDEX('Lớp 5 - Phân công'!$AD$14:$AD$262,$T264),IF($S264="Lớp 4",INDEX('Lớp 4 - Danh mục'!$AC$14:$AC$132,$T264),INDEX('Lớp 3 - Công việc chính'!$Z$14:$Z$73,$T264))))</f>
        <v>#REF!</v>
      </c>
      <c r="N264" s="695" t="str">
        <f t="array" ref="N264">IF($S264="","",IF($S264="Lớp 5",INDEX('Lớp 5 - Phân công'!$AE$14:$AE$262,$T264),IF($S264="Lớp 4",INDEX('Lớp 4 - Danh mục'!$AD$14:$AD$132,$T264),INDEX('Lớp 3 - Công việc chính'!$AA$14:$AA$73,$T264))))</f>
        <v>#REF!</v>
      </c>
      <c r="O264" s="690" t="str">
        <f t="array" ref="O264">IF($S264="","",IF($S264="Lớp 5",INDEX('Lớp 5 - Phân công'!$AB$14:$AB$262,$T264),IF($S264="Lớp 4",INDEX('Lớp 4 - Danh mục'!$AA$14:$AA$132,$T264),INDEX('Lớp 3 - Công việc chính'!$X$14:$X$73,$T264))))</f>
        <v>#REF!</v>
      </c>
      <c r="P264" s="703" t="str">
        <f t="array" ref="P264">IF($S264="","",IF($S264="Lớp 5",INDEX('Lớp 5 - Phân công'!$AC$14:$AC$262,$T264),IF($S264="Lớp 4",INDEX('Lớp 4 - Danh mục'!$AB$14:$AB$132,$T264),INDEX('Lớp 3 - Công việc chính'!$Y$14:$Y$73,$T264))))</f>
        <v>#REF!</v>
      </c>
      <c r="Q264" s="697" t="str">
        <f t="array" ref="Q264">IF($S264="","",IF($S264="Lớp 5",INDEX('Lớp 5 - Phân công'!$AG$14:$AG$262,$T264),IF($S264="Lớp 4",INDEX('Lớp 4 - Danh mục'!$AF$14:$AF$132,$T264),INDEX('Lớp 3 - Công việc chính'!$AC$14:$AC$73,$T264))))</f>
        <v>#REF!</v>
      </c>
      <c r="R264" s="698" t="str">
        <f t="array" ref="R264">IF($S264="","",IF($S264="Lớp 5",INDEX('Lớp 5 - Phân công'!$X$14:$X$262,$T264),IF($S264="Lớp 4",INDEX('Lớp 4 - Danh mục'!$V$14:$V$132,$T264),INDEX('Lớp 3 - Công việc chính'!$T$14:$T$73,$T264))))</f>
        <v>#REF!</v>
      </c>
      <c r="S264" s="699" t="str">
        <f>IF(ROWS($S$14:S264)&lt;=COUNTIF('Lớp 5 - Phân công'!$I$14:$I$262,"&lt;&gt;"),"Lớp 5",IF(ROWS($S$14:S264)&lt;=COUNTIF('Lớp 5 - Phân công'!$I$14:$I$262,"&lt;&gt;")+SUMPRODUCT(--('Lớp 4 - Danh mục'!$I$14:$I$132&lt;&gt;""),--(COUNTIF('Lớp 5 - Phân công'!$J$14:$J$262,'Lớp 4 - Danh mục'!$I$14:$I$132)=0)),"Lớp 4",IF(ROWS($S$14:S264)&lt;=COUNTIF('Lớp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4" s="699" t="str">
        <f t="array" ref="T264">IF(S264="","",IF(S264="Lớp 5",IF(S263&lt;&gt;"Lớp 5",MATCH("*",'Lớp 5 - Phân công'!$I$14:$I$262,0),T263+MATCH("*",INDEX('Lớp 5 - Phân công'!$I$14:$I$262,T263+1):'Lớp 5 - Phân công'!$I$262,0)),IF(S264="Lớp 4",IF(S263&lt;&gt;"Lớp 4",MATCH(1,INDEX(('Lớp 4 - Danh mục'!$I$14:$I$132&lt;&gt;"")*(COUNTIF('Lớp 5 - Phân công'!$J$14:$J$262,'Lớp 4 - Danh mục'!$I$14:$I$132)=0),0),0),T263+MATCH(1,INDEX((INDEX('Lớp 4 - Danh mục'!$I$14:$I$132,T263+1):'Lớp 4 - Danh mục'!$I$132&lt;&gt;"")*(COUNTIF('Lớp 5 - Phân công'!$J$14:$J$262,INDEX('Lớp 4 - Danh mục'!$I$14:$I$132,T263+1):'Lớp 4 - Danh mục'!$I$132)=0),0),0)),IF(S263&lt;&gt;"Lớp 3",MATCH(1,INDEX(('Lớp 3 - Công việc chính'!$I$14:$I$73&lt;&gt;"")*(COUNTIF('Lớp 4 - Danh mục'!$J$14:$J$132,'Lớp 3 - Công việc chính'!$I$14:$I$73)=0),0),0),T263+MATCH(1,INDEX((INDEX('Lớp 3 - Công việc chính'!$I$14:$I$73,T263+1):'Lớp 3 - Công việc chính'!$I$73&lt;&gt;"")*(COUNTIF('Lớp 4 - Danh mục'!$J$14:$J$132,INDEX('Lớp 3 - Công việc chính'!$I$14:$I$73,T263+1):'Lớp 3 - Công việc chính'!$I$73)=0),0),0)))))</f>
        <v>#REF!</v>
      </c>
      <c r="Z264" s="700" t="str">
        <f t="array" ref="Z264">IF($S264="","",IF($S264="Lớp 5",INDEX('Lớp 5 - Phân công'!$AS$14:$AS$262,$T264),IF($S264="Lớp 4",INDEX('Lớp 4 - Danh mục'!$AR$14:$AR$132,$T264),INDEX('Lớp 3 - Công việc chính'!$AO$14:$AO$73,$T264))))</f>
        <v>#REF!</v>
      </c>
      <c r="AA264" s="701" t="str">
        <f t="array" ref="AA264">IF($S264="","",IF($S264="Lớp 5",INDEX('Lớp 5 - Phân công'!$AT$14:$AT$262,$T264),IF($S264="Lớp 4",INDEX('Lớp 4 - Danh mục'!$AS$14:$AS$132,$T264),INDEX('Lớp 3 - Công việc chính'!$AP$14:$AP$73,$T264))))</f>
        <v>#REF!</v>
      </c>
      <c r="AB264" s="701" t="str">
        <f t="array" ref="AB264">IF($S264="","",IF($S264="Lớp 5",INDEX('Lớp 5 - Phân công'!$AJ$14:$AJ$262,$T264),IF($S264="Lớp 4",INDEX('Lớp 4 - Danh mục'!$AI$14:$AI$132,$T264),INDEX('Lớp 3 - Công việc chính'!$AF$14:$AF$73,$T264))))</f>
        <v>#REF!</v>
      </c>
      <c r="AC264" s="702" t="str">
        <f t="array" ref="AC264">IF($S264="","",IF($S264="Lớp 5",INDEX('Lớp 5 - Phân công'!$AV$14:$AV$262,$T264),IF($S264="Lớp 4",INDEX('Lớp 4 - Danh mục'!$AU$14:$AU$132,$T264),INDEX('Lớp 3 - Công việc chính'!$AR$14:$AR$73,$T264))))</f>
        <v>#REF!</v>
      </c>
    </row>
    <row r="265" ht="15.75" customHeight="1">
      <c r="A265" s="690" t="str">
        <f t="shared" si="1"/>
        <v>#REF!</v>
      </c>
      <c r="B265" s="690" t="str">
        <f t="array" ref="B265">IF($S265="","",IF($S265="Lớp 5",INDEX('Lớp 5 - Phân công'!$I$14:$I$262,$T265),IF($S265="Lớp 4",INDEX('Lớp 4 - Danh mục'!$I$14:$I$132,$T265),INDEX('Lớp 3 - Công việc chính'!$I$14:$I$73,$T265))))</f>
        <v>#REF!</v>
      </c>
      <c r="C265" s="690" t="str">
        <f t="array" ref="C265">IF($S265="","",IF($S265="Lớp 5",INDEX('Lớp 5 - Phân công'!$K$14:$K$262,$T265),IF($S265="Lớp 4",INDEX('Lớp 4 - Danh mục'!$J$14:$J$132,$T265),INDEX('Lớp 3 - Công việc chính'!$I$14:$I$73,$T265))))</f>
        <v>#REF!</v>
      </c>
      <c r="D265" s="690" t="str">
        <f t="array" ref="D265">IF($S265="","",IF($S265="Lớp 5",INDEX('Lớp 5 - Phân công'!$J$14:$J$262,$T265),IF($S265="Lớp 4",INDEX('Lớp 4 - Danh mục'!$I$14:$I$132,$T265),"")))</f>
        <v>#REF!</v>
      </c>
      <c r="E265" s="690" t="str">
        <f t="array" ref="E265">IF($S265="","",IF($S265="Lớp 5",INDEX('Lớp 5 - Phân công'!$L$14:$L$262,$T265),IF($S265="Lớp 4",INDEX('Lớp 4 - Danh mục'!$K$14:$K$132,$T265),INDEX('Lớp 3 - Công việc chính'!$J$14:$J$73,$T265))))</f>
        <v>#REF!</v>
      </c>
      <c r="F265" s="690" t="str">
        <f t="array" ref="F265">IF($S265="","",IF($S265="Lớp 5",INDEX('Lớp 5 - Phân công'!$M$14:$M$262,$T265),IF($S265="Lớp 4",INDEX('Lớp 4 - Danh mục'!$L$14:$L$132,$T265),INDEX('Lớp 3 - Công việc chính'!$K$14:$K$73,$T265))))</f>
        <v>#REF!</v>
      </c>
      <c r="G265" s="691" t="str">
        <f t="array" ref="G265">IF($S265="","",IF($S265="Lớp 5",INDEX('Lớp 5 - Phân công'!$N$14:$N$262,$T265),IF($S265="Lớp 4",INDEX('Lớp 4 - Danh mục'!$M$14:$M$132,$T265),INDEX('Lớp 3 - Công việc chính'!$L$14:$L$73,$T265))))</f>
        <v>#REF!</v>
      </c>
      <c r="H265" s="692" t="str">
        <f t="array" ref="H265">IF($S265="","",IF($S265="Lớp 5",INDEX('Lớp 5 - Phân công'!$O$14:$O$262,$T265),IF($S265="Lớp 4",INDEX('Lớp 4 - Danh mục'!$N$14:$N$132,$T265),INDEX('Lớp 3 - Công việc chính'!$M$14:$M$73,$T265))))</f>
        <v>#REF!</v>
      </c>
      <c r="I265" s="692" t="str">
        <f t="array" ref="I265">IF($S265="","",IF($S265="Lớp 5",INDEX('Lớp 5 - Phân công'!$P$14:$P$262,$T265),IF($S265="Lớp 4",INDEX('Lớp 4 - Danh mục'!$O$14:$O$132,$T265),"")))</f>
        <v>#REF!</v>
      </c>
      <c r="J265" s="693" t="str">
        <f t="array" ref="J265">IF($S265="","",IF($S265="Lớp 5",INDEX('Lớp 5 - Phân công'!$Q$14:$Q$262,$T265),""))</f>
        <v>#REF!</v>
      </c>
      <c r="K265" s="690" t="str">
        <f t="array" ref="K265">IF($S265="","",IF($S265="Lớp 5",INDEX('Lớp 5 - Phân công'!$AA$14:$AA$262,$T265),IF($S265="Lớp 4",INDEX('Lớp 4 - Danh mục'!$Y$14:$Y$132,$T265),INDEX('Lớp 3 - Công việc chính'!$U$14:$U$73,$T265))))</f>
        <v>#REF!</v>
      </c>
      <c r="L265" s="691" t="str">
        <f t="array" ref="L265">IF($S265="","",IF($S265="Lớp 5",INDEX('Lớp 5 - Phân công'!$Z$14:$Z$262,$T265),IF($S265="Lớp 4",INDEX('Lớp 4 - Danh mục'!$X$14:$X$132,$T265),INDEX('Lớp 3 - Công việc chính'!$W$14:$W$73,$T265))))</f>
        <v>#REF!</v>
      </c>
      <c r="M265" s="694" t="str">
        <f t="array" ref="M265">IF($S265="","",IF($S265="Lớp 5",INDEX('Lớp 5 - Phân công'!$AD$14:$AD$262,$T265),IF($S265="Lớp 4",INDEX('Lớp 4 - Danh mục'!$AC$14:$AC$132,$T265),INDEX('Lớp 3 - Công việc chính'!$Z$14:$Z$73,$T265))))</f>
        <v>#REF!</v>
      </c>
      <c r="N265" s="695" t="str">
        <f t="array" ref="N265">IF($S265="","",IF($S265="Lớp 5",INDEX('Lớp 5 - Phân công'!$AE$14:$AE$262,$T265),IF($S265="Lớp 4",INDEX('Lớp 4 - Danh mục'!$AD$14:$AD$132,$T265),INDEX('Lớp 3 - Công việc chính'!$AA$14:$AA$73,$T265))))</f>
        <v>#REF!</v>
      </c>
      <c r="O265" s="690" t="str">
        <f t="array" ref="O265">IF($S265="","",IF($S265="Lớp 5",INDEX('Lớp 5 - Phân công'!$AB$14:$AB$262,$T265),IF($S265="Lớp 4",INDEX('Lớp 4 - Danh mục'!$AA$14:$AA$132,$T265),INDEX('Lớp 3 - Công việc chính'!$X$14:$X$73,$T265))))</f>
        <v>#REF!</v>
      </c>
      <c r="P265" s="703" t="str">
        <f t="array" ref="P265">IF($S265="","",IF($S265="Lớp 5",INDEX('Lớp 5 - Phân công'!$AC$14:$AC$262,$T265),IF($S265="Lớp 4",INDEX('Lớp 4 - Danh mục'!$AB$14:$AB$132,$T265),INDEX('Lớp 3 - Công việc chính'!$Y$14:$Y$73,$T265))))</f>
        <v>#REF!</v>
      </c>
      <c r="Q265" s="697" t="str">
        <f t="array" ref="Q265">IF($S265="","",IF($S265="Lớp 5",INDEX('Lớp 5 - Phân công'!$AG$14:$AG$262,$T265),IF($S265="Lớp 4",INDEX('Lớp 4 - Danh mục'!$AF$14:$AF$132,$T265),INDEX('Lớp 3 - Công việc chính'!$AC$14:$AC$73,$T265))))</f>
        <v>#REF!</v>
      </c>
      <c r="R265" s="698" t="str">
        <f t="array" ref="R265">IF($S265="","",IF($S265="Lớp 5",INDEX('Lớp 5 - Phân công'!$X$14:$X$262,$T265),IF($S265="Lớp 4",INDEX('Lớp 4 - Danh mục'!$V$14:$V$132,$T265),INDEX('Lớp 3 - Công việc chính'!$T$14:$T$73,$T265))))</f>
        <v>#REF!</v>
      </c>
      <c r="S265" s="699" t="str">
        <f>IF(ROWS($S$14:S265)&lt;=COUNTIF('Lớp 5 - Phân công'!$I$14:$I$262,"&lt;&gt;"),"Lớp 5",IF(ROWS($S$14:S265)&lt;=COUNTIF('Lớp 5 - Phân công'!$I$14:$I$262,"&lt;&gt;")+SUMPRODUCT(--('Lớp 4 - Danh mục'!$I$14:$I$132&lt;&gt;""),--(COUNTIF('Lớp 5 - Phân công'!$J$14:$J$262,'Lớp 4 - Danh mục'!$I$14:$I$132)=0)),"Lớp 4",IF(ROWS($S$14:S265)&lt;=COUNTIF('Lớp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5" s="699" t="str">
        <f t="array" ref="T265">IF(S265="","",IF(S265="Lớp 5",IF(S264&lt;&gt;"Lớp 5",MATCH("*",'Lớp 5 - Phân công'!$I$14:$I$262,0),T264+MATCH("*",INDEX('Lớp 5 - Phân công'!$I$14:$I$262,T264+1):'Lớp 5 - Phân công'!$I$262,0)),IF(S265="Lớp 4",IF(S264&lt;&gt;"Lớp 4",MATCH(1,INDEX(('Lớp 4 - Danh mục'!$I$14:$I$132&lt;&gt;"")*(COUNTIF('Lớp 5 - Phân công'!$J$14:$J$262,'Lớp 4 - Danh mục'!$I$14:$I$132)=0),0),0),T264+MATCH(1,INDEX((INDEX('Lớp 4 - Danh mục'!$I$14:$I$132,T264+1):'Lớp 4 - Danh mục'!$I$132&lt;&gt;"")*(COUNTIF('Lớp 5 - Phân công'!$J$14:$J$262,INDEX('Lớp 4 - Danh mục'!$I$14:$I$132,T264+1):'Lớp 4 - Danh mục'!$I$132)=0),0),0)),IF(S264&lt;&gt;"Lớp 3",MATCH(1,INDEX(('Lớp 3 - Công việc chính'!$I$14:$I$73&lt;&gt;"")*(COUNTIF('Lớp 4 - Danh mục'!$J$14:$J$132,'Lớp 3 - Công việc chính'!$I$14:$I$73)=0),0),0),T264+MATCH(1,INDEX((INDEX('Lớp 3 - Công việc chính'!$I$14:$I$73,T264+1):'Lớp 3 - Công việc chính'!$I$73&lt;&gt;"")*(COUNTIF('Lớp 4 - Danh mục'!$J$14:$J$132,INDEX('Lớp 3 - Công việc chính'!$I$14:$I$73,T264+1):'Lớp 3 - Công việc chính'!$I$73)=0),0),0)))))</f>
        <v>#REF!</v>
      </c>
      <c r="Z265" s="700" t="str">
        <f t="array" ref="Z265">IF($S265="","",IF($S265="Lớp 5",INDEX('Lớp 5 - Phân công'!$AS$14:$AS$262,$T265),IF($S265="Lớp 4",INDEX('Lớp 4 - Danh mục'!$AR$14:$AR$132,$T265),INDEX('Lớp 3 - Công việc chính'!$AO$14:$AO$73,$T265))))</f>
        <v>#REF!</v>
      </c>
      <c r="AA265" s="701" t="str">
        <f t="array" ref="AA265">IF($S265="","",IF($S265="Lớp 5",INDEX('Lớp 5 - Phân công'!$AT$14:$AT$262,$T265),IF($S265="Lớp 4",INDEX('Lớp 4 - Danh mục'!$AS$14:$AS$132,$T265),INDEX('Lớp 3 - Công việc chính'!$AP$14:$AP$73,$T265))))</f>
        <v>#REF!</v>
      </c>
      <c r="AB265" s="701" t="str">
        <f t="array" ref="AB265">IF($S265="","",IF($S265="Lớp 5",INDEX('Lớp 5 - Phân công'!$AJ$14:$AJ$262,$T265),IF($S265="Lớp 4",INDEX('Lớp 4 - Danh mục'!$AI$14:$AI$132,$T265),INDEX('Lớp 3 - Công việc chính'!$AF$14:$AF$73,$T265))))</f>
        <v>#REF!</v>
      </c>
      <c r="AC265" s="702" t="str">
        <f t="array" ref="AC265">IF($S265="","",IF($S265="Lớp 5",INDEX('Lớp 5 - Phân công'!$AV$14:$AV$262,$T265),IF($S265="Lớp 4",INDEX('Lớp 4 - Danh mục'!$AU$14:$AU$132,$T265),INDEX('Lớp 3 - Công việc chính'!$AR$14:$AR$73,$T265))))</f>
        <v>#REF!</v>
      </c>
    </row>
    <row r="266" ht="15.75" customHeight="1">
      <c r="A266" s="690" t="str">
        <f t="shared" si="1"/>
        <v>#REF!</v>
      </c>
      <c r="B266" s="690" t="str">
        <f t="array" ref="B266">IF($S266="","",IF($S266="Lớp 5",INDEX('Lớp 5 - Phân công'!$I$14:$I$262,$T266),IF($S266="Lớp 4",INDEX('Lớp 4 - Danh mục'!$I$14:$I$132,$T266),INDEX('Lớp 3 - Công việc chính'!$I$14:$I$73,$T266))))</f>
        <v>#REF!</v>
      </c>
      <c r="C266" s="690" t="str">
        <f t="array" ref="C266">IF($S266="","",IF($S266="Lớp 5",INDEX('Lớp 5 - Phân công'!$K$14:$K$262,$T266),IF($S266="Lớp 4",INDEX('Lớp 4 - Danh mục'!$J$14:$J$132,$T266),INDEX('Lớp 3 - Công việc chính'!$I$14:$I$73,$T266))))</f>
        <v>#REF!</v>
      </c>
      <c r="D266" s="690" t="str">
        <f t="array" ref="D266">IF($S266="","",IF($S266="Lớp 5",INDEX('Lớp 5 - Phân công'!$J$14:$J$262,$T266),IF($S266="Lớp 4",INDEX('Lớp 4 - Danh mục'!$I$14:$I$132,$T266),"")))</f>
        <v>#REF!</v>
      </c>
      <c r="E266" s="690" t="str">
        <f t="array" ref="E266">IF($S266="","",IF($S266="Lớp 5",INDEX('Lớp 5 - Phân công'!$L$14:$L$262,$T266),IF($S266="Lớp 4",INDEX('Lớp 4 - Danh mục'!$K$14:$K$132,$T266),INDEX('Lớp 3 - Công việc chính'!$J$14:$J$73,$T266))))</f>
        <v>#REF!</v>
      </c>
      <c r="F266" s="690" t="str">
        <f t="array" ref="F266">IF($S266="","",IF($S266="Lớp 5",INDEX('Lớp 5 - Phân công'!$M$14:$M$262,$T266),IF($S266="Lớp 4",INDEX('Lớp 4 - Danh mục'!$L$14:$L$132,$T266),INDEX('Lớp 3 - Công việc chính'!$K$14:$K$73,$T266))))</f>
        <v>#REF!</v>
      </c>
      <c r="G266" s="691" t="str">
        <f t="array" ref="G266">IF($S266="","",IF($S266="Lớp 5",INDEX('Lớp 5 - Phân công'!$N$14:$N$262,$T266),IF($S266="Lớp 4",INDEX('Lớp 4 - Danh mục'!$M$14:$M$132,$T266),INDEX('Lớp 3 - Công việc chính'!$L$14:$L$73,$T266))))</f>
        <v>#REF!</v>
      </c>
      <c r="H266" s="692" t="str">
        <f t="array" ref="H266">IF($S266="","",IF($S266="Lớp 5",INDEX('Lớp 5 - Phân công'!$O$14:$O$262,$T266),IF($S266="Lớp 4",INDEX('Lớp 4 - Danh mục'!$N$14:$N$132,$T266),INDEX('Lớp 3 - Công việc chính'!$M$14:$M$73,$T266))))</f>
        <v>#REF!</v>
      </c>
      <c r="I266" s="692" t="str">
        <f t="array" ref="I266">IF($S266="","",IF($S266="Lớp 5",INDEX('Lớp 5 - Phân công'!$P$14:$P$262,$T266),IF($S266="Lớp 4",INDEX('Lớp 4 - Danh mục'!$O$14:$O$132,$T266),"")))</f>
        <v>#REF!</v>
      </c>
      <c r="J266" s="693" t="str">
        <f t="array" ref="J266">IF($S266="","",IF($S266="Lớp 5",INDEX('Lớp 5 - Phân công'!$Q$14:$Q$262,$T266),""))</f>
        <v>#REF!</v>
      </c>
      <c r="K266" s="690" t="str">
        <f t="array" ref="K266">IF($S266="","",IF($S266="Lớp 5",INDEX('Lớp 5 - Phân công'!$AA$14:$AA$262,$T266),IF($S266="Lớp 4",INDEX('Lớp 4 - Danh mục'!$Y$14:$Y$132,$T266),INDEX('Lớp 3 - Công việc chính'!$U$14:$U$73,$T266))))</f>
        <v>#REF!</v>
      </c>
      <c r="L266" s="691" t="str">
        <f t="array" ref="L266">IF($S266="","",IF($S266="Lớp 5",INDEX('Lớp 5 - Phân công'!$Z$14:$Z$262,$T266),IF($S266="Lớp 4",INDEX('Lớp 4 - Danh mục'!$X$14:$X$132,$T266),INDEX('Lớp 3 - Công việc chính'!$W$14:$W$73,$T266))))</f>
        <v>#REF!</v>
      </c>
      <c r="M266" s="694" t="str">
        <f t="array" ref="M266">IF($S266="","",IF($S266="Lớp 5",INDEX('Lớp 5 - Phân công'!$AD$14:$AD$262,$T266),IF($S266="Lớp 4",INDEX('Lớp 4 - Danh mục'!$AC$14:$AC$132,$T266),INDEX('Lớp 3 - Công việc chính'!$Z$14:$Z$73,$T266))))</f>
        <v>#REF!</v>
      </c>
      <c r="N266" s="695" t="str">
        <f t="array" ref="N266">IF($S266="","",IF($S266="Lớp 5",INDEX('Lớp 5 - Phân công'!$AE$14:$AE$262,$T266),IF($S266="Lớp 4",INDEX('Lớp 4 - Danh mục'!$AD$14:$AD$132,$T266),INDEX('Lớp 3 - Công việc chính'!$AA$14:$AA$73,$T266))))</f>
        <v>#REF!</v>
      </c>
      <c r="O266" s="690" t="str">
        <f t="array" ref="O266">IF($S266="","",IF($S266="Lớp 5",INDEX('Lớp 5 - Phân công'!$AB$14:$AB$262,$T266),IF($S266="Lớp 4",INDEX('Lớp 4 - Danh mục'!$AA$14:$AA$132,$T266),INDEX('Lớp 3 - Công việc chính'!$X$14:$X$73,$T266))))</f>
        <v>#REF!</v>
      </c>
      <c r="P266" s="703" t="str">
        <f t="array" ref="P266">IF($S266="","",IF($S266="Lớp 5",INDEX('Lớp 5 - Phân công'!$AC$14:$AC$262,$T266),IF($S266="Lớp 4",INDEX('Lớp 4 - Danh mục'!$AB$14:$AB$132,$T266),INDEX('Lớp 3 - Công việc chính'!$Y$14:$Y$73,$T266))))</f>
        <v>#REF!</v>
      </c>
      <c r="Q266" s="697" t="str">
        <f t="array" ref="Q266">IF($S266="","",IF($S266="Lớp 5",INDEX('Lớp 5 - Phân công'!$AG$14:$AG$262,$T266),IF($S266="Lớp 4",INDEX('Lớp 4 - Danh mục'!$AF$14:$AF$132,$T266),INDEX('Lớp 3 - Công việc chính'!$AC$14:$AC$73,$T266))))</f>
        <v>#REF!</v>
      </c>
      <c r="R266" s="698" t="str">
        <f t="array" ref="R266">IF($S266="","",IF($S266="Lớp 5",INDEX('Lớp 5 - Phân công'!$X$14:$X$262,$T266),IF($S266="Lớp 4",INDEX('Lớp 4 - Danh mục'!$V$14:$V$132,$T266),INDEX('Lớp 3 - Công việc chính'!$T$14:$T$73,$T266))))</f>
        <v>#REF!</v>
      </c>
      <c r="S266" s="699" t="str">
        <f>IF(ROWS($S$14:S266)&lt;=COUNTIF('Lớp 5 - Phân công'!$I$14:$I$262,"&lt;&gt;"),"Lớp 5",IF(ROWS($S$14:S266)&lt;=COUNTIF('Lớp 5 - Phân công'!$I$14:$I$262,"&lt;&gt;")+SUMPRODUCT(--('Lớp 4 - Danh mục'!$I$14:$I$132&lt;&gt;""),--(COUNTIF('Lớp 5 - Phân công'!$J$14:$J$262,'Lớp 4 - Danh mục'!$I$14:$I$132)=0)),"Lớp 4",IF(ROWS($S$14:S266)&lt;=COUNTIF('Lớp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6" s="699" t="str">
        <f t="array" ref="T266">IF(S266="","",IF(S266="Lớp 5",IF(S265&lt;&gt;"Lớp 5",MATCH("*",'Lớp 5 - Phân công'!$I$14:$I$262,0),T265+MATCH("*",INDEX('Lớp 5 - Phân công'!$I$14:$I$262,T265+1):'Lớp 5 - Phân công'!$I$262,0)),IF(S266="Lớp 4",IF(S265&lt;&gt;"Lớp 4",MATCH(1,INDEX(('Lớp 4 - Danh mục'!$I$14:$I$132&lt;&gt;"")*(COUNTIF('Lớp 5 - Phân công'!$J$14:$J$262,'Lớp 4 - Danh mục'!$I$14:$I$132)=0),0),0),T265+MATCH(1,INDEX((INDEX('Lớp 4 - Danh mục'!$I$14:$I$132,T265+1):'Lớp 4 - Danh mục'!$I$132&lt;&gt;"")*(COUNTIF('Lớp 5 - Phân công'!$J$14:$J$262,INDEX('Lớp 4 - Danh mục'!$I$14:$I$132,T265+1):'Lớp 4 - Danh mục'!$I$132)=0),0),0)),IF(S265&lt;&gt;"Lớp 3",MATCH(1,INDEX(('Lớp 3 - Công việc chính'!$I$14:$I$73&lt;&gt;"")*(COUNTIF('Lớp 4 - Danh mục'!$J$14:$J$132,'Lớp 3 - Công việc chính'!$I$14:$I$73)=0),0),0),T265+MATCH(1,INDEX((INDEX('Lớp 3 - Công việc chính'!$I$14:$I$73,T265+1):'Lớp 3 - Công việc chính'!$I$73&lt;&gt;"")*(COUNTIF('Lớp 4 - Danh mục'!$J$14:$J$132,INDEX('Lớp 3 - Công việc chính'!$I$14:$I$73,T265+1):'Lớp 3 - Công việc chính'!$I$73)=0),0),0)))))</f>
        <v>#REF!</v>
      </c>
      <c r="Z266" s="700" t="str">
        <f t="array" ref="Z266">IF($S266="","",IF($S266="Lớp 5",INDEX('Lớp 5 - Phân công'!$AS$14:$AS$262,$T266),IF($S266="Lớp 4",INDEX('Lớp 4 - Danh mục'!$AR$14:$AR$132,$T266),INDEX('Lớp 3 - Công việc chính'!$AO$14:$AO$73,$T266))))</f>
        <v>#REF!</v>
      </c>
      <c r="AA266" s="701" t="str">
        <f t="array" ref="AA266">IF($S266="","",IF($S266="Lớp 5",INDEX('Lớp 5 - Phân công'!$AT$14:$AT$262,$T266),IF($S266="Lớp 4",INDEX('Lớp 4 - Danh mục'!$AS$14:$AS$132,$T266),INDEX('Lớp 3 - Công việc chính'!$AP$14:$AP$73,$T266))))</f>
        <v>#REF!</v>
      </c>
      <c r="AB266" s="701" t="str">
        <f t="array" ref="AB266">IF($S266="","",IF($S266="Lớp 5",INDEX('Lớp 5 - Phân công'!$AJ$14:$AJ$262,$T266),IF($S266="Lớp 4",INDEX('Lớp 4 - Danh mục'!$AI$14:$AI$132,$T266),INDEX('Lớp 3 - Công việc chính'!$AF$14:$AF$73,$T266))))</f>
        <v>#REF!</v>
      </c>
      <c r="AC266" s="702" t="str">
        <f t="array" ref="AC266">IF($S266="","",IF($S266="Lớp 5",INDEX('Lớp 5 - Phân công'!$AV$14:$AV$262,$T266),IF($S266="Lớp 4",INDEX('Lớp 4 - Danh mục'!$AU$14:$AU$132,$T266),INDEX('Lớp 3 - Công việc chính'!$AR$14:$AR$73,$T266))))</f>
        <v>#REF!</v>
      </c>
    </row>
    <row r="267" ht="15.75" customHeight="1">
      <c r="A267" s="690" t="str">
        <f t="shared" si="1"/>
        <v>#REF!</v>
      </c>
      <c r="B267" s="690" t="str">
        <f t="array" ref="B267">IF($S267="","",IF($S267="Lớp 5",INDEX('Lớp 5 - Phân công'!$I$14:$I$262,$T267),IF($S267="Lớp 4",INDEX('Lớp 4 - Danh mục'!$I$14:$I$132,$T267),INDEX('Lớp 3 - Công việc chính'!$I$14:$I$73,$T267))))</f>
        <v>#REF!</v>
      </c>
      <c r="C267" s="690" t="str">
        <f t="array" ref="C267">IF($S267="","",IF($S267="Lớp 5",INDEX('Lớp 5 - Phân công'!$K$14:$K$262,$T267),IF($S267="Lớp 4",INDEX('Lớp 4 - Danh mục'!$J$14:$J$132,$T267),INDEX('Lớp 3 - Công việc chính'!$I$14:$I$73,$T267))))</f>
        <v>#REF!</v>
      </c>
      <c r="D267" s="690" t="str">
        <f t="array" ref="D267">IF($S267="","",IF($S267="Lớp 5",INDEX('Lớp 5 - Phân công'!$J$14:$J$262,$T267),IF($S267="Lớp 4",INDEX('Lớp 4 - Danh mục'!$I$14:$I$132,$T267),"")))</f>
        <v>#REF!</v>
      </c>
      <c r="E267" s="690" t="str">
        <f t="array" ref="E267">IF($S267="","",IF($S267="Lớp 5",INDEX('Lớp 5 - Phân công'!$L$14:$L$262,$T267),IF($S267="Lớp 4",INDEX('Lớp 4 - Danh mục'!$K$14:$K$132,$T267),INDEX('Lớp 3 - Công việc chính'!$J$14:$J$73,$T267))))</f>
        <v>#REF!</v>
      </c>
      <c r="F267" s="690" t="str">
        <f t="array" ref="F267">IF($S267="","",IF($S267="Lớp 5",INDEX('Lớp 5 - Phân công'!$M$14:$M$262,$T267),IF($S267="Lớp 4",INDEX('Lớp 4 - Danh mục'!$L$14:$L$132,$T267),INDEX('Lớp 3 - Công việc chính'!$K$14:$K$73,$T267))))</f>
        <v>#REF!</v>
      </c>
      <c r="G267" s="691" t="str">
        <f t="array" ref="G267">IF($S267="","",IF($S267="Lớp 5",INDEX('Lớp 5 - Phân công'!$N$14:$N$262,$T267),IF($S267="Lớp 4",INDEX('Lớp 4 - Danh mục'!$M$14:$M$132,$T267),INDEX('Lớp 3 - Công việc chính'!$L$14:$L$73,$T267))))</f>
        <v>#REF!</v>
      </c>
      <c r="H267" s="692" t="str">
        <f t="array" ref="H267">IF($S267="","",IF($S267="Lớp 5",INDEX('Lớp 5 - Phân công'!$O$14:$O$262,$T267),IF($S267="Lớp 4",INDEX('Lớp 4 - Danh mục'!$N$14:$N$132,$T267),INDEX('Lớp 3 - Công việc chính'!$M$14:$M$73,$T267))))</f>
        <v>#REF!</v>
      </c>
      <c r="I267" s="692" t="str">
        <f t="array" ref="I267">IF($S267="","",IF($S267="Lớp 5",INDEX('Lớp 5 - Phân công'!$P$14:$P$262,$T267),IF($S267="Lớp 4",INDEX('Lớp 4 - Danh mục'!$O$14:$O$132,$T267),"")))</f>
        <v>#REF!</v>
      </c>
      <c r="J267" s="693" t="str">
        <f t="array" ref="J267">IF($S267="","",IF($S267="Lớp 5",INDEX('Lớp 5 - Phân công'!$Q$14:$Q$262,$T267),""))</f>
        <v>#REF!</v>
      </c>
      <c r="K267" s="690" t="str">
        <f t="array" ref="K267">IF($S267="","",IF($S267="Lớp 5",INDEX('Lớp 5 - Phân công'!$AA$14:$AA$262,$T267),IF($S267="Lớp 4",INDEX('Lớp 4 - Danh mục'!$Y$14:$Y$132,$T267),INDEX('Lớp 3 - Công việc chính'!$U$14:$U$73,$T267))))</f>
        <v>#REF!</v>
      </c>
      <c r="L267" s="691" t="str">
        <f t="array" ref="L267">IF($S267="","",IF($S267="Lớp 5",INDEX('Lớp 5 - Phân công'!$Z$14:$Z$262,$T267),IF($S267="Lớp 4",INDEX('Lớp 4 - Danh mục'!$X$14:$X$132,$T267),INDEX('Lớp 3 - Công việc chính'!$W$14:$W$73,$T267))))</f>
        <v>#REF!</v>
      </c>
      <c r="M267" s="694" t="str">
        <f t="array" ref="M267">IF($S267="","",IF($S267="Lớp 5",INDEX('Lớp 5 - Phân công'!$AD$14:$AD$262,$T267),IF($S267="Lớp 4",INDEX('Lớp 4 - Danh mục'!$AC$14:$AC$132,$T267),INDEX('Lớp 3 - Công việc chính'!$Z$14:$Z$73,$T267))))</f>
        <v>#REF!</v>
      </c>
      <c r="N267" s="695" t="str">
        <f t="array" ref="N267">IF($S267="","",IF($S267="Lớp 5",INDEX('Lớp 5 - Phân công'!$AE$14:$AE$262,$T267),IF($S267="Lớp 4",INDEX('Lớp 4 - Danh mục'!$AD$14:$AD$132,$T267),INDEX('Lớp 3 - Công việc chính'!$AA$14:$AA$73,$T267))))</f>
        <v>#REF!</v>
      </c>
      <c r="O267" s="690" t="str">
        <f t="array" ref="O267">IF($S267="","",IF($S267="Lớp 5",INDEX('Lớp 5 - Phân công'!$AB$14:$AB$262,$T267),IF($S267="Lớp 4",INDEX('Lớp 4 - Danh mục'!$AA$14:$AA$132,$T267),INDEX('Lớp 3 - Công việc chính'!$X$14:$X$73,$T267))))</f>
        <v>#REF!</v>
      </c>
      <c r="P267" s="703" t="str">
        <f t="array" ref="P267">IF($S267="","",IF($S267="Lớp 5",INDEX('Lớp 5 - Phân công'!$AC$14:$AC$262,$T267),IF($S267="Lớp 4",INDEX('Lớp 4 - Danh mục'!$AB$14:$AB$132,$T267),INDEX('Lớp 3 - Công việc chính'!$Y$14:$Y$73,$T267))))</f>
        <v>#REF!</v>
      </c>
      <c r="Q267" s="697" t="str">
        <f t="array" ref="Q267">IF($S267="","",IF($S267="Lớp 5",INDEX('Lớp 5 - Phân công'!$AG$14:$AG$262,$T267),IF($S267="Lớp 4",INDEX('Lớp 4 - Danh mục'!$AF$14:$AF$132,$T267),INDEX('Lớp 3 - Công việc chính'!$AC$14:$AC$73,$T267))))</f>
        <v>#REF!</v>
      </c>
      <c r="R267" s="698" t="str">
        <f t="array" ref="R267">IF($S267="","",IF($S267="Lớp 5",INDEX('Lớp 5 - Phân công'!$X$14:$X$262,$T267),IF($S267="Lớp 4",INDEX('Lớp 4 - Danh mục'!$V$14:$V$132,$T267),INDEX('Lớp 3 - Công việc chính'!$T$14:$T$73,$T267))))</f>
        <v>#REF!</v>
      </c>
      <c r="S267" s="699" t="str">
        <f>IF(ROWS($S$14:S267)&lt;=COUNTIF('Lớp 5 - Phân công'!$I$14:$I$262,"&lt;&gt;"),"Lớp 5",IF(ROWS($S$14:S267)&lt;=COUNTIF('Lớp 5 - Phân công'!$I$14:$I$262,"&lt;&gt;")+SUMPRODUCT(--('Lớp 4 - Danh mục'!$I$14:$I$132&lt;&gt;""),--(COUNTIF('Lớp 5 - Phân công'!$J$14:$J$262,'Lớp 4 - Danh mục'!$I$14:$I$132)=0)),"Lớp 4",IF(ROWS($S$14:S267)&lt;=COUNTIF('Lớp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7" s="699" t="str">
        <f t="array" ref="T267">IF(S267="","",IF(S267="Lớp 5",IF(S266&lt;&gt;"Lớp 5",MATCH("*",'Lớp 5 - Phân công'!$I$14:$I$262,0),T266+MATCH("*",INDEX('Lớp 5 - Phân công'!$I$14:$I$262,T266+1):'Lớp 5 - Phân công'!$I$262,0)),IF(S267="Lớp 4",IF(S266&lt;&gt;"Lớp 4",MATCH(1,INDEX(('Lớp 4 - Danh mục'!$I$14:$I$132&lt;&gt;"")*(COUNTIF('Lớp 5 - Phân công'!$J$14:$J$262,'Lớp 4 - Danh mục'!$I$14:$I$132)=0),0),0),T266+MATCH(1,INDEX((INDEX('Lớp 4 - Danh mục'!$I$14:$I$132,T266+1):'Lớp 4 - Danh mục'!$I$132&lt;&gt;"")*(COUNTIF('Lớp 5 - Phân công'!$J$14:$J$262,INDEX('Lớp 4 - Danh mục'!$I$14:$I$132,T266+1):'Lớp 4 - Danh mục'!$I$132)=0),0),0)),IF(S266&lt;&gt;"Lớp 3",MATCH(1,INDEX(('Lớp 3 - Công việc chính'!$I$14:$I$73&lt;&gt;"")*(COUNTIF('Lớp 4 - Danh mục'!$J$14:$J$132,'Lớp 3 - Công việc chính'!$I$14:$I$73)=0),0),0),T266+MATCH(1,INDEX((INDEX('Lớp 3 - Công việc chính'!$I$14:$I$73,T266+1):'Lớp 3 - Công việc chính'!$I$73&lt;&gt;"")*(COUNTIF('Lớp 4 - Danh mục'!$J$14:$J$132,INDEX('Lớp 3 - Công việc chính'!$I$14:$I$73,T266+1):'Lớp 3 - Công việc chính'!$I$73)=0),0),0)))))</f>
        <v>#REF!</v>
      </c>
      <c r="Z267" s="700" t="str">
        <f t="array" ref="Z267">IF($S267="","",IF($S267="Lớp 5",INDEX('Lớp 5 - Phân công'!$AS$14:$AS$262,$T267),IF($S267="Lớp 4",INDEX('Lớp 4 - Danh mục'!$AR$14:$AR$132,$T267),INDEX('Lớp 3 - Công việc chính'!$AO$14:$AO$73,$T267))))</f>
        <v>#REF!</v>
      </c>
      <c r="AA267" s="701" t="str">
        <f t="array" ref="AA267">IF($S267="","",IF($S267="Lớp 5",INDEX('Lớp 5 - Phân công'!$AT$14:$AT$262,$T267),IF($S267="Lớp 4",INDEX('Lớp 4 - Danh mục'!$AS$14:$AS$132,$T267),INDEX('Lớp 3 - Công việc chính'!$AP$14:$AP$73,$T267))))</f>
        <v>#REF!</v>
      </c>
      <c r="AB267" s="701" t="str">
        <f t="array" ref="AB267">IF($S267="","",IF($S267="Lớp 5",INDEX('Lớp 5 - Phân công'!$AJ$14:$AJ$262,$T267),IF($S267="Lớp 4",INDEX('Lớp 4 - Danh mục'!$AI$14:$AI$132,$T267),INDEX('Lớp 3 - Công việc chính'!$AF$14:$AF$73,$T267))))</f>
        <v>#REF!</v>
      </c>
      <c r="AC267" s="702" t="str">
        <f t="array" ref="AC267">IF($S267="","",IF($S267="Lớp 5",INDEX('Lớp 5 - Phân công'!$AV$14:$AV$262,$T267),IF($S267="Lớp 4",INDEX('Lớp 4 - Danh mục'!$AU$14:$AU$132,$T267),INDEX('Lớp 3 - Công việc chính'!$AR$14:$AR$73,$T267))))</f>
        <v>#REF!</v>
      </c>
    </row>
    <row r="268" ht="15.75" customHeight="1">
      <c r="A268" s="690" t="str">
        <f t="shared" si="1"/>
        <v>#REF!</v>
      </c>
      <c r="B268" s="690" t="str">
        <f t="array" ref="B268">IF($S268="","",IF($S268="Lớp 5",INDEX('Lớp 5 - Phân công'!$I$14:$I$262,$T268),IF($S268="Lớp 4",INDEX('Lớp 4 - Danh mục'!$I$14:$I$132,$T268),INDEX('Lớp 3 - Công việc chính'!$I$14:$I$73,$T268))))</f>
        <v>#REF!</v>
      </c>
      <c r="C268" s="690" t="str">
        <f t="array" ref="C268">IF($S268="","",IF($S268="Lớp 5",INDEX('Lớp 5 - Phân công'!$K$14:$K$262,$T268),IF($S268="Lớp 4",INDEX('Lớp 4 - Danh mục'!$J$14:$J$132,$T268),INDEX('Lớp 3 - Công việc chính'!$I$14:$I$73,$T268))))</f>
        <v>#REF!</v>
      </c>
      <c r="D268" s="690" t="str">
        <f t="array" ref="D268">IF($S268="","",IF($S268="Lớp 5",INDEX('Lớp 5 - Phân công'!$J$14:$J$262,$T268),IF($S268="Lớp 4",INDEX('Lớp 4 - Danh mục'!$I$14:$I$132,$T268),"")))</f>
        <v>#REF!</v>
      </c>
      <c r="E268" s="690" t="str">
        <f t="array" ref="E268">IF($S268="","",IF($S268="Lớp 5",INDEX('Lớp 5 - Phân công'!$L$14:$L$262,$T268),IF($S268="Lớp 4",INDEX('Lớp 4 - Danh mục'!$K$14:$K$132,$T268),INDEX('Lớp 3 - Công việc chính'!$J$14:$J$73,$T268))))</f>
        <v>#REF!</v>
      </c>
      <c r="F268" s="690" t="str">
        <f t="array" ref="F268">IF($S268="","",IF($S268="Lớp 5",INDEX('Lớp 5 - Phân công'!$M$14:$M$262,$T268),IF($S268="Lớp 4",INDEX('Lớp 4 - Danh mục'!$L$14:$L$132,$T268),INDEX('Lớp 3 - Công việc chính'!$K$14:$K$73,$T268))))</f>
        <v>#REF!</v>
      </c>
      <c r="G268" s="691" t="str">
        <f t="array" ref="G268">IF($S268="","",IF($S268="Lớp 5",INDEX('Lớp 5 - Phân công'!$N$14:$N$262,$T268),IF($S268="Lớp 4",INDEX('Lớp 4 - Danh mục'!$M$14:$M$132,$T268),INDEX('Lớp 3 - Công việc chính'!$L$14:$L$73,$T268))))</f>
        <v>#REF!</v>
      </c>
      <c r="H268" s="692" t="str">
        <f t="array" ref="H268">IF($S268="","",IF($S268="Lớp 5",INDEX('Lớp 5 - Phân công'!$O$14:$O$262,$T268),IF($S268="Lớp 4",INDEX('Lớp 4 - Danh mục'!$N$14:$N$132,$T268),INDEX('Lớp 3 - Công việc chính'!$M$14:$M$73,$T268))))</f>
        <v>#REF!</v>
      </c>
      <c r="I268" s="692" t="str">
        <f t="array" ref="I268">IF($S268="","",IF($S268="Lớp 5",INDEX('Lớp 5 - Phân công'!$P$14:$P$262,$T268),IF($S268="Lớp 4",INDEX('Lớp 4 - Danh mục'!$O$14:$O$132,$T268),"")))</f>
        <v>#REF!</v>
      </c>
      <c r="J268" s="693" t="str">
        <f t="array" ref="J268">IF($S268="","",IF($S268="Lớp 5",INDEX('Lớp 5 - Phân công'!$Q$14:$Q$262,$T268),""))</f>
        <v>#REF!</v>
      </c>
      <c r="K268" s="690" t="str">
        <f t="array" ref="K268">IF($S268="","",IF($S268="Lớp 5",INDEX('Lớp 5 - Phân công'!$AA$14:$AA$262,$T268),IF($S268="Lớp 4",INDEX('Lớp 4 - Danh mục'!$Y$14:$Y$132,$T268),INDEX('Lớp 3 - Công việc chính'!$U$14:$U$73,$T268))))</f>
        <v>#REF!</v>
      </c>
      <c r="L268" s="691" t="str">
        <f t="array" ref="L268">IF($S268="","",IF($S268="Lớp 5",INDEX('Lớp 5 - Phân công'!$Z$14:$Z$262,$T268),IF($S268="Lớp 4",INDEX('Lớp 4 - Danh mục'!$X$14:$X$132,$T268),INDEX('Lớp 3 - Công việc chính'!$W$14:$W$73,$T268))))</f>
        <v>#REF!</v>
      </c>
      <c r="M268" s="694" t="str">
        <f t="array" ref="M268">IF($S268="","",IF($S268="Lớp 5",INDEX('Lớp 5 - Phân công'!$AD$14:$AD$262,$T268),IF($S268="Lớp 4",INDEX('Lớp 4 - Danh mục'!$AC$14:$AC$132,$T268),INDEX('Lớp 3 - Công việc chính'!$Z$14:$Z$73,$T268))))</f>
        <v>#REF!</v>
      </c>
      <c r="N268" s="695" t="str">
        <f t="array" ref="N268">IF($S268="","",IF($S268="Lớp 5",INDEX('Lớp 5 - Phân công'!$AE$14:$AE$262,$T268),IF($S268="Lớp 4",INDEX('Lớp 4 - Danh mục'!$AD$14:$AD$132,$T268),INDEX('Lớp 3 - Công việc chính'!$AA$14:$AA$73,$T268))))</f>
        <v>#REF!</v>
      </c>
      <c r="O268" s="690" t="str">
        <f t="array" ref="O268">IF($S268="","",IF($S268="Lớp 5",INDEX('Lớp 5 - Phân công'!$AB$14:$AB$262,$T268),IF($S268="Lớp 4",INDEX('Lớp 4 - Danh mục'!$AA$14:$AA$132,$T268),INDEX('Lớp 3 - Công việc chính'!$X$14:$X$73,$T268))))</f>
        <v>#REF!</v>
      </c>
      <c r="P268" s="703" t="str">
        <f t="array" ref="P268">IF($S268="","",IF($S268="Lớp 5",INDEX('Lớp 5 - Phân công'!$AC$14:$AC$262,$T268),IF($S268="Lớp 4",INDEX('Lớp 4 - Danh mục'!$AB$14:$AB$132,$T268),INDEX('Lớp 3 - Công việc chính'!$Y$14:$Y$73,$T268))))</f>
        <v>#REF!</v>
      </c>
      <c r="Q268" s="697" t="str">
        <f t="array" ref="Q268">IF($S268="","",IF($S268="Lớp 5",INDEX('Lớp 5 - Phân công'!$AG$14:$AG$262,$T268),IF($S268="Lớp 4",INDEX('Lớp 4 - Danh mục'!$AF$14:$AF$132,$T268),INDEX('Lớp 3 - Công việc chính'!$AC$14:$AC$73,$T268))))</f>
        <v>#REF!</v>
      </c>
      <c r="R268" s="698" t="str">
        <f t="array" ref="R268">IF($S268="","",IF($S268="Lớp 5",INDEX('Lớp 5 - Phân công'!$X$14:$X$262,$T268),IF($S268="Lớp 4",INDEX('Lớp 4 - Danh mục'!$V$14:$V$132,$T268),INDEX('Lớp 3 - Công việc chính'!$T$14:$T$73,$T268))))</f>
        <v>#REF!</v>
      </c>
      <c r="S268" s="699" t="str">
        <f>IF(ROWS($S$14:S268)&lt;=COUNTIF('Lớp 5 - Phân công'!$I$14:$I$262,"&lt;&gt;"),"Lớp 5",IF(ROWS($S$14:S268)&lt;=COUNTIF('Lớp 5 - Phân công'!$I$14:$I$262,"&lt;&gt;")+SUMPRODUCT(--('Lớp 4 - Danh mục'!$I$14:$I$132&lt;&gt;""),--(COUNTIF('Lớp 5 - Phân công'!$J$14:$J$262,'Lớp 4 - Danh mục'!$I$14:$I$132)=0)),"Lớp 4",IF(ROWS($S$14:S268)&lt;=COUNTIF('Lớp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8" s="699" t="str">
        <f t="array" ref="T268">IF(S268="","",IF(S268="Lớp 5",IF(S267&lt;&gt;"Lớp 5",MATCH("*",'Lớp 5 - Phân công'!$I$14:$I$262,0),T267+MATCH("*",INDEX('Lớp 5 - Phân công'!$I$14:$I$262,T267+1):'Lớp 5 - Phân công'!$I$262,0)),IF(S268="Lớp 4",IF(S267&lt;&gt;"Lớp 4",MATCH(1,INDEX(('Lớp 4 - Danh mục'!$I$14:$I$132&lt;&gt;"")*(COUNTIF('Lớp 5 - Phân công'!$J$14:$J$262,'Lớp 4 - Danh mục'!$I$14:$I$132)=0),0),0),T267+MATCH(1,INDEX((INDEX('Lớp 4 - Danh mục'!$I$14:$I$132,T267+1):'Lớp 4 - Danh mục'!$I$132&lt;&gt;"")*(COUNTIF('Lớp 5 - Phân công'!$J$14:$J$262,INDEX('Lớp 4 - Danh mục'!$I$14:$I$132,T267+1):'Lớp 4 - Danh mục'!$I$132)=0),0),0)),IF(S267&lt;&gt;"Lớp 3",MATCH(1,INDEX(('Lớp 3 - Công việc chính'!$I$14:$I$73&lt;&gt;"")*(COUNTIF('Lớp 4 - Danh mục'!$J$14:$J$132,'Lớp 3 - Công việc chính'!$I$14:$I$73)=0),0),0),T267+MATCH(1,INDEX((INDEX('Lớp 3 - Công việc chính'!$I$14:$I$73,T267+1):'Lớp 3 - Công việc chính'!$I$73&lt;&gt;"")*(COUNTIF('Lớp 4 - Danh mục'!$J$14:$J$132,INDEX('Lớp 3 - Công việc chính'!$I$14:$I$73,T267+1):'Lớp 3 - Công việc chính'!$I$73)=0),0),0)))))</f>
        <v>#REF!</v>
      </c>
      <c r="Z268" s="700" t="str">
        <f t="array" ref="Z268">IF($S268="","",IF($S268="Lớp 5",INDEX('Lớp 5 - Phân công'!$AS$14:$AS$262,$T268),IF($S268="Lớp 4",INDEX('Lớp 4 - Danh mục'!$AR$14:$AR$132,$T268),INDEX('Lớp 3 - Công việc chính'!$AO$14:$AO$73,$T268))))</f>
        <v>#REF!</v>
      </c>
      <c r="AA268" s="701" t="str">
        <f t="array" ref="AA268">IF($S268="","",IF($S268="Lớp 5",INDEX('Lớp 5 - Phân công'!$AT$14:$AT$262,$T268),IF($S268="Lớp 4",INDEX('Lớp 4 - Danh mục'!$AS$14:$AS$132,$T268),INDEX('Lớp 3 - Công việc chính'!$AP$14:$AP$73,$T268))))</f>
        <v>#REF!</v>
      </c>
      <c r="AB268" s="701" t="str">
        <f t="array" ref="AB268">IF($S268="","",IF($S268="Lớp 5",INDEX('Lớp 5 - Phân công'!$AJ$14:$AJ$262,$T268),IF($S268="Lớp 4",INDEX('Lớp 4 - Danh mục'!$AI$14:$AI$132,$T268),INDEX('Lớp 3 - Công việc chính'!$AF$14:$AF$73,$T268))))</f>
        <v>#REF!</v>
      </c>
      <c r="AC268" s="702" t="str">
        <f t="array" ref="AC268">IF($S268="","",IF($S268="Lớp 5",INDEX('Lớp 5 - Phân công'!$AV$14:$AV$262,$T268),IF($S268="Lớp 4",INDEX('Lớp 4 - Danh mục'!$AU$14:$AU$132,$T268),INDEX('Lớp 3 - Công việc chính'!$AR$14:$AR$73,$T268))))</f>
        <v>#REF!</v>
      </c>
    </row>
    <row r="269" ht="15.75" customHeight="1">
      <c r="A269" s="690" t="str">
        <f t="shared" si="1"/>
        <v>#REF!</v>
      </c>
      <c r="B269" s="690" t="str">
        <f t="array" ref="B269">IF($S269="","",IF($S269="Lớp 5",INDEX('Lớp 5 - Phân công'!$I$14:$I$262,$T269),IF($S269="Lớp 4",INDEX('Lớp 4 - Danh mục'!$I$14:$I$132,$T269),INDEX('Lớp 3 - Công việc chính'!$I$14:$I$73,$T269))))</f>
        <v>#REF!</v>
      </c>
      <c r="C269" s="690" t="str">
        <f t="array" ref="C269">IF($S269="","",IF($S269="Lớp 5",INDEX('Lớp 5 - Phân công'!$K$14:$K$262,$T269),IF($S269="Lớp 4",INDEX('Lớp 4 - Danh mục'!$J$14:$J$132,$T269),INDEX('Lớp 3 - Công việc chính'!$I$14:$I$73,$T269))))</f>
        <v>#REF!</v>
      </c>
      <c r="D269" s="690" t="str">
        <f t="array" ref="D269">IF($S269="","",IF($S269="Lớp 5",INDEX('Lớp 5 - Phân công'!$J$14:$J$262,$T269),IF($S269="Lớp 4",INDEX('Lớp 4 - Danh mục'!$I$14:$I$132,$T269),"")))</f>
        <v>#REF!</v>
      </c>
      <c r="E269" s="690" t="str">
        <f t="array" ref="E269">IF($S269="","",IF($S269="Lớp 5",INDEX('Lớp 5 - Phân công'!$L$14:$L$262,$T269),IF($S269="Lớp 4",INDEX('Lớp 4 - Danh mục'!$K$14:$K$132,$T269),INDEX('Lớp 3 - Công việc chính'!$J$14:$J$73,$T269))))</f>
        <v>#REF!</v>
      </c>
      <c r="F269" s="690" t="str">
        <f t="array" ref="F269">IF($S269="","",IF($S269="Lớp 5",INDEX('Lớp 5 - Phân công'!$M$14:$M$262,$T269),IF($S269="Lớp 4",INDEX('Lớp 4 - Danh mục'!$L$14:$L$132,$T269),INDEX('Lớp 3 - Công việc chính'!$K$14:$K$73,$T269))))</f>
        <v>#REF!</v>
      </c>
      <c r="G269" s="691" t="str">
        <f t="array" ref="G269">IF($S269="","",IF($S269="Lớp 5",INDEX('Lớp 5 - Phân công'!$N$14:$N$262,$T269),IF($S269="Lớp 4",INDEX('Lớp 4 - Danh mục'!$M$14:$M$132,$T269),INDEX('Lớp 3 - Công việc chính'!$L$14:$L$73,$T269))))</f>
        <v>#REF!</v>
      </c>
      <c r="H269" s="692" t="str">
        <f t="array" ref="H269">IF($S269="","",IF($S269="Lớp 5",INDEX('Lớp 5 - Phân công'!$O$14:$O$262,$T269),IF($S269="Lớp 4",INDEX('Lớp 4 - Danh mục'!$N$14:$N$132,$T269),INDEX('Lớp 3 - Công việc chính'!$M$14:$M$73,$T269))))</f>
        <v>#REF!</v>
      </c>
      <c r="I269" s="692" t="str">
        <f t="array" ref="I269">IF($S269="","",IF($S269="Lớp 5",INDEX('Lớp 5 - Phân công'!$P$14:$P$262,$T269),IF($S269="Lớp 4",INDEX('Lớp 4 - Danh mục'!$O$14:$O$132,$T269),"")))</f>
        <v>#REF!</v>
      </c>
      <c r="J269" s="693" t="str">
        <f t="array" ref="J269">IF($S269="","",IF($S269="Lớp 5",INDEX('Lớp 5 - Phân công'!$Q$14:$Q$262,$T269),""))</f>
        <v>#REF!</v>
      </c>
      <c r="K269" s="690" t="str">
        <f t="array" ref="K269">IF($S269="","",IF($S269="Lớp 5",INDEX('Lớp 5 - Phân công'!$AA$14:$AA$262,$T269),IF($S269="Lớp 4",INDEX('Lớp 4 - Danh mục'!$Y$14:$Y$132,$T269),INDEX('Lớp 3 - Công việc chính'!$U$14:$U$73,$T269))))</f>
        <v>#REF!</v>
      </c>
      <c r="L269" s="691" t="str">
        <f t="array" ref="L269">IF($S269="","",IF($S269="Lớp 5",INDEX('Lớp 5 - Phân công'!$Z$14:$Z$262,$T269),IF($S269="Lớp 4",INDEX('Lớp 4 - Danh mục'!$X$14:$X$132,$T269),INDEX('Lớp 3 - Công việc chính'!$W$14:$W$73,$T269))))</f>
        <v>#REF!</v>
      </c>
      <c r="M269" s="694" t="str">
        <f t="array" ref="M269">IF($S269="","",IF($S269="Lớp 5",INDEX('Lớp 5 - Phân công'!$AD$14:$AD$262,$T269),IF($S269="Lớp 4",INDEX('Lớp 4 - Danh mục'!$AC$14:$AC$132,$T269),INDEX('Lớp 3 - Công việc chính'!$Z$14:$Z$73,$T269))))</f>
        <v>#REF!</v>
      </c>
      <c r="N269" s="695" t="str">
        <f t="array" ref="N269">IF($S269="","",IF($S269="Lớp 5",INDEX('Lớp 5 - Phân công'!$AE$14:$AE$262,$T269),IF($S269="Lớp 4",INDEX('Lớp 4 - Danh mục'!$AD$14:$AD$132,$T269),INDEX('Lớp 3 - Công việc chính'!$AA$14:$AA$73,$T269))))</f>
        <v>#REF!</v>
      </c>
      <c r="O269" s="690" t="str">
        <f t="array" ref="O269">IF($S269="","",IF($S269="Lớp 5",INDEX('Lớp 5 - Phân công'!$AB$14:$AB$262,$T269),IF($S269="Lớp 4",INDEX('Lớp 4 - Danh mục'!$AA$14:$AA$132,$T269),INDEX('Lớp 3 - Công việc chính'!$X$14:$X$73,$T269))))</f>
        <v>#REF!</v>
      </c>
      <c r="P269" s="703" t="str">
        <f t="array" ref="P269">IF($S269="","",IF($S269="Lớp 5",INDEX('Lớp 5 - Phân công'!$AC$14:$AC$262,$T269),IF($S269="Lớp 4",INDEX('Lớp 4 - Danh mục'!$AB$14:$AB$132,$T269),INDEX('Lớp 3 - Công việc chính'!$Y$14:$Y$73,$T269))))</f>
        <v>#REF!</v>
      </c>
      <c r="Q269" s="697" t="str">
        <f t="array" ref="Q269">IF($S269="","",IF($S269="Lớp 5",INDEX('Lớp 5 - Phân công'!$AG$14:$AG$262,$T269),IF($S269="Lớp 4",INDEX('Lớp 4 - Danh mục'!$AF$14:$AF$132,$T269),INDEX('Lớp 3 - Công việc chính'!$AC$14:$AC$73,$T269))))</f>
        <v>#REF!</v>
      </c>
      <c r="R269" s="698" t="str">
        <f t="array" ref="R269">IF($S269="","",IF($S269="Lớp 5",INDEX('Lớp 5 - Phân công'!$X$14:$X$262,$T269),IF($S269="Lớp 4",INDEX('Lớp 4 - Danh mục'!$V$14:$V$132,$T269),INDEX('Lớp 3 - Công việc chính'!$T$14:$T$73,$T269))))</f>
        <v>#REF!</v>
      </c>
      <c r="S269" s="699" t="str">
        <f>IF(ROWS($S$14:S269)&lt;=COUNTIF('Lớp 5 - Phân công'!$I$14:$I$262,"&lt;&gt;"),"Lớp 5",IF(ROWS($S$14:S269)&lt;=COUNTIF('Lớp 5 - Phân công'!$I$14:$I$262,"&lt;&gt;")+SUMPRODUCT(--('Lớp 4 - Danh mục'!$I$14:$I$132&lt;&gt;""),--(COUNTIF('Lớp 5 - Phân công'!$J$14:$J$262,'Lớp 4 - Danh mục'!$I$14:$I$132)=0)),"Lớp 4",IF(ROWS($S$14:S269)&lt;=COUNTIF('Lớp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69" s="699" t="str">
        <f t="array" ref="T269">IF(S269="","",IF(S269="Lớp 5",IF(S268&lt;&gt;"Lớp 5",MATCH("*",'Lớp 5 - Phân công'!$I$14:$I$262,0),T268+MATCH("*",INDEX('Lớp 5 - Phân công'!$I$14:$I$262,T268+1):'Lớp 5 - Phân công'!$I$262,0)),IF(S269="Lớp 4",IF(S268&lt;&gt;"Lớp 4",MATCH(1,INDEX(('Lớp 4 - Danh mục'!$I$14:$I$132&lt;&gt;"")*(COUNTIF('Lớp 5 - Phân công'!$J$14:$J$262,'Lớp 4 - Danh mục'!$I$14:$I$132)=0),0),0),T268+MATCH(1,INDEX((INDEX('Lớp 4 - Danh mục'!$I$14:$I$132,T268+1):'Lớp 4 - Danh mục'!$I$132&lt;&gt;"")*(COUNTIF('Lớp 5 - Phân công'!$J$14:$J$262,INDEX('Lớp 4 - Danh mục'!$I$14:$I$132,T268+1):'Lớp 4 - Danh mục'!$I$132)=0),0),0)),IF(S268&lt;&gt;"Lớp 3",MATCH(1,INDEX(('Lớp 3 - Công việc chính'!$I$14:$I$73&lt;&gt;"")*(COUNTIF('Lớp 4 - Danh mục'!$J$14:$J$132,'Lớp 3 - Công việc chính'!$I$14:$I$73)=0),0),0),T268+MATCH(1,INDEX((INDEX('Lớp 3 - Công việc chính'!$I$14:$I$73,T268+1):'Lớp 3 - Công việc chính'!$I$73&lt;&gt;"")*(COUNTIF('Lớp 4 - Danh mục'!$J$14:$J$132,INDEX('Lớp 3 - Công việc chính'!$I$14:$I$73,T268+1):'Lớp 3 - Công việc chính'!$I$73)=0),0),0)))))</f>
        <v>#REF!</v>
      </c>
      <c r="Z269" s="700" t="str">
        <f t="array" ref="Z269">IF($S269="","",IF($S269="Lớp 5",INDEX('Lớp 5 - Phân công'!$AS$14:$AS$262,$T269),IF($S269="Lớp 4",INDEX('Lớp 4 - Danh mục'!$AR$14:$AR$132,$T269),INDEX('Lớp 3 - Công việc chính'!$AO$14:$AO$73,$T269))))</f>
        <v>#REF!</v>
      </c>
      <c r="AA269" s="701" t="str">
        <f t="array" ref="AA269">IF($S269="","",IF($S269="Lớp 5",INDEX('Lớp 5 - Phân công'!$AT$14:$AT$262,$T269),IF($S269="Lớp 4",INDEX('Lớp 4 - Danh mục'!$AS$14:$AS$132,$T269),INDEX('Lớp 3 - Công việc chính'!$AP$14:$AP$73,$T269))))</f>
        <v>#REF!</v>
      </c>
      <c r="AB269" s="701" t="str">
        <f t="array" ref="AB269">IF($S269="","",IF($S269="Lớp 5",INDEX('Lớp 5 - Phân công'!$AJ$14:$AJ$262,$T269),IF($S269="Lớp 4",INDEX('Lớp 4 - Danh mục'!$AI$14:$AI$132,$T269),INDEX('Lớp 3 - Công việc chính'!$AF$14:$AF$73,$T269))))</f>
        <v>#REF!</v>
      </c>
      <c r="AC269" s="702" t="str">
        <f t="array" ref="AC269">IF($S269="","",IF($S269="Lớp 5",INDEX('Lớp 5 - Phân công'!$AV$14:$AV$262,$T269),IF($S269="Lớp 4",INDEX('Lớp 4 - Danh mục'!$AU$14:$AU$132,$T269),INDEX('Lớp 3 - Công việc chính'!$AR$14:$AR$73,$T269))))</f>
        <v>#REF!</v>
      </c>
    </row>
    <row r="270" ht="15.75" customHeight="1">
      <c r="A270" s="690" t="str">
        <f t="shared" si="1"/>
        <v>#REF!</v>
      </c>
      <c r="B270" s="690" t="str">
        <f t="array" ref="B270">IF($S270="","",IF($S270="Lớp 5",INDEX('Lớp 5 - Phân công'!$I$14:$I$262,$T270),IF($S270="Lớp 4",INDEX('Lớp 4 - Danh mục'!$I$14:$I$132,$T270),INDEX('Lớp 3 - Công việc chính'!$I$14:$I$73,$T270))))</f>
        <v>#REF!</v>
      </c>
      <c r="C270" s="690" t="str">
        <f t="array" ref="C270">IF($S270="","",IF($S270="Lớp 5",INDEX('Lớp 5 - Phân công'!$K$14:$K$262,$T270),IF($S270="Lớp 4",INDEX('Lớp 4 - Danh mục'!$J$14:$J$132,$T270),INDEX('Lớp 3 - Công việc chính'!$I$14:$I$73,$T270))))</f>
        <v>#REF!</v>
      </c>
      <c r="D270" s="690" t="str">
        <f t="array" ref="D270">IF($S270="","",IF($S270="Lớp 5",INDEX('Lớp 5 - Phân công'!$J$14:$J$262,$T270),IF($S270="Lớp 4",INDEX('Lớp 4 - Danh mục'!$I$14:$I$132,$T270),"")))</f>
        <v>#REF!</v>
      </c>
      <c r="E270" s="690" t="str">
        <f t="array" ref="E270">IF($S270="","",IF($S270="Lớp 5",INDEX('Lớp 5 - Phân công'!$L$14:$L$262,$T270),IF($S270="Lớp 4",INDEX('Lớp 4 - Danh mục'!$K$14:$K$132,$T270),INDEX('Lớp 3 - Công việc chính'!$J$14:$J$73,$T270))))</f>
        <v>#REF!</v>
      </c>
      <c r="F270" s="690" t="str">
        <f t="array" ref="F270">IF($S270="","",IF($S270="Lớp 5",INDEX('Lớp 5 - Phân công'!$M$14:$M$262,$T270),IF($S270="Lớp 4",INDEX('Lớp 4 - Danh mục'!$L$14:$L$132,$T270),INDEX('Lớp 3 - Công việc chính'!$K$14:$K$73,$T270))))</f>
        <v>#REF!</v>
      </c>
      <c r="G270" s="691" t="str">
        <f t="array" ref="G270">IF($S270="","",IF($S270="Lớp 5",INDEX('Lớp 5 - Phân công'!$N$14:$N$262,$T270),IF($S270="Lớp 4",INDEX('Lớp 4 - Danh mục'!$M$14:$M$132,$T270),INDEX('Lớp 3 - Công việc chính'!$L$14:$L$73,$T270))))</f>
        <v>#REF!</v>
      </c>
      <c r="H270" s="692" t="str">
        <f t="array" ref="H270">IF($S270="","",IF($S270="Lớp 5",INDEX('Lớp 5 - Phân công'!$O$14:$O$262,$T270),IF($S270="Lớp 4",INDEX('Lớp 4 - Danh mục'!$N$14:$N$132,$T270),INDEX('Lớp 3 - Công việc chính'!$M$14:$M$73,$T270))))</f>
        <v>#REF!</v>
      </c>
      <c r="I270" s="692" t="str">
        <f t="array" ref="I270">IF($S270="","",IF($S270="Lớp 5",INDEX('Lớp 5 - Phân công'!$P$14:$P$262,$T270),IF($S270="Lớp 4",INDEX('Lớp 4 - Danh mục'!$O$14:$O$132,$T270),"")))</f>
        <v>#REF!</v>
      </c>
      <c r="J270" s="693" t="str">
        <f t="array" ref="J270">IF($S270="","",IF($S270="Lớp 5",INDEX('Lớp 5 - Phân công'!$Q$14:$Q$262,$T270),""))</f>
        <v>#REF!</v>
      </c>
      <c r="K270" s="690" t="str">
        <f t="array" ref="K270">IF($S270="","",IF($S270="Lớp 5",INDEX('Lớp 5 - Phân công'!$AA$14:$AA$262,$T270),IF($S270="Lớp 4",INDEX('Lớp 4 - Danh mục'!$Y$14:$Y$132,$T270),INDEX('Lớp 3 - Công việc chính'!$U$14:$U$73,$T270))))</f>
        <v>#REF!</v>
      </c>
      <c r="L270" s="691" t="str">
        <f t="array" ref="L270">IF($S270="","",IF($S270="Lớp 5",INDEX('Lớp 5 - Phân công'!$Z$14:$Z$262,$T270),IF($S270="Lớp 4",INDEX('Lớp 4 - Danh mục'!$X$14:$X$132,$T270),INDEX('Lớp 3 - Công việc chính'!$W$14:$W$73,$T270))))</f>
        <v>#REF!</v>
      </c>
      <c r="M270" s="694" t="str">
        <f t="array" ref="M270">IF($S270="","",IF($S270="Lớp 5",INDEX('Lớp 5 - Phân công'!$AD$14:$AD$262,$T270),IF($S270="Lớp 4",INDEX('Lớp 4 - Danh mục'!$AC$14:$AC$132,$T270),INDEX('Lớp 3 - Công việc chính'!$Z$14:$Z$73,$T270))))</f>
        <v>#REF!</v>
      </c>
      <c r="N270" s="695" t="str">
        <f t="array" ref="N270">IF($S270="","",IF($S270="Lớp 5",INDEX('Lớp 5 - Phân công'!$AE$14:$AE$262,$T270),IF($S270="Lớp 4",INDEX('Lớp 4 - Danh mục'!$AD$14:$AD$132,$T270),INDEX('Lớp 3 - Công việc chính'!$AA$14:$AA$73,$T270))))</f>
        <v>#REF!</v>
      </c>
      <c r="O270" s="690" t="str">
        <f t="array" ref="O270">IF($S270="","",IF($S270="Lớp 5",INDEX('Lớp 5 - Phân công'!$AB$14:$AB$262,$T270),IF($S270="Lớp 4",INDEX('Lớp 4 - Danh mục'!$AA$14:$AA$132,$T270),INDEX('Lớp 3 - Công việc chính'!$X$14:$X$73,$T270))))</f>
        <v>#REF!</v>
      </c>
      <c r="P270" s="703" t="str">
        <f t="array" ref="P270">IF($S270="","",IF($S270="Lớp 5",INDEX('Lớp 5 - Phân công'!$AC$14:$AC$262,$T270),IF($S270="Lớp 4",INDEX('Lớp 4 - Danh mục'!$AB$14:$AB$132,$T270),INDEX('Lớp 3 - Công việc chính'!$Y$14:$Y$73,$T270))))</f>
        <v>#REF!</v>
      </c>
      <c r="Q270" s="697" t="str">
        <f t="array" ref="Q270">IF($S270="","",IF($S270="Lớp 5",INDEX('Lớp 5 - Phân công'!$AG$14:$AG$262,$T270),IF($S270="Lớp 4",INDEX('Lớp 4 - Danh mục'!$AF$14:$AF$132,$T270),INDEX('Lớp 3 - Công việc chính'!$AC$14:$AC$73,$T270))))</f>
        <v>#REF!</v>
      </c>
      <c r="R270" s="698" t="str">
        <f t="array" ref="R270">IF($S270="","",IF($S270="Lớp 5",INDEX('Lớp 5 - Phân công'!$X$14:$X$262,$T270),IF($S270="Lớp 4",INDEX('Lớp 4 - Danh mục'!$V$14:$V$132,$T270),INDEX('Lớp 3 - Công việc chính'!$T$14:$T$73,$T270))))</f>
        <v>#REF!</v>
      </c>
      <c r="S270" s="699" t="str">
        <f>IF(ROWS($S$14:S270)&lt;=COUNTIF('Lớp 5 - Phân công'!$I$14:$I$262,"&lt;&gt;"),"Lớp 5",IF(ROWS($S$14:S270)&lt;=COUNTIF('Lớp 5 - Phân công'!$I$14:$I$262,"&lt;&gt;")+SUMPRODUCT(--('Lớp 4 - Danh mục'!$I$14:$I$132&lt;&gt;""),--(COUNTIF('Lớp 5 - Phân công'!$J$14:$J$262,'Lớp 4 - Danh mục'!$I$14:$I$132)=0)),"Lớp 4",IF(ROWS($S$14:S270)&lt;=COUNTIF('Lớp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0" s="699" t="str">
        <f t="array" ref="T270">IF(S270="","",IF(S270="Lớp 5",IF(S269&lt;&gt;"Lớp 5",MATCH("*",'Lớp 5 - Phân công'!$I$14:$I$262,0),T269+MATCH("*",INDEX('Lớp 5 - Phân công'!$I$14:$I$262,T269+1):'Lớp 5 - Phân công'!$I$262,0)),IF(S270="Lớp 4",IF(S269&lt;&gt;"Lớp 4",MATCH(1,INDEX(('Lớp 4 - Danh mục'!$I$14:$I$132&lt;&gt;"")*(COUNTIF('Lớp 5 - Phân công'!$J$14:$J$262,'Lớp 4 - Danh mục'!$I$14:$I$132)=0),0),0),T269+MATCH(1,INDEX((INDEX('Lớp 4 - Danh mục'!$I$14:$I$132,T269+1):'Lớp 4 - Danh mục'!$I$132&lt;&gt;"")*(COUNTIF('Lớp 5 - Phân công'!$J$14:$J$262,INDEX('Lớp 4 - Danh mục'!$I$14:$I$132,T269+1):'Lớp 4 - Danh mục'!$I$132)=0),0),0)),IF(S269&lt;&gt;"Lớp 3",MATCH(1,INDEX(('Lớp 3 - Công việc chính'!$I$14:$I$73&lt;&gt;"")*(COUNTIF('Lớp 4 - Danh mục'!$J$14:$J$132,'Lớp 3 - Công việc chính'!$I$14:$I$73)=0),0),0),T269+MATCH(1,INDEX((INDEX('Lớp 3 - Công việc chính'!$I$14:$I$73,T269+1):'Lớp 3 - Công việc chính'!$I$73&lt;&gt;"")*(COUNTIF('Lớp 4 - Danh mục'!$J$14:$J$132,INDEX('Lớp 3 - Công việc chính'!$I$14:$I$73,T269+1):'Lớp 3 - Công việc chính'!$I$73)=0),0),0)))))</f>
        <v>#REF!</v>
      </c>
      <c r="Z270" s="700" t="str">
        <f t="array" ref="Z270">IF($S270="","",IF($S270="Lớp 5",INDEX('Lớp 5 - Phân công'!$AS$14:$AS$262,$T270),IF($S270="Lớp 4",INDEX('Lớp 4 - Danh mục'!$AR$14:$AR$132,$T270),INDEX('Lớp 3 - Công việc chính'!$AO$14:$AO$73,$T270))))</f>
        <v>#REF!</v>
      </c>
      <c r="AA270" s="701" t="str">
        <f t="array" ref="AA270">IF($S270="","",IF($S270="Lớp 5",INDEX('Lớp 5 - Phân công'!$AT$14:$AT$262,$T270),IF($S270="Lớp 4",INDEX('Lớp 4 - Danh mục'!$AS$14:$AS$132,$T270),INDEX('Lớp 3 - Công việc chính'!$AP$14:$AP$73,$T270))))</f>
        <v>#REF!</v>
      </c>
      <c r="AB270" s="701" t="str">
        <f t="array" ref="AB270">IF($S270="","",IF($S270="Lớp 5",INDEX('Lớp 5 - Phân công'!$AJ$14:$AJ$262,$T270),IF($S270="Lớp 4",INDEX('Lớp 4 - Danh mục'!$AI$14:$AI$132,$T270),INDEX('Lớp 3 - Công việc chính'!$AF$14:$AF$73,$T270))))</f>
        <v>#REF!</v>
      </c>
      <c r="AC270" s="702" t="str">
        <f t="array" ref="AC270">IF($S270="","",IF($S270="Lớp 5",INDEX('Lớp 5 - Phân công'!$AV$14:$AV$262,$T270),IF($S270="Lớp 4",INDEX('Lớp 4 - Danh mục'!$AU$14:$AU$132,$T270),INDEX('Lớp 3 - Công việc chính'!$AR$14:$AR$73,$T270))))</f>
        <v>#REF!</v>
      </c>
    </row>
    <row r="271" ht="15.75" customHeight="1">
      <c r="A271" s="690" t="str">
        <f t="shared" si="1"/>
        <v>#REF!</v>
      </c>
      <c r="B271" s="690" t="str">
        <f t="array" ref="B271">IF($S271="","",IF($S271="Lớp 5",INDEX('Lớp 5 - Phân công'!$I$14:$I$262,$T271),IF($S271="Lớp 4",INDEX('Lớp 4 - Danh mục'!$I$14:$I$132,$T271),INDEX('Lớp 3 - Công việc chính'!$I$14:$I$73,$T271))))</f>
        <v>#REF!</v>
      </c>
      <c r="C271" s="690" t="str">
        <f t="array" ref="C271">IF($S271="","",IF($S271="Lớp 5",INDEX('Lớp 5 - Phân công'!$K$14:$K$262,$T271),IF($S271="Lớp 4",INDEX('Lớp 4 - Danh mục'!$J$14:$J$132,$T271),INDEX('Lớp 3 - Công việc chính'!$I$14:$I$73,$T271))))</f>
        <v>#REF!</v>
      </c>
      <c r="D271" s="690" t="str">
        <f t="array" ref="D271">IF($S271="","",IF($S271="Lớp 5",INDEX('Lớp 5 - Phân công'!$J$14:$J$262,$T271),IF($S271="Lớp 4",INDEX('Lớp 4 - Danh mục'!$I$14:$I$132,$T271),"")))</f>
        <v>#REF!</v>
      </c>
      <c r="E271" s="690" t="str">
        <f t="array" ref="E271">IF($S271="","",IF($S271="Lớp 5",INDEX('Lớp 5 - Phân công'!$L$14:$L$262,$T271),IF($S271="Lớp 4",INDEX('Lớp 4 - Danh mục'!$K$14:$K$132,$T271),INDEX('Lớp 3 - Công việc chính'!$J$14:$J$73,$T271))))</f>
        <v>#REF!</v>
      </c>
      <c r="F271" s="690" t="str">
        <f t="array" ref="F271">IF($S271="","",IF($S271="Lớp 5",INDEX('Lớp 5 - Phân công'!$M$14:$M$262,$T271),IF($S271="Lớp 4",INDEX('Lớp 4 - Danh mục'!$L$14:$L$132,$T271),INDEX('Lớp 3 - Công việc chính'!$K$14:$K$73,$T271))))</f>
        <v>#REF!</v>
      </c>
      <c r="G271" s="691" t="str">
        <f t="array" ref="G271">IF($S271="","",IF($S271="Lớp 5",INDEX('Lớp 5 - Phân công'!$N$14:$N$262,$T271),IF($S271="Lớp 4",INDEX('Lớp 4 - Danh mục'!$M$14:$M$132,$T271),INDEX('Lớp 3 - Công việc chính'!$L$14:$L$73,$T271))))</f>
        <v>#REF!</v>
      </c>
      <c r="H271" s="692" t="str">
        <f t="array" ref="H271">IF($S271="","",IF($S271="Lớp 5",INDEX('Lớp 5 - Phân công'!$O$14:$O$262,$T271),IF($S271="Lớp 4",INDEX('Lớp 4 - Danh mục'!$N$14:$N$132,$T271),INDEX('Lớp 3 - Công việc chính'!$M$14:$M$73,$T271))))</f>
        <v>#REF!</v>
      </c>
      <c r="I271" s="692" t="str">
        <f t="array" ref="I271">IF($S271="","",IF($S271="Lớp 5",INDEX('Lớp 5 - Phân công'!$P$14:$P$262,$T271),IF($S271="Lớp 4",INDEX('Lớp 4 - Danh mục'!$O$14:$O$132,$T271),"")))</f>
        <v>#REF!</v>
      </c>
      <c r="J271" s="693" t="str">
        <f t="array" ref="J271">IF($S271="","",IF($S271="Lớp 5",INDEX('Lớp 5 - Phân công'!$Q$14:$Q$262,$T271),""))</f>
        <v>#REF!</v>
      </c>
      <c r="K271" s="690" t="str">
        <f t="array" ref="K271">IF($S271="","",IF($S271="Lớp 5",INDEX('Lớp 5 - Phân công'!$AA$14:$AA$262,$T271),IF($S271="Lớp 4",INDEX('Lớp 4 - Danh mục'!$Y$14:$Y$132,$T271),INDEX('Lớp 3 - Công việc chính'!$U$14:$U$73,$T271))))</f>
        <v>#REF!</v>
      </c>
      <c r="L271" s="691" t="str">
        <f t="array" ref="L271">IF($S271="","",IF($S271="Lớp 5",INDEX('Lớp 5 - Phân công'!$Z$14:$Z$262,$T271),IF($S271="Lớp 4",INDEX('Lớp 4 - Danh mục'!$X$14:$X$132,$T271),INDEX('Lớp 3 - Công việc chính'!$W$14:$W$73,$T271))))</f>
        <v>#REF!</v>
      </c>
      <c r="M271" s="694" t="str">
        <f t="array" ref="M271">IF($S271="","",IF($S271="Lớp 5",INDEX('Lớp 5 - Phân công'!$AD$14:$AD$262,$T271),IF($S271="Lớp 4",INDEX('Lớp 4 - Danh mục'!$AC$14:$AC$132,$T271),INDEX('Lớp 3 - Công việc chính'!$Z$14:$Z$73,$T271))))</f>
        <v>#REF!</v>
      </c>
      <c r="N271" s="695" t="str">
        <f t="array" ref="N271">IF($S271="","",IF($S271="Lớp 5",INDEX('Lớp 5 - Phân công'!$AE$14:$AE$262,$T271),IF($S271="Lớp 4",INDEX('Lớp 4 - Danh mục'!$AD$14:$AD$132,$T271),INDEX('Lớp 3 - Công việc chính'!$AA$14:$AA$73,$T271))))</f>
        <v>#REF!</v>
      </c>
      <c r="O271" s="690" t="str">
        <f t="array" ref="O271">IF($S271="","",IF($S271="Lớp 5",INDEX('Lớp 5 - Phân công'!$AB$14:$AB$262,$T271),IF($S271="Lớp 4",INDEX('Lớp 4 - Danh mục'!$AA$14:$AA$132,$T271),INDEX('Lớp 3 - Công việc chính'!$X$14:$X$73,$T271))))</f>
        <v>#REF!</v>
      </c>
      <c r="P271" s="703" t="str">
        <f t="array" ref="P271">IF($S271="","",IF($S271="Lớp 5",INDEX('Lớp 5 - Phân công'!$AC$14:$AC$262,$T271),IF($S271="Lớp 4",INDEX('Lớp 4 - Danh mục'!$AB$14:$AB$132,$T271),INDEX('Lớp 3 - Công việc chính'!$Y$14:$Y$73,$T271))))</f>
        <v>#REF!</v>
      </c>
      <c r="Q271" s="697" t="str">
        <f t="array" ref="Q271">IF($S271="","",IF($S271="Lớp 5",INDEX('Lớp 5 - Phân công'!$AG$14:$AG$262,$T271),IF($S271="Lớp 4",INDEX('Lớp 4 - Danh mục'!$AF$14:$AF$132,$T271),INDEX('Lớp 3 - Công việc chính'!$AC$14:$AC$73,$T271))))</f>
        <v>#REF!</v>
      </c>
      <c r="R271" s="698" t="str">
        <f t="array" ref="R271">IF($S271="","",IF($S271="Lớp 5",INDEX('Lớp 5 - Phân công'!$X$14:$X$262,$T271),IF($S271="Lớp 4",INDEX('Lớp 4 - Danh mục'!$V$14:$V$132,$T271),INDEX('Lớp 3 - Công việc chính'!$T$14:$T$73,$T271))))</f>
        <v>#REF!</v>
      </c>
      <c r="S271" s="699" t="str">
        <f>IF(ROWS($S$14:S271)&lt;=COUNTIF('Lớp 5 - Phân công'!$I$14:$I$262,"&lt;&gt;"),"Lớp 5",IF(ROWS($S$14:S271)&lt;=COUNTIF('Lớp 5 - Phân công'!$I$14:$I$262,"&lt;&gt;")+SUMPRODUCT(--('Lớp 4 - Danh mục'!$I$14:$I$132&lt;&gt;""),--(COUNTIF('Lớp 5 - Phân công'!$J$14:$J$262,'Lớp 4 - Danh mục'!$I$14:$I$132)=0)),"Lớp 4",IF(ROWS($S$14:S271)&lt;=COUNTIF('Lớp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1" s="699" t="str">
        <f t="array" ref="T271">IF(S271="","",IF(S271="Lớp 5",IF(S270&lt;&gt;"Lớp 5",MATCH("*",'Lớp 5 - Phân công'!$I$14:$I$262,0),T270+MATCH("*",INDEX('Lớp 5 - Phân công'!$I$14:$I$262,T270+1):'Lớp 5 - Phân công'!$I$262,0)),IF(S271="Lớp 4",IF(S270&lt;&gt;"Lớp 4",MATCH(1,INDEX(('Lớp 4 - Danh mục'!$I$14:$I$132&lt;&gt;"")*(COUNTIF('Lớp 5 - Phân công'!$J$14:$J$262,'Lớp 4 - Danh mục'!$I$14:$I$132)=0),0),0),T270+MATCH(1,INDEX((INDEX('Lớp 4 - Danh mục'!$I$14:$I$132,T270+1):'Lớp 4 - Danh mục'!$I$132&lt;&gt;"")*(COUNTIF('Lớp 5 - Phân công'!$J$14:$J$262,INDEX('Lớp 4 - Danh mục'!$I$14:$I$132,T270+1):'Lớp 4 - Danh mục'!$I$132)=0),0),0)),IF(S270&lt;&gt;"Lớp 3",MATCH(1,INDEX(('Lớp 3 - Công việc chính'!$I$14:$I$73&lt;&gt;"")*(COUNTIF('Lớp 4 - Danh mục'!$J$14:$J$132,'Lớp 3 - Công việc chính'!$I$14:$I$73)=0),0),0),T270+MATCH(1,INDEX((INDEX('Lớp 3 - Công việc chính'!$I$14:$I$73,T270+1):'Lớp 3 - Công việc chính'!$I$73&lt;&gt;"")*(COUNTIF('Lớp 4 - Danh mục'!$J$14:$J$132,INDEX('Lớp 3 - Công việc chính'!$I$14:$I$73,T270+1):'Lớp 3 - Công việc chính'!$I$73)=0),0),0)))))</f>
        <v>#REF!</v>
      </c>
      <c r="Z271" s="700" t="str">
        <f t="array" ref="Z271">IF($S271="","",IF($S271="Lớp 5",INDEX('Lớp 5 - Phân công'!$AS$14:$AS$262,$T271),IF($S271="Lớp 4",INDEX('Lớp 4 - Danh mục'!$AR$14:$AR$132,$T271),INDEX('Lớp 3 - Công việc chính'!$AO$14:$AO$73,$T271))))</f>
        <v>#REF!</v>
      </c>
      <c r="AA271" s="701" t="str">
        <f t="array" ref="AA271">IF($S271="","",IF($S271="Lớp 5",INDEX('Lớp 5 - Phân công'!$AT$14:$AT$262,$T271),IF($S271="Lớp 4",INDEX('Lớp 4 - Danh mục'!$AS$14:$AS$132,$T271),INDEX('Lớp 3 - Công việc chính'!$AP$14:$AP$73,$T271))))</f>
        <v>#REF!</v>
      </c>
      <c r="AB271" s="701" t="str">
        <f t="array" ref="AB271">IF($S271="","",IF($S271="Lớp 5",INDEX('Lớp 5 - Phân công'!$AJ$14:$AJ$262,$T271),IF($S271="Lớp 4",INDEX('Lớp 4 - Danh mục'!$AI$14:$AI$132,$T271),INDEX('Lớp 3 - Công việc chính'!$AF$14:$AF$73,$T271))))</f>
        <v>#REF!</v>
      </c>
      <c r="AC271" s="702" t="str">
        <f t="array" ref="AC271">IF($S271="","",IF($S271="Lớp 5",INDEX('Lớp 5 - Phân công'!$AV$14:$AV$262,$T271),IF($S271="Lớp 4",INDEX('Lớp 4 - Danh mục'!$AU$14:$AU$132,$T271),INDEX('Lớp 3 - Công việc chính'!$AR$14:$AR$73,$T271))))</f>
        <v>#REF!</v>
      </c>
    </row>
    <row r="272" ht="15.75" customHeight="1">
      <c r="A272" s="690" t="str">
        <f t="shared" si="1"/>
        <v>#REF!</v>
      </c>
      <c r="B272" s="690" t="str">
        <f t="array" ref="B272">IF($S272="","",IF($S272="Lớp 5",INDEX('Lớp 5 - Phân công'!$I$14:$I$262,$T272),IF($S272="Lớp 4",INDEX('Lớp 4 - Danh mục'!$I$14:$I$132,$T272),INDEX('Lớp 3 - Công việc chính'!$I$14:$I$73,$T272))))</f>
        <v>#REF!</v>
      </c>
      <c r="C272" s="690" t="str">
        <f t="array" ref="C272">IF($S272="","",IF($S272="Lớp 5",INDEX('Lớp 5 - Phân công'!$K$14:$K$262,$T272),IF($S272="Lớp 4",INDEX('Lớp 4 - Danh mục'!$J$14:$J$132,$T272),INDEX('Lớp 3 - Công việc chính'!$I$14:$I$73,$T272))))</f>
        <v>#REF!</v>
      </c>
      <c r="D272" s="690" t="str">
        <f t="array" ref="D272">IF($S272="","",IF($S272="Lớp 5",INDEX('Lớp 5 - Phân công'!$J$14:$J$262,$T272),IF($S272="Lớp 4",INDEX('Lớp 4 - Danh mục'!$I$14:$I$132,$T272),"")))</f>
        <v>#REF!</v>
      </c>
      <c r="E272" s="690" t="str">
        <f t="array" ref="E272">IF($S272="","",IF($S272="Lớp 5",INDEX('Lớp 5 - Phân công'!$L$14:$L$262,$T272),IF($S272="Lớp 4",INDEX('Lớp 4 - Danh mục'!$K$14:$K$132,$T272),INDEX('Lớp 3 - Công việc chính'!$J$14:$J$73,$T272))))</f>
        <v>#REF!</v>
      </c>
      <c r="F272" s="690" t="str">
        <f t="array" ref="F272">IF($S272="","",IF($S272="Lớp 5",INDEX('Lớp 5 - Phân công'!$M$14:$M$262,$T272),IF($S272="Lớp 4",INDEX('Lớp 4 - Danh mục'!$L$14:$L$132,$T272),INDEX('Lớp 3 - Công việc chính'!$K$14:$K$73,$T272))))</f>
        <v>#REF!</v>
      </c>
      <c r="G272" s="691" t="str">
        <f t="array" ref="G272">IF($S272="","",IF($S272="Lớp 5",INDEX('Lớp 5 - Phân công'!$N$14:$N$262,$T272),IF($S272="Lớp 4",INDEX('Lớp 4 - Danh mục'!$M$14:$M$132,$T272),INDEX('Lớp 3 - Công việc chính'!$L$14:$L$73,$T272))))</f>
        <v>#REF!</v>
      </c>
      <c r="H272" s="692" t="str">
        <f t="array" ref="H272">IF($S272="","",IF($S272="Lớp 5",INDEX('Lớp 5 - Phân công'!$O$14:$O$262,$T272),IF($S272="Lớp 4",INDEX('Lớp 4 - Danh mục'!$N$14:$N$132,$T272),INDEX('Lớp 3 - Công việc chính'!$M$14:$M$73,$T272))))</f>
        <v>#REF!</v>
      </c>
      <c r="I272" s="692" t="str">
        <f t="array" ref="I272">IF($S272="","",IF($S272="Lớp 5",INDEX('Lớp 5 - Phân công'!$P$14:$P$262,$T272),IF($S272="Lớp 4",INDEX('Lớp 4 - Danh mục'!$O$14:$O$132,$T272),"")))</f>
        <v>#REF!</v>
      </c>
      <c r="J272" s="693" t="str">
        <f t="array" ref="J272">IF($S272="","",IF($S272="Lớp 5",INDEX('Lớp 5 - Phân công'!$Q$14:$Q$262,$T272),""))</f>
        <v>#REF!</v>
      </c>
      <c r="K272" s="690" t="str">
        <f t="array" ref="K272">IF($S272="","",IF($S272="Lớp 5",INDEX('Lớp 5 - Phân công'!$AA$14:$AA$262,$T272),IF($S272="Lớp 4",INDEX('Lớp 4 - Danh mục'!$Y$14:$Y$132,$T272),INDEX('Lớp 3 - Công việc chính'!$U$14:$U$73,$T272))))</f>
        <v>#REF!</v>
      </c>
      <c r="L272" s="691" t="str">
        <f t="array" ref="L272">IF($S272="","",IF($S272="Lớp 5",INDEX('Lớp 5 - Phân công'!$Z$14:$Z$262,$T272),IF($S272="Lớp 4",INDEX('Lớp 4 - Danh mục'!$X$14:$X$132,$T272),INDEX('Lớp 3 - Công việc chính'!$W$14:$W$73,$T272))))</f>
        <v>#REF!</v>
      </c>
      <c r="M272" s="694" t="str">
        <f t="array" ref="M272">IF($S272="","",IF($S272="Lớp 5",INDEX('Lớp 5 - Phân công'!$AD$14:$AD$262,$T272),IF($S272="Lớp 4",INDEX('Lớp 4 - Danh mục'!$AC$14:$AC$132,$T272),INDEX('Lớp 3 - Công việc chính'!$Z$14:$Z$73,$T272))))</f>
        <v>#REF!</v>
      </c>
      <c r="N272" s="695" t="str">
        <f t="array" ref="N272">IF($S272="","",IF($S272="Lớp 5",INDEX('Lớp 5 - Phân công'!$AE$14:$AE$262,$T272),IF($S272="Lớp 4",INDEX('Lớp 4 - Danh mục'!$AD$14:$AD$132,$T272),INDEX('Lớp 3 - Công việc chính'!$AA$14:$AA$73,$T272))))</f>
        <v>#REF!</v>
      </c>
      <c r="O272" s="690" t="str">
        <f t="array" ref="O272">IF($S272="","",IF($S272="Lớp 5",INDEX('Lớp 5 - Phân công'!$AB$14:$AB$262,$T272),IF($S272="Lớp 4",INDEX('Lớp 4 - Danh mục'!$AA$14:$AA$132,$T272),INDEX('Lớp 3 - Công việc chính'!$X$14:$X$73,$T272))))</f>
        <v>#REF!</v>
      </c>
      <c r="P272" s="703" t="str">
        <f t="array" ref="P272">IF($S272="","",IF($S272="Lớp 5",INDEX('Lớp 5 - Phân công'!$AC$14:$AC$262,$T272),IF($S272="Lớp 4",INDEX('Lớp 4 - Danh mục'!$AB$14:$AB$132,$T272),INDEX('Lớp 3 - Công việc chính'!$Y$14:$Y$73,$T272))))</f>
        <v>#REF!</v>
      </c>
      <c r="Q272" s="697" t="str">
        <f t="array" ref="Q272">IF($S272="","",IF($S272="Lớp 5",INDEX('Lớp 5 - Phân công'!$AG$14:$AG$262,$T272),IF($S272="Lớp 4",INDEX('Lớp 4 - Danh mục'!$AF$14:$AF$132,$T272),INDEX('Lớp 3 - Công việc chính'!$AC$14:$AC$73,$T272))))</f>
        <v>#REF!</v>
      </c>
      <c r="R272" s="698" t="str">
        <f t="array" ref="R272">IF($S272="","",IF($S272="Lớp 5",INDEX('Lớp 5 - Phân công'!$X$14:$X$262,$T272),IF($S272="Lớp 4",INDEX('Lớp 4 - Danh mục'!$V$14:$V$132,$T272),INDEX('Lớp 3 - Công việc chính'!$T$14:$T$73,$T272))))</f>
        <v>#REF!</v>
      </c>
      <c r="S272" s="699" t="str">
        <f>IF(ROWS($S$14:S272)&lt;=COUNTIF('Lớp 5 - Phân công'!$I$14:$I$262,"&lt;&gt;"),"Lớp 5",IF(ROWS($S$14:S272)&lt;=COUNTIF('Lớp 5 - Phân công'!$I$14:$I$262,"&lt;&gt;")+SUMPRODUCT(--('Lớp 4 - Danh mục'!$I$14:$I$132&lt;&gt;""),--(COUNTIF('Lớp 5 - Phân công'!$J$14:$J$262,'Lớp 4 - Danh mục'!$I$14:$I$132)=0)),"Lớp 4",IF(ROWS($S$14:S272)&lt;=COUNTIF('Lớp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2" s="699" t="str">
        <f t="array" ref="T272">IF(S272="","",IF(S272="Lớp 5",IF(S271&lt;&gt;"Lớp 5",MATCH("*",'Lớp 5 - Phân công'!$I$14:$I$262,0),T271+MATCH("*",INDEX('Lớp 5 - Phân công'!$I$14:$I$262,T271+1):'Lớp 5 - Phân công'!$I$262,0)),IF(S272="Lớp 4",IF(S271&lt;&gt;"Lớp 4",MATCH(1,INDEX(('Lớp 4 - Danh mục'!$I$14:$I$132&lt;&gt;"")*(COUNTIF('Lớp 5 - Phân công'!$J$14:$J$262,'Lớp 4 - Danh mục'!$I$14:$I$132)=0),0),0),T271+MATCH(1,INDEX((INDEX('Lớp 4 - Danh mục'!$I$14:$I$132,T271+1):'Lớp 4 - Danh mục'!$I$132&lt;&gt;"")*(COUNTIF('Lớp 5 - Phân công'!$J$14:$J$262,INDEX('Lớp 4 - Danh mục'!$I$14:$I$132,T271+1):'Lớp 4 - Danh mục'!$I$132)=0),0),0)),IF(S271&lt;&gt;"Lớp 3",MATCH(1,INDEX(('Lớp 3 - Công việc chính'!$I$14:$I$73&lt;&gt;"")*(COUNTIF('Lớp 4 - Danh mục'!$J$14:$J$132,'Lớp 3 - Công việc chính'!$I$14:$I$73)=0),0),0),T271+MATCH(1,INDEX((INDEX('Lớp 3 - Công việc chính'!$I$14:$I$73,T271+1):'Lớp 3 - Công việc chính'!$I$73&lt;&gt;"")*(COUNTIF('Lớp 4 - Danh mục'!$J$14:$J$132,INDEX('Lớp 3 - Công việc chính'!$I$14:$I$73,T271+1):'Lớp 3 - Công việc chính'!$I$73)=0),0),0)))))</f>
        <v>#REF!</v>
      </c>
      <c r="Z272" s="700" t="str">
        <f t="array" ref="Z272">IF($S272="","",IF($S272="Lớp 5",INDEX('Lớp 5 - Phân công'!$AS$14:$AS$262,$T272),IF($S272="Lớp 4",INDEX('Lớp 4 - Danh mục'!$AR$14:$AR$132,$T272),INDEX('Lớp 3 - Công việc chính'!$AO$14:$AO$73,$T272))))</f>
        <v>#REF!</v>
      </c>
      <c r="AA272" s="701" t="str">
        <f t="array" ref="AA272">IF($S272="","",IF($S272="Lớp 5",INDEX('Lớp 5 - Phân công'!$AT$14:$AT$262,$T272),IF($S272="Lớp 4",INDEX('Lớp 4 - Danh mục'!$AS$14:$AS$132,$T272),INDEX('Lớp 3 - Công việc chính'!$AP$14:$AP$73,$T272))))</f>
        <v>#REF!</v>
      </c>
      <c r="AB272" s="701" t="str">
        <f t="array" ref="AB272">IF($S272="","",IF($S272="Lớp 5",INDEX('Lớp 5 - Phân công'!$AJ$14:$AJ$262,$T272),IF($S272="Lớp 4",INDEX('Lớp 4 - Danh mục'!$AI$14:$AI$132,$T272),INDEX('Lớp 3 - Công việc chính'!$AF$14:$AF$73,$T272))))</f>
        <v>#REF!</v>
      </c>
      <c r="AC272" s="702" t="str">
        <f t="array" ref="AC272">IF($S272="","",IF($S272="Lớp 5",INDEX('Lớp 5 - Phân công'!$AV$14:$AV$262,$T272),IF($S272="Lớp 4",INDEX('Lớp 4 - Danh mục'!$AU$14:$AU$132,$T272),INDEX('Lớp 3 - Công việc chính'!$AR$14:$AR$73,$T272))))</f>
        <v>#REF!</v>
      </c>
    </row>
    <row r="273" ht="15.75" customHeight="1">
      <c r="A273" s="690" t="str">
        <f t="shared" si="1"/>
        <v>#REF!</v>
      </c>
      <c r="B273" s="690" t="str">
        <f t="array" ref="B273">IF($S273="","",IF($S273="Lớp 5",INDEX('Lớp 5 - Phân công'!$I$14:$I$262,$T273),IF($S273="Lớp 4",INDEX('Lớp 4 - Danh mục'!$I$14:$I$132,$T273),INDEX('Lớp 3 - Công việc chính'!$I$14:$I$73,$T273))))</f>
        <v>#REF!</v>
      </c>
      <c r="C273" s="690" t="str">
        <f t="array" ref="C273">IF($S273="","",IF($S273="Lớp 5",INDEX('Lớp 5 - Phân công'!$K$14:$K$262,$T273),IF($S273="Lớp 4",INDEX('Lớp 4 - Danh mục'!$J$14:$J$132,$T273),INDEX('Lớp 3 - Công việc chính'!$I$14:$I$73,$T273))))</f>
        <v>#REF!</v>
      </c>
      <c r="D273" s="690" t="str">
        <f t="array" ref="D273">IF($S273="","",IF($S273="Lớp 5",INDEX('Lớp 5 - Phân công'!$J$14:$J$262,$T273),IF($S273="Lớp 4",INDEX('Lớp 4 - Danh mục'!$I$14:$I$132,$T273),"")))</f>
        <v>#REF!</v>
      </c>
      <c r="E273" s="690" t="str">
        <f t="array" ref="E273">IF($S273="","",IF($S273="Lớp 5",INDEX('Lớp 5 - Phân công'!$L$14:$L$262,$T273),IF($S273="Lớp 4",INDEX('Lớp 4 - Danh mục'!$K$14:$K$132,$T273),INDEX('Lớp 3 - Công việc chính'!$J$14:$J$73,$T273))))</f>
        <v>#REF!</v>
      </c>
      <c r="F273" s="690" t="str">
        <f t="array" ref="F273">IF($S273="","",IF($S273="Lớp 5",INDEX('Lớp 5 - Phân công'!$M$14:$M$262,$T273),IF($S273="Lớp 4",INDEX('Lớp 4 - Danh mục'!$L$14:$L$132,$T273),INDEX('Lớp 3 - Công việc chính'!$K$14:$K$73,$T273))))</f>
        <v>#REF!</v>
      </c>
      <c r="G273" s="691" t="str">
        <f t="array" ref="G273">IF($S273="","",IF($S273="Lớp 5",INDEX('Lớp 5 - Phân công'!$N$14:$N$262,$T273),IF($S273="Lớp 4",INDEX('Lớp 4 - Danh mục'!$M$14:$M$132,$T273),INDEX('Lớp 3 - Công việc chính'!$L$14:$L$73,$T273))))</f>
        <v>#REF!</v>
      </c>
      <c r="H273" s="692" t="str">
        <f t="array" ref="H273">IF($S273="","",IF($S273="Lớp 5",INDEX('Lớp 5 - Phân công'!$O$14:$O$262,$T273),IF($S273="Lớp 4",INDEX('Lớp 4 - Danh mục'!$N$14:$N$132,$T273),INDEX('Lớp 3 - Công việc chính'!$M$14:$M$73,$T273))))</f>
        <v>#REF!</v>
      </c>
      <c r="I273" s="692" t="str">
        <f t="array" ref="I273">IF($S273="","",IF($S273="Lớp 5",INDEX('Lớp 5 - Phân công'!$P$14:$P$262,$T273),IF($S273="Lớp 4",INDEX('Lớp 4 - Danh mục'!$O$14:$O$132,$T273),"")))</f>
        <v>#REF!</v>
      </c>
      <c r="J273" s="693" t="str">
        <f t="array" ref="J273">IF($S273="","",IF($S273="Lớp 5",INDEX('Lớp 5 - Phân công'!$Q$14:$Q$262,$T273),""))</f>
        <v>#REF!</v>
      </c>
      <c r="K273" s="690" t="str">
        <f t="array" ref="K273">IF($S273="","",IF($S273="Lớp 5",INDEX('Lớp 5 - Phân công'!$AA$14:$AA$262,$T273),IF($S273="Lớp 4",INDEX('Lớp 4 - Danh mục'!$Y$14:$Y$132,$T273),INDEX('Lớp 3 - Công việc chính'!$U$14:$U$73,$T273))))</f>
        <v>#REF!</v>
      </c>
      <c r="L273" s="691" t="str">
        <f t="array" ref="L273">IF($S273="","",IF($S273="Lớp 5",INDEX('Lớp 5 - Phân công'!$Z$14:$Z$262,$T273),IF($S273="Lớp 4",INDEX('Lớp 4 - Danh mục'!$X$14:$X$132,$T273),INDEX('Lớp 3 - Công việc chính'!$W$14:$W$73,$T273))))</f>
        <v>#REF!</v>
      </c>
      <c r="M273" s="694" t="str">
        <f t="array" ref="M273">IF($S273="","",IF($S273="Lớp 5",INDEX('Lớp 5 - Phân công'!$AD$14:$AD$262,$T273),IF($S273="Lớp 4",INDEX('Lớp 4 - Danh mục'!$AC$14:$AC$132,$T273),INDEX('Lớp 3 - Công việc chính'!$Z$14:$Z$73,$T273))))</f>
        <v>#REF!</v>
      </c>
      <c r="N273" s="695" t="str">
        <f t="array" ref="N273">IF($S273="","",IF($S273="Lớp 5",INDEX('Lớp 5 - Phân công'!$AE$14:$AE$262,$T273),IF($S273="Lớp 4",INDEX('Lớp 4 - Danh mục'!$AD$14:$AD$132,$T273),INDEX('Lớp 3 - Công việc chính'!$AA$14:$AA$73,$T273))))</f>
        <v>#REF!</v>
      </c>
      <c r="O273" s="690" t="str">
        <f t="array" ref="O273">IF($S273="","",IF($S273="Lớp 5",INDEX('Lớp 5 - Phân công'!$AB$14:$AB$262,$T273),IF($S273="Lớp 4",INDEX('Lớp 4 - Danh mục'!$AA$14:$AA$132,$T273),INDEX('Lớp 3 - Công việc chính'!$X$14:$X$73,$T273))))</f>
        <v>#REF!</v>
      </c>
      <c r="P273" s="703" t="str">
        <f t="array" ref="P273">IF($S273="","",IF($S273="Lớp 5",INDEX('Lớp 5 - Phân công'!$AC$14:$AC$262,$T273),IF($S273="Lớp 4",INDEX('Lớp 4 - Danh mục'!$AB$14:$AB$132,$T273),INDEX('Lớp 3 - Công việc chính'!$Y$14:$Y$73,$T273))))</f>
        <v>#REF!</v>
      </c>
      <c r="Q273" s="697" t="str">
        <f t="array" ref="Q273">IF($S273="","",IF($S273="Lớp 5",INDEX('Lớp 5 - Phân công'!$AG$14:$AG$262,$T273),IF($S273="Lớp 4",INDEX('Lớp 4 - Danh mục'!$AF$14:$AF$132,$T273),INDEX('Lớp 3 - Công việc chính'!$AC$14:$AC$73,$T273))))</f>
        <v>#REF!</v>
      </c>
      <c r="R273" s="698" t="str">
        <f t="array" ref="R273">IF($S273="","",IF($S273="Lớp 5",INDEX('Lớp 5 - Phân công'!$X$14:$X$262,$T273),IF($S273="Lớp 4",INDEX('Lớp 4 - Danh mục'!$V$14:$V$132,$T273),INDEX('Lớp 3 - Công việc chính'!$T$14:$T$73,$T273))))</f>
        <v>#REF!</v>
      </c>
      <c r="S273" s="699" t="str">
        <f>IF(ROWS($S$14:S273)&lt;=COUNTIF('Lớp 5 - Phân công'!$I$14:$I$262,"&lt;&gt;"),"Lớp 5",IF(ROWS($S$14:S273)&lt;=COUNTIF('Lớp 5 - Phân công'!$I$14:$I$262,"&lt;&gt;")+SUMPRODUCT(--('Lớp 4 - Danh mục'!$I$14:$I$132&lt;&gt;""),--(COUNTIF('Lớp 5 - Phân công'!$J$14:$J$262,'Lớp 4 - Danh mục'!$I$14:$I$132)=0)),"Lớp 4",IF(ROWS($S$14:S273)&lt;=COUNTIF('Lớp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3" s="699" t="str">
        <f t="array" ref="T273">IF(S273="","",IF(S273="Lớp 5",IF(S272&lt;&gt;"Lớp 5",MATCH("*",'Lớp 5 - Phân công'!$I$14:$I$262,0),T272+MATCH("*",INDEX('Lớp 5 - Phân công'!$I$14:$I$262,T272+1):'Lớp 5 - Phân công'!$I$262,0)),IF(S273="Lớp 4",IF(S272&lt;&gt;"Lớp 4",MATCH(1,INDEX(('Lớp 4 - Danh mục'!$I$14:$I$132&lt;&gt;"")*(COUNTIF('Lớp 5 - Phân công'!$J$14:$J$262,'Lớp 4 - Danh mục'!$I$14:$I$132)=0),0),0),T272+MATCH(1,INDEX((INDEX('Lớp 4 - Danh mục'!$I$14:$I$132,T272+1):'Lớp 4 - Danh mục'!$I$132&lt;&gt;"")*(COUNTIF('Lớp 5 - Phân công'!$J$14:$J$262,INDEX('Lớp 4 - Danh mục'!$I$14:$I$132,T272+1):'Lớp 4 - Danh mục'!$I$132)=0),0),0)),IF(S272&lt;&gt;"Lớp 3",MATCH(1,INDEX(('Lớp 3 - Công việc chính'!$I$14:$I$73&lt;&gt;"")*(COUNTIF('Lớp 4 - Danh mục'!$J$14:$J$132,'Lớp 3 - Công việc chính'!$I$14:$I$73)=0),0),0),T272+MATCH(1,INDEX((INDEX('Lớp 3 - Công việc chính'!$I$14:$I$73,T272+1):'Lớp 3 - Công việc chính'!$I$73&lt;&gt;"")*(COUNTIF('Lớp 4 - Danh mục'!$J$14:$J$132,INDEX('Lớp 3 - Công việc chính'!$I$14:$I$73,T272+1):'Lớp 3 - Công việc chính'!$I$73)=0),0),0)))))</f>
        <v>#REF!</v>
      </c>
      <c r="Z273" s="700" t="str">
        <f t="array" ref="Z273">IF($S273="","",IF($S273="Lớp 5",INDEX('Lớp 5 - Phân công'!$AS$14:$AS$262,$T273),IF($S273="Lớp 4",INDEX('Lớp 4 - Danh mục'!$AR$14:$AR$132,$T273),INDEX('Lớp 3 - Công việc chính'!$AO$14:$AO$73,$T273))))</f>
        <v>#REF!</v>
      </c>
      <c r="AA273" s="701" t="str">
        <f t="array" ref="AA273">IF($S273="","",IF($S273="Lớp 5",INDEX('Lớp 5 - Phân công'!$AT$14:$AT$262,$T273),IF($S273="Lớp 4",INDEX('Lớp 4 - Danh mục'!$AS$14:$AS$132,$T273),INDEX('Lớp 3 - Công việc chính'!$AP$14:$AP$73,$T273))))</f>
        <v>#REF!</v>
      </c>
      <c r="AB273" s="701" t="str">
        <f t="array" ref="AB273">IF($S273="","",IF($S273="Lớp 5",INDEX('Lớp 5 - Phân công'!$AJ$14:$AJ$262,$T273),IF($S273="Lớp 4",INDEX('Lớp 4 - Danh mục'!$AI$14:$AI$132,$T273),INDEX('Lớp 3 - Công việc chính'!$AF$14:$AF$73,$T273))))</f>
        <v>#REF!</v>
      </c>
      <c r="AC273" s="702" t="str">
        <f t="array" ref="AC273">IF($S273="","",IF($S273="Lớp 5",INDEX('Lớp 5 - Phân công'!$AV$14:$AV$262,$T273),IF($S273="Lớp 4",INDEX('Lớp 4 - Danh mục'!$AU$14:$AU$132,$T273),INDEX('Lớp 3 - Công việc chính'!$AR$14:$AR$73,$T273))))</f>
        <v>#REF!</v>
      </c>
    </row>
    <row r="274" ht="15.75" customHeight="1">
      <c r="A274" s="690" t="str">
        <f t="shared" si="1"/>
        <v>#REF!</v>
      </c>
      <c r="B274" s="690" t="str">
        <f t="array" ref="B274">IF($S274="","",IF($S274="Lớp 5",INDEX('Lớp 5 - Phân công'!$I$14:$I$262,$T274),IF($S274="Lớp 4",INDEX('Lớp 4 - Danh mục'!$I$14:$I$132,$T274),INDEX('Lớp 3 - Công việc chính'!$I$14:$I$73,$T274))))</f>
        <v>#REF!</v>
      </c>
      <c r="C274" s="690" t="str">
        <f t="array" ref="C274">IF($S274="","",IF($S274="Lớp 5",INDEX('Lớp 5 - Phân công'!$K$14:$K$262,$T274),IF($S274="Lớp 4",INDEX('Lớp 4 - Danh mục'!$J$14:$J$132,$T274),INDEX('Lớp 3 - Công việc chính'!$I$14:$I$73,$T274))))</f>
        <v>#REF!</v>
      </c>
      <c r="D274" s="690" t="str">
        <f t="array" ref="D274">IF($S274="","",IF($S274="Lớp 5",INDEX('Lớp 5 - Phân công'!$J$14:$J$262,$T274),IF($S274="Lớp 4",INDEX('Lớp 4 - Danh mục'!$I$14:$I$132,$T274),"")))</f>
        <v>#REF!</v>
      </c>
      <c r="E274" s="690" t="str">
        <f t="array" ref="E274">IF($S274="","",IF($S274="Lớp 5",INDEX('Lớp 5 - Phân công'!$L$14:$L$262,$T274),IF($S274="Lớp 4",INDEX('Lớp 4 - Danh mục'!$K$14:$K$132,$T274),INDEX('Lớp 3 - Công việc chính'!$J$14:$J$73,$T274))))</f>
        <v>#REF!</v>
      </c>
      <c r="F274" s="690" t="str">
        <f t="array" ref="F274">IF($S274="","",IF($S274="Lớp 5",INDEX('Lớp 5 - Phân công'!$M$14:$M$262,$T274),IF($S274="Lớp 4",INDEX('Lớp 4 - Danh mục'!$L$14:$L$132,$T274),INDEX('Lớp 3 - Công việc chính'!$K$14:$K$73,$T274))))</f>
        <v>#REF!</v>
      </c>
      <c r="G274" s="691" t="str">
        <f t="array" ref="G274">IF($S274="","",IF($S274="Lớp 5",INDEX('Lớp 5 - Phân công'!$N$14:$N$262,$T274),IF($S274="Lớp 4",INDEX('Lớp 4 - Danh mục'!$M$14:$M$132,$T274),INDEX('Lớp 3 - Công việc chính'!$L$14:$L$73,$T274))))</f>
        <v>#REF!</v>
      </c>
      <c r="H274" s="692" t="str">
        <f t="array" ref="H274">IF($S274="","",IF($S274="Lớp 5",INDEX('Lớp 5 - Phân công'!$O$14:$O$262,$T274),IF($S274="Lớp 4",INDEX('Lớp 4 - Danh mục'!$N$14:$N$132,$T274),INDEX('Lớp 3 - Công việc chính'!$M$14:$M$73,$T274))))</f>
        <v>#REF!</v>
      </c>
      <c r="I274" s="692" t="str">
        <f t="array" ref="I274">IF($S274="","",IF($S274="Lớp 5",INDEX('Lớp 5 - Phân công'!$P$14:$P$262,$T274),IF($S274="Lớp 4",INDEX('Lớp 4 - Danh mục'!$O$14:$O$132,$T274),"")))</f>
        <v>#REF!</v>
      </c>
      <c r="J274" s="693" t="str">
        <f t="array" ref="J274">IF($S274="","",IF($S274="Lớp 5",INDEX('Lớp 5 - Phân công'!$Q$14:$Q$262,$T274),""))</f>
        <v>#REF!</v>
      </c>
      <c r="K274" s="690" t="str">
        <f t="array" ref="K274">IF($S274="","",IF($S274="Lớp 5",INDEX('Lớp 5 - Phân công'!$AA$14:$AA$262,$T274),IF($S274="Lớp 4",INDEX('Lớp 4 - Danh mục'!$Y$14:$Y$132,$T274),INDEX('Lớp 3 - Công việc chính'!$U$14:$U$73,$T274))))</f>
        <v>#REF!</v>
      </c>
      <c r="L274" s="691" t="str">
        <f t="array" ref="L274">IF($S274="","",IF($S274="Lớp 5",INDEX('Lớp 5 - Phân công'!$Z$14:$Z$262,$T274),IF($S274="Lớp 4",INDEX('Lớp 4 - Danh mục'!$X$14:$X$132,$T274),INDEX('Lớp 3 - Công việc chính'!$W$14:$W$73,$T274))))</f>
        <v>#REF!</v>
      </c>
      <c r="M274" s="694" t="str">
        <f t="array" ref="M274">IF($S274="","",IF($S274="Lớp 5",INDEX('Lớp 5 - Phân công'!$AD$14:$AD$262,$T274),IF($S274="Lớp 4",INDEX('Lớp 4 - Danh mục'!$AC$14:$AC$132,$T274),INDEX('Lớp 3 - Công việc chính'!$Z$14:$Z$73,$T274))))</f>
        <v>#REF!</v>
      </c>
      <c r="N274" s="695" t="str">
        <f t="array" ref="N274">IF($S274="","",IF($S274="Lớp 5",INDEX('Lớp 5 - Phân công'!$AE$14:$AE$262,$T274),IF($S274="Lớp 4",INDEX('Lớp 4 - Danh mục'!$AD$14:$AD$132,$T274),INDEX('Lớp 3 - Công việc chính'!$AA$14:$AA$73,$T274))))</f>
        <v>#REF!</v>
      </c>
      <c r="O274" s="690" t="str">
        <f t="array" ref="O274">IF($S274="","",IF($S274="Lớp 5",INDEX('Lớp 5 - Phân công'!$AB$14:$AB$262,$T274),IF($S274="Lớp 4",INDEX('Lớp 4 - Danh mục'!$AA$14:$AA$132,$T274),INDEX('Lớp 3 - Công việc chính'!$X$14:$X$73,$T274))))</f>
        <v>#REF!</v>
      </c>
      <c r="P274" s="703" t="str">
        <f t="array" ref="P274">IF($S274="","",IF($S274="Lớp 5",INDEX('Lớp 5 - Phân công'!$AC$14:$AC$262,$T274),IF($S274="Lớp 4",INDEX('Lớp 4 - Danh mục'!$AB$14:$AB$132,$T274),INDEX('Lớp 3 - Công việc chính'!$Y$14:$Y$73,$T274))))</f>
        <v>#REF!</v>
      </c>
      <c r="Q274" s="697" t="str">
        <f t="array" ref="Q274">IF($S274="","",IF($S274="Lớp 5",INDEX('Lớp 5 - Phân công'!$AG$14:$AG$262,$T274),IF($S274="Lớp 4",INDEX('Lớp 4 - Danh mục'!$AF$14:$AF$132,$T274),INDEX('Lớp 3 - Công việc chính'!$AC$14:$AC$73,$T274))))</f>
        <v>#REF!</v>
      </c>
      <c r="R274" s="698" t="str">
        <f t="array" ref="R274">IF($S274="","",IF($S274="Lớp 5",INDEX('Lớp 5 - Phân công'!$X$14:$X$262,$T274),IF($S274="Lớp 4",INDEX('Lớp 4 - Danh mục'!$V$14:$V$132,$T274),INDEX('Lớp 3 - Công việc chính'!$T$14:$T$73,$T274))))</f>
        <v>#REF!</v>
      </c>
      <c r="S274" s="699" t="str">
        <f>IF(ROWS($S$14:S274)&lt;=COUNTIF('Lớp 5 - Phân công'!$I$14:$I$262,"&lt;&gt;"),"Lớp 5",IF(ROWS($S$14:S274)&lt;=COUNTIF('Lớp 5 - Phân công'!$I$14:$I$262,"&lt;&gt;")+SUMPRODUCT(--('Lớp 4 - Danh mục'!$I$14:$I$132&lt;&gt;""),--(COUNTIF('Lớp 5 - Phân công'!$J$14:$J$262,'Lớp 4 - Danh mục'!$I$14:$I$132)=0)),"Lớp 4",IF(ROWS($S$14:S274)&lt;=COUNTIF('Lớp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4" s="699" t="str">
        <f t="array" ref="T274">IF(S274="","",IF(S274="Lớp 5",IF(S273&lt;&gt;"Lớp 5",MATCH("*",'Lớp 5 - Phân công'!$I$14:$I$262,0),T273+MATCH("*",INDEX('Lớp 5 - Phân công'!$I$14:$I$262,T273+1):'Lớp 5 - Phân công'!$I$262,0)),IF(S274="Lớp 4",IF(S273&lt;&gt;"Lớp 4",MATCH(1,INDEX(('Lớp 4 - Danh mục'!$I$14:$I$132&lt;&gt;"")*(COUNTIF('Lớp 5 - Phân công'!$J$14:$J$262,'Lớp 4 - Danh mục'!$I$14:$I$132)=0),0),0),T273+MATCH(1,INDEX((INDEX('Lớp 4 - Danh mục'!$I$14:$I$132,T273+1):'Lớp 4 - Danh mục'!$I$132&lt;&gt;"")*(COUNTIF('Lớp 5 - Phân công'!$J$14:$J$262,INDEX('Lớp 4 - Danh mục'!$I$14:$I$132,T273+1):'Lớp 4 - Danh mục'!$I$132)=0),0),0)),IF(S273&lt;&gt;"Lớp 3",MATCH(1,INDEX(('Lớp 3 - Công việc chính'!$I$14:$I$73&lt;&gt;"")*(COUNTIF('Lớp 4 - Danh mục'!$J$14:$J$132,'Lớp 3 - Công việc chính'!$I$14:$I$73)=0),0),0),T273+MATCH(1,INDEX((INDEX('Lớp 3 - Công việc chính'!$I$14:$I$73,T273+1):'Lớp 3 - Công việc chính'!$I$73&lt;&gt;"")*(COUNTIF('Lớp 4 - Danh mục'!$J$14:$J$132,INDEX('Lớp 3 - Công việc chính'!$I$14:$I$73,T273+1):'Lớp 3 - Công việc chính'!$I$73)=0),0),0)))))</f>
        <v>#REF!</v>
      </c>
      <c r="Z274" s="700" t="str">
        <f t="array" ref="Z274">IF($S274="","",IF($S274="Lớp 5",INDEX('Lớp 5 - Phân công'!$AS$14:$AS$262,$T274),IF($S274="Lớp 4",INDEX('Lớp 4 - Danh mục'!$AR$14:$AR$132,$T274),INDEX('Lớp 3 - Công việc chính'!$AO$14:$AO$73,$T274))))</f>
        <v>#REF!</v>
      </c>
      <c r="AA274" s="701" t="str">
        <f t="array" ref="AA274">IF($S274="","",IF($S274="Lớp 5",INDEX('Lớp 5 - Phân công'!$AT$14:$AT$262,$T274),IF($S274="Lớp 4",INDEX('Lớp 4 - Danh mục'!$AS$14:$AS$132,$T274),INDEX('Lớp 3 - Công việc chính'!$AP$14:$AP$73,$T274))))</f>
        <v>#REF!</v>
      </c>
      <c r="AB274" s="701" t="str">
        <f t="array" ref="AB274">IF($S274="","",IF($S274="Lớp 5",INDEX('Lớp 5 - Phân công'!$AJ$14:$AJ$262,$T274),IF($S274="Lớp 4",INDEX('Lớp 4 - Danh mục'!$AI$14:$AI$132,$T274),INDEX('Lớp 3 - Công việc chính'!$AF$14:$AF$73,$T274))))</f>
        <v>#REF!</v>
      </c>
      <c r="AC274" s="702" t="str">
        <f t="array" ref="AC274">IF($S274="","",IF($S274="Lớp 5",INDEX('Lớp 5 - Phân công'!$AV$14:$AV$262,$T274),IF($S274="Lớp 4",INDEX('Lớp 4 - Danh mục'!$AU$14:$AU$132,$T274),INDEX('Lớp 3 - Công việc chính'!$AR$14:$AR$73,$T274))))</f>
        <v>#REF!</v>
      </c>
    </row>
    <row r="275" ht="15.75" customHeight="1">
      <c r="A275" s="690" t="str">
        <f t="shared" si="1"/>
        <v>#REF!</v>
      </c>
      <c r="B275" s="690" t="str">
        <f t="array" ref="B275">IF($S275="","",IF($S275="Lớp 5",INDEX('Lớp 5 - Phân công'!$I$14:$I$262,$T275),IF($S275="Lớp 4",INDEX('Lớp 4 - Danh mục'!$I$14:$I$132,$T275),INDEX('Lớp 3 - Công việc chính'!$I$14:$I$73,$T275))))</f>
        <v>#REF!</v>
      </c>
      <c r="C275" s="690" t="str">
        <f t="array" ref="C275">IF($S275="","",IF($S275="Lớp 5",INDEX('Lớp 5 - Phân công'!$K$14:$K$262,$T275),IF($S275="Lớp 4",INDEX('Lớp 4 - Danh mục'!$J$14:$J$132,$T275),INDEX('Lớp 3 - Công việc chính'!$I$14:$I$73,$T275))))</f>
        <v>#REF!</v>
      </c>
      <c r="D275" s="690" t="str">
        <f t="array" ref="D275">IF($S275="","",IF($S275="Lớp 5",INDEX('Lớp 5 - Phân công'!$J$14:$J$262,$T275),IF($S275="Lớp 4",INDEX('Lớp 4 - Danh mục'!$I$14:$I$132,$T275),"")))</f>
        <v>#REF!</v>
      </c>
      <c r="E275" s="690" t="str">
        <f t="array" ref="E275">IF($S275="","",IF($S275="Lớp 5",INDEX('Lớp 5 - Phân công'!$L$14:$L$262,$T275),IF($S275="Lớp 4",INDEX('Lớp 4 - Danh mục'!$K$14:$K$132,$T275),INDEX('Lớp 3 - Công việc chính'!$J$14:$J$73,$T275))))</f>
        <v>#REF!</v>
      </c>
      <c r="F275" s="690" t="str">
        <f t="array" ref="F275">IF($S275="","",IF($S275="Lớp 5",INDEX('Lớp 5 - Phân công'!$M$14:$M$262,$T275),IF($S275="Lớp 4",INDEX('Lớp 4 - Danh mục'!$L$14:$L$132,$T275),INDEX('Lớp 3 - Công việc chính'!$K$14:$K$73,$T275))))</f>
        <v>#REF!</v>
      </c>
      <c r="G275" s="691" t="str">
        <f t="array" ref="G275">IF($S275="","",IF($S275="Lớp 5",INDEX('Lớp 5 - Phân công'!$N$14:$N$262,$T275),IF($S275="Lớp 4",INDEX('Lớp 4 - Danh mục'!$M$14:$M$132,$T275),INDEX('Lớp 3 - Công việc chính'!$L$14:$L$73,$T275))))</f>
        <v>#REF!</v>
      </c>
      <c r="H275" s="692" t="str">
        <f t="array" ref="H275">IF($S275="","",IF($S275="Lớp 5",INDEX('Lớp 5 - Phân công'!$O$14:$O$262,$T275),IF($S275="Lớp 4",INDEX('Lớp 4 - Danh mục'!$N$14:$N$132,$T275),INDEX('Lớp 3 - Công việc chính'!$M$14:$M$73,$T275))))</f>
        <v>#REF!</v>
      </c>
      <c r="I275" s="692" t="str">
        <f t="array" ref="I275">IF($S275="","",IF($S275="Lớp 5",INDEX('Lớp 5 - Phân công'!$P$14:$P$262,$T275),IF($S275="Lớp 4",INDEX('Lớp 4 - Danh mục'!$O$14:$O$132,$T275),"")))</f>
        <v>#REF!</v>
      </c>
      <c r="J275" s="693" t="str">
        <f t="array" ref="J275">IF($S275="","",IF($S275="Lớp 5",INDEX('Lớp 5 - Phân công'!$Q$14:$Q$262,$T275),""))</f>
        <v>#REF!</v>
      </c>
      <c r="K275" s="690" t="str">
        <f t="array" ref="K275">IF($S275="","",IF($S275="Lớp 5",INDEX('Lớp 5 - Phân công'!$AA$14:$AA$262,$T275),IF($S275="Lớp 4",INDEX('Lớp 4 - Danh mục'!$Y$14:$Y$132,$T275),INDEX('Lớp 3 - Công việc chính'!$U$14:$U$73,$T275))))</f>
        <v>#REF!</v>
      </c>
      <c r="L275" s="691" t="str">
        <f t="array" ref="L275">IF($S275="","",IF($S275="Lớp 5",INDEX('Lớp 5 - Phân công'!$Z$14:$Z$262,$T275),IF($S275="Lớp 4",INDEX('Lớp 4 - Danh mục'!$X$14:$X$132,$T275),INDEX('Lớp 3 - Công việc chính'!$W$14:$W$73,$T275))))</f>
        <v>#REF!</v>
      </c>
      <c r="M275" s="694" t="str">
        <f t="array" ref="M275">IF($S275="","",IF($S275="Lớp 5",INDEX('Lớp 5 - Phân công'!$AD$14:$AD$262,$T275),IF($S275="Lớp 4",INDEX('Lớp 4 - Danh mục'!$AC$14:$AC$132,$T275),INDEX('Lớp 3 - Công việc chính'!$Z$14:$Z$73,$T275))))</f>
        <v>#REF!</v>
      </c>
      <c r="N275" s="695" t="str">
        <f t="array" ref="N275">IF($S275="","",IF($S275="Lớp 5",INDEX('Lớp 5 - Phân công'!$AE$14:$AE$262,$T275),IF($S275="Lớp 4",INDEX('Lớp 4 - Danh mục'!$AD$14:$AD$132,$T275),INDEX('Lớp 3 - Công việc chính'!$AA$14:$AA$73,$T275))))</f>
        <v>#REF!</v>
      </c>
      <c r="O275" s="690" t="str">
        <f t="array" ref="O275">IF($S275="","",IF($S275="Lớp 5",INDEX('Lớp 5 - Phân công'!$AB$14:$AB$262,$T275),IF($S275="Lớp 4",INDEX('Lớp 4 - Danh mục'!$AA$14:$AA$132,$T275),INDEX('Lớp 3 - Công việc chính'!$X$14:$X$73,$T275))))</f>
        <v>#REF!</v>
      </c>
      <c r="P275" s="703" t="str">
        <f t="array" ref="P275">IF($S275="","",IF($S275="Lớp 5",INDEX('Lớp 5 - Phân công'!$AC$14:$AC$262,$T275),IF($S275="Lớp 4",INDEX('Lớp 4 - Danh mục'!$AB$14:$AB$132,$T275),INDEX('Lớp 3 - Công việc chính'!$Y$14:$Y$73,$T275))))</f>
        <v>#REF!</v>
      </c>
      <c r="Q275" s="697" t="str">
        <f t="array" ref="Q275">IF($S275="","",IF($S275="Lớp 5",INDEX('Lớp 5 - Phân công'!$AG$14:$AG$262,$T275),IF($S275="Lớp 4",INDEX('Lớp 4 - Danh mục'!$AF$14:$AF$132,$T275),INDEX('Lớp 3 - Công việc chính'!$AC$14:$AC$73,$T275))))</f>
        <v>#REF!</v>
      </c>
      <c r="R275" s="698" t="str">
        <f t="array" ref="R275">IF($S275="","",IF($S275="Lớp 5",INDEX('Lớp 5 - Phân công'!$X$14:$X$262,$T275),IF($S275="Lớp 4",INDEX('Lớp 4 - Danh mục'!$V$14:$V$132,$T275),INDEX('Lớp 3 - Công việc chính'!$T$14:$T$73,$T275))))</f>
        <v>#REF!</v>
      </c>
      <c r="S275" s="699" t="str">
        <f>IF(ROWS($S$14:S275)&lt;=COUNTIF('Lớp 5 - Phân công'!$I$14:$I$262,"&lt;&gt;"),"Lớp 5",IF(ROWS($S$14:S275)&lt;=COUNTIF('Lớp 5 - Phân công'!$I$14:$I$262,"&lt;&gt;")+SUMPRODUCT(--('Lớp 4 - Danh mục'!$I$14:$I$132&lt;&gt;""),--(COUNTIF('Lớp 5 - Phân công'!$J$14:$J$262,'Lớp 4 - Danh mục'!$I$14:$I$132)=0)),"Lớp 4",IF(ROWS($S$14:S275)&lt;=COUNTIF('Lớp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5" s="699" t="str">
        <f t="array" ref="T275">IF(S275="","",IF(S275="Lớp 5",IF(S274&lt;&gt;"Lớp 5",MATCH("*",'Lớp 5 - Phân công'!$I$14:$I$262,0),T274+MATCH("*",INDEX('Lớp 5 - Phân công'!$I$14:$I$262,T274+1):'Lớp 5 - Phân công'!$I$262,0)),IF(S275="Lớp 4",IF(S274&lt;&gt;"Lớp 4",MATCH(1,INDEX(('Lớp 4 - Danh mục'!$I$14:$I$132&lt;&gt;"")*(COUNTIF('Lớp 5 - Phân công'!$J$14:$J$262,'Lớp 4 - Danh mục'!$I$14:$I$132)=0),0),0),T274+MATCH(1,INDEX((INDEX('Lớp 4 - Danh mục'!$I$14:$I$132,T274+1):'Lớp 4 - Danh mục'!$I$132&lt;&gt;"")*(COUNTIF('Lớp 5 - Phân công'!$J$14:$J$262,INDEX('Lớp 4 - Danh mục'!$I$14:$I$132,T274+1):'Lớp 4 - Danh mục'!$I$132)=0),0),0)),IF(S274&lt;&gt;"Lớp 3",MATCH(1,INDEX(('Lớp 3 - Công việc chính'!$I$14:$I$73&lt;&gt;"")*(COUNTIF('Lớp 4 - Danh mục'!$J$14:$J$132,'Lớp 3 - Công việc chính'!$I$14:$I$73)=0),0),0),T274+MATCH(1,INDEX((INDEX('Lớp 3 - Công việc chính'!$I$14:$I$73,T274+1):'Lớp 3 - Công việc chính'!$I$73&lt;&gt;"")*(COUNTIF('Lớp 4 - Danh mục'!$J$14:$J$132,INDEX('Lớp 3 - Công việc chính'!$I$14:$I$73,T274+1):'Lớp 3 - Công việc chính'!$I$73)=0),0),0)))))</f>
        <v>#REF!</v>
      </c>
      <c r="Z275" s="700" t="str">
        <f t="array" ref="Z275">IF($S275="","",IF($S275="Lớp 5",INDEX('Lớp 5 - Phân công'!$AS$14:$AS$262,$T275),IF($S275="Lớp 4",INDEX('Lớp 4 - Danh mục'!$AR$14:$AR$132,$T275),INDEX('Lớp 3 - Công việc chính'!$AO$14:$AO$73,$T275))))</f>
        <v>#REF!</v>
      </c>
      <c r="AA275" s="701" t="str">
        <f t="array" ref="AA275">IF($S275="","",IF($S275="Lớp 5",INDEX('Lớp 5 - Phân công'!$AT$14:$AT$262,$T275),IF($S275="Lớp 4",INDEX('Lớp 4 - Danh mục'!$AS$14:$AS$132,$T275),INDEX('Lớp 3 - Công việc chính'!$AP$14:$AP$73,$T275))))</f>
        <v>#REF!</v>
      </c>
      <c r="AB275" s="701" t="str">
        <f t="array" ref="AB275">IF($S275="","",IF($S275="Lớp 5",INDEX('Lớp 5 - Phân công'!$AJ$14:$AJ$262,$T275),IF($S275="Lớp 4",INDEX('Lớp 4 - Danh mục'!$AI$14:$AI$132,$T275),INDEX('Lớp 3 - Công việc chính'!$AF$14:$AF$73,$T275))))</f>
        <v>#REF!</v>
      </c>
      <c r="AC275" s="702" t="str">
        <f t="array" ref="AC275">IF($S275="","",IF($S275="Lớp 5",INDEX('Lớp 5 - Phân công'!$AV$14:$AV$262,$T275),IF($S275="Lớp 4",INDEX('Lớp 4 - Danh mục'!$AU$14:$AU$132,$T275),INDEX('Lớp 3 - Công việc chính'!$AR$14:$AR$73,$T275))))</f>
        <v>#REF!</v>
      </c>
    </row>
    <row r="276" ht="15.75" customHeight="1">
      <c r="A276" s="690" t="str">
        <f t="shared" si="1"/>
        <v>#REF!</v>
      </c>
      <c r="B276" s="690" t="str">
        <f t="array" ref="B276">IF($S276="","",IF($S276="Lớp 5",INDEX('Lớp 5 - Phân công'!$I$14:$I$262,$T276),IF($S276="Lớp 4",INDEX('Lớp 4 - Danh mục'!$I$14:$I$132,$T276),INDEX('Lớp 3 - Công việc chính'!$I$14:$I$73,$T276))))</f>
        <v>#REF!</v>
      </c>
      <c r="C276" s="690" t="str">
        <f t="array" ref="C276">IF($S276="","",IF($S276="Lớp 5",INDEX('Lớp 5 - Phân công'!$K$14:$K$262,$T276),IF($S276="Lớp 4",INDEX('Lớp 4 - Danh mục'!$J$14:$J$132,$T276),INDEX('Lớp 3 - Công việc chính'!$I$14:$I$73,$T276))))</f>
        <v>#REF!</v>
      </c>
      <c r="D276" s="690" t="str">
        <f t="array" ref="D276">IF($S276="","",IF($S276="Lớp 5",INDEX('Lớp 5 - Phân công'!$J$14:$J$262,$T276),IF($S276="Lớp 4",INDEX('Lớp 4 - Danh mục'!$I$14:$I$132,$T276),"")))</f>
        <v>#REF!</v>
      </c>
      <c r="E276" s="690" t="str">
        <f t="array" ref="E276">IF($S276="","",IF($S276="Lớp 5",INDEX('Lớp 5 - Phân công'!$L$14:$L$262,$T276),IF($S276="Lớp 4",INDEX('Lớp 4 - Danh mục'!$K$14:$K$132,$T276),INDEX('Lớp 3 - Công việc chính'!$J$14:$J$73,$T276))))</f>
        <v>#REF!</v>
      </c>
      <c r="F276" s="690" t="str">
        <f t="array" ref="F276">IF($S276="","",IF($S276="Lớp 5",INDEX('Lớp 5 - Phân công'!$M$14:$M$262,$T276),IF($S276="Lớp 4",INDEX('Lớp 4 - Danh mục'!$L$14:$L$132,$T276),INDEX('Lớp 3 - Công việc chính'!$K$14:$K$73,$T276))))</f>
        <v>#REF!</v>
      </c>
      <c r="G276" s="691" t="str">
        <f t="array" ref="G276">IF($S276="","",IF($S276="Lớp 5",INDEX('Lớp 5 - Phân công'!$N$14:$N$262,$T276),IF($S276="Lớp 4",INDEX('Lớp 4 - Danh mục'!$M$14:$M$132,$T276),INDEX('Lớp 3 - Công việc chính'!$L$14:$L$73,$T276))))</f>
        <v>#REF!</v>
      </c>
      <c r="H276" s="692" t="str">
        <f t="array" ref="H276">IF($S276="","",IF($S276="Lớp 5",INDEX('Lớp 5 - Phân công'!$O$14:$O$262,$T276),IF($S276="Lớp 4",INDEX('Lớp 4 - Danh mục'!$N$14:$N$132,$T276),INDEX('Lớp 3 - Công việc chính'!$M$14:$M$73,$T276))))</f>
        <v>#REF!</v>
      </c>
      <c r="I276" s="692" t="str">
        <f t="array" ref="I276">IF($S276="","",IF($S276="Lớp 5",INDEX('Lớp 5 - Phân công'!$P$14:$P$262,$T276),IF($S276="Lớp 4",INDEX('Lớp 4 - Danh mục'!$O$14:$O$132,$T276),"")))</f>
        <v>#REF!</v>
      </c>
      <c r="J276" s="693" t="str">
        <f t="array" ref="J276">IF($S276="","",IF($S276="Lớp 5",INDEX('Lớp 5 - Phân công'!$Q$14:$Q$262,$T276),""))</f>
        <v>#REF!</v>
      </c>
      <c r="K276" s="690" t="str">
        <f t="array" ref="K276">IF($S276="","",IF($S276="Lớp 5",INDEX('Lớp 5 - Phân công'!$AA$14:$AA$262,$T276),IF($S276="Lớp 4",INDEX('Lớp 4 - Danh mục'!$Y$14:$Y$132,$T276),INDEX('Lớp 3 - Công việc chính'!$U$14:$U$73,$T276))))</f>
        <v>#REF!</v>
      </c>
      <c r="L276" s="691" t="str">
        <f t="array" ref="L276">IF($S276="","",IF($S276="Lớp 5",INDEX('Lớp 5 - Phân công'!$Z$14:$Z$262,$T276),IF($S276="Lớp 4",INDEX('Lớp 4 - Danh mục'!$X$14:$X$132,$T276),INDEX('Lớp 3 - Công việc chính'!$W$14:$W$73,$T276))))</f>
        <v>#REF!</v>
      </c>
      <c r="M276" s="694" t="str">
        <f t="array" ref="M276">IF($S276="","",IF($S276="Lớp 5",INDEX('Lớp 5 - Phân công'!$AD$14:$AD$262,$T276),IF($S276="Lớp 4",INDEX('Lớp 4 - Danh mục'!$AC$14:$AC$132,$T276),INDEX('Lớp 3 - Công việc chính'!$Z$14:$Z$73,$T276))))</f>
        <v>#REF!</v>
      </c>
      <c r="N276" s="695" t="str">
        <f t="array" ref="N276">IF($S276="","",IF($S276="Lớp 5",INDEX('Lớp 5 - Phân công'!$AE$14:$AE$262,$T276),IF($S276="Lớp 4",INDEX('Lớp 4 - Danh mục'!$AD$14:$AD$132,$T276),INDEX('Lớp 3 - Công việc chính'!$AA$14:$AA$73,$T276))))</f>
        <v>#REF!</v>
      </c>
      <c r="O276" s="690" t="str">
        <f t="array" ref="O276">IF($S276="","",IF($S276="Lớp 5",INDEX('Lớp 5 - Phân công'!$AB$14:$AB$262,$T276),IF($S276="Lớp 4",INDEX('Lớp 4 - Danh mục'!$AA$14:$AA$132,$T276),INDEX('Lớp 3 - Công việc chính'!$X$14:$X$73,$T276))))</f>
        <v>#REF!</v>
      </c>
      <c r="P276" s="703" t="str">
        <f t="array" ref="P276">IF($S276="","",IF($S276="Lớp 5",INDEX('Lớp 5 - Phân công'!$AC$14:$AC$262,$T276),IF($S276="Lớp 4",INDEX('Lớp 4 - Danh mục'!$AB$14:$AB$132,$T276),INDEX('Lớp 3 - Công việc chính'!$Y$14:$Y$73,$T276))))</f>
        <v>#REF!</v>
      </c>
      <c r="Q276" s="697" t="str">
        <f t="array" ref="Q276">IF($S276="","",IF($S276="Lớp 5",INDEX('Lớp 5 - Phân công'!$AG$14:$AG$262,$T276),IF($S276="Lớp 4",INDEX('Lớp 4 - Danh mục'!$AF$14:$AF$132,$T276),INDEX('Lớp 3 - Công việc chính'!$AC$14:$AC$73,$T276))))</f>
        <v>#REF!</v>
      </c>
      <c r="R276" s="698" t="str">
        <f t="array" ref="R276">IF($S276="","",IF($S276="Lớp 5",INDEX('Lớp 5 - Phân công'!$X$14:$X$262,$T276),IF($S276="Lớp 4",INDEX('Lớp 4 - Danh mục'!$V$14:$V$132,$T276),INDEX('Lớp 3 - Công việc chính'!$T$14:$T$73,$T276))))</f>
        <v>#REF!</v>
      </c>
      <c r="S276" s="699" t="str">
        <f>IF(ROWS($S$14:S276)&lt;=COUNTIF('Lớp 5 - Phân công'!$I$14:$I$262,"&lt;&gt;"),"Lớp 5",IF(ROWS($S$14:S276)&lt;=COUNTIF('Lớp 5 - Phân công'!$I$14:$I$262,"&lt;&gt;")+SUMPRODUCT(--('Lớp 4 - Danh mục'!$I$14:$I$132&lt;&gt;""),--(COUNTIF('Lớp 5 - Phân công'!$J$14:$J$262,'Lớp 4 - Danh mục'!$I$14:$I$132)=0)),"Lớp 4",IF(ROWS($S$14:S276)&lt;=COUNTIF('Lớp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6" s="699" t="str">
        <f t="array" ref="T276">IF(S276="","",IF(S276="Lớp 5",IF(S275&lt;&gt;"Lớp 5",MATCH("*",'Lớp 5 - Phân công'!$I$14:$I$262,0),T275+MATCH("*",INDEX('Lớp 5 - Phân công'!$I$14:$I$262,T275+1):'Lớp 5 - Phân công'!$I$262,0)),IF(S276="Lớp 4",IF(S275&lt;&gt;"Lớp 4",MATCH(1,INDEX(('Lớp 4 - Danh mục'!$I$14:$I$132&lt;&gt;"")*(COUNTIF('Lớp 5 - Phân công'!$J$14:$J$262,'Lớp 4 - Danh mục'!$I$14:$I$132)=0),0),0),T275+MATCH(1,INDEX((INDEX('Lớp 4 - Danh mục'!$I$14:$I$132,T275+1):'Lớp 4 - Danh mục'!$I$132&lt;&gt;"")*(COUNTIF('Lớp 5 - Phân công'!$J$14:$J$262,INDEX('Lớp 4 - Danh mục'!$I$14:$I$132,T275+1):'Lớp 4 - Danh mục'!$I$132)=0),0),0)),IF(S275&lt;&gt;"Lớp 3",MATCH(1,INDEX(('Lớp 3 - Công việc chính'!$I$14:$I$73&lt;&gt;"")*(COUNTIF('Lớp 4 - Danh mục'!$J$14:$J$132,'Lớp 3 - Công việc chính'!$I$14:$I$73)=0),0),0),T275+MATCH(1,INDEX((INDEX('Lớp 3 - Công việc chính'!$I$14:$I$73,T275+1):'Lớp 3 - Công việc chính'!$I$73&lt;&gt;"")*(COUNTIF('Lớp 4 - Danh mục'!$J$14:$J$132,INDEX('Lớp 3 - Công việc chính'!$I$14:$I$73,T275+1):'Lớp 3 - Công việc chính'!$I$73)=0),0),0)))))</f>
        <v>#REF!</v>
      </c>
      <c r="Z276" s="700" t="str">
        <f t="array" ref="Z276">IF($S276="","",IF($S276="Lớp 5",INDEX('Lớp 5 - Phân công'!$AS$14:$AS$262,$T276),IF($S276="Lớp 4",INDEX('Lớp 4 - Danh mục'!$AR$14:$AR$132,$T276),INDEX('Lớp 3 - Công việc chính'!$AO$14:$AO$73,$T276))))</f>
        <v>#REF!</v>
      </c>
      <c r="AA276" s="701" t="str">
        <f t="array" ref="AA276">IF($S276="","",IF($S276="Lớp 5",INDEX('Lớp 5 - Phân công'!$AT$14:$AT$262,$T276),IF($S276="Lớp 4",INDEX('Lớp 4 - Danh mục'!$AS$14:$AS$132,$T276),INDEX('Lớp 3 - Công việc chính'!$AP$14:$AP$73,$T276))))</f>
        <v>#REF!</v>
      </c>
      <c r="AB276" s="701" t="str">
        <f t="array" ref="AB276">IF($S276="","",IF($S276="Lớp 5",INDEX('Lớp 5 - Phân công'!$AJ$14:$AJ$262,$T276),IF($S276="Lớp 4",INDEX('Lớp 4 - Danh mục'!$AI$14:$AI$132,$T276),INDEX('Lớp 3 - Công việc chính'!$AF$14:$AF$73,$T276))))</f>
        <v>#REF!</v>
      </c>
      <c r="AC276" s="702" t="str">
        <f t="array" ref="AC276">IF($S276="","",IF($S276="Lớp 5",INDEX('Lớp 5 - Phân công'!$AV$14:$AV$262,$T276),IF($S276="Lớp 4",INDEX('Lớp 4 - Danh mục'!$AU$14:$AU$132,$T276),INDEX('Lớp 3 - Công việc chính'!$AR$14:$AR$73,$T276))))</f>
        <v>#REF!</v>
      </c>
    </row>
    <row r="277" ht="15.75" customHeight="1">
      <c r="A277" s="690" t="str">
        <f t="shared" si="1"/>
        <v>#REF!</v>
      </c>
      <c r="B277" s="690" t="str">
        <f t="array" ref="B277">IF($S277="","",IF($S277="Lớp 5",INDEX('Lớp 5 - Phân công'!$I$14:$I$262,$T277),IF($S277="Lớp 4",INDEX('Lớp 4 - Danh mục'!$I$14:$I$132,$T277),INDEX('Lớp 3 - Công việc chính'!$I$14:$I$73,$T277))))</f>
        <v>#REF!</v>
      </c>
      <c r="C277" s="690" t="str">
        <f t="array" ref="C277">IF($S277="","",IF($S277="Lớp 5",INDEX('Lớp 5 - Phân công'!$K$14:$K$262,$T277),IF($S277="Lớp 4",INDEX('Lớp 4 - Danh mục'!$J$14:$J$132,$T277),INDEX('Lớp 3 - Công việc chính'!$I$14:$I$73,$T277))))</f>
        <v>#REF!</v>
      </c>
      <c r="D277" s="690" t="str">
        <f t="array" ref="D277">IF($S277="","",IF($S277="Lớp 5",INDEX('Lớp 5 - Phân công'!$J$14:$J$262,$T277),IF($S277="Lớp 4",INDEX('Lớp 4 - Danh mục'!$I$14:$I$132,$T277),"")))</f>
        <v>#REF!</v>
      </c>
      <c r="E277" s="690" t="str">
        <f t="array" ref="E277">IF($S277="","",IF($S277="Lớp 5",INDEX('Lớp 5 - Phân công'!$L$14:$L$262,$T277),IF($S277="Lớp 4",INDEX('Lớp 4 - Danh mục'!$K$14:$K$132,$T277),INDEX('Lớp 3 - Công việc chính'!$J$14:$J$73,$T277))))</f>
        <v>#REF!</v>
      </c>
      <c r="F277" s="690" t="str">
        <f t="array" ref="F277">IF($S277="","",IF($S277="Lớp 5",INDEX('Lớp 5 - Phân công'!$M$14:$M$262,$T277),IF($S277="Lớp 4",INDEX('Lớp 4 - Danh mục'!$L$14:$L$132,$T277),INDEX('Lớp 3 - Công việc chính'!$K$14:$K$73,$T277))))</f>
        <v>#REF!</v>
      </c>
      <c r="G277" s="691" t="str">
        <f t="array" ref="G277">IF($S277="","",IF($S277="Lớp 5",INDEX('Lớp 5 - Phân công'!$N$14:$N$262,$T277),IF($S277="Lớp 4",INDEX('Lớp 4 - Danh mục'!$M$14:$M$132,$T277),INDEX('Lớp 3 - Công việc chính'!$L$14:$L$73,$T277))))</f>
        <v>#REF!</v>
      </c>
      <c r="H277" s="692" t="str">
        <f t="array" ref="H277">IF($S277="","",IF($S277="Lớp 5",INDEX('Lớp 5 - Phân công'!$O$14:$O$262,$T277),IF($S277="Lớp 4",INDEX('Lớp 4 - Danh mục'!$N$14:$N$132,$T277),INDEX('Lớp 3 - Công việc chính'!$M$14:$M$73,$T277))))</f>
        <v>#REF!</v>
      </c>
      <c r="I277" s="692" t="str">
        <f t="array" ref="I277">IF($S277="","",IF($S277="Lớp 5",INDEX('Lớp 5 - Phân công'!$P$14:$P$262,$T277),IF($S277="Lớp 4",INDEX('Lớp 4 - Danh mục'!$O$14:$O$132,$T277),"")))</f>
        <v>#REF!</v>
      </c>
      <c r="J277" s="693" t="str">
        <f t="array" ref="J277">IF($S277="","",IF($S277="Lớp 5",INDEX('Lớp 5 - Phân công'!$Q$14:$Q$262,$T277),""))</f>
        <v>#REF!</v>
      </c>
      <c r="K277" s="690" t="str">
        <f t="array" ref="K277">IF($S277="","",IF($S277="Lớp 5",INDEX('Lớp 5 - Phân công'!$AA$14:$AA$262,$T277),IF($S277="Lớp 4",INDEX('Lớp 4 - Danh mục'!$Y$14:$Y$132,$T277),INDEX('Lớp 3 - Công việc chính'!$U$14:$U$73,$T277))))</f>
        <v>#REF!</v>
      </c>
      <c r="L277" s="691" t="str">
        <f t="array" ref="L277">IF($S277="","",IF($S277="Lớp 5",INDEX('Lớp 5 - Phân công'!$Z$14:$Z$262,$T277),IF($S277="Lớp 4",INDEX('Lớp 4 - Danh mục'!$X$14:$X$132,$T277),INDEX('Lớp 3 - Công việc chính'!$W$14:$W$73,$T277))))</f>
        <v>#REF!</v>
      </c>
      <c r="M277" s="694" t="str">
        <f t="array" ref="M277">IF($S277="","",IF($S277="Lớp 5",INDEX('Lớp 5 - Phân công'!$AD$14:$AD$262,$T277),IF($S277="Lớp 4",INDEX('Lớp 4 - Danh mục'!$AC$14:$AC$132,$T277),INDEX('Lớp 3 - Công việc chính'!$Z$14:$Z$73,$T277))))</f>
        <v>#REF!</v>
      </c>
      <c r="N277" s="695" t="str">
        <f t="array" ref="N277">IF($S277="","",IF($S277="Lớp 5",INDEX('Lớp 5 - Phân công'!$AE$14:$AE$262,$T277),IF($S277="Lớp 4",INDEX('Lớp 4 - Danh mục'!$AD$14:$AD$132,$T277),INDEX('Lớp 3 - Công việc chính'!$AA$14:$AA$73,$T277))))</f>
        <v>#REF!</v>
      </c>
      <c r="O277" s="690" t="str">
        <f t="array" ref="O277">IF($S277="","",IF($S277="Lớp 5",INDEX('Lớp 5 - Phân công'!$AB$14:$AB$262,$T277),IF($S277="Lớp 4",INDEX('Lớp 4 - Danh mục'!$AA$14:$AA$132,$T277),INDEX('Lớp 3 - Công việc chính'!$X$14:$X$73,$T277))))</f>
        <v>#REF!</v>
      </c>
      <c r="P277" s="703" t="str">
        <f t="array" ref="P277">IF($S277="","",IF($S277="Lớp 5",INDEX('Lớp 5 - Phân công'!$AC$14:$AC$262,$T277),IF($S277="Lớp 4",INDEX('Lớp 4 - Danh mục'!$AB$14:$AB$132,$T277),INDEX('Lớp 3 - Công việc chính'!$Y$14:$Y$73,$T277))))</f>
        <v>#REF!</v>
      </c>
      <c r="Q277" s="697" t="str">
        <f t="array" ref="Q277">IF($S277="","",IF($S277="Lớp 5",INDEX('Lớp 5 - Phân công'!$AG$14:$AG$262,$T277),IF($S277="Lớp 4",INDEX('Lớp 4 - Danh mục'!$AF$14:$AF$132,$T277),INDEX('Lớp 3 - Công việc chính'!$AC$14:$AC$73,$T277))))</f>
        <v>#REF!</v>
      </c>
      <c r="R277" s="698" t="str">
        <f t="array" ref="R277">IF($S277="","",IF($S277="Lớp 5",INDEX('Lớp 5 - Phân công'!$X$14:$X$262,$T277),IF($S277="Lớp 4",INDEX('Lớp 4 - Danh mục'!$V$14:$V$132,$T277),INDEX('Lớp 3 - Công việc chính'!$T$14:$T$73,$T277))))</f>
        <v>#REF!</v>
      </c>
      <c r="S277" s="699" t="str">
        <f>IF(ROWS($S$14:S277)&lt;=COUNTIF('Lớp 5 - Phân công'!$I$14:$I$262,"&lt;&gt;"),"Lớp 5",IF(ROWS($S$14:S277)&lt;=COUNTIF('Lớp 5 - Phân công'!$I$14:$I$262,"&lt;&gt;")+SUMPRODUCT(--('Lớp 4 - Danh mục'!$I$14:$I$132&lt;&gt;""),--(COUNTIF('Lớp 5 - Phân công'!$J$14:$J$262,'Lớp 4 - Danh mục'!$I$14:$I$132)=0)),"Lớp 4",IF(ROWS($S$14:S277)&lt;=COUNTIF('Lớp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7" s="699" t="str">
        <f t="array" ref="T277">IF(S277="","",IF(S277="Lớp 5",IF(S276&lt;&gt;"Lớp 5",MATCH("*",'Lớp 5 - Phân công'!$I$14:$I$262,0),T276+MATCH("*",INDEX('Lớp 5 - Phân công'!$I$14:$I$262,T276+1):'Lớp 5 - Phân công'!$I$262,0)),IF(S277="Lớp 4",IF(S276&lt;&gt;"Lớp 4",MATCH(1,INDEX(('Lớp 4 - Danh mục'!$I$14:$I$132&lt;&gt;"")*(COUNTIF('Lớp 5 - Phân công'!$J$14:$J$262,'Lớp 4 - Danh mục'!$I$14:$I$132)=0),0),0),T276+MATCH(1,INDEX((INDEX('Lớp 4 - Danh mục'!$I$14:$I$132,T276+1):'Lớp 4 - Danh mục'!$I$132&lt;&gt;"")*(COUNTIF('Lớp 5 - Phân công'!$J$14:$J$262,INDEX('Lớp 4 - Danh mục'!$I$14:$I$132,T276+1):'Lớp 4 - Danh mục'!$I$132)=0),0),0)),IF(S276&lt;&gt;"Lớp 3",MATCH(1,INDEX(('Lớp 3 - Công việc chính'!$I$14:$I$73&lt;&gt;"")*(COUNTIF('Lớp 4 - Danh mục'!$J$14:$J$132,'Lớp 3 - Công việc chính'!$I$14:$I$73)=0),0),0),T276+MATCH(1,INDEX((INDEX('Lớp 3 - Công việc chính'!$I$14:$I$73,T276+1):'Lớp 3 - Công việc chính'!$I$73&lt;&gt;"")*(COUNTIF('Lớp 4 - Danh mục'!$J$14:$J$132,INDEX('Lớp 3 - Công việc chính'!$I$14:$I$73,T276+1):'Lớp 3 - Công việc chính'!$I$73)=0),0),0)))))</f>
        <v>#REF!</v>
      </c>
      <c r="Z277" s="700" t="str">
        <f t="array" ref="Z277">IF($S277="","",IF($S277="Lớp 5",INDEX('Lớp 5 - Phân công'!$AS$14:$AS$262,$T277),IF($S277="Lớp 4",INDEX('Lớp 4 - Danh mục'!$AR$14:$AR$132,$T277),INDEX('Lớp 3 - Công việc chính'!$AO$14:$AO$73,$T277))))</f>
        <v>#REF!</v>
      </c>
      <c r="AA277" s="701" t="str">
        <f t="array" ref="AA277">IF($S277="","",IF($S277="Lớp 5",INDEX('Lớp 5 - Phân công'!$AT$14:$AT$262,$T277),IF($S277="Lớp 4",INDEX('Lớp 4 - Danh mục'!$AS$14:$AS$132,$T277),INDEX('Lớp 3 - Công việc chính'!$AP$14:$AP$73,$T277))))</f>
        <v>#REF!</v>
      </c>
      <c r="AB277" s="701" t="str">
        <f t="array" ref="AB277">IF($S277="","",IF($S277="Lớp 5",INDEX('Lớp 5 - Phân công'!$AJ$14:$AJ$262,$T277),IF($S277="Lớp 4",INDEX('Lớp 4 - Danh mục'!$AI$14:$AI$132,$T277),INDEX('Lớp 3 - Công việc chính'!$AF$14:$AF$73,$T277))))</f>
        <v>#REF!</v>
      </c>
      <c r="AC277" s="702" t="str">
        <f t="array" ref="AC277">IF($S277="","",IF($S277="Lớp 5",INDEX('Lớp 5 - Phân công'!$AV$14:$AV$262,$T277),IF($S277="Lớp 4",INDEX('Lớp 4 - Danh mục'!$AU$14:$AU$132,$T277),INDEX('Lớp 3 - Công việc chính'!$AR$14:$AR$73,$T277))))</f>
        <v>#REF!</v>
      </c>
    </row>
    <row r="278" ht="15.75" customHeight="1">
      <c r="A278" s="690" t="str">
        <f t="shared" si="1"/>
        <v>#REF!</v>
      </c>
      <c r="B278" s="690" t="str">
        <f t="array" ref="B278">IF($S278="","",IF($S278="Lớp 5",INDEX('Lớp 5 - Phân công'!$I$14:$I$262,$T278),IF($S278="Lớp 4",INDEX('Lớp 4 - Danh mục'!$I$14:$I$132,$T278),INDEX('Lớp 3 - Công việc chính'!$I$14:$I$73,$T278))))</f>
        <v>#REF!</v>
      </c>
      <c r="C278" s="690" t="str">
        <f t="array" ref="C278">IF($S278="","",IF($S278="Lớp 5",INDEX('Lớp 5 - Phân công'!$K$14:$K$262,$T278),IF($S278="Lớp 4",INDEX('Lớp 4 - Danh mục'!$J$14:$J$132,$T278),INDEX('Lớp 3 - Công việc chính'!$I$14:$I$73,$T278))))</f>
        <v>#REF!</v>
      </c>
      <c r="D278" s="690" t="str">
        <f t="array" ref="D278">IF($S278="","",IF($S278="Lớp 5",INDEX('Lớp 5 - Phân công'!$J$14:$J$262,$T278),IF($S278="Lớp 4",INDEX('Lớp 4 - Danh mục'!$I$14:$I$132,$T278),"")))</f>
        <v>#REF!</v>
      </c>
      <c r="E278" s="690" t="str">
        <f t="array" ref="E278">IF($S278="","",IF($S278="Lớp 5",INDEX('Lớp 5 - Phân công'!$L$14:$L$262,$T278),IF($S278="Lớp 4",INDEX('Lớp 4 - Danh mục'!$K$14:$K$132,$T278),INDEX('Lớp 3 - Công việc chính'!$J$14:$J$73,$T278))))</f>
        <v>#REF!</v>
      </c>
      <c r="F278" s="690" t="str">
        <f t="array" ref="F278">IF($S278="","",IF($S278="Lớp 5",INDEX('Lớp 5 - Phân công'!$M$14:$M$262,$T278),IF($S278="Lớp 4",INDEX('Lớp 4 - Danh mục'!$L$14:$L$132,$T278),INDEX('Lớp 3 - Công việc chính'!$K$14:$K$73,$T278))))</f>
        <v>#REF!</v>
      </c>
      <c r="G278" s="691" t="str">
        <f t="array" ref="G278">IF($S278="","",IF($S278="Lớp 5",INDEX('Lớp 5 - Phân công'!$N$14:$N$262,$T278),IF($S278="Lớp 4",INDEX('Lớp 4 - Danh mục'!$M$14:$M$132,$T278),INDEX('Lớp 3 - Công việc chính'!$L$14:$L$73,$T278))))</f>
        <v>#REF!</v>
      </c>
      <c r="H278" s="692" t="str">
        <f t="array" ref="H278">IF($S278="","",IF($S278="Lớp 5",INDEX('Lớp 5 - Phân công'!$O$14:$O$262,$T278),IF($S278="Lớp 4",INDEX('Lớp 4 - Danh mục'!$N$14:$N$132,$T278),INDEX('Lớp 3 - Công việc chính'!$M$14:$M$73,$T278))))</f>
        <v>#REF!</v>
      </c>
      <c r="I278" s="692" t="str">
        <f t="array" ref="I278">IF($S278="","",IF($S278="Lớp 5",INDEX('Lớp 5 - Phân công'!$P$14:$P$262,$T278),IF($S278="Lớp 4",INDEX('Lớp 4 - Danh mục'!$O$14:$O$132,$T278),"")))</f>
        <v>#REF!</v>
      </c>
      <c r="J278" s="693" t="str">
        <f t="array" ref="J278">IF($S278="","",IF($S278="Lớp 5",INDEX('Lớp 5 - Phân công'!$Q$14:$Q$262,$T278),""))</f>
        <v>#REF!</v>
      </c>
      <c r="K278" s="690" t="str">
        <f t="array" ref="K278">IF($S278="","",IF($S278="Lớp 5",INDEX('Lớp 5 - Phân công'!$AA$14:$AA$262,$T278),IF($S278="Lớp 4",INDEX('Lớp 4 - Danh mục'!$Y$14:$Y$132,$T278),INDEX('Lớp 3 - Công việc chính'!$U$14:$U$73,$T278))))</f>
        <v>#REF!</v>
      </c>
      <c r="L278" s="691" t="str">
        <f t="array" ref="L278">IF($S278="","",IF($S278="Lớp 5",INDEX('Lớp 5 - Phân công'!$Z$14:$Z$262,$T278),IF($S278="Lớp 4",INDEX('Lớp 4 - Danh mục'!$X$14:$X$132,$T278),INDEX('Lớp 3 - Công việc chính'!$W$14:$W$73,$T278))))</f>
        <v>#REF!</v>
      </c>
      <c r="M278" s="694" t="str">
        <f t="array" ref="M278">IF($S278="","",IF($S278="Lớp 5",INDEX('Lớp 5 - Phân công'!$AD$14:$AD$262,$T278),IF($S278="Lớp 4",INDEX('Lớp 4 - Danh mục'!$AC$14:$AC$132,$T278),INDEX('Lớp 3 - Công việc chính'!$Z$14:$Z$73,$T278))))</f>
        <v>#REF!</v>
      </c>
      <c r="N278" s="695" t="str">
        <f t="array" ref="N278">IF($S278="","",IF($S278="Lớp 5",INDEX('Lớp 5 - Phân công'!$AE$14:$AE$262,$T278),IF($S278="Lớp 4",INDEX('Lớp 4 - Danh mục'!$AD$14:$AD$132,$T278),INDEX('Lớp 3 - Công việc chính'!$AA$14:$AA$73,$T278))))</f>
        <v>#REF!</v>
      </c>
      <c r="O278" s="690" t="str">
        <f t="array" ref="O278">IF($S278="","",IF($S278="Lớp 5",INDEX('Lớp 5 - Phân công'!$AB$14:$AB$262,$T278),IF($S278="Lớp 4",INDEX('Lớp 4 - Danh mục'!$AA$14:$AA$132,$T278),INDEX('Lớp 3 - Công việc chính'!$X$14:$X$73,$T278))))</f>
        <v>#REF!</v>
      </c>
      <c r="P278" s="703" t="str">
        <f t="array" ref="P278">IF($S278="","",IF($S278="Lớp 5",INDEX('Lớp 5 - Phân công'!$AC$14:$AC$262,$T278),IF($S278="Lớp 4",INDEX('Lớp 4 - Danh mục'!$AB$14:$AB$132,$T278),INDEX('Lớp 3 - Công việc chính'!$Y$14:$Y$73,$T278))))</f>
        <v>#REF!</v>
      </c>
      <c r="Q278" s="697" t="str">
        <f t="array" ref="Q278">IF($S278="","",IF($S278="Lớp 5",INDEX('Lớp 5 - Phân công'!$AG$14:$AG$262,$T278),IF($S278="Lớp 4",INDEX('Lớp 4 - Danh mục'!$AF$14:$AF$132,$T278),INDEX('Lớp 3 - Công việc chính'!$AC$14:$AC$73,$T278))))</f>
        <v>#REF!</v>
      </c>
      <c r="R278" s="698" t="str">
        <f t="array" ref="R278">IF($S278="","",IF($S278="Lớp 5",INDEX('Lớp 5 - Phân công'!$X$14:$X$262,$T278),IF($S278="Lớp 4",INDEX('Lớp 4 - Danh mục'!$V$14:$V$132,$T278),INDEX('Lớp 3 - Công việc chính'!$T$14:$T$73,$T278))))</f>
        <v>#REF!</v>
      </c>
      <c r="S278" s="699" t="str">
        <f>IF(ROWS($S$14:S278)&lt;=COUNTIF('Lớp 5 - Phân công'!$I$14:$I$262,"&lt;&gt;"),"Lớp 5",IF(ROWS($S$14:S278)&lt;=COUNTIF('Lớp 5 - Phân công'!$I$14:$I$262,"&lt;&gt;")+SUMPRODUCT(--('Lớp 4 - Danh mục'!$I$14:$I$132&lt;&gt;""),--(COUNTIF('Lớp 5 - Phân công'!$J$14:$J$262,'Lớp 4 - Danh mục'!$I$14:$I$132)=0)),"Lớp 4",IF(ROWS($S$14:S278)&lt;=COUNTIF('Lớp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8" s="699" t="str">
        <f t="array" ref="T278">IF(S278="","",IF(S278="Lớp 5",IF(S277&lt;&gt;"Lớp 5",MATCH("*",'Lớp 5 - Phân công'!$I$14:$I$262,0),T277+MATCH("*",INDEX('Lớp 5 - Phân công'!$I$14:$I$262,T277+1):'Lớp 5 - Phân công'!$I$262,0)),IF(S278="Lớp 4",IF(S277&lt;&gt;"Lớp 4",MATCH(1,INDEX(('Lớp 4 - Danh mục'!$I$14:$I$132&lt;&gt;"")*(COUNTIF('Lớp 5 - Phân công'!$J$14:$J$262,'Lớp 4 - Danh mục'!$I$14:$I$132)=0),0),0),T277+MATCH(1,INDEX((INDEX('Lớp 4 - Danh mục'!$I$14:$I$132,T277+1):'Lớp 4 - Danh mục'!$I$132&lt;&gt;"")*(COUNTIF('Lớp 5 - Phân công'!$J$14:$J$262,INDEX('Lớp 4 - Danh mục'!$I$14:$I$132,T277+1):'Lớp 4 - Danh mục'!$I$132)=0),0),0)),IF(S277&lt;&gt;"Lớp 3",MATCH(1,INDEX(('Lớp 3 - Công việc chính'!$I$14:$I$73&lt;&gt;"")*(COUNTIF('Lớp 4 - Danh mục'!$J$14:$J$132,'Lớp 3 - Công việc chính'!$I$14:$I$73)=0),0),0),T277+MATCH(1,INDEX((INDEX('Lớp 3 - Công việc chính'!$I$14:$I$73,T277+1):'Lớp 3 - Công việc chính'!$I$73&lt;&gt;"")*(COUNTIF('Lớp 4 - Danh mục'!$J$14:$J$132,INDEX('Lớp 3 - Công việc chính'!$I$14:$I$73,T277+1):'Lớp 3 - Công việc chính'!$I$73)=0),0),0)))))</f>
        <v>#REF!</v>
      </c>
      <c r="Z278" s="700" t="str">
        <f t="array" ref="Z278">IF($S278="","",IF($S278="Lớp 5",INDEX('Lớp 5 - Phân công'!$AS$14:$AS$262,$T278),IF($S278="Lớp 4",INDEX('Lớp 4 - Danh mục'!$AR$14:$AR$132,$T278),INDEX('Lớp 3 - Công việc chính'!$AO$14:$AO$73,$T278))))</f>
        <v>#REF!</v>
      </c>
      <c r="AA278" s="701" t="str">
        <f t="array" ref="AA278">IF($S278="","",IF($S278="Lớp 5",INDEX('Lớp 5 - Phân công'!$AT$14:$AT$262,$T278),IF($S278="Lớp 4",INDEX('Lớp 4 - Danh mục'!$AS$14:$AS$132,$T278),INDEX('Lớp 3 - Công việc chính'!$AP$14:$AP$73,$T278))))</f>
        <v>#REF!</v>
      </c>
      <c r="AB278" s="701" t="str">
        <f t="array" ref="AB278">IF($S278="","",IF($S278="Lớp 5",INDEX('Lớp 5 - Phân công'!$AJ$14:$AJ$262,$T278),IF($S278="Lớp 4",INDEX('Lớp 4 - Danh mục'!$AI$14:$AI$132,$T278),INDEX('Lớp 3 - Công việc chính'!$AF$14:$AF$73,$T278))))</f>
        <v>#REF!</v>
      </c>
      <c r="AC278" s="702" t="str">
        <f t="array" ref="AC278">IF($S278="","",IF($S278="Lớp 5",INDEX('Lớp 5 - Phân công'!$AV$14:$AV$262,$T278),IF($S278="Lớp 4",INDEX('Lớp 4 - Danh mục'!$AU$14:$AU$132,$T278),INDEX('Lớp 3 - Công việc chính'!$AR$14:$AR$73,$T278))))</f>
        <v>#REF!</v>
      </c>
    </row>
    <row r="279" ht="15.75" customHeight="1">
      <c r="A279" s="690" t="str">
        <f t="shared" si="1"/>
        <v>#REF!</v>
      </c>
      <c r="B279" s="690" t="str">
        <f t="array" ref="B279">IF($S279="","",IF($S279="Lớp 5",INDEX('Lớp 5 - Phân công'!$I$14:$I$262,$T279),IF($S279="Lớp 4",INDEX('Lớp 4 - Danh mục'!$I$14:$I$132,$T279),INDEX('Lớp 3 - Công việc chính'!$I$14:$I$73,$T279))))</f>
        <v>#REF!</v>
      </c>
      <c r="C279" s="690" t="str">
        <f t="array" ref="C279">IF($S279="","",IF($S279="Lớp 5",INDEX('Lớp 5 - Phân công'!$K$14:$K$262,$T279),IF($S279="Lớp 4",INDEX('Lớp 4 - Danh mục'!$J$14:$J$132,$T279),INDEX('Lớp 3 - Công việc chính'!$I$14:$I$73,$T279))))</f>
        <v>#REF!</v>
      </c>
      <c r="D279" s="690" t="str">
        <f t="array" ref="D279">IF($S279="","",IF($S279="Lớp 5",INDEX('Lớp 5 - Phân công'!$J$14:$J$262,$T279),IF($S279="Lớp 4",INDEX('Lớp 4 - Danh mục'!$I$14:$I$132,$T279),"")))</f>
        <v>#REF!</v>
      </c>
      <c r="E279" s="690" t="str">
        <f t="array" ref="E279">IF($S279="","",IF($S279="Lớp 5",INDEX('Lớp 5 - Phân công'!$L$14:$L$262,$T279),IF($S279="Lớp 4",INDEX('Lớp 4 - Danh mục'!$K$14:$K$132,$T279),INDEX('Lớp 3 - Công việc chính'!$J$14:$J$73,$T279))))</f>
        <v>#REF!</v>
      </c>
      <c r="F279" s="690" t="str">
        <f t="array" ref="F279">IF($S279="","",IF($S279="Lớp 5",INDEX('Lớp 5 - Phân công'!$M$14:$M$262,$T279),IF($S279="Lớp 4",INDEX('Lớp 4 - Danh mục'!$L$14:$L$132,$T279),INDEX('Lớp 3 - Công việc chính'!$K$14:$K$73,$T279))))</f>
        <v>#REF!</v>
      </c>
      <c r="G279" s="691" t="str">
        <f t="array" ref="G279">IF($S279="","",IF($S279="Lớp 5",INDEX('Lớp 5 - Phân công'!$N$14:$N$262,$T279),IF($S279="Lớp 4",INDEX('Lớp 4 - Danh mục'!$M$14:$M$132,$T279),INDEX('Lớp 3 - Công việc chính'!$L$14:$L$73,$T279))))</f>
        <v>#REF!</v>
      </c>
      <c r="H279" s="692" t="str">
        <f t="array" ref="H279">IF($S279="","",IF($S279="Lớp 5",INDEX('Lớp 5 - Phân công'!$O$14:$O$262,$T279),IF($S279="Lớp 4",INDEX('Lớp 4 - Danh mục'!$N$14:$N$132,$T279),INDEX('Lớp 3 - Công việc chính'!$M$14:$M$73,$T279))))</f>
        <v>#REF!</v>
      </c>
      <c r="I279" s="692" t="str">
        <f t="array" ref="I279">IF($S279="","",IF($S279="Lớp 5",INDEX('Lớp 5 - Phân công'!$P$14:$P$262,$T279),IF($S279="Lớp 4",INDEX('Lớp 4 - Danh mục'!$O$14:$O$132,$T279),"")))</f>
        <v>#REF!</v>
      </c>
      <c r="J279" s="693" t="str">
        <f t="array" ref="J279">IF($S279="","",IF($S279="Lớp 5",INDEX('Lớp 5 - Phân công'!$Q$14:$Q$262,$T279),""))</f>
        <v>#REF!</v>
      </c>
      <c r="K279" s="690" t="str">
        <f t="array" ref="K279">IF($S279="","",IF($S279="Lớp 5",INDEX('Lớp 5 - Phân công'!$AA$14:$AA$262,$T279),IF($S279="Lớp 4",INDEX('Lớp 4 - Danh mục'!$Y$14:$Y$132,$T279),INDEX('Lớp 3 - Công việc chính'!$U$14:$U$73,$T279))))</f>
        <v>#REF!</v>
      </c>
      <c r="L279" s="691" t="str">
        <f t="array" ref="L279">IF($S279="","",IF($S279="Lớp 5",INDEX('Lớp 5 - Phân công'!$Z$14:$Z$262,$T279),IF($S279="Lớp 4",INDEX('Lớp 4 - Danh mục'!$X$14:$X$132,$T279),INDEX('Lớp 3 - Công việc chính'!$W$14:$W$73,$T279))))</f>
        <v>#REF!</v>
      </c>
      <c r="M279" s="694" t="str">
        <f t="array" ref="M279">IF($S279="","",IF($S279="Lớp 5",INDEX('Lớp 5 - Phân công'!$AD$14:$AD$262,$T279),IF($S279="Lớp 4",INDEX('Lớp 4 - Danh mục'!$AC$14:$AC$132,$T279),INDEX('Lớp 3 - Công việc chính'!$Z$14:$Z$73,$T279))))</f>
        <v>#REF!</v>
      </c>
      <c r="N279" s="695" t="str">
        <f t="array" ref="N279">IF($S279="","",IF($S279="Lớp 5",INDEX('Lớp 5 - Phân công'!$AE$14:$AE$262,$T279),IF($S279="Lớp 4",INDEX('Lớp 4 - Danh mục'!$AD$14:$AD$132,$T279),INDEX('Lớp 3 - Công việc chính'!$AA$14:$AA$73,$T279))))</f>
        <v>#REF!</v>
      </c>
      <c r="O279" s="690" t="str">
        <f t="array" ref="O279">IF($S279="","",IF($S279="Lớp 5",INDEX('Lớp 5 - Phân công'!$AB$14:$AB$262,$T279),IF($S279="Lớp 4",INDEX('Lớp 4 - Danh mục'!$AA$14:$AA$132,$T279),INDEX('Lớp 3 - Công việc chính'!$X$14:$X$73,$T279))))</f>
        <v>#REF!</v>
      </c>
      <c r="P279" s="703" t="str">
        <f t="array" ref="P279">IF($S279="","",IF($S279="Lớp 5",INDEX('Lớp 5 - Phân công'!$AC$14:$AC$262,$T279),IF($S279="Lớp 4",INDEX('Lớp 4 - Danh mục'!$AB$14:$AB$132,$T279),INDEX('Lớp 3 - Công việc chính'!$Y$14:$Y$73,$T279))))</f>
        <v>#REF!</v>
      </c>
      <c r="Q279" s="697" t="str">
        <f t="array" ref="Q279">IF($S279="","",IF($S279="Lớp 5",INDEX('Lớp 5 - Phân công'!$AG$14:$AG$262,$T279),IF($S279="Lớp 4",INDEX('Lớp 4 - Danh mục'!$AF$14:$AF$132,$T279),INDEX('Lớp 3 - Công việc chính'!$AC$14:$AC$73,$T279))))</f>
        <v>#REF!</v>
      </c>
      <c r="R279" s="698" t="str">
        <f t="array" ref="R279">IF($S279="","",IF($S279="Lớp 5",INDEX('Lớp 5 - Phân công'!$X$14:$X$262,$T279),IF($S279="Lớp 4",INDEX('Lớp 4 - Danh mục'!$V$14:$V$132,$T279),INDEX('Lớp 3 - Công việc chính'!$T$14:$T$73,$T279))))</f>
        <v>#REF!</v>
      </c>
      <c r="S279" s="699" t="str">
        <f>IF(ROWS($S$14:S279)&lt;=COUNTIF('Lớp 5 - Phân công'!$I$14:$I$262,"&lt;&gt;"),"Lớp 5",IF(ROWS($S$14:S279)&lt;=COUNTIF('Lớp 5 - Phân công'!$I$14:$I$262,"&lt;&gt;")+SUMPRODUCT(--('Lớp 4 - Danh mục'!$I$14:$I$132&lt;&gt;""),--(COUNTIF('Lớp 5 - Phân công'!$J$14:$J$262,'Lớp 4 - Danh mục'!$I$14:$I$132)=0)),"Lớp 4",IF(ROWS($S$14:S279)&lt;=COUNTIF('Lớp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79" s="699" t="str">
        <f t="array" ref="T279">IF(S279="","",IF(S279="Lớp 5",IF(S278&lt;&gt;"Lớp 5",MATCH("*",'Lớp 5 - Phân công'!$I$14:$I$262,0),T278+MATCH("*",INDEX('Lớp 5 - Phân công'!$I$14:$I$262,T278+1):'Lớp 5 - Phân công'!$I$262,0)),IF(S279="Lớp 4",IF(S278&lt;&gt;"Lớp 4",MATCH(1,INDEX(('Lớp 4 - Danh mục'!$I$14:$I$132&lt;&gt;"")*(COUNTIF('Lớp 5 - Phân công'!$J$14:$J$262,'Lớp 4 - Danh mục'!$I$14:$I$132)=0),0),0),T278+MATCH(1,INDEX((INDEX('Lớp 4 - Danh mục'!$I$14:$I$132,T278+1):'Lớp 4 - Danh mục'!$I$132&lt;&gt;"")*(COUNTIF('Lớp 5 - Phân công'!$J$14:$J$262,INDEX('Lớp 4 - Danh mục'!$I$14:$I$132,T278+1):'Lớp 4 - Danh mục'!$I$132)=0),0),0)),IF(S278&lt;&gt;"Lớp 3",MATCH(1,INDEX(('Lớp 3 - Công việc chính'!$I$14:$I$73&lt;&gt;"")*(COUNTIF('Lớp 4 - Danh mục'!$J$14:$J$132,'Lớp 3 - Công việc chính'!$I$14:$I$73)=0),0),0),T278+MATCH(1,INDEX((INDEX('Lớp 3 - Công việc chính'!$I$14:$I$73,T278+1):'Lớp 3 - Công việc chính'!$I$73&lt;&gt;"")*(COUNTIF('Lớp 4 - Danh mục'!$J$14:$J$132,INDEX('Lớp 3 - Công việc chính'!$I$14:$I$73,T278+1):'Lớp 3 - Công việc chính'!$I$73)=0),0),0)))))</f>
        <v>#REF!</v>
      </c>
      <c r="Z279" s="700" t="str">
        <f t="array" ref="Z279">IF($S279="","",IF($S279="Lớp 5",INDEX('Lớp 5 - Phân công'!$AS$14:$AS$262,$T279),IF($S279="Lớp 4",INDEX('Lớp 4 - Danh mục'!$AR$14:$AR$132,$T279),INDEX('Lớp 3 - Công việc chính'!$AO$14:$AO$73,$T279))))</f>
        <v>#REF!</v>
      </c>
      <c r="AA279" s="701" t="str">
        <f t="array" ref="AA279">IF($S279="","",IF($S279="Lớp 5",INDEX('Lớp 5 - Phân công'!$AT$14:$AT$262,$T279),IF($S279="Lớp 4",INDEX('Lớp 4 - Danh mục'!$AS$14:$AS$132,$T279),INDEX('Lớp 3 - Công việc chính'!$AP$14:$AP$73,$T279))))</f>
        <v>#REF!</v>
      </c>
      <c r="AB279" s="701" t="str">
        <f t="array" ref="AB279">IF($S279="","",IF($S279="Lớp 5",INDEX('Lớp 5 - Phân công'!$AJ$14:$AJ$262,$T279),IF($S279="Lớp 4",INDEX('Lớp 4 - Danh mục'!$AI$14:$AI$132,$T279),INDEX('Lớp 3 - Công việc chính'!$AF$14:$AF$73,$T279))))</f>
        <v>#REF!</v>
      </c>
      <c r="AC279" s="702" t="str">
        <f t="array" ref="AC279">IF($S279="","",IF($S279="Lớp 5",INDEX('Lớp 5 - Phân công'!$AV$14:$AV$262,$T279),IF($S279="Lớp 4",INDEX('Lớp 4 - Danh mục'!$AU$14:$AU$132,$T279),INDEX('Lớp 3 - Công việc chính'!$AR$14:$AR$73,$T279))))</f>
        <v>#REF!</v>
      </c>
    </row>
    <row r="280" ht="15.75" customHeight="1">
      <c r="A280" s="690" t="str">
        <f t="shared" si="1"/>
        <v>#REF!</v>
      </c>
      <c r="B280" s="690" t="str">
        <f t="array" ref="B280">IF($S280="","",IF($S280="Lớp 5",INDEX('Lớp 5 - Phân công'!$I$14:$I$262,$T280),IF($S280="Lớp 4",INDEX('Lớp 4 - Danh mục'!$I$14:$I$132,$T280),INDEX('Lớp 3 - Công việc chính'!$I$14:$I$73,$T280))))</f>
        <v>#REF!</v>
      </c>
      <c r="C280" s="690" t="str">
        <f t="array" ref="C280">IF($S280="","",IF($S280="Lớp 5",INDEX('Lớp 5 - Phân công'!$K$14:$K$262,$T280),IF($S280="Lớp 4",INDEX('Lớp 4 - Danh mục'!$J$14:$J$132,$T280),INDEX('Lớp 3 - Công việc chính'!$I$14:$I$73,$T280))))</f>
        <v>#REF!</v>
      </c>
      <c r="D280" s="690" t="str">
        <f t="array" ref="D280">IF($S280="","",IF($S280="Lớp 5",INDEX('Lớp 5 - Phân công'!$J$14:$J$262,$T280),IF($S280="Lớp 4",INDEX('Lớp 4 - Danh mục'!$I$14:$I$132,$T280),"")))</f>
        <v>#REF!</v>
      </c>
      <c r="E280" s="690" t="str">
        <f t="array" ref="E280">IF($S280="","",IF($S280="Lớp 5",INDEX('Lớp 5 - Phân công'!$L$14:$L$262,$T280),IF($S280="Lớp 4",INDEX('Lớp 4 - Danh mục'!$K$14:$K$132,$T280),INDEX('Lớp 3 - Công việc chính'!$J$14:$J$73,$T280))))</f>
        <v>#REF!</v>
      </c>
      <c r="F280" s="690" t="str">
        <f t="array" ref="F280">IF($S280="","",IF($S280="Lớp 5",INDEX('Lớp 5 - Phân công'!$M$14:$M$262,$T280),IF($S280="Lớp 4",INDEX('Lớp 4 - Danh mục'!$L$14:$L$132,$T280),INDEX('Lớp 3 - Công việc chính'!$K$14:$K$73,$T280))))</f>
        <v>#REF!</v>
      </c>
      <c r="G280" s="691" t="str">
        <f t="array" ref="G280">IF($S280="","",IF($S280="Lớp 5",INDEX('Lớp 5 - Phân công'!$N$14:$N$262,$T280),IF($S280="Lớp 4",INDEX('Lớp 4 - Danh mục'!$M$14:$M$132,$T280),INDEX('Lớp 3 - Công việc chính'!$L$14:$L$73,$T280))))</f>
        <v>#REF!</v>
      </c>
      <c r="H280" s="692" t="str">
        <f t="array" ref="H280">IF($S280="","",IF($S280="Lớp 5",INDEX('Lớp 5 - Phân công'!$O$14:$O$262,$T280),IF($S280="Lớp 4",INDEX('Lớp 4 - Danh mục'!$N$14:$N$132,$T280),INDEX('Lớp 3 - Công việc chính'!$M$14:$M$73,$T280))))</f>
        <v>#REF!</v>
      </c>
      <c r="I280" s="692" t="str">
        <f t="array" ref="I280">IF($S280="","",IF($S280="Lớp 5",INDEX('Lớp 5 - Phân công'!$P$14:$P$262,$T280),IF($S280="Lớp 4",INDEX('Lớp 4 - Danh mục'!$O$14:$O$132,$T280),"")))</f>
        <v>#REF!</v>
      </c>
      <c r="J280" s="693" t="str">
        <f t="array" ref="J280">IF($S280="","",IF($S280="Lớp 5",INDEX('Lớp 5 - Phân công'!$Q$14:$Q$262,$T280),""))</f>
        <v>#REF!</v>
      </c>
      <c r="K280" s="690" t="str">
        <f t="array" ref="K280">IF($S280="","",IF($S280="Lớp 5",INDEX('Lớp 5 - Phân công'!$AA$14:$AA$262,$T280),IF($S280="Lớp 4",INDEX('Lớp 4 - Danh mục'!$Y$14:$Y$132,$T280),INDEX('Lớp 3 - Công việc chính'!$U$14:$U$73,$T280))))</f>
        <v>#REF!</v>
      </c>
      <c r="L280" s="691" t="str">
        <f t="array" ref="L280">IF($S280="","",IF($S280="Lớp 5",INDEX('Lớp 5 - Phân công'!$Z$14:$Z$262,$T280),IF($S280="Lớp 4",INDEX('Lớp 4 - Danh mục'!$X$14:$X$132,$T280),INDEX('Lớp 3 - Công việc chính'!$W$14:$W$73,$T280))))</f>
        <v>#REF!</v>
      </c>
      <c r="M280" s="694" t="str">
        <f t="array" ref="M280">IF($S280="","",IF($S280="Lớp 5",INDEX('Lớp 5 - Phân công'!$AD$14:$AD$262,$T280),IF($S280="Lớp 4",INDEX('Lớp 4 - Danh mục'!$AC$14:$AC$132,$T280),INDEX('Lớp 3 - Công việc chính'!$Z$14:$Z$73,$T280))))</f>
        <v>#REF!</v>
      </c>
      <c r="N280" s="695" t="str">
        <f t="array" ref="N280">IF($S280="","",IF($S280="Lớp 5",INDEX('Lớp 5 - Phân công'!$AE$14:$AE$262,$T280),IF($S280="Lớp 4",INDEX('Lớp 4 - Danh mục'!$AD$14:$AD$132,$T280),INDEX('Lớp 3 - Công việc chính'!$AA$14:$AA$73,$T280))))</f>
        <v>#REF!</v>
      </c>
      <c r="O280" s="690" t="str">
        <f t="array" ref="O280">IF($S280="","",IF($S280="Lớp 5",INDEX('Lớp 5 - Phân công'!$AB$14:$AB$262,$T280),IF($S280="Lớp 4",INDEX('Lớp 4 - Danh mục'!$AA$14:$AA$132,$T280),INDEX('Lớp 3 - Công việc chính'!$X$14:$X$73,$T280))))</f>
        <v>#REF!</v>
      </c>
      <c r="P280" s="703" t="str">
        <f t="array" ref="P280">IF($S280="","",IF($S280="Lớp 5",INDEX('Lớp 5 - Phân công'!$AC$14:$AC$262,$T280),IF($S280="Lớp 4",INDEX('Lớp 4 - Danh mục'!$AB$14:$AB$132,$T280),INDEX('Lớp 3 - Công việc chính'!$Y$14:$Y$73,$T280))))</f>
        <v>#REF!</v>
      </c>
      <c r="Q280" s="697" t="str">
        <f t="array" ref="Q280">IF($S280="","",IF($S280="Lớp 5",INDEX('Lớp 5 - Phân công'!$AG$14:$AG$262,$T280),IF($S280="Lớp 4",INDEX('Lớp 4 - Danh mục'!$AF$14:$AF$132,$T280),INDEX('Lớp 3 - Công việc chính'!$AC$14:$AC$73,$T280))))</f>
        <v>#REF!</v>
      </c>
      <c r="R280" s="698" t="str">
        <f t="array" ref="R280">IF($S280="","",IF($S280="Lớp 5",INDEX('Lớp 5 - Phân công'!$X$14:$X$262,$T280),IF($S280="Lớp 4",INDEX('Lớp 4 - Danh mục'!$V$14:$V$132,$T280),INDEX('Lớp 3 - Công việc chính'!$T$14:$T$73,$T280))))</f>
        <v>#REF!</v>
      </c>
      <c r="S280" s="699" t="str">
        <f>IF(ROWS($S$14:S280)&lt;=COUNTIF('Lớp 5 - Phân công'!$I$14:$I$262,"&lt;&gt;"),"Lớp 5",IF(ROWS($S$14:S280)&lt;=COUNTIF('Lớp 5 - Phân công'!$I$14:$I$262,"&lt;&gt;")+SUMPRODUCT(--('Lớp 4 - Danh mục'!$I$14:$I$132&lt;&gt;""),--(COUNTIF('Lớp 5 - Phân công'!$J$14:$J$262,'Lớp 4 - Danh mục'!$I$14:$I$132)=0)),"Lớp 4",IF(ROWS($S$14:S280)&lt;=COUNTIF('Lớp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0" s="699" t="str">
        <f t="array" ref="T280">IF(S280="","",IF(S280="Lớp 5",IF(S279&lt;&gt;"Lớp 5",MATCH("*",'Lớp 5 - Phân công'!$I$14:$I$262,0),T279+MATCH("*",INDEX('Lớp 5 - Phân công'!$I$14:$I$262,T279+1):'Lớp 5 - Phân công'!$I$262,0)),IF(S280="Lớp 4",IF(S279&lt;&gt;"Lớp 4",MATCH(1,INDEX(('Lớp 4 - Danh mục'!$I$14:$I$132&lt;&gt;"")*(COUNTIF('Lớp 5 - Phân công'!$J$14:$J$262,'Lớp 4 - Danh mục'!$I$14:$I$132)=0),0),0),T279+MATCH(1,INDEX((INDEX('Lớp 4 - Danh mục'!$I$14:$I$132,T279+1):'Lớp 4 - Danh mục'!$I$132&lt;&gt;"")*(COUNTIF('Lớp 5 - Phân công'!$J$14:$J$262,INDEX('Lớp 4 - Danh mục'!$I$14:$I$132,T279+1):'Lớp 4 - Danh mục'!$I$132)=0),0),0)),IF(S279&lt;&gt;"Lớp 3",MATCH(1,INDEX(('Lớp 3 - Công việc chính'!$I$14:$I$73&lt;&gt;"")*(COUNTIF('Lớp 4 - Danh mục'!$J$14:$J$132,'Lớp 3 - Công việc chính'!$I$14:$I$73)=0),0),0),T279+MATCH(1,INDEX((INDEX('Lớp 3 - Công việc chính'!$I$14:$I$73,T279+1):'Lớp 3 - Công việc chính'!$I$73&lt;&gt;"")*(COUNTIF('Lớp 4 - Danh mục'!$J$14:$J$132,INDEX('Lớp 3 - Công việc chính'!$I$14:$I$73,T279+1):'Lớp 3 - Công việc chính'!$I$73)=0),0),0)))))</f>
        <v>#REF!</v>
      </c>
      <c r="Z280" s="700" t="str">
        <f t="array" ref="Z280">IF($S280="","",IF($S280="Lớp 5",INDEX('Lớp 5 - Phân công'!$AS$14:$AS$262,$T280),IF($S280="Lớp 4",INDEX('Lớp 4 - Danh mục'!$AR$14:$AR$132,$T280),INDEX('Lớp 3 - Công việc chính'!$AO$14:$AO$73,$T280))))</f>
        <v>#REF!</v>
      </c>
      <c r="AA280" s="701" t="str">
        <f t="array" ref="AA280">IF($S280="","",IF($S280="Lớp 5",INDEX('Lớp 5 - Phân công'!$AT$14:$AT$262,$T280),IF($S280="Lớp 4",INDEX('Lớp 4 - Danh mục'!$AS$14:$AS$132,$T280),INDEX('Lớp 3 - Công việc chính'!$AP$14:$AP$73,$T280))))</f>
        <v>#REF!</v>
      </c>
      <c r="AB280" s="701" t="str">
        <f t="array" ref="AB280">IF($S280="","",IF($S280="Lớp 5",INDEX('Lớp 5 - Phân công'!$AJ$14:$AJ$262,$T280),IF($S280="Lớp 4",INDEX('Lớp 4 - Danh mục'!$AI$14:$AI$132,$T280),INDEX('Lớp 3 - Công việc chính'!$AF$14:$AF$73,$T280))))</f>
        <v>#REF!</v>
      </c>
      <c r="AC280" s="702" t="str">
        <f t="array" ref="AC280">IF($S280="","",IF($S280="Lớp 5",INDEX('Lớp 5 - Phân công'!$AV$14:$AV$262,$T280),IF($S280="Lớp 4",INDEX('Lớp 4 - Danh mục'!$AU$14:$AU$132,$T280),INDEX('Lớp 3 - Công việc chính'!$AR$14:$AR$73,$T280))))</f>
        <v>#REF!</v>
      </c>
    </row>
    <row r="281" ht="15.75" customHeight="1">
      <c r="A281" s="690" t="str">
        <f t="shared" si="1"/>
        <v>#REF!</v>
      </c>
      <c r="B281" s="690" t="str">
        <f t="array" ref="B281">IF($S281="","",IF($S281="Lớp 5",INDEX('Lớp 5 - Phân công'!$I$14:$I$262,$T281),IF($S281="Lớp 4",INDEX('Lớp 4 - Danh mục'!$I$14:$I$132,$T281),INDEX('Lớp 3 - Công việc chính'!$I$14:$I$73,$T281))))</f>
        <v>#REF!</v>
      </c>
      <c r="C281" s="690" t="str">
        <f t="array" ref="C281">IF($S281="","",IF($S281="Lớp 5",INDEX('Lớp 5 - Phân công'!$K$14:$K$262,$T281),IF($S281="Lớp 4",INDEX('Lớp 4 - Danh mục'!$J$14:$J$132,$T281),INDEX('Lớp 3 - Công việc chính'!$I$14:$I$73,$T281))))</f>
        <v>#REF!</v>
      </c>
      <c r="D281" s="690" t="str">
        <f t="array" ref="D281">IF($S281="","",IF($S281="Lớp 5",INDEX('Lớp 5 - Phân công'!$J$14:$J$262,$T281),IF($S281="Lớp 4",INDEX('Lớp 4 - Danh mục'!$I$14:$I$132,$T281),"")))</f>
        <v>#REF!</v>
      </c>
      <c r="E281" s="690" t="str">
        <f t="array" ref="E281">IF($S281="","",IF($S281="Lớp 5",INDEX('Lớp 5 - Phân công'!$L$14:$L$262,$T281),IF($S281="Lớp 4",INDEX('Lớp 4 - Danh mục'!$K$14:$K$132,$T281),INDEX('Lớp 3 - Công việc chính'!$J$14:$J$73,$T281))))</f>
        <v>#REF!</v>
      </c>
      <c r="F281" s="690" t="str">
        <f t="array" ref="F281">IF($S281="","",IF($S281="Lớp 5",INDEX('Lớp 5 - Phân công'!$M$14:$M$262,$T281),IF($S281="Lớp 4",INDEX('Lớp 4 - Danh mục'!$L$14:$L$132,$T281),INDEX('Lớp 3 - Công việc chính'!$K$14:$K$73,$T281))))</f>
        <v>#REF!</v>
      </c>
      <c r="G281" s="691" t="str">
        <f t="array" ref="G281">IF($S281="","",IF($S281="Lớp 5",INDEX('Lớp 5 - Phân công'!$N$14:$N$262,$T281),IF($S281="Lớp 4",INDEX('Lớp 4 - Danh mục'!$M$14:$M$132,$T281),INDEX('Lớp 3 - Công việc chính'!$L$14:$L$73,$T281))))</f>
        <v>#REF!</v>
      </c>
      <c r="H281" s="692" t="str">
        <f t="array" ref="H281">IF($S281="","",IF($S281="Lớp 5",INDEX('Lớp 5 - Phân công'!$O$14:$O$262,$T281),IF($S281="Lớp 4",INDEX('Lớp 4 - Danh mục'!$N$14:$N$132,$T281),INDEX('Lớp 3 - Công việc chính'!$M$14:$M$73,$T281))))</f>
        <v>#REF!</v>
      </c>
      <c r="I281" s="692" t="str">
        <f t="array" ref="I281">IF($S281="","",IF($S281="Lớp 5",INDEX('Lớp 5 - Phân công'!$P$14:$P$262,$T281),IF($S281="Lớp 4",INDEX('Lớp 4 - Danh mục'!$O$14:$O$132,$T281),"")))</f>
        <v>#REF!</v>
      </c>
      <c r="J281" s="693" t="str">
        <f t="array" ref="J281">IF($S281="","",IF($S281="Lớp 5",INDEX('Lớp 5 - Phân công'!$Q$14:$Q$262,$T281),""))</f>
        <v>#REF!</v>
      </c>
      <c r="K281" s="690" t="str">
        <f t="array" ref="K281">IF($S281="","",IF($S281="Lớp 5",INDEX('Lớp 5 - Phân công'!$AA$14:$AA$262,$T281),IF($S281="Lớp 4",INDEX('Lớp 4 - Danh mục'!$Y$14:$Y$132,$T281),INDEX('Lớp 3 - Công việc chính'!$U$14:$U$73,$T281))))</f>
        <v>#REF!</v>
      </c>
      <c r="L281" s="691" t="str">
        <f t="array" ref="L281">IF($S281="","",IF($S281="Lớp 5",INDEX('Lớp 5 - Phân công'!$Z$14:$Z$262,$T281),IF($S281="Lớp 4",INDEX('Lớp 4 - Danh mục'!$X$14:$X$132,$T281),INDEX('Lớp 3 - Công việc chính'!$W$14:$W$73,$T281))))</f>
        <v>#REF!</v>
      </c>
      <c r="M281" s="694" t="str">
        <f t="array" ref="M281">IF($S281="","",IF($S281="Lớp 5",INDEX('Lớp 5 - Phân công'!$AD$14:$AD$262,$T281),IF($S281="Lớp 4",INDEX('Lớp 4 - Danh mục'!$AC$14:$AC$132,$T281),INDEX('Lớp 3 - Công việc chính'!$Z$14:$Z$73,$T281))))</f>
        <v>#REF!</v>
      </c>
      <c r="N281" s="695" t="str">
        <f t="array" ref="N281">IF($S281="","",IF($S281="Lớp 5",INDEX('Lớp 5 - Phân công'!$AE$14:$AE$262,$T281),IF($S281="Lớp 4",INDEX('Lớp 4 - Danh mục'!$AD$14:$AD$132,$T281),INDEX('Lớp 3 - Công việc chính'!$AA$14:$AA$73,$T281))))</f>
        <v>#REF!</v>
      </c>
      <c r="O281" s="690" t="str">
        <f t="array" ref="O281">IF($S281="","",IF($S281="Lớp 5",INDEX('Lớp 5 - Phân công'!$AB$14:$AB$262,$T281),IF($S281="Lớp 4",INDEX('Lớp 4 - Danh mục'!$AA$14:$AA$132,$T281),INDEX('Lớp 3 - Công việc chính'!$X$14:$X$73,$T281))))</f>
        <v>#REF!</v>
      </c>
      <c r="P281" s="703" t="str">
        <f t="array" ref="P281">IF($S281="","",IF($S281="Lớp 5",INDEX('Lớp 5 - Phân công'!$AC$14:$AC$262,$T281),IF($S281="Lớp 4",INDEX('Lớp 4 - Danh mục'!$AB$14:$AB$132,$T281),INDEX('Lớp 3 - Công việc chính'!$Y$14:$Y$73,$T281))))</f>
        <v>#REF!</v>
      </c>
      <c r="Q281" s="697" t="str">
        <f t="array" ref="Q281">IF($S281="","",IF($S281="Lớp 5",INDEX('Lớp 5 - Phân công'!$AG$14:$AG$262,$T281),IF($S281="Lớp 4",INDEX('Lớp 4 - Danh mục'!$AF$14:$AF$132,$T281),INDEX('Lớp 3 - Công việc chính'!$AC$14:$AC$73,$T281))))</f>
        <v>#REF!</v>
      </c>
      <c r="R281" s="698" t="str">
        <f t="array" ref="R281">IF($S281="","",IF($S281="Lớp 5",INDEX('Lớp 5 - Phân công'!$X$14:$X$262,$T281),IF($S281="Lớp 4",INDEX('Lớp 4 - Danh mục'!$V$14:$V$132,$T281),INDEX('Lớp 3 - Công việc chính'!$T$14:$T$73,$T281))))</f>
        <v>#REF!</v>
      </c>
      <c r="S281" s="699" t="str">
        <f>IF(ROWS($S$14:S281)&lt;=COUNTIF('Lớp 5 - Phân công'!$I$14:$I$262,"&lt;&gt;"),"Lớp 5",IF(ROWS($S$14:S281)&lt;=COUNTIF('Lớp 5 - Phân công'!$I$14:$I$262,"&lt;&gt;")+SUMPRODUCT(--('Lớp 4 - Danh mục'!$I$14:$I$132&lt;&gt;""),--(COUNTIF('Lớp 5 - Phân công'!$J$14:$J$262,'Lớp 4 - Danh mục'!$I$14:$I$132)=0)),"Lớp 4",IF(ROWS($S$14:S281)&lt;=COUNTIF('Lớp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1" s="699" t="str">
        <f t="array" ref="T281">IF(S281="","",IF(S281="Lớp 5",IF(S280&lt;&gt;"Lớp 5",MATCH("*",'Lớp 5 - Phân công'!$I$14:$I$262,0),T280+MATCH("*",INDEX('Lớp 5 - Phân công'!$I$14:$I$262,T280+1):'Lớp 5 - Phân công'!$I$262,0)),IF(S281="Lớp 4",IF(S280&lt;&gt;"Lớp 4",MATCH(1,INDEX(('Lớp 4 - Danh mục'!$I$14:$I$132&lt;&gt;"")*(COUNTIF('Lớp 5 - Phân công'!$J$14:$J$262,'Lớp 4 - Danh mục'!$I$14:$I$132)=0),0),0),T280+MATCH(1,INDEX((INDEX('Lớp 4 - Danh mục'!$I$14:$I$132,T280+1):'Lớp 4 - Danh mục'!$I$132&lt;&gt;"")*(COUNTIF('Lớp 5 - Phân công'!$J$14:$J$262,INDEX('Lớp 4 - Danh mục'!$I$14:$I$132,T280+1):'Lớp 4 - Danh mục'!$I$132)=0),0),0)),IF(S280&lt;&gt;"Lớp 3",MATCH(1,INDEX(('Lớp 3 - Công việc chính'!$I$14:$I$73&lt;&gt;"")*(COUNTIF('Lớp 4 - Danh mục'!$J$14:$J$132,'Lớp 3 - Công việc chính'!$I$14:$I$73)=0),0),0),T280+MATCH(1,INDEX((INDEX('Lớp 3 - Công việc chính'!$I$14:$I$73,T280+1):'Lớp 3 - Công việc chính'!$I$73&lt;&gt;"")*(COUNTIF('Lớp 4 - Danh mục'!$J$14:$J$132,INDEX('Lớp 3 - Công việc chính'!$I$14:$I$73,T280+1):'Lớp 3 - Công việc chính'!$I$73)=0),0),0)))))</f>
        <v>#REF!</v>
      </c>
      <c r="Z281" s="700" t="str">
        <f t="array" ref="Z281">IF($S281="","",IF($S281="Lớp 5",INDEX('Lớp 5 - Phân công'!$AS$14:$AS$262,$T281),IF($S281="Lớp 4",INDEX('Lớp 4 - Danh mục'!$AR$14:$AR$132,$T281),INDEX('Lớp 3 - Công việc chính'!$AO$14:$AO$73,$T281))))</f>
        <v>#REF!</v>
      </c>
      <c r="AA281" s="701" t="str">
        <f t="array" ref="AA281">IF($S281="","",IF($S281="Lớp 5",INDEX('Lớp 5 - Phân công'!$AT$14:$AT$262,$T281),IF($S281="Lớp 4",INDEX('Lớp 4 - Danh mục'!$AS$14:$AS$132,$T281),INDEX('Lớp 3 - Công việc chính'!$AP$14:$AP$73,$T281))))</f>
        <v>#REF!</v>
      </c>
      <c r="AB281" s="701" t="str">
        <f t="array" ref="AB281">IF($S281="","",IF($S281="Lớp 5",INDEX('Lớp 5 - Phân công'!$AJ$14:$AJ$262,$T281),IF($S281="Lớp 4",INDEX('Lớp 4 - Danh mục'!$AI$14:$AI$132,$T281),INDEX('Lớp 3 - Công việc chính'!$AF$14:$AF$73,$T281))))</f>
        <v>#REF!</v>
      </c>
      <c r="AC281" s="702" t="str">
        <f t="array" ref="AC281">IF($S281="","",IF($S281="Lớp 5",INDEX('Lớp 5 - Phân công'!$AV$14:$AV$262,$T281),IF($S281="Lớp 4",INDEX('Lớp 4 - Danh mục'!$AU$14:$AU$132,$T281),INDEX('Lớp 3 - Công việc chính'!$AR$14:$AR$73,$T281))))</f>
        <v>#REF!</v>
      </c>
    </row>
    <row r="282" ht="15.75" customHeight="1">
      <c r="A282" s="690" t="str">
        <f t="shared" si="1"/>
        <v>#REF!</v>
      </c>
      <c r="B282" s="690" t="str">
        <f t="array" ref="B282">IF($S282="","",IF($S282="Lớp 5",INDEX('Lớp 5 - Phân công'!$I$14:$I$262,$T282),IF($S282="Lớp 4",INDEX('Lớp 4 - Danh mục'!$I$14:$I$132,$T282),INDEX('Lớp 3 - Công việc chính'!$I$14:$I$73,$T282))))</f>
        <v>#REF!</v>
      </c>
      <c r="C282" s="690" t="str">
        <f t="array" ref="C282">IF($S282="","",IF($S282="Lớp 5",INDEX('Lớp 5 - Phân công'!$K$14:$K$262,$T282),IF($S282="Lớp 4",INDEX('Lớp 4 - Danh mục'!$J$14:$J$132,$T282),INDEX('Lớp 3 - Công việc chính'!$I$14:$I$73,$T282))))</f>
        <v>#REF!</v>
      </c>
      <c r="D282" s="690" t="str">
        <f t="array" ref="D282">IF($S282="","",IF($S282="Lớp 5",INDEX('Lớp 5 - Phân công'!$J$14:$J$262,$T282),IF($S282="Lớp 4",INDEX('Lớp 4 - Danh mục'!$I$14:$I$132,$T282),"")))</f>
        <v>#REF!</v>
      </c>
      <c r="E282" s="690" t="str">
        <f t="array" ref="E282">IF($S282="","",IF($S282="Lớp 5",INDEX('Lớp 5 - Phân công'!$L$14:$L$262,$T282),IF($S282="Lớp 4",INDEX('Lớp 4 - Danh mục'!$K$14:$K$132,$T282),INDEX('Lớp 3 - Công việc chính'!$J$14:$J$73,$T282))))</f>
        <v>#REF!</v>
      </c>
      <c r="F282" s="690" t="str">
        <f t="array" ref="F282">IF($S282="","",IF($S282="Lớp 5",INDEX('Lớp 5 - Phân công'!$M$14:$M$262,$T282),IF($S282="Lớp 4",INDEX('Lớp 4 - Danh mục'!$L$14:$L$132,$T282),INDEX('Lớp 3 - Công việc chính'!$K$14:$K$73,$T282))))</f>
        <v>#REF!</v>
      </c>
      <c r="G282" s="691" t="str">
        <f t="array" ref="G282">IF($S282="","",IF($S282="Lớp 5",INDEX('Lớp 5 - Phân công'!$N$14:$N$262,$T282),IF($S282="Lớp 4",INDEX('Lớp 4 - Danh mục'!$M$14:$M$132,$T282),INDEX('Lớp 3 - Công việc chính'!$L$14:$L$73,$T282))))</f>
        <v>#REF!</v>
      </c>
      <c r="H282" s="692" t="str">
        <f t="array" ref="H282">IF($S282="","",IF($S282="Lớp 5",INDEX('Lớp 5 - Phân công'!$O$14:$O$262,$T282),IF($S282="Lớp 4",INDEX('Lớp 4 - Danh mục'!$N$14:$N$132,$T282),INDEX('Lớp 3 - Công việc chính'!$M$14:$M$73,$T282))))</f>
        <v>#REF!</v>
      </c>
      <c r="I282" s="692" t="str">
        <f t="array" ref="I282">IF($S282="","",IF($S282="Lớp 5",INDEX('Lớp 5 - Phân công'!$P$14:$P$262,$T282),IF($S282="Lớp 4",INDEX('Lớp 4 - Danh mục'!$O$14:$O$132,$T282),"")))</f>
        <v>#REF!</v>
      </c>
      <c r="J282" s="693" t="str">
        <f t="array" ref="J282">IF($S282="","",IF($S282="Lớp 5",INDEX('Lớp 5 - Phân công'!$Q$14:$Q$262,$T282),""))</f>
        <v>#REF!</v>
      </c>
      <c r="K282" s="690" t="str">
        <f t="array" ref="K282">IF($S282="","",IF($S282="Lớp 5",INDEX('Lớp 5 - Phân công'!$AA$14:$AA$262,$T282),IF($S282="Lớp 4",INDEX('Lớp 4 - Danh mục'!$Y$14:$Y$132,$T282),INDEX('Lớp 3 - Công việc chính'!$U$14:$U$73,$T282))))</f>
        <v>#REF!</v>
      </c>
      <c r="L282" s="691" t="str">
        <f t="array" ref="L282">IF($S282="","",IF($S282="Lớp 5",INDEX('Lớp 5 - Phân công'!$Z$14:$Z$262,$T282),IF($S282="Lớp 4",INDEX('Lớp 4 - Danh mục'!$X$14:$X$132,$T282),INDEX('Lớp 3 - Công việc chính'!$W$14:$W$73,$T282))))</f>
        <v>#REF!</v>
      </c>
      <c r="M282" s="694" t="str">
        <f t="array" ref="M282">IF($S282="","",IF($S282="Lớp 5",INDEX('Lớp 5 - Phân công'!$AD$14:$AD$262,$T282),IF($S282="Lớp 4",INDEX('Lớp 4 - Danh mục'!$AC$14:$AC$132,$T282),INDEX('Lớp 3 - Công việc chính'!$Z$14:$Z$73,$T282))))</f>
        <v>#REF!</v>
      </c>
      <c r="N282" s="695" t="str">
        <f t="array" ref="N282">IF($S282="","",IF($S282="Lớp 5",INDEX('Lớp 5 - Phân công'!$AE$14:$AE$262,$T282),IF($S282="Lớp 4",INDEX('Lớp 4 - Danh mục'!$AD$14:$AD$132,$T282),INDEX('Lớp 3 - Công việc chính'!$AA$14:$AA$73,$T282))))</f>
        <v>#REF!</v>
      </c>
      <c r="O282" s="690" t="str">
        <f t="array" ref="O282">IF($S282="","",IF($S282="Lớp 5",INDEX('Lớp 5 - Phân công'!$AB$14:$AB$262,$T282),IF($S282="Lớp 4",INDEX('Lớp 4 - Danh mục'!$AA$14:$AA$132,$T282),INDEX('Lớp 3 - Công việc chính'!$X$14:$X$73,$T282))))</f>
        <v>#REF!</v>
      </c>
      <c r="P282" s="703" t="str">
        <f t="array" ref="P282">IF($S282="","",IF($S282="Lớp 5",INDEX('Lớp 5 - Phân công'!$AC$14:$AC$262,$T282),IF($S282="Lớp 4",INDEX('Lớp 4 - Danh mục'!$AB$14:$AB$132,$T282),INDEX('Lớp 3 - Công việc chính'!$Y$14:$Y$73,$T282))))</f>
        <v>#REF!</v>
      </c>
      <c r="Q282" s="697" t="str">
        <f t="array" ref="Q282">IF($S282="","",IF($S282="Lớp 5",INDEX('Lớp 5 - Phân công'!$AG$14:$AG$262,$T282),IF($S282="Lớp 4",INDEX('Lớp 4 - Danh mục'!$AF$14:$AF$132,$T282),INDEX('Lớp 3 - Công việc chính'!$AC$14:$AC$73,$T282))))</f>
        <v>#REF!</v>
      </c>
      <c r="R282" s="698" t="str">
        <f t="array" ref="R282">IF($S282="","",IF($S282="Lớp 5",INDEX('Lớp 5 - Phân công'!$X$14:$X$262,$T282),IF($S282="Lớp 4",INDEX('Lớp 4 - Danh mục'!$V$14:$V$132,$T282),INDEX('Lớp 3 - Công việc chính'!$T$14:$T$73,$T282))))</f>
        <v>#REF!</v>
      </c>
      <c r="S282" s="699" t="str">
        <f>IF(ROWS($S$14:S282)&lt;=COUNTIF('Lớp 5 - Phân công'!$I$14:$I$262,"&lt;&gt;"),"Lớp 5",IF(ROWS($S$14:S282)&lt;=COUNTIF('Lớp 5 - Phân công'!$I$14:$I$262,"&lt;&gt;")+SUMPRODUCT(--('Lớp 4 - Danh mục'!$I$14:$I$132&lt;&gt;""),--(COUNTIF('Lớp 5 - Phân công'!$J$14:$J$262,'Lớp 4 - Danh mục'!$I$14:$I$132)=0)),"Lớp 4",IF(ROWS($S$14:S282)&lt;=COUNTIF('Lớp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2" s="699" t="str">
        <f t="array" ref="T282">IF(S282="","",IF(S282="Lớp 5",IF(S281&lt;&gt;"Lớp 5",MATCH("*",'Lớp 5 - Phân công'!$I$14:$I$262,0),T281+MATCH("*",INDEX('Lớp 5 - Phân công'!$I$14:$I$262,T281+1):'Lớp 5 - Phân công'!$I$262,0)),IF(S282="Lớp 4",IF(S281&lt;&gt;"Lớp 4",MATCH(1,INDEX(('Lớp 4 - Danh mục'!$I$14:$I$132&lt;&gt;"")*(COUNTIF('Lớp 5 - Phân công'!$J$14:$J$262,'Lớp 4 - Danh mục'!$I$14:$I$132)=0),0),0),T281+MATCH(1,INDEX((INDEX('Lớp 4 - Danh mục'!$I$14:$I$132,T281+1):'Lớp 4 - Danh mục'!$I$132&lt;&gt;"")*(COUNTIF('Lớp 5 - Phân công'!$J$14:$J$262,INDEX('Lớp 4 - Danh mục'!$I$14:$I$132,T281+1):'Lớp 4 - Danh mục'!$I$132)=0),0),0)),IF(S281&lt;&gt;"Lớp 3",MATCH(1,INDEX(('Lớp 3 - Công việc chính'!$I$14:$I$73&lt;&gt;"")*(COUNTIF('Lớp 4 - Danh mục'!$J$14:$J$132,'Lớp 3 - Công việc chính'!$I$14:$I$73)=0),0),0),T281+MATCH(1,INDEX((INDEX('Lớp 3 - Công việc chính'!$I$14:$I$73,T281+1):'Lớp 3 - Công việc chính'!$I$73&lt;&gt;"")*(COUNTIF('Lớp 4 - Danh mục'!$J$14:$J$132,INDEX('Lớp 3 - Công việc chính'!$I$14:$I$73,T281+1):'Lớp 3 - Công việc chính'!$I$73)=0),0),0)))))</f>
        <v>#REF!</v>
      </c>
      <c r="Z282" s="700" t="str">
        <f t="array" ref="Z282">IF($S282="","",IF($S282="Lớp 5",INDEX('Lớp 5 - Phân công'!$AS$14:$AS$262,$T282),IF($S282="Lớp 4",INDEX('Lớp 4 - Danh mục'!$AR$14:$AR$132,$T282),INDEX('Lớp 3 - Công việc chính'!$AO$14:$AO$73,$T282))))</f>
        <v>#REF!</v>
      </c>
      <c r="AA282" s="701" t="str">
        <f t="array" ref="AA282">IF($S282="","",IF($S282="Lớp 5",INDEX('Lớp 5 - Phân công'!$AT$14:$AT$262,$T282),IF($S282="Lớp 4",INDEX('Lớp 4 - Danh mục'!$AS$14:$AS$132,$T282),INDEX('Lớp 3 - Công việc chính'!$AP$14:$AP$73,$T282))))</f>
        <v>#REF!</v>
      </c>
      <c r="AB282" s="701" t="str">
        <f t="array" ref="AB282">IF($S282="","",IF($S282="Lớp 5",INDEX('Lớp 5 - Phân công'!$AJ$14:$AJ$262,$T282),IF($S282="Lớp 4",INDEX('Lớp 4 - Danh mục'!$AI$14:$AI$132,$T282),INDEX('Lớp 3 - Công việc chính'!$AF$14:$AF$73,$T282))))</f>
        <v>#REF!</v>
      </c>
      <c r="AC282" s="702" t="str">
        <f t="array" ref="AC282">IF($S282="","",IF($S282="Lớp 5",INDEX('Lớp 5 - Phân công'!$AV$14:$AV$262,$T282),IF($S282="Lớp 4",INDEX('Lớp 4 - Danh mục'!$AU$14:$AU$132,$T282),INDEX('Lớp 3 - Công việc chính'!$AR$14:$AR$73,$T282))))</f>
        <v>#REF!</v>
      </c>
    </row>
    <row r="283" ht="15.75" customHeight="1">
      <c r="A283" s="690" t="str">
        <f t="shared" si="1"/>
        <v>#REF!</v>
      </c>
      <c r="B283" s="690" t="str">
        <f t="array" ref="B283">IF($S283="","",IF($S283="Lớp 5",INDEX('Lớp 5 - Phân công'!$I$14:$I$262,$T283),IF($S283="Lớp 4",INDEX('Lớp 4 - Danh mục'!$I$14:$I$132,$T283),INDEX('Lớp 3 - Công việc chính'!$I$14:$I$73,$T283))))</f>
        <v>#REF!</v>
      </c>
      <c r="C283" s="690" t="str">
        <f t="array" ref="C283">IF($S283="","",IF($S283="Lớp 5",INDEX('Lớp 5 - Phân công'!$K$14:$K$262,$T283),IF($S283="Lớp 4",INDEX('Lớp 4 - Danh mục'!$J$14:$J$132,$T283),INDEX('Lớp 3 - Công việc chính'!$I$14:$I$73,$T283))))</f>
        <v>#REF!</v>
      </c>
      <c r="D283" s="690" t="str">
        <f t="array" ref="D283">IF($S283="","",IF($S283="Lớp 5",INDEX('Lớp 5 - Phân công'!$J$14:$J$262,$T283),IF($S283="Lớp 4",INDEX('Lớp 4 - Danh mục'!$I$14:$I$132,$T283),"")))</f>
        <v>#REF!</v>
      </c>
      <c r="E283" s="690" t="str">
        <f t="array" ref="E283">IF($S283="","",IF($S283="Lớp 5",INDEX('Lớp 5 - Phân công'!$L$14:$L$262,$T283),IF($S283="Lớp 4",INDEX('Lớp 4 - Danh mục'!$K$14:$K$132,$T283),INDEX('Lớp 3 - Công việc chính'!$J$14:$J$73,$T283))))</f>
        <v>#REF!</v>
      </c>
      <c r="F283" s="690" t="str">
        <f t="array" ref="F283">IF($S283="","",IF($S283="Lớp 5",INDEX('Lớp 5 - Phân công'!$M$14:$M$262,$T283),IF($S283="Lớp 4",INDEX('Lớp 4 - Danh mục'!$L$14:$L$132,$T283),INDEX('Lớp 3 - Công việc chính'!$K$14:$K$73,$T283))))</f>
        <v>#REF!</v>
      </c>
      <c r="G283" s="691" t="str">
        <f t="array" ref="G283">IF($S283="","",IF($S283="Lớp 5",INDEX('Lớp 5 - Phân công'!$N$14:$N$262,$T283),IF($S283="Lớp 4",INDEX('Lớp 4 - Danh mục'!$M$14:$M$132,$T283),INDEX('Lớp 3 - Công việc chính'!$L$14:$L$73,$T283))))</f>
        <v>#REF!</v>
      </c>
      <c r="H283" s="692" t="str">
        <f t="array" ref="H283">IF($S283="","",IF($S283="Lớp 5",INDEX('Lớp 5 - Phân công'!$O$14:$O$262,$T283),IF($S283="Lớp 4",INDEX('Lớp 4 - Danh mục'!$N$14:$N$132,$T283),INDEX('Lớp 3 - Công việc chính'!$M$14:$M$73,$T283))))</f>
        <v>#REF!</v>
      </c>
      <c r="I283" s="692" t="str">
        <f t="array" ref="I283">IF($S283="","",IF($S283="Lớp 5",INDEX('Lớp 5 - Phân công'!$P$14:$P$262,$T283),IF($S283="Lớp 4",INDEX('Lớp 4 - Danh mục'!$O$14:$O$132,$T283),"")))</f>
        <v>#REF!</v>
      </c>
      <c r="J283" s="693" t="str">
        <f t="array" ref="J283">IF($S283="","",IF($S283="Lớp 5",INDEX('Lớp 5 - Phân công'!$Q$14:$Q$262,$T283),""))</f>
        <v>#REF!</v>
      </c>
      <c r="K283" s="690" t="str">
        <f t="array" ref="K283">IF($S283="","",IF($S283="Lớp 5",INDEX('Lớp 5 - Phân công'!$AA$14:$AA$262,$T283),IF($S283="Lớp 4",INDEX('Lớp 4 - Danh mục'!$Y$14:$Y$132,$T283),INDEX('Lớp 3 - Công việc chính'!$U$14:$U$73,$T283))))</f>
        <v>#REF!</v>
      </c>
      <c r="L283" s="691" t="str">
        <f t="array" ref="L283">IF($S283="","",IF($S283="Lớp 5",INDEX('Lớp 5 - Phân công'!$Z$14:$Z$262,$T283),IF($S283="Lớp 4",INDEX('Lớp 4 - Danh mục'!$X$14:$X$132,$T283),INDEX('Lớp 3 - Công việc chính'!$W$14:$W$73,$T283))))</f>
        <v>#REF!</v>
      </c>
      <c r="M283" s="694" t="str">
        <f t="array" ref="M283">IF($S283="","",IF($S283="Lớp 5",INDEX('Lớp 5 - Phân công'!$AD$14:$AD$262,$T283),IF($S283="Lớp 4",INDEX('Lớp 4 - Danh mục'!$AC$14:$AC$132,$T283),INDEX('Lớp 3 - Công việc chính'!$Z$14:$Z$73,$T283))))</f>
        <v>#REF!</v>
      </c>
      <c r="N283" s="695" t="str">
        <f t="array" ref="N283">IF($S283="","",IF($S283="Lớp 5",INDEX('Lớp 5 - Phân công'!$AE$14:$AE$262,$T283),IF($S283="Lớp 4",INDEX('Lớp 4 - Danh mục'!$AD$14:$AD$132,$T283),INDEX('Lớp 3 - Công việc chính'!$AA$14:$AA$73,$T283))))</f>
        <v>#REF!</v>
      </c>
      <c r="O283" s="690" t="str">
        <f t="array" ref="O283">IF($S283="","",IF($S283="Lớp 5",INDEX('Lớp 5 - Phân công'!$AB$14:$AB$262,$T283),IF($S283="Lớp 4",INDEX('Lớp 4 - Danh mục'!$AA$14:$AA$132,$T283),INDEX('Lớp 3 - Công việc chính'!$X$14:$X$73,$T283))))</f>
        <v>#REF!</v>
      </c>
      <c r="P283" s="703" t="str">
        <f t="array" ref="P283">IF($S283="","",IF($S283="Lớp 5",INDEX('Lớp 5 - Phân công'!$AC$14:$AC$262,$T283),IF($S283="Lớp 4",INDEX('Lớp 4 - Danh mục'!$AB$14:$AB$132,$T283),INDEX('Lớp 3 - Công việc chính'!$Y$14:$Y$73,$T283))))</f>
        <v>#REF!</v>
      </c>
      <c r="Q283" s="697" t="str">
        <f t="array" ref="Q283">IF($S283="","",IF($S283="Lớp 5",INDEX('Lớp 5 - Phân công'!$AG$14:$AG$262,$T283),IF($S283="Lớp 4",INDEX('Lớp 4 - Danh mục'!$AF$14:$AF$132,$T283),INDEX('Lớp 3 - Công việc chính'!$AC$14:$AC$73,$T283))))</f>
        <v>#REF!</v>
      </c>
      <c r="R283" s="698" t="str">
        <f t="array" ref="R283">IF($S283="","",IF($S283="Lớp 5",INDEX('Lớp 5 - Phân công'!$X$14:$X$262,$T283),IF($S283="Lớp 4",INDEX('Lớp 4 - Danh mục'!$V$14:$V$132,$T283),INDEX('Lớp 3 - Công việc chính'!$T$14:$T$73,$T283))))</f>
        <v>#REF!</v>
      </c>
      <c r="S283" s="699" t="str">
        <f>IF(ROWS($S$14:S283)&lt;=COUNTIF('Lớp 5 - Phân công'!$I$14:$I$262,"&lt;&gt;"),"Lớp 5",IF(ROWS($S$14:S283)&lt;=COUNTIF('Lớp 5 - Phân công'!$I$14:$I$262,"&lt;&gt;")+SUMPRODUCT(--('Lớp 4 - Danh mục'!$I$14:$I$132&lt;&gt;""),--(COUNTIF('Lớp 5 - Phân công'!$J$14:$J$262,'Lớp 4 - Danh mục'!$I$14:$I$132)=0)),"Lớp 4",IF(ROWS($S$14:S283)&lt;=COUNTIF('Lớp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3" s="699" t="str">
        <f t="array" ref="T283">IF(S283="","",IF(S283="Lớp 5",IF(S282&lt;&gt;"Lớp 5",MATCH("*",'Lớp 5 - Phân công'!$I$14:$I$262,0),T282+MATCH("*",INDEX('Lớp 5 - Phân công'!$I$14:$I$262,T282+1):'Lớp 5 - Phân công'!$I$262,0)),IF(S283="Lớp 4",IF(S282&lt;&gt;"Lớp 4",MATCH(1,INDEX(('Lớp 4 - Danh mục'!$I$14:$I$132&lt;&gt;"")*(COUNTIF('Lớp 5 - Phân công'!$J$14:$J$262,'Lớp 4 - Danh mục'!$I$14:$I$132)=0),0),0),T282+MATCH(1,INDEX((INDEX('Lớp 4 - Danh mục'!$I$14:$I$132,T282+1):'Lớp 4 - Danh mục'!$I$132&lt;&gt;"")*(COUNTIF('Lớp 5 - Phân công'!$J$14:$J$262,INDEX('Lớp 4 - Danh mục'!$I$14:$I$132,T282+1):'Lớp 4 - Danh mục'!$I$132)=0),0),0)),IF(S282&lt;&gt;"Lớp 3",MATCH(1,INDEX(('Lớp 3 - Công việc chính'!$I$14:$I$73&lt;&gt;"")*(COUNTIF('Lớp 4 - Danh mục'!$J$14:$J$132,'Lớp 3 - Công việc chính'!$I$14:$I$73)=0),0),0),T282+MATCH(1,INDEX((INDEX('Lớp 3 - Công việc chính'!$I$14:$I$73,T282+1):'Lớp 3 - Công việc chính'!$I$73&lt;&gt;"")*(COUNTIF('Lớp 4 - Danh mục'!$J$14:$J$132,INDEX('Lớp 3 - Công việc chính'!$I$14:$I$73,T282+1):'Lớp 3 - Công việc chính'!$I$73)=0),0),0)))))</f>
        <v>#REF!</v>
      </c>
      <c r="Z283" s="700" t="str">
        <f t="array" ref="Z283">IF($S283="","",IF($S283="Lớp 5",INDEX('Lớp 5 - Phân công'!$AS$14:$AS$262,$T283),IF($S283="Lớp 4",INDEX('Lớp 4 - Danh mục'!$AR$14:$AR$132,$T283),INDEX('Lớp 3 - Công việc chính'!$AO$14:$AO$73,$T283))))</f>
        <v>#REF!</v>
      </c>
      <c r="AA283" s="701" t="str">
        <f t="array" ref="AA283">IF($S283="","",IF($S283="Lớp 5",INDEX('Lớp 5 - Phân công'!$AT$14:$AT$262,$T283),IF($S283="Lớp 4",INDEX('Lớp 4 - Danh mục'!$AS$14:$AS$132,$T283),INDEX('Lớp 3 - Công việc chính'!$AP$14:$AP$73,$T283))))</f>
        <v>#REF!</v>
      </c>
      <c r="AB283" s="701" t="str">
        <f t="array" ref="AB283">IF($S283="","",IF($S283="Lớp 5",INDEX('Lớp 5 - Phân công'!$AJ$14:$AJ$262,$T283),IF($S283="Lớp 4",INDEX('Lớp 4 - Danh mục'!$AI$14:$AI$132,$T283),INDEX('Lớp 3 - Công việc chính'!$AF$14:$AF$73,$T283))))</f>
        <v>#REF!</v>
      </c>
      <c r="AC283" s="702" t="str">
        <f t="array" ref="AC283">IF($S283="","",IF($S283="Lớp 5",INDEX('Lớp 5 - Phân công'!$AV$14:$AV$262,$T283),IF($S283="Lớp 4",INDEX('Lớp 4 - Danh mục'!$AU$14:$AU$132,$T283),INDEX('Lớp 3 - Công việc chính'!$AR$14:$AR$73,$T283))))</f>
        <v>#REF!</v>
      </c>
    </row>
    <row r="284" ht="15.75" customHeight="1">
      <c r="A284" s="690" t="str">
        <f t="shared" si="1"/>
        <v>#REF!</v>
      </c>
      <c r="B284" s="690" t="str">
        <f t="array" ref="B284">IF($S284="","",IF($S284="Lớp 5",INDEX('Lớp 5 - Phân công'!$I$14:$I$262,$T284),IF($S284="Lớp 4",INDEX('Lớp 4 - Danh mục'!$I$14:$I$132,$T284),INDEX('Lớp 3 - Công việc chính'!$I$14:$I$73,$T284))))</f>
        <v>#REF!</v>
      </c>
      <c r="C284" s="690" t="str">
        <f t="array" ref="C284">IF($S284="","",IF($S284="Lớp 5",INDEX('Lớp 5 - Phân công'!$K$14:$K$262,$T284),IF($S284="Lớp 4",INDEX('Lớp 4 - Danh mục'!$J$14:$J$132,$T284),INDEX('Lớp 3 - Công việc chính'!$I$14:$I$73,$T284))))</f>
        <v>#REF!</v>
      </c>
      <c r="D284" s="690" t="str">
        <f t="array" ref="D284">IF($S284="","",IF($S284="Lớp 5",INDEX('Lớp 5 - Phân công'!$J$14:$J$262,$T284),IF($S284="Lớp 4",INDEX('Lớp 4 - Danh mục'!$I$14:$I$132,$T284),"")))</f>
        <v>#REF!</v>
      </c>
      <c r="E284" s="690" t="str">
        <f t="array" ref="E284">IF($S284="","",IF($S284="Lớp 5",INDEX('Lớp 5 - Phân công'!$L$14:$L$262,$T284),IF($S284="Lớp 4",INDEX('Lớp 4 - Danh mục'!$K$14:$K$132,$T284),INDEX('Lớp 3 - Công việc chính'!$J$14:$J$73,$T284))))</f>
        <v>#REF!</v>
      </c>
      <c r="F284" s="690" t="str">
        <f t="array" ref="F284">IF($S284="","",IF($S284="Lớp 5",INDEX('Lớp 5 - Phân công'!$M$14:$M$262,$T284),IF($S284="Lớp 4",INDEX('Lớp 4 - Danh mục'!$L$14:$L$132,$T284),INDEX('Lớp 3 - Công việc chính'!$K$14:$K$73,$T284))))</f>
        <v>#REF!</v>
      </c>
      <c r="G284" s="691" t="str">
        <f t="array" ref="G284">IF($S284="","",IF($S284="Lớp 5",INDEX('Lớp 5 - Phân công'!$N$14:$N$262,$T284),IF($S284="Lớp 4",INDEX('Lớp 4 - Danh mục'!$M$14:$M$132,$T284),INDEX('Lớp 3 - Công việc chính'!$L$14:$L$73,$T284))))</f>
        <v>#REF!</v>
      </c>
      <c r="H284" s="692" t="str">
        <f t="array" ref="H284">IF($S284="","",IF($S284="Lớp 5",INDEX('Lớp 5 - Phân công'!$O$14:$O$262,$T284),IF($S284="Lớp 4",INDEX('Lớp 4 - Danh mục'!$N$14:$N$132,$T284),INDEX('Lớp 3 - Công việc chính'!$M$14:$M$73,$T284))))</f>
        <v>#REF!</v>
      </c>
      <c r="I284" s="692" t="str">
        <f t="array" ref="I284">IF($S284="","",IF($S284="Lớp 5",INDEX('Lớp 5 - Phân công'!$P$14:$P$262,$T284),IF($S284="Lớp 4",INDEX('Lớp 4 - Danh mục'!$O$14:$O$132,$T284),"")))</f>
        <v>#REF!</v>
      </c>
      <c r="J284" s="693" t="str">
        <f t="array" ref="J284">IF($S284="","",IF($S284="Lớp 5",INDEX('Lớp 5 - Phân công'!$Q$14:$Q$262,$T284),""))</f>
        <v>#REF!</v>
      </c>
      <c r="K284" s="690" t="str">
        <f t="array" ref="K284">IF($S284="","",IF($S284="Lớp 5",INDEX('Lớp 5 - Phân công'!$AA$14:$AA$262,$T284),IF($S284="Lớp 4",INDEX('Lớp 4 - Danh mục'!$Y$14:$Y$132,$T284),INDEX('Lớp 3 - Công việc chính'!$U$14:$U$73,$T284))))</f>
        <v>#REF!</v>
      </c>
      <c r="L284" s="691" t="str">
        <f t="array" ref="L284">IF($S284="","",IF($S284="Lớp 5",INDEX('Lớp 5 - Phân công'!$Z$14:$Z$262,$T284),IF($S284="Lớp 4",INDEX('Lớp 4 - Danh mục'!$X$14:$X$132,$T284),INDEX('Lớp 3 - Công việc chính'!$W$14:$W$73,$T284))))</f>
        <v>#REF!</v>
      </c>
      <c r="M284" s="694" t="str">
        <f t="array" ref="M284">IF($S284="","",IF($S284="Lớp 5",INDEX('Lớp 5 - Phân công'!$AD$14:$AD$262,$T284),IF($S284="Lớp 4",INDEX('Lớp 4 - Danh mục'!$AC$14:$AC$132,$T284),INDEX('Lớp 3 - Công việc chính'!$Z$14:$Z$73,$T284))))</f>
        <v>#REF!</v>
      </c>
      <c r="N284" s="695" t="str">
        <f t="array" ref="N284">IF($S284="","",IF($S284="Lớp 5",INDEX('Lớp 5 - Phân công'!$AE$14:$AE$262,$T284),IF($S284="Lớp 4",INDEX('Lớp 4 - Danh mục'!$AD$14:$AD$132,$T284),INDEX('Lớp 3 - Công việc chính'!$AA$14:$AA$73,$T284))))</f>
        <v>#REF!</v>
      </c>
      <c r="O284" s="690" t="str">
        <f t="array" ref="O284">IF($S284="","",IF($S284="Lớp 5",INDEX('Lớp 5 - Phân công'!$AB$14:$AB$262,$T284),IF($S284="Lớp 4",INDEX('Lớp 4 - Danh mục'!$AA$14:$AA$132,$T284),INDEX('Lớp 3 - Công việc chính'!$X$14:$X$73,$T284))))</f>
        <v>#REF!</v>
      </c>
      <c r="P284" s="703" t="str">
        <f t="array" ref="P284">IF($S284="","",IF($S284="Lớp 5",INDEX('Lớp 5 - Phân công'!$AC$14:$AC$262,$T284),IF($S284="Lớp 4",INDEX('Lớp 4 - Danh mục'!$AB$14:$AB$132,$T284),INDEX('Lớp 3 - Công việc chính'!$Y$14:$Y$73,$T284))))</f>
        <v>#REF!</v>
      </c>
      <c r="Q284" s="697" t="str">
        <f t="array" ref="Q284">IF($S284="","",IF($S284="Lớp 5",INDEX('Lớp 5 - Phân công'!$AG$14:$AG$262,$T284),IF($S284="Lớp 4",INDEX('Lớp 4 - Danh mục'!$AF$14:$AF$132,$T284),INDEX('Lớp 3 - Công việc chính'!$AC$14:$AC$73,$T284))))</f>
        <v>#REF!</v>
      </c>
      <c r="R284" s="698" t="str">
        <f t="array" ref="R284">IF($S284="","",IF($S284="Lớp 5",INDEX('Lớp 5 - Phân công'!$X$14:$X$262,$T284),IF($S284="Lớp 4",INDEX('Lớp 4 - Danh mục'!$V$14:$V$132,$T284),INDEX('Lớp 3 - Công việc chính'!$T$14:$T$73,$T284))))</f>
        <v>#REF!</v>
      </c>
      <c r="S284" s="699" t="str">
        <f>IF(ROWS($S$14:S284)&lt;=COUNTIF('Lớp 5 - Phân công'!$I$14:$I$262,"&lt;&gt;"),"Lớp 5",IF(ROWS($S$14:S284)&lt;=COUNTIF('Lớp 5 - Phân công'!$I$14:$I$262,"&lt;&gt;")+SUMPRODUCT(--('Lớp 4 - Danh mục'!$I$14:$I$132&lt;&gt;""),--(COUNTIF('Lớp 5 - Phân công'!$J$14:$J$262,'Lớp 4 - Danh mục'!$I$14:$I$132)=0)),"Lớp 4",IF(ROWS($S$14:S284)&lt;=COUNTIF('Lớp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4" s="699" t="str">
        <f t="array" ref="T284">IF(S284="","",IF(S284="Lớp 5",IF(S283&lt;&gt;"Lớp 5",MATCH("*",'Lớp 5 - Phân công'!$I$14:$I$262,0),T283+MATCH("*",INDEX('Lớp 5 - Phân công'!$I$14:$I$262,T283+1):'Lớp 5 - Phân công'!$I$262,0)),IF(S284="Lớp 4",IF(S283&lt;&gt;"Lớp 4",MATCH(1,INDEX(('Lớp 4 - Danh mục'!$I$14:$I$132&lt;&gt;"")*(COUNTIF('Lớp 5 - Phân công'!$J$14:$J$262,'Lớp 4 - Danh mục'!$I$14:$I$132)=0),0),0),T283+MATCH(1,INDEX((INDEX('Lớp 4 - Danh mục'!$I$14:$I$132,T283+1):'Lớp 4 - Danh mục'!$I$132&lt;&gt;"")*(COUNTIF('Lớp 5 - Phân công'!$J$14:$J$262,INDEX('Lớp 4 - Danh mục'!$I$14:$I$132,T283+1):'Lớp 4 - Danh mục'!$I$132)=0),0),0)),IF(S283&lt;&gt;"Lớp 3",MATCH(1,INDEX(('Lớp 3 - Công việc chính'!$I$14:$I$73&lt;&gt;"")*(COUNTIF('Lớp 4 - Danh mục'!$J$14:$J$132,'Lớp 3 - Công việc chính'!$I$14:$I$73)=0),0),0),T283+MATCH(1,INDEX((INDEX('Lớp 3 - Công việc chính'!$I$14:$I$73,T283+1):'Lớp 3 - Công việc chính'!$I$73&lt;&gt;"")*(COUNTIF('Lớp 4 - Danh mục'!$J$14:$J$132,INDEX('Lớp 3 - Công việc chính'!$I$14:$I$73,T283+1):'Lớp 3 - Công việc chính'!$I$73)=0),0),0)))))</f>
        <v>#REF!</v>
      </c>
      <c r="Z284" s="700" t="str">
        <f t="array" ref="Z284">IF($S284="","",IF($S284="Lớp 5",INDEX('Lớp 5 - Phân công'!$AS$14:$AS$262,$T284),IF($S284="Lớp 4",INDEX('Lớp 4 - Danh mục'!$AR$14:$AR$132,$T284),INDEX('Lớp 3 - Công việc chính'!$AO$14:$AO$73,$T284))))</f>
        <v>#REF!</v>
      </c>
      <c r="AA284" s="701" t="str">
        <f t="array" ref="AA284">IF($S284="","",IF($S284="Lớp 5",INDEX('Lớp 5 - Phân công'!$AT$14:$AT$262,$T284),IF($S284="Lớp 4",INDEX('Lớp 4 - Danh mục'!$AS$14:$AS$132,$T284),INDEX('Lớp 3 - Công việc chính'!$AP$14:$AP$73,$T284))))</f>
        <v>#REF!</v>
      </c>
      <c r="AB284" s="701" t="str">
        <f t="array" ref="AB284">IF($S284="","",IF($S284="Lớp 5",INDEX('Lớp 5 - Phân công'!$AJ$14:$AJ$262,$T284),IF($S284="Lớp 4",INDEX('Lớp 4 - Danh mục'!$AI$14:$AI$132,$T284),INDEX('Lớp 3 - Công việc chính'!$AF$14:$AF$73,$T284))))</f>
        <v>#REF!</v>
      </c>
      <c r="AC284" s="702" t="str">
        <f t="array" ref="AC284">IF($S284="","",IF($S284="Lớp 5",INDEX('Lớp 5 - Phân công'!$AV$14:$AV$262,$T284),IF($S284="Lớp 4",INDEX('Lớp 4 - Danh mục'!$AU$14:$AU$132,$T284),INDEX('Lớp 3 - Công việc chính'!$AR$14:$AR$73,$T284))))</f>
        <v>#REF!</v>
      </c>
    </row>
    <row r="285" ht="15.75" customHeight="1">
      <c r="A285" s="690" t="str">
        <f t="shared" si="1"/>
        <v>#REF!</v>
      </c>
      <c r="B285" s="690" t="str">
        <f t="array" ref="B285">IF($S285="","",IF($S285="Lớp 5",INDEX('Lớp 5 - Phân công'!$I$14:$I$262,$T285),IF($S285="Lớp 4",INDEX('Lớp 4 - Danh mục'!$I$14:$I$132,$T285),INDEX('Lớp 3 - Công việc chính'!$I$14:$I$73,$T285))))</f>
        <v>#REF!</v>
      </c>
      <c r="C285" s="690" t="str">
        <f t="array" ref="C285">IF($S285="","",IF($S285="Lớp 5",INDEX('Lớp 5 - Phân công'!$K$14:$K$262,$T285),IF($S285="Lớp 4",INDEX('Lớp 4 - Danh mục'!$J$14:$J$132,$T285),INDEX('Lớp 3 - Công việc chính'!$I$14:$I$73,$T285))))</f>
        <v>#REF!</v>
      </c>
      <c r="D285" s="690" t="str">
        <f t="array" ref="D285">IF($S285="","",IF($S285="Lớp 5",INDEX('Lớp 5 - Phân công'!$J$14:$J$262,$T285),IF($S285="Lớp 4",INDEX('Lớp 4 - Danh mục'!$I$14:$I$132,$T285),"")))</f>
        <v>#REF!</v>
      </c>
      <c r="E285" s="690" t="str">
        <f t="array" ref="E285">IF($S285="","",IF($S285="Lớp 5",INDEX('Lớp 5 - Phân công'!$L$14:$L$262,$T285),IF($S285="Lớp 4",INDEX('Lớp 4 - Danh mục'!$K$14:$K$132,$T285),INDEX('Lớp 3 - Công việc chính'!$J$14:$J$73,$T285))))</f>
        <v>#REF!</v>
      </c>
      <c r="F285" s="690" t="str">
        <f t="array" ref="F285">IF($S285="","",IF($S285="Lớp 5",INDEX('Lớp 5 - Phân công'!$M$14:$M$262,$T285),IF($S285="Lớp 4",INDEX('Lớp 4 - Danh mục'!$L$14:$L$132,$T285),INDEX('Lớp 3 - Công việc chính'!$K$14:$K$73,$T285))))</f>
        <v>#REF!</v>
      </c>
      <c r="G285" s="691" t="str">
        <f t="array" ref="G285">IF($S285="","",IF($S285="Lớp 5",INDEX('Lớp 5 - Phân công'!$N$14:$N$262,$T285),IF($S285="Lớp 4",INDEX('Lớp 4 - Danh mục'!$M$14:$M$132,$T285),INDEX('Lớp 3 - Công việc chính'!$L$14:$L$73,$T285))))</f>
        <v>#REF!</v>
      </c>
      <c r="H285" s="692" t="str">
        <f t="array" ref="H285">IF($S285="","",IF($S285="Lớp 5",INDEX('Lớp 5 - Phân công'!$O$14:$O$262,$T285),IF($S285="Lớp 4",INDEX('Lớp 4 - Danh mục'!$N$14:$N$132,$T285),INDEX('Lớp 3 - Công việc chính'!$M$14:$M$73,$T285))))</f>
        <v>#REF!</v>
      </c>
      <c r="I285" s="692" t="str">
        <f t="array" ref="I285">IF($S285="","",IF($S285="Lớp 5",INDEX('Lớp 5 - Phân công'!$P$14:$P$262,$T285),IF($S285="Lớp 4",INDEX('Lớp 4 - Danh mục'!$O$14:$O$132,$T285),"")))</f>
        <v>#REF!</v>
      </c>
      <c r="J285" s="693" t="str">
        <f t="array" ref="J285">IF($S285="","",IF($S285="Lớp 5",INDEX('Lớp 5 - Phân công'!$Q$14:$Q$262,$T285),""))</f>
        <v>#REF!</v>
      </c>
      <c r="K285" s="690" t="str">
        <f t="array" ref="K285">IF($S285="","",IF($S285="Lớp 5",INDEX('Lớp 5 - Phân công'!$AA$14:$AA$262,$T285),IF($S285="Lớp 4",INDEX('Lớp 4 - Danh mục'!$Y$14:$Y$132,$T285),INDEX('Lớp 3 - Công việc chính'!$U$14:$U$73,$T285))))</f>
        <v>#REF!</v>
      </c>
      <c r="L285" s="691" t="str">
        <f t="array" ref="L285">IF($S285="","",IF($S285="Lớp 5",INDEX('Lớp 5 - Phân công'!$Z$14:$Z$262,$T285),IF($S285="Lớp 4",INDEX('Lớp 4 - Danh mục'!$X$14:$X$132,$T285),INDEX('Lớp 3 - Công việc chính'!$W$14:$W$73,$T285))))</f>
        <v>#REF!</v>
      </c>
      <c r="M285" s="694" t="str">
        <f t="array" ref="M285">IF($S285="","",IF($S285="Lớp 5",INDEX('Lớp 5 - Phân công'!$AD$14:$AD$262,$T285),IF($S285="Lớp 4",INDEX('Lớp 4 - Danh mục'!$AC$14:$AC$132,$T285),INDEX('Lớp 3 - Công việc chính'!$Z$14:$Z$73,$T285))))</f>
        <v>#REF!</v>
      </c>
      <c r="N285" s="695" t="str">
        <f t="array" ref="N285">IF($S285="","",IF($S285="Lớp 5",INDEX('Lớp 5 - Phân công'!$AE$14:$AE$262,$T285),IF($S285="Lớp 4",INDEX('Lớp 4 - Danh mục'!$AD$14:$AD$132,$T285),INDEX('Lớp 3 - Công việc chính'!$AA$14:$AA$73,$T285))))</f>
        <v>#REF!</v>
      </c>
      <c r="O285" s="690" t="str">
        <f t="array" ref="O285">IF($S285="","",IF($S285="Lớp 5",INDEX('Lớp 5 - Phân công'!$AB$14:$AB$262,$T285),IF($S285="Lớp 4",INDEX('Lớp 4 - Danh mục'!$AA$14:$AA$132,$T285),INDEX('Lớp 3 - Công việc chính'!$X$14:$X$73,$T285))))</f>
        <v>#REF!</v>
      </c>
      <c r="P285" s="703" t="str">
        <f t="array" ref="P285">IF($S285="","",IF($S285="Lớp 5",INDEX('Lớp 5 - Phân công'!$AC$14:$AC$262,$T285),IF($S285="Lớp 4",INDEX('Lớp 4 - Danh mục'!$AB$14:$AB$132,$T285),INDEX('Lớp 3 - Công việc chính'!$Y$14:$Y$73,$T285))))</f>
        <v>#REF!</v>
      </c>
      <c r="Q285" s="697" t="str">
        <f t="array" ref="Q285">IF($S285="","",IF($S285="Lớp 5",INDEX('Lớp 5 - Phân công'!$AG$14:$AG$262,$T285),IF($S285="Lớp 4",INDEX('Lớp 4 - Danh mục'!$AF$14:$AF$132,$T285),INDEX('Lớp 3 - Công việc chính'!$AC$14:$AC$73,$T285))))</f>
        <v>#REF!</v>
      </c>
      <c r="R285" s="698" t="str">
        <f t="array" ref="R285">IF($S285="","",IF($S285="Lớp 5",INDEX('Lớp 5 - Phân công'!$X$14:$X$262,$T285),IF($S285="Lớp 4",INDEX('Lớp 4 - Danh mục'!$V$14:$V$132,$T285),INDEX('Lớp 3 - Công việc chính'!$T$14:$T$73,$T285))))</f>
        <v>#REF!</v>
      </c>
      <c r="S285" s="699" t="str">
        <f>IF(ROWS($S$14:S285)&lt;=COUNTIF('Lớp 5 - Phân công'!$I$14:$I$262,"&lt;&gt;"),"Lớp 5",IF(ROWS($S$14:S285)&lt;=COUNTIF('Lớp 5 - Phân công'!$I$14:$I$262,"&lt;&gt;")+SUMPRODUCT(--('Lớp 4 - Danh mục'!$I$14:$I$132&lt;&gt;""),--(COUNTIF('Lớp 5 - Phân công'!$J$14:$J$262,'Lớp 4 - Danh mục'!$I$14:$I$132)=0)),"Lớp 4",IF(ROWS($S$14:S285)&lt;=COUNTIF('Lớp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5" s="699" t="str">
        <f t="array" ref="T285">IF(S285="","",IF(S285="Lớp 5",IF(S284&lt;&gt;"Lớp 5",MATCH("*",'Lớp 5 - Phân công'!$I$14:$I$262,0),T284+MATCH("*",INDEX('Lớp 5 - Phân công'!$I$14:$I$262,T284+1):'Lớp 5 - Phân công'!$I$262,0)),IF(S285="Lớp 4",IF(S284&lt;&gt;"Lớp 4",MATCH(1,INDEX(('Lớp 4 - Danh mục'!$I$14:$I$132&lt;&gt;"")*(COUNTIF('Lớp 5 - Phân công'!$J$14:$J$262,'Lớp 4 - Danh mục'!$I$14:$I$132)=0),0),0),T284+MATCH(1,INDEX((INDEX('Lớp 4 - Danh mục'!$I$14:$I$132,T284+1):'Lớp 4 - Danh mục'!$I$132&lt;&gt;"")*(COUNTIF('Lớp 5 - Phân công'!$J$14:$J$262,INDEX('Lớp 4 - Danh mục'!$I$14:$I$132,T284+1):'Lớp 4 - Danh mục'!$I$132)=0),0),0)),IF(S284&lt;&gt;"Lớp 3",MATCH(1,INDEX(('Lớp 3 - Công việc chính'!$I$14:$I$73&lt;&gt;"")*(COUNTIF('Lớp 4 - Danh mục'!$J$14:$J$132,'Lớp 3 - Công việc chính'!$I$14:$I$73)=0),0),0),T284+MATCH(1,INDEX((INDEX('Lớp 3 - Công việc chính'!$I$14:$I$73,T284+1):'Lớp 3 - Công việc chính'!$I$73&lt;&gt;"")*(COUNTIF('Lớp 4 - Danh mục'!$J$14:$J$132,INDEX('Lớp 3 - Công việc chính'!$I$14:$I$73,T284+1):'Lớp 3 - Công việc chính'!$I$73)=0),0),0)))))</f>
        <v>#REF!</v>
      </c>
      <c r="Z285" s="700" t="str">
        <f t="array" ref="Z285">IF($S285="","",IF($S285="Lớp 5",INDEX('Lớp 5 - Phân công'!$AS$14:$AS$262,$T285),IF($S285="Lớp 4",INDEX('Lớp 4 - Danh mục'!$AR$14:$AR$132,$T285),INDEX('Lớp 3 - Công việc chính'!$AO$14:$AO$73,$T285))))</f>
        <v>#REF!</v>
      </c>
      <c r="AA285" s="701" t="str">
        <f t="array" ref="AA285">IF($S285="","",IF($S285="Lớp 5",INDEX('Lớp 5 - Phân công'!$AT$14:$AT$262,$T285),IF($S285="Lớp 4",INDEX('Lớp 4 - Danh mục'!$AS$14:$AS$132,$T285),INDEX('Lớp 3 - Công việc chính'!$AP$14:$AP$73,$T285))))</f>
        <v>#REF!</v>
      </c>
      <c r="AB285" s="701" t="str">
        <f t="array" ref="AB285">IF($S285="","",IF($S285="Lớp 5",INDEX('Lớp 5 - Phân công'!$AJ$14:$AJ$262,$T285),IF($S285="Lớp 4",INDEX('Lớp 4 - Danh mục'!$AI$14:$AI$132,$T285),INDEX('Lớp 3 - Công việc chính'!$AF$14:$AF$73,$T285))))</f>
        <v>#REF!</v>
      </c>
      <c r="AC285" s="702" t="str">
        <f t="array" ref="AC285">IF($S285="","",IF($S285="Lớp 5",INDEX('Lớp 5 - Phân công'!$AV$14:$AV$262,$T285),IF($S285="Lớp 4",INDEX('Lớp 4 - Danh mục'!$AU$14:$AU$132,$T285),INDEX('Lớp 3 - Công việc chính'!$AR$14:$AR$73,$T285))))</f>
        <v>#REF!</v>
      </c>
    </row>
    <row r="286" ht="15.75" customHeight="1">
      <c r="A286" s="690" t="str">
        <f t="shared" si="1"/>
        <v>#REF!</v>
      </c>
      <c r="B286" s="690" t="str">
        <f t="array" ref="B286">IF($S286="","",IF($S286="Lớp 5",INDEX('Lớp 5 - Phân công'!$I$14:$I$262,$T286),IF($S286="Lớp 4",INDEX('Lớp 4 - Danh mục'!$I$14:$I$132,$T286),INDEX('Lớp 3 - Công việc chính'!$I$14:$I$73,$T286))))</f>
        <v>#REF!</v>
      </c>
      <c r="C286" s="690" t="str">
        <f t="array" ref="C286">IF($S286="","",IF($S286="Lớp 5",INDEX('Lớp 5 - Phân công'!$K$14:$K$262,$T286),IF($S286="Lớp 4",INDEX('Lớp 4 - Danh mục'!$J$14:$J$132,$T286),INDEX('Lớp 3 - Công việc chính'!$I$14:$I$73,$T286))))</f>
        <v>#REF!</v>
      </c>
      <c r="D286" s="690" t="str">
        <f t="array" ref="D286">IF($S286="","",IF($S286="Lớp 5",INDEX('Lớp 5 - Phân công'!$J$14:$J$262,$T286),IF($S286="Lớp 4",INDEX('Lớp 4 - Danh mục'!$I$14:$I$132,$T286),"")))</f>
        <v>#REF!</v>
      </c>
      <c r="E286" s="690" t="str">
        <f t="array" ref="E286">IF($S286="","",IF($S286="Lớp 5",INDEX('Lớp 5 - Phân công'!$L$14:$L$262,$T286),IF($S286="Lớp 4",INDEX('Lớp 4 - Danh mục'!$K$14:$K$132,$T286),INDEX('Lớp 3 - Công việc chính'!$J$14:$J$73,$T286))))</f>
        <v>#REF!</v>
      </c>
      <c r="F286" s="690" t="str">
        <f t="array" ref="F286">IF($S286="","",IF($S286="Lớp 5",INDEX('Lớp 5 - Phân công'!$M$14:$M$262,$T286),IF($S286="Lớp 4",INDEX('Lớp 4 - Danh mục'!$L$14:$L$132,$T286),INDEX('Lớp 3 - Công việc chính'!$K$14:$K$73,$T286))))</f>
        <v>#REF!</v>
      </c>
      <c r="G286" s="691" t="str">
        <f t="array" ref="G286">IF($S286="","",IF($S286="Lớp 5",INDEX('Lớp 5 - Phân công'!$N$14:$N$262,$T286),IF($S286="Lớp 4",INDEX('Lớp 4 - Danh mục'!$M$14:$M$132,$T286),INDEX('Lớp 3 - Công việc chính'!$L$14:$L$73,$T286))))</f>
        <v>#REF!</v>
      </c>
      <c r="H286" s="692" t="str">
        <f t="array" ref="H286">IF($S286="","",IF($S286="Lớp 5",INDEX('Lớp 5 - Phân công'!$O$14:$O$262,$T286),IF($S286="Lớp 4",INDEX('Lớp 4 - Danh mục'!$N$14:$N$132,$T286),INDEX('Lớp 3 - Công việc chính'!$M$14:$M$73,$T286))))</f>
        <v>#REF!</v>
      </c>
      <c r="I286" s="692" t="str">
        <f t="array" ref="I286">IF($S286="","",IF($S286="Lớp 5",INDEX('Lớp 5 - Phân công'!$P$14:$P$262,$T286),IF($S286="Lớp 4",INDEX('Lớp 4 - Danh mục'!$O$14:$O$132,$T286),"")))</f>
        <v>#REF!</v>
      </c>
      <c r="J286" s="693" t="str">
        <f t="array" ref="J286">IF($S286="","",IF($S286="Lớp 5",INDEX('Lớp 5 - Phân công'!$Q$14:$Q$262,$T286),""))</f>
        <v>#REF!</v>
      </c>
      <c r="K286" s="690" t="str">
        <f t="array" ref="K286">IF($S286="","",IF($S286="Lớp 5",INDEX('Lớp 5 - Phân công'!$AA$14:$AA$262,$T286),IF($S286="Lớp 4",INDEX('Lớp 4 - Danh mục'!$Y$14:$Y$132,$T286),INDEX('Lớp 3 - Công việc chính'!$U$14:$U$73,$T286))))</f>
        <v>#REF!</v>
      </c>
      <c r="L286" s="691" t="str">
        <f t="array" ref="L286">IF($S286="","",IF($S286="Lớp 5",INDEX('Lớp 5 - Phân công'!$Z$14:$Z$262,$T286),IF($S286="Lớp 4",INDEX('Lớp 4 - Danh mục'!$X$14:$X$132,$T286),INDEX('Lớp 3 - Công việc chính'!$W$14:$W$73,$T286))))</f>
        <v>#REF!</v>
      </c>
      <c r="M286" s="694" t="str">
        <f t="array" ref="M286">IF($S286="","",IF($S286="Lớp 5",INDEX('Lớp 5 - Phân công'!$AD$14:$AD$262,$T286),IF($S286="Lớp 4",INDEX('Lớp 4 - Danh mục'!$AC$14:$AC$132,$T286),INDEX('Lớp 3 - Công việc chính'!$Z$14:$Z$73,$T286))))</f>
        <v>#REF!</v>
      </c>
      <c r="N286" s="695" t="str">
        <f t="array" ref="N286">IF($S286="","",IF($S286="Lớp 5",INDEX('Lớp 5 - Phân công'!$AE$14:$AE$262,$T286),IF($S286="Lớp 4",INDEX('Lớp 4 - Danh mục'!$AD$14:$AD$132,$T286),INDEX('Lớp 3 - Công việc chính'!$AA$14:$AA$73,$T286))))</f>
        <v>#REF!</v>
      </c>
      <c r="O286" s="690" t="str">
        <f t="array" ref="O286">IF($S286="","",IF($S286="Lớp 5",INDEX('Lớp 5 - Phân công'!$AB$14:$AB$262,$T286),IF($S286="Lớp 4",INDEX('Lớp 4 - Danh mục'!$AA$14:$AA$132,$T286),INDEX('Lớp 3 - Công việc chính'!$X$14:$X$73,$T286))))</f>
        <v>#REF!</v>
      </c>
      <c r="P286" s="703" t="str">
        <f t="array" ref="P286">IF($S286="","",IF($S286="Lớp 5",INDEX('Lớp 5 - Phân công'!$AC$14:$AC$262,$T286),IF($S286="Lớp 4",INDEX('Lớp 4 - Danh mục'!$AB$14:$AB$132,$T286),INDEX('Lớp 3 - Công việc chính'!$Y$14:$Y$73,$T286))))</f>
        <v>#REF!</v>
      </c>
      <c r="Q286" s="697" t="str">
        <f t="array" ref="Q286">IF($S286="","",IF($S286="Lớp 5",INDEX('Lớp 5 - Phân công'!$AG$14:$AG$262,$T286),IF($S286="Lớp 4",INDEX('Lớp 4 - Danh mục'!$AF$14:$AF$132,$T286),INDEX('Lớp 3 - Công việc chính'!$AC$14:$AC$73,$T286))))</f>
        <v>#REF!</v>
      </c>
      <c r="R286" s="698" t="str">
        <f t="array" ref="R286">IF($S286="","",IF($S286="Lớp 5",INDEX('Lớp 5 - Phân công'!$X$14:$X$262,$T286),IF($S286="Lớp 4",INDEX('Lớp 4 - Danh mục'!$V$14:$V$132,$T286),INDEX('Lớp 3 - Công việc chính'!$T$14:$T$73,$T286))))</f>
        <v>#REF!</v>
      </c>
      <c r="S286" s="699" t="str">
        <f>IF(ROWS($S$14:S286)&lt;=COUNTIF('Lớp 5 - Phân công'!$I$14:$I$262,"&lt;&gt;"),"Lớp 5",IF(ROWS($S$14:S286)&lt;=COUNTIF('Lớp 5 - Phân công'!$I$14:$I$262,"&lt;&gt;")+SUMPRODUCT(--('Lớp 4 - Danh mục'!$I$14:$I$132&lt;&gt;""),--(COUNTIF('Lớp 5 - Phân công'!$J$14:$J$262,'Lớp 4 - Danh mục'!$I$14:$I$132)=0)),"Lớp 4",IF(ROWS($S$14:S286)&lt;=COUNTIF('Lớp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6" s="699" t="str">
        <f t="array" ref="T286">IF(S286="","",IF(S286="Lớp 5",IF(S285&lt;&gt;"Lớp 5",MATCH("*",'Lớp 5 - Phân công'!$I$14:$I$262,0),T285+MATCH("*",INDEX('Lớp 5 - Phân công'!$I$14:$I$262,T285+1):'Lớp 5 - Phân công'!$I$262,0)),IF(S286="Lớp 4",IF(S285&lt;&gt;"Lớp 4",MATCH(1,INDEX(('Lớp 4 - Danh mục'!$I$14:$I$132&lt;&gt;"")*(COUNTIF('Lớp 5 - Phân công'!$J$14:$J$262,'Lớp 4 - Danh mục'!$I$14:$I$132)=0),0),0),T285+MATCH(1,INDEX((INDEX('Lớp 4 - Danh mục'!$I$14:$I$132,T285+1):'Lớp 4 - Danh mục'!$I$132&lt;&gt;"")*(COUNTIF('Lớp 5 - Phân công'!$J$14:$J$262,INDEX('Lớp 4 - Danh mục'!$I$14:$I$132,T285+1):'Lớp 4 - Danh mục'!$I$132)=0),0),0)),IF(S285&lt;&gt;"Lớp 3",MATCH(1,INDEX(('Lớp 3 - Công việc chính'!$I$14:$I$73&lt;&gt;"")*(COUNTIF('Lớp 4 - Danh mục'!$J$14:$J$132,'Lớp 3 - Công việc chính'!$I$14:$I$73)=0),0),0),T285+MATCH(1,INDEX((INDEX('Lớp 3 - Công việc chính'!$I$14:$I$73,T285+1):'Lớp 3 - Công việc chính'!$I$73&lt;&gt;"")*(COUNTIF('Lớp 4 - Danh mục'!$J$14:$J$132,INDEX('Lớp 3 - Công việc chính'!$I$14:$I$73,T285+1):'Lớp 3 - Công việc chính'!$I$73)=0),0),0)))))</f>
        <v>#REF!</v>
      </c>
      <c r="Z286" s="700" t="str">
        <f t="array" ref="Z286">IF($S286="","",IF($S286="Lớp 5",INDEX('Lớp 5 - Phân công'!$AS$14:$AS$262,$T286),IF($S286="Lớp 4",INDEX('Lớp 4 - Danh mục'!$AR$14:$AR$132,$T286),INDEX('Lớp 3 - Công việc chính'!$AO$14:$AO$73,$T286))))</f>
        <v>#REF!</v>
      </c>
      <c r="AA286" s="701" t="str">
        <f t="array" ref="AA286">IF($S286="","",IF($S286="Lớp 5",INDEX('Lớp 5 - Phân công'!$AT$14:$AT$262,$T286),IF($S286="Lớp 4",INDEX('Lớp 4 - Danh mục'!$AS$14:$AS$132,$T286),INDEX('Lớp 3 - Công việc chính'!$AP$14:$AP$73,$T286))))</f>
        <v>#REF!</v>
      </c>
      <c r="AB286" s="701" t="str">
        <f t="array" ref="AB286">IF($S286="","",IF($S286="Lớp 5",INDEX('Lớp 5 - Phân công'!$AJ$14:$AJ$262,$T286),IF($S286="Lớp 4",INDEX('Lớp 4 - Danh mục'!$AI$14:$AI$132,$T286),INDEX('Lớp 3 - Công việc chính'!$AF$14:$AF$73,$T286))))</f>
        <v>#REF!</v>
      </c>
      <c r="AC286" s="702" t="str">
        <f t="array" ref="AC286">IF($S286="","",IF($S286="Lớp 5",INDEX('Lớp 5 - Phân công'!$AV$14:$AV$262,$T286),IF($S286="Lớp 4",INDEX('Lớp 4 - Danh mục'!$AU$14:$AU$132,$T286),INDEX('Lớp 3 - Công việc chính'!$AR$14:$AR$73,$T286))))</f>
        <v>#REF!</v>
      </c>
    </row>
    <row r="287" ht="15.75" customHeight="1">
      <c r="A287" s="690" t="str">
        <f t="shared" si="1"/>
        <v>#REF!</v>
      </c>
      <c r="B287" s="690" t="str">
        <f t="array" ref="B287">IF($S287="","",IF($S287="Lớp 5",INDEX('Lớp 5 - Phân công'!$I$14:$I$262,$T287),IF($S287="Lớp 4",INDEX('Lớp 4 - Danh mục'!$I$14:$I$132,$T287),INDEX('Lớp 3 - Công việc chính'!$I$14:$I$73,$T287))))</f>
        <v>#REF!</v>
      </c>
      <c r="C287" s="690" t="str">
        <f t="array" ref="C287">IF($S287="","",IF($S287="Lớp 5",INDEX('Lớp 5 - Phân công'!$K$14:$K$262,$T287),IF($S287="Lớp 4",INDEX('Lớp 4 - Danh mục'!$J$14:$J$132,$T287),INDEX('Lớp 3 - Công việc chính'!$I$14:$I$73,$T287))))</f>
        <v>#REF!</v>
      </c>
      <c r="D287" s="690" t="str">
        <f t="array" ref="D287">IF($S287="","",IF($S287="Lớp 5",INDEX('Lớp 5 - Phân công'!$J$14:$J$262,$T287),IF($S287="Lớp 4",INDEX('Lớp 4 - Danh mục'!$I$14:$I$132,$T287),"")))</f>
        <v>#REF!</v>
      </c>
      <c r="E287" s="690" t="str">
        <f t="array" ref="E287">IF($S287="","",IF($S287="Lớp 5",INDEX('Lớp 5 - Phân công'!$L$14:$L$262,$T287),IF($S287="Lớp 4",INDEX('Lớp 4 - Danh mục'!$K$14:$K$132,$T287),INDEX('Lớp 3 - Công việc chính'!$J$14:$J$73,$T287))))</f>
        <v>#REF!</v>
      </c>
      <c r="F287" s="690" t="str">
        <f t="array" ref="F287">IF($S287="","",IF($S287="Lớp 5",INDEX('Lớp 5 - Phân công'!$M$14:$M$262,$T287),IF($S287="Lớp 4",INDEX('Lớp 4 - Danh mục'!$L$14:$L$132,$T287),INDEX('Lớp 3 - Công việc chính'!$K$14:$K$73,$T287))))</f>
        <v>#REF!</v>
      </c>
      <c r="G287" s="691" t="str">
        <f t="array" ref="G287">IF($S287="","",IF($S287="Lớp 5",INDEX('Lớp 5 - Phân công'!$N$14:$N$262,$T287),IF($S287="Lớp 4",INDEX('Lớp 4 - Danh mục'!$M$14:$M$132,$T287),INDEX('Lớp 3 - Công việc chính'!$L$14:$L$73,$T287))))</f>
        <v>#REF!</v>
      </c>
      <c r="H287" s="692" t="str">
        <f t="array" ref="H287">IF($S287="","",IF($S287="Lớp 5",INDEX('Lớp 5 - Phân công'!$O$14:$O$262,$T287),IF($S287="Lớp 4",INDEX('Lớp 4 - Danh mục'!$N$14:$N$132,$T287),INDEX('Lớp 3 - Công việc chính'!$M$14:$M$73,$T287))))</f>
        <v>#REF!</v>
      </c>
      <c r="I287" s="692" t="str">
        <f t="array" ref="I287">IF($S287="","",IF($S287="Lớp 5",INDEX('Lớp 5 - Phân công'!$P$14:$P$262,$T287),IF($S287="Lớp 4",INDEX('Lớp 4 - Danh mục'!$O$14:$O$132,$T287),"")))</f>
        <v>#REF!</v>
      </c>
      <c r="J287" s="693" t="str">
        <f t="array" ref="J287">IF($S287="","",IF($S287="Lớp 5",INDEX('Lớp 5 - Phân công'!$Q$14:$Q$262,$T287),""))</f>
        <v>#REF!</v>
      </c>
      <c r="K287" s="690" t="str">
        <f t="array" ref="K287">IF($S287="","",IF($S287="Lớp 5",INDEX('Lớp 5 - Phân công'!$AA$14:$AA$262,$T287),IF($S287="Lớp 4",INDEX('Lớp 4 - Danh mục'!$Y$14:$Y$132,$T287),INDEX('Lớp 3 - Công việc chính'!$U$14:$U$73,$T287))))</f>
        <v>#REF!</v>
      </c>
      <c r="L287" s="691" t="str">
        <f t="array" ref="L287">IF($S287="","",IF($S287="Lớp 5",INDEX('Lớp 5 - Phân công'!$Z$14:$Z$262,$T287),IF($S287="Lớp 4",INDEX('Lớp 4 - Danh mục'!$X$14:$X$132,$T287),INDEX('Lớp 3 - Công việc chính'!$W$14:$W$73,$T287))))</f>
        <v>#REF!</v>
      </c>
      <c r="M287" s="694" t="str">
        <f t="array" ref="M287">IF($S287="","",IF($S287="Lớp 5",INDEX('Lớp 5 - Phân công'!$AD$14:$AD$262,$T287),IF($S287="Lớp 4",INDEX('Lớp 4 - Danh mục'!$AC$14:$AC$132,$T287),INDEX('Lớp 3 - Công việc chính'!$Z$14:$Z$73,$T287))))</f>
        <v>#REF!</v>
      </c>
      <c r="N287" s="695" t="str">
        <f t="array" ref="N287">IF($S287="","",IF($S287="Lớp 5",INDEX('Lớp 5 - Phân công'!$AE$14:$AE$262,$T287),IF($S287="Lớp 4",INDEX('Lớp 4 - Danh mục'!$AD$14:$AD$132,$T287),INDEX('Lớp 3 - Công việc chính'!$AA$14:$AA$73,$T287))))</f>
        <v>#REF!</v>
      </c>
      <c r="O287" s="690" t="str">
        <f t="array" ref="O287">IF($S287="","",IF($S287="Lớp 5",INDEX('Lớp 5 - Phân công'!$AB$14:$AB$262,$T287),IF($S287="Lớp 4",INDEX('Lớp 4 - Danh mục'!$AA$14:$AA$132,$T287),INDEX('Lớp 3 - Công việc chính'!$X$14:$X$73,$T287))))</f>
        <v>#REF!</v>
      </c>
      <c r="P287" s="703" t="str">
        <f t="array" ref="P287">IF($S287="","",IF($S287="Lớp 5",INDEX('Lớp 5 - Phân công'!$AC$14:$AC$262,$T287),IF($S287="Lớp 4",INDEX('Lớp 4 - Danh mục'!$AB$14:$AB$132,$T287),INDEX('Lớp 3 - Công việc chính'!$Y$14:$Y$73,$T287))))</f>
        <v>#REF!</v>
      </c>
      <c r="Q287" s="697" t="str">
        <f t="array" ref="Q287">IF($S287="","",IF($S287="Lớp 5",INDEX('Lớp 5 - Phân công'!$AG$14:$AG$262,$T287),IF($S287="Lớp 4",INDEX('Lớp 4 - Danh mục'!$AF$14:$AF$132,$T287),INDEX('Lớp 3 - Công việc chính'!$AC$14:$AC$73,$T287))))</f>
        <v>#REF!</v>
      </c>
      <c r="R287" s="698" t="str">
        <f t="array" ref="R287">IF($S287="","",IF($S287="Lớp 5",INDEX('Lớp 5 - Phân công'!$X$14:$X$262,$T287),IF($S287="Lớp 4",INDEX('Lớp 4 - Danh mục'!$V$14:$V$132,$T287),INDEX('Lớp 3 - Công việc chính'!$T$14:$T$73,$T287))))</f>
        <v>#REF!</v>
      </c>
      <c r="S287" s="699" t="str">
        <f>IF(ROWS($S$14:S287)&lt;=COUNTIF('Lớp 5 - Phân công'!$I$14:$I$262,"&lt;&gt;"),"Lớp 5",IF(ROWS($S$14:S287)&lt;=COUNTIF('Lớp 5 - Phân công'!$I$14:$I$262,"&lt;&gt;")+SUMPRODUCT(--('Lớp 4 - Danh mục'!$I$14:$I$132&lt;&gt;""),--(COUNTIF('Lớp 5 - Phân công'!$J$14:$J$262,'Lớp 4 - Danh mục'!$I$14:$I$132)=0)),"Lớp 4",IF(ROWS($S$14:S287)&lt;=COUNTIF('Lớp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7" s="699" t="str">
        <f t="array" ref="T287">IF(S287="","",IF(S287="Lớp 5",IF(S286&lt;&gt;"Lớp 5",MATCH("*",'Lớp 5 - Phân công'!$I$14:$I$262,0),T286+MATCH("*",INDEX('Lớp 5 - Phân công'!$I$14:$I$262,T286+1):'Lớp 5 - Phân công'!$I$262,0)),IF(S287="Lớp 4",IF(S286&lt;&gt;"Lớp 4",MATCH(1,INDEX(('Lớp 4 - Danh mục'!$I$14:$I$132&lt;&gt;"")*(COUNTIF('Lớp 5 - Phân công'!$J$14:$J$262,'Lớp 4 - Danh mục'!$I$14:$I$132)=0),0),0),T286+MATCH(1,INDEX((INDEX('Lớp 4 - Danh mục'!$I$14:$I$132,T286+1):'Lớp 4 - Danh mục'!$I$132&lt;&gt;"")*(COUNTIF('Lớp 5 - Phân công'!$J$14:$J$262,INDEX('Lớp 4 - Danh mục'!$I$14:$I$132,T286+1):'Lớp 4 - Danh mục'!$I$132)=0),0),0)),IF(S286&lt;&gt;"Lớp 3",MATCH(1,INDEX(('Lớp 3 - Công việc chính'!$I$14:$I$73&lt;&gt;"")*(COUNTIF('Lớp 4 - Danh mục'!$J$14:$J$132,'Lớp 3 - Công việc chính'!$I$14:$I$73)=0),0),0),T286+MATCH(1,INDEX((INDEX('Lớp 3 - Công việc chính'!$I$14:$I$73,T286+1):'Lớp 3 - Công việc chính'!$I$73&lt;&gt;"")*(COUNTIF('Lớp 4 - Danh mục'!$J$14:$J$132,INDEX('Lớp 3 - Công việc chính'!$I$14:$I$73,T286+1):'Lớp 3 - Công việc chính'!$I$73)=0),0),0)))))</f>
        <v>#REF!</v>
      </c>
      <c r="Z287" s="700" t="str">
        <f t="array" ref="Z287">IF($S287="","",IF($S287="Lớp 5",INDEX('Lớp 5 - Phân công'!$AS$14:$AS$262,$T287),IF($S287="Lớp 4",INDEX('Lớp 4 - Danh mục'!$AR$14:$AR$132,$T287),INDEX('Lớp 3 - Công việc chính'!$AO$14:$AO$73,$T287))))</f>
        <v>#REF!</v>
      </c>
      <c r="AA287" s="701" t="str">
        <f t="array" ref="AA287">IF($S287="","",IF($S287="Lớp 5",INDEX('Lớp 5 - Phân công'!$AT$14:$AT$262,$T287),IF($S287="Lớp 4",INDEX('Lớp 4 - Danh mục'!$AS$14:$AS$132,$T287),INDEX('Lớp 3 - Công việc chính'!$AP$14:$AP$73,$T287))))</f>
        <v>#REF!</v>
      </c>
      <c r="AB287" s="701" t="str">
        <f t="array" ref="AB287">IF($S287="","",IF($S287="Lớp 5",INDEX('Lớp 5 - Phân công'!$AJ$14:$AJ$262,$T287),IF($S287="Lớp 4",INDEX('Lớp 4 - Danh mục'!$AI$14:$AI$132,$T287),INDEX('Lớp 3 - Công việc chính'!$AF$14:$AF$73,$T287))))</f>
        <v>#REF!</v>
      </c>
      <c r="AC287" s="702" t="str">
        <f t="array" ref="AC287">IF($S287="","",IF($S287="Lớp 5",INDEX('Lớp 5 - Phân công'!$AV$14:$AV$262,$T287),IF($S287="Lớp 4",INDEX('Lớp 4 - Danh mục'!$AU$14:$AU$132,$T287),INDEX('Lớp 3 - Công việc chính'!$AR$14:$AR$73,$T287))))</f>
        <v>#REF!</v>
      </c>
    </row>
    <row r="288" ht="15.75" customHeight="1">
      <c r="A288" s="690" t="str">
        <f t="shared" si="1"/>
        <v>#REF!</v>
      </c>
      <c r="B288" s="690" t="str">
        <f t="array" ref="B288">IF($S288="","",IF($S288="Lớp 5",INDEX('Lớp 5 - Phân công'!$I$14:$I$262,$T288),IF($S288="Lớp 4",INDEX('Lớp 4 - Danh mục'!$I$14:$I$132,$T288),INDEX('Lớp 3 - Công việc chính'!$I$14:$I$73,$T288))))</f>
        <v>#REF!</v>
      </c>
      <c r="C288" s="690" t="str">
        <f t="array" ref="C288">IF($S288="","",IF($S288="Lớp 5",INDEX('Lớp 5 - Phân công'!$K$14:$K$262,$T288),IF($S288="Lớp 4",INDEX('Lớp 4 - Danh mục'!$J$14:$J$132,$T288),INDEX('Lớp 3 - Công việc chính'!$I$14:$I$73,$T288))))</f>
        <v>#REF!</v>
      </c>
      <c r="D288" s="690" t="str">
        <f t="array" ref="D288">IF($S288="","",IF($S288="Lớp 5",INDEX('Lớp 5 - Phân công'!$J$14:$J$262,$T288),IF($S288="Lớp 4",INDEX('Lớp 4 - Danh mục'!$I$14:$I$132,$T288),"")))</f>
        <v>#REF!</v>
      </c>
      <c r="E288" s="690" t="str">
        <f t="array" ref="E288">IF($S288="","",IF($S288="Lớp 5",INDEX('Lớp 5 - Phân công'!$L$14:$L$262,$T288),IF($S288="Lớp 4",INDEX('Lớp 4 - Danh mục'!$K$14:$K$132,$T288),INDEX('Lớp 3 - Công việc chính'!$J$14:$J$73,$T288))))</f>
        <v>#REF!</v>
      </c>
      <c r="F288" s="690" t="str">
        <f t="array" ref="F288">IF($S288="","",IF($S288="Lớp 5",INDEX('Lớp 5 - Phân công'!$M$14:$M$262,$T288),IF($S288="Lớp 4",INDEX('Lớp 4 - Danh mục'!$L$14:$L$132,$T288),INDEX('Lớp 3 - Công việc chính'!$K$14:$K$73,$T288))))</f>
        <v>#REF!</v>
      </c>
      <c r="G288" s="691" t="str">
        <f t="array" ref="G288">IF($S288="","",IF($S288="Lớp 5",INDEX('Lớp 5 - Phân công'!$N$14:$N$262,$T288),IF($S288="Lớp 4",INDEX('Lớp 4 - Danh mục'!$M$14:$M$132,$T288),INDEX('Lớp 3 - Công việc chính'!$L$14:$L$73,$T288))))</f>
        <v>#REF!</v>
      </c>
      <c r="H288" s="692" t="str">
        <f t="array" ref="H288">IF($S288="","",IF($S288="Lớp 5",INDEX('Lớp 5 - Phân công'!$O$14:$O$262,$T288),IF($S288="Lớp 4",INDEX('Lớp 4 - Danh mục'!$N$14:$N$132,$T288),INDEX('Lớp 3 - Công việc chính'!$M$14:$M$73,$T288))))</f>
        <v>#REF!</v>
      </c>
      <c r="I288" s="692" t="str">
        <f t="array" ref="I288">IF($S288="","",IF($S288="Lớp 5",INDEX('Lớp 5 - Phân công'!$P$14:$P$262,$T288),IF($S288="Lớp 4",INDEX('Lớp 4 - Danh mục'!$O$14:$O$132,$T288),"")))</f>
        <v>#REF!</v>
      </c>
      <c r="J288" s="693" t="str">
        <f t="array" ref="J288">IF($S288="","",IF($S288="Lớp 5",INDEX('Lớp 5 - Phân công'!$Q$14:$Q$262,$T288),""))</f>
        <v>#REF!</v>
      </c>
      <c r="K288" s="690" t="str">
        <f t="array" ref="K288">IF($S288="","",IF($S288="Lớp 5",INDEX('Lớp 5 - Phân công'!$AA$14:$AA$262,$T288),IF($S288="Lớp 4",INDEX('Lớp 4 - Danh mục'!$Y$14:$Y$132,$T288),INDEX('Lớp 3 - Công việc chính'!$U$14:$U$73,$T288))))</f>
        <v>#REF!</v>
      </c>
      <c r="L288" s="691" t="str">
        <f t="array" ref="L288">IF($S288="","",IF($S288="Lớp 5",INDEX('Lớp 5 - Phân công'!$Z$14:$Z$262,$T288),IF($S288="Lớp 4",INDEX('Lớp 4 - Danh mục'!$X$14:$X$132,$T288),INDEX('Lớp 3 - Công việc chính'!$W$14:$W$73,$T288))))</f>
        <v>#REF!</v>
      </c>
      <c r="M288" s="694" t="str">
        <f t="array" ref="M288">IF($S288="","",IF($S288="Lớp 5",INDEX('Lớp 5 - Phân công'!$AD$14:$AD$262,$T288),IF($S288="Lớp 4",INDEX('Lớp 4 - Danh mục'!$AC$14:$AC$132,$T288),INDEX('Lớp 3 - Công việc chính'!$Z$14:$Z$73,$T288))))</f>
        <v>#REF!</v>
      </c>
      <c r="N288" s="695" t="str">
        <f t="array" ref="N288">IF($S288="","",IF($S288="Lớp 5",INDEX('Lớp 5 - Phân công'!$AE$14:$AE$262,$T288),IF($S288="Lớp 4",INDEX('Lớp 4 - Danh mục'!$AD$14:$AD$132,$T288),INDEX('Lớp 3 - Công việc chính'!$AA$14:$AA$73,$T288))))</f>
        <v>#REF!</v>
      </c>
      <c r="O288" s="690" t="str">
        <f t="array" ref="O288">IF($S288="","",IF($S288="Lớp 5",INDEX('Lớp 5 - Phân công'!$AB$14:$AB$262,$T288),IF($S288="Lớp 4",INDEX('Lớp 4 - Danh mục'!$AA$14:$AA$132,$T288),INDEX('Lớp 3 - Công việc chính'!$X$14:$X$73,$T288))))</f>
        <v>#REF!</v>
      </c>
      <c r="P288" s="703" t="str">
        <f t="array" ref="P288">IF($S288="","",IF($S288="Lớp 5",INDEX('Lớp 5 - Phân công'!$AC$14:$AC$262,$T288),IF($S288="Lớp 4",INDEX('Lớp 4 - Danh mục'!$AB$14:$AB$132,$T288),INDEX('Lớp 3 - Công việc chính'!$Y$14:$Y$73,$T288))))</f>
        <v>#REF!</v>
      </c>
      <c r="Q288" s="697" t="str">
        <f t="array" ref="Q288">IF($S288="","",IF($S288="Lớp 5",INDEX('Lớp 5 - Phân công'!$AG$14:$AG$262,$T288),IF($S288="Lớp 4",INDEX('Lớp 4 - Danh mục'!$AF$14:$AF$132,$T288),INDEX('Lớp 3 - Công việc chính'!$AC$14:$AC$73,$T288))))</f>
        <v>#REF!</v>
      </c>
      <c r="R288" s="698" t="str">
        <f t="array" ref="R288">IF($S288="","",IF($S288="Lớp 5",INDEX('Lớp 5 - Phân công'!$X$14:$X$262,$T288),IF($S288="Lớp 4",INDEX('Lớp 4 - Danh mục'!$V$14:$V$132,$T288),INDEX('Lớp 3 - Công việc chính'!$T$14:$T$73,$T288))))</f>
        <v>#REF!</v>
      </c>
      <c r="S288" s="699" t="str">
        <f>IF(ROWS($S$14:S288)&lt;=COUNTIF('Lớp 5 - Phân công'!$I$14:$I$262,"&lt;&gt;"),"Lớp 5",IF(ROWS($S$14:S288)&lt;=COUNTIF('Lớp 5 - Phân công'!$I$14:$I$262,"&lt;&gt;")+SUMPRODUCT(--('Lớp 4 - Danh mục'!$I$14:$I$132&lt;&gt;""),--(COUNTIF('Lớp 5 - Phân công'!$J$14:$J$262,'Lớp 4 - Danh mục'!$I$14:$I$132)=0)),"Lớp 4",IF(ROWS($S$14:S288)&lt;=COUNTIF('Lớp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8" s="699" t="str">
        <f t="array" ref="T288">IF(S288="","",IF(S288="Lớp 5",IF(S287&lt;&gt;"Lớp 5",MATCH("*",'Lớp 5 - Phân công'!$I$14:$I$262,0),T287+MATCH("*",INDEX('Lớp 5 - Phân công'!$I$14:$I$262,T287+1):'Lớp 5 - Phân công'!$I$262,0)),IF(S288="Lớp 4",IF(S287&lt;&gt;"Lớp 4",MATCH(1,INDEX(('Lớp 4 - Danh mục'!$I$14:$I$132&lt;&gt;"")*(COUNTIF('Lớp 5 - Phân công'!$J$14:$J$262,'Lớp 4 - Danh mục'!$I$14:$I$132)=0),0),0),T287+MATCH(1,INDEX((INDEX('Lớp 4 - Danh mục'!$I$14:$I$132,T287+1):'Lớp 4 - Danh mục'!$I$132&lt;&gt;"")*(COUNTIF('Lớp 5 - Phân công'!$J$14:$J$262,INDEX('Lớp 4 - Danh mục'!$I$14:$I$132,T287+1):'Lớp 4 - Danh mục'!$I$132)=0),0),0)),IF(S287&lt;&gt;"Lớp 3",MATCH(1,INDEX(('Lớp 3 - Công việc chính'!$I$14:$I$73&lt;&gt;"")*(COUNTIF('Lớp 4 - Danh mục'!$J$14:$J$132,'Lớp 3 - Công việc chính'!$I$14:$I$73)=0),0),0),T287+MATCH(1,INDEX((INDEX('Lớp 3 - Công việc chính'!$I$14:$I$73,T287+1):'Lớp 3 - Công việc chính'!$I$73&lt;&gt;"")*(COUNTIF('Lớp 4 - Danh mục'!$J$14:$J$132,INDEX('Lớp 3 - Công việc chính'!$I$14:$I$73,T287+1):'Lớp 3 - Công việc chính'!$I$73)=0),0),0)))))</f>
        <v>#REF!</v>
      </c>
      <c r="Z288" s="700" t="str">
        <f t="array" ref="Z288">IF($S288="","",IF($S288="Lớp 5",INDEX('Lớp 5 - Phân công'!$AS$14:$AS$262,$T288),IF($S288="Lớp 4",INDEX('Lớp 4 - Danh mục'!$AR$14:$AR$132,$T288),INDEX('Lớp 3 - Công việc chính'!$AO$14:$AO$73,$T288))))</f>
        <v>#REF!</v>
      </c>
      <c r="AA288" s="701" t="str">
        <f t="array" ref="AA288">IF($S288="","",IF($S288="Lớp 5",INDEX('Lớp 5 - Phân công'!$AT$14:$AT$262,$T288),IF($S288="Lớp 4",INDEX('Lớp 4 - Danh mục'!$AS$14:$AS$132,$T288),INDEX('Lớp 3 - Công việc chính'!$AP$14:$AP$73,$T288))))</f>
        <v>#REF!</v>
      </c>
      <c r="AB288" s="701" t="str">
        <f t="array" ref="AB288">IF($S288="","",IF($S288="Lớp 5",INDEX('Lớp 5 - Phân công'!$AJ$14:$AJ$262,$T288),IF($S288="Lớp 4",INDEX('Lớp 4 - Danh mục'!$AI$14:$AI$132,$T288),INDEX('Lớp 3 - Công việc chính'!$AF$14:$AF$73,$T288))))</f>
        <v>#REF!</v>
      </c>
      <c r="AC288" s="702" t="str">
        <f t="array" ref="AC288">IF($S288="","",IF($S288="Lớp 5",INDEX('Lớp 5 - Phân công'!$AV$14:$AV$262,$T288),IF($S288="Lớp 4",INDEX('Lớp 4 - Danh mục'!$AU$14:$AU$132,$T288),INDEX('Lớp 3 - Công việc chính'!$AR$14:$AR$73,$T288))))</f>
        <v>#REF!</v>
      </c>
    </row>
    <row r="289" ht="15.75" customHeight="1">
      <c r="A289" s="690" t="str">
        <f t="shared" si="1"/>
        <v>#REF!</v>
      </c>
      <c r="B289" s="690" t="str">
        <f t="array" ref="B289">IF($S289="","",IF($S289="Lớp 5",INDEX('Lớp 5 - Phân công'!$I$14:$I$262,$T289),IF($S289="Lớp 4",INDEX('Lớp 4 - Danh mục'!$I$14:$I$132,$T289),INDEX('Lớp 3 - Công việc chính'!$I$14:$I$73,$T289))))</f>
        <v>#REF!</v>
      </c>
      <c r="C289" s="690" t="str">
        <f t="array" ref="C289">IF($S289="","",IF($S289="Lớp 5",INDEX('Lớp 5 - Phân công'!$K$14:$K$262,$T289),IF($S289="Lớp 4",INDEX('Lớp 4 - Danh mục'!$J$14:$J$132,$T289),INDEX('Lớp 3 - Công việc chính'!$I$14:$I$73,$T289))))</f>
        <v>#REF!</v>
      </c>
      <c r="D289" s="690" t="str">
        <f t="array" ref="D289">IF($S289="","",IF($S289="Lớp 5",INDEX('Lớp 5 - Phân công'!$J$14:$J$262,$T289),IF($S289="Lớp 4",INDEX('Lớp 4 - Danh mục'!$I$14:$I$132,$T289),"")))</f>
        <v>#REF!</v>
      </c>
      <c r="E289" s="690" t="str">
        <f t="array" ref="E289">IF($S289="","",IF($S289="Lớp 5",INDEX('Lớp 5 - Phân công'!$L$14:$L$262,$T289),IF($S289="Lớp 4",INDEX('Lớp 4 - Danh mục'!$K$14:$K$132,$T289),INDEX('Lớp 3 - Công việc chính'!$J$14:$J$73,$T289))))</f>
        <v>#REF!</v>
      </c>
      <c r="F289" s="690" t="str">
        <f t="array" ref="F289">IF($S289="","",IF($S289="Lớp 5",INDEX('Lớp 5 - Phân công'!$M$14:$M$262,$T289),IF($S289="Lớp 4",INDEX('Lớp 4 - Danh mục'!$L$14:$L$132,$T289),INDEX('Lớp 3 - Công việc chính'!$K$14:$K$73,$T289))))</f>
        <v>#REF!</v>
      </c>
      <c r="G289" s="691" t="str">
        <f t="array" ref="G289">IF($S289="","",IF($S289="Lớp 5",INDEX('Lớp 5 - Phân công'!$N$14:$N$262,$T289),IF($S289="Lớp 4",INDEX('Lớp 4 - Danh mục'!$M$14:$M$132,$T289),INDEX('Lớp 3 - Công việc chính'!$L$14:$L$73,$T289))))</f>
        <v>#REF!</v>
      </c>
      <c r="H289" s="692" t="str">
        <f t="array" ref="H289">IF($S289="","",IF($S289="Lớp 5",INDEX('Lớp 5 - Phân công'!$O$14:$O$262,$T289),IF($S289="Lớp 4",INDEX('Lớp 4 - Danh mục'!$N$14:$N$132,$T289),INDEX('Lớp 3 - Công việc chính'!$M$14:$M$73,$T289))))</f>
        <v>#REF!</v>
      </c>
      <c r="I289" s="692" t="str">
        <f t="array" ref="I289">IF($S289="","",IF($S289="Lớp 5",INDEX('Lớp 5 - Phân công'!$P$14:$P$262,$T289),IF($S289="Lớp 4",INDEX('Lớp 4 - Danh mục'!$O$14:$O$132,$T289),"")))</f>
        <v>#REF!</v>
      </c>
      <c r="J289" s="693" t="str">
        <f t="array" ref="J289">IF($S289="","",IF($S289="Lớp 5",INDEX('Lớp 5 - Phân công'!$Q$14:$Q$262,$T289),""))</f>
        <v>#REF!</v>
      </c>
      <c r="K289" s="690" t="str">
        <f t="array" ref="K289">IF($S289="","",IF($S289="Lớp 5",INDEX('Lớp 5 - Phân công'!$AA$14:$AA$262,$T289),IF($S289="Lớp 4",INDEX('Lớp 4 - Danh mục'!$Y$14:$Y$132,$T289),INDEX('Lớp 3 - Công việc chính'!$U$14:$U$73,$T289))))</f>
        <v>#REF!</v>
      </c>
      <c r="L289" s="691" t="str">
        <f t="array" ref="L289">IF($S289="","",IF($S289="Lớp 5",INDEX('Lớp 5 - Phân công'!$Z$14:$Z$262,$T289),IF($S289="Lớp 4",INDEX('Lớp 4 - Danh mục'!$X$14:$X$132,$T289),INDEX('Lớp 3 - Công việc chính'!$W$14:$W$73,$T289))))</f>
        <v>#REF!</v>
      </c>
      <c r="M289" s="694" t="str">
        <f t="array" ref="M289">IF($S289="","",IF($S289="Lớp 5",INDEX('Lớp 5 - Phân công'!$AD$14:$AD$262,$T289),IF($S289="Lớp 4",INDEX('Lớp 4 - Danh mục'!$AC$14:$AC$132,$T289),INDEX('Lớp 3 - Công việc chính'!$Z$14:$Z$73,$T289))))</f>
        <v>#REF!</v>
      </c>
      <c r="N289" s="695" t="str">
        <f t="array" ref="N289">IF($S289="","",IF($S289="Lớp 5",INDEX('Lớp 5 - Phân công'!$AE$14:$AE$262,$T289),IF($S289="Lớp 4",INDEX('Lớp 4 - Danh mục'!$AD$14:$AD$132,$T289),INDEX('Lớp 3 - Công việc chính'!$AA$14:$AA$73,$T289))))</f>
        <v>#REF!</v>
      </c>
      <c r="O289" s="690" t="str">
        <f t="array" ref="O289">IF($S289="","",IF($S289="Lớp 5",INDEX('Lớp 5 - Phân công'!$AB$14:$AB$262,$T289),IF($S289="Lớp 4",INDEX('Lớp 4 - Danh mục'!$AA$14:$AA$132,$T289),INDEX('Lớp 3 - Công việc chính'!$X$14:$X$73,$T289))))</f>
        <v>#REF!</v>
      </c>
      <c r="P289" s="703" t="str">
        <f t="array" ref="P289">IF($S289="","",IF($S289="Lớp 5",INDEX('Lớp 5 - Phân công'!$AC$14:$AC$262,$T289),IF($S289="Lớp 4",INDEX('Lớp 4 - Danh mục'!$AB$14:$AB$132,$T289),INDEX('Lớp 3 - Công việc chính'!$Y$14:$Y$73,$T289))))</f>
        <v>#REF!</v>
      </c>
      <c r="Q289" s="697" t="str">
        <f t="array" ref="Q289">IF($S289="","",IF($S289="Lớp 5",INDEX('Lớp 5 - Phân công'!$AG$14:$AG$262,$T289),IF($S289="Lớp 4",INDEX('Lớp 4 - Danh mục'!$AF$14:$AF$132,$T289),INDEX('Lớp 3 - Công việc chính'!$AC$14:$AC$73,$T289))))</f>
        <v>#REF!</v>
      </c>
      <c r="R289" s="698" t="str">
        <f t="array" ref="R289">IF($S289="","",IF($S289="Lớp 5",INDEX('Lớp 5 - Phân công'!$X$14:$X$262,$T289),IF($S289="Lớp 4",INDEX('Lớp 4 - Danh mục'!$V$14:$V$132,$T289),INDEX('Lớp 3 - Công việc chính'!$T$14:$T$73,$T289))))</f>
        <v>#REF!</v>
      </c>
      <c r="S289" s="699" t="str">
        <f>IF(ROWS($S$14:S289)&lt;=COUNTIF('Lớp 5 - Phân công'!$I$14:$I$262,"&lt;&gt;"),"Lớp 5",IF(ROWS($S$14:S289)&lt;=COUNTIF('Lớp 5 - Phân công'!$I$14:$I$262,"&lt;&gt;")+SUMPRODUCT(--('Lớp 4 - Danh mục'!$I$14:$I$132&lt;&gt;""),--(COUNTIF('Lớp 5 - Phân công'!$J$14:$J$262,'Lớp 4 - Danh mục'!$I$14:$I$132)=0)),"Lớp 4",IF(ROWS($S$14:S289)&lt;=COUNTIF('Lớp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89" s="699" t="str">
        <f t="array" ref="T289">IF(S289="","",IF(S289="Lớp 5",IF(S288&lt;&gt;"Lớp 5",MATCH("*",'Lớp 5 - Phân công'!$I$14:$I$262,0),T288+MATCH("*",INDEX('Lớp 5 - Phân công'!$I$14:$I$262,T288+1):'Lớp 5 - Phân công'!$I$262,0)),IF(S289="Lớp 4",IF(S288&lt;&gt;"Lớp 4",MATCH(1,INDEX(('Lớp 4 - Danh mục'!$I$14:$I$132&lt;&gt;"")*(COUNTIF('Lớp 5 - Phân công'!$J$14:$J$262,'Lớp 4 - Danh mục'!$I$14:$I$132)=0),0),0),T288+MATCH(1,INDEX((INDEX('Lớp 4 - Danh mục'!$I$14:$I$132,T288+1):'Lớp 4 - Danh mục'!$I$132&lt;&gt;"")*(COUNTIF('Lớp 5 - Phân công'!$J$14:$J$262,INDEX('Lớp 4 - Danh mục'!$I$14:$I$132,T288+1):'Lớp 4 - Danh mục'!$I$132)=0),0),0)),IF(S288&lt;&gt;"Lớp 3",MATCH(1,INDEX(('Lớp 3 - Công việc chính'!$I$14:$I$73&lt;&gt;"")*(COUNTIF('Lớp 4 - Danh mục'!$J$14:$J$132,'Lớp 3 - Công việc chính'!$I$14:$I$73)=0),0),0),T288+MATCH(1,INDEX((INDEX('Lớp 3 - Công việc chính'!$I$14:$I$73,T288+1):'Lớp 3 - Công việc chính'!$I$73&lt;&gt;"")*(COUNTIF('Lớp 4 - Danh mục'!$J$14:$J$132,INDEX('Lớp 3 - Công việc chính'!$I$14:$I$73,T288+1):'Lớp 3 - Công việc chính'!$I$73)=0),0),0)))))</f>
        <v>#REF!</v>
      </c>
      <c r="Z289" s="700" t="str">
        <f t="array" ref="Z289">IF($S289="","",IF($S289="Lớp 5",INDEX('Lớp 5 - Phân công'!$AS$14:$AS$262,$T289),IF($S289="Lớp 4",INDEX('Lớp 4 - Danh mục'!$AR$14:$AR$132,$T289),INDEX('Lớp 3 - Công việc chính'!$AO$14:$AO$73,$T289))))</f>
        <v>#REF!</v>
      </c>
      <c r="AA289" s="701" t="str">
        <f t="array" ref="AA289">IF($S289="","",IF($S289="Lớp 5",INDEX('Lớp 5 - Phân công'!$AT$14:$AT$262,$T289),IF($S289="Lớp 4",INDEX('Lớp 4 - Danh mục'!$AS$14:$AS$132,$T289),INDEX('Lớp 3 - Công việc chính'!$AP$14:$AP$73,$T289))))</f>
        <v>#REF!</v>
      </c>
      <c r="AB289" s="701" t="str">
        <f t="array" ref="AB289">IF($S289="","",IF($S289="Lớp 5",INDEX('Lớp 5 - Phân công'!$AJ$14:$AJ$262,$T289),IF($S289="Lớp 4",INDEX('Lớp 4 - Danh mục'!$AI$14:$AI$132,$T289),INDEX('Lớp 3 - Công việc chính'!$AF$14:$AF$73,$T289))))</f>
        <v>#REF!</v>
      </c>
      <c r="AC289" s="702" t="str">
        <f t="array" ref="AC289">IF($S289="","",IF($S289="Lớp 5",INDEX('Lớp 5 - Phân công'!$AV$14:$AV$262,$T289),IF($S289="Lớp 4",INDEX('Lớp 4 - Danh mục'!$AU$14:$AU$132,$T289),INDEX('Lớp 3 - Công việc chính'!$AR$14:$AR$73,$T289))))</f>
        <v>#REF!</v>
      </c>
    </row>
    <row r="290" ht="15.75" customHeight="1">
      <c r="A290" s="690" t="str">
        <f t="shared" si="1"/>
        <v>#REF!</v>
      </c>
      <c r="B290" s="690" t="str">
        <f t="array" ref="B290">IF($S290="","",IF($S290="Lớp 5",INDEX('Lớp 5 - Phân công'!$I$14:$I$262,$T290),IF($S290="Lớp 4",INDEX('Lớp 4 - Danh mục'!$I$14:$I$132,$T290),INDEX('Lớp 3 - Công việc chính'!$I$14:$I$73,$T290))))</f>
        <v>#REF!</v>
      </c>
      <c r="C290" s="690" t="str">
        <f t="array" ref="C290">IF($S290="","",IF($S290="Lớp 5",INDEX('Lớp 5 - Phân công'!$K$14:$K$262,$T290),IF($S290="Lớp 4",INDEX('Lớp 4 - Danh mục'!$J$14:$J$132,$T290),INDEX('Lớp 3 - Công việc chính'!$I$14:$I$73,$T290))))</f>
        <v>#REF!</v>
      </c>
      <c r="D290" s="690" t="str">
        <f t="array" ref="D290">IF($S290="","",IF($S290="Lớp 5",INDEX('Lớp 5 - Phân công'!$J$14:$J$262,$T290),IF($S290="Lớp 4",INDEX('Lớp 4 - Danh mục'!$I$14:$I$132,$T290),"")))</f>
        <v>#REF!</v>
      </c>
      <c r="E290" s="690" t="str">
        <f t="array" ref="E290">IF($S290="","",IF($S290="Lớp 5",INDEX('Lớp 5 - Phân công'!$L$14:$L$262,$T290),IF($S290="Lớp 4",INDEX('Lớp 4 - Danh mục'!$K$14:$K$132,$T290),INDEX('Lớp 3 - Công việc chính'!$J$14:$J$73,$T290))))</f>
        <v>#REF!</v>
      </c>
      <c r="F290" s="690" t="str">
        <f t="array" ref="F290">IF($S290="","",IF($S290="Lớp 5",INDEX('Lớp 5 - Phân công'!$M$14:$M$262,$T290),IF($S290="Lớp 4",INDEX('Lớp 4 - Danh mục'!$L$14:$L$132,$T290),INDEX('Lớp 3 - Công việc chính'!$K$14:$K$73,$T290))))</f>
        <v>#REF!</v>
      </c>
      <c r="G290" s="691" t="str">
        <f t="array" ref="G290">IF($S290="","",IF($S290="Lớp 5",INDEX('Lớp 5 - Phân công'!$N$14:$N$262,$T290),IF($S290="Lớp 4",INDEX('Lớp 4 - Danh mục'!$M$14:$M$132,$T290),INDEX('Lớp 3 - Công việc chính'!$L$14:$L$73,$T290))))</f>
        <v>#REF!</v>
      </c>
      <c r="H290" s="692" t="str">
        <f t="array" ref="H290">IF($S290="","",IF($S290="Lớp 5",INDEX('Lớp 5 - Phân công'!$O$14:$O$262,$T290),IF($S290="Lớp 4",INDEX('Lớp 4 - Danh mục'!$N$14:$N$132,$T290),INDEX('Lớp 3 - Công việc chính'!$M$14:$M$73,$T290))))</f>
        <v>#REF!</v>
      </c>
      <c r="I290" s="692" t="str">
        <f t="array" ref="I290">IF($S290="","",IF($S290="Lớp 5",INDEX('Lớp 5 - Phân công'!$P$14:$P$262,$T290),IF($S290="Lớp 4",INDEX('Lớp 4 - Danh mục'!$O$14:$O$132,$T290),"")))</f>
        <v>#REF!</v>
      </c>
      <c r="J290" s="693" t="str">
        <f t="array" ref="J290">IF($S290="","",IF($S290="Lớp 5",INDEX('Lớp 5 - Phân công'!$Q$14:$Q$262,$T290),""))</f>
        <v>#REF!</v>
      </c>
      <c r="K290" s="690" t="str">
        <f t="array" ref="K290">IF($S290="","",IF($S290="Lớp 5",INDEX('Lớp 5 - Phân công'!$AA$14:$AA$262,$T290),IF($S290="Lớp 4",INDEX('Lớp 4 - Danh mục'!$Y$14:$Y$132,$T290),INDEX('Lớp 3 - Công việc chính'!$U$14:$U$73,$T290))))</f>
        <v>#REF!</v>
      </c>
      <c r="L290" s="691" t="str">
        <f t="array" ref="L290">IF($S290="","",IF($S290="Lớp 5",INDEX('Lớp 5 - Phân công'!$Z$14:$Z$262,$T290),IF($S290="Lớp 4",INDEX('Lớp 4 - Danh mục'!$X$14:$X$132,$T290),INDEX('Lớp 3 - Công việc chính'!$W$14:$W$73,$T290))))</f>
        <v>#REF!</v>
      </c>
      <c r="M290" s="694" t="str">
        <f t="array" ref="M290">IF($S290="","",IF($S290="Lớp 5",INDEX('Lớp 5 - Phân công'!$AD$14:$AD$262,$T290),IF($S290="Lớp 4",INDEX('Lớp 4 - Danh mục'!$AC$14:$AC$132,$T290),INDEX('Lớp 3 - Công việc chính'!$Z$14:$Z$73,$T290))))</f>
        <v>#REF!</v>
      </c>
      <c r="N290" s="695" t="str">
        <f t="array" ref="N290">IF($S290="","",IF($S290="Lớp 5",INDEX('Lớp 5 - Phân công'!$AE$14:$AE$262,$T290),IF($S290="Lớp 4",INDEX('Lớp 4 - Danh mục'!$AD$14:$AD$132,$T290),INDEX('Lớp 3 - Công việc chính'!$AA$14:$AA$73,$T290))))</f>
        <v>#REF!</v>
      </c>
      <c r="O290" s="690" t="str">
        <f t="array" ref="O290">IF($S290="","",IF($S290="Lớp 5",INDEX('Lớp 5 - Phân công'!$AB$14:$AB$262,$T290),IF($S290="Lớp 4",INDEX('Lớp 4 - Danh mục'!$AA$14:$AA$132,$T290),INDEX('Lớp 3 - Công việc chính'!$X$14:$X$73,$T290))))</f>
        <v>#REF!</v>
      </c>
      <c r="P290" s="703" t="str">
        <f t="array" ref="P290">IF($S290="","",IF($S290="Lớp 5",INDEX('Lớp 5 - Phân công'!$AC$14:$AC$262,$T290),IF($S290="Lớp 4",INDEX('Lớp 4 - Danh mục'!$AB$14:$AB$132,$T290),INDEX('Lớp 3 - Công việc chính'!$Y$14:$Y$73,$T290))))</f>
        <v>#REF!</v>
      </c>
      <c r="Q290" s="697" t="str">
        <f t="array" ref="Q290">IF($S290="","",IF($S290="Lớp 5",INDEX('Lớp 5 - Phân công'!$AG$14:$AG$262,$T290),IF($S290="Lớp 4",INDEX('Lớp 4 - Danh mục'!$AF$14:$AF$132,$T290),INDEX('Lớp 3 - Công việc chính'!$AC$14:$AC$73,$T290))))</f>
        <v>#REF!</v>
      </c>
      <c r="R290" s="698" t="str">
        <f t="array" ref="R290">IF($S290="","",IF($S290="Lớp 5",INDEX('Lớp 5 - Phân công'!$X$14:$X$262,$T290),IF($S290="Lớp 4",INDEX('Lớp 4 - Danh mục'!$V$14:$V$132,$T290),INDEX('Lớp 3 - Công việc chính'!$T$14:$T$73,$T290))))</f>
        <v>#REF!</v>
      </c>
      <c r="S290" s="699" t="str">
        <f>IF(ROWS($S$14:S290)&lt;=COUNTIF('Lớp 5 - Phân công'!$I$14:$I$262,"&lt;&gt;"),"Lớp 5",IF(ROWS($S$14:S290)&lt;=COUNTIF('Lớp 5 - Phân công'!$I$14:$I$262,"&lt;&gt;")+SUMPRODUCT(--('Lớp 4 - Danh mục'!$I$14:$I$132&lt;&gt;""),--(COUNTIF('Lớp 5 - Phân công'!$J$14:$J$262,'Lớp 4 - Danh mục'!$I$14:$I$132)=0)),"Lớp 4",IF(ROWS($S$14:S290)&lt;=COUNTIF('Lớp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0" s="699" t="str">
        <f t="array" ref="T290">IF(S290="","",IF(S290="Lớp 5",IF(S289&lt;&gt;"Lớp 5",MATCH("*",'Lớp 5 - Phân công'!$I$14:$I$262,0),T289+MATCH("*",INDEX('Lớp 5 - Phân công'!$I$14:$I$262,T289+1):'Lớp 5 - Phân công'!$I$262,0)),IF(S290="Lớp 4",IF(S289&lt;&gt;"Lớp 4",MATCH(1,INDEX(('Lớp 4 - Danh mục'!$I$14:$I$132&lt;&gt;"")*(COUNTIF('Lớp 5 - Phân công'!$J$14:$J$262,'Lớp 4 - Danh mục'!$I$14:$I$132)=0),0),0),T289+MATCH(1,INDEX((INDEX('Lớp 4 - Danh mục'!$I$14:$I$132,T289+1):'Lớp 4 - Danh mục'!$I$132&lt;&gt;"")*(COUNTIF('Lớp 5 - Phân công'!$J$14:$J$262,INDEX('Lớp 4 - Danh mục'!$I$14:$I$132,T289+1):'Lớp 4 - Danh mục'!$I$132)=0),0),0)),IF(S289&lt;&gt;"Lớp 3",MATCH(1,INDEX(('Lớp 3 - Công việc chính'!$I$14:$I$73&lt;&gt;"")*(COUNTIF('Lớp 4 - Danh mục'!$J$14:$J$132,'Lớp 3 - Công việc chính'!$I$14:$I$73)=0),0),0),T289+MATCH(1,INDEX((INDEX('Lớp 3 - Công việc chính'!$I$14:$I$73,T289+1):'Lớp 3 - Công việc chính'!$I$73&lt;&gt;"")*(COUNTIF('Lớp 4 - Danh mục'!$J$14:$J$132,INDEX('Lớp 3 - Công việc chính'!$I$14:$I$73,T289+1):'Lớp 3 - Công việc chính'!$I$73)=0),0),0)))))</f>
        <v>#REF!</v>
      </c>
      <c r="Z290" s="700" t="str">
        <f t="array" ref="Z290">IF($S290="","",IF($S290="Lớp 5",INDEX('Lớp 5 - Phân công'!$AS$14:$AS$262,$T290),IF($S290="Lớp 4",INDEX('Lớp 4 - Danh mục'!$AR$14:$AR$132,$T290),INDEX('Lớp 3 - Công việc chính'!$AO$14:$AO$73,$T290))))</f>
        <v>#REF!</v>
      </c>
      <c r="AA290" s="701" t="str">
        <f t="array" ref="AA290">IF($S290="","",IF($S290="Lớp 5",INDEX('Lớp 5 - Phân công'!$AT$14:$AT$262,$T290),IF($S290="Lớp 4",INDEX('Lớp 4 - Danh mục'!$AS$14:$AS$132,$T290),INDEX('Lớp 3 - Công việc chính'!$AP$14:$AP$73,$T290))))</f>
        <v>#REF!</v>
      </c>
      <c r="AB290" s="701" t="str">
        <f t="array" ref="AB290">IF($S290="","",IF($S290="Lớp 5",INDEX('Lớp 5 - Phân công'!$AJ$14:$AJ$262,$T290),IF($S290="Lớp 4",INDEX('Lớp 4 - Danh mục'!$AI$14:$AI$132,$T290),INDEX('Lớp 3 - Công việc chính'!$AF$14:$AF$73,$T290))))</f>
        <v>#REF!</v>
      </c>
      <c r="AC290" s="702" t="str">
        <f t="array" ref="AC290">IF($S290="","",IF($S290="Lớp 5",INDEX('Lớp 5 - Phân công'!$AV$14:$AV$262,$T290),IF($S290="Lớp 4",INDEX('Lớp 4 - Danh mục'!$AU$14:$AU$132,$T290),INDEX('Lớp 3 - Công việc chính'!$AR$14:$AR$73,$T290))))</f>
        <v>#REF!</v>
      </c>
    </row>
    <row r="291" ht="15.75" customHeight="1">
      <c r="A291" s="690" t="str">
        <f t="shared" si="1"/>
        <v>#REF!</v>
      </c>
      <c r="B291" s="690" t="str">
        <f t="array" ref="B291">IF($S291="","",IF($S291="Lớp 5",INDEX('Lớp 5 - Phân công'!$I$14:$I$262,$T291),IF($S291="Lớp 4",INDEX('Lớp 4 - Danh mục'!$I$14:$I$132,$T291),INDEX('Lớp 3 - Công việc chính'!$I$14:$I$73,$T291))))</f>
        <v>#REF!</v>
      </c>
      <c r="C291" s="690" t="str">
        <f t="array" ref="C291">IF($S291="","",IF($S291="Lớp 5",INDEX('Lớp 5 - Phân công'!$K$14:$K$262,$T291),IF($S291="Lớp 4",INDEX('Lớp 4 - Danh mục'!$J$14:$J$132,$T291),INDEX('Lớp 3 - Công việc chính'!$I$14:$I$73,$T291))))</f>
        <v>#REF!</v>
      </c>
      <c r="D291" s="690" t="str">
        <f t="array" ref="D291">IF($S291="","",IF($S291="Lớp 5",INDEX('Lớp 5 - Phân công'!$J$14:$J$262,$T291),IF($S291="Lớp 4",INDEX('Lớp 4 - Danh mục'!$I$14:$I$132,$T291),"")))</f>
        <v>#REF!</v>
      </c>
      <c r="E291" s="690" t="str">
        <f t="array" ref="E291">IF($S291="","",IF($S291="Lớp 5",INDEX('Lớp 5 - Phân công'!$L$14:$L$262,$T291),IF($S291="Lớp 4",INDEX('Lớp 4 - Danh mục'!$K$14:$K$132,$T291),INDEX('Lớp 3 - Công việc chính'!$J$14:$J$73,$T291))))</f>
        <v>#REF!</v>
      </c>
      <c r="F291" s="690" t="str">
        <f t="array" ref="F291">IF($S291="","",IF($S291="Lớp 5",INDEX('Lớp 5 - Phân công'!$M$14:$M$262,$T291),IF($S291="Lớp 4",INDEX('Lớp 4 - Danh mục'!$L$14:$L$132,$T291),INDEX('Lớp 3 - Công việc chính'!$K$14:$K$73,$T291))))</f>
        <v>#REF!</v>
      </c>
      <c r="G291" s="691" t="str">
        <f t="array" ref="G291">IF($S291="","",IF($S291="Lớp 5",INDEX('Lớp 5 - Phân công'!$N$14:$N$262,$T291),IF($S291="Lớp 4",INDEX('Lớp 4 - Danh mục'!$M$14:$M$132,$T291),INDEX('Lớp 3 - Công việc chính'!$L$14:$L$73,$T291))))</f>
        <v>#REF!</v>
      </c>
      <c r="H291" s="692" t="str">
        <f t="array" ref="H291">IF($S291="","",IF($S291="Lớp 5",INDEX('Lớp 5 - Phân công'!$O$14:$O$262,$T291),IF($S291="Lớp 4",INDEX('Lớp 4 - Danh mục'!$N$14:$N$132,$T291),INDEX('Lớp 3 - Công việc chính'!$M$14:$M$73,$T291))))</f>
        <v>#REF!</v>
      </c>
      <c r="I291" s="692" t="str">
        <f t="array" ref="I291">IF($S291="","",IF($S291="Lớp 5",INDEX('Lớp 5 - Phân công'!$P$14:$P$262,$T291),IF($S291="Lớp 4",INDEX('Lớp 4 - Danh mục'!$O$14:$O$132,$T291),"")))</f>
        <v>#REF!</v>
      </c>
      <c r="J291" s="693" t="str">
        <f t="array" ref="J291">IF($S291="","",IF($S291="Lớp 5",INDEX('Lớp 5 - Phân công'!$Q$14:$Q$262,$T291),""))</f>
        <v>#REF!</v>
      </c>
      <c r="K291" s="690" t="str">
        <f t="array" ref="K291">IF($S291="","",IF($S291="Lớp 5",INDEX('Lớp 5 - Phân công'!$AA$14:$AA$262,$T291),IF($S291="Lớp 4",INDEX('Lớp 4 - Danh mục'!$Y$14:$Y$132,$T291),INDEX('Lớp 3 - Công việc chính'!$U$14:$U$73,$T291))))</f>
        <v>#REF!</v>
      </c>
      <c r="L291" s="691" t="str">
        <f t="array" ref="L291">IF($S291="","",IF($S291="Lớp 5",INDEX('Lớp 5 - Phân công'!$Z$14:$Z$262,$T291),IF($S291="Lớp 4",INDEX('Lớp 4 - Danh mục'!$X$14:$X$132,$T291),INDEX('Lớp 3 - Công việc chính'!$W$14:$W$73,$T291))))</f>
        <v>#REF!</v>
      </c>
      <c r="M291" s="694" t="str">
        <f t="array" ref="M291">IF($S291="","",IF($S291="Lớp 5",INDEX('Lớp 5 - Phân công'!$AD$14:$AD$262,$T291),IF($S291="Lớp 4",INDEX('Lớp 4 - Danh mục'!$AC$14:$AC$132,$T291),INDEX('Lớp 3 - Công việc chính'!$Z$14:$Z$73,$T291))))</f>
        <v>#REF!</v>
      </c>
      <c r="N291" s="695" t="str">
        <f t="array" ref="N291">IF($S291="","",IF($S291="Lớp 5",INDEX('Lớp 5 - Phân công'!$AE$14:$AE$262,$T291),IF($S291="Lớp 4",INDEX('Lớp 4 - Danh mục'!$AD$14:$AD$132,$T291),INDEX('Lớp 3 - Công việc chính'!$AA$14:$AA$73,$T291))))</f>
        <v>#REF!</v>
      </c>
      <c r="O291" s="690" t="str">
        <f t="array" ref="O291">IF($S291="","",IF($S291="Lớp 5",INDEX('Lớp 5 - Phân công'!$AB$14:$AB$262,$T291),IF($S291="Lớp 4",INDEX('Lớp 4 - Danh mục'!$AA$14:$AA$132,$T291),INDEX('Lớp 3 - Công việc chính'!$X$14:$X$73,$T291))))</f>
        <v>#REF!</v>
      </c>
      <c r="P291" s="703" t="str">
        <f t="array" ref="P291">IF($S291="","",IF($S291="Lớp 5",INDEX('Lớp 5 - Phân công'!$AC$14:$AC$262,$T291),IF($S291="Lớp 4",INDEX('Lớp 4 - Danh mục'!$AB$14:$AB$132,$T291),INDEX('Lớp 3 - Công việc chính'!$Y$14:$Y$73,$T291))))</f>
        <v>#REF!</v>
      </c>
      <c r="Q291" s="697" t="str">
        <f t="array" ref="Q291">IF($S291="","",IF($S291="Lớp 5",INDEX('Lớp 5 - Phân công'!$AG$14:$AG$262,$T291),IF($S291="Lớp 4",INDEX('Lớp 4 - Danh mục'!$AF$14:$AF$132,$T291),INDEX('Lớp 3 - Công việc chính'!$AC$14:$AC$73,$T291))))</f>
        <v>#REF!</v>
      </c>
      <c r="R291" s="698" t="str">
        <f t="array" ref="R291">IF($S291="","",IF($S291="Lớp 5",INDEX('Lớp 5 - Phân công'!$X$14:$X$262,$T291),IF($S291="Lớp 4",INDEX('Lớp 4 - Danh mục'!$V$14:$V$132,$T291),INDEX('Lớp 3 - Công việc chính'!$T$14:$T$73,$T291))))</f>
        <v>#REF!</v>
      </c>
      <c r="S291" s="699" t="str">
        <f>IF(ROWS($S$14:S291)&lt;=COUNTIF('Lớp 5 - Phân công'!$I$14:$I$262,"&lt;&gt;"),"Lớp 5",IF(ROWS($S$14:S291)&lt;=COUNTIF('Lớp 5 - Phân công'!$I$14:$I$262,"&lt;&gt;")+SUMPRODUCT(--('Lớp 4 - Danh mục'!$I$14:$I$132&lt;&gt;""),--(COUNTIF('Lớp 5 - Phân công'!$J$14:$J$262,'Lớp 4 - Danh mục'!$I$14:$I$132)=0)),"Lớp 4",IF(ROWS($S$14:S291)&lt;=COUNTIF('Lớp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1" s="699" t="str">
        <f t="array" ref="T291">IF(S291="","",IF(S291="Lớp 5",IF(S290&lt;&gt;"Lớp 5",MATCH("*",'Lớp 5 - Phân công'!$I$14:$I$262,0),T290+MATCH("*",INDEX('Lớp 5 - Phân công'!$I$14:$I$262,T290+1):'Lớp 5 - Phân công'!$I$262,0)),IF(S291="Lớp 4",IF(S290&lt;&gt;"Lớp 4",MATCH(1,INDEX(('Lớp 4 - Danh mục'!$I$14:$I$132&lt;&gt;"")*(COUNTIF('Lớp 5 - Phân công'!$J$14:$J$262,'Lớp 4 - Danh mục'!$I$14:$I$132)=0),0),0),T290+MATCH(1,INDEX((INDEX('Lớp 4 - Danh mục'!$I$14:$I$132,T290+1):'Lớp 4 - Danh mục'!$I$132&lt;&gt;"")*(COUNTIF('Lớp 5 - Phân công'!$J$14:$J$262,INDEX('Lớp 4 - Danh mục'!$I$14:$I$132,T290+1):'Lớp 4 - Danh mục'!$I$132)=0),0),0)),IF(S290&lt;&gt;"Lớp 3",MATCH(1,INDEX(('Lớp 3 - Công việc chính'!$I$14:$I$73&lt;&gt;"")*(COUNTIF('Lớp 4 - Danh mục'!$J$14:$J$132,'Lớp 3 - Công việc chính'!$I$14:$I$73)=0),0),0),T290+MATCH(1,INDEX((INDEX('Lớp 3 - Công việc chính'!$I$14:$I$73,T290+1):'Lớp 3 - Công việc chính'!$I$73&lt;&gt;"")*(COUNTIF('Lớp 4 - Danh mục'!$J$14:$J$132,INDEX('Lớp 3 - Công việc chính'!$I$14:$I$73,T290+1):'Lớp 3 - Công việc chính'!$I$73)=0),0),0)))))</f>
        <v>#REF!</v>
      </c>
      <c r="Z291" s="700" t="str">
        <f t="array" ref="Z291">IF($S291="","",IF($S291="Lớp 5",INDEX('Lớp 5 - Phân công'!$AS$14:$AS$262,$T291),IF($S291="Lớp 4",INDEX('Lớp 4 - Danh mục'!$AR$14:$AR$132,$T291),INDEX('Lớp 3 - Công việc chính'!$AO$14:$AO$73,$T291))))</f>
        <v>#REF!</v>
      </c>
      <c r="AA291" s="701" t="str">
        <f t="array" ref="AA291">IF($S291="","",IF($S291="Lớp 5",INDEX('Lớp 5 - Phân công'!$AT$14:$AT$262,$T291),IF($S291="Lớp 4",INDEX('Lớp 4 - Danh mục'!$AS$14:$AS$132,$T291),INDEX('Lớp 3 - Công việc chính'!$AP$14:$AP$73,$T291))))</f>
        <v>#REF!</v>
      </c>
      <c r="AB291" s="701" t="str">
        <f t="array" ref="AB291">IF($S291="","",IF($S291="Lớp 5",INDEX('Lớp 5 - Phân công'!$AJ$14:$AJ$262,$T291),IF($S291="Lớp 4",INDEX('Lớp 4 - Danh mục'!$AI$14:$AI$132,$T291),INDEX('Lớp 3 - Công việc chính'!$AF$14:$AF$73,$T291))))</f>
        <v>#REF!</v>
      </c>
      <c r="AC291" s="702" t="str">
        <f t="array" ref="AC291">IF($S291="","",IF($S291="Lớp 5",INDEX('Lớp 5 - Phân công'!$AV$14:$AV$262,$T291),IF($S291="Lớp 4",INDEX('Lớp 4 - Danh mục'!$AU$14:$AU$132,$T291),INDEX('Lớp 3 - Công việc chính'!$AR$14:$AR$73,$T291))))</f>
        <v>#REF!</v>
      </c>
    </row>
    <row r="292" ht="15.75" customHeight="1">
      <c r="A292" s="690" t="str">
        <f t="shared" si="1"/>
        <v>#REF!</v>
      </c>
      <c r="B292" s="690" t="str">
        <f t="array" ref="B292">IF($S292="","",IF($S292="Lớp 5",INDEX('Lớp 5 - Phân công'!$I$14:$I$262,$T292),IF($S292="Lớp 4",INDEX('Lớp 4 - Danh mục'!$I$14:$I$132,$T292),INDEX('Lớp 3 - Công việc chính'!$I$14:$I$73,$T292))))</f>
        <v>#REF!</v>
      </c>
      <c r="C292" s="690" t="str">
        <f t="array" ref="C292">IF($S292="","",IF($S292="Lớp 5",INDEX('Lớp 5 - Phân công'!$K$14:$K$262,$T292),IF($S292="Lớp 4",INDEX('Lớp 4 - Danh mục'!$J$14:$J$132,$T292),INDEX('Lớp 3 - Công việc chính'!$I$14:$I$73,$T292))))</f>
        <v>#REF!</v>
      </c>
      <c r="D292" s="690" t="str">
        <f t="array" ref="D292">IF($S292="","",IF($S292="Lớp 5",INDEX('Lớp 5 - Phân công'!$J$14:$J$262,$T292),IF($S292="Lớp 4",INDEX('Lớp 4 - Danh mục'!$I$14:$I$132,$T292),"")))</f>
        <v>#REF!</v>
      </c>
      <c r="E292" s="690" t="str">
        <f t="array" ref="E292">IF($S292="","",IF($S292="Lớp 5",INDEX('Lớp 5 - Phân công'!$L$14:$L$262,$T292),IF($S292="Lớp 4",INDEX('Lớp 4 - Danh mục'!$K$14:$K$132,$T292),INDEX('Lớp 3 - Công việc chính'!$J$14:$J$73,$T292))))</f>
        <v>#REF!</v>
      </c>
      <c r="F292" s="690" t="str">
        <f t="array" ref="F292">IF($S292="","",IF($S292="Lớp 5",INDEX('Lớp 5 - Phân công'!$M$14:$M$262,$T292),IF($S292="Lớp 4",INDEX('Lớp 4 - Danh mục'!$L$14:$L$132,$T292),INDEX('Lớp 3 - Công việc chính'!$K$14:$K$73,$T292))))</f>
        <v>#REF!</v>
      </c>
      <c r="G292" s="691" t="str">
        <f t="array" ref="G292">IF($S292="","",IF($S292="Lớp 5",INDEX('Lớp 5 - Phân công'!$N$14:$N$262,$T292),IF($S292="Lớp 4",INDEX('Lớp 4 - Danh mục'!$M$14:$M$132,$T292),INDEX('Lớp 3 - Công việc chính'!$L$14:$L$73,$T292))))</f>
        <v>#REF!</v>
      </c>
      <c r="H292" s="692" t="str">
        <f t="array" ref="H292">IF($S292="","",IF($S292="Lớp 5",INDEX('Lớp 5 - Phân công'!$O$14:$O$262,$T292),IF($S292="Lớp 4",INDEX('Lớp 4 - Danh mục'!$N$14:$N$132,$T292),INDEX('Lớp 3 - Công việc chính'!$M$14:$M$73,$T292))))</f>
        <v>#REF!</v>
      </c>
      <c r="I292" s="692" t="str">
        <f t="array" ref="I292">IF($S292="","",IF($S292="Lớp 5",INDEX('Lớp 5 - Phân công'!$P$14:$P$262,$T292),IF($S292="Lớp 4",INDEX('Lớp 4 - Danh mục'!$O$14:$O$132,$T292),"")))</f>
        <v>#REF!</v>
      </c>
      <c r="J292" s="693" t="str">
        <f t="array" ref="J292">IF($S292="","",IF($S292="Lớp 5",INDEX('Lớp 5 - Phân công'!$Q$14:$Q$262,$T292),""))</f>
        <v>#REF!</v>
      </c>
      <c r="K292" s="690" t="str">
        <f t="array" ref="K292">IF($S292="","",IF($S292="Lớp 5",INDEX('Lớp 5 - Phân công'!$AA$14:$AA$262,$T292),IF($S292="Lớp 4",INDEX('Lớp 4 - Danh mục'!$Y$14:$Y$132,$T292),INDEX('Lớp 3 - Công việc chính'!$U$14:$U$73,$T292))))</f>
        <v>#REF!</v>
      </c>
      <c r="L292" s="691" t="str">
        <f t="array" ref="L292">IF($S292="","",IF($S292="Lớp 5",INDEX('Lớp 5 - Phân công'!$Z$14:$Z$262,$T292),IF($S292="Lớp 4",INDEX('Lớp 4 - Danh mục'!$X$14:$X$132,$T292),INDEX('Lớp 3 - Công việc chính'!$W$14:$W$73,$T292))))</f>
        <v>#REF!</v>
      </c>
      <c r="M292" s="694" t="str">
        <f t="array" ref="M292">IF($S292="","",IF($S292="Lớp 5",INDEX('Lớp 5 - Phân công'!$AD$14:$AD$262,$T292),IF($S292="Lớp 4",INDEX('Lớp 4 - Danh mục'!$AC$14:$AC$132,$T292),INDEX('Lớp 3 - Công việc chính'!$Z$14:$Z$73,$T292))))</f>
        <v>#REF!</v>
      </c>
      <c r="N292" s="695" t="str">
        <f t="array" ref="N292">IF($S292="","",IF($S292="Lớp 5",INDEX('Lớp 5 - Phân công'!$AE$14:$AE$262,$T292),IF($S292="Lớp 4",INDEX('Lớp 4 - Danh mục'!$AD$14:$AD$132,$T292),INDEX('Lớp 3 - Công việc chính'!$AA$14:$AA$73,$T292))))</f>
        <v>#REF!</v>
      </c>
      <c r="O292" s="690" t="str">
        <f t="array" ref="O292">IF($S292="","",IF($S292="Lớp 5",INDEX('Lớp 5 - Phân công'!$AB$14:$AB$262,$T292),IF($S292="Lớp 4",INDEX('Lớp 4 - Danh mục'!$AA$14:$AA$132,$T292),INDEX('Lớp 3 - Công việc chính'!$X$14:$X$73,$T292))))</f>
        <v>#REF!</v>
      </c>
      <c r="P292" s="703" t="str">
        <f t="array" ref="P292">IF($S292="","",IF($S292="Lớp 5",INDEX('Lớp 5 - Phân công'!$AC$14:$AC$262,$T292),IF($S292="Lớp 4",INDEX('Lớp 4 - Danh mục'!$AB$14:$AB$132,$T292),INDEX('Lớp 3 - Công việc chính'!$Y$14:$Y$73,$T292))))</f>
        <v>#REF!</v>
      </c>
      <c r="Q292" s="697" t="str">
        <f t="array" ref="Q292">IF($S292="","",IF($S292="Lớp 5",INDEX('Lớp 5 - Phân công'!$AG$14:$AG$262,$T292),IF($S292="Lớp 4",INDEX('Lớp 4 - Danh mục'!$AF$14:$AF$132,$T292),INDEX('Lớp 3 - Công việc chính'!$AC$14:$AC$73,$T292))))</f>
        <v>#REF!</v>
      </c>
      <c r="R292" s="698" t="str">
        <f t="array" ref="R292">IF($S292="","",IF($S292="Lớp 5",INDEX('Lớp 5 - Phân công'!$X$14:$X$262,$T292),IF($S292="Lớp 4",INDEX('Lớp 4 - Danh mục'!$V$14:$V$132,$T292),INDEX('Lớp 3 - Công việc chính'!$T$14:$T$73,$T292))))</f>
        <v>#REF!</v>
      </c>
      <c r="S292" s="699" t="str">
        <f>IF(ROWS($S$14:S292)&lt;=COUNTIF('Lớp 5 - Phân công'!$I$14:$I$262,"&lt;&gt;"),"Lớp 5",IF(ROWS($S$14:S292)&lt;=COUNTIF('Lớp 5 - Phân công'!$I$14:$I$262,"&lt;&gt;")+SUMPRODUCT(--('Lớp 4 - Danh mục'!$I$14:$I$132&lt;&gt;""),--(COUNTIF('Lớp 5 - Phân công'!$J$14:$J$262,'Lớp 4 - Danh mục'!$I$14:$I$132)=0)),"Lớp 4",IF(ROWS($S$14:S292)&lt;=COUNTIF('Lớp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2" s="699" t="str">
        <f t="array" ref="T292">IF(S292="","",IF(S292="Lớp 5",IF(S291&lt;&gt;"Lớp 5",MATCH("*",'Lớp 5 - Phân công'!$I$14:$I$262,0),T291+MATCH("*",INDEX('Lớp 5 - Phân công'!$I$14:$I$262,T291+1):'Lớp 5 - Phân công'!$I$262,0)),IF(S292="Lớp 4",IF(S291&lt;&gt;"Lớp 4",MATCH(1,INDEX(('Lớp 4 - Danh mục'!$I$14:$I$132&lt;&gt;"")*(COUNTIF('Lớp 5 - Phân công'!$J$14:$J$262,'Lớp 4 - Danh mục'!$I$14:$I$132)=0),0),0),T291+MATCH(1,INDEX((INDEX('Lớp 4 - Danh mục'!$I$14:$I$132,T291+1):'Lớp 4 - Danh mục'!$I$132&lt;&gt;"")*(COUNTIF('Lớp 5 - Phân công'!$J$14:$J$262,INDEX('Lớp 4 - Danh mục'!$I$14:$I$132,T291+1):'Lớp 4 - Danh mục'!$I$132)=0),0),0)),IF(S291&lt;&gt;"Lớp 3",MATCH(1,INDEX(('Lớp 3 - Công việc chính'!$I$14:$I$73&lt;&gt;"")*(COUNTIF('Lớp 4 - Danh mục'!$J$14:$J$132,'Lớp 3 - Công việc chính'!$I$14:$I$73)=0),0),0),T291+MATCH(1,INDEX((INDEX('Lớp 3 - Công việc chính'!$I$14:$I$73,T291+1):'Lớp 3 - Công việc chính'!$I$73&lt;&gt;"")*(COUNTIF('Lớp 4 - Danh mục'!$J$14:$J$132,INDEX('Lớp 3 - Công việc chính'!$I$14:$I$73,T291+1):'Lớp 3 - Công việc chính'!$I$73)=0),0),0)))))</f>
        <v>#REF!</v>
      </c>
      <c r="Z292" s="700" t="str">
        <f t="array" ref="Z292">IF($S292="","",IF($S292="Lớp 5",INDEX('Lớp 5 - Phân công'!$AS$14:$AS$262,$T292),IF($S292="Lớp 4",INDEX('Lớp 4 - Danh mục'!$AR$14:$AR$132,$T292),INDEX('Lớp 3 - Công việc chính'!$AO$14:$AO$73,$T292))))</f>
        <v>#REF!</v>
      </c>
      <c r="AA292" s="701" t="str">
        <f t="array" ref="AA292">IF($S292="","",IF($S292="Lớp 5",INDEX('Lớp 5 - Phân công'!$AT$14:$AT$262,$T292),IF($S292="Lớp 4",INDEX('Lớp 4 - Danh mục'!$AS$14:$AS$132,$T292),INDEX('Lớp 3 - Công việc chính'!$AP$14:$AP$73,$T292))))</f>
        <v>#REF!</v>
      </c>
      <c r="AB292" s="701" t="str">
        <f t="array" ref="AB292">IF($S292="","",IF($S292="Lớp 5",INDEX('Lớp 5 - Phân công'!$AJ$14:$AJ$262,$T292),IF($S292="Lớp 4",INDEX('Lớp 4 - Danh mục'!$AI$14:$AI$132,$T292),INDEX('Lớp 3 - Công việc chính'!$AF$14:$AF$73,$T292))))</f>
        <v>#REF!</v>
      </c>
      <c r="AC292" s="702" t="str">
        <f t="array" ref="AC292">IF($S292="","",IF($S292="Lớp 5",INDEX('Lớp 5 - Phân công'!$AV$14:$AV$262,$T292),IF($S292="Lớp 4",INDEX('Lớp 4 - Danh mục'!$AU$14:$AU$132,$T292),INDEX('Lớp 3 - Công việc chính'!$AR$14:$AR$73,$T292))))</f>
        <v>#REF!</v>
      </c>
    </row>
    <row r="293" ht="15.75" customHeight="1">
      <c r="A293" s="690" t="str">
        <f t="shared" si="1"/>
        <v>#REF!</v>
      </c>
      <c r="B293" s="690" t="str">
        <f t="array" ref="B293">IF($S293="","",IF($S293="Lớp 5",INDEX('Lớp 5 - Phân công'!$I$14:$I$262,$T293),IF($S293="Lớp 4",INDEX('Lớp 4 - Danh mục'!$I$14:$I$132,$T293),INDEX('Lớp 3 - Công việc chính'!$I$14:$I$73,$T293))))</f>
        <v>#REF!</v>
      </c>
      <c r="C293" s="690" t="str">
        <f t="array" ref="C293">IF($S293="","",IF($S293="Lớp 5",INDEX('Lớp 5 - Phân công'!$K$14:$K$262,$T293),IF($S293="Lớp 4",INDEX('Lớp 4 - Danh mục'!$J$14:$J$132,$T293),INDEX('Lớp 3 - Công việc chính'!$I$14:$I$73,$T293))))</f>
        <v>#REF!</v>
      </c>
      <c r="D293" s="690" t="str">
        <f t="array" ref="D293">IF($S293="","",IF($S293="Lớp 5",INDEX('Lớp 5 - Phân công'!$J$14:$J$262,$T293),IF($S293="Lớp 4",INDEX('Lớp 4 - Danh mục'!$I$14:$I$132,$T293),"")))</f>
        <v>#REF!</v>
      </c>
      <c r="E293" s="690" t="str">
        <f t="array" ref="E293">IF($S293="","",IF($S293="Lớp 5",INDEX('Lớp 5 - Phân công'!$L$14:$L$262,$T293),IF($S293="Lớp 4",INDEX('Lớp 4 - Danh mục'!$K$14:$K$132,$T293),INDEX('Lớp 3 - Công việc chính'!$J$14:$J$73,$T293))))</f>
        <v>#REF!</v>
      </c>
      <c r="F293" s="690" t="str">
        <f t="array" ref="F293">IF($S293="","",IF($S293="Lớp 5",INDEX('Lớp 5 - Phân công'!$M$14:$M$262,$T293),IF($S293="Lớp 4",INDEX('Lớp 4 - Danh mục'!$L$14:$L$132,$T293),INDEX('Lớp 3 - Công việc chính'!$K$14:$K$73,$T293))))</f>
        <v>#REF!</v>
      </c>
      <c r="G293" s="691" t="str">
        <f t="array" ref="G293">IF($S293="","",IF($S293="Lớp 5",INDEX('Lớp 5 - Phân công'!$N$14:$N$262,$T293),IF($S293="Lớp 4",INDEX('Lớp 4 - Danh mục'!$M$14:$M$132,$T293),INDEX('Lớp 3 - Công việc chính'!$L$14:$L$73,$T293))))</f>
        <v>#REF!</v>
      </c>
      <c r="H293" s="692" t="str">
        <f t="array" ref="H293">IF($S293="","",IF($S293="Lớp 5",INDEX('Lớp 5 - Phân công'!$O$14:$O$262,$T293),IF($S293="Lớp 4",INDEX('Lớp 4 - Danh mục'!$N$14:$N$132,$T293),INDEX('Lớp 3 - Công việc chính'!$M$14:$M$73,$T293))))</f>
        <v>#REF!</v>
      </c>
      <c r="I293" s="692" t="str">
        <f t="array" ref="I293">IF($S293="","",IF($S293="Lớp 5",INDEX('Lớp 5 - Phân công'!$P$14:$P$262,$T293),IF($S293="Lớp 4",INDEX('Lớp 4 - Danh mục'!$O$14:$O$132,$T293),"")))</f>
        <v>#REF!</v>
      </c>
      <c r="J293" s="693" t="str">
        <f t="array" ref="J293">IF($S293="","",IF($S293="Lớp 5",INDEX('Lớp 5 - Phân công'!$Q$14:$Q$262,$T293),""))</f>
        <v>#REF!</v>
      </c>
      <c r="K293" s="690" t="str">
        <f t="array" ref="K293">IF($S293="","",IF($S293="Lớp 5",INDEX('Lớp 5 - Phân công'!$AA$14:$AA$262,$T293),IF($S293="Lớp 4",INDEX('Lớp 4 - Danh mục'!$Y$14:$Y$132,$T293),INDEX('Lớp 3 - Công việc chính'!$U$14:$U$73,$T293))))</f>
        <v>#REF!</v>
      </c>
      <c r="L293" s="691" t="str">
        <f t="array" ref="L293">IF($S293="","",IF($S293="Lớp 5",INDEX('Lớp 5 - Phân công'!$Z$14:$Z$262,$T293),IF($S293="Lớp 4",INDEX('Lớp 4 - Danh mục'!$X$14:$X$132,$T293),INDEX('Lớp 3 - Công việc chính'!$W$14:$W$73,$T293))))</f>
        <v>#REF!</v>
      </c>
      <c r="M293" s="694" t="str">
        <f t="array" ref="M293">IF($S293="","",IF($S293="Lớp 5",INDEX('Lớp 5 - Phân công'!$AD$14:$AD$262,$T293),IF($S293="Lớp 4",INDEX('Lớp 4 - Danh mục'!$AC$14:$AC$132,$T293),INDEX('Lớp 3 - Công việc chính'!$Z$14:$Z$73,$T293))))</f>
        <v>#REF!</v>
      </c>
      <c r="N293" s="695" t="str">
        <f t="array" ref="N293">IF($S293="","",IF($S293="Lớp 5",INDEX('Lớp 5 - Phân công'!$AE$14:$AE$262,$T293),IF($S293="Lớp 4",INDEX('Lớp 4 - Danh mục'!$AD$14:$AD$132,$T293),INDEX('Lớp 3 - Công việc chính'!$AA$14:$AA$73,$T293))))</f>
        <v>#REF!</v>
      </c>
      <c r="O293" s="690" t="str">
        <f t="array" ref="O293">IF($S293="","",IF($S293="Lớp 5",INDEX('Lớp 5 - Phân công'!$AB$14:$AB$262,$T293),IF($S293="Lớp 4",INDEX('Lớp 4 - Danh mục'!$AA$14:$AA$132,$T293),INDEX('Lớp 3 - Công việc chính'!$X$14:$X$73,$T293))))</f>
        <v>#REF!</v>
      </c>
      <c r="P293" s="703" t="str">
        <f t="array" ref="P293">IF($S293="","",IF($S293="Lớp 5",INDEX('Lớp 5 - Phân công'!$AC$14:$AC$262,$T293),IF($S293="Lớp 4",INDEX('Lớp 4 - Danh mục'!$AB$14:$AB$132,$T293),INDEX('Lớp 3 - Công việc chính'!$Y$14:$Y$73,$T293))))</f>
        <v>#REF!</v>
      </c>
      <c r="Q293" s="697" t="str">
        <f t="array" ref="Q293">IF($S293="","",IF($S293="Lớp 5",INDEX('Lớp 5 - Phân công'!$AG$14:$AG$262,$T293),IF($S293="Lớp 4",INDEX('Lớp 4 - Danh mục'!$AF$14:$AF$132,$T293),INDEX('Lớp 3 - Công việc chính'!$AC$14:$AC$73,$T293))))</f>
        <v>#REF!</v>
      </c>
      <c r="R293" s="698" t="str">
        <f t="array" ref="R293">IF($S293="","",IF($S293="Lớp 5",INDEX('Lớp 5 - Phân công'!$X$14:$X$262,$T293),IF($S293="Lớp 4",INDEX('Lớp 4 - Danh mục'!$V$14:$V$132,$T293),INDEX('Lớp 3 - Công việc chính'!$T$14:$T$73,$T293))))</f>
        <v>#REF!</v>
      </c>
      <c r="S293" s="699" t="str">
        <f>IF(ROWS($S$14:S293)&lt;=COUNTIF('Lớp 5 - Phân công'!$I$14:$I$262,"&lt;&gt;"),"Lớp 5",IF(ROWS($S$14:S293)&lt;=COUNTIF('Lớp 5 - Phân công'!$I$14:$I$262,"&lt;&gt;")+SUMPRODUCT(--('Lớp 4 - Danh mục'!$I$14:$I$132&lt;&gt;""),--(COUNTIF('Lớp 5 - Phân công'!$J$14:$J$262,'Lớp 4 - Danh mục'!$I$14:$I$132)=0)),"Lớp 4",IF(ROWS($S$14:S293)&lt;=COUNTIF('Lớp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3" s="699" t="str">
        <f t="array" ref="T293">IF(S293="","",IF(S293="Lớp 5",IF(S292&lt;&gt;"Lớp 5",MATCH("*",'Lớp 5 - Phân công'!$I$14:$I$262,0),T292+MATCH("*",INDEX('Lớp 5 - Phân công'!$I$14:$I$262,T292+1):'Lớp 5 - Phân công'!$I$262,0)),IF(S293="Lớp 4",IF(S292&lt;&gt;"Lớp 4",MATCH(1,INDEX(('Lớp 4 - Danh mục'!$I$14:$I$132&lt;&gt;"")*(COUNTIF('Lớp 5 - Phân công'!$J$14:$J$262,'Lớp 4 - Danh mục'!$I$14:$I$132)=0),0),0),T292+MATCH(1,INDEX((INDEX('Lớp 4 - Danh mục'!$I$14:$I$132,T292+1):'Lớp 4 - Danh mục'!$I$132&lt;&gt;"")*(COUNTIF('Lớp 5 - Phân công'!$J$14:$J$262,INDEX('Lớp 4 - Danh mục'!$I$14:$I$132,T292+1):'Lớp 4 - Danh mục'!$I$132)=0),0),0)),IF(S292&lt;&gt;"Lớp 3",MATCH(1,INDEX(('Lớp 3 - Công việc chính'!$I$14:$I$73&lt;&gt;"")*(COUNTIF('Lớp 4 - Danh mục'!$J$14:$J$132,'Lớp 3 - Công việc chính'!$I$14:$I$73)=0),0),0),T292+MATCH(1,INDEX((INDEX('Lớp 3 - Công việc chính'!$I$14:$I$73,T292+1):'Lớp 3 - Công việc chính'!$I$73&lt;&gt;"")*(COUNTIF('Lớp 4 - Danh mục'!$J$14:$J$132,INDEX('Lớp 3 - Công việc chính'!$I$14:$I$73,T292+1):'Lớp 3 - Công việc chính'!$I$73)=0),0),0)))))</f>
        <v>#REF!</v>
      </c>
      <c r="Z293" s="700" t="str">
        <f t="array" ref="Z293">IF($S293="","",IF($S293="Lớp 5",INDEX('Lớp 5 - Phân công'!$AS$14:$AS$262,$T293),IF($S293="Lớp 4",INDEX('Lớp 4 - Danh mục'!$AR$14:$AR$132,$T293),INDEX('Lớp 3 - Công việc chính'!$AO$14:$AO$73,$T293))))</f>
        <v>#REF!</v>
      </c>
      <c r="AA293" s="701" t="str">
        <f t="array" ref="AA293">IF($S293="","",IF($S293="Lớp 5",INDEX('Lớp 5 - Phân công'!$AT$14:$AT$262,$T293),IF($S293="Lớp 4",INDEX('Lớp 4 - Danh mục'!$AS$14:$AS$132,$T293),INDEX('Lớp 3 - Công việc chính'!$AP$14:$AP$73,$T293))))</f>
        <v>#REF!</v>
      </c>
      <c r="AB293" s="701" t="str">
        <f t="array" ref="AB293">IF($S293="","",IF($S293="Lớp 5",INDEX('Lớp 5 - Phân công'!$AJ$14:$AJ$262,$T293),IF($S293="Lớp 4",INDEX('Lớp 4 - Danh mục'!$AI$14:$AI$132,$T293),INDEX('Lớp 3 - Công việc chính'!$AF$14:$AF$73,$T293))))</f>
        <v>#REF!</v>
      </c>
      <c r="AC293" s="702" t="str">
        <f t="array" ref="AC293">IF($S293="","",IF($S293="Lớp 5",INDEX('Lớp 5 - Phân công'!$AV$14:$AV$262,$T293),IF($S293="Lớp 4",INDEX('Lớp 4 - Danh mục'!$AU$14:$AU$132,$T293),INDEX('Lớp 3 - Công việc chính'!$AR$14:$AR$73,$T293))))</f>
        <v>#REF!</v>
      </c>
    </row>
    <row r="294" ht="15.75" customHeight="1">
      <c r="A294" s="690" t="str">
        <f t="shared" si="1"/>
        <v>#REF!</v>
      </c>
      <c r="B294" s="690" t="str">
        <f t="array" ref="B294">IF($S294="","",IF($S294="Lớp 5",INDEX('Lớp 5 - Phân công'!$I$14:$I$262,$T294),IF($S294="Lớp 4",INDEX('Lớp 4 - Danh mục'!$I$14:$I$132,$T294),INDEX('Lớp 3 - Công việc chính'!$I$14:$I$73,$T294))))</f>
        <v>#REF!</v>
      </c>
      <c r="C294" s="690" t="str">
        <f t="array" ref="C294">IF($S294="","",IF($S294="Lớp 5",INDEX('Lớp 5 - Phân công'!$K$14:$K$262,$T294),IF($S294="Lớp 4",INDEX('Lớp 4 - Danh mục'!$J$14:$J$132,$T294),INDEX('Lớp 3 - Công việc chính'!$I$14:$I$73,$T294))))</f>
        <v>#REF!</v>
      </c>
      <c r="D294" s="690" t="str">
        <f t="array" ref="D294">IF($S294="","",IF($S294="Lớp 5",INDEX('Lớp 5 - Phân công'!$J$14:$J$262,$T294),IF($S294="Lớp 4",INDEX('Lớp 4 - Danh mục'!$I$14:$I$132,$T294),"")))</f>
        <v>#REF!</v>
      </c>
      <c r="E294" s="690" t="str">
        <f t="array" ref="E294">IF($S294="","",IF($S294="Lớp 5",INDEX('Lớp 5 - Phân công'!$L$14:$L$262,$T294),IF($S294="Lớp 4",INDEX('Lớp 4 - Danh mục'!$K$14:$K$132,$T294),INDEX('Lớp 3 - Công việc chính'!$J$14:$J$73,$T294))))</f>
        <v>#REF!</v>
      </c>
      <c r="F294" s="690" t="str">
        <f t="array" ref="F294">IF($S294="","",IF($S294="Lớp 5",INDEX('Lớp 5 - Phân công'!$M$14:$M$262,$T294),IF($S294="Lớp 4",INDEX('Lớp 4 - Danh mục'!$L$14:$L$132,$T294),INDEX('Lớp 3 - Công việc chính'!$K$14:$K$73,$T294))))</f>
        <v>#REF!</v>
      </c>
      <c r="G294" s="691" t="str">
        <f t="array" ref="G294">IF($S294="","",IF($S294="Lớp 5",INDEX('Lớp 5 - Phân công'!$N$14:$N$262,$T294),IF($S294="Lớp 4",INDEX('Lớp 4 - Danh mục'!$M$14:$M$132,$T294),INDEX('Lớp 3 - Công việc chính'!$L$14:$L$73,$T294))))</f>
        <v>#REF!</v>
      </c>
      <c r="H294" s="692" t="str">
        <f t="array" ref="H294">IF($S294="","",IF($S294="Lớp 5",INDEX('Lớp 5 - Phân công'!$O$14:$O$262,$T294),IF($S294="Lớp 4",INDEX('Lớp 4 - Danh mục'!$N$14:$N$132,$T294),INDEX('Lớp 3 - Công việc chính'!$M$14:$M$73,$T294))))</f>
        <v>#REF!</v>
      </c>
      <c r="I294" s="692" t="str">
        <f t="array" ref="I294">IF($S294="","",IF($S294="Lớp 5",INDEX('Lớp 5 - Phân công'!$P$14:$P$262,$T294),IF($S294="Lớp 4",INDEX('Lớp 4 - Danh mục'!$O$14:$O$132,$T294),"")))</f>
        <v>#REF!</v>
      </c>
      <c r="J294" s="693" t="str">
        <f t="array" ref="J294">IF($S294="","",IF($S294="Lớp 5",INDEX('Lớp 5 - Phân công'!$Q$14:$Q$262,$T294),""))</f>
        <v>#REF!</v>
      </c>
      <c r="K294" s="690" t="str">
        <f t="array" ref="K294">IF($S294="","",IF($S294="Lớp 5",INDEX('Lớp 5 - Phân công'!$AA$14:$AA$262,$T294),IF($S294="Lớp 4",INDEX('Lớp 4 - Danh mục'!$Y$14:$Y$132,$T294),INDEX('Lớp 3 - Công việc chính'!$U$14:$U$73,$T294))))</f>
        <v>#REF!</v>
      </c>
      <c r="L294" s="691" t="str">
        <f t="array" ref="L294">IF($S294="","",IF($S294="Lớp 5",INDEX('Lớp 5 - Phân công'!$Z$14:$Z$262,$T294),IF($S294="Lớp 4",INDEX('Lớp 4 - Danh mục'!$X$14:$X$132,$T294),INDEX('Lớp 3 - Công việc chính'!$W$14:$W$73,$T294))))</f>
        <v>#REF!</v>
      </c>
      <c r="M294" s="694" t="str">
        <f t="array" ref="M294">IF($S294="","",IF($S294="Lớp 5",INDEX('Lớp 5 - Phân công'!$AD$14:$AD$262,$T294),IF($S294="Lớp 4",INDEX('Lớp 4 - Danh mục'!$AC$14:$AC$132,$T294),INDEX('Lớp 3 - Công việc chính'!$Z$14:$Z$73,$T294))))</f>
        <v>#REF!</v>
      </c>
      <c r="N294" s="695" t="str">
        <f t="array" ref="N294">IF($S294="","",IF($S294="Lớp 5",INDEX('Lớp 5 - Phân công'!$AE$14:$AE$262,$T294),IF($S294="Lớp 4",INDEX('Lớp 4 - Danh mục'!$AD$14:$AD$132,$T294),INDEX('Lớp 3 - Công việc chính'!$AA$14:$AA$73,$T294))))</f>
        <v>#REF!</v>
      </c>
      <c r="O294" s="690" t="str">
        <f t="array" ref="O294">IF($S294="","",IF($S294="Lớp 5",INDEX('Lớp 5 - Phân công'!$AB$14:$AB$262,$T294),IF($S294="Lớp 4",INDEX('Lớp 4 - Danh mục'!$AA$14:$AA$132,$T294),INDEX('Lớp 3 - Công việc chính'!$X$14:$X$73,$T294))))</f>
        <v>#REF!</v>
      </c>
      <c r="P294" s="703" t="str">
        <f t="array" ref="P294">IF($S294="","",IF($S294="Lớp 5",INDEX('Lớp 5 - Phân công'!$AC$14:$AC$262,$T294),IF($S294="Lớp 4",INDEX('Lớp 4 - Danh mục'!$AB$14:$AB$132,$T294),INDEX('Lớp 3 - Công việc chính'!$Y$14:$Y$73,$T294))))</f>
        <v>#REF!</v>
      </c>
      <c r="Q294" s="697" t="str">
        <f t="array" ref="Q294">IF($S294="","",IF($S294="Lớp 5",INDEX('Lớp 5 - Phân công'!$AG$14:$AG$262,$T294),IF($S294="Lớp 4",INDEX('Lớp 4 - Danh mục'!$AF$14:$AF$132,$T294),INDEX('Lớp 3 - Công việc chính'!$AC$14:$AC$73,$T294))))</f>
        <v>#REF!</v>
      </c>
      <c r="R294" s="698" t="str">
        <f t="array" ref="R294">IF($S294="","",IF($S294="Lớp 5",INDEX('Lớp 5 - Phân công'!$X$14:$X$262,$T294),IF($S294="Lớp 4",INDEX('Lớp 4 - Danh mục'!$V$14:$V$132,$T294),INDEX('Lớp 3 - Công việc chính'!$T$14:$T$73,$T294))))</f>
        <v>#REF!</v>
      </c>
      <c r="S294" s="699" t="str">
        <f>IF(ROWS($S$14:S294)&lt;=COUNTIF('Lớp 5 - Phân công'!$I$14:$I$262,"&lt;&gt;"),"Lớp 5",IF(ROWS($S$14:S294)&lt;=COUNTIF('Lớp 5 - Phân công'!$I$14:$I$262,"&lt;&gt;")+SUMPRODUCT(--('Lớp 4 - Danh mục'!$I$14:$I$132&lt;&gt;""),--(COUNTIF('Lớp 5 - Phân công'!$J$14:$J$262,'Lớp 4 - Danh mục'!$I$14:$I$132)=0)),"Lớp 4",IF(ROWS($S$14:S294)&lt;=COUNTIF('Lớp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4" s="699" t="str">
        <f t="array" ref="T294">IF(S294="","",IF(S294="Lớp 5",IF(S293&lt;&gt;"Lớp 5",MATCH("*",'Lớp 5 - Phân công'!$I$14:$I$262,0),T293+MATCH("*",INDEX('Lớp 5 - Phân công'!$I$14:$I$262,T293+1):'Lớp 5 - Phân công'!$I$262,0)),IF(S294="Lớp 4",IF(S293&lt;&gt;"Lớp 4",MATCH(1,INDEX(('Lớp 4 - Danh mục'!$I$14:$I$132&lt;&gt;"")*(COUNTIF('Lớp 5 - Phân công'!$J$14:$J$262,'Lớp 4 - Danh mục'!$I$14:$I$132)=0),0),0),T293+MATCH(1,INDEX((INDEX('Lớp 4 - Danh mục'!$I$14:$I$132,T293+1):'Lớp 4 - Danh mục'!$I$132&lt;&gt;"")*(COUNTIF('Lớp 5 - Phân công'!$J$14:$J$262,INDEX('Lớp 4 - Danh mục'!$I$14:$I$132,T293+1):'Lớp 4 - Danh mục'!$I$132)=0),0),0)),IF(S293&lt;&gt;"Lớp 3",MATCH(1,INDEX(('Lớp 3 - Công việc chính'!$I$14:$I$73&lt;&gt;"")*(COUNTIF('Lớp 4 - Danh mục'!$J$14:$J$132,'Lớp 3 - Công việc chính'!$I$14:$I$73)=0),0),0),T293+MATCH(1,INDEX((INDEX('Lớp 3 - Công việc chính'!$I$14:$I$73,T293+1):'Lớp 3 - Công việc chính'!$I$73&lt;&gt;"")*(COUNTIF('Lớp 4 - Danh mục'!$J$14:$J$132,INDEX('Lớp 3 - Công việc chính'!$I$14:$I$73,T293+1):'Lớp 3 - Công việc chính'!$I$73)=0),0),0)))))</f>
        <v>#REF!</v>
      </c>
      <c r="Z294" s="700" t="str">
        <f t="array" ref="Z294">IF($S294="","",IF($S294="Lớp 5",INDEX('Lớp 5 - Phân công'!$AS$14:$AS$262,$T294),IF($S294="Lớp 4",INDEX('Lớp 4 - Danh mục'!$AR$14:$AR$132,$T294),INDEX('Lớp 3 - Công việc chính'!$AO$14:$AO$73,$T294))))</f>
        <v>#REF!</v>
      </c>
      <c r="AA294" s="701" t="str">
        <f t="array" ref="AA294">IF($S294="","",IF($S294="Lớp 5",INDEX('Lớp 5 - Phân công'!$AT$14:$AT$262,$T294),IF($S294="Lớp 4",INDEX('Lớp 4 - Danh mục'!$AS$14:$AS$132,$T294),INDEX('Lớp 3 - Công việc chính'!$AP$14:$AP$73,$T294))))</f>
        <v>#REF!</v>
      </c>
      <c r="AB294" s="701" t="str">
        <f t="array" ref="AB294">IF($S294="","",IF($S294="Lớp 5",INDEX('Lớp 5 - Phân công'!$AJ$14:$AJ$262,$T294),IF($S294="Lớp 4",INDEX('Lớp 4 - Danh mục'!$AI$14:$AI$132,$T294),INDEX('Lớp 3 - Công việc chính'!$AF$14:$AF$73,$T294))))</f>
        <v>#REF!</v>
      </c>
      <c r="AC294" s="702" t="str">
        <f t="array" ref="AC294">IF($S294="","",IF($S294="Lớp 5",INDEX('Lớp 5 - Phân công'!$AV$14:$AV$262,$T294),IF($S294="Lớp 4",INDEX('Lớp 4 - Danh mục'!$AU$14:$AU$132,$T294),INDEX('Lớp 3 - Công việc chính'!$AR$14:$AR$73,$T294))))</f>
        <v>#REF!</v>
      </c>
    </row>
    <row r="295" ht="15.75" customHeight="1">
      <c r="A295" s="690" t="str">
        <f t="shared" si="1"/>
        <v>#REF!</v>
      </c>
      <c r="B295" s="690" t="str">
        <f t="array" ref="B295">IF($S295="","",IF($S295="Lớp 5",INDEX('Lớp 5 - Phân công'!$I$14:$I$262,$T295),IF($S295="Lớp 4",INDEX('Lớp 4 - Danh mục'!$I$14:$I$132,$T295),INDEX('Lớp 3 - Công việc chính'!$I$14:$I$73,$T295))))</f>
        <v>#REF!</v>
      </c>
      <c r="C295" s="690" t="str">
        <f t="array" ref="C295">IF($S295="","",IF($S295="Lớp 5",INDEX('Lớp 5 - Phân công'!$K$14:$K$262,$T295),IF($S295="Lớp 4",INDEX('Lớp 4 - Danh mục'!$J$14:$J$132,$T295),INDEX('Lớp 3 - Công việc chính'!$I$14:$I$73,$T295))))</f>
        <v>#REF!</v>
      </c>
      <c r="D295" s="690" t="str">
        <f t="array" ref="D295">IF($S295="","",IF($S295="Lớp 5",INDEX('Lớp 5 - Phân công'!$J$14:$J$262,$T295),IF($S295="Lớp 4",INDEX('Lớp 4 - Danh mục'!$I$14:$I$132,$T295),"")))</f>
        <v>#REF!</v>
      </c>
      <c r="E295" s="690" t="str">
        <f t="array" ref="E295">IF($S295="","",IF($S295="Lớp 5",INDEX('Lớp 5 - Phân công'!$L$14:$L$262,$T295),IF($S295="Lớp 4",INDEX('Lớp 4 - Danh mục'!$K$14:$K$132,$T295),INDEX('Lớp 3 - Công việc chính'!$J$14:$J$73,$T295))))</f>
        <v>#REF!</v>
      </c>
      <c r="F295" s="690" t="str">
        <f t="array" ref="F295">IF($S295="","",IF($S295="Lớp 5",INDEX('Lớp 5 - Phân công'!$M$14:$M$262,$T295),IF($S295="Lớp 4",INDEX('Lớp 4 - Danh mục'!$L$14:$L$132,$T295),INDEX('Lớp 3 - Công việc chính'!$K$14:$K$73,$T295))))</f>
        <v>#REF!</v>
      </c>
      <c r="G295" s="691" t="str">
        <f t="array" ref="G295">IF($S295="","",IF($S295="Lớp 5",INDEX('Lớp 5 - Phân công'!$N$14:$N$262,$T295),IF($S295="Lớp 4",INDEX('Lớp 4 - Danh mục'!$M$14:$M$132,$T295),INDEX('Lớp 3 - Công việc chính'!$L$14:$L$73,$T295))))</f>
        <v>#REF!</v>
      </c>
      <c r="H295" s="692" t="str">
        <f t="array" ref="H295">IF($S295="","",IF($S295="Lớp 5",INDEX('Lớp 5 - Phân công'!$O$14:$O$262,$T295),IF($S295="Lớp 4",INDEX('Lớp 4 - Danh mục'!$N$14:$N$132,$T295),INDEX('Lớp 3 - Công việc chính'!$M$14:$M$73,$T295))))</f>
        <v>#REF!</v>
      </c>
      <c r="I295" s="692" t="str">
        <f t="array" ref="I295">IF($S295="","",IF($S295="Lớp 5",INDEX('Lớp 5 - Phân công'!$P$14:$P$262,$T295),IF($S295="Lớp 4",INDEX('Lớp 4 - Danh mục'!$O$14:$O$132,$T295),"")))</f>
        <v>#REF!</v>
      </c>
      <c r="J295" s="693" t="str">
        <f t="array" ref="J295">IF($S295="","",IF($S295="Lớp 5",INDEX('Lớp 5 - Phân công'!$Q$14:$Q$262,$T295),""))</f>
        <v>#REF!</v>
      </c>
      <c r="K295" s="690" t="str">
        <f t="array" ref="K295">IF($S295="","",IF($S295="Lớp 5",INDEX('Lớp 5 - Phân công'!$AA$14:$AA$262,$T295),IF($S295="Lớp 4",INDEX('Lớp 4 - Danh mục'!$Y$14:$Y$132,$T295),INDEX('Lớp 3 - Công việc chính'!$U$14:$U$73,$T295))))</f>
        <v>#REF!</v>
      </c>
      <c r="L295" s="691" t="str">
        <f t="array" ref="L295">IF($S295="","",IF($S295="Lớp 5",INDEX('Lớp 5 - Phân công'!$Z$14:$Z$262,$T295),IF($S295="Lớp 4",INDEX('Lớp 4 - Danh mục'!$X$14:$X$132,$T295),INDEX('Lớp 3 - Công việc chính'!$W$14:$W$73,$T295))))</f>
        <v>#REF!</v>
      </c>
      <c r="M295" s="694" t="str">
        <f t="array" ref="M295">IF($S295="","",IF($S295="Lớp 5",INDEX('Lớp 5 - Phân công'!$AD$14:$AD$262,$T295),IF($S295="Lớp 4",INDEX('Lớp 4 - Danh mục'!$AC$14:$AC$132,$T295),INDEX('Lớp 3 - Công việc chính'!$Z$14:$Z$73,$T295))))</f>
        <v>#REF!</v>
      </c>
      <c r="N295" s="695" t="str">
        <f t="array" ref="N295">IF($S295="","",IF($S295="Lớp 5",INDEX('Lớp 5 - Phân công'!$AE$14:$AE$262,$T295),IF($S295="Lớp 4",INDEX('Lớp 4 - Danh mục'!$AD$14:$AD$132,$T295),INDEX('Lớp 3 - Công việc chính'!$AA$14:$AA$73,$T295))))</f>
        <v>#REF!</v>
      </c>
      <c r="O295" s="690" t="str">
        <f t="array" ref="O295">IF($S295="","",IF($S295="Lớp 5",INDEX('Lớp 5 - Phân công'!$AB$14:$AB$262,$T295),IF($S295="Lớp 4",INDEX('Lớp 4 - Danh mục'!$AA$14:$AA$132,$T295),INDEX('Lớp 3 - Công việc chính'!$X$14:$X$73,$T295))))</f>
        <v>#REF!</v>
      </c>
      <c r="P295" s="703" t="str">
        <f t="array" ref="P295">IF($S295="","",IF($S295="Lớp 5",INDEX('Lớp 5 - Phân công'!$AC$14:$AC$262,$T295),IF($S295="Lớp 4",INDEX('Lớp 4 - Danh mục'!$AB$14:$AB$132,$T295),INDEX('Lớp 3 - Công việc chính'!$Y$14:$Y$73,$T295))))</f>
        <v>#REF!</v>
      </c>
      <c r="Q295" s="697" t="str">
        <f t="array" ref="Q295">IF($S295="","",IF($S295="Lớp 5",INDEX('Lớp 5 - Phân công'!$AG$14:$AG$262,$T295),IF($S295="Lớp 4",INDEX('Lớp 4 - Danh mục'!$AF$14:$AF$132,$T295),INDEX('Lớp 3 - Công việc chính'!$AC$14:$AC$73,$T295))))</f>
        <v>#REF!</v>
      </c>
      <c r="R295" s="698" t="str">
        <f t="array" ref="R295">IF($S295="","",IF($S295="Lớp 5",INDEX('Lớp 5 - Phân công'!$X$14:$X$262,$T295),IF($S295="Lớp 4",INDEX('Lớp 4 - Danh mục'!$V$14:$V$132,$T295),INDEX('Lớp 3 - Công việc chính'!$T$14:$T$73,$T295))))</f>
        <v>#REF!</v>
      </c>
      <c r="S295" s="699" t="str">
        <f>IF(ROWS($S$14:S295)&lt;=COUNTIF('Lớp 5 - Phân công'!$I$14:$I$262,"&lt;&gt;"),"Lớp 5",IF(ROWS($S$14:S295)&lt;=COUNTIF('Lớp 5 - Phân công'!$I$14:$I$262,"&lt;&gt;")+SUMPRODUCT(--('Lớp 4 - Danh mục'!$I$14:$I$132&lt;&gt;""),--(COUNTIF('Lớp 5 - Phân công'!$J$14:$J$262,'Lớp 4 - Danh mục'!$I$14:$I$132)=0)),"Lớp 4",IF(ROWS($S$14:S295)&lt;=COUNTIF('Lớp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5" s="699" t="str">
        <f t="array" ref="T295">IF(S295="","",IF(S295="Lớp 5",IF(S294&lt;&gt;"Lớp 5",MATCH("*",'Lớp 5 - Phân công'!$I$14:$I$262,0),T294+MATCH("*",INDEX('Lớp 5 - Phân công'!$I$14:$I$262,T294+1):'Lớp 5 - Phân công'!$I$262,0)),IF(S295="Lớp 4",IF(S294&lt;&gt;"Lớp 4",MATCH(1,INDEX(('Lớp 4 - Danh mục'!$I$14:$I$132&lt;&gt;"")*(COUNTIF('Lớp 5 - Phân công'!$J$14:$J$262,'Lớp 4 - Danh mục'!$I$14:$I$132)=0),0),0),T294+MATCH(1,INDEX((INDEX('Lớp 4 - Danh mục'!$I$14:$I$132,T294+1):'Lớp 4 - Danh mục'!$I$132&lt;&gt;"")*(COUNTIF('Lớp 5 - Phân công'!$J$14:$J$262,INDEX('Lớp 4 - Danh mục'!$I$14:$I$132,T294+1):'Lớp 4 - Danh mục'!$I$132)=0),0),0)),IF(S294&lt;&gt;"Lớp 3",MATCH(1,INDEX(('Lớp 3 - Công việc chính'!$I$14:$I$73&lt;&gt;"")*(COUNTIF('Lớp 4 - Danh mục'!$J$14:$J$132,'Lớp 3 - Công việc chính'!$I$14:$I$73)=0),0),0),T294+MATCH(1,INDEX((INDEX('Lớp 3 - Công việc chính'!$I$14:$I$73,T294+1):'Lớp 3 - Công việc chính'!$I$73&lt;&gt;"")*(COUNTIF('Lớp 4 - Danh mục'!$J$14:$J$132,INDEX('Lớp 3 - Công việc chính'!$I$14:$I$73,T294+1):'Lớp 3 - Công việc chính'!$I$73)=0),0),0)))))</f>
        <v>#REF!</v>
      </c>
      <c r="Z295" s="700" t="str">
        <f t="array" ref="Z295">IF($S295="","",IF($S295="Lớp 5",INDEX('Lớp 5 - Phân công'!$AS$14:$AS$262,$T295),IF($S295="Lớp 4",INDEX('Lớp 4 - Danh mục'!$AR$14:$AR$132,$T295),INDEX('Lớp 3 - Công việc chính'!$AO$14:$AO$73,$T295))))</f>
        <v>#REF!</v>
      </c>
      <c r="AA295" s="701" t="str">
        <f t="array" ref="AA295">IF($S295="","",IF($S295="Lớp 5",INDEX('Lớp 5 - Phân công'!$AT$14:$AT$262,$T295),IF($S295="Lớp 4",INDEX('Lớp 4 - Danh mục'!$AS$14:$AS$132,$T295),INDEX('Lớp 3 - Công việc chính'!$AP$14:$AP$73,$T295))))</f>
        <v>#REF!</v>
      </c>
      <c r="AB295" s="701" t="str">
        <f t="array" ref="AB295">IF($S295="","",IF($S295="Lớp 5",INDEX('Lớp 5 - Phân công'!$AJ$14:$AJ$262,$T295),IF($S295="Lớp 4",INDEX('Lớp 4 - Danh mục'!$AI$14:$AI$132,$T295),INDEX('Lớp 3 - Công việc chính'!$AF$14:$AF$73,$T295))))</f>
        <v>#REF!</v>
      </c>
      <c r="AC295" s="702" t="str">
        <f t="array" ref="AC295">IF($S295="","",IF($S295="Lớp 5",INDEX('Lớp 5 - Phân công'!$AV$14:$AV$262,$T295),IF($S295="Lớp 4",INDEX('Lớp 4 - Danh mục'!$AU$14:$AU$132,$T295),INDEX('Lớp 3 - Công việc chính'!$AR$14:$AR$73,$T295))))</f>
        <v>#REF!</v>
      </c>
    </row>
    <row r="296" ht="15.75" customHeight="1">
      <c r="A296" s="690" t="str">
        <f t="shared" si="1"/>
        <v>#REF!</v>
      </c>
      <c r="B296" s="690" t="str">
        <f t="array" ref="B296">IF($S296="","",IF($S296="Lớp 5",INDEX('Lớp 5 - Phân công'!$I$14:$I$262,$T296),IF($S296="Lớp 4",INDEX('Lớp 4 - Danh mục'!$I$14:$I$132,$T296),INDEX('Lớp 3 - Công việc chính'!$I$14:$I$73,$T296))))</f>
        <v>#REF!</v>
      </c>
      <c r="C296" s="690" t="str">
        <f t="array" ref="C296">IF($S296="","",IF($S296="Lớp 5",INDEX('Lớp 5 - Phân công'!$K$14:$K$262,$T296),IF($S296="Lớp 4",INDEX('Lớp 4 - Danh mục'!$J$14:$J$132,$T296),INDEX('Lớp 3 - Công việc chính'!$I$14:$I$73,$T296))))</f>
        <v>#REF!</v>
      </c>
      <c r="D296" s="690" t="str">
        <f t="array" ref="D296">IF($S296="","",IF($S296="Lớp 5",INDEX('Lớp 5 - Phân công'!$J$14:$J$262,$T296),IF($S296="Lớp 4",INDEX('Lớp 4 - Danh mục'!$I$14:$I$132,$T296),"")))</f>
        <v>#REF!</v>
      </c>
      <c r="E296" s="690" t="str">
        <f t="array" ref="E296">IF($S296="","",IF($S296="Lớp 5",INDEX('Lớp 5 - Phân công'!$L$14:$L$262,$T296),IF($S296="Lớp 4",INDEX('Lớp 4 - Danh mục'!$K$14:$K$132,$T296),INDEX('Lớp 3 - Công việc chính'!$J$14:$J$73,$T296))))</f>
        <v>#REF!</v>
      </c>
      <c r="F296" s="690" t="str">
        <f t="array" ref="F296">IF($S296="","",IF($S296="Lớp 5",INDEX('Lớp 5 - Phân công'!$M$14:$M$262,$T296),IF($S296="Lớp 4",INDEX('Lớp 4 - Danh mục'!$L$14:$L$132,$T296),INDEX('Lớp 3 - Công việc chính'!$K$14:$K$73,$T296))))</f>
        <v>#REF!</v>
      </c>
      <c r="G296" s="691" t="str">
        <f t="array" ref="G296">IF($S296="","",IF($S296="Lớp 5",INDEX('Lớp 5 - Phân công'!$N$14:$N$262,$T296),IF($S296="Lớp 4",INDEX('Lớp 4 - Danh mục'!$M$14:$M$132,$T296),INDEX('Lớp 3 - Công việc chính'!$L$14:$L$73,$T296))))</f>
        <v>#REF!</v>
      </c>
      <c r="H296" s="692" t="str">
        <f t="array" ref="H296">IF($S296="","",IF($S296="Lớp 5",INDEX('Lớp 5 - Phân công'!$O$14:$O$262,$T296),IF($S296="Lớp 4",INDEX('Lớp 4 - Danh mục'!$N$14:$N$132,$T296),INDEX('Lớp 3 - Công việc chính'!$M$14:$M$73,$T296))))</f>
        <v>#REF!</v>
      </c>
      <c r="I296" s="692" t="str">
        <f t="array" ref="I296">IF($S296="","",IF($S296="Lớp 5",INDEX('Lớp 5 - Phân công'!$P$14:$P$262,$T296),IF($S296="Lớp 4",INDEX('Lớp 4 - Danh mục'!$O$14:$O$132,$T296),"")))</f>
        <v>#REF!</v>
      </c>
      <c r="J296" s="693" t="str">
        <f t="array" ref="J296">IF($S296="","",IF($S296="Lớp 5",INDEX('Lớp 5 - Phân công'!$Q$14:$Q$262,$T296),""))</f>
        <v>#REF!</v>
      </c>
      <c r="K296" s="690" t="str">
        <f t="array" ref="K296">IF($S296="","",IF($S296="Lớp 5",INDEX('Lớp 5 - Phân công'!$AA$14:$AA$262,$T296),IF($S296="Lớp 4",INDEX('Lớp 4 - Danh mục'!$Y$14:$Y$132,$T296),INDEX('Lớp 3 - Công việc chính'!$U$14:$U$73,$T296))))</f>
        <v>#REF!</v>
      </c>
      <c r="L296" s="691" t="str">
        <f t="array" ref="L296">IF($S296="","",IF($S296="Lớp 5",INDEX('Lớp 5 - Phân công'!$Z$14:$Z$262,$T296),IF($S296="Lớp 4",INDEX('Lớp 4 - Danh mục'!$X$14:$X$132,$T296),INDEX('Lớp 3 - Công việc chính'!$W$14:$W$73,$T296))))</f>
        <v>#REF!</v>
      </c>
      <c r="M296" s="694" t="str">
        <f t="array" ref="M296">IF($S296="","",IF($S296="Lớp 5",INDEX('Lớp 5 - Phân công'!$AD$14:$AD$262,$T296),IF($S296="Lớp 4",INDEX('Lớp 4 - Danh mục'!$AC$14:$AC$132,$T296),INDEX('Lớp 3 - Công việc chính'!$Z$14:$Z$73,$T296))))</f>
        <v>#REF!</v>
      </c>
      <c r="N296" s="695" t="str">
        <f t="array" ref="N296">IF($S296="","",IF($S296="Lớp 5",INDEX('Lớp 5 - Phân công'!$AE$14:$AE$262,$T296),IF($S296="Lớp 4",INDEX('Lớp 4 - Danh mục'!$AD$14:$AD$132,$T296),INDEX('Lớp 3 - Công việc chính'!$AA$14:$AA$73,$T296))))</f>
        <v>#REF!</v>
      </c>
      <c r="O296" s="690" t="str">
        <f t="array" ref="O296">IF($S296="","",IF($S296="Lớp 5",INDEX('Lớp 5 - Phân công'!$AB$14:$AB$262,$T296),IF($S296="Lớp 4",INDEX('Lớp 4 - Danh mục'!$AA$14:$AA$132,$T296),INDEX('Lớp 3 - Công việc chính'!$X$14:$X$73,$T296))))</f>
        <v>#REF!</v>
      </c>
      <c r="P296" s="703" t="str">
        <f t="array" ref="P296">IF($S296="","",IF($S296="Lớp 5",INDEX('Lớp 5 - Phân công'!$AC$14:$AC$262,$T296),IF($S296="Lớp 4",INDEX('Lớp 4 - Danh mục'!$AB$14:$AB$132,$T296),INDEX('Lớp 3 - Công việc chính'!$Y$14:$Y$73,$T296))))</f>
        <v>#REF!</v>
      </c>
      <c r="Q296" s="697" t="str">
        <f t="array" ref="Q296">IF($S296="","",IF($S296="Lớp 5",INDEX('Lớp 5 - Phân công'!$AG$14:$AG$262,$T296),IF($S296="Lớp 4",INDEX('Lớp 4 - Danh mục'!$AF$14:$AF$132,$T296),INDEX('Lớp 3 - Công việc chính'!$AC$14:$AC$73,$T296))))</f>
        <v>#REF!</v>
      </c>
      <c r="R296" s="698" t="str">
        <f t="array" ref="R296">IF($S296="","",IF($S296="Lớp 5",INDEX('Lớp 5 - Phân công'!$X$14:$X$262,$T296),IF($S296="Lớp 4",INDEX('Lớp 4 - Danh mục'!$V$14:$V$132,$T296),INDEX('Lớp 3 - Công việc chính'!$T$14:$T$73,$T296))))</f>
        <v>#REF!</v>
      </c>
      <c r="S296" s="699" t="str">
        <f>IF(ROWS($S$14:S296)&lt;=COUNTIF('Lớp 5 - Phân công'!$I$14:$I$262,"&lt;&gt;"),"Lớp 5",IF(ROWS($S$14:S296)&lt;=COUNTIF('Lớp 5 - Phân công'!$I$14:$I$262,"&lt;&gt;")+SUMPRODUCT(--('Lớp 4 - Danh mục'!$I$14:$I$132&lt;&gt;""),--(COUNTIF('Lớp 5 - Phân công'!$J$14:$J$262,'Lớp 4 - Danh mục'!$I$14:$I$132)=0)),"Lớp 4",IF(ROWS($S$14:S296)&lt;=COUNTIF('Lớp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6" s="699" t="str">
        <f t="array" ref="T296">IF(S296="","",IF(S296="Lớp 5",IF(S295&lt;&gt;"Lớp 5",MATCH("*",'Lớp 5 - Phân công'!$I$14:$I$262,0),T295+MATCH("*",INDEX('Lớp 5 - Phân công'!$I$14:$I$262,T295+1):'Lớp 5 - Phân công'!$I$262,0)),IF(S296="Lớp 4",IF(S295&lt;&gt;"Lớp 4",MATCH(1,INDEX(('Lớp 4 - Danh mục'!$I$14:$I$132&lt;&gt;"")*(COUNTIF('Lớp 5 - Phân công'!$J$14:$J$262,'Lớp 4 - Danh mục'!$I$14:$I$132)=0),0),0),T295+MATCH(1,INDEX((INDEX('Lớp 4 - Danh mục'!$I$14:$I$132,T295+1):'Lớp 4 - Danh mục'!$I$132&lt;&gt;"")*(COUNTIF('Lớp 5 - Phân công'!$J$14:$J$262,INDEX('Lớp 4 - Danh mục'!$I$14:$I$132,T295+1):'Lớp 4 - Danh mục'!$I$132)=0),0),0)),IF(S295&lt;&gt;"Lớp 3",MATCH(1,INDEX(('Lớp 3 - Công việc chính'!$I$14:$I$73&lt;&gt;"")*(COUNTIF('Lớp 4 - Danh mục'!$J$14:$J$132,'Lớp 3 - Công việc chính'!$I$14:$I$73)=0),0),0),T295+MATCH(1,INDEX((INDEX('Lớp 3 - Công việc chính'!$I$14:$I$73,T295+1):'Lớp 3 - Công việc chính'!$I$73&lt;&gt;"")*(COUNTIF('Lớp 4 - Danh mục'!$J$14:$J$132,INDEX('Lớp 3 - Công việc chính'!$I$14:$I$73,T295+1):'Lớp 3 - Công việc chính'!$I$73)=0),0),0)))))</f>
        <v>#REF!</v>
      </c>
      <c r="Z296" s="700" t="str">
        <f t="array" ref="Z296">IF($S296="","",IF($S296="Lớp 5",INDEX('Lớp 5 - Phân công'!$AS$14:$AS$262,$T296),IF($S296="Lớp 4",INDEX('Lớp 4 - Danh mục'!$AR$14:$AR$132,$T296),INDEX('Lớp 3 - Công việc chính'!$AO$14:$AO$73,$T296))))</f>
        <v>#REF!</v>
      </c>
      <c r="AA296" s="701" t="str">
        <f t="array" ref="AA296">IF($S296="","",IF($S296="Lớp 5",INDEX('Lớp 5 - Phân công'!$AT$14:$AT$262,$T296),IF($S296="Lớp 4",INDEX('Lớp 4 - Danh mục'!$AS$14:$AS$132,$T296),INDEX('Lớp 3 - Công việc chính'!$AP$14:$AP$73,$T296))))</f>
        <v>#REF!</v>
      </c>
      <c r="AB296" s="701" t="str">
        <f t="array" ref="AB296">IF($S296="","",IF($S296="Lớp 5",INDEX('Lớp 5 - Phân công'!$AJ$14:$AJ$262,$T296),IF($S296="Lớp 4",INDEX('Lớp 4 - Danh mục'!$AI$14:$AI$132,$T296),INDEX('Lớp 3 - Công việc chính'!$AF$14:$AF$73,$T296))))</f>
        <v>#REF!</v>
      </c>
      <c r="AC296" s="702" t="str">
        <f t="array" ref="AC296">IF($S296="","",IF($S296="Lớp 5",INDEX('Lớp 5 - Phân công'!$AV$14:$AV$262,$T296),IF($S296="Lớp 4",INDEX('Lớp 4 - Danh mục'!$AU$14:$AU$132,$T296),INDEX('Lớp 3 - Công việc chính'!$AR$14:$AR$73,$T296))))</f>
        <v>#REF!</v>
      </c>
    </row>
    <row r="297" ht="15.75" customHeight="1">
      <c r="A297" s="690" t="str">
        <f t="shared" si="1"/>
        <v>#REF!</v>
      </c>
      <c r="B297" s="690" t="str">
        <f t="array" ref="B297">IF($S297="","",IF($S297="Lớp 5",INDEX('Lớp 5 - Phân công'!$I$14:$I$262,$T297),IF($S297="Lớp 4",INDEX('Lớp 4 - Danh mục'!$I$14:$I$132,$T297),INDEX('Lớp 3 - Công việc chính'!$I$14:$I$73,$T297))))</f>
        <v>#REF!</v>
      </c>
      <c r="C297" s="690" t="str">
        <f t="array" ref="C297">IF($S297="","",IF($S297="Lớp 5",INDEX('Lớp 5 - Phân công'!$K$14:$K$262,$T297),IF($S297="Lớp 4",INDEX('Lớp 4 - Danh mục'!$J$14:$J$132,$T297),INDEX('Lớp 3 - Công việc chính'!$I$14:$I$73,$T297))))</f>
        <v>#REF!</v>
      </c>
      <c r="D297" s="690" t="str">
        <f t="array" ref="D297">IF($S297="","",IF($S297="Lớp 5",INDEX('Lớp 5 - Phân công'!$J$14:$J$262,$T297),IF($S297="Lớp 4",INDEX('Lớp 4 - Danh mục'!$I$14:$I$132,$T297),"")))</f>
        <v>#REF!</v>
      </c>
      <c r="E297" s="690" t="str">
        <f t="array" ref="E297">IF($S297="","",IF($S297="Lớp 5",INDEX('Lớp 5 - Phân công'!$L$14:$L$262,$T297),IF($S297="Lớp 4",INDEX('Lớp 4 - Danh mục'!$K$14:$K$132,$T297),INDEX('Lớp 3 - Công việc chính'!$J$14:$J$73,$T297))))</f>
        <v>#REF!</v>
      </c>
      <c r="F297" s="690" t="str">
        <f t="array" ref="F297">IF($S297="","",IF($S297="Lớp 5",INDEX('Lớp 5 - Phân công'!$M$14:$M$262,$T297),IF($S297="Lớp 4",INDEX('Lớp 4 - Danh mục'!$L$14:$L$132,$T297),INDEX('Lớp 3 - Công việc chính'!$K$14:$K$73,$T297))))</f>
        <v>#REF!</v>
      </c>
      <c r="G297" s="691" t="str">
        <f t="array" ref="G297">IF($S297="","",IF($S297="Lớp 5",INDEX('Lớp 5 - Phân công'!$N$14:$N$262,$T297),IF($S297="Lớp 4",INDEX('Lớp 4 - Danh mục'!$M$14:$M$132,$T297),INDEX('Lớp 3 - Công việc chính'!$L$14:$L$73,$T297))))</f>
        <v>#REF!</v>
      </c>
      <c r="H297" s="692" t="str">
        <f t="array" ref="H297">IF($S297="","",IF($S297="Lớp 5",INDEX('Lớp 5 - Phân công'!$O$14:$O$262,$T297),IF($S297="Lớp 4",INDEX('Lớp 4 - Danh mục'!$N$14:$N$132,$T297),INDEX('Lớp 3 - Công việc chính'!$M$14:$M$73,$T297))))</f>
        <v>#REF!</v>
      </c>
      <c r="I297" s="692" t="str">
        <f t="array" ref="I297">IF($S297="","",IF($S297="Lớp 5",INDEX('Lớp 5 - Phân công'!$P$14:$P$262,$T297),IF($S297="Lớp 4",INDEX('Lớp 4 - Danh mục'!$O$14:$O$132,$T297),"")))</f>
        <v>#REF!</v>
      </c>
      <c r="J297" s="693" t="str">
        <f t="array" ref="J297">IF($S297="","",IF($S297="Lớp 5",INDEX('Lớp 5 - Phân công'!$Q$14:$Q$262,$T297),""))</f>
        <v>#REF!</v>
      </c>
      <c r="K297" s="690" t="str">
        <f t="array" ref="K297">IF($S297="","",IF($S297="Lớp 5",INDEX('Lớp 5 - Phân công'!$AA$14:$AA$262,$T297),IF($S297="Lớp 4",INDEX('Lớp 4 - Danh mục'!$Y$14:$Y$132,$T297),INDEX('Lớp 3 - Công việc chính'!$U$14:$U$73,$T297))))</f>
        <v>#REF!</v>
      </c>
      <c r="L297" s="691" t="str">
        <f t="array" ref="L297">IF($S297="","",IF($S297="Lớp 5",INDEX('Lớp 5 - Phân công'!$Z$14:$Z$262,$T297),IF($S297="Lớp 4",INDEX('Lớp 4 - Danh mục'!$X$14:$X$132,$T297),INDEX('Lớp 3 - Công việc chính'!$W$14:$W$73,$T297))))</f>
        <v>#REF!</v>
      </c>
      <c r="M297" s="694" t="str">
        <f t="array" ref="M297">IF($S297="","",IF($S297="Lớp 5",INDEX('Lớp 5 - Phân công'!$AD$14:$AD$262,$T297),IF($S297="Lớp 4",INDEX('Lớp 4 - Danh mục'!$AC$14:$AC$132,$T297),INDEX('Lớp 3 - Công việc chính'!$Z$14:$Z$73,$T297))))</f>
        <v>#REF!</v>
      </c>
      <c r="N297" s="695" t="str">
        <f t="array" ref="N297">IF($S297="","",IF($S297="Lớp 5",INDEX('Lớp 5 - Phân công'!$AE$14:$AE$262,$T297),IF($S297="Lớp 4",INDEX('Lớp 4 - Danh mục'!$AD$14:$AD$132,$T297),INDEX('Lớp 3 - Công việc chính'!$AA$14:$AA$73,$T297))))</f>
        <v>#REF!</v>
      </c>
      <c r="O297" s="690" t="str">
        <f t="array" ref="O297">IF($S297="","",IF($S297="Lớp 5",INDEX('Lớp 5 - Phân công'!$AB$14:$AB$262,$T297),IF($S297="Lớp 4",INDEX('Lớp 4 - Danh mục'!$AA$14:$AA$132,$T297),INDEX('Lớp 3 - Công việc chính'!$X$14:$X$73,$T297))))</f>
        <v>#REF!</v>
      </c>
      <c r="P297" s="703" t="str">
        <f t="array" ref="P297">IF($S297="","",IF($S297="Lớp 5",INDEX('Lớp 5 - Phân công'!$AC$14:$AC$262,$T297),IF($S297="Lớp 4",INDEX('Lớp 4 - Danh mục'!$AB$14:$AB$132,$T297),INDEX('Lớp 3 - Công việc chính'!$Y$14:$Y$73,$T297))))</f>
        <v>#REF!</v>
      </c>
      <c r="Q297" s="697" t="str">
        <f t="array" ref="Q297">IF($S297="","",IF($S297="Lớp 5",INDEX('Lớp 5 - Phân công'!$AG$14:$AG$262,$T297),IF($S297="Lớp 4",INDEX('Lớp 4 - Danh mục'!$AF$14:$AF$132,$T297),INDEX('Lớp 3 - Công việc chính'!$AC$14:$AC$73,$T297))))</f>
        <v>#REF!</v>
      </c>
      <c r="R297" s="698" t="str">
        <f t="array" ref="R297">IF($S297="","",IF($S297="Lớp 5",INDEX('Lớp 5 - Phân công'!$X$14:$X$262,$T297),IF($S297="Lớp 4",INDEX('Lớp 4 - Danh mục'!$V$14:$V$132,$T297),INDEX('Lớp 3 - Công việc chính'!$T$14:$T$73,$T297))))</f>
        <v>#REF!</v>
      </c>
      <c r="S297" s="699" t="str">
        <f>IF(ROWS($S$14:S297)&lt;=COUNTIF('Lớp 5 - Phân công'!$I$14:$I$262,"&lt;&gt;"),"Lớp 5",IF(ROWS($S$14:S297)&lt;=COUNTIF('Lớp 5 - Phân công'!$I$14:$I$262,"&lt;&gt;")+SUMPRODUCT(--('Lớp 4 - Danh mục'!$I$14:$I$132&lt;&gt;""),--(COUNTIF('Lớp 5 - Phân công'!$J$14:$J$262,'Lớp 4 - Danh mục'!$I$14:$I$132)=0)),"Lớp 4",IF(ROWS($S$14:S297)&lt;=COUNTIF('Lớp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7" s="699" t="str">
        <f t="array" ref="T297">IF(S297="","",IF(S297="Lớp 5",IF(S296&lt;&gt;"Lớp 5",MATCH("*",'Lớp 5 - Phân công'!$I$14:$I$262,0),T296+MATCH("*",INDEX('Lớp 5 - Phân công'!$I$14:$I$262,T296+1):'Lớp 5 - Phân công'!$I$262,0)),IF(S297="Lớp 4",IF(S296&lt;&gt;"Lớp 4",MATCH(1,INDEX(('Lớp 4 - Danh mục'!$I$14:$I$132&lt;&gt;"")*(COUNTIF('Lớp 5 - Phân công'!$J$14:$J$262,'Lớp 4 - Danh mục'!$I$14:$I$132)=0),0),0),T296+MATCH(1,INDEX((INDEX('Lớp 4 - Danh mục'!$I$14:$I$132,T296+1):'Lớp 4 - Danh mục'!$I$132&lt;&gt;"")*(COUNTIF('Lớp 5 - Phân công'!$J$14:$J$262,INDEX('Lớp 4 - Danh mục'!$I$14:$I$132,T296+1):'Lớp 4 - Danh mục'!$I$132)=0),0),0)),IF(S296&lt;&gt;"Lớp 3",MATCH(1,INDEX(('Lớp 3 - Công việc chính'!$I$14:$I$73&lt;&gt;"")*(COUNTIF('Lớp 4 - Danh mục'!$J$14:$J$132,'Lớp 3 - Công việc chính'!$I$14:$I$73)=0),0),0),T296+MATCH(1,INDEX((INDEX('Lớp 3 - Công việc chính'!$I$14:$I$73,T296+1):'Lớp 3 - Công việc chính'!$I$73&lt;&gt;"")*(COUNTIF('Lớp 4 - Danh mục'!$J$14:$J$132,INDEX('Lớp 3 - Công việc chính'!$I$14:$I$73,T296+1):'Lớp 3 - Công việc chính'!$I$73)=0),0),0)))))</f>
        <v>#REF!</v>
      </c>
      <c r="Z297" s="700" t="str">
        <f t="array" ref="Z297">IF($S297="","",IF($S297="Lớp 5",INDEX('Lớp 5 - Phân công'!$AS$14:$AS$262,$T297),IF($S297="Lớp 4",INDEX('Lớp 4 - Danh mục'!$AR$14:$AR$132,$T297),INDEX('Lớp 3 - Công việc chính'!$AO$14:$AO$73,$T297))))</f>
        <v>#REF!</v>
      </c>
      <c r="AA297" s="701" t="str">
        <f t="array" ref="AA297">IF($S297="","",IF($S297="Lớp 5",INDEX('Lớp 5 - Phân công'!$AT$14:$AT$262,$T297),IF($S297="Lớp 4",INDEX('Lớp 4 - Danh mục'!$AS$14:$AS$132,$T297),INDEX('Lớp 3 - Công việc chính'!$AP$14:$AP$73,$T297))))</f>
        <v>#REF!</v>
      </c>
      <c r="AB297" s="701" t="str">
        <f t="array" ref="AB297">IF($S297="","",IF($S297="Lớp 5",INDEX('Lớp 5 - Phân công'!$AJ$14:$AJ$262,$T297),IF($S297="Lớp 4",INDEX('Lớp 4 - Danh mục'!$AI$14:$AI$132,$T297),INDEX('Lớp 3 - Công việc chính'!$AF$14:$AF$73,$T297))))</f>
        <v>#REF!</v>
      </c>
      <c r="AC297" s="702" t="str">
        <f t="array" ref="AC297">IF($S297="","",IF($S297="Lớp 5",INDEX('Lớp 5 - Phân công'!$AV$14:$AV$262,$T297),IF($S297="Lớp 4",INDEX('Lớp 4 - Danh mục'!$AU$14:$AU$132,$T297),INDEX('Lớp 3 - Công việc chính'!$AR$14:$AR$73,$T297))))</f>
        <v>#REF!</v>
      </c>
    </row>
    <row r="298" ht="15.75" customHeight="1">
      <c r="A298" s="690" t="str">
        <f t="shared" si="1"/>
        <v>#REF!</v>
      </c>
      <c r="B298" s="690" t="str">
        <f t="array" ref="B298">IF($S298="","",IF($S298="Lớp 5",INDEX('Lớp 5 - Phân công'!$I$14:$I$262,$T298),IF($S298="Lớp 4",INDEX('Lớp 4 - Danh mục'!$I$14:$I$132,$T298),INDEX('Lớp 3 - Công việc chính'!$I$14:$I$73,$T298))))</f>
        <v>#REF!</v>
      </c>
      <c r="C298" s="690" t="str">
        <f t="array" ref="C298">IF($S298="","",IF($S298="Lớp 5",INDEX('Lớp 5 - Phân công'!$K$14:$K$262,$T298),IF($S298="Lớp 4",INDEX('Lớp 4 - Danh mục'!$J$14:$J$132,$T298),INDEX('Lớp 3 - Công việc chính'!$I$14:$I$73,$T298))))</f>
        <v>#REF!</v>
      </c>
      <c r="D298" s="690" t="str">
        <f t="array" ref="D298">IF($S298="","",IF($S298="Lớp 5",INDEX('Lớp 5 - Phân công'!$J$14:$J$262,$T298),IF($S298="Lớp 4",INDEX('Lớp 4 - Danh mục'!$I$14:$I$132,$T298),"")))</f>
        <v>#REF!</v>
      </c>
      <c r="E298" s="690" t="str">
        <f t="array" ref="E298">IF($S298="","",IF($S298="Lớp 5",INDEX('Lớp 5 - Phân công'!$L$14:$L$262,$T298),IF($S298="Lớp 4",INDEX('Lớp 4 - Danh mục'!$K$14:$K$132,$T298),INDEX('Lớp 3 - Công việc chính'!$J$14:$J$73,$T298))))</f>
        <v>#REF!</v>
      </c>
      <c r="F298" s="690" t="str">
        <f t="array" ref="F298">IF($S298="","",IF($S298="Lớp 5",INDEX('Lớp 5 - Phân công'!$M$14:$M$262,$T298),IF($S298="Lớp 4",INDEX('Lớp 4 - Danh mục'!$L$14:$L$132,$T298),INDEX('Lớp 3 - Công việc chính'!$K$14:$K$73,$T298))))</f>
        <v>#REF!</v>
      </c>
      <c r="G298" s="691" t="str">
        <f t="array" ref="G298">IF($S298="","",IF($S298="Lớp 5",INDEX('Lớp 5 - Phân công'!$N$14:$N$262,$T298),IF($S298="Lớp 4",INDEX('Lớp 4 - Danh mục'!$M$14:$M$132,$T298),INDEX('Lớp 3 - Công việc chính'!$L$14:$L$73,$T298))))</f>
        <v>#REF!</v>
      </c>
      <c r="H298" s="692" t="str">
        <f t="array" ref="H298">IF($S298="","",IF($S298="Lớp 5",INDEX('Lớp 5 - Phân công'!$O$14:$O$262,$T298),IF($S298="Lớp 4",INDEX('Lớp 4 - Danh mục'!$N$14:$N$132,$T298),INDEX('Lớp 3 - Công việc chính'!$M$14:$M$73,$T298))))</f>
        <v>#REF!</v>
      </c>
      <c r="I298" s="692" t="str">
        <f t="array" ref="I298">IF($S298="","",IF($S298="Lớp 5",INDEX('Lớp 5 - Phân công'!$P$14:$P$262,$T298),IF($S298="Lớp 4",INDEX('Lớp 4 - Danh mục'!$O$14:$O$132,$T298),"")))</f>
        <v>#REF!</v>
      </c>
      <c r="J298" s="693" t="str">
        <f t="array" ref="J298">IF($S298="","",IF($S298="Lớp 5",INDEX('Lớp 5 - Phân công'!$Q$14:$Q$262,$T298),""))</f>
        <v>#REF!</v>
      </c>
      <c r="K298" s="690" t="str">
        <f t="array" ref="K298">IF($S298="","",IF($S298="Lớp 5",INDEX('Lớp 5 - Phân công'!$AA$14:$AA$262,$T298),IF($S298="Lớp 4",INDEX('Lớp 4 - Danh mục'!$Y$14:$Y$132,$T298),INDEX('Lớp 3 - Công việc chính'!$U$14:$U$73,$T298))))</f>
        <v>#REF!</v>
      </c>
      <c r="L298" s="691" t="str">
        <f t="array" ref="L298">IF($S298="","",IF($S298="Lớp 5",INDEX('Lớp 5 - Phân công'!$Z$14:$Z$262,$T298),IF($S298="Lớp 4",INDEX('Lớp 4 - Danh mục'!$X$14:$X$132,$T298),INDEX('Lớp 3 - Công việc chính'!$W$14:$W$73,$T298))))</f>
        <v>#REF!</v>
      </c>
      <c r="M298" s="694" t="str">
        <f t="array" ref="M298">IF($S298="","",IF($S298="Lớp 5",INDEX('Lớp 5 - Phân công'!$AD$14:$AD$262,$T298),IF($S298="Lớp 4",INDEX('Lớp 4 - Danh mục'!$AC$14:$AC$132,$T298),INDEX('Lớp 3 - Công việc chính'!$Z$14:$Z$73,$T298))))</f>
        <v>#REF!</v>
      </c>
      <c r="N298" s="695" t="str">
        <f t="array" ref="N298">IF($S298="","",IF($S298="Lớp 5",INDEX('Lớp 5 - Phân công'!$AE$14:$AE$262,$T298),IF($S298="Lớp 4",INDEX('Lớp 4 - Danh mục'!$AD$14:$AD$132,$T298),INDEX('Lớp 3 - Công việc chính'!$AA$14:$AA$73,$T298))))</f>
        <v>#REF!</v>
      </c>
      <c r="O298" s="690" t="str">
        <f t="array" ref="O298">IF($S298="","",IF($S298="Lớp 5",INDEX('Lớp 5 - Phân công'!$AB$14:$AB$262,$T298),IF($S298="Lớp 4",INDEX('Lớp 4 - Danh mục'!$AA$14:$AA$132,$T298),INDEX('Lớp 3 - Công việc chính'!$X$14:$X$73,$T298))))</f>
        <v>#REF!</v>
      </c>
      <c r="P298" s="703" t="str">
        <f t="array" ref="P298">IF($S298="","",IF($S298="Lớp 5",INDEX('Lớp 5 - Phân công'!$AC$14:$AC$262,$T298),IF($S298="Lớp 4",INDEX('Lớp 4 - Danh mục'!$AB$14:$AB$132,$T298),INDEX('Lớp 3 - Công việc chính'!$Y$14:$Y$73,$T298))))</f>
        <v>#REF!</v>
      </c>
      <c r="Q298" s="697" t="str">
        <f t="array" ref="Q298">IF($S298="","",IF($S298="Lớp 5",INDEX('Lớp 5 - Phân công'!$AG$14:$AG$262,$T298),IF($S298="Lớp 4",INDEX('Lớp 4 - Danh mục'!$AF$14:$AF$132,$T298),INDEX('Lớp 3 - Công việc chính'!$AC$14:$AC$73,$T298))))</f>
        <v>#REF!</v>
      </c>
      <c r="R298" s="698" t="str">
        <f t="array" ref="R298">IF($S298="","",IF($S298="Lớp 5",INDEX('Lớp 5 - Phân công'!$X$14:$X$262,$T298),IF($S298="Lớp 4",INDEX('Lớp 4 - Danh mục'!$V$14:$V$132,$T298),INDEX('Lớp 3 - Công việc chính'!$T$14:$T$73,$T298))))</f>
        <v>#REF!</v>
      </c>
      <c r="S298" s="699" t="str">
        <f>IF(ROWS($S$14:S298)&lt;=COUNTIF('Lớp 5 - Phân công'!$I$14:$I$262,"&lt;&gt;"),"Lớp 5",IF(ROWS($S$14:S298)&lt;=COUNTIF('Lớp 5 - Phân công'!$I$14:$I$262,"&lt;&gt;")+SUMPRODUCT(--('Lớp 4 - Danh mục'!$I$14:$I$132&lt;&gt;""),--(COUNTIF('Lớp 5 - Phân công'!$J$14:$J$262,'Lớp 4 - Danh mục'!$I$14:$I$132)=0)),"Lớp 4",IF(ROWS($S$14:S298)&lt;=COUNTIF('Lớp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8" s="699" t="str">
        <f t="array" ref="T298">IF(S298="","",IF(S298="Lớp 5",IF(S297&lt;&gt;"Lớp 5",MATCH("*",'Lớp 5 - Phân công'!$I$14:$I$262,0),T297+MATCH("*",INDEX('Lớp 5 - Phân công'!$I$14:$I$262,T297+1):'Lớp 5 - Phân công'!$I$262,0)),IF(S298="Lớp 4",IF(S297&lt;&gt;"Lớp 4",MATCH(1,INDEX(('Lớp 4 - Danh mục'!$I$14:$I$132&lt;&gt;"")*(COUNTIF('Lớp 5 - Phân công'!$J$14:$J$262,'Lớp 4 - Danh mục'!$I$14:$I$132)=0),0),0),T297+MATCH(1,INDEX((INDEX('Lớp 4 - Danh mục'!$I$14:$I$132,T297+1):'Lớp 4 - Danh mục'!$I$132&lt;&gt;"")*(COUNTIF('Lớp 5 - Phân công'!$J$14:$J$262,INDEX('Lớp 4 - Danh mục'!$I$14:$I$132,T297+1):'Lớp 4 - Danh mục'!$I$132)=0),0),0)),IF(S297&lt;&gt;"Lớp 3",MATCH(1,INDEX(('Lớp 3 - Công việc chính'!$I$14:$I$73&lt;&gt;"")*(COUNTIF('Lớp 4 - Danh mục'!$J$14:$J$132,'Lớp 3 - Công việc chính'!$I$14:$I$73)=0),0),0),T297+MATCH(1,INDEX((INDEX('Lớp 3 - Công việc chính'!$I$14:$I$73,T297+1):'Lớp 3 - Công việc chính'!$I$73&lt;&gt;"")*(COUNTIF('Lớp 4 - Danh mục'!$J$14:$J$132,INDEX('Lớp 3 - Công việc chính'!$I$14:$I$73,T297+1):'Lớp 3 - Công việc chính'!$I$73)=0),0),0)))))</f>
        <v>#REF!</v>
      </c>
      <c r="Z298" s="700" t="str">
        <f t="array" ref="Z298">IF($S298="","",IF($S298="Lớp 5",INDEX('Lớp 5 - Phân công'!$AS$14:$AS$262,$T298),IF($S298="Lớp 4",INDEX('Lớp 4 - Danh mục'!$AR$14:$AR$132,$T298),INDEX('Lớp 3 - Công việc chính'!$AO$14:$AO$73,$T298))))</f>
        <v>#REF!</v>
      </c>
      <c r="AA298" s="701" t="str">
        <f t="array" ref="AA298">IF($S298="","",IF($S298="Lớp 5",INDEX('Lớp 5 - Phân công'!$AT$14:$AT$262,$T298),IF($S298="Lớp 4",INDEX('Lớp 4 - Danh mục'!$AS$14:$AS$132,$T298),INDEX('Lớp 3 - Công việc chính'!$AP$14:$AP$73,$T298))))</f>
        <v>#REF!</v>
      </c>
      <c r="AB298" s="701" t="str">
        <f t="array" ref="AB298">IF($S298="","",IF($S298="Lớp 5",INDEX('Lớp 5 - Phân công'!$AJ$14:$AJ$262,$T298),IF($S298="Lớp 4",INDEX('Lớp 4 - Danh mục'!$AI$14:$AI$132,$T298),INDEX('Lớp 3 - Công việc chính'!$AF$14:$AF$73,$T298))))</f>
        <v>#REF!</v>
      </c>
      <c r="AC298" s="702" t="str">
        <f t="array" ref="AC298">IF($S298="","",IF($S298="Lớp 5",INDEX('Lớp 5 - Phân công'!$AV$14:$AV$262,$T298),IF($S298="Lớp 4",INDEX('Lớp 4 - Danh mục'!$AU$14:$AU$132,$T298),INDEX('Lớp 3 - Công việc chính'!$AR$14:$AR$73,$T298))))</f>
        <v>#REF!</v>
      </c>
    </row>
    <row r="299" ht="15.75" customHeight="1">
      <c r="A299" s="690" t="str">
        <f t="shared" si="1"/>
        <v>#REF!</v>
      </c>
      <c r="B299" s="690" t="str">
        <f t="array" ref="B299">IF($S299="","",IF($S299="Lớp 5",INDEX('Lớp 5 - Phân công'!$I$14:$I$262,$T299),IF($S299="Lớp 4",INDEX('Lớp 4 - Danh mục'!$I$14:$I$132,$T299),INDEX('Lớp 3 - Công việc chính'!$I$14:$I$73,$T299))))</f>
        <v>#REF!</v>
      </c>
      <c r="C299" s="690" t="str">
        <f t="array" ref="C299">IF($S299="","",IF($S299="Lớp 5",INDEX('Lớp 5 - Phân công'!$K$14:$K$262,$T299),IF($S299="Lớp 4",INDEX('Lớp 4 - Danh mục'!$J$14:$J$132,$T299),INDEX('Lớp 3 - Công việc chính'!$I$14:$I$73,$T299))))</f>
        <v>#REF!</v>
      </c>
      <c r="D299" s="690" t="str">
        <f t="array" ref="D299">IF($S299="","",IF($S299="Lớp 5",INDEX('Lớp 5 - Phân công'!$J$14:$J$262,$T299),IF($S299="Lớp 4",INDEX('Lớp 4 - Danh mục'!$I$14:$I$132,$T299),"")))</f>
        <v>#REF!</v>
      </c>
      <c r="E299" s="690" t="str">
        <f t="array" ref="E299">IF($S299="","",IF($S299="Lớp 5",INDEX('Lớp 5 - Phân công'!$L$14:$L$262,$T299),IF($S299="Lớp 4",INDEX('Lớp 4 - Danh mục'!$K$14:$K$132,$T299),INDEX('Lớp 3 - Công việc chính'!$J$14:$J$73,$T299))))</f>
        <v>#REF!</v>
      </c>
      <c r="F299" s="690" t="str">
        <f t="array" ref="F299">IF($S299="","",IF($S299="Lớp 5",INDEX('Lớp 5 - Phân công'!$M$14:$M$262,$T299),IF($S299="Lớp 4",INDEX('Lớp 4 - Danh mục'!$L$14:$L$132,$T299),INDEX('Lớp 3 - Công việc chính'!$K$14:$K$73,$T299))))</f>
        <v>#REF!</v>
      </c>
      <c r="G299" s="691" t="str">
        <f t="array" ref="G299">IF($S299="","",IF($S299="Lớp 5",INDEX('Lớp 5 - Phân công'!$N$14:$N$262,$T299),IF($S299="Lớp 4",INDEX('Lớp 4 - Danh mục'!$M$14:$M$132,$T299),INDEX('Lớp 3 - Công việc chính'!$L$14:$L$73,$T299))))</f>
        <v>#REF!</v>
      </c>
      <c r="H299" s="692" t="str">
        <f t="array" ref="H299">IF($S299="","",IF($S299="Lớp 5",INDEX('Lớp 5 - Phân công'!$O$14:$O$262,$T299),IF($S299="Lớp 4",INDEX('Lớp 4 - Danh mục'!$N$14:$N$132,$T299),INDEX('Lớp 3 - Công việc chính'!$M$14:$M$73,$T299))))</f>
        <v>#REF!</v>
      </c>
      <c r="I299" s="692" t="str">
        <f t="array" ref="I299">IF($S299="","",IF($S299="Lớp 5",INDEX('Lớp 5 - Phân công'!$P$14:$P$262,$T299),IF($S299="Lớp 4",INDEX('Lớp 4 - Danh mục'!$O$14:$O$132,$T299),"")))</f>
        <v>#REF!</v>
      </c>
      <c r="J299" s="693" t="str">
        <f t="array" ref="J299">IF($S299="","",IF($S299="Lớp 5",INDEX('Lớp 5 - Phân công'!$Q$14:$Q$262,$T299),""))</f>
        <v>#REF!</v>
      </c>
      <c r="K299" s="690" t="str">
        <f t="array" ref="K299">IF($S299="","",IF($S299="Lớp 5",INDEX('Lớp 5 - Phân công'!$AA$14:$AA$262,$T299),IF($S299="Lớp 4",INDEX('Lớp 4 - Danh mục'!$Y$14:$Y$132,$T299),INDEX('Lớp 3 - Công việc chính'!$U$14:$U$73,$T299))))</f>
        <v>#REF!</v>
      </c>
      <c r="L299" s="691" t="str">
        <f t="array" ref="L299">IF($S299="","",IF($S299="Lớp 5",INDEX('Lớp 5 - Phân công'!$Z$14:$Z$262,$T299),IF($S299="Lớp 4",INDEX('Lớp 4 - Danh mục'!$X$14:$X$132,$T299),INDEX('Lớp 3 - Công việc chính'!$W$14:$W$73,$T299))))</f>
        <v>#REF!</v>
      </c>
      <c r="M299" s="694" t="str">
        <f t="array" ref="M299">IF($S299="","",IF($S299="Lớp 5",INDEX('Lớp 5 - Phân công'!$AD$14:$AD$262,$T299),IF($S299="Lớp 4",INDEX('Lớp 4 - Danh mục'!$AC$14:$AC$132,$T299),INDEX('Lớp 3 - Công việc chính'!$Z$14:$Z$73,$T299))))</f>
        <v>#REF!</v>
      </c>
      <c r="N299" s="695" t="str">
        <f t="array" ref="N299">IF($S299="","",IF($S299="Lớp 5",INDEX('Lớp 5 - Phân công'!$AE$14:$AE$262,$T299),IF($S299="Lớp 4",INDEX('Lớp 4 - Danh mục'!$AD$14:$AD$132,$T299),INDEX('Lớp 3 - Công việc chính'!$AA$14:$AA$73,$T299))))</f>
        <v>#REF!</v>
      </c>
      <c r="O299" s="690" t="str">
        <f t="array" ref="O299">IF($S299="","",IF($S299="Lớp 5",INDEX('Lớp 5 - Phân công'!$AB$14:$AB$262,$T299),IF($S299="Lớp 4",INDEX('Lớp 4 - Danh mục'!$AA$14:$AA$132,$T299),INDEX('Lớp 3 - Công việc chính'!$X$14:$X$73,$T299))))</f>
        <v>#REF!</v>
      </c>
      <c r="P299" s="703" t="str">
        <f t="array" ref="P299">IF($S299="","",IF($S299="Lớp 5",INDEX('Lớp 5 - Phân công'!$AC$14:$AC$262,$T299),IF($S299="Lớp 4",INDEX('Lớp 4 - Danh mục'!$AB$14:$AB$132,$T299),INDEX('Lớp 3 - Công việc chính'!$Y$14:$Y$73,$T299))))</f>
        <v>#REF!</v>
      </c>
      <c r="Q299" s="697" t="str">
        <f t="array" ref="Q299">IF($S299="","",IF($S299="Lớp 5",INDEX('Lớp 5 - Phân công'!$AG$14:$AG$262,$T299),IF($S299="Lớp 4",INDEX('Lớp 4 - Danh mục'!$AF$14:$AF$132,$T299),INDEX('Lớp 3 - Công việc chính'!$AC$14:$AC$73,$T299))))</f>
        <v>#REF!</v>
      </c>
      <c r="R299" s="698" t="str">
        <f t="array" ref="R299">IF($S299="","",IF($S299="Lớp 5",INDEX('Lớp 5 - Phân công'!$X$14:$X$262,$T299),IF($S299="Lớp 4",INDEX('Lớp 4 - Danh mục'!$V$14:$V$132,$T299),INDEX('Lớp 3 - Công việc chính'!$T$14:$T$73,$T299))))</f>
        <v>#REF!</v>
      </c>
      <c r="S299" s="699" t="str">
        <f>IF(ROWS($S$14:S299)&lt;=COUNTIF('Lớp 5 - Phân công'!$I$14:$I$262,"&lt;&gt;"),"Lớp 5",IF(ROWS($S$14:S299)&lt;=COUNTIF('Lớp 5 - Phân công'!$I$14:$I$262,"&lt;&gt;")+SUMPRODUCT(--('Lớp 4 - Danh mục'!$I$14:$I$132&lt;&gt;""),--(COUNTIF('Lớp 5 - Phân công'!$J$14:$J$262,'Lớp 4 - Danh mục'!$I$14:$I$132)=0)),"Lớp 4",IF(ROWS($S$14:S299)&lt;=COUNTIF('Lớp 5 - Phân công'!$I$14:$I$262,"&lt;&gt;")+SUMPRODUCT(--('Lớp 4 - Danh mục'!$I$14:$I$132&lt;&gt;""),--(COUNTIF('Lớp 5 - Phân công'!$J$14:$J$262,'Lớp 4 - Danh mục'!$I$14:$I$132)=0))+SUMPRODUCT(--('Lớp 3 - Công việc chính'!$I$14:$I$73&lt;&gt;""),--(COUNTIF('Lớp 4 - Danh mục'!$J$14:$J$132,'Lớp 3 - Công việc chính'!$I$14:$I$73)=0)),"Lớp 3","")))</f>
        <v>#REF!</v>
      </c>
      <c r="T299" s="699" t="str">
        <f t="array" ref="T299">IF(S299="","",IF(S299="Lớp 5",IF(S298&lt;&gt;"Lớp 5",MATCH("*",'Lớp 5 - Phân công'!$I$14:$I$262,0),T298+MATCH("*",INDEX('Lớp 5 - Phân công'!$I$14:$I$262,T298+1):'Lớp 5 - Phân công'!$I$262,0)),IF(S299="Lớp 4",IF(S298&lt;&gt;"Lớp 4",MATCH(1,INDEX(('Lớp 4 - Danh mục'!$I$14:$I$132&lt;&gt;"")*(COUNTIF('Lớp 5 - Phân công'!$J$14:$J$262,'Lớp 4 - Danh mục'!$I$14:$I$132)=0),0),0),T298+MATCH(1,INDEX((INDEX('Lớp 4 - Danh mục'!$I$14:$I$132,T298+1):'Lớp 4 - Danh mục'!$I$132&lt;&gt;"")*(COUNTIF('Lớp 5 - Phân công'!$J$14:$J$262,INDEX('Lớp 4 - Danh mục'!$I$14:$I$132,T298+1):'Lớp 4 - Danh mục'!$I$132)=0),0),0)),IF(S298&lt;&gt;"Lớp 3",MATCH(1,INDEX(('Lớp 3 - Công việc chính'!$I$14:$I$73&lt;&gt;"")*(COUNTIF('Lớp 4 - Danh mục'!$J$14:$J$132,'Lớp 3 - Công việc chính'!$I$14:$I$73)=0),0),0),T298+MATCH(1,INDEX((INDEX('Lớp 3 - Công việc chính'!$I$14:$I$73,T298+1):'Lớp 3 - Công việc chính'!$I$73&lt;&gt;"")*(COUNTIF('Lớp 4 - Danh mục'!$J$14:$J$132,INDEX('Lớp 3 - Công việc chính'!$I$14:$I$73,T298+1):'Lớp 3 - Công việc chính'!$I$73)=0),0),0)))))</f>
        <v>#REF!</v>
      </c>
      <c r="Z299" s="700" t="str">
        <f t="array" ref="Z299">IF($S299="","",IF($S299="Lớp 5",INDEX('Lớp 5 - Phân công'!$AS$14:$AS$262,$T299),IF($S299="Lớp 4",INDEX('Lớp 4 - Danh mục'!$AR$14:$AR$132,$T299),INDEX('Lớp 3 - Công việc chính'!$AO$14:$AO$73,$T299))))</f>
        <v>#REF!</v>
      </c>
      <c r="AA299" s="701" t="str">
        <f t="array" ref="AA299">IF($S299="","",IF($S299="Lớp 5",INDEX('Lớp 5 - Phân công'!$AT$14:$AT$262,$T299),IF($S299="Lớp 4",INDEX('Lớp 4 - Danh mục'!$AS$14:$AS$132,$T299),INDEX('Lớp 3 - Công việc chính'!$AP$14:$AP$73,$T299))))</f>
        <v>#REF!</v>
      </c>
      <c r="AB299" s="701" t="str">
        <f t="array" ref="AB299">IF($S299="","",IF($S299="Lớp 5",INDEX('Lớp 5 - Phân công'!$AJ$14:$AJ$262,$T299),IF($S299="Lớp 4",INDEX('Lớp 4 - Danh mục'!$AI$14:$AI$132,$T299),INDEX('Lớp 3 - Công việc chính'!$AF$14:$AF$73,$T299))))</f>
        <v>#REF!</v>
      </c>
      <c r="AC299" s="702" t="str">
        <f t="array" ref="AC299">IF($S299="","",IF($S299="Lớp 5",INDEX('Lớp 5 - Phân công'!$AV$14:$AV$262,$T299),IF($S299="Lớp 4",INDEX('Lớp 4 - Danh mục'!$AU$14:$AU$132,$T299),INDEX('Lớp 3 - Công việc chính'!$AR$14:$AR$73,$T299))))</f>
        <v>#REF!</v>
      </c>
    </row>
    <row r="300" ht="15.75" customHeight="1">
      <c r="A300" s="690" t="str">
        <f t="shared" si="1"/>
        <v>#REF!</v>
      </c>
      <c r="B300" s="690" t="str">
        <f t="array" ref="B300">IF($S300="","",IF($S300="Lớp 5",INDEX('Lớp 5 - Phân công'!$I$14:$I$262,$T300),IF($S300="Lớp 4",INDEX('Lớp 4 - Danh mục'!$I$14:$I$132,$T300),INDEX('Lớp 3 - Công việc chính'!$I$14:$I$73,$T300))))</f>
        <v>#REF!</v>
      </c>
      <c r="C300" s="690" t="str">
        <f t="array" ref="C300">IF($S300="","",IF($S300="Lớp 5",INDEX('Lớp 5 - Phân công'!$K$14:$K$262,$T300),IF($S300="Lớp 4",INDEX('Lớp 4 - Danh mục'!$J$14:$J$132,$T300),INDEX('Lớp 3 - Công việc chính'!$I$14:$I$73,$T300))))</f>
        <v>#REF!</v>
      </c>
      <c r="D300" s="690" t="str">
        <f t="array" ref="D300">IF($S300="","",IF($S300="Lớp 5",INDEX('Lớp 5 - Phân công'!$J$14:$J$262,$T300),IF($S300="Lớp 4",INDEX('Lớp 4 - Danh mục'!$I$14:$I$132,$T300),"")))</f>
        <v>#REF!</v>
      </c>
      <c r="E300" s="690" t="str">
        <f t="array" ref="E300">IF($S300="","",IF($S300="Lớp 5",INDEX('Lớp 5 - Phân công'!$L$14:$L$262,$T300),IF($S300="Lớp 4",INDEX('Lớp 4 - Danh mục'!$K$14:$K$132,$T300),INDEX('Lớp 3 - Công việc chính'!$J$14:$J$73,$T300))))</f>
        <v>#REF!</v>
      </c>
      <c r="F300" s="690" t="str">
        <f t="array" ref="F300">IF($S300="","",IF($S300="Lớp 5",INDEX('Lớp 5 - Phân công'!$M$14:$M$262,$T300),IF($S300="Lớp 4",INDEX('Lớp 4 - Danh mục'!$L$14:$L$132,$T300),INDEX('Lớp 3 - Công việc chính'!$K$14:$K$73,$T300))))</f>
        <v>#REF!</v>
      </c>
      <c r="G300" s="691" t="str">
        <f t="array" ref="G300">IF($S300="","",IF($S300="Lớp 5",INDEX('Lớp 5 - Phân công'!$N$14:$N$262,$T300),IF($S300="Lớp 4",INDEX('Lớp 4 - Danh mục'!$M$14:$M$132,$T300),INDEX('Lớp 3 - Công việc chính'!$L$14:$L$73,$T300))))</f>
        <v>#REF!</v>
      </c>
      <c r="H300" s="692" t="str">
        <f t="array" ref="H300">IF($S300="","",IF($S300="Lớp 5",INDEX('Lớp 5 - Phân công'!$O$14:$O$262,$T300),IF($S300="Lớp 4",INDEX('Lớp 4 - Danh mục'!$N$14:$N$132,$T300),INDEX('Lớp 3 - Công việc chính'!$M$14:$M$73,$T300))))</f>
        <v>#REF!</v>
      </c>
      <c r="I300" s="692" t="str">
        <f t="array" ref="I300">IF($S300="","",IF($S300="Lớp 5",INDEX('Lớp 5 - Phân công'!$P$14:$P$262,$T300),IF($S300="Lớp 4",INDEX('Lớp 4 - Danh mục'!$O$14:$O$132,$T300),"")))</f>
        <v>#REF!</v>
      </c>
      <c r="J300" s="693" t="str">
        <f t="array" ref="J300">IF($S300="","",IF($S300="Lớp 5",INDEX('Lớp 5 - Phân công'!$Q$14:$Q$262,$T300),""))</f>
        <v>#REF!</v>
      </c>
      <c r="K300" s="690" t="str">
        <f t="array" ref="K300">IF($S300="","",IF($S300="Lớp 5",INDEX('Lớp 5 - Phân công'!$AA$14:$AA$262,$T300),IF($S300="Lớp 4",INDEX('Lớp 4 - Danh mục'!$Y$14:$Y$132,$T300),INDEX('Lớp 3 - Công việc chính'!$U$14:$U$73,$T300))))</f>
        <v>#REF!</v>
      </c>
      <c r="L300" s="691" t="str">
        <f t="array" ref="L300">IF($S300="","",IF($S300="Lớp 5",INDEX('Lớp 5 - Phân công'!$Z$14:$Z$262,$T300),IF($S300="Lớp 4",INDEX('Lớp 4 - Danh mục'!$X$14:$X$132,$T300),INDEX('Lớp 3 - Công việc chính'!$W$14:$W$73,$T300))))</f>
        <v>#REF!</v>
      </c>
      <c r="M300" s="694" t="str">
        <f t="array" ref="M300">IF($S300="","",IF($S300="Lớp 5",INDEX('Lớp 5 - Phân công'!$AD$14:$AD$262,$T300),IF($S300="Lớp 4",INDEX('Lớp 4 - Danh mục'!$AC$14:$AC$132,$T300),INDEX('Lớp 3 - Công việc chính'!$Z$14:$Z$73,$T300))))</f>
        <v>#REF!</v>
      </c>
      <c r="N300" s="695" t="str">
        <f t="array" ref="N300">IF($S300="","",IF($S300="Lớp 5",INDEX('Lớp 5 - Phân công'!$AE$14:$AE$262,$T300),IF($S300="Lớp 4",INDEX('Lớp 4 - Danh mục'!$AD$14:$AD$132,$T300),INDEX('Lớp 3 - Công việc chính'!$AA$14:$AA$73,$T300))))</f>
        <v>#REF!</v>
      </c>
      <c r="O300" s="690" t="str">
        <f t="array" ref="O300">IF($S300="","",IF($S300="Lớp 5",INDEX('Lớp 5 - Phân công'!$AB$14:$AB$262,$T300),IF($S300="Lớp 4",INDEX('Lớp 4 - Danh mục'!$AA$14:$AA$132,$T300),INDEX('Lớp 3 - Công việc chính'!$X$14:$X$73,$T300))))</f>
        <v>#REF!</v>
      </c>
      <c r="P300" s="703" t="str">
        <f t="array" ref="P300">IF($S300="","",IF($S300="Lớp 5",INDEX('Lớp 5 - Phân công'!$AC$14:$AC$262,$T300),IF($S300="Lớp 4",INDEX('Lớp 4 - Danh mục'!$AB$14:$AB$132,$T300),INDEX('Lớp 3 - Công việc chính'!$Y$14:$Y$73,$T300))))</f>
        <v>#REF!</v>
      </c>
      <c r="Q300" s="697" t="str">
        <f t="array" ref="Q300">IF($S300="","",IF($S300="Lớp 5",INDEX('Lớp 5 - Phân công'!$AG$14:$AG$262,$T300),IF($S300="Lớp 4",INDEX('Lớp 4 - Danh mục'!$AF$14:$AF$132,$T300),INDEX('Lớp 3 - Công việc chính'!$AC$14:$AC$73,$T300))))</f>
        <v>#REF!</v>
      </c>
      <c r="R300" s="698" t="str">
        <f t="array" ref="R300">IF($S300="","",IF($S300="Lớp 5",INDEX('Lớp 5 - Phân công'!$X$14:$X$262,$T300),IF($S300="Lớp 4",INDEX('Lớp 4 - Danh mục'!$V$14:$V$132,$T300),INDEX('Lớp 3 - Công việc chính'!$T$14:$T$73,$T300))))</f>
        <v>#REF!</v>
      </c>
      <c r="S300" s="699" t="str">
        <f>IF(ROWS($S$14:S300)&lt;=COUNTIF('Lớp 5 - Phân công'!$I$14:$I$262,"&lt;&gt;"),"Lớp 5",IF(ROWS($S$14:S300)&lt;=COUNTIF('Lớp 5 - Phân công'!$I$14:$I$262,"&lt;&gt;")+SUMPRODUCT(--('Lớp 4 - Danh mục'!$I$14:$I$132&lt;&gt;""),--(COUNTIF('Lớp 5 - Phân công'!$J$14:$J$262,'Lớp 4 - Danh mục'!$I$14:$I$132)=0)),"Lớp 4",IF(ROWS($S$14:S300)&lt;=COUNTIF('Lớp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0" s="699" t="str">
        <f t="array" ref="T300">IF(S300="","",IF(S300="Lớp 5",IF(S299&lt;&gt;"Lớp 5",MATCH("*",'Lớp 5 - Phân công'!$I$14:$I$262,0),T299+MATCH("*",INDEX('Lớp 5 - Phân công'!$I$14:$I$262,T299+1):'Lớp 5 - Phân công'!$I$262,0)),IF(S300="Lớp 4",IF(S299&lt;&gt;"Lớp 4",MATCH(1,INDEX(('Lớp 4 - Danh mục'!$I$14:$I$132&lt;&gt;"")*(COUNTIF('Lớp 5 - Phân công'!$J$14:$J$262,'Lớp 4 - Danh mục'!$I$14:$I$132)=0),0),0),T299+MATCH(1,INDEX((INDEX('Lớp 4 - Danh mục'!$I$14:$I$132,T299+1):'Lớp 4 - Danh mục'!$I$132&lt;&gt;"")*(COUNTIF('Lớp 5 - Phân công'!$J$14:$J$262,INDEX('Lớp 4 - Danh mục'!$I$14:$I$132,T299+1):'Lớp 4 - Danh mục'!$I$132)=0),0),0)),IF(S299&lt;&gt;"Lớp 3",MATCH(1,INDEX(('Lớp 3 - Công việc chính'!$I$14:$I$73&lt;&gt;"")*(COUNTIF('Lớp 4 - Danh mục'!$J$14:$J$132,'Lớp 3 - Công việc chính'!$I$14:$I$73)=0),0),0),T299+MATCH(1,INDEX((INDEX('Lớp 3 - Công việc chính'!$I$14:$I$73,T299+1):'Lớp 3 - Công việc chính'!$I$73&lt;&gt;"")*(COUNTIF('Lớp 4 - Danh mục'!$J$14:$J$132,INDEX('Lớp 3 - Công việc chính'!$I$14:$I$73,T299+1):'Lớp 3 - Công việc chính'!$I$73)=0),0),0)))))</f>
        <v>#REF!</v>
      </c>
      <c r="Z300" s="700" t="str">
        <f t="array" ref="Z300">IF($S300="","",IF($S300="Lớp 5",INDEX('Lớp 5 - Phân công'!$AS$14:$AS$262,$T300),IF($S300="Lớp 4",INDEX('Lớp 4 - Danh mục'!$AR$14:$AR$132,$T300),INDEX('Lớp 3 - Công việc chính'!$AO$14:$AO$73,$T300))))</f>
        <v>#REF!</v>
      </c>
      <c r="AA300" s="701" t="str">
        <f t="array" ref="AA300">IF($S300="","",IF($S300="Lớp 5",INDEX('Lớp 5 - Phân công'!$AT$14:$AT$262,$T300),IF($S300="Lớp 4",INDEX('Lớp 4 - Danh mục'!$AS$14:$AS$132,$T300),INDEX('Lớp 3 - Công việc chính'!$AP$14:$AP$73,$T300))))</f>
        <v>#REF!</v>
      </c>
      <c r="AB300" s="701" t="str">
        <f t="array" ref="AB300">IF($S300="","",IF($S300="Lớp 5",INDEX('Lớp 5 - Phân công'!$AJ$14:$AJ$262,$T300),IF($S300="Lớp 4",INDEX('Lớp 4 - Danh mục'!$AI$14:$AI$132,$T300),INDEX('Lớp 3 - Công việc chính'!$AF$14:$AF$73,$T300))))</f>
        <v>#REF!</v>
      </c>
      <c r="AC300" s="702" t="str">
        <f t="array" ref="AC300">IF($S300="","",IF($S300="Lớp 5",INDEX('Lớp 5 - Phân công'!$AV$14:$AV$262,$T300),IF($S300="Lớp 4",INDEX('Lớp 4 - Danh mục'!$AU$14:$AU$132,$T300),INDEX('Lớp 3 - Công việc chính'!$AR$14:$AR$73,$T300))))</f>
        <v>#REF!</v>
      </c>
    </row>
    <row r="301" ht="15.75" customHeight="1">
      <c r="A301" s="690" t="str">
        <f t="shared" si="1"/>
        <v>#REF!</v>
      </c>
      <c r="B301" s="690" t="str">
        <f t="array" ref="B301">IF($S301="","",IF($S301="Lớp 5",INDEX('Lớp 5 - Phân công'!$I$14:$I$262,$T301),IF($S301="Lớp 4",INDEX('Lớp 4 - Danh mục'!$I$14:$I$132,$T301),INDEX('Lớp 3 - Công việc chính'!$I$14:$I$73,$T301))))</f>
        <v>#REF!</v>
      </c>
      <c r="C301" s="690" t="str">
        <f t="array" ref="C301">IF($S301="","",IF($S301="Lớp 5",INDEX('Lớp 5 - Phân công'!$K$14:$K$262,$T301),IF($S301="Lớp 4",INDEX('Lớp 4 - Danh mục'!$J$14:$J$132,$T301),INDEX('Lớp 3 - Công việc chính'!$I$14:$I$73,$T301))))</f>
        <v>#REF!</v>
      </c>
      <c r="D301" s="690" t="str">
        <f t="array" ref="D301">IF($S301="","",IF($S301="Lớp 5",INDEX('Lớp 5 - Phân công'!$J$14:$J$262,$T301),IF($S301="Lớp 4",INDEX('Lớp 4 - Danh mục'!$I$14:$I$132,$T301),"")))</f>
        <v>#REF!</v>
      </c>
      <c r="E301" s="690" t="str">
        <f t="array" ref="E301">IF($S301="","",IF($S301="Lớp 5",INDEX('Lớp 5 - Phân công'!$L$14:$L$262,$T301),IF($S301="Lớp 4",INDEX('Lớp 4 - Danh mục'!$K$14:$K$132,$T301),INDEX('Lớp 3 - Công việc chính'!$J$14:$J$73,$T301))))</f>
        <v>#REF!</v>
      </c>
      <c r="F301" s="690" t="str">
        <f t="array" ref="F301">IF($S301="","",IF($S301="Lớp 5",INDEX('Lớp 5 - Phân công'!$M$14:$M$262,$T301),IF($S301="Lớp 4",INDEX('Lớp 4 - Danh mục'!$L$14:$L$132,$T301),INDEX('Lớp 3 - Công việc chính'!$K$14:$K$73,$T301))))</f>
        <v>#REF!</v>
      </c>
      <c r="G301" s="691" t="str">
        <f t="array" ref="G301">IF($S301="","",IF($S301="Lớp 5",INDEX('Lớp 5 - Phân công'!$N$14:$N$262,$T301),IF($S301="Lớp 4",INDEX('Lớp 4 - Danh mục'!$M$14:$M$132,$T301),INDEX('Lớp 3 - Công việc chính'!$L$14:$L$73,$T301))))</f>
        <v>#REF!</v>
      </c>
      <c r="H301" s="692" t="str">
        <f t="array" ref="H301">IF($S301="","",IF($S301="Lớp 5",INDEX('Lớp 5 - Phân công'!$O$14:$O$262,$T301),IF($S301="Lớp 4",INDEX('Lớp 4 - Danh mục'!$N$14:$N$132,$T301),INDEX('Lớp 3 - Công việc chính'!$M$14:$M$73,$T301))))</f>
        <v>#REF!</v>
      </c>
      <c r="I301" s="692" t="str">
        <f t="array" ref="I301">IF($S301="","",IF($S301="Lớp 5",INDEX('Lớp 5 - Phân công'!$P$14:$P$262,$T301),IF($S301="Lớp 4",INDEX('Lớp 4 - Danh mục'!$O$14:$O$132,$T301),"")))</f>
        <v>#REF!</v>
      </c>
      <c r="J301" s="693" t="str">
        <f t="array" ref="J301">IF($S301="","",IF($S301="Lớp 5",INDEX('Lớp 5 - Phân công'!$Q$14:$Q$262,$T301),""))</f>
        <v>#REF!</v>
      </c>
      <c r="K301" s="690" t="str">
        <f t="array" ref="K301">IF($S301="","",IF($S301="Lớp 5",INDEX('Lớp 5 - Phân công'!$AA$14:$AA$262,$T301),IF($S301="Lớp 4",INDEX('Lớp 4 - Danh mục'!$Y$14:$Y$132,$T301),INDEX('Lớp 3 - Công việc chính'!$U$14:$U$73,$T301))))</f>
        <v>#REF!</v>
      </c>
      <c r="L301" s="691" t="str">
        <f t="array" ref="L301">IF($S301="","",IF($S301="Lớp 5",INDEX('Lớp 5 - Phân công'!$Z$14:$Z$262,$T301),IF($S301="Lớp 4",INDEX('Lớp 4 - Danh mục'!$X$14:$X$132,$T301),INDEX('Lớp 3 - Công việc chính'!$W$14:$W$73,$T301))))</f>
        <v>#REF!</v>
      </c>
      <c r="M301" s="694" t="str">
        <f t="array" ref="M301">IF($S301="","",IF($S301="Lớp 5",INDEX('Lớp 5 - Phân công'!$AD$14:$AD$262,$T301),IF($S301="Lớp 4",INDEX('Lớp 4 - Danh mục'!$AC$14:$AC$132,$T301),INDEX('Lớp 3 - Công việc chính'!$Z$14:$Z$73,$T301))))</f>
        <v>#REF!</v>
      </c>
      <c r="N301" s="695" t="str">
        <f t="array" ref="N301">IF($S301="","",IF($S301="Lớp 5",INDEX('Lớp 5 - Phân công'!$AE$14:$AE$262,$T301),IF($S301="Lớp 4",INDEX('Lớp 4 - Danh mục'!$AD$14:$AD$132,$T301),INDEX('Lớp 3 - Công việc chính'!$AA$14:$AA$73,$T301))))</f>
        <v>#REF!</v>
      </c>
      <c r="O301" s="690" t="str">
        <f t="array" ref="O301">IF($S301="","",IF($S301="Lớp 5",INDEX('Lớp 5 - Phân công'!$AB$14:$AB$262,$T301),IF($S301="Lớp 4",INDEX('Lớp 4 - Danh mục'!$AA$14:$AA$132,$T301),INDEX('Lớp 3 - Công việc chính'!$X$14:$X$73,$T301))))</f>
        <v>#REF!</v>
      </c>
      <c r="P301" s="703" t="str">
        <f t="array" ref="P301">IF($S301="","",IF($S301="Lớp 5",INDEX('Lớp 5 - Phân công'!$AC$14:$AC$262,$T301),IF($S301="Lớp 4",INDEX('Lớp 4 - Danh mục'!$AB$14:$AB$132,$T301),INDEX('Lớp 3 - Công việc chính'!$Y$14:$Y$73,$T301))))</f>
        <v>#REF!</v>
      </c>
      <c r="Q301" s="697" t="str">
        <f t="array" ref="Q301">IF($S301="","",IF($S301="Lớp 5",INDEX('Lớp 5 - Phân công'!$AG$14:$AG$262,$T301),IF($S301="Lớp 4",INDEX('Lớp 4 - Danh mục'!$AF$14:$AF$132,$T301),INDEX('Lớp 3 - Công việc chính'!$AC$14:$AC$73,$T301))))</f>
        <v>#REF!</v>
      </c>
      <c r="R301" s="698" t="str">
        <f t="array" ref="R301">IF($S301="","",IF($S301="Lớp 5",INDEX('Lớp 5 - Phân công'!$X$14:$X$262,$T301),IF($S301="Lớp 4",INDEX('Lớp 4 - Danh mục'!$V$14:$V$132,$T301),INDEX('Lớp 3 - Công việc chính'!$T$14:$T$73,$T301))))</f>
        <v>#REF!</v>
      </c>
      <c r="S301" s="699" t="str">
        <f>IF(ROWS($S$14:S301)&lt;=COUNTIF('Lớp 5 - Phân công'!$I$14:$I$262,"&lt;&gt;"),"Lớp 5",IF(ROWS($S$14:S301)&lt;=COUNTIF('Lớp 5 - Phân công'!$I$14:$I$262,"&lt;&gt;")+SUMPRODUCT(--('Lớp 4 - Danh mục'!$I$14:$I$132&lt;&gt;""),--(COUNTIF('Lớp 5 - Phân công'!$J$14:$J$262,'Lớp 4 - Danh mục'!$I$14:$I$132)=0)),"Lớp 4",IF(ROWS($S$14:S301)&lt;=COUNTIF('Lớp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1" s="699" t="str">
        <f t="array" ref="T301">IF(S301="","",IF(S301="Lớp 5",IF(S300&lt;&gt;"Lớp 5",MATCH("*",'Lớp 5 - Phân công'!$I$14:$I$262,0),T300+MATCH("*",INDEX('Lớp 5 - Phân công'!$I$14:$I$262,T300+1):'Lớp 5 - Phân công'!$I$262,0)),IF(S301="Lớp 4",IF(S300&lt;&gt;"Lớp 4",MATCH(1,INDEX(('Lớp 4 - Danh mục'!$I$14:$I$132&lt;&gt;"")*(COUNTIF('Lớp 5 - Phân công'!$J$14:$J$262,'Lớp 4 - Danh mục'!$I$14:$I$132)=0),0),0),T300+MATCH(1,INDEX((INDEX('Lớp 4 - Danh mục'!$I$14:$I$132,T300+1):'Lớp 4 - Danh mục'!$I$132&lt;&gt;"")*(COUNTIF('Lớp 5 - Phân công'!$J$14:$J$262,INDEX('Lớp 4 - Danh mục'!$I$14:$I$132,T300+1):'Lớp 4 - Danh mục'!$I$132)=0),0),0)),IF(S300&lt;&gt;"Lớp 3",MATCH(1,INDEX(('Lớp 3 - Công việc chính'!$I$14:$I$73&lt;&gt;"")*(COUNTIF('Lớp 4 - Danh mục'!$J$14:$J$132,'Lớp 3 - Công việc chính'!$I$14:$I$73)=0),0),0),T300+MATCH(1,INDEX((INDEX('Lớp 3 - Công việc chính'!$I$14:$I$73,T300+1):'Lớp 3 - Công việc chính'!$I$73&lt;&gt;"")*(COUNTIF('Lớp 4 - Danh mục'!$J$14:$J$132,INDEX('Lớp 3 - Công việc chính'!$I$14:$I$73,T300+1):'Lớp 3 - Công việc chính'!$I$73)=0),0),0)))))</f>
        <v>#REF!</v>
      </c>
      <c r="Z301" s="700" t="str">
        <f t="array" ref="Z301">IF($S301="","",IF($S301="Lớp 5",INDEX('Lớp 5 - Phân công'!$AS$14:$AS$262,$T301),IF($S301="Lớp 4",INDEX('Lớp 4 - Danh mục'!$AR$14:$AR$132,$T301),INDEX('Lớp 3 - Công việc chính'!$AO$14:$AO$73,$T301))))</f>
        <v>#REF!</v>
      </c>
      <c r="AA301" s="701" t="str">
        <f t="array" ref="AA301">IF($S301="","",IF($S301="Lớp 5",INDEX('Lớp 5 - Phân công'!$AT$14:$AT$262,$T301),IF($S301="Lớp 4",INDEX('Lớp 4 - Danh mục'!$AS$14:$AS$132,$T301),INDEX('Lớp 3 - Công việc chính'!$AP$14:$AP$73,$T301))))</f>
        <v>#REF!</v>
      </c>
      <c r="AB301" s="701" t="str">
        <f t="array" ref="AB301">IF($S301="","",IF($S301="Lớp 5",INDEX('Lớp 5 - Phân công'!$AJ$14:$AJ$262,$T301),IF($S301="Lớp 4",INDEX('Lớp 4 - Danh mục'!$AI$14:$AI$132,$T301),INDEX('Lớp 3 - Công việc chính'!$AF$14:$AF$73,$T301))))</f>
        <v>#REF!</v>
      </c>
      <c r="AC301" s="702" t="str">
        <f t="array" ref="AC301">IF($S301="","",IF($S301="Lớp 5",INDEX('Lớp 5 - Phân công'!$AV$14:$AV$262,$T301),IF($S301="Lớp 4",INDEX('Lớp 4 - Danh mục'!$AU$14:$AU$132,$T301),INDEX('Lớp 3 - Công việc chính'!$AR$14:$AR$73,$T301))))</f>
        <v>#REF!</v>
      </c>
    </row>
    <row r="302" ht="15.75" customHeight="1">
      <c r="A302" s="690" t="str">
        <f t="shared" si="1"/>
        <v>#REF!</v>
      </c>
      <c r="B302" s="690" t="str">
        <f t="array" ref="B302">IF($S302="","",IF($S302="Lớp 5",INDEX('Lớp 5 - Phân công'!$I$14:$I$262,$T302),IF($S302="Lớp 4",INDEX('Lớp 4 - Danh mục'!$I$14:$I$132,$T302),INDEX('Lớp 3 - Công việc chính'!$I$14:$I$73,$T302))))</f>
        <v>#REF!</v>
      </c>
      <c r="C302" s="690" t="str">
        <f t="array" ref="C302">IF($S302="","",IF($S302="Lớp 5",INDEX('Lớp 5 - Phân công'!$K$14:$K$262,$T302),IF($S302="Lớp 4",INDEX('Lớp 4 - Danh mục'!$J$14:$J$132,$T302),INDEX('Lớp 3 - Công việc chính'!$I$14:$I$73,$T302))))</f>
        <v>#REF!</v>
      </c>
      <c r="D302" s="690" t="str">
        <f t="array" ref="D302">IF($S302="","",IF($S302="Lớp 5",INDEX('Lớp 5 - Phân công'!$J$14:$J$262,$T302),IF($S302="Lớp 4",INDEX('Lớp 4 - Danh mục'!$I$14:$I$132,$T302),"")))</f>
        <v>#REF!</v>
      </c>
      <c r="E302" s="690" t="str">
        <f t="array" ref="E302">IF($S302="","",IF($S302="Lớp 5",INDEX('Lớp 5 - Phân công'!$L$14:$L$262,$T302),IF($S302="Lớp 4",INDEX('Lớp 4 - Danh mục'!$K$14:$K$132,$T302),INDEX('Lớp 3 - Công việc chính'!$J$14:$J$73,$T302))))</f>
        <v>#REF!</v>
      </c>
      <c r="F302" s="690" t="str">
        <f t="array" ref="F302">IF($S302="","",IF($S302="Lớp 5",INDEX('Lớp 5 - Phân công'!$M$14:$M$262,$T302),IF($S302="Lớp 4",INDEX('Lớp 4 - Danh mục'!$L$14:$L$132,$T302),INDEX('Lớp 3 - Công việc chính'!$K$14:$K$73,$T302))))</f>
        <v>#REF!</v>
      </c>
      <c r="G302" s="691" t="str">
        <f t="array" ref="G302">IF($S302="","",IF($S302="Lớp 5",INDEX('Lớp 5 - Phân công'!$N$14:$N$262,$T302),IF($S302="Lớp 4",INDEX('Lớp 4 - Danh mục'!$M$14:$M$132,$T302),INDEX('Lớp 3 - Công việc chính'!$L$14:$L$73,$T302))))</f>
        <v>#REF!</v>
      </c>
      <c r="H302" s="692" t="str">
        <f t="array" ref="H302">IF($S302="","",IF($S302="Lớp 5",INDEX('Lớp 5 - Phân công'!$O$14:$O$262,$T302),IF($S302="Lớp 4",INDEX('Lớp 4 - Danh mục'!$N$14:$N$132,$T302),INDEX('Lớp 3 - Công việc chính'!$M$14:$M$73,$T302))))</f>
        <v>#REF!</v>
      </c>
      <c r="I302" s="692" t="str">
        <f t="array" ref="I302">IF($S302="","",IF($S302="Lớp 5",INDEX('Lớp 5 - Phân công'!$P$14:$P$262,$T302),IF($S302="Lớp 4",INDEX('Lớp 4 - Danh mục'!$O$14:$O$132,$T302),"")))</f>
        <v>#REF!</v>
      </c>
      <c r="J302" s="693" t="str">
        <f t="array" ref="J302">IF($S302="","",IF($S302="Lớp 5",INDEX('Lớp 5 - Phân công'!$Q$14:$Q$262,$T302),""))</f>
        <v>#REF!</v>
      </c>
      <c r="K302" s="690" t="str">
        <f t="array" ref="K302">IF($S302="","",IF($S302="Lớp 5",INDEX('Lớp 5 - Phân công'!$AA$14:$AA$262,$T302),IF($S302="Lớp 4",INDEX('Lớp 4 - Danh mục'!$Y$14:$Y$132,$T302),INDEX('Lớp 3 - Công việc chính'!$U$14:$U$73,$T302))))</f>
        <v>#REF!</v>
      </c>
      <c r="L302" s="691" t="str">
        <f t="array" ref="L302">IF($S302="","",IF($S302="Lớp 5",INDEX('Lớp 5 - Phân công'!$Z$14:$Z$262,$T302),IF($S302="Lớp 4",INDEX('Lớp 4 - Danh mục'!$X$14:$X$132,$T302),INDEX('Lớp 3 - Công việc chính'!$W$14:$W$73,$T302))))</f>
        <v>#REF!</v>
      </c>
      <c r="M302" s="694" t="str">
        <f t="array" ref="M302">IF($S302="","",IF($S302="Lớp 5",INDEX('Lớp 5 - Phân công'!$AD$14:$AD$262,$T302),IF($S302="Lớp 4",INDEX('Lớp 4 - Danh mục'!$AC$14:$AC$132,$T302),INDEX('Lớp 3 - Công việc chính'!$Z$14:$Z$73,$T302))))</f>
        <v>#REF!</v>
      </c>
      <c r="N302" s="695" t="str">
        <f t="array" ref="N302">IF($S302="","",IF($S302="Lớp 5",INDEX('Lớp 5 - Phân công'!$AE$14:$AE$262,$T302),IF($S302="Lớp 4",INDEX('Lớp 4 - Danh mục'!$AD$14:$AD$132,$T302),INDEX('Lớp 3 - Công việc chính'!$AA$14:$AA$73,$T302))))</f>
        <v>#REF!</v>
      </c>
      <c r="O302" s="690" t="str">
        <f t="array" ref="O302">IF($S302="","",IF($S302="Lớp 5",INDEX('Lớp 5 - Phân công'!$AB$14:$AB$262,$T302),IF($S302="Lớp 4",INDEX('Lớp 4 - Danh mục'!$AA$14:$AA$132,$T302),INDEX('Lớp 3 - Công việc chính'!$X$14:$X$73,$T302))))</f>
        <v>#REF!</v>
      </c>
      <c r="P302" s="703" t="str">
        <f t="array" ref="P302">IF($S302="","",IF($S302="Lớp 5",INDEX('Lớp 5 - Phân công'!$AC$14:$AC$262,$T302),IF($S302="Lớp 4",INDEX('Lớp 4 - Danh mục'!$AB$14:$AB$132,$T302),INDEX('Lớp 3 - Công việc chính'!$Y$14:$Y$73,$T302))))</f>
        <v>#REF!</v>
      </c>
      <c r="Q302" s="697" t="str">
        <f t="array" ref="Q302">IF($S302="","",IF($S302="Lớp 5",INDEX('Lớp 5 - Phân công'!$AG$14:$AG$262,$T302),IF($S302="Lớp 4",INDEX('Lớp 4 - Danh mục'!$AF$14:$AF$132,$T302),INDEX('Lớp 3 - Công việc chính'!$AC$14:$AC$73,$T302))))</f>
        <v>#REF!</v>
      </c>
      <c r="R302" s="698" t="str">
        <f t="array" ref="R302">IF($S302="","",IF($S302="Lớp 5",INDEX('Lớp 5 - Phân công'!$X$14:$X$262,$T302),IF($S302="Lớp 4",INDEX('Lớp 4 - Danh mục'!$V$14:$V$132,$T302),INDEX('Lớp 3 - Công việc chính'!$T$14:$T$73,$T302))))</f>
        <v>#REF!</v>
      </c>
      <c r="S302" s="699" t="str">
        <f>IF(ROWS($S$14:S302)&lt;=COUNTIF('Lớp 5 - Phân công'!$I$14:$I$262,"&lt;&gt;"),"Lớp 5",IF(ROWS($S$14:S302)&lt;=COUNTIF('Lớp 5 - Phân công'!$I$14:$I$262,"&lt;&gt;")+SUMPRODUCT(--('Lớp 4 - Danh mục'!$I$14:$I$132&lt;&gt;""),--(COUNTIF('Lớp 5 - Phân công'!$J$14:$J$262,'Lớp 4 - Danh mục'!$I$14:$I$132)=0)),"Lớp 4",IF(ROWS($S$14:S302)&lt;=COUNTIF('Lớp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2" s="699" t="str">
        <f t="array" ref="T302">IF(S302="","",IF(S302="Lớp 5",IF(S301&lt;&gt;"Lớp 5",MATCH("*",'Lớp 5 - Phân công'!$I$14:$I$262,0),T301+MATCH("*",INDEX('Lớp 5 - Phân công'!$I$14:$I$262,T301+1):'Lớp 5 - Phân công'!$I$262,0)),IF(S302="Lớp 4",IF(S301&lt;&gt;"Lớp 4",MATCH(1,INDEX(('Lớp 4 - Danh mục'!$I$14:$I$132&lt;&gt;"")*(COUNTIF('Lớp 5 - Phân công'!$J$14:$J$262,'Lớp 4 - Danh mục'!$I$14:$I$132)=0),0),0),T301+MATCH(1,INDEX((INDEX('Lớp 4 - Danh mục'!$I$14:$I$132,T301+1):'Lớp 4 - Danh mục'!$I$132&lt;&gt;"")*(COUNTIF('Lớp 5 - Phân công'!$J$14:$J$262,INDEX('Lớp 4 - Danh mục'!$I$14:$I$132,T301+1):'Lớp 4 - Danh mục'!$I$132)=0),0),0)),IF(S301&lt;&gt;"Lớp 3",MATCH(1,INDEX(('Lớp 3 - Công việc chính'!$I$14:$I$73&lt;&gt;"")*(COUNTIF('Lớp 4 - Danh mục'!$J$14:$J$132,'Lớp 3 - Công việc chính'!$I$14:$I$73)=0),0),0),T301+MATCH(1,INDEX((INDEX('Lớp 3 - Công việc chính'!$I$14:$I$73,T301+1):'Lớp 3 - Công việc chính'!$I$73&lt;&gt;"")*(COUNTIF('Lớp 4 - Danh mục'!$J$14:$J$132,INDEX('Lớp 3 - Công việc chính'!$I$14:$I$73,T301+1):'Lớp 3 - Công việc chính'!$I$73)=0),0),0)))))</f>
        <v>#REF!</v>
      </c>
      <c r="Z302" s="700" t="str">
        <f t="array" ref="Z302">IF($S302="","",IF($S302="Lớp 5",INDEX('Lớp 5 - Phân công'!$AS$14:$AS$262,$T302),IF($S302="Lớp 4",INDEX('Lớp 4 - Danh mục'!$AR$14:$AR$132,$T302),INDEX('Lớp 3 - Công việc chính'!$AO$14:$AO$73,$T302))))</f>
        <v>#REF!</v>
      </c>
      <c r="AA302" s="701" t="str">
        <f t="array" ref="AA302">IF($S302="","",IF($S302="Lớp 5",INDEX('Lớp 5 - Phân công'!$AT$14:$AT$262,$T302),IF($S302="Lớp 4",INDEX('Lớp 4 - Danh mục'!$AS$14:$AS$132,$T302),INDEX('Lớp 3 - Công việc chính'!$AP$14:$AP$73,$T302))))</f>
        <v>#REF!</v>
      </c>
      <c r="AB302" s="701" t="str">
        <f t="array" ref="AB302">IF($S302="","",IF($S302="Lớp 5",INDEX('Lớp 5 - Phân công'!$AJ$14:$AJ$262,$T302),IF($S302="Lớp 4",INDEX('Lớp 4 - Danh mục'!$AI$14:$AI$132,$T302),INDEX('Lớp 3 - Công việc chính'!$AF$14:$AF$73,$T302))))</f>
        <v>#REF!</v>
      </c>
      <c r="AC302" s="702" t="str">
        <f t="array" ref="AC302">IF($S302="","",IF($S302="Lớp 5",INDEX('Lớp 5 - Phân công'!$AV$14:$AV$262,$T302),IF($S302="Lớp 4",INDEX('Lớp 4 - Danh mục'!$AU$14:$AU$132,$T302),INDEX('Lớp 3 - Công việc chính'!$AR$14:$AR$73,$T302))))</f>
        <v>#REF!</v>
      </c>
    </row>
    <row r="303" ht="15.75" customHeight="1">
      <c r="A303" s="690" t="str">
        <f t="shared" si="1"/>
        <v>#REF!</v>
      </c>
      <c r="B303" s="690" t="str">
        <f t="array" ref="B303">IF($S303="","",IF($S303="Lớp 5",INDEX('Lớp 5 - Phân công'!$I$14:$I$262,$T303),IF($S303="Lớp 4",INDEX('Lớp 4 - Danh mục'!$I$14:$I$132,$T303),INDEX('Lớp 3 - Công việc chính'!$I$14:$I$73,$T303))))</f>
        <v>#REF!</v>
      </c>
      <c r="C303" s="690" t="str">
        <f t="array" ref="C303">IF($S303="","",IF($S303="Lớp 5",INDEX('Lớp 5 - Phân công'!$K$14:$K$262,$T303),IF($S303="Lớp 4",INDEX('Lớp 4 - Danh mục'!$J$14:$J$132,$T303),INDEX('Lớp 3 - Công việc chính'!$I$14:$I$73,$T303))))</f>
        <v>#REF!</v>
      </c>
      <c r="D303" s="690" t="str">
        <f t="array" ref="D303">IF($S303="","",IF($S303="Lớp 5",INDEX('Lớp 5 - Phân công'!$J$14:$J$262,$T303),IF($S303="Lớp 4",INDEX('Lớp 4 - Danh mục'!$I$14:$I$132,$T303),"")))</f>
        <v>#REF!</v>
      </c>
      <c r="E303" s="690" t="str">
        <f t="array" ref="E303">IF($S303="","",IF($S303="Lớp 5",INDEX('Lớp 5 - Phân công'!$L$14:$L$262,$T303),IF($S303="Lớp 4",INDEX('Lớp 4 - Danh mục'!$K$14:$K$132,$T303),INDEX('Lớp 3 - Công việc chính'!$J$14:$J$73,$T303))))</f>
        <v>#REF!</v>
      </c>
      <c r="F303" s="690" t="str">
        <f t="array" ref="F303">IF($S303="","",IF($S303="Lớp 5",INDEX('Lớp 5 - Phân công'!$M$14:$M$262,$T303),IF($S303="Lớp 4",INDEX('Lớp 4 - Danh mục'!$L$14:$L$132,$T303),INDEX('Lớp 3 - Công việc chính'!$K$14:$K$73,$T303))))</f>
        <v>#REF!</v>
      </c>
      <c r="G303" s="691" t="str">
        <f t="array" ref="G303">IF($S303="","",IF($S303="Lớp 5",INDEX('Lớp 5 - Phân công'!$N$14:$N$262,$T303),IF($S303="Lớp 4",INDEX('Lớp 4 - Danh mục'!$M$14:$M$132,$T303),INDEX('Lớp 3 - Công việc chính'!$L$14:$L$73,$T303))))</f>
        <v>#REF!</v>
      </c>
      <c r="H303" s="692" t="str">
        <f t="array" ref="H303">IF($S303="","",IF($S303="Lớp 5",INDEX('Lớp 5 - Phân công'!$O$14:$O$262,$T303),IF($S303="Lớp 4",INDEX('Lớp 4 - Danh mục'!$N$14:$N$132,$T303),INDEX('Lớp 3 - Công việc chính'!$M$14:$M$73,$T303))))</f>
        <v>#REF!</v>
      </c>
      <c r="I303" s="692" t="str">
        <f t="array" ref="I303">IF($S303="","",IF($S303="Lớp 5",INDEX('Lớp 5 - Phân công'!$P$14:$P$262,$T303),IF($S303="Lớp 4",INDEX('Lớp 4 - Danh mục'!$O$14:$O$132,$T303),"")))</f>
        <v>#REF!</v>
      </c>
      <c r="J303" s="693" t="str">
        <f t="array" ref="J303">IF($S303="","",IF($S303="Lớp 5",INDEX('Lớp 5 - Phân công'!$Q$14:$Q$262,$T303),""))</f>
        <v>#REF!</v>
      </c>
      <c r="K303" s="690" t="str">
        <f t="array" ref="K303">IF($S303="","",IF($S303="Lớp 5",INDEX('Lớp 5 - Phân công'!$AA$14:$AA$262,$T303),IF($S303="Lớp 4",INDEX('Lớp 4 - Danh mục'!$Y$14:$Y$132,$T303),INDEX('Lớp 3 - Công việc chính'!$U$14:$U$73,$T303))))</f>
        <v>#REF!</v>
      </c>
      <c r="L303" s="691" t="str">
        <f t="array" ref="L303">IF($S303="","",IF($S303="Lớp 5",INDEX('Lớp 5 - Phân công'!$Z$14:$Z$262,$T303),IF($S303="Lớp 4",INDEX('Lớp 4 - Danh mục'!$X$14:$X$132,$T303),INDEX('Lớp 3 - Công việc chính'!$W$14:$W$73,$T303))))</f>
        <v>#REF!</v>
      </c>
      <c r="M303" s="694" t="str">
        <f t="array" ref="M303">IF($S303="","",IF($S303="Lớp 5",INDEX('Lớp 5 - Phân công'!$AD$14:$AD$262,$T303),IF($S303="Lớp 4",INDEX('Lớp 4 - Danh mục'!$AC$14:$AC$132,$T303),INDEX('Lớp 3 - Công việc chính'!$Z$14:$Z$73,$T303))))</f>
        <v>#REF!</v>
      </c>
      <c r="N303" s="695" t="str">
        <f t="array" ref="N303">IF($S303="","",IF($S303="Lớp 5",INDEX('Lớp 5 - Phân công'!$AE$14:$AE$262,$T303),IF($S303="Lớp 4",INDEX('Lớp 4 - Danh mục'!$AD$14:$AD$132,$T303),INDEX('Lớp 3 - Công việc chính'!$AA$14:$AA$73,$T303))))</f>
        <v>#REF!</v>
      </c>
      <c r="O303" s="690" t="str">
        <f t="array" ref="O303">IF($S303="","",IF($S303="Lớp 5",INDEX('Lớp 5 - Phân công'!$AB$14:$AB$262,$T303),IF($S303="Lớp 4",INDEX('Lớp 4 - Danh mục'!$AA$14:$AA$132,$T303),INDEX('Lớp 3 - Công việc chính'!$X$14:$X$73,$T303))))</f>
        <v>#REF!</v>
      </c>
      <c r="P303" s="703" t="str">
        <f t="array" ref="P303">IF($S303="","",IF($S303="Lớp 5",INDEX('Lớp 5 - Phân công'!$AC$14:$AC$262,$T303),IF($S303="Lớp 4",INDEX('Lớp 4 - Danh mục'!$AB$14:$AB$132,$T303),INDEX('Lớp 3 - Công việc chính'!$Y$14:$Y$73,$T303))))</f>
        <v>#REF!</v>
      </c>
      <c r="Q303" s="697" t="str">
        <f t="array" ref="Q303">IF($S303="","",IF($S303="Lớp 5",INDEX('Lớp 5 - Phân công'!$AG$14:$AG$262,$T303),IF($S303="Lớp 4",INDEX('Lớp 4 - Danh mục'!$AF$14:$AF$132,$T303),INDEX('Lớp 3 - Công việc chính'!$AC$14:$AC$73,$T303))))</f>
        <v>#REF!</v>
      </c>
      <c r="R303" s="698" t="str">
        <f t="array" ref="R303">IF($S303="","",IF($S303="Lớp 5",INDEX('Lớp 5 - Phân công'!$X$14:$X$262,$T303),IF($S303="Lớp 4",INDEX('Lớp 4 - Danh mục'!$V$14:$V$132,$T303),INDEX('Lớp 3 - Công việc chính'!$T$14:$T$73,$T303))))</f>
        <v>#REF!</v>
      </c>
      <c r="S303" s="699" t="str">
        <f>IF(ROWS($S$14:S303)&lt;=COUNTIF('Lớp 5 - Phân công'!$I$14:$I$262,"&lt;&gt;"),"Lớp 5",IF(ROWS($S$14:S303)&lt;=COUNTIF('Lớp 5 - Phân công'!$I$14:$I$262,"&lt;&gt;")+SUMPRODUCT(--('Lớp 4 - Danh mục'!$I$14:$I$132&lt;&gt;""),--(COUNTIF('Lớp 5 - Phân công'!$J$14:$J$262,'Lớp 4 - Danh mục'!$I$14:$I$132)=0)),"Lớp 4",IF(ROWS($S$14:S303)&lt;=COUNTIF('Lớp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3" s="699" t="str">
        <f t="array" ref="T303">IF(S303="","",IF(S303="Lớp 5",IF(S302&lt;&gt;"Lớp 5",MATCH("*",'Lớp 5 - Phân công'!$I$14:$I$262,0),T302+MATCH("*",INDEX('Lớp 5 - Phân công'!$I$14:$I$262,T302+1):'Lớp 5 - Phân công'!$I$262,0)),IF(S303="Lớp 4",IF(S302&lt;&gt;"Lớp 4",MATCH(1,INDEX(('Lớp 4 - Danh mục'!$I$14:$I$132&lt;&gt;"")*(COUNTIF('Lớp 5 - Phân công'!$J$14:$J$262,'Lớp 4 - Danh mục'!$I$14:$I$132)=0),0),0),T302+MATCH(1,INDEX((INDEX('Lớp 4 - Danh mục'!$I$14:$I$132,T302+1):'Lớp 4 - Danh mục'!$I$132&lt;&gt;"")*(COUNTIF('Lớp 5 - Phân công'!$J$14:$J$262,INDEX('Lớp 4 - Danh mục'!$I$14:$I$132,T302+1):'Lớp 4 - Danh mục'!$I$132)=0),0),0)),IF(S302&lt;&gt;"Lớp 3",MATCH(1,INDEX(('Lớp 3 - Công việc chính'!$I$14:$I$73&lt;&gt;"")*(COUNTIF('Lớp 4 - Danh mục'!$J$14:$J$132,'Lớp 3 - Công việc chính'!$I$14:$I$73)=0),0),0),T302+MATCH(1,INDEX((INDEX('Lớp 3 - Công việc chính'!$I$14:$I$73,T302+1):'Lớp 3 - Công việc chính'!$I$73&lt;&gt;"")*(COUNTIF('Lớp 4 - Danh mục'!$J$14:$J$132,INDEX('Lớp 3 - Công việc chính'!$I$14:$I$73,T302+1):'Lớp 3 - Công việc chính'!$I$73)=0),0),0)))))</f>
        <v>#REF!</v>
      </c>
      <c r="Z303" s="700" t="str">
        <f t="array" ref="Z303">IF($S303="","",IF($S303="Lớp 5",INDEX('Lớp 5 - Phân công'!$AS$14:$AS$262,$T303),IF($S303="Lớp 4",INDEX('Lớp 4 - Danh mục'!$AR$14:$AR$132,$T303),INDEX('Lớp 3 - Công việc chính'!$AO$14:$AO$73,$T303))))</f>
        <v>#REF!</v>
      </c>
      <c r="AA303" s="701" t="str">
        <f t="array" ref="AA303">IF($S303="","",IF($S303="Lớp 5",INDEX('Lớp 5 - Phân công'!$AT$14:$AT$262,$T303),IF($S303="Lớp 4",INDEX('Lớp 4 - Danh mục'!$AS$14:$AS$132,$T303),INDEX('Lớp 3 - Công việc chính'!$AP$14:$AP$73,$T303))))</f>
        <v>#REF!</v>
      </c>
      <c r="AB303" s="701" t="str">
        <f t="array" ref="AB303">IF($S303="","",IF($S303="Lớp 5",INDEX('Lớp 5 - Phân công'!$AJ$14:$AJ$262,$T303),IF($S303="Lớp 4",INDEX('Lớp 4 - Danh mục'!$AI$14:$AI$132,$T303),INDEX('Lớp 3 - Công việc chính'!$AF$14:$AF$73,$T303))))</f>
        <v>#REF!</v>
      </c>
      <c r="AC303" s="702" t="str">
        <f t="array" ref="AC303">IF($S303="","",IF($S303="Lớp 5",INDEX('Lớp 5 - Phân công'!$AV$14:$AV$262,$T303),IF($S303="Lớp 4",INDEX('Lớp 4 - Danh mục'!$AU$14:$AU$132,$T303),INDEX('Lớp 3 - Công việc chính'!$AR$14:$AR$73,$T303))))</f>
        <v>#REF!</v>
      </c>
    </row>
    <row r="304" ht="15.75" customHeight="1">
      <c r="A304" s="690" t="str">
        <f t="shared" si="1"/>
        <v>#REF!</v>
      </c>
      <c r="B304" s="690" t="str">
        <f t="array" ref="B304">IF($S304="","",IF($S304="Lớp 5",INDEX('Lớp 5 - Phân công'!$I$14:$I$262,$T304),IF($S304="Lớp 4",INDEX('Lớp 4 - Danh mục'!$I$14:$I$132,$T304),INDEX('Lớp 3 - Công việc chính'!$I$14:$I$73,$T304))))</f>
        <v>#REF!</v>
      </c>
      <c r="C304" s="690" t="str">
        <f t="array" ref="C304">IF($S304="","",IF($S304="Lớp 5",INDEX('Lớp 5 - Phân công'!$K$14:$K$262,$T304),IF($S304="Lớp 4",INDEX('Lớp 4 - Danh mục'!$J$14:$J$132,$T304),INDEX('Lớp 3 - Công việc chính'!$I$14:$I$73,$T304))))</f>
        <v>#REF!</v>
      </c>
      <c r="D304" s="690" t="str">
        <f t="array" ref="D304">IF($S304="","",IF($S304="Lớp 5",INDEX('Lớp 5 - Phân công'!$J$14:$J$262,$T304),IF($S304="Lớp 4",INDEX('Lớp 4 - Danh mục'!$I$14:$I$132,$T304),"")))</f>
        <v>#REF!</v>
      </c>
      <c r="E304" s="690" t="str">
        <f t="array" ref="E304">IF($S304="","",IF($S304="Lớp 5",INDEX('Lớp 5 - Phân công'!$L$14:$L$262,$T304),IF($S304="Lớp 4",INDEX('Lớp 4 - Danh mục'!$K$14:$K$132,$T304),INDEX('Lớp 3 - Công việc chính'!$J$14:$J$73,$T304))))</f>
        <v>#REF!</v>
      </c>
      <c r="F304" s="690" t="str">
        <f t="array" ref="F304">IF($S304="","",IF($S304="Lớp 5",INDEX('Lớp 5 - Phân công'!$M$14:$M$262,$T304),IF($S304="Lớp 4",INDEX('Lớp 4 - Danh mục'!$L$14:$L$132,$T304),INDEX('Lớp 3 - Công việc chính'!$K$14:$K$73,$T304))))</f>
        <v>#REF!</v>
      </c>
      <c r="G304" s="691" t="str">
        <f t="array" ref="G304">IF($S304="","",IF($S304="Lớp 5",INDEX('Lớp 5 - Phân công'!$N$14:$N$262,$T304),IF($S304="Lớp 4",INDEX('Lớp 4 - Danh mục'!$M$14:$M$132,$T304),INDEX('Lớp 3 - Công việc chính'!$L$14:$L$73,$T304))))</f>
        <v>#REF!</v>
      </c>
      <c r="H304" s="692" t="str">
        <f t="array" ref="H304">IF($S304="","",IF($S304="Lớp 5",INDEX('Lớp 5 - Phân công'!$O$14:$O$262,$T304),IF($S304="Lớp 4",INDEX('Lớp 4 - Danh mục'!$N$14:$N$132,$T304),INDEX('Lớp 3 - Công việc chính'!$M$14:$M$73,$T304))))</f>
        <v>#REF!</v>
      </c>
      <c r="I304" s="692" t="str">
        <f t="array" ref="I304">IF($S304="","",IF($S304="Lớp 5",INDEX('Lớp 5 - Phân công'!$P$14:$P$262,$T304),IF($S304="Lớp 4",INDEX('Lớp 4 - Danh mục'!$O$14:$O$132,$T304),"")))</f>
        <v>#REF!</v>
      </c>
      <c r="J304" s="693" t="str">
        <f t="array" ref="J304">IF($S304="","",IF($S304="Lớp 5",INDEX('Lớp 5 - Phân công'!$Q$14:$Q$262,$T304),""))</f>
        <v>#REF!</v>
      </c>
      <c r="K304" s="690" t="str">
        <f t="array" ref="K304">IF($S304="","",IF($S304="Lớp 5",INDEX('Lớp 5 - Phân công'!$AA$14:$AA$262,$T304),IF($S304="Lớp 4",INDEX('Lớp 4 - Danh mục'!$Y$14:$Y$132,$T304),INDEX('Lớp 3 - Công việc chính'!$U$14:$U$73,$T304))))</f>
        <v>#REF!</v>
      </c>
      <c r="L304" s="691" t="str">
        <f t="array" ref="L304">IF($S304="","",IF($S304="Lớp 5",INDEX('Lớp 5 - Phân công'!$Z$14:$Z$262,$T304),IF($S304="Lớp 4",INDEX('Lớp 4 - Danh mục'!$X$14:$X$132,$T304),INDEX('Lớp 3 - Công việc chính'!$W$14:$W$73,$T304))))</f>
        <v>#REF!</v>
      </c>
      <c r="M304" s="694" t="str">
        <f t="array" ref="M304">IF($S304="","",IF($S304="Lớp 5",INDEX('Lớp 5 - Phân công'!$AD$14:$AD$262,$T304),IF($S304="Lớp 4",INDEX('Lớp 4 - Danh mục'!$AC$14:$AC$132,$T304),INDEX('Lớp 3 - Công việc chính'!$Z$14:$Z$73,$T304))))</f>
        <v>#REF!</v>
      </c>
      <c r="N304" s="695" t="str">
        <f t="array" ref="N304">IF($S304="","",IF($S304="Lớp 5",INDEX('Lớp 5 - Phân công'!$AE$14:$AE$262,$T304),IF($S304="Lớp 4",INDEX('Lớp 4 - Danh mục'!$AD$14:$AD$132,$T304),INDEX('Lớp 3 - Công việc chính'!$AA$14:$AA$73,$T304))))</f>
        <v>#REF!</v>
      </c>
      <c r="O304" s="690" t="str">
        <f t="array" ref="O304">IF($S304="","",IF($S304="Lớp 5",INDEX('Lớp 5 - Phân công'!$AB$14:$AB$262,$T304),IF($S304="Lớp 4",INDEX('Lớp 4 - Danh mục'!$AA$14:$AA$132,$T304),INDEX('Lớp 3 - Công việc chính'!$X$14:$X$73,$T304))))</f>
        <v>#REF!</v>
      </c>
      <c r="P304" s="703" t="str">
        <f t="array" ref="P304">IF($S304="","",IF($S304="Lớp 5",INDEX('Lớp 5 - Phân công'!$AC$14:$AC$262,$T304),IF($S304="Lớp 4",INDEX('Lớp 4 - Danh mục'!$AB$14:$AB$132,$T304),INDEX('Lớp 3 - Công việc chính'!$Y$14:$Y$73,$T304))))</f>
        <v>#REF!</v>
      </c>
      <c r="Q304" s="697" t="str">
        <f t="array" ref="Q304">IF($S304="","",IF($S304="Lớp 5",INDEX('Lớp 5 - Phân công'!$AG$14:$AG$262,$T304),IF($S304="Lớp 4",INDEX('Lớp 4 - Danh mục'!$AF$14:$AF$132,$T304),INDEX('Lớp 3 - Công việc chính'!$AC$14:$AC$73,$T304))))</f>
        <v>#REF!</v>
      </c>
      <c r="R304" s="698" t="str">
        <f t="array" ref="R304">IF($S304="","",IF($S304="Lớp 5",INDEX('Lớp 5 - Phân công'!$X$14:$X$262,$T304),IF($S304="Lớp 4",INDEX('Lớp 4 - Danh mục'!$V$14:$V$132,$T304),INDEX('Lớp 3 - Công việc chính'!$T$14:$T$73,$T304))))</f>
        <v>#REF!</v>
      </c>
      <c r="S304" s="699" t="str">
        <f>IF(ROWS($S$14:S304)&lt;=COUNTIF('Lớp 5 - Phân công'!$I$14:$I$262,"&lt;&gt;"),"Lớp 5",IF(ROWS($S$14:S304)&lt;=COUNTIF('Lớp 5 - Phân công'!$I$14:$I$262,"&lt;&gt;")+SUMPRODUCT(--('Lớp 4 - Danh mục'!$I$14:$I$132&lt;&gt;""),--(COUNTIF('Lớp 5 - Phân công'!$J$14:$J$262,'Lớp 4 - Danh mục'!$I$14:$I$132)=0)),"Lớp 4",IF(ROWS($S$14:S304)&lt;=COUNTIF('Lớp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4" s="699" t="str">
        <f t="array" ref="T304">IF(S304="","",IF(S304="Lớp 5",IF(S303&lt;&gt;"Lớp 5",MATCH("*",'Lớp 5 - Phân công'!$I$14:$I$262,0),T303+MATCH("*",INDEX('Lớp 5 - Phân công'!$I$14:$I$262,T303+1):'Lớp 5 - Phân công'!$I$262,0)),IF(S304="Lớp 4",IF(S303&lt;&gt;"Lớp 4",MATCH(1,INDEX(('Lớp 4 - Danh mục'!$I$14:$I$132&lt;&gt;"")*(COUNTIF('Lớp 5 - Phân công'!$J$14:$J$262,'Lớp 4 - Danh mục'!$I$14:$I$132)=0),0),0),T303+MATCH(1,INDEX((INDEX('Lớp 4 - Danh mục'!$I$14:$I$132,T303+1):'Lớp 4 - Danh mục'!$I$132&lt;&gt;"")*(COUNTIF('Lớp 5 - Phân công'!$J$14:$J$262,INDEX('Lớp 4 - Danh mục'!$I$14:$I$132,T303+1):'Lớp 4 - Danh mục'!$I$132)=0),0),0)),IF(S303&lt;&gt;"Lớp 3",MATCH(1,INDEX(('Lớp 3 - Công việc chính'!$I$14:$I$73&lt;&gt;"")*(COUNTIF('Lớp 4 - Danh mục'!$J$14:$J$132,'Lớp 3 - Công việc chính'!$I$14:$I$73)=0),0),0),T303+MATCH(1,INDEX((INDEX('Lớp 3 - Công việc chính'!$I$14:$I$73,T303+1):'Lớp 3 - Công việc chính'!$I$73&lt;&gt;"")*(COUNTIF('Lớp 4 - Danh mục'!$J$14:$J$132,INDEX('Lớp 3 - Công việc chính'!$I$14:$I$73,T303+1):'Lớp 3 - Công việc chính'!$I$73)=0),0),0)))))</f>
        <v>#REF!</v>
      </c>
      <c r="Z304" s="700" t="str">
        <f t="array" ref="Z304">IF($S304="","",IF($S304="Lớp 5",INDEX('Lớp 5 - Phân công'!$AS$14:$AS$262,$T304),IF($S304="Lớp 4",INDEX('Lớp 4 - Danh mục'!$AR$14:$AR$132,$T304),INDEX('Lớp 3 - Công việc chính'!$AO$14:$AO$73,$T304))))</f>
        <v>#REF!</v>
      </c>
      <c r="AA304" s="701" t="str">
        <f t="array" ref="AA304">IF($S304="","",IF($S304="Lớp 5",INDEX('Lớp 5 - Phân công'!$AT$14:$AT$262,$T304),IF($S304="Lớp 4",INDEX('Lớp 4 - Danh mục'!$AS$14:$AS$132,$T304),INDEX('Lớp 3 - Công việc chính'!$AP$14:$AP$73,$T304))))</f>
        <v>#REF!</v>
      </c>
      <c r="AB304" s="701" t="str">
        <f t="array" ref="AB304">IF($S304="","",IF($S304="Lớp 5",INDEX('Lớp 5 - Phân công'!$AJ$14:$AJ$262,$T304),IF($S304="Lớp 4",INDEX('Lớp 4 - Danh mục'!$AI$14:$AI$132,$T304),INDEX('Lớp 3 - Công việc chính'!$AF$14:$AF$73,$T304))))</f>
        <v>#REF!</v>
      </c>
      <c r="AC304" s="702" t="str">
        <f t="array" ref="AC304">IF($S304="","",IF($S304="Lớp 5",INDEX('Lớp 5 - Phân công'!$AV$14:$AV$262,$T304),IF($S304="Lớp 4",INDEX('Lớp 4 - Danh mục'!$AU$14:$AU$132,$T304),INDEX('Lớp 3 - Công việc chính'!$AR$14:$AR$73,$T304))))</f>
        <v>#REF!</v>
      </c>
    </row>
    <row r="305" ht="15.75" customHeight="1">
      <c r="A305" s="690" t="str">
        <f t="shared" si="1"/>
        <v>#REF!</v>
      </c>
      <c r="B305" s="690" t="str">
        <f t="array" ref="B305">IF($S305="","",IF($S305="Lớp 5",INDEX('Lớp 5 - Phân công'!$I$14:$I$262,$T305),IF($S305="Lớp 4",INDEX('Lớp 4 - Danh mục'!$I$14:$I$132,$T305),INDEX('Lớp 3 - Công việc chính'!$I$14:$I$73,$T305))))</f>
        <v>#REF!</v>
      </c>
      <c r="C305" s="690" t="str">
        <f t="array" ref="C305">IF($S305="","",IF($S305="Lớp 5",INDEX('Lớp 5 - Phân công'!$K$14:$K$262,$T305),IF($S305="Lớp 4",INDEX('Lớp 4 - Danh mục'!$J$14:$J$132,$T305),INDEX('Lớp 3 - Công việc chính'!$I$14:$I$73,$T305))))</f>
        <v>#REF!</v>
      </c>
      <c r="D305" s="690" t="str">
        <f t="array" ref="D305">IF($S305="","",IF($S305="Lớp 5",INDEX('Lớp 5 - Phân công'!$J$14:$J$262,$T305),IF($S305="Lớp 4",INDEX('Lớp 4 - Danh mục'!$I$14:$I$132,$T305),"")))</f>
        <v>#REF!</v>
      </c>
      <c r="E305" s="690" t="str">
        <f t="array" ref="E305">IF($S305="","",IF($S305="Lớp 5",INDEX('Lớp 5 - Phân công'!$L$14:$L$262,$T305),IF($S305="Lớp 4",INDEX('Lớp 4 - Danh mục'!$K$14:$K$132,$T305),INDEX('Lớp 3 - Công việc chính'!$J$14:$J$73,$T305))))</f>
        <v>#REF!</v>
      </c>
      <c r="F305" s="690" t="str">
        <f t="array" ref="F305">IF($S305="","",IF($S305="Lớp 5",INDEX('Lớp 5 - Phân công'!$M$14:$M$262,$T305),IF($S305="Lớp 4",INDEX('Lớp 4 - Danh mục'!$L$14:$L$132,$T305),INDEX('Lớp 3 - Công việc chính'!$K$14:$K$73,$T305))))</f>
        <v>#REF!</v>
      </c>
      <c r="G305" s="691" t="str">
        <f t="array" ref="G305">IF($S305="","",IF($S305="Lớp 5",INDEX('Lớp 5 - Phân công'!$N$14:$N$262,$T305),IF($S305="Lớp 4",INDEX('Lớp 4 - Danh mục'!$M$14:$M$132,$T305),INDEX('Lớp 3 - Công việc chính'!$L$14:$L$73,$T305))))</f>
        <v>#REF!</v>
      </c>
      <c r="H305" s="692" t="str">
        <f t="array" ref="H305">IF($S305="","",IF($S305="Lớp 5",INDEX('Lớp 5 - Phân công'!$O$14:$O$262,$T305),IF($S305="Lớp 4",INDEX('Lớp 4 - Danh mục'!$N$14:$N$132,$T305),INDEX('Lớp 3 - Công việc chính'!$M$14:$M$73,$T305))))</f>
        <v>#REF!</v>
      </c>
      <c r="I305" s="692" t="str">
        <f t="array" ref="I305">IF($S305="","",IF($S305="Lớp 5",INDEX('Lớp 5 - Phân công'!$P$14:$P$262,$T305),IF($S305="Lớp 4",INDEX('Lớp 4 - Danh mục'!$O$14:$O$132,$T305),"")))</f>
        <v>#REF!</v>
      </c>
      <c r="J305" s="693" t="str">
        <f t="array" ref="J305">IF($S305="","",IF($S305="Lớp 5",INDEX('Lớp 5 - Phân công'!$Q$14:$Q$262,$T305),""))</f>
        <v>#REF!</v>
      </c>
      <c r="K305" s="690" t="str">
        <f t="array" ref="K305">IF($S305="","",IF($S305="Lớp 5",INDEX('Lớp 5 - Phân công'!$AA$14:$AA$262,$T305),IF($S305="Lớp 4",INDEX('Lớp 4 - Danh mục'!$Y$14:$Y$132,$T305),INDEX('Lớp 3 - Công việc chính'!$U$14:$U$73,$T305))))</f>
        <v>#REF!</v>
      </c>
      <c r="L305" s="691" t="str">
        <f t="array" ref="L305">IF($S305="","",IF($S305="Lớp 5",INDEX('Lớp 5 - Phân công'!$Z$14:$Z$262,$T305),IF($S305="Lớp 4",INDEX('Lớp 4 - Danh mục'!$X$14:$X$132,$T305),INDEX('Lớp 3 - Công việc chính'!$W$14:$W$73,$T305))))</f>
        <v>#REF!</v>
      </c>
      <c r="M305" s="694" t="str">
        <f t="array" ref="M305">IF($S305="","",IF($S305="Lớp 5",INDEX('Lớp 5 - Phân công'!$AD$14:$AD$262,$T305),IF($S305="Lớp 4",INDEX('Lớp 4 - Danh mục'!$AC$14:$AC$132,$T305),INDEX('Lớp 3 - Công việc chính'!$Z$14:$Z$73,$T305))))</f>
        <v>#REF!</v>
      </c>
      <c r="N305" s="695" t="str">
        <f t="array" ref="N305">IF($S305="","",IF($S305="Lớp 5",INDEX('Lớp 5 - Phân công'!$AE$14:$AE$262,$T305),IF($S305="Lớp 4",INDEX('Lớp 4 - Danh mục'!$AD$14:$AD$132,$T305),INDEX('Lớp 3 - Công việc chính'!$AA$14:$AA$73,$T305))))</f>
        <v>#REF!</v>
      </c>
      <c r="O305" s="690" t="str">
        <f t="array" ref="O305">IF($S305="","",IF($S305="Lớp 5",INDEX('Lớp 5 - Phân công'!$AB$14:$AB$262,$T305),IF($S305="Lớp 4",INDEX('Lớp 4 - Danh mục'!$AA$14:$AA$132,$T305),INDEX('Lớp 3 - Công việc chính'!$X$14:$X$73,$T305))))</f>
        <v>#REF!</v>
      </c>
      <c r="P305" s="703" t="str">
        <f t="array" ref="P305">IF($S305="","",IF($S305="Lớp 5",INDEX('Lớp 5 - Phân công'!$AC$14:$AC$262,$T305),IF($S305="Lớp 4",INDEX('Lớp 4 - Danh mục'!$AB$14:$AB$132,$T305),INDEX('Lớp 3 - Công việc chính'!$Y$14:$Y$73,$T305))))</f>
        <v>#REF!</v>
      </c>
      <c r="Q305" s="697" t="str">
        <f t="array" ref="Q305">IF($S305="","",IF($S305="Lớp 5",INDEX('Lớp 5 - Phân công'!$AG$14:$AG$262,$T305),IF($S305="Lớp 4",INDEX('Lớp 4 - Danh mục'!$AF$14:$AF$132,$T305),INDEX('Lớp 3 - Công việc chính'!$AC$14:$AC$73,$T305))))</f>
        <v>#REF!</v>
      </c>
      <c r="R305" s="698" t="str">
        <f t="array" ref="R305">IF($S305="","",IF($S305="Lớp 5",INDEX('Lớp 5 - Phân công'!$X$14:$X$262,$T305),IF($S305="Lớp 4",INDEX('Lớp 4 - Danh mục'!$V$14:$V$132,$T305),INDEX('Lớp 3 - Công việc chính'!$T$14:$T$73,$T305))))</f>
        <v>#REF!</v>
      </c>
      <c r="S305" s="699" t="str">
        <f>IF(ROWS($S$14:S305)&lt;=COUNTIF('Lớp 5 - Phân công'!$I$14:$I$262,"&lt;&gt;"),"Lớp 5",IF(ROWS($S$14:S305)&lt;=COUNTIF('Lớp 5 - Phân công'!$I$14:$I$262,"&lt;&gt;")+SUMPRODUCT(--('Lớp 4 - Danh mục'!$I$14:$I$132&lt;&gt;""),--(COUNTIF('Lớp 5 - Phân công'!$J$14:$J$262,'Lớp 4 - Danh mục'!$I$14:$I$132)=0)),"Lớp 4",IF(ROWS($S$14:S305)&lt;=COUNTIF('Lớp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5" s="699" t="str">
        <f t="array" ref="T305">IF(S305="","",IF(S305="Lớp 5",IF(S304&lt;&gt;"Lớp 5",MATCH("*",'Lớp 5 - Phân công'!$I$14:$I$262,0),T304+MATCH("*",INDEX('Lớp 5 - Phân công'!$I$14:$I$262,T304+1):'Lớp 5 - Phân công'!$I$262,0)),IF(S305="Lớp 4",IF(S304&lt;&gt;"Lớp 4",MATCH(1,INDEX(('Lớp 4 - Danh mục'!$I$14:$I$132&lt;&gt;"")*(COUNTIF('Lớp 5 - Phân công'!$J$14:$J$262,'Lớp 4 - Danh mục'!$I$14:$I$132)=0),0),0),T304+MATCH(1,INDEX((INDEX('Lớp 4 - Danh mục'!$I$14:$I$132,T304+1):'Lớp 4 - Danh mục'!$I$132&lt;&gt;"")*(COUNTIF('Lớp 5 - Phân công'!$J$14:$J$262,INDEX('Lớp 4 - Danh mục'!$I$14:$I$132,T304+1):'Lớp 4 - Danh mục'!$I$132)=0),0),0)),IF(S304&lt;&gt;"Lớp 3",MATCH(1,INDEX(('Lớp 3 - Công việc chính'!$I$14:$I$73&lt;&gt;"")*(COUNTIF('Lớp 4 - Danh mục'!$J$14:$J$132,'Lớp 3 - Công việc chính'!$I$14:$I$73)=0),0),0),T304+MATCH(1,INDEX((INDEX('Lớp 3 - Công việc chính'!$I$14:$I$73,T304+1):'Lớp 3 - Công việc chính'!$I$73&lt;&gt;"")*(COUNTIF('Lớp 4 - Danh mục'!$J$14:$J$132,INDEX('Lớp 3 - Công việc chính'!$I$14:$I$73,T304+1):'Lớp 3 - Công việc chính'!$I$73)=0),0),0)))))</f>
        <v>#REF!</v>
      </c>
      <c r="Z305" s="700" t="str">
        <f t="array" ref="Z305">IF($S305="","",IF($S305="Lớp 5",INDEX('Lớp 5 - Phân công'!$AS$14:$AS$262,$T305),IF($S305="Lớp 4",INDEX('Lớp 4 - Danh mục'!$AR$14:$AR$132,$T305),INDEX('Lớp 3 - Công việc chính'!$AO$14:$AO$73,$T305))))</f>
        <v>#REF!</v>
      </c>
      <c r="AA305" s="701" t="str">
        <f t="array" ref="AA305">IF($S305="","",IF($S305="Lớp 5",INDEX('Lớp 5 - Phân công'!$AT$14:$AT$262,$T305),IF($S305="Lớp 4",INDEX('Lớp 4 - Danh mục'!$AS$14:$AS$132,$T305),INDEX('Lớp 3 - Công việc chính'!$AP$14:$AP$73,$T305))))</f>
        <v>#REF!</v>
      </c>
      <c r="AB305" s="701" t="str">
        <f t="array" ref="AB305">IF($S305="","",IF($S305="Lớp 5",INDEX('Lớp 5 - Phân công'!$AJ$14:$AJ$262,$T305),IF($S305="Lớp 4",INDEX('Lớp 4 - Danh mục'!$AI$14:$AI$132,$T305),INDEX('Lớp 3 - Công việc chính'!$AF$14:$AF$73,$T305))))</f>
        <v>#REF!</v>
      </c>
      <c r="AC305" s="702" t="str">
        <f t="array" ref="AC305">IF($S305="","",IF($S305="Lớp 5",INDEX('Lớp 5 - Phân công'!$AV$14:$AV$262,$T305),IF($S305="Lớp 4",INDEX('Lớp 4 - Danh mục'!$AU$14:$AU$132,$T305),INDEX('Lớp 3 - Công việc chính'!$AR$14:$AR$73,$T305))))</f>
        <v>#REF!</v>
      </c>
    </row>
    <row r="306" ht="15.75" customHeight="1">
      <c r="A306" s="690" t="str">
        <f t="shared" si="1"/>
        <v>#REF!</v>
      </c>
      <c r="B306" s="690" t="str">
        <f t="array" ref="B306">IF($S306="","",IF($S306="Lớp 5",INDEX('Lớp 5 - Phân công'!$I$14:$I$262,$T306),IF($S306="Lớp 4",INDEX('Lớp 4 - Danh mục'!$I$14:$I$132,$T306),INDEX('Lớp 3 - Công việc chính'!$I$14:$I$73,$T306))))</f>
        <v>#REF!</v>
      </c>
      <c r="C306" s="690" t="str">
        <f t="array" ref="C306">IF($S306="","",IF($S306="Lớp 5",INDEX('Lớp 5 - Phân công'!$K$14:$K$262,$T306),IF($S306="Lớp 4",INDEX('Lớp 4 - Danh mục'!$J$14:$J$132,$T306),INDEX('Lớp 3 - Công việc chính'!$I$14:$I$73,$T306))))</f>
        <v>#REF!</v>
      </c>
      <c r="D306" s="690" t="str">
        <f t="array" ref="D306">IF($S306="","",IF($S306="Lớp 5",INDEX('Lớp 5 - Phân công'!$J$14:$J$262,$T306),IF($S306="Lớp 4",INDEX('Lớp 4 - Danh mục'!$I$14:$I$132,$T306),"")))</f>
        <v>#REF!</v>
      </c>
      <c r="E306" s="690" t="str">
        <f t="array" ref="E306">IF($S306="","",IF($S306="Lớp 5",INDEX('Lớp 5 - Phân công'!$L$14:$L$262,$T306),IF($S306="Lớp 4",INDEX('Lớp 4 - Danh mục'!$K$14:$K$132,$T306),INDEX('Lớp 3 - Công việc chính'!$J$14:$J$73,$T306))))</f>
        <v>#REF!</v>
      </c>
      <c r="F306" s="690" t="str">
        <f t="array" ref="F306">IF($S306="","",IF($S306="Lớp 5",INDEX('Lớp 5 - Phân công'!$M$14:$M$262,$T306),IF($S306="Lớp 4",INDEX('Lớp 4 - Danh mục'!$L$14:$L$132,$T306),INDEX('Lớp 3 - Công việc chính'!$K$14:$K$73,$T306))))</f>
        <v>#REF!</v>
      </c>
      <c r="G306" s="691" t="str">
        <f t="array" ref="G306">IF($S306="","",IF($S306="Lớp 5",INDEX('Lớp 5 - Phân công'!$N$14:$N$262,$T306),IF($S306="Lớp 4",INDEX('Lớp 4 - Danh mục'!$M$14:$M$132,$T306),INDEX('Lớp 3 - Công việc chính'!$L$14:$L$73,$T306))))</f>
        <v>#REF!</v>
      </c>
      <c r="H306" s="692" t="str">
        <f t="array" ref="H306">IF($S306="","",IF($S306="Lớp 5",INDEX('Lớp 5 - Phân công'!$O$14:$O$262,$T306),IF($S306="Lớp 4",INDEX('Lớp 4 - Danh mục'!$N$14:$N$132,$T306),INDEX('Lớp 3 - Công việc chính'!$M$14:$M$73,$T306))))</f>
        <v>#REF!</v>
      </c>
      <c r="I306" s="692" t="str">
        <f t="array" ref="I306">IF($S306="","",IF($S306="Lớp 5",INDEX('Lớp 5 - Phân công'!$P$14:$P$262,$T306),IF($S306="Lớp 4",INDEX('Lớp 4 - Danh mục'!$O$14:$O$132,$T306),"")))</f>
        <v>#REF!</v>
      </c>
      <c r="J306" s="693" t="str">
        <f t="array" ref="J306">IF($S306="","",IF($S306="Lớp 5",INDEX('Lớp 5 - Phân công'!$Q$14:$Q$262,$T306),""))</f>
        <v>#REF!</v>
      </c>
      <c r="K306" s="690" t="str">
        <f t="array" ref="K306">IF($S306="","",IF($S306="Lớp 5",INDEX('Lớp 5 - Phân công'!$AA$14:$AA$262,$T306),IF($S306="Lớp 4",INDEX('Lớp 4 - Danh mục'!$Y$14:$Y$132,$T306),INDEX('Lớp 3 - Công việc chính'!$U$14:$U$73,$T306))))</f>
        <v>#REF!</v>
      </c>
      <c r="L306" s="691" t="str">
        <f t="array" ref="L306">IF($S306="","",IF($S306="Lớp 5",INDEX('Lớp 5 - Phân công'!$Z$14:$Z$262,$T306),IF($S306="Lớp 4",INDEX('Lớp 4 - Danh mục'!$X$14:$X$132,$T306),INDEX('Lớp 3 - Công việc chính'!$W$14:$W$73,$T306))))</f>
        <v>#REF!</v>
      </c>
      <c r="M306" s="694" t="str">
        <f t="array" ref="M306">IF($S306="","",IF($S306="Lớp 5",INDEX('Lớp 5 - Phân công'!$AD$14:$AD$262,$T306),IF($S306="Lớp 4",INDEX('Lớp 4 - Danh mục'!$AC$14:$AC$132,$T306),INDEX('Lớp 3 - Công việc chính'!$Z$14:$Z$73,$T306))))</f>
        <v>#REF!</v>
      </c>
      <c r="N306" s="695" t="str">
        <f t="array" ref="N306">IF($S306="","",IF($S306="Lớp 5",INDEX('Lớp 5 - Phân công'!$AE$14:$AE$262,$T306),IF($S306="Lớp 4",INDEX('Lớp 4 - Danh mục'!$AD$14:$AD$132,$T306),INDEX('Lớp 3 - Công việc chính'!$AA$14:$AA$73,$T306))))</f>
        <v>#REF!</v>
      </c>
      <c r="O306" s="690" t="str">
        <f t="array" ref="O306">IF($S306="","",IF($S306="Lớp 5",INDEX('Lớp 5 - Phân công'!$AB$14:$AB$262,$T306),IF($S306="Lớp 4",INDEX('Lớp 4 - Danh mục'!$AA$14:$AA$132,$T306),INDEX('Lớp 3 - Công việc chính'!$X$14:$X$73,$T306))))</f>
        <v>#REF!</v>
      </c>
      <c r="P306" s="703" t="str">
        <f t="array" ref="P306">IF($S306="","",IF($S306="Lớp 5",INDEX('Lớp 5 - Phân công'!$AC$14:$AC$262,$T306),IF($S306="Lớp 4",INDEX('Lớp 4 - Danh mục'!$AB$14:$AB$132,$T306),INDEX('Lớp 3 - Công việc chính'!$Y$14:$Y$73,$T306))))</f>
        <v>#REF!</v>
      </c>
      <c r="Q306" s="697" t="str">
        <f t="array" ref="Q306">IF($S306="","",IF($S306="Lớp 5",INDEX('Lớp 5 - Phân công'!$AG$14:$AG$262,$T306),IF($S306="Lớp 4",INDEX('Lớp 4 - Danh mục'!$AF$14:$AF$132,$T306),INDEX('Lớp 3 - Công việc chính'!$AC$14:$AC$73,$T306))))</f>
        <v>#REF!</v>
      </c>
      <c r="R306" s="698" t="str">
        <f t="array" ref="R306">IF($S306="","",IF($S306="Lớp 5",INDEX('Lớp 5 - Phân công'!$X$14:$X$262,$T306),IF($S306="Lớp 4",INDEX('Lớp 4 - Danh mục'!$V$14:$V$132,$T306),INDEX('Lớp 3 - Công việc chính'!$T$14:$T$73,$T306))))</f>
        <v>#REF!</v>
      </c>
      <c r="S306" s="699" t="str">
        <f>IF(ROWS($S$14:S306)&lt;=COUNTIF('Lớp 5 - Phân công'!$I$14:$I$262,"&lt;&gt;"),"Lớp 5",IF(ROWS($S$14:S306)&lt;=COUNTIF('Lớp 5 - Phân công'!$I$14:$I$262,"&lt;&gt;")+SUMPRODUCT(--('Lớp 4 - Danh mục'!$I$14:$I$132&lt;&gt;""),--(COUNTIF('Lớp 5 - Phân công'!$J$14:$J$262,'Lớp 4 - Danh mục'!$I$14:$I$132)=0)),"Lớp 4",IF(ROWS($S$14:S306)&lt;=COUNTIF('Lớp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6" s="699" t="str">
        <f t="array" ref="T306">IF(S306="","",IF(S306="Lớp 5",IF(S305&lt;&gt;"Lớp 5",MATCH("*",'Lớp 5 - Phân công'!$I$14:$I$262,0),T305+MATCH("*",INDEX('Lớp 5 - Phân công'!$I$14:$I$262,T305+1):'Lớp 5 - Phân công'!$I$262,0)),IF(S306="Lớp 4",IF(S305&lt;&gt;"Lớp 4",MATCH(1,INDEX(('Lớp 4 - Danh mục'!$I$14:$I$132&lt;&gt;"")*(COUNTIF('Lớp 5 - Phân công'!$J$14:$J$262,'Lớp 4 - Danh mục'!$I$14:$I$132)=0),0),0),T305+MATCH(1,INDEX((INDEX('Lớp 4 - Danh mục'!$I$14:$I$132,T305+1):'Lớp 4 - Danh mục'!$I$132&lt;&gt;"")*(COUNTIF('Lớp 5 - Phân công'!$J$14:$J$262,INDEX('Lớp 4 - Danh mục'!$I$14:$I$132,T305+1):'Lớp 4 - Danh mục'!$I$132)=0),0),0)),IF(S305&lt;&gt;"Lớp 3",MATCH(1,INDEX(('Lớp 3 - Công việc chính'!$I$14:$I$73&lt;&gt;"")*(COUNTIF('Lớp 4 - Danh mục'!$J$14:$J$132,'Lớp 3 - Công việc chính'!$I$14:$I$73)=0),0),0),T305+MATCH(1,INDEX((INDEX('Lớp 3 - Công việc chính'!$I$14:$I$73,T305+1):'Lớp 3 - Công việc chính'!$I$73&lt;&gt;"")*(COUNTIF('Lớp 4 - Danh mục'!$J$14:$J$132,INDEX('Lớp 3 - Công việc chính'!$I$14:$I$73,T305+1):'Lớp 3 - Công việc chính'!$I$73)=0),0),0)))))</f>
        <v>#REF!</v>
      </c>
      <c r="Z306" s="700" t="str">
        <f t="array" ref="Z306">IF($S306="","",IF($S306="Lớp 5",INDEX('Lớp 5 - Phân công'!$AS$14:$AS$262,$T306),IF($S306="Lớp 4",INDEX('Lớp 4 - Danh mục'!$AR$14:$AR$132,$T306),INDEX('Lớp 3 - Công việc chính'!$AO$14:$AO$73,$T306))))</f>
        <v>#REF!</v>
      </c>
      <c r="AA306" s="701" t="str">
        <f t="array" ref="AA306">IF($S306="","",IF($S306="Lớp 5",INDEX('Lớp 5 - Phân công'!$AT$14:$AT$262,$T306),IF($S306="Lớp 4",INDEX('Lớp 4 - Danh mục'!$AS$14:$AS$132,$T306),INDEX('Lớp 3 - Công việc chính'!$AP$14:$AP$73,$T306))))</f>
        <v>#REF!</v>
      </c>
      <c r="AB306" s="701" t="str">
        <f t="array" ref="AB306">IF($S306="","",IF($S306="Lớp 5",INDEX('Lớp 5 - Phân công'!$AJ$14:$AJ$262,$T306),IF($S306="Lớp 4",INDEX('Lớp 4 - Danh mục'!$AI$14:$AI$132,$T306),INDEX('Lớp 3 - Công việc chính'!$AF$14:$AF$73,$T306))))</f>
        <v>#REF!</v>
      </c>
      <c r="AC306" s="702" t="str">
        <f t="array" ref="AC306">IF($S306="","",IF($S306="Lớp 5",INDEX('Lớp 5 - Phân công'!$AV$14:$AV$262,$T306),IF($S306="Lớp 4",INDEX('Lớp 4 - Danh mục'!$AU$14:$AU$132,$T306),INDEX('Lớp 3 - Công việc chính'!$AR$14:$AR$73,$T306))))</f>
        <v>#REF!</v>
      </c>
    </row>
    <row r="307" ht="15.75" customHeight="1">
      <c r="A307" s="690" t="str">
        <f t="shared" si="1"/>
        <v>#REF!</v>
      </c>
      <c r="B307" s="690" t="str">
        <f t="array" ref="B307">IF($S307="","",IF($S307="Lớp 5",INDEX('Lớp 5 - Phân công'!$I$14:$I$262,$T307),IF($S307="Lớp 4",INDEX('Lớp 4 - Danh mục'!$I$14:$I$132,$T307),INDEX('Lớp 3 - Công việc chính'!$I$14:$I$73,$T307))))</f>
        <v>#REF!</v>
      </c>
      <c r="C307" s="690" t="str">
        <f t="array" ref="C307">IF($S307="","",IF($S307="Lớp 5",INDEX('Lớp 5 - Phân công'!$K$14:$K$262,$T307),IF($S307="Lớp 4",INDEX('Lớp 4 - Danh mục'!$J$14:$J$132,$T307),INDEX('Lớp 3 - Công việc chính'!$I$14:$I$73,$T307))))</f>
        <v>#REF!</v>
      </c>
      <c r="D307" s="690" t="str">
        <f t="array" ref="D307">IF($S307="","",IF($S307="Lớp 5",INDEX('Lớp 5 - Phân công'!$J$14:$J$262,$T307),IF($S307="Lớp 4",INDEX('Lớp 4 - Danh mục'!$I$14:$I$132,$T307),"")))</f>
        <v>#REF!</v>
      </c>
      <c r="E307" s="690" t="str">
        <f t="array" ref="E307">IF($S307="","",IF($S307="Lớp 5",INDEX('Lớp 5 - Phân công'!$L$14:$L$262,$T307),IF($S307="Lớp 4",INDEX('Lớp 4 - Danh mục'!$K$14:$K$132,$T307),INDEX('Lớp 3 - Công việc chính'!$J$14:$J$73,$T307))))</f>
        <v>#REF!</v>
      </c>
      <c r="F307" s="690" t="str">
        <f t="array" ref="F307">IF($S307="","",IF($S307="Lớp 5",INDEX('Lớp 5 - Phân công'!$M$14:$M$262,$T307),IF($S307="Lớp 4",INDEX('Lớp 4 - Danh mục'!$L$14:$L$132,$T307),INDEX('Lớp 3 - Công việc chính'!$K$14:$K$73,$T307))))</f>
        <v>#REF!</v>
      </c>
      <c r="G307" s="691" t="str">
        <f t="array" ref="G307">IF($S307="","",IF($S307="Lớp 5",INDEX('Lớp 5 - Phân công'!$N$14:$N$262,$T307),IF($S307="Lớp 4",INDEX('Lớp 4 - Danh mục'!$M$14:$M$132,$T307),INDEX('Lớp 3 - Công việc chính'!$L$14:$L$73,$T307))))</f>
        <v>#REF!</v>
      </c>
      <c r="H307" s="692" t="str">
        <f t="array" ref="H307">IF($S307="","",IF($S307="Lớp 5",INDEX('Lớp 5 - Phân công'!$O$14:$O$262,$T307),IF($S307="Lớp 4",INDEX('Lớp 4 - Danh mục'!$N$14:$N$132,$T307),INDEX('Lớp 3 - Công việc chính'!$M$14:$M$73,$T307))))</f>
        <v>#REF!</v>
      </c>
      <c r="I307" s="692" t="str">
        <f t="array" ref="I307">IF($S307="","",IF($S307="Lớp 5",INDEX('Lớp 5 - Phân công'!$P$14:$P$262,$T307),IF($S307="Lớp 4",INDEX('Lớp 4 - Danh mục'!$O$14:$O$132,$T307),"")))</f>
        <v>#REF!</v>
      </c>
      <c r="J307" s="693" t="str">
        <f t="array" ref="J307">IF($S307="","",IF($S307="Lớp 5",INDEX('Lớp 5 - Phân công'!$Q$14:$Q$262,$T307),""))</f>
        <v>#REF!</v>
      </c>
      <c r="K307" s="690" t="str">
        <f t="array" ref="K307">IF($S307="","",IF($S307="Lớp 5",INDEX('Lớp 5 - Phân công'!$AA$14:$AA$262,$T307),IF($S307="Lớp 4",INDEX('Lớp 4 - Danh mục'!$Y$14:$Y$132,$T307),INDEX('Lớp 3 - Công việc chính'!$U$14:$U$73,$T307))))</f>
        <v>#REF!</v>
      </c>
      <c r="L307" s="691" t="str">
        <f t="array" ref="L307">IF($S307="","",IF($S307="Lớp 5",INDEX('Lớp 5 - Phân công'!$Z$14:$Z$262,$T307),IF($S307="Lớp 4",INDEX('Lớp 4 - Danh mục'!$X$14:$X$132,$T307),INDEX('Lớp 3 - Công việc chính'!$W$14:$W$73,$T307))))</f>
        <v>#REF!</v>
      </c>
      <c r="M307" s="694" t="str">
        <f t="array" ref="M307">IF($S307="","",IF($S307="Lớp 5",INDEX('Lớp 5 - Phân công'!$AD$14:$AD$262,$T307),IF($S307="Lớp 4",INDEX('Lớp 4 - Danh mục'!$AC$14:$AC$132,$T307),INDEX('Lớp 3 - Công việc chính'!$Z$14:$Z$73,$T307))))</f>
        <v>#REF!</v>
      </c>
      <c r="N307" s="695" t="str">
        <f t="array" ref="N307">IF($S307="","",IF($S307="Lớp 5",INDEX('Lớp 5 - Phân công'!$AE$14:$AE$262,$T307),IF($S307="Lớp 4",INDEX('Lớp 4 - Danh mục'!$AD$14:$AD$132,$T307),INDEX('Lớp 3 - Công việc chính'!$AA$14:$AA$73,$T307))))</f>
        <v>#REF!</v>
      </c>
      <c r="O307" s="690" t="str">
        <f t="array" ref="O307">IF($S307="","",IF($S307="Lớp 5",INDEX('Lớp 5 - Phân công'!$AB$14:$AB$262,$T307),IF($S307="Lớp 4",INDEX('Lớp 4 - Danh mục'!$AA$14:$AA$132,$T307),INDEX('Lớp 3 - Công việc chính'!$X$14:$X$73,$T307))))</f>
        <v>#REF!</v>
      </c>
      <c r="P307" s="703" t="str">
        <f t="array" ref="P307">IF($S307="","",IF($S307="Lớp 5",INDEX('Lớp 5 - Phân công'!$AC$14:$AC$262,$T307),IF($S307="Lớp 4",INDEX('Lớp 4 - Danh mục'!$AB$14:$AB$132,$T307),INDEX('Lớp 3 - Công việc chính'!$Y$14:$Y$73,$T307))))</f>
        <v>#REF!</v>
      </c>
      <c r="Q307" s="697" t="str">
        <f t="array" ref="Q307">IF($S307="","",IF($S307="Lớp 5",INDEX('Lớp 5 - Phân công'!$AG$14:$AG$262,$T307),IF($S307="Lớp 4",INDEX('Lớp 4 - Danh mục'!$AF$14:$AF$132,$T307),INDEX('Lớp 3 - Công việc chính'!$AC$14:$AC$73,$T307))))</f>
        <v>#REF!</v>
      </c>
      <c r="R307" s="698" t="str">
        <f t="array" ref="R307">IF($S307="","",IF($S307="Lớp 5",INDEX('Lớp 5 - Phân công'!$X$14:$X$262,$T307),IF($S307="Lớp 4",INDEX('Lớp 4 - Danh mục'!$V$14:$V$132,$T307),INDEX('Lớp 3 - Công việc chính'!$T$14:$T$73,$T307))))</f>
        <v>#REF!</v>
      </c>
      <c r="S307" s="699" t="str">
        <f>IF(ROWS($S$14:S307)&lt;=COUNTIF('Lớp 5 - Phân công'!$I$14:$I$262,"&lt;&gt;"),"Lớp 5",IF(ROWS($S$14:S307)&lt;=COUNTIF('Lớp 5 - Phân công'!$I$14:$I$262,"&lt;&gt;")+SUMPRODUCT(--('Lớp 4 - Danh mục'!$I$14:$I$132&lt;&gt;""),--(COUNTIF('Lớp 5 - Phân công'!$J$14:$J$262,'Lớp 4 - Danh mục'!$I$14:$I$132)=0)),"Lớp 4",IF(ROWS($S$14:S307)&lt;=COUNTIF('Lớp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7" s="699" t="str">
        <f t="array" ref="T307">IF(S307="","",IF(S307="Lớp 5",IF(S306&lt;&gt;"Lớp 5",MATCH("*",'Lớp 5 - Phân công'!$I$14:$I$262,0),T306+MATCH("*",INDEX('Lớp 5 - Phân công'!$I$14:$I$262,T306+1):'Lớp 5 - Phân công'!$I$262,0)),IF(S307="Lớp 4",IF(S306&lt;&gt;"Lớp 4",MATCH(1,INDEX(('Lớp 4 - Danh mục'!$I$14:$I$132&lt;&gt;"")*(COUNTIF('Lớp 5 - Phân công'!$J$14:$J$262,'Lớp 4 - Danh mục'!$I$14:$I$132)=0),0),0),T306+MATCH(1,INDEX((INDEX('Lớp 4 - Danh mục'!$I$14:$I$132,T306+1):'Lớp 4 - Danh mục'!$I$132&lt;&gt;"")*(COUNTIF('Lớp 5 - Phân công'!$J$14:$J$262,INDEX('Lớp 4 - Danh mục'!$I$14:$I$132,T306+1):'Lớp 4 - Danh mục'!$I$132)=0),0),0)),IF(S306&lt;&gt;"Lớp 3",MATCH(1,INDEX(('Lớp 3 - Công việc chính'!$I$14:$I$73&lt;&gt;"")*(COUNTIF('Lớp 4 - Danh mục'!$J$14:$J$132,'Lớp 3 - Công việc chính'!$I$14:$I$73)=0),0),0),T306+MATCH(1,INDEX((INDEX('Lớp 3 - Công việc chính'!$I$14:$I$73,T306+1):'Lớp 3 - Công việc chính'!$I$73&lt;&gt;"")*(COUNTIF('Lớp 4 - Danh mục'!$J$14:$J$132,INDEX('Lớp 3 - Công việc chính'!$I$14:$I$73,T306+1):'Lớp 3 - Công việc chính'!$I$73)=0),0),0)))))</f>
        <v>#REF!</v>
      </c>
      <c r="Z307" s="700" t="str">
        <f t="array" ref="Z307">IF($S307="","",IF($S307="Lớp 5",INDEX('Lớp 5 - Phân công'!$AS$14:$AS$262,$T307),IF($S307="Lớp 4",INDEX('Lớp 4 - Danh mục'!$AR$14:$AR$132,$T307),INDEX('Lớp 3 - Công việc chính'!$AO$14:$AO$73,$T307))))</f>
        <v>#REF!</v>
      </c>
      <c r="AA307" s="701" t="str">
        <f t="array" ref="AA307">IF($S307="","",IF($S307="Lớp 5",INDEX('Lớp 5 - Phân công'!$AT$14:$AT$262,$T307),IF($S307="Lớp 4",INDEX('Lớp 4 - Danh mục'!$AS$14:$AS$132,$T307),INDEX('Lớp 3 - Công việc chính'!$AP$14:$AP$73,$T307))))</f>
        <v>#REF!</v>
      </c>
      <c r="AB307" s="701" t="str">
        <f t="array" ref="AB307">IF($S307="","",IF($S307="Lớp 5",INDEX('Lớp 5 - Phân công'!$AJ$14:$AJ$262,$T307),IF($S307="Lớp 4",INDEX('Lớp 4 - Danh mục'!$AI$14:$AI$132,$T307),INDEX('Lớp 3 - Công việc chính'!$AF$14:$AF$73,$T307))))</f>
        <v>#REF!</v>
      </c>
      <c r="AC307" s="702" t="str">
        <f t="array" ref="AC307">IF($S307="","",IF($S307="Lớp 5",INDEX('Lớp 5 - Phân công'!$AV$14:$AV$262,$T307),IF($S307="Lớp 4",INDEX('Lớp 4 - Danh mục'!$AU$14:$AU$132,$T307),INDEX('Lớp 3 - Công việc chính'!$AR$14:$AR$73,$T307))))</f>
        <v>#REF!</v>
      </c>
    </row>
    <row r="308" ht="15.75" customHeight="1">
      <c r="A308" s="690" t="str">
        <f t="shared" si="1"/>
        <v>#REF!</v>
      </c>
      <c r="B308" s="690" t="str">
        <f t="array" ref="B308">IF($S308="","",IF($S308="Lớp 5",INDEX('Lớp 5 - Phân công'!$I$14:$I$262,$T308),IF($S308="Lớp 4",INDEX('Lớp 4 - Danh mục'!$I$14:$I$132,$T308),INDEX('Lớp 3 - Công việc chính'!$I$14:$I$73,$T308))))</f>
        <v>#REF!</v>
      </c>
      <c r="C308" s="690" t="str">
        <f t="array" ref="C308">IF($S308="","",IF($S308="Lớp 5",INDEX('Lớp 5 - Phân công'!$K$14:$K$262,$T308),IF($S308="Lớp 4",INDEX('Lớp 4 - Danh mục'!$J$14:$J$132,$T308),INDEX('Lớp 3 - Công việc chính'!$I$14:$I$73,$T308))))</f>
        <v>#REF!</v>
      </c>
      <c r="D308" s="690" t="str">
        <f t="array" ref="D308">IF($S308="","",IF($S308="Lớp 5",INDEX('Lớp 5 - Phân công'!$J$14:$J$262,$T308),IF($S308="Lớp 4",INDEX('Lớp 4 - Danh mục'!$I$14:$I$132,$T308),"")))</f>
        <v>#REF!</v>
      </c>
      <c r="E308" s="690" t="str">
        <f t="array" ref="E308">IF($S308="","",IF($S308="Lớp 5",INDEX('Lớp 5 - Phân công'!$L$14:$L$262,$T308),IF($S308="Lớp 4",INDEX('Lớp 4 - Danh mục'!$K$14:$K$132,$T308),INDEX('Lớp 3 - Công việc chính'!$J$14:$J$73,$T308))))</f>
        <v>#REF!</v>
      </c>
      <c r="F308" s="690" t="str">
        <f t="array" ref="F308">IF($S308="","",IF($S308="Lớp 5",INDEX('Lớp 5 - Phân công'!$M$14:$M$262,$T308),IF($S308="Lớp 4",INDEX('Lớp 4 - Danh mục'!$L$14:$L$132,$T308),INDEX('Lớp 3 - Công việc chính'!$K$14:$K$73,$T308))))</f>
        <v>#REF!</v>
      </c>
      <c r="G308" s="691" t="str">
        <f t="array" ref="G308">IF($S308="","",IF($S308="Lớp 5",INDEX('Lớp 5 - Phân công'!$N$14:$N$262,$T308),IF($S308="Lớp 4",INDEX('Lớp 4 - Danh mục'!$M$14:$M$132,$T308),INDEX('Lớp 3 - Công việc chính'!$L$14:$L$73,$T308))))</f>
        <v>#REF!</v>
      </c>
      <c r="H308" s="692" t="str">
        <f t="array" ref="H308">IF($S308="","",IF($S308="Lớp 5",INDEX('Lớp 5 - Phân công'!$O$14:$O$262,$T308),IF($S308="Lớp 4",INDEX('Lớp 4 - Danh mục'!$N$14:$N$132,$T308),INDEX('Lớp 3 - Công việc chính'!$M$14:$M$73,$T308))))</f>
        <v>#REF!</v>
      </c>
      <c r="I308" s="692" t="str">
        <f t="array" ref="I308">IF($S308="","",IF($S308="Lớp 5",INDEX('Lớp 5 - Phân công'!$P$14:$P$262,$T308),IF($S308="Lớp 4",INDEX('Lớp 4 - Danh mục'!$O$14:$O$132,$T308),"")))</f>
        <v>#REF!</v>
      </c>
      <c r="J308" s="693" t="str">
        <f t="array" ref="J308">IF($S308="","",IF($S308="Lớp 5",INDEX('Lớp 5 - Phân công'!$Q$14:$Q$262,$T308),""))</f>
        <v>#REF!</v>
      </c>
      <c r="K308" s="690" t="str">
        <f t="array" ref="K308">IF($S308="","",IF($S308="Lớp 5",INDEX('Lớp 5 - Phân công'!$AA$14:$AA$262,$T308),IF($S308="Lớp 4",INDEX('Lớp 4 - Danh mục'!$Y$14:$Y$132,$T308),INDEX('Lớp 3 - Công việc chính'!$U$14:$U$73,$T308))))</f>
        <v>#REF!</v>
      </c>
      <c r="L308" s="691" t="str">
        <f t="array" ref="L308">IF($S308="","",IF($S308="Lớp 5",INDEX('Lớp 5 - Phân công'!$Z$14:$Z$262,$T308),IF($S308="Lớp 4",INDEX('Lớp 4 - Danh mục'!$X$14:$X$132,$T308),INDEX('Lớp 3 - Công việc chính'!$W$14:$W$73,$T308))))</f>
        <v>#REF!</v>
      </c>
      <c r="M308" s="694" t="str">
        <f t="array" ref="M308">IF($S308="","",IF($S308="Lớp 5",INDEX('Lớp 5 - Phân công'!$AD$14:$AD$262,$T308),IF($S308="Lớp 4",INDEX('Lớp 4 - Danh mục'!$AC$14:$AC$132,$T308),INDEX('Lớp 3 - Công việc chính'!$Z$14:$Z$73,$T308))))</f>
        <v>#REF!</v>
      </c>
      <c r="N308" s="695" t="str">
        <f t="array" ref="N308">IF($S308="","",IF($S308="Lớp 5",INDEX('Lớp 5 - Phân công'!$AE$14:$AE$262,$T308),IF($S308="Lớp 4",INDEX('Lớp 4 - Danh mục'!$AD$14:$AD$132,$T308),INDEX('Lớp 3 - Công việc chính'!$AA$14:$AA$73,$T308))))</f>
        <v>#REF!</v>
      </c>
      <c r="O308" s="690" t="str">
        <f t="array" ref="O308">IF($S308="","",IF($S308="Lớp 5",INDEX('Lớp 5 - Phân công'!$AB$14:$AB$262,$T308),IF($S308="Lớp 4",INDEX('Lớp 4 - Danh mục'!$AA$14:$AA$132,$T308),INDEX('Lớp 3 - Công việc chính'!$X$14:$X$73,$T308))))</f>
        <v>#REF!</v>
      </c>
      <c r="P308" s="703" t="str">
        <f t="array" ref="P308">IF($S308="","",IF($S308="Lớp 5",INDEX('Lớp 5 - Phân công'!$AC$14:$AC$262,$T308),IF($S308="Lớp 4",INDEX('Lớp 4 - Danh mục'!$AB$14:$AB$132,$T308),INDEX('Lớp 3 - Công việc chính'!$Y$14:$Y$73,$T308))))</f>
        <v>#REF!</v>
      </c>
      <c r="Q308" s="697" t="str">
        <f t="array" ref="Q308">IF($S308="","",IF($S308="Lớp 5",INDEX('Lớp 5 - Phân công'!$AG$14:$AG$262,$T308),IF($S308="Lớp 4",INDEX('Lớp 4 - Danh mục'!$AF$14:$AF$132,$T308),INDEX('Lớp 3 - Công việc chính'!$AC$14:$AC$73,$T308))))</f>
        <v>#REF!</v>
      </c>
      <c r="R308" s="698" t="str">
        <f t="array" ref="R308">IF($S308="","",IF($S308="Lớp 5",INDEX('Lớp 5 - Phân công'!$X$14:$X$262,$T308),IF($S308="Lớp 4",INDEX('Lớp 4 - Danh mục'!$V$14:$V$132,$T308),INDEX('Lớp 3 - Công việc chính'!$T$14:$T$73,$T308))))</f>
        <v>#REF!</v>
      </c>
      <c r="S308" s="699" t="str">
        <f>IF(ROWS($S$14:S308)&lt;=COUNTIF('Lớp 5 - Phân công'!$I$14:$I$262,"&lt;&gt;"),"Lớp 5",IF(ROWS($S$14:S308)&lt;=COUNTIF('Lớp 5 - Phân công'!$I$14:$I$262,"&lt;&gt;")+SUMPRODUCT(--('Lớp 4 - Danh mục'!$I$14:$I$132&lt;&gt;""),--(COUNTIF('Lớp 5 - Phân công'!$J$14:$J$262,'Lớp 4 - Danh mục'!$I$14:$I$132)=0)),"Lớp 4",IF(ROWS($S$14:S308)&lt;=COUNTIF('Lớp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8" s="699" t="str">
        <f t="array" ref="T308">IF(S308="","",IF(S308="Lớp 5",IF(S307&lt;&gt;"Lớp 5",MATCH("*",'Lớp 5 - Phân công'!$I$14:$I$262,0),T307+MATCH("*",INDEX('Lớp 5 - Phân công'!$I$14:$I$262,T307+1):'Lớp 5 - Phân công'!$I$262,0)),IF(S308="Lớp 4",IF(S307&lt;&gt;"Lớp 4",MATCH(1,INDEX(('Lớp 4 - Danh mục'!$I$14:$I$132&lt;&gt;"")*(COUNTIF('Lớp 5 - Phân công'!$J$14:$J$262,'Lớp 4 - Danh mục'!$I$14:$I$132)=0),0),0),T307+MATCH(1,INDEX((INDEX('Lớp 4 - Danh mục'!$I$14:$I$132,T307+1):'Lớp 4 - Danh mục'!$I$132&lt;&gt;"")*(COUNTIF('Lớp 5 - Phân công'!$J$14:$J$262,INDEX('Lớp 4 - Danh mục'!$I$14:$I$132,T307+1):'Lớp 4 - Danh mục'!$I$132)=0),0),0)),IF(S307&lt;&gt;"Lớp 3",MATCH(1,INDEX(('Lớp 3 - Công việc chính'!$I$14:$I$73&lt;&gt;"")*(COUNTIF('Lớp 4 - Danh mục'!$J$14:$J$132,'Lớp 3 - Công việc chính'!$I$14:$I$73)=0),0),0),T307+MATCH(1,INDEX((INDEX('Lớp 3 - Công việc chính'!$I$14:$I$73,T307+1):'Lớp 3 - Công việc chính'!$I$73&lt;&gt;"")*(COUNTIF('Lớp 4 - Danh mục'!$J$14:$J$132,INDEX('Lớp 3 - Công việc chính'!$I$14:$I$73,T307+1):'Lớp 3 - Công việc chính'!$I$73)=0),0),0)))))</f>
        <v>#REF!</v>
      </c>
      <c r="Z308" s="700" t="str">
        <f t="array" ref="Z308">IF($S308="","",IF($S308="Lớp 5",INDEX('Lớp 5 - Phân công'!$AS$14:$AS$262,$T308),IF($S308="Lớp 4",INDEX('Lớp 4 - Danh mục'!$AR$14:$AR$132,$T308),INDEX('Lớp 3 - Công việc chính'!$AO$14:$AO$73,$T308))))</f>
        <v>#REF!</v>
      </c>
      <c r="AA308" s="701" t="str">
        <f t="array" ref="AA308">IF($S308="","",IF($S308="Lớp 5",INDEX('Lớp 5 - Phân công'!$AT$14:$AT$262,$T308),IF($S308="Lớp 4",INDEX('Lớp 4 - Danh mục'!$AS$14:$AS$132,$T308),INDEX('Lớp 3 - Công việc chính'!$AP$14:$AP$73,$T308))))</f>
        <v>#REF!</v>
      </c>
      <c r="AB308" s="701" t="str">
        <f t="array" ref="AB308">IF($S308="","",IF($S308="Lớp 5",INDEX('Lớp 5 - Phân công'!$AJ$14:$AJ$262,$T308),IF($S308="Lớp 4",INDEX('Lớp 4 - Danh mục'!$AI$14:$AI$132,$T308),INDEX('Lớp 3 - Công việc chính'!$AF$14:$AF$73,$T308))))</f>
        <v>#REF!</v>
      </c>
      <c r="AC308" s="702" t="str">
        <f t="array" ref="AC308">IF($S308="","",IF($S308="Lớp 5",INDEX('Lớp 5 - Phân công'!$AV$14:$AV$262,$T308),IF($S308="Lớp 4",INDEX('Lớp 4 - Danh mục'!$AU$14:$AU$132,$T308),INDEX('Lớp 3 - Công việc chính'!$AR$14:$AR$73,$T308))))</f>
        <v>#REF!</v>
      </c>
    </row>
    <row r="309" ht="15.75" customHeight="1">
      <c r="A309" s="690" t="str">
        <f t="shared" si="1"/>
        <v>#REF!</v>
      </c>
      <c r="B309" s="690" t="str">
        <f t="array" ref="B309">IF($S309="","",IF($S309="Lớp 5",INDEX('Lớp 5 - Phân công'!$I$14:$I$262,$T309),IF($S309="Lớp 4",INDEX('Lớp 4 - Danh mục'!$I$14:$I$132,$T309),INDEX('Lớp 3 - Công việc chính'!$I$14:$I$73,$T309))))</f>
        <v>#REF!</v>
      </c>
      <c r="C309" s="690" t="str">
        <f t="array" ref="C309">IF($S309="","",IF($S309="Lớp 5",INDEX('Lớp 5 - Phân công'!$K$14:$K$262,$T309),IF($S309="Lớp 4",INDEX('Lớp 4 - Danh mục'!$J$14:$J$132,$T309),INDEX('Lớp 3 - Công việc chính'!$I$14:$I$73,$T309))))</f>
        <v>#REF!</v>
      </c>
      <c r="D309" s="690" t="str">
        <f t="array" ref="D309">IF($S309="","",IF($S309="Lớp 5",INDEX('Lớp 5 - Phân công'!$J$14:$J$262,$T309),IF($S309="Lớp 4",INDEX('Lớp 4 - Danh mục'!$I$14:$I$132,$T309),"")))</f>
        <v>#REF!</v>
      </c>
      <c r="E309" s="690" t="str">
        <f t="array" ref="E309">IF($S309="","",IF($S309="Lớp 5",INDEX('Lớp 5 - Phân công'!$L$14:$L$262,$T309),IF($S309="Lớp 4",INDEX('Lớp 4 - Danh mục'!$K$14:$K$132,$T309),INDEX('Lớp 3 - Công việc chính'!$J$14:$J$73,$T309))))</f>
        <v>#REF!</v>
      </c>
      <c r="F309" s="690" t="str">
        <f t="array" ref="F309">IF($S309="","",IF($S309="Lớp 5",INDEX('Lớp 5 - Phân công'!$M$14:$M$262,$T309),IF($S309="Lớp 4",INDEX('Lớp 4 - Danh mục'!$L$14:$L$132,$T309),INDEX('Lớp 3 - Công việc chính'!$K$14:$K$73,$T309))))</f>
        <v>#REF!</v>
      </c>
      <c r="G309" s="691" t="str">
        <f t="array" ref="G309">IF($S309="","",IF($S309="Lớp 5",INDEX('Lớp 5 - Phân công'!$N$14:$N$262,$T309),IF($S309="Lớp 4",INDEX('Lớp 4 - Danh mục'!$M$14:$M$132,$T309),INDEX('Lớp 3 - Công việc chính'!$L$14:$L$73,$T309))))</f>
        <v>#REF!</v>
      </c>
      <c r="H309" s="692" t="str">
        <f t="array" ref="H309">IF($S309="","",IF($S309="Lớp 5",INDEX('Lớp 5 - Phân công'!$O$14:$O$262,$T309),IF($S309="Lớp 4",INDEX('Lớp 4 - Danh mục'!$N$14:$N$132,$T309),INDEX('Lớp 3 - Công việc chính'!$M$14:$M$73,$T309))))</f>
        <v>#REF!</v>
      </c>
      <c r="I309" s="692" t="str">
        <f t="array" ref="I309">IF($S309="","",IF($S309="Lớp 5",INDEX('Lớp 5 - Phân công'!$P$14:$P$262,$T309),IF($S309="Lớp 4",INDEX('Lớp 4 - Danh mục'!$O$14:$O$132,$T309),"")))</f>
        <v>#REF!</v>
      </c>
      <c r="J309" s="693" t="str">
        <f t="array" ref="J309">IF($S309="","",IF($S309="Lớp 5",INDEX('Lớp 5 - Phân công'!$Q$14:$Q$262,$T309),""))</f>
        <v>#REF!</v>
      </c>
      <c r="K309" s="690" t="str">
        <f t="array" ref="K309">IF($S309="","",IF($S309="Lớp 5",INDEX('Lớp 5 - Phân công'!$AA$14:$AA$262,$T309),IF($S309="Lớp 4",INDEX('Lớp 4 - Danh mục'!$Y$14:$Y$132,$T309),INDEX('Lớp 3 - Công việc chính'!$U$14:$U$73,$T309))))</f>
        <v>#REF!</v>
      </c>
      <c r="L309" s="691" t="str">
        <f t="array" ref="L309">IF($S309="","",IF($S309="Lớp 5",INDEX('Lớp 5 - Phân công'!$Z$14:$Z$262,$T309),IF($S309="Lớp 4",INDEX('Lớp 4 - Danh mục'!$X$14:$X$132,$T309),INDEX('Lớp 3 - Công việc chính'!$W$14:$W$73,$T309))))</f>
        <v>#REF!</v>
      </c>
      <c r="M309" s="694" t="str">
        <f t="array" ref="M309">IF($S309="","",IF($S309="Lớp 5",INDEX('Lớp 5 - Phân công'!$AD$14:$AD$262,$T309),IF($S309="Lớp 4",INDEX('Lớp 4 - Danh mục'!$AC$14:$AC$132,$T309),INDEX('Lớp 3 - Công việc chính'!$Z$14:$Z$73,$T309))))</f>
        <v>#REF!</v>
      </c>
      <c r="N309" s="695" t="str">
        <f t="array" ref="N309">IF($S309="","",IF($S309="Lớp 5",INDEX('Lớp 5 - Phân công'!$AE$14:$AE$262,$T309),IF($S309="Lớp 4",INDEX('Lớp 4 - Danh mục'!$AD$14:$AD$132,$T309),INDEX('Lớp 3 - Công việc chính'!$AA$14:$AA$73,$T309))))</f>
        <v>#REF!</v>
      </c>
      <c r="O309" s="690" t="str">
        <f t="array" ref="O309">IF($S309="","",IF($S309="Lớp 5",INDEX('Lớp 5 - Phân công'!$AB$14:$AB$262,$T309),IF($S309="Lớp 4",INDEX('Lớp 4 - Danh mục'!$AA$14:$AA$132,$T309),INDEX('Lớp 3 - Công việc chính'!$X$14:$X$73,$T309))))</f>
        <v>#REF!</v>
      </c>
      <c r="P309" s="703" t="str">
        <f t="array" ref="P309">IF($S309="","",IF($S309="Lớp 5",INDEX('Lớp 5 - Phân công'!$AC$14:$AC$262,$T309),IF($S309="Lớp 4",INDEX('Lớp 4 - Danh mục'!$AB$14:$AB$132,$T309),INDEX('Lớp 3 - Công việc chính'!$Y$14:$Y$73,$T309))))</f>
        <v>#REF!</v>
      </c>
      <c r="Q309" s="697" t="str">
        <f t="array" ref="Q309">IF($S309="","",IF($S309="Lớp 5",INDEX('Lớp 5 - Phân công'!$AG$14:$AG$262,$T309),IF($S309="Lớp 4",INDEX('Lớp 4 - Danh mục'!$AF$14:$AF$132,$T309),INDEX('Lớp 3 - Công việc chính'!$AC$14:$AC$73,$T309))))</f>
        <v>#REF!</v>
      </c>
      <c r="R309" s="698" t="str">
        <f t="array" ref="R309">IF($S309="","",IF($S309="Lớp 5",INDEX('Lớp 5 - Phân công'!$X$14:$X$262,$T309),IF($S309="Lớp 4",INDEX('Lớp 4 - Danh mục'!$V$14:$V$132,$T309),INDEX('Lớp 3 - Công việc chính'!$T$14:$T$73,$T309))))</f>
        <v>#REF!</v>
      </c>
      <c r="S309" s="699" t="str">
        <f>IF(ROWS($S$14:S309)&lt;=COUNTIF('Lớp 5 - Phân công'!$I$14:$I$262,"&lt;&gt;"),"Lớp 5",IF(ROWS($S$14:S309)&lt;=COUNTIF('Lớp 5 - Phân công'!$I$14:$I$262,"&lt;&gt;")+SUMPRODUCT(--('Lớp 4 - Danh mục'!$I$14:$I$132&lt;&gt;""),--(COUNTIF('Lớp 5 - Phân công'!$J$14:$J$262,'Lớp 4 - Danh mục'!$I$14:$I$132)=0)),"Lớp 4",IF(ROWS($S$14:S309)&lt;=COUNTIF('Lớp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09" s="699" t="str">
        <f t="array" ref="T309">IF(S309="","",IF(S309="Lớp 5",IF(S308&lt;&gt;"Lớp 5",MATCH("*",'Lớp 5 - Phân công'!$I$14:$I$262,0),T308+MATCH("*",INDEX('Lớp 5 - Phân công'!$I$14:$I$262,T308+1):'Lớp 5 - Phân công'!$I$262,0)),IF(S309="Lớp 4",IF(S308&lt;&gt;"Lớp 4",MATCH(1,INDEX(('Lớp 4 - Danh mục'!$I$14:$I$132&lt;&gt;"")*(COUNTIF('Lớp 5 - Phân công'!$J$14:$J$262,'Lớp 4 - Danh mục'!$I$14:$I$132)=0),0),0),T308+MATCH(1,INDEX((INDEX('Lớp 4 - Danh mục'!$I$14:$I$132,T308+1):'Lớp 4 - Danh mục'!$I$132&lt;&gt;"")*(COUNTIF('Lớp 5 - Phân công'!$J$14:$J$262,INDEX('Lớp 4 - Danh mục'!$I$14:$I$132,T308+1):'Lớp 4 - Danh mục'!$I$132)=0),0),0)),IF(S308&lt;&gt;"Lớp 3",MATCH(1,INDEX(('Lớp 3 - Công việc chính'!$I$14:$I$73&lt;&gt;"")*(COUNTIF('Lớp 4 - Danh mục'!$J$14:$J$132,'Lớp 3 - Công việc chính'!$I$14:$I$73)=0),0),0),T308+MATCH(1,INDEX((INDEX('Lớp 3 - Công việc chính'!$I$14:$I$73,T308+1):'Lớp 3 - Công việc chính'!$I$73&lt;&gt;"")*(COUNTIF('Lớp 4 - Danh mục'!$J$14:$J$132,INDEX('Lớp 3 - Công việc chính'!$I$14:$I$73,T308+1):'Lớp 3 - Công việc chính'!$I$73)=0),0),0)))))</f>
        <v>#REF!</v>
      </c>
      <c r="Z309" s="700" t="str">
        <f t="array" ref="Z309">IF($S309="","",IF($S309="Lớp 5",INDEX('Lớp 5 - Phân công'!$AS$14:$AS$262,$T309),IF($S309="Lớp 4",INDEX('Lớp 4 - Danh mục'!$AR$14:$AR$132,$T309),INDEX('Lớp 3 - Công việc chính'!$AO$14:$AO$73,$T309))))</f>
        <v>#REF!</v>
      </c>
      <c r="AA309" s="701" t="str">
        <f t="array" ref="AA309">IF($S309="","",IF($S309="Lớp 5",INDEX('Lớp 5 - Phân công'!$AT$14:$AT$262,$T309),IF($S309="Lớp 4",INDEX('Lớp 4 - Danh mục'!$AS$14:$AS$132,$T309),INDEX('Lớp 3 - Công việc chính'!$AP$14:$AP$73,$T309))))</f>
        <v>#REF!</v>
      </c>
      <c r="AB309" s="701" t="str">
        <f t="array" ref="AB309">IF($S309="","",IF($S309="Lớp 5",INDEX('Lớp 5 - Phân công'!$AJ$14:$AJ$262,$T309),IF($S309="Lớp 4",INDEX('Lớp 4 - Danh mục'!$AI$14:$AI$132,$T309),INDEX('Lớp 3 - Công việc chính'!$AF$14:$AF$73,$T309))))</f>
        <v>#REF!</v>
      </c>
      <c r="AC309" s="702" t="str">
        <f t="array" ref="AC309">IF($S309="","",IF($S309="Lớp 5",INDEX('Lớp 5 - Phân công'!$AV$14:$AV$262,$T309),IF($S309="Lớp 4",INDEX('Lớp 4 - Danh mục'!$AU$14:$AU$132,$T309),INDEX('Lớp 3 - Công việc chính'!$AR$14:$AR$73,$T309))))</f>
        <v>#REF!</v>
      </c>
    </row>
    <row r="310" ht="15.75" customHeight="1">
      <c r="A310" s="690" t="str">
        <f t="shared" si="1"/>
        <v>#REF!</v>
      </c>
      <c r="B310" s="690" t="str">
        <f t="array" ref="B310">IF($S310="","",IF($S310="Lớp 5",INDEX('Lớp 5 - Phân công'!$I$14:$I$262,$T310),IF($S310="Lớp 4",INDEX('Lớp 4 - Danh mục'!$I$14:$I$132,$T310),INDEX('Lớp 3 - Công việc chính'!$I$14:$I$73,$T310))))</f>
        <v>#REF!</v>
      </c>
      <c r="C310" s="690" t="str">
        <f t="array" ref="C310">IF($S310="","",IF($S310="Lớp 5",INDEX('Lớp 5 - Phân công'!$K$14:$K$262,$T310),IF($S310="Lớp 4",INDEX('Lớp 4 - Danh mục'!$J$14:$J$132,$T310),INDEX('Lớp 3 - Công việc chính'!$I$14:$I$73,$T310))))</f>
        <v>#REF!</v>
      </c>
      <c r="D310" s="690" t="str">
        <f t="array" ref="D310">IF($S310="","",IF($S310="Lớp 5",INDEX('Lớp 5 - Phân công'!$J$14:$J$262,$T310),IF($S310="Lớp 4",INDEX('Lớp 4 - Danh mục'!$I$14:$I$132,$T310),"")))</f>
        <v>#REF!</v>
      </c>
      <c r="E310" s="690" t="str">
        <f t="array" ref="E310">IF($S310="","",IF($S310="Lớp 5",INDEX('Lớp 5 - Phân công'!$L$14:$L$262,$T310),IF($S310="Lớp 4",INDEX('Lớp 4 - Danh mục'!$K$14:$K$132,$T310),INDEX('Lớp 3 - Công việc chính'!$J$14:$J$73,$T310))))</f>
        <v>#REF!</v>
      </c>
      <c r="F310" s="690" t="str">
        <f t="array" ref="F310">IF($S310="","",IF($S310="Lớp 5",INDEX('Lớp 5 - Phân công'!$M$14:$M$262,$T310),IF($S310="Lớp 4",INDEX('Lớp 4 - Danh mục'!$L$14:$L$132,$T310),INDEX('Lớp 3 - Công việc chính'!$K$14:$K$73,$T310))))</f>
        <v>#REF!</v>
      </c>
      <c r="G310" s="691" t="str">
        <f t="array" ref="G310">IF($S310="","",IF($S310="Lớp 5",INDEX('Lớp 5 - Phân công'!$N$14:$N$262,$T310),IF($S310="Lớp 4",INDEX('Lớp 4 - Danh mục'!$M$14:$M$132,$T310),INDEX('Lớp 3 - Công việc chính'!$L$14:$L$73,$T310))))</f>
        <v>#REF!</v>
      </c>
      <c r="H310" s="692" t="str">
        <f t="array" ref="H310">IF($S310="","",IF($S310="Lớp 5",INDEX('Lớp 5 - Phân công'!$O$14:$O$262,$T310),IF($S310="Lớp 4",INDEX('Lớp 4 - Danh mục'!$N$14:$N$132,$T310),INDEX('Lớp 3 - Công việc chính'!$M$14:$M$73,$T310))))</f>
        <v>#REF!</v>
      </c>
      <c r="I310" s="692" t="str">
        <f t="array" ref="I310">IF($S310="","",IF($S310="Lớp 5",INDEX('Lớp 5 - Phân công'!$P$14:$P$262,$T310),IF($S310="Lớp 4",INDEX('Lớp 4 - Danh mục'!$O$14:$O$132,$T310),"")))</f>
        <v>#REF!</v>
      </c>
      <c r="J310" s="693" t="str">
        <f t="array" ref="J310">IF($S310="","",IF($S310="Lớp 5",INDEX('Lớp 5 - Phân công'!$Q$14:$Q$262,$T310),""))</f>
        <v>#REF!</v>
      </c>
      <c r="K310" s="690" t="str">
        <f t="array" ref="K310">IF($S310="","",IF($S310="Lớp 5",INDEX('Lớp 5 - Phân công'!$AA$14:$AA$262,$T310),IF($S310="Lớp 4",INDEX('Lớp 4 - Danh mục'!$Y$14:$Y$132,$T310),INDEX('Lớp 3 - Công việc chính'!$U$14:$U$73,$T310))))</f>
        <v>#REF!</v>
      </c>
      <c r="L310" s="691" t="str">
        <f t="array" ref="L310">IF($S310="","",IF($S310="Lớp 5",INDEX('Lớp 5 - Phân công'!$Z$14:$Z$262,$T310),IF($S310="Lớp 4",INDEX('Lớp 4 - Danh mục'!$X$14:$X$132,$T310),INDEX('Lớp 3 - Công việc chính'!$W$14:$W$73,$T310))))</f>
        <v>#REF!</v>
      </c>
      <c r="M310" s="694" t="str">
        <f t="array" ref="M310">IF($S310="","",IF($S310="Lớp 5",INDEX('Lớp 5 - Phân công'!$AD$14:$AD$262,$T310),IF($S310="Lớp 4",INDEX('Lớp 4 - Danh mục'!$AC$14:$AC$132,$T310),INDEX('Lớp 3 - Công việc chính'!$Z$14:$Z$73,$T310))))</f>
        <v>#REF!</v>
      </c>
      <c r="N310" s="695" t="str">
        <f t="array" ref="N310">IF($S310="","",IF($S310="Lớp 5",INDEX('Lớp 5 - Phân công'!$AE$14:$AE$262,$T310),IF($S310="Lớp 4",INDEX('Lớp 4 - Danh mục'!$AD$14:$AD$132,$T310),INDEX('Lớp 3 - Công việc chính'!$AA$14:$AA$73,$T310))))</f>
        <v>#REF!</v>
      </c>
      <c r="O310" s="690" t="str">
        <f t="array" ref="O310">IF($S310="","",IF($S310="Lớp 5",INDEX('Lớp 5 - Phân công'!$AB$14:$AB$262,$T310),IF($S310="Lớp 4",INDEX('Lớp 4 - Danh mục'!$AA$14:$AA$132,$T310),INDEX('Lớp 3 - Công việc chính'!$X$14:$X$73,$T310))))</f>
        <v>#REF!</v>
      </c>
      <c r="P310" s="703" t="str">
        <f t="array" ref="P310">IF($S310="","",IF($S310="Lớp 5",INDEX('Lớp 5 - Phân công'!$AC$14:$AC$262,$T310),IF($S310="Lớp 4",INDEX('Lớp 4 - Danh mục'!$AB$14:$AB$132,$T310),INDEX('Lớp 3 - Công việc chính'!$Y$14:$Y$73,$T310))))</f>
        <v>#REF!</v>
      </c>
      <c r="Q310" s="697" t="str">
        <f t="array" ref="Q310">IF($S310="","",IF($S310="Lớp 5",INDEX('Lớp 5 - Phân công'!$AG$14:$AG$262,$T310),IF($S310="Lớp 4",INDEX('Lớp 4 - Danh mục'!$AF$14:$AF$132,$T310),INDEX('Lớp 3 - Công việc chính'!$AC$14:$AC$73,$T310))))</f>
        <v>#REF!</v>
      </c>
      <c r="R310" s="698" t="str">
        <f t="array" ref="R310">IF($S310="","",IF($S310="Lớp 5",INDEX('Lớp 5 - Phân công'!$X$14:$X$262,$T310),IF($S310="Lớp 4",INDEX('Lớp 4 - Danh mục'!$V$14:$V$132,$T310),INDEX('Lớp 3 - Công việc chính'!$T$14:$T$73,$T310))))</f>
        <v>#REF!</v>
      </c>
      <c r="S310" s="699" t="str">
        <f>IF(ROWS($S$14:S310)&lt;=COUNTIF('Lớp 5 - Phân công'!$I$14:$I$262,"&lt;&gt;"),"Lớp 5",IF(ROWS($S$14:S310)&lt;=COUNTIF('Lớp 5 - Phân công'!$I$14:$I$262,"&lt;&gt;")+SUMPRODUCT(--('Lớp 4 - Danh mục'!$I$14:$I$132&lt;&gt;""),--(COUNTIF('Lớp 5 - Phân công'!$J$14:$J$262,'Lớp 4 - Danh mục'!$I$14:$I$132)=0)),"Lớp 4",IF(ROWS($S$14:S310)&lt;=COUNTIF('Lớp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0" s="699" t="str">
        <f t="array" ref="T310">IF(S310="","",IF(S310="Lớp 5",IF(S309&lt;&gt;"Lớp 5",MATCH("*",'Lớp 5 - Phân công'!$I$14:$I$262,0),T309+MATCH("*",INDEX('Lớp 5 - Phân công'!$I$14:$I$262,T309+1):'Lớp 5 - Phân công'!$I$262,0)),IF(S310="Lớp 4",IF(S309&lt;&gt;"Lớp 4",MATCH(1,INDEX(('Lớp 4 - Danh mục'!$I$14:$I$132&lt;&gt;"")*(COUNTIF('Lớp 5 - Phân công'!$J$14:$J$262,'Lớp 4 - Danh mục'!$I$14:$I$132)=0),0),0),T309+MATCH(1,INDEX((INDEX('Lớp 4 - Danh mục'!$I$14:$I$132,T309+1):'Lớp 4 - Danh mục'!$I$132&lt;&gt;"")*(COUNTIF('Lớp 5 - Phân công'!$J$14:$J$262,INDEX('Lớp 4 - Danh mục'!$I$14:$I$132,T309+1):'Lớp 4 - Danh mục'!$I$132)=0),0),0)),IF(S309&lt;&gt;"Lớp 3",MATCH(1,INDEX(('Lớp 3 - Công việc chính'!$I$14:$I$73&lt;&gt;"")*(COUNTIF('Lớp 4 - Danh mục'!$J$14:$J$132,'Lớp 3 - Công việc chính'!$I$14:$I$73)=0),0),0),T309+MATCH(1,INDEX((INDEX('Lớp 3 - Công việc chính'!$I$14:$I$73,T309+1):'Lớp 3 - Công việc chính'!$I$73&lt;&gt;"")*(COUNTIF('Lớp 4 - Danh mục'!$J$14:$J$132,INDEX('Lớp 3 - Công việc chính'!$I$14:$I$73,T309+1):'Lớp 3 - Công việc chính'!$I$73)=0),0),0)))))</f>
        <v>#REF!</v>
      </c>
      <c r="Z310" s="700" t="str">
        <f t="array" ref="Z310">IF($S310="","",IF($S310="Lớp 5",INDEX('Lớp 5 - Phân công'!$AS$14:$AS$262,$T310),IF($S310="Lớp 4",INDEX('Lớp 4 - Danh mục'!$AR$14:$AR$132,$T310),INDEX('Lớp 3 - Công việc chính'!$AO$14:$AO$73,$T310))))</f>
        <v>#REF!</v>
      </c>
      <c r="AA310" s="701" t="str">
        <f t="array" ref="AA310">IF($S310="","",IF($S310="Lớp 5",INDEX('Lớp 5 - Phân công'!$AT$14:$AT$262,$T310),IF($S310="Lớp 4",INDEX('Lớp 4 - Danh mục'!$AS$14:$AS$132,$T310),INDEX('Lớp 3 - Công việc chính'!$AP$14:$AP$73,$T310))))</f>
        <v>#REF!</v>
      </c>
      <c r="AB310" s="701" t="str">
        <f t="array" ref="AB310">IF($S310="","",IF($S310="Lớp 5",INDEX('Lớp 5 - Phân công'!$AJ$14:$AJ$262,$T310),IF($S310="Lớp 4",INDEX('Lớp 4 - Danh mục'!$AI$14:$AI$132,$T310),INDEX('Lớp 3 - Công việc chính'!$AF$14:$AF$73,$T310))))</f>
        <v>#REF!</v>
      </c>
      <c r="AC310" s="702" t="str">
        <f t="array" ref="AC310">IF($S310="","",IF($S310="Lớp 5",INDEX('Lớp 5 - Phân công'!$AV$14:$AV$262,$T310),IF($S310="Lớp 4",INDEX('Lớp 4 - Danh mục'!$AU$14:$AU$132,$T310),INDEX('Lớp 3 - Công việc chính'!$AR$14:$AR$73,$T310))))</f>
        <v>#REF!</v>
      </c>
    </row>
    <row r="311" ht="15.75" customHeight="1">
      <c r="A311" s="690" t="str">
        <f t="shared" si="1"/>
        <v>#REF!</v>
      </c>
      <c r="B311" s="690" t="str">
        <f t="array" ref="B311">IF($S311="","",IF($S311="Lớp 5",INDEX('Lớp 5 - Phân công'!$I$14:$I$262,$T311),IF($S311="Lớp 4",INDEX('Lớp 4 - Danh mục'!$I$14:$I$132,$T311),INDEX('Lớp 3 - Công việc chính'!$I$14:$I$73,$T311))))</f>
        <v>#REF!</v>
      </c>
      <c r="C311" s="690" t="str">
        <f t="array" ref="C311">IF($S311="","",IF($S311="Lớp 5",INDEX('Lớp 5 - Phân công'!$K$14:$K$262,$T311),IF($S311="Lớp 4",INDEX('Lớp 4 - Danh mục'!$J$14:$J$132,$T311),INDEX('Lớp 3 - Công việc chính'!$I$14:$I$73,$T311))))</f>
        <v>#REF!</v>
      </c>
      <c r="D311" s="690" t="str">
        <f t="array" ref="D311">IF($S311="","",IF($S311="Lớp 5",INDEX('Lớp 5 - Phân công'!$J$14:$J$262,$T311),IF($S311="Lớp 4",INDEX('Lớp 4 - Danh mục'!$I$14:$I$132,$T311),"")))</f>
        <v>#REF!</v>
      </c>
      <c r="E311" s="690" t="str">
        <f t="array" ref="E311">IF($S311="","",IF($S311="Lớp 5",INDEX('Lớp 5 - Phân công'!$L$14:$L$262,$T311),IF($S311="Lớp 4",INDEX('Lớp 4 - Danh mục'!$K$14:$K$132,$T311),INDEX('Lớp 3 - Công việc chính'!$J$14:$J$73,$T311))))</f>
        <v>#REF!</v>
      </c>
      <c r="F311" s="690" t="str">
        <f t="array" ref="F311">IF($S311="","",IF($S311="Lớp 5",INDEX('Lớp 5 - Phân công'!$M$14:$M$262,$T311),IF($S311="Lớp 4",INDEX('Lớp 4 - Danh mục'!$L$14:$L$132,$T311),INDEX('Lớp 3 - Công việc chính'!$K$14:$K$73,$T311))))</f>
        <v>#REF!</v>
      </c>
      <c r="G311" s="691" t="str">
        <f t="array" ref="G311">IF($S311="","",IF($S311="Lớp 5",INDEX('Lớp 5 - Phân công'!$N$14:$N$262,$T311),IF($S311="Lớp 4",INDEX('Lớp 4 - Danh mục'!$M$14:$M$132,$T311),INDEX('Lớp 3 - Công việc chính'!$L$14:$L$73,$T311))))</f>
        <v>#REF!</v>
      </c>
      <c r="H311" s="692" t="str">
        <f t="array" ref="H311">IF($S311="","",IF($S311="Lớp 5",INDEX('Lớp 5 - Phân công'!$O$14:$O$262,$T311),IF($S311="Lớp 4",INDEX('Lớp 4 - Danh mục'!$N$14:$N$132,$T311),INDEX('Lớp 3 - Công việc chính'!$M$14:$M$73,$T311))))</f>
        <v>#REF!</v>
      </c>
      <c r="I311" s="692" t="str">
        <f t="array" ref="I311">IF($S311="","",IF($S311="Lớp 5",INDEX('Lớp 5 - Phân công'!$P$14:$P$262,$T311),IF($S311="Lớp 4",INDEX('Lớp 4 - Danh mục'!$O$14:$O$132,$T311),"")))</f>
        <v>#REF!</v>
      </c>
      <c r="J311" s="693" t="str">
        <f t="array" ref="J311">IF($S311="","",IF($S311="Lớp 5",INDEX('Lớp 5 - Phân công'!$Q$14:$Q$262,$T311),""))</f>
        <v>#REF!</v>
      </c>
      <c r="K311" s="690" t="str">
        <f t="array" ref="K311">IF($S311="","",IF($S311="Lớp 5",INDEX('Lớp 5 - Phân công'!$AA$14:$AA$262,$T311),IF($S311="Lớp 4",INDEX('Lớp 4 - Danh mục'!$Y$14:$Y$132,$T311),INDEX('Lớp 3 - Công việc chính'!$U$14:$U$73,$T311))))</f>
        <v>#REF!</v>
      </c>
      <c r="L311" s="691" t="str">
        <f t="array" ref="L311">IF($S311="","",IF($S311="Lớp 5",INDEX('Lớp 5 - Phân công'!$Z$14:$Z$262,$T311),IF($S311="Lớp 4",INDEX('Lớp 4 - Danh mục'!$X$14:$X$132,$T311),INDEX('Lớp 3 - Công việc chính'!$W$14:$W$73,$T311))))</f>
        <v>#REF!</v>
      </c>
      <c r="M311" s="694" t="str">
        <f t="array" ref="M311">IF($S311="","",IF($S311="Lớp 5",INDEX('Lớp 5 - Phân công'!$AD$14:$AD$262,$T311),IF($S311="Lớp 4",INDEX('Lớp 4 - Danh mục'!$AC$14:$AC$132,$T311),INDEX('Lớp 3 - Công việc chính'!$Z$14:$Z$73,$T311))))</f>
        <v>#REF!</v>
      </c>
      <c r="N311" s="695" t="str">
        <f t="array" ref="N311">IF($S311="","",IF($S311="Lớp 5",INDEX('Lớp 5 - Phân công'!$AE$14:$AE$262,$T311),IF($S311="Lớp 4",INDEX('Lớp 4 - Danh mục'!$AD$14:$AD$132,$T311),INDEX('Lớp 3 - Công việc chính'!$AA$14:$AA$73,$T311))))</f>
        <v>#REF!</v>
      </c>
      <c r="O311" s="690" t="str">
        <f t="array" ref="O311">IF($S311="","",IF($S311="Lớp 5",INDEX('Lớp 5 - Phân công'!$AB$14:$AB$262,$T311),IF($S311="Lớp 4",INDEX('Lớp 4 - Danh mục'!$AA$14:$AA$132,$T311),INDEX('Lớp 3 - Công việc chính'!$X$14:$X$73,$T311))))</f>
        <v>#REF!</v>
      </c>
      <c r="P311" s="703" t="str">
        <f t="array" ref="P311">IF($S311="","",IF($S311="Lớp 5",INDEX('Lớp 5 - Phân công'!$AC$14:$AC$262,$T311),IF($S311="Lớp 4",INDEX('Lớp 4 - Danh mục'!$AB$14:$AB$132,$T311),INDEX('Lớp 3 - Công việc chính'!$Y$14:$Y$73,$T311))))</f>
        <v>#REF!</v>
      </c>
      <c r="Q311" s="697" t="str">
        <f t="array" ref="Q311">IF($S311="","",IF($S311="Lớp 5",INDEX('Lớp 5 - Phân công'!$AG$14:$AG$262,$T311),IF($S311="Lớp 4",INDEX('Lớp 4 - Danh mục'!$AF$14:$AF$132,$T311),INDEX('Lớp 3 - Công việc chính'!$AC$14:$AC$73,$T311))))</f>
        <v>#REF!</v>
      </c>
      <c r="R311" s="698" t="str">
        <f t="array" ref="R311">IF($S311="","",IF($S311="Lớp 5",INDEX('Lớp 5 - Phân công'!$X$14:$X$262,$T311),IF($S311="Lớp 4",INDEX('Lớp 4 - Danh mục'!$V$14:$V$132,$T311),INDEX('Lớp 3 - Công việc chính'!$T$14:$T$73,$T311))))</f>
        <v>#REF!</v>
      </c>
      <c r="S311" s="699" t="str">
        <f>IF(ROWS($S$14:S311)&lt;=COUNTIF('Lớp 5 - Phân công'!$I$14:$I$262,"&lt;&gt;"),"Lớp 5",IF(ROWS($S$14:S311)&lt;=COUNTIF('Lớp 5 - Phân công'!$I$14:$I$262,"&lt;&gt;")+SUMPRODUCT(--('Lớp 4 - Danh mục'!$I$14:$I$132&lt;&gt;""),--(COUNTIF('Lớp 5 - Phân công'!$J$14:$J$262,'Lớp 4 - Danh mục'!$I$14:$I$132)=0)),"Lớp 4",IF(ROWS($S$14:S311)&lt;=COUNTIF('Lớp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1" s="699" t="str">
        <f t="array" ref="T311">IF(S311="","",IF(S311="Lớp 5",IF(S310&lt;&gt;"Lớp 5",MATCH("*",'Lớp 5 - Phân công'!$I$14:$I$262,0),T310+MATCH("*",INDEX('Lớp 5 - Phân công'!$I$14:$I$262,T310+1):'Lớp 5 - Phân công'!$I$262,0)),IF(S311="Lớp 4",IF(S310&lt;&gt;"Lớp 4",MATCH(1,INDEX(('Lớp 4 - Danh mục'!$I$14:$I$132&lt;&gt;"")*(COUNTIF('Lớp 5 - Phân công'!$J$14:$J$262,'Lớp 4 - Danh mục'!$I$14:$I$132)=0),0),0),T310+MATCH(1,INDEX((INDEX('Lớp 4 - Danh mục'!$I$14:$I$132,T310+1):'Lớp 4 - Danh mục'!$I$132&lt;&gt;"")*(COUNTIF('Lớp 5 - Phân công'!$J$14:$J$262,INDEX('Lớp 4 - Danh mục'!$I$14:$I$132,T310+1):'Lớp 4 - Danh mục'!$I$132)=0),0),0)),IF(S310&lt;&gt;"Lớp 3",MATCH(1,INDEX(('Lớp 3 - Công việc chính'!$I$14:$I$73&lt;&gt;"")*(COUNTIF('Lớp 4 - Danh mục'!$J$14:$J$132,'Lớp 3 - Công việc chính'!$I$14:$I$73)=0),0),0),T310+MATCH(1,INDEX((INDEX('Lớp 3 - Công việc chính'!$I$14:$I$73,T310+1):'Lớp 3 - Công việc chính'!$I$73&lt;&gt;"")*(COUNTIF('Lớp 4 - Danh mục'!$J$14:$J$132,INDEX('Lớp 3 - Công việc chính'!$I$14:$I$73,T310+1):'Lớp 3 - Công việc chính'!$I$73)=0),0),0)))))</f>
        <v>#REF!</v>
      </c>
      <c r="Z311" s="700" t="str">
        <f t="array" ref="Z311">IF($S311="","",IF($S311="Lớp 5",INDEX('Lớp 5 - Phân công'!$AS$14:$AS$262,$T311),IF($S311="Lớp 4",INDEX('Lớp 4 - Danh mục'!$AR$14:$AR$132,$T311),INDEX('Lớp 3 - Công việc chính'!$AO$14:$AO$73,$T311))))</f>
        <v>#REF!</v>
      </c>
      <c r="AA311" s="701" t="str">
        <f t="array" ref="AA311">IF($S311="","",IF($S311="Lớp 5",INDEX('Lớp 5 - Phân công'!$AT$14:$AT$262,$T311),IF($S311="Lớp 4",INDEX('Lớp 4 - Danh mục'!$AS$14:$AS$132,$T311),INDEX('Lớp 3 - Công việc chính'!$AP$14:$AP$73,$T311))))</f>
        <v>#REF!</v>
      </c>
      <c r="AB311" s="701" t="str">
        <f t="array" ref="AB311">IF($S311="","",IF($S311="Lớp 5",INDEX('Lớp 5 - Phân công'!$AJ$14:$AJ$262,$T311),IF($S311="Lớp 4",INDEX('Lớp 4 - Danh mục'!$AI$14:$AI$132,$T311),INDEX('Lớp 3 - Công việc chính'!$AF$14:$AF$73,$T311))))</f>
        <v>#REF!</v>
      </c>
      <c r="AC311" s="702" t="str">
        <f t="array" ref="AC311">IF($S311="","",IF($S311="Lớp 5",INDEX('Lớp 5 - Phân công'!$AV$14:$AV$262,$T311),IF($S311="Lớp 4",INDEX('Lớp 4 - Danh mục'!$AU$14:$AU$132,$T311),INDEX('Lớp 3 - Công việc chính'!$AR$14:$AR$73,$T311))))</f>
        <v>#REF!</v>
      </c>
    </row>
    <row r="312" ht="15.75" customHeight="1">
      <c r="A312" s="690" t="str">
        <f t="shared" si="1"/>
        <v>#REF!</v>
      </c>
      <c r="B312" s="690" t="str">
        <f t="array" ref="B312">IF($S312="","",IF($S312="Lớp 5",INDEX('Lớp 5 - Phân công'!$I$14:$I$262,$T312),IF($S312="Lớp 4",INDEX('Lớp 4 - Danh mục'!$I$14:$I$132,$T312),INDEX('Lớp 3 - Công việc chính'!$I$14:$I$73,$T312))))</f>
        <v>#REF!</v>
      </c>
      <c r="C312" s="690" t="str">
        <f t="array" ref="C312">IF($S312="","",IF($S312="Lớp 5",INDEX('Lớp 5 - Phân công'!$K$14:$K$262,$T312),IF($S312="Lớp 4",INDEX('Lớp 4 - Danh mục'!$J$14:$J$132,$T312),INDEX('Lớp 3 - Công việc chính'!$I$14:$I$73,$T312))))</f>
        <v>#REF!</v>
      </c>
      <c r="D312" s="690" t="str">
        <f t="array" ref="D312">IF($S312="","",IF($S312="Lớp 5",INDEX('Lớp 5 - Phân công'!$J$14:$J$262,$T312),IF($S312="Lớp 4",INDEX('Lớp 4 - Danh mục'!$I$14:$I$132,$T312),"")))</f>
        <v>#REF!</v>
      </c>
      <c r="E312" s="690" t="str">
        <f t="array" ref="E312">IF($S312="","",IF($S312="Lớp 5",INDEX('Lớp 5 - Phân công'!$L$14:$L$262,$T312),IF($S312="Lớp 4",INDEX('Lớp 4 - Danh mục'!$K$14:$K$132,$T312),INDEX('Lớp 3 - Công việc chính'!$J$14:$J$73,$T312))))</f>
        <v>#REF!</v>
      </c>
      <c r="F312" s="690" t="str">
        <f t="array" ref="F312">IF($S312="","",IF($S312="Lớp 5",INDEX('Lớp 5 - Phân công'!$M$14:$M$262,$T312),IF($S312="Lớp 4",INDEX('Lớp 4 - Danh mục'!$L$14:$L$132,$T312),INDEX('Lớp 3 - Công việc chính'!$K$14:$K$73,$T312))))</f>
        <v>#REF!</v>
      </c>
      <c r="G312" s="691" t="str">
        <f t="array" ref="G312">IF($S312="","",IF($S312="Lớp 5",INDEX('Lớp 5 - Phân công'!$N$14:$N$262,$T312),IF($S312="Lớp 4",INDEX('Lớp 4 - Danh mục'!$M$14:$M$132,$T312),INDEX('Lớp 3 - Công việc chính'!$L$14:$L$73,$T312))))</f>
        <v>#REF!</v>
      </c>
      <c r="H312" s="692" t="str">
        <f t="array" ref="H312">IF($S312="","",IF($S312="Lớp 5",INDEX('Lớp 5 - Phân công'!$O$14:$O$262,$T312),IF($S312="Lớp 4",INDEX('Lớp 4 - Danh mục'!$N$14:$N$132,$T312),INDEX('Lớp 3 - Công việc chính'!$M$14:$M$73,$T312))))</f>
        <v>#REF!</v>
      </c>
      <c r="I312" s="692" t="str">
        <f t="array" ref="I312">IF($S312="","",IF($S312="Lớp 5",INDEX('Lớp 5 - Phân công'!$P$14:$P$262,$T312),IF($S312="Lớp 4",INDEX('Lớp 4 - Danh mục'!$O$14:$O$132,$T312),"")))</f>
        <v>#REF!</v>
      </c>
      <c r="J312" s="693" t="str">
        <f t="array" ref="J312">IF($S312="","",IF($S312="Lớp 5",INDEX('Lớp 5 - Phân công'!$Q$14:$Q$262,$T312),""))</f>
        <v>#REF!</v>
      </c>
      <c r="K312" s="690" t="str">
        <f t="array" ref="K312">IF($S312="","",IF($S312="Lớp 5",INDEX('Lớp 5 - Phân công'!$AA$14:$AA$262,$T312),IF($S312="Lớp 4",INDEX('Lớp 4 - Danh mục'!$Y$14:$Y$132,$T312),INDEX('Lớp 3 - Công việc chính'!$U$14:$U$73,$T312))))</f>
        <v>#REF!</v>
      </c>
      <c r="L312" s="691" t="str">
        <f t="array" ref="L312">IF($S312="","",IF($S312="Lớp 5",INDEX('Lớp 5 - Phân công'!$Z$14:$Z$262,$T312),IF($S312="Lớp 4",INDEX('Lớp 4 - Danh mục'!$X$14:$X$132,$T312),INDEX('Lớp 3 - Công việc chính'!$W$14:$W$73,$T312))))</f>
        <v>#REF!</v>
      </c>
      <c r="M312" s="694" t="str">
        <f t="array" ref="M312">IF($S312="","",IF($S312="Lớp 5",INDEX('Lớp 5 - Phân công'!$AD$14:$AD$262,$T312),IF($S312="Lớp 4",INDEX('Lớp 4 - Danh mục'!$AC$14:$AC$132,$T312),INDEX('Lớp 3 - Công việc chính'!$Z$14:$Z$73,$T312))))</f>
        <v>#REF!</v>
      </c>
      <c r="N312" s="695" t="str">
        <f t="array" ref="N312">IF($S312="","",IF($S312="Lớp 5",INDEX('Lớp 5 - Phân công'!$AE$14:$AE$262,$T312),IF($S312="Lớp 4",INDEX('Lớp 4 - Danh mục'!$AD$14:$AD$132,$T312),INDEX('Lớp 3 - Công việc chính'!$AA$14:$AA$73,$T312))))</f>
        <v>#REF!</v>
      </c>
      <c r="O312" s="690" t="str">
        <f t="array" ref="O312">IF($S312="","",IF($S312="Lớp 5",INDEX('Lớp 5 - Phân công'!$AB$14:$AB$262,$T312),IF($S312="Lớp 4",INDEX('Lớp 4 - Danh mục'!$AA$14:$AA$132,$T312),INDEX('Lớp 3 - Công việc chính'!$X$14:$X$73,$T312))))</f>
        <v>#REF!</v>
      </c>
      <c r="P312" s="703" t="str">
        <f t="array" ref="P312">IF($S312="","",IF($S312="Lớp 5",INDEX('Lớp 5 - Phân công'!$AC$14:$AC$262,$T312),IF($S312="Lớp 4",INDEX('Lớp 4 - Danh mục'!$AB$14:$AB$132,$T312),INDEX('Lớp 3 - Công việc chính'!$Y$14:$Y$73,$T312))))</f>
        <v>#REF!</v>
      </c>
      <c r="Q312" s="697" t="str">
        <f t="array" ref="Q312">IF($S312="","",IF($S312="Lớp 5",INDEX('Lớp 5 - Phân công'!$AG$14:$AG$262,$T312),IF($S312="Lớp 4",INDEX('Lớp 4 - Danh mục'!$AF$14:$AF$132,$T312),INDEX('Lớp 3 - Công việc chính'!$AC$14:$AC$73,$T312))))</f>
        <v>#REF!</v>
      </c>
      <c r="R312" s="698" t="str">
        <f t="array" ref="R312">IF($S312="","",IF($S312="Lớp 5",INDEX('Lớp 5 - Phân công'!$X$14:$X$262,$T312),IF($S312="Lớp 4",INDEX('Lớp 4 - Danh mục'!$V$14:$V$132,$T312),INDEX('Lớp 3 - Công việc chính'!$T$14:$T$73,$T312))))</f>
        <v>#REF!</v>
      </c>
      <c r="S312" s="699" t="str">
        <f>IF(ROWS($S$14:S312)&lt;=COUNTIF('Lớp 5 - Phân công'!$I$14:$I$262,"&lt;&gt;"),"Lớp 5",IF(ROWS($S$14:S312)&lt;=COUNTIF('Lớp 5 - Phân công'!$I$14:$I$262,"&lt;&gt;")+SUMPRODUCT(--('Lớp 4 - Danh mục'!$I$14:$I$132&lt;&gt;""),--(COUNTIF('Lớp 5 - Phân công'!$J$14:$J$262,'Lớp 4 - Danh mục'!$I$14:$I$132)=0)),"Lớp 4",IF(ROWS($S$14:S312)&lt;=COUNTIF('Lớp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2" s="699" t="str">
        <f t="array" ref="T312">IF(S312="","",IF(S312="Lớp 5",IF(S311&lt;&gt;"Lớp 5",MATCH("*",'Lớp 5 - Phân công'!$I$14:$I$262,0),T311+MATCH("*",INDEX('Lớp 5 - Phân công'!$I$14:$I$262,T311+1):'Lớp 5 - Phân công'!$I$262,0)),IF(S312="Lớp 4",IF(S311&lt;&gt;"Lớp 4",MATCH(1,INDEX(('Lớp 4 - Danh mục'!$I$14:$I$132&lt;&gt;"")*(COUNTIF('Lớp 5 - Phân công'!$J$14:$J$262,'Lớp 4 - Danh mục'!$I$14:$I$132)=0),0),0),T311+MATCH(1,INDEX((INDEX('Lớp 4 - Danh mục'!$I$14:$I$132,T311+1):'Lớp 4 - Danh mục'!$I$132&lt;&gt;"")*(COUNTIF('Lớp 5 - Phân công'!$J$14:$J$262,INDEX('Lớp 4 - Danh mục'!$I$14:$I$132,T311+1):'Lớp 4 - Danh mục'!$I$132)=0),0),0)),IF(S311&lt;&gt;"Lớp 3",MATCH(1,INDEX(('Lớp 3 - Công việc chính'!$I$14:$I$73&lt;&gt;"")*(COUNTIF('Lớp 4 - Danh mục'!$J$14:$J$132,'Lớp 3 - Công việc chính'!$I$14:$I$73)=0),0),0),T311+MATCH(1,INDEX((INDEX('Lớp 3 - Công việc chính'!$I$14:$I$73,T311+1):'Lớp 3 - Công việc chính'!$I$73&lt;&gt;"")*(COUNTIF('Lớp 4 - Danh mục'!$J$14:$J$132,INDEX('Lớp 3 - Công việc chính'!$I$14:$I$73,T311+1):'Lớp 3 - Công việc chính'!$I$73)=0),0),0)))))</f>
        <v>#REF!</v>
      </c>
      <c r="Z312" s="700" t="str">
        <f t="array" ref="Z312">IF($S312="","",IF($S312="Lớp 5",INDEX('Lớp 5 - Phân công'!$AS$14:$AS$262,$T312),IF($S312="Lớp 4",INDEX('Lớp 4 - Danh mục'!$AR$14:$AR$132,$T312),INDEX('Lớp 3 - Công việc chính'!$AO$14:$AO$73,$T312))))</f>
        <v>#REF!</v>
      </c>
      <c r="AA312" s="701" t="str">
        <f t="array" ref="AA312">IF($S312="","",IF($S312="Lớp 5",INDEX('Lớp 5 - Phân công'!$AT$14:$AT$262,$T312),IF($S312="Lớp 4",INDEX('Lớp 4 - Danh mục'!$AS$14:$AS$132,$T312),INDEX('Lớp 3 - Công việc chính'!$AP$14:$AP$73,$T312))))</f>
        <v>#REF!</v>
      </c>
      <c r="AB312" s="701" t="str">
        <f t="array" ref="AB312">IF($S312="","",IF($S312="Lớp 5",INDEX('Lớp 5 - Phân công'!$AJ$14:$AJ$262,$T312),IF($S312="Lớp 4",INDEX('Lớp 4 - Danh mục'!$AI$14:$AI$132,$T312),INDEX('Lớp 3 - Công việc chính'!$AF$14:$AF$73,$T312))))</f>
        <v>#REF!</v>
      </c>
      <c r="AC312" s="702" t="str">
        <f t="array" ref="AC312">IF($S312="","",IF($S312="Lớp 5",INDEX('Lớp 5 - Phân công'!$AV$14:$AV$262,$T312),IF($S312="Lớp 4",INDEX('Lớp 4 - Danh mục'!$AU$14:$AU$132,$T312),INDEX('Lớp 3 - Công việc chính'!$AR$14:$AR$73,$T312))))</f>
        <v>#REF!</v>
      </c>
    </row>
    <row r="313" ht="15.75" customHeight="1">
      <c r="A313" s="690" t="str">
        <f t="shared" si="1"/>
        <v>#REF!</v>
      </c>
      <c r="B313" s="690" t="str">
        <f t="array" ref="B313">IF($S313="","",IF($S313="Lớp 5",INDEX('Lớp 5 - Phân công'!$I$14:$I$262,$T313),IF($S313="Lớp 4",INDEX('Lớp 4 - Danh mục'!$I$14:$I$132,$T313),INDEX('Lớp 3 - Công việc chính'!$I$14:$I$73,$T313))))</f>
        <v>#REF!</v>
      </c>
      <c r="C313" s="690" t="str">
        <f t="array" ref="C313">IF($S313="","",IF($S313="Lớp 5",INDEX('Lớp 5 - Phân công'!$K$14:$K$262,$T313),IF($S313="Lớp 4",INDEX('Lớp 4 - Danh mục'!$J$14:$J$132,$T313),INDEX('Lớp 3 - Công việc chính'!$I$14:$I$73,$T313))))</f>
        <v>#REF!</v>
      </c>
      <c r="D313" s="690" t="str">
        <f t="array" ref="D313">IF($S313="","",IF($S313="Lớp 5",INDEX('Lớp 5 - Phân công'!$J$14:$J$262,$T313),IF($S313="Lớp 4",INDEX('Lớp 4 - Danh mục'!$I$14:$I$132,$T313),"")))</f>
        <v>#REF!</v>
      </c>
      <c r="E313" s="690" t="str">
        <f t="array" ref="E313">IF($S313="","",IF($S313="Lớp 5",INDEX('Lớp 5 - Phân công'!$L$14:$L$262,$T313),IF($S313="Lớp 4",INDEX('Lớp 4 - Danh mục'!$K$14:$K$132,$T313),INDEX('Lớp 3 - Công việc chính'!$J$14:$J$73,$T313))))</f>
        <v>#REF!</v>
      </c>
      <c r="F313" s="690" t="str">
        <f t="array" ref="F313">IF($S313="","",IF($S313="Lớp 5",INDEX('Lớp 5 - Phân công'!$M$14:$M$262,$T313),IF($S313="Lớp 4",INDEX('Lớp 4 - Danh mục'!$L$14:$L$132,$T313),INDEX('Lớp 3 - Công việc chính'!$K$14:$K$73,$T313))))</f>
        <v>#REF!</v>
      </c>
      <c r="G313" s="691" t="str">
        <f t="array" ref="G313">IF($S313="","",IF($S313="Lớp 5",INDEX('Lớp 5 - Phân công'!$N$14:$N$262,$T313),IF($S313="Lớp 4",INDEX('Lớp 4 - Danh mục'!$M$14:$M$132,$T313),INDEX('Lớp 3 - Công việc chính'!$L$14:$L$73,$T313))))</f>
        <v>#REF!</v>
      </c>
      <c r="H313" s="692" t="str">
        <f t="array" ref="H313">IF($S313="","",IF($S313="Lớp 5",INDEX('Lớp 5 - Phân công'!$O$14:$O$262,$T313),IF($S313="Lớp 4",INDEX('Lớp 4 - Danh mục'!$N$14:$N$132,$T313),INDEX('Lớp 3 - Công việc chính'!$M$14:$M$73,$T313))))</f>
        <v>#REF!</v>
      </c>
      <c r="I313" s="692" t="str">
        <f t="array" ref="I313">IF($S313="","",IF($S313="Lớp 5",INDEX('Lớp 5 - Phân công'!$P$14:$P$262,$T313),IF($S313="Lớp 4",INDEX('Lớp 4 - Danh mục'!$O$14:$O$132,$T313),"")))</f>
        <v>#REF!</v>
      </c>
      <c r="J313" s="693" t="str">
        <f t="array" ref="J313">IF($S313="","",IF($S313="Lớp 5",INDEX('Lớp 5 - Phân công'!$Q$14:$Q$262,$T313),""))</f>
        <v>#REF!</v>
      </c>
      <c r="K313" s="690" t="str">
        <f t="array" ref="K313">IF($S313="","",IF($S313="Lớp 5",INDEX('Lớp 5 - Phân công'!$AA$14:$AA$262,$T313),IF($S313="Lớp 4",INDEX('Lớp 4 - Danh mục'!$Y$14:$Y$132,$T313),INDEX('Lớp 3 - Công việc chính'!$U$14:$U$73,$T313))))</f>
        <v>#REF!</v>
      </c>
      <c r="L313" s="691" t="str">
        <f t="array" ref="L313">IF($S313="","",IF($S313="Lớp 5",INDEX('Lớp 5 - Phân công'!$Z$14:$Z$262,$T313),IF($S313="Lớp 4",INDEX('Lớp 4 - Danh mục'!$X$14:$X$132,$T313),INDEX('Lớp 3 - Công việc chính'!$W$14:$W$73,$T313))))</f>
        <v>#REF!</v>
      </c>
      <c r="M313" s="694" t="str">
        <f t="array" ref="M313">IF($S313="","",IF($S313="Lớp 5",INDEX('Lớp 5 - Phân công'!$AD$14:$AD$262,$T313),IF($S313="Lớp 4",INDEX('Lớp 4 - Danh mục'!$AC$14:$AC$132,$T313),INDEX('Lớp 3 - Công việc chính'!$Z$14:$Z$73,$T313))))</f>
        <v>#REF!</v>
      </c>
      <c r="N313" s="695" t="str">
        <f t="array" ref="N313">IF($S313="","",IF($S313="Lớp 5",INDEX('Lớp 5 - Phân công'!$AE$14:$AE$262,$T313),IF($S313="Lớp 4",INDEX('Lớp 4 - Danh mục'!$AD$14:$AD$132,$T313),INDEX('Lớp 3 - Công việc chính'!$AA$14:$AA$73,$T313))))</f>
        <v>#REF!</v>
      </c>
      <c r="O313" s="690" t="str">
        <f t="array" ref="O313">IF($S313="","",IF($S313="Lớp 5",INDEX('Lớp 5 - Phân công'!$AB$14:$AB$262,$T313),IF($S313="Lớp 4",INDEX('Lớp 4 - Danh mục'!$AA$14:$AA$132,$T313),INDEX('Lớp 3 - Công việc chính'!$X$14:$X$73,$T313))))</f>
        <v>#REF!</v>
      </c>
      <c r="P313" s="703" t="str">
        <f t="array" ref="P313">IF($S313="","",IF($S313="Lớp 5",INDEX('Lớp 5 - Phân công'!$AC$14:$AC$262,$T313),IF($S313="Lớp 4",INDEX('Lớp 4 - Danh mục'!$AB$14:$AB$132,$T313),INDEX('Lớp 3 - Công việc chính'!$Y$14:$Y$73,$T313))))</f>
        <v>#REF!</v>
      </c>
      <c r="Q313" s="697" t="str">
        <f t="array" ref="Q313">IF($S313="","",IF($S313="Lớp 5",INDEX('Lớp 5 - Phân công'!$AG$14:$AG$262,$T313),IF($S313="Lớp 4",INDEX('Lớp 4 - Danh mục'!$AF$14:$AF$132,$T313),INDEX('Lớp 3 - Công việc chính'!$AC$14:$AC$73,$T313))))</f>
        <v>#REF!</v>
      </c>
      <c r="R313" s="698" t="str">
        <f t="array" ref="R313">IF($S313="","",IF($S313="Lớp 5",INDEX('Lớp 5 - Phân công'!$X$14:$X$262,$T313),IF($S313="Lớp 4",INDEX('Lớp 4 - Danh mục'!$V$14:$V$132,$T313),INDEX('Lớp 3 - Công việc chính'!$T$14:$T$73,$T313))))</f>
        <v>#REF!</v>
      </c>
      <c r="S313" s="699" t="str">
        <f>IF(ROWS($S$14:S313)&lt;=COUNTIF('Lớp 5 - Phân công'!$I$14:$I$262,"&lt;&gt;"),"Lớp 5",IF(ROWS($S$14:S313)&lt;=COUNTIF('Lớp 5 - Phân công'!$I$14:$I$262,"&lt;&gt;")+SUMPRODUCT(--('Lớp 4 - Danh mục'!$I$14:$I$132&lt;&gt;""),--(COUNTIF('Lớp 5 - Phân công'!$J$14:$J$262,'Lớp 4 - Danh mục'!$I$14:$I$132)=0)),"Lớp 4",IF(ROWS($S$14:S313)&lt;=COUNTIF('Lớp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3" s="699" t="str">
        <f t="array" ref="T313">IF(S313="","",IF(S313="Lớp 5",IF(S312&lt;&gt;"Lớp 5",MATCH("*",'Lớp 5 - Phân công'!$I$14:$I$262,0),T312+MATCH("*",INDEX('Lớp 5 - Phân công'!$I$14:$I$262,T312+1):'Lớp 5 - Phân công'!$I$262,0)),IF(S313="Lớp 4",IF(S312&lt;&gt;"Lớp 4",MATCH(1,INDEX(('Lớp 4 - Danh mục'!$I$14:$I$132&lt;&gt;"")*(COUNTIF('Lớp 5 - Phân công'!$J$14:$J$262,'Lớp 4 - Danh mục'!$I$14:$I$132)=0),0),0),T312+MATCH(1,INDEX((INDEX('Lớp 4 - Danh mục'!$I$14:$I$132,T312+1):'Lớp 4 - Danh mục'!$I$132&lt;&gt;"")*(COUNTIF('Lớp 5 - Phân công'!$J$14:$J$262,INDEX('Lớp 4 - Danh mục'!$I$14:$I$132,T312+1):'Lớp 4 - Danh mục'!$I$132)=0),0),0)),IF(S312&lt;&gt;"Lớp 3",MATCH(1,INDEX(('Lớp 3 - Công việc chính'!$I$14:$I$73&lt;&gt;"")*(COUNTIF('Lớp 4 - Danh mục'!$J$14:$J$132,'Lớp 3 - Công việc chính'!$I$14:$I$73)=0),0),0),T312+MATCH(1,INDEX((INDEX('Lớp 3 - Công việc chính'!$I$14:$I$73,T312+1):'Lớp 3 - Công việc chính'!$I$73&lt;&gt;"")*(COUNTIF('Lớp 4 - Danh mục'!$J$14:$J$132,INDEX('Lớp 3 - Công việc chính'!$I$14:$I$73,T312+1):'Lớp 3 - Công việc chính'!$I$73)=0),0),0)))))</f>
        <v>#REF!</v>
      </c>
      <c r="Z313" s="700" t="str">
        <f t="array" ref="Z313">IF($S313="","",IF($S313="Lớp 5",INDEX('Lớp 5 - Phân công'!$AS$14:$AS$262,$T313),IF($S313="Lớp 4",INDEX('Lớp 4 - Danh mục'!$AR$14:$AR$132,$T313),INDEX('Lớp 3 - Công việc chính'!$AO$14:$AO$73,$T313))))</f>
        <v>#REF!</v>
      </c>
      <c r="AA313" s="701" t="str">
        <f t="array" ref="AA313">IF($S313="","",IF($S313="Lớp 5",INDEX('Lớp 5 - Phân công'!$AT$14:$AT$262,$T313),IF($S313="Lớp 4",INDEX('Lớp 4 - Danh mục'!$AS$14:$AS$132,$T313),INDEX('Lớp 3 - Công việc chính'!$AP$14:$AP$73,$T313))))</f>
        <v>#REF!</v>
      </c>
      <c r="AB313" s="701" t="str">
        <f t="array" ref="AB313">IF($S313="","",IF($S313="Lớp 5",INDEX('Lớp 5 - Phân công'!$AJ$14:$AJ$262,$T313),IF($S313="Lớp 4",INDEX('Lớp 4 - Danh mục'!$AI$14:$AI$132,$T313),INDEX('Lớp 3 - Công việc chính'!$AF$14:$AF$73,$T313))))</f>
        <v>#REF!</v>
      </c>
      <c r="AC313" s="702" t="str">
        <f t="array" ref="AC313">IF($S313="","",IF($S313="Lớp 5",INDEX('Lớp 5 - Phân công'!$AV$14:$AV$262,$T313),IF($S313="Lớp 4",INDEX('Lớp 4 - Danh mục'!$AU$14:$AU$132,$T313),INDEX('Lớp 3 - Công việc chính'!$AR$14:$AR$73,$T313))))</f>
        <v>#REF!</v>
      </c>
    </row>
    <row r="314" ht="15.75" customHeight="1">
      <c r="A314" s="690" t="str">
        <f t="shared" si="1"/>
        <v>#REF!</v>
      </c>
      <c r="B314" s="690" t="str">
        <f t="array" ref="B314">IF($S314="","",IF($S314="Lớp 5",INDEX('Lớp 5 - Phân công'!$I$14:$I$262,$T314),IF($S314="Lớp 4",INDEX('Lớp 4 - Danh mục'!$I$14:$I$132,$T314),INDEX('Lớp 3 - Công việc chính'!$I$14:$I$73,$T314))))</f>
        <v>#REF!</v>
      </c>
      <c r="C314" s="690" t="str">
        <f t="array" ref="C314">IF($S314="","",IF($S314="Lớp 5",INDEX('Lớp 5 - Phân công'!$K$14:$K$262,$T314),IF($S314="Lớp 4",INDEX('Lớp 4 - Danh mục'!$J$14:$J$132,$T314),INDEX('Lớp 3 - Công việc chính'!$I$14:$I$73,$T314))))</f>
        <v>#REF!</v>
      </c>
      <c r="D314" s="690" t="str">
        <f t="array" ref="D314">IF($S314="","",IF($S314="Lớp 5",INDEX('Lớp 5 - Phân công'!$J$14:$J$262,$T314),IF($S314="Lớp 4",INDEX('Lớp 4 - Danh mục'!$I$14:$I$132,$T314),"")))</f>
        <v>#REF!</v>
      </c>
      <c r="E314" s="690" t="str">
        <f t="array" ref="E314">IF($S314="","",IF($S314="Lớp 5",INDEX('Lớp 5 - Phân công'!$L$14:$L$262,$T314),IF($S314="Lớp 4",INDEX('Lớp 4 - Danh mục'!$K$14:$K$132,$T314),INDEX('Lớp 3 - Công việc chính'!$J$14:$J$73,$T314))))</f>
        <v>#REF!</v>
      </c>
      <c r="F314" s="690" t="str">
        <f t="array" ref="F314">IF($S314="","",IF($S314="Lớp 5",INDEX('Lớp 5 - Phân công'!$M$14:$M$262,$T314),IF($S314="Lớp 4",INDEX('Lớp 4 - Danh mục'!$L$14:$L$132,$T314),INDEX('Lớp 3 - Công việc chính'!$K$14:$K$73,$T314))))</f>
        <v>#REF!</v>
      </c>
      <c r="G314" s="691" t="str">
        <f t="array" ref="G314">IF($S314="","",IF($S314="Lớp 5",INDEX('Lớp 5 - Phân công'!$N$14:$N$262,$T314),IF($S314="Lớp 4",INDEX('Lớp 4 - Danh mục'!$M$14:$M$132,$T314),INDEX('Lớp 3 - Công việc chính'!$L$14:$L$73,$T314))))</f>
        <v>#REF!</v>
      </c>
      <c r="H314" s="692" t="str">
        <f t="array" ref="H314">IF($S314="","",IF($S314="Lớp 5",INDEX('Lớp 5 - Phân công'!$O$14:$O$262,$T314),IF($S314="Lớp 4",INDEX('Lớp 4 - Danh mục'!$N$14:$N$132,$T314),INDEX('Lớp 3 - Công việc chính'!$M$14:$M$73,$T314))))</f>
        <v>#REF!</v>
      </c>
      <c r="I314" s="692" t="str">
        <f t="array" ref="I314">IF($S314="","",IF($S314="Lớp 5",INDEX('Lớp 5 - Phân công'!$P$14:$P$262,$T314),IF($S314="Lớp 4",INDEX('Lớp 4 - Danh mục'!$O$14:$O$132,$T314),"")))</f>
        <v>#REF!</v>
      </c>
      <c r="J314" s="693" t="str">
        <f t="array" ref="J314">IF($S314="","",IF($S314="Lớp 5",INDEX('Lớp 5 - Phân công'!$Q$14:$Q$262,$T314),""))</f>
        <v>#REF!</v>
      </c>
      <c r="K314" s="690" t="str">
        <f t="array" ref="K314">IF($S314="","",IF($S314="Lớp 5",INDEX('Lớp 5 - Phân công'!$AA$14:$AA$262,$T314),IF($S314="Lớp 4",INDEX('Lớp 4 - Danh mục'!$Y$14:$Y$132,$T314),INDEX('Lớp 3 - Công việc chính'!$U$14:$U$73,$T314))))</f>
        <v>#REF!</v>
      </c>
      <c r="L314" s="691" t="str">
        <f t="array" ref="L314">IF($S314="","",IF($S314="Lớp 5",INDEX('Lớp 5 - Phân công'!$Z$14:$Z$262,$T314),IF($S314="Lớp 4",INDEX('Lớp 4 - Danh mục'!$X$14:$X$132,$T314),INDEX('Lớp 3 - Công việc chính'!$W$14:$W$73,$T314))))</f>
        <v>#REF!</v>
      </c>
      <c r="M314" s="694" t="str">
        <f t="array" ref="M314">IF($S314="","",IF($S314="Lớp 5",INDEX('Lớp 5 - Phân công'!$AD$14:$AD$262,$T314),IF($S314="Lớp 4",INDEX('Lớp 4 - Danh mục'!$AC$14:$AC$132,$T314),INDEX('Lớp 3 - Công việc chính'!$Z$14:$Z$73,$T314))))</f>
        <v>#REF!</v>
      </c>
      <c r="N314" s="695" t="str">
        <f t="array" ref="N314">IF($S314="","",IF($S314="Lớp 5",INDEX('Lớp 5 - Phân công'!$AE$14:$AE$262,$T314),IF($S314="Lớp 4",INDEX('Lớp 4 - Danh mục'!$AD$14:$AD$132,$T314),INDEX('Lớp 3 - Công việc chính'!$AA$14:$AA$73,$T314))))</f>
        <v>#REF!</v>
      </c>
      <c r="O314" s="690" t="str">
        <f t="array" ref="O314">IF($S314="","",IF($S314="Lớp 5",INDEX('Lớp 5 - Phân công'!$AB$14:$AB$262,$T314),IF($S314="Lớp 4",INDEX('Lớp 4 - Danh mục'!$AA$14:$AA$132,$T314),INDEX('Lớp 3 - Công việc chính'!$X$14:$X$73,$T314))))</f>
        <v>#REF!</v>
      </c>
      <c r="P314" s="703" t="str">
        <f t="array" ref="P314">IF($S314="","",IF($S314="Lớp 5",INDEX('Lớp 5 - Phân công'!$AC$14:$AC$262,$T314),IF($S314="Lớp 4",INDEX('Lớp 4 - Danh mục'!$AB$14:$AB$132,$T314),INDEX('Lớp 3 - Công việc chính'!$Y$14:$Y$73,$T314))))</f>
        <v>#REF!</v>
      </c>
      <c r="Q314" s="697" t="str">
        <f t="array" ref="Q314">IF($S314="","",IF($S314="Lớp 5",INDEX('Lớp 5 - Phân công'!$AG$14:$AG$262,$T314),IF($S314="Lớp 4",INDEX('Lớp 4 - Danh mục'!$AF$14:$AF$132,$T314),INDEX('Lớp 3 - Công việc chính'!$AC$14:$AC$73,$T314))))</f>
        <v>#REF!</v>
      </c>
      <c r="R314" s="698" t="str">
        <f t="array" ref="R314">IF($S314="","",IF($S314="Lớp 5",INDEX('Lớp 5 - Phân công'!$X$14:$X$262,$T314),IF($S314="Lớp 4",INDEX('Lớp 4 - Danh mục'!$V$14:$V$132,$T314),INDEX('Lớp 3 - Công việc chính'!$T$14:$T$73,$T314))))</f>
        <v>#REF!</v>
      </c>
      <c r="S314" s="699" t="str">
        <f>IF(ROWS($S$14:S314)&lt;=COUNTIF('Lớp 5 - Phân công'!$I$14:$I$262,"&lt;&gt;"),"Lớp 5",IF(ROWS($S$14:S314)&lt;=COUNTIF('Lớp 5 - Phân công'!$I$14:$I$262,"&lt;&gt;")+SUMPRODUCT(--('Lớp 4 - Danh mục'!$I$14:$I$132&lt;&gt;""),--(COUNTIF('Lớp 5 - Phân công'!$J$14:$J$262,'Lớp 4 - Danh mục'!$I$14:$I$132)=0)),"Lớp 4",IF(ROWS($S$14:S314)&lt;=COUNTIF('Lớp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4" s="699" t="str">
        <f t="array" ref="T314">IF(S314="","",IF(S314="Lớp 5",IF(S313&lt;&gt;"Lớp 5",MATCH("*",'Lớp 5 - Phân công'!$I$14:$I$262,0),T313+MATCH("*",INDEX('Lớp 5 - Phân công'!$I$14:$I$262,T313+1):'Lớp 5 - Phân công'!$I$262,0)),IF(S314="Lớp 4",IF(S313&lt;&gt;"Lớp 4",MATCH(1,INDEX(('Lớp 4 - Danh mục'!$I$14:$I$132&lt;&gt;"")*(COUNTIF('Lớp 5 - Phân công'!$J$14:$J$262,'Lớp 4 - Danh mục'!$I$14:$I$132)=0),0),0),T313+MATCH(1,INDEX((INDEX('Lớp 4 - Danh mục'!$I$14:$I$132,T313+1):'Lớp 4 - Danh mục'!$I$132&lt;&gt;"")*(COUNTIF('Lớp 5 - Phân công'!$J$14:$J$262,INDEX('Lớp 4 - Danh mục'!$I$14:$I$132,T313+1):'Lớp 4 - Danh mục'!$I$132)=0),0),0)),IF(S313&lt;&gt;"Lớp 3",MATCH(1,INDEX(('Lớp 3 - Công việc chính'!$I$14:$I$73&lt;&gt;"")*(COUNTIF('Lớp 4 - Danh mục'!$J$14:$J$132,'Lớp 3 - Công việc chính'!$I$14:$I$73)=0),0),0),T313+MATCH(1,INDEX((INDEX('Lớp 3 - Công việc chính'!$I$14:$I$73,T313+1):'Lớp 3 - Công việc chính'!$I$73&lt;&gt;"")*(COUNTIF('Lớp 4 - Danh mục'!$J$14:$J$132,INDEX('Lớp 3 - Công việc chính'!$I$14:$I$73,T313+1):'Lớp 3 - Công việc chính'!$I$73)=0),0),0)))))</f>
        <v>#REF!</v>
      </c>
      <c r="Z314" s="700" t="str">
        <f t="array" ref="Z314">IF($S314="","",IF($S314="Lớp 5",INDEX('Lớp 5 - Phân công'!$AS$14:$AS$262,$T314),IF($S314="Lớp 4",INDEX('Lớp 4 - Danh mục'!$AR$14:$AR$132,$T314),INDEX('Lớp 3 - Công việc chính'!$AO$14:$AO$73,$T314))))</f>
        <v>#REF!</v>
      </c>
      <c r="AA314" s="701" t="str">
        <f t="array" ref="AA314">IF($S314="","",IF($S314="Lớp 5",INDEX('Lớp 5 - Phân công'!$AT$14:$AT$262,$T314),IF($S314="Lớp 4",INDEX('Lớp 4 - Danh mục'!$AS$14:$AS$132,$T314),INDEX('Lớp 3 - Công việc chính'!$AP$14:$AP$73,$T314))))</f>
        <v>#REF!</v>
      </c>
      <c r="AB314" s="701" t="str">
        <f t="array" ref="AB314">IF($S314="","",IF($S314="Lớp 5",INDEX('Lớp 5 - Phân công'!$AJ$14:$AJ$262,$T314),IF($S314="Lớp 4",INDEX('Lớp 4 - Danh mục'!$AI$14:$AI$132,$T314),INDEX('Lớp 3 - Công việc chính'!$AF$14:$AF$73,$T314))))</f>
        <v>#REF!</v>
      </c>
      <c r="AC314" s="702" t="str">
        <f t="array" ref="AC314">IF($S314="","",IF($S314="Lớp 5",INDEX('Lớp 5 - Phân công'!$AV$14:$AV$262,$T314),IF($S314="Lớp 4",INDEX('Lớp 4 - Danh mục'!$AU$14:$AU$132,$T314),INDEX('Lớp 3 - Công việc chính'!$AR$14:$AR$73,$T314))))</f>
        <v>#REF!</v>
      </c>
    </row>
    <row r="315" ht="15.75" customHeight="1">
      <c r="A315" s="690" t="str">
        <f t="shared" si="1"/>
        <v>#REF!</v>
      </c>
      <c r="B315" s="690" t="str">
        <f t="array" ref="B315">IF($S315="","",IF($S315="Lớp 5",INDEX('Lớp 5 - Phân công'!$I$14:$I$262,$T315),IF($S315="Lớp 4",INDEX('Lớp 4 - Danh mục'!$I$14:$I$132,$T315),INDEX('Lớp 3 - Công việc chính'!$I$14:$I$73,$T315))))</f>
        <v>#REF!</v>
      </c>
      <c r="C315" s="690" t="str">
        <f t="array" ref="C315">IF($S315="","",IF($S315="Lớp 5",INDEX('Lớp 5 - Phân công'!$K$14:$K$262,$T315),IF($S315="Lớp 4",INDEX('Lớp 4 - Danh mục'!$J$14:$J$132,$T315),INDEX('Lớp 3 - Công việc chính'!$I$14:$I$73,$T315))))</f>
        <v>#REF!</v>
      </c>
      <c r="D315" s="690" t="str">
        <f t="array" ref="D315">IF($S315="","",IF($S315="Lớp 5",INDEX('Lớp 5 - Phân công'!$J$14:$J$262,$T315),IF($S315="Lớp 4",INDEX('Lớp 4 - Danh mục'!$I$14:$I$132,$T315),"")))</f>
        <v>#REF!</v>
      </c>
      <c r="E315" s="690" t="str">
        <f t="array" ref="E315">IF($S315="","",IF($S315="Lớp 5",INDEX('Lớp 5 - Phân công'!$L$14:$L$262,$T315),IF($S315="Lớp 4",INDEX('Lớp 4 - Danh mục'!$K$14:$K$132,$T315),INDEX('Lớp 3 - Công việc chính'!$J$14:$J$73,$T315))))</f>
        <v>#REF!</v>
      </c>
      <c r="F315" s="690" t="str">
        <f t="array" ref="F315">IF($S315="","",IF($S315="Lớp 5",INDEX('Lớp 5 - Phân công'!$M$14:$M$262,$T315),IF($S315="Lớp 4",INDEX('Lớp 4 - Danh mục'!$L$14:$L$132,$T315),INDEX('Lớp 3 - Công việc chính'!$K$14:$K$73,$T315))))</f>
        <v>#REF!</v>
      </c>
      <c r="G315" s="691" t="str">
        <f t="array" ref="G315">IF($S315="","",IF($S315="Lớp 5",INDEX('Lớp 5 - Phân công'!$N$14:$N$262,$T315),IF($S315="Lớp 4",INDEX('Lớp 4 - Danh mục'!$M$14:$M$132,$T315),INDEX('Lớp 3 - Công việc chính'!$L$14:$L$73,$T315))))</f>
        <v>#REF!</v>
      </c>
      <c r="H315" s="692" t="str">
        <f t="array" ref="H315">IF($S315="","",IF($S315="Lớp 5",INDEX('Lớp 5 - Phân công'!$O$14:$O$262,$T315),IF($S315="Lớp 4",INDEX('Lớp 4 - Danh mục'!$N$14:$N$132,$T315),INDEX('Lớp 3 - Công việc chính'!$M$14:$M$73,$T315))))</f>
        <v>#REF!</v>
      </c>
      <c r="I315" s="692" t="str">
        <f t="array" ref="I315">IF($S315="","",IF($S315="Lớp 5",INDEX('Lớp 5 - Phân công'!$P$14:$P$262,$T315),IF($S315="Lớp 4",INDEX('Lớp 4 - Danh mục'!$O$14:$O$132,$T315),"")))</f>
        <v>#REF!</v>
      </c>
      <c r="J315" s="693" t="str">
        <f t="array" ref="J315">IF($S315="","",IF($S315="Lớp 5",INDEX('Lớp 5 - Phân công'!$Q$14:$Q$262,$T315),""))</f>
        <v>#REF!</v>
      </c>
      <c r="K315" s="690" t="str">
        <f t="array" ref="K315">IF($S315="","",IF($S315="Lớp 5",INDEX('Lớp 5 - Phân công'!$AA$14:$AA$262,$T315),IF($S315="Lớp 4",INDEX('Lớp 4 - Danh mục'!$Y$14:$Y$132,$T315),INDEX('Lớp 3 - Công việc chính'!$U$14:$U$73,$T315))))</f>
        <v>#REF!</v>
      </c>
      <c r="L315" s="691" t="str">
        <f t="array" ref="L315">IF($S315="","",IF($S315="Lớp 5",INDEX('Lớp 5 - Phân công'!$Z$14:$Z$262,$T315),IF($S315="Lớp 4",INDEX('Lớp 4 - Danh mục'!$X$14:$X$132,$T315),INDEX('Lớp 3 - Công việc chính'!$W$14:$W$73,$T315))))</f>
        <v>#REF!</v>
      </c>
      <c r="M315" s="694" t="str">
        <f t="array" ref="M315">IF($S315="","",IF($S315="Lớp 5",INDEX('Lớp 5 - Phân công'!$AD$14:$AD$262,$T315),IF($S315="Lớp 4",INDEX('Lớp 4 - Danh mục'!$AC$14:$AC$132,$T315),INDEX('Lớp 3 - Công việc chính'!$Z$14:$Z$73,$T315))))</f>
        <v>#REF!</v>
      </c>
      <c r="N315" s="695" t="str">
        <f t="array" ref="N315">IF($S315="","",IF($S315="Lớp 5",INDEX('Lớp 5 - Phân công'!$AE$14:$AE$262,$T315),IF($S315="Lớp 4",INDEX('Lớp 4 - Danh mục'!$AD$14:$AD$132,$T315),INDEX('Lớp 3 - Công việc chính'!$AA$14:$AA$73,$T315))))</f>
        <v>#REF!</v>
      </c>
      <c r="O315" s="690" t="str">
        <f t="array" ref="O315">IF($S315="","",IF($S315="Lớp 5",INDEX('Lớp 5 - Phân công'!$AB$14:$AB$262,$T315),IF($S315="Lớp 4",INDEX('Lớp 4 - Danh mục'!$AA$14:$AA$132,$T315),INDEX('Lớp 3 - Công việc chính'!$X$14:$X$73,$T315))))</f>
        <v>#REF!</v>
      </c>
      <c r="P315" s="703" t="str">
        <f t="array" ref="P315">IF($S315="","",IF($S315="Lớp 5",INDEX('Lớp 5 - Phân công'!$AC$14:$AC$262,$T315),IF($S315="Lớp 4",INDEX('Lớp 4 - Danh mục'!$AB$14:$AB$132,$T315),INDEX('Lớp 3 - Công việc chính'!$Y$14:$Y$73,$T315))))</f>
        <v>#REF!</v>
      </c>
      <c r="Q315" s="697" t="str">
        <f t="array" ref="Q315">IF($S315="","",IF($S315="Lớp 5",INDEX('Lớp 5 - Phân công'!$AG$14:$AG$262,$T315),IF($S315="Lớp 4",INDEX('Lớp 4 - Danh mục'!$AF$14:$AF$132,$T315),INDEX('Lớp 3 - Công việc chính'!$AC$14:$AC$73,$T315))))</f>
        <v>#REF!</v>
      </c>
      <c r="R315" s="698" t="str">
        <f t="array" ref="R315">IF($S315="","",IF($S315="Lớp 5",INDEX('Lớp 5 - Phân công'!$X$14:$X$262,$T315),IF($S315="Lớp 4",INDEX('Lớp 4 - Danh mục'!$V$14:$V$132,$T315),INDEX('Lớp 3 - Công việc chính'!$T$14:$T$73,$T315))))</f>
        <v>#REF!</v>
      </c>
      <c r="S315" s="699" t="str">
        <f>IF(ROWS($S$14:S315)&lt;=COUNTIF('Lớp 5 - Phân công'!$I$14:$I$262,"&lt;&gt;"),"Lớp 5",IF(ROWS($S$14:S315)&lt;=COUNTIF('Lớp 5 - Phân công'!$I$14:$I$262,"&lt;&gt;")+SUMPRODUCT(--('Lớp 4 - Danh mục'!$I$14:$I$132&lt;&gt;""),--(COUNTIF('Lớp 5 - Phân công'!$J$14:$J$262,'Lớp 4 - Danh mục'!$I$14:$I$132)=0)),"Lớp 4",IF(ROWS($S$14:S315)&lt;=COUNTIF('Lớp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5" s="699" t="str">
        <f t="array" ref="T315">IF(S315="","",IF(S315="Lớp 5",IF(S314&lt;&gt;"Lớp 5",MATCH("*",'Lớp 5 - Phân công'!$I$14:$I$262,0),T314+MATCH("*",INDEX('Lớp 5 - Phân công'!$I$14:$I$262,T314+1):'Lớp 5 - Phân công'!$I$262,0)),IF(S315="Lớp 4",IF(S314&lt;&gt;"Lớp 4",MATCH(1,INDEX(('Lớp 4 - Danh mục'!$I$14:$I$132&lt;&gt;"")*(COUNTIF('Lớp 5 - Phân công'!$J$14:$J$262,'Lớp 4 - Danh mục'!$I$14:$I$132)=0),0),0),T314+MATCH(1,INDEX((INDEX('Lớp 4 - Danh mục'!$I$14:$I$132,T314+1):'Lớp 4 - Danh mục'!$I$132&lt;&gt;"")*(COUNTIF('Lớp 5 - Phân công'!$J$14:$J$262,INDEX('Lớp 4 - Danh mục'!$I$14:$I$132,T314+1):'Lớp 4 - Danh mục'!$I$132)=0),0),0)),IF(S314&lt;&gt;"Lớp 3",MATCH(1,INDEX(('Lớp 3 - Công việc chính'!$I$14:$I$73&lt;&gt;"")*(COUNTIF('Lớp 4 - Danh mục'!$J$14:$J$132,'Lớp 3 - Công việc chính'!$I$14:$I$73)=0),0),0),T314+MATCH(1,INDEX((INDEX('Lớp 3 - Công việc chính'!$I$14:$I$73,T314+1):'Lớp 3 - Công việc chính'!$I$73&lt;&gt;"")*(COUNTIF('Lớp 4 - Danh mục'!$J$14:$J$132,INDEX('Lớp 3 - Công việc chính'!$I$14:$I$73,T314+1):'Lớp 3 - Công việc chính'!$I$73)=0),0),0)))))</f>
        <v>#REF!</v>
      </c>
      <c r="Z315" s="700" t="str">
        <f t="array" ref="Z315">IF($S315="","",IF($S315="Lớp 5",INDEX('Lớp 5 - Phân công'!$AS$14:$AS$262,$T315),IF($S315="Lớp 4",INDEX('Lớp 4 - Danh mục'!$AR$14:$AR$132,$T315),INDEX('Lớp 3 - Công việc chính'!$AO$14:$AO$73,$T315))))</f>
        <v>#REF!</v>
      </c>
      <c r="AA315" s="701" t="str">
        <f t="array" ref="AA315">IF($S315="","",IF($S315="Lớp 5",INDEX('Lớp 5 - Phân công'!$AT$14:$AT$262,$T315),IF($S315="Lớp 4",INDEX('Lớp 4 - Danh mục'!$AS$14:$AS$132,$T315),INDEX('Lớp 3 - Công việc chính'!$AP$14:$AP$73,$T315))))</f>
        <v>#REF!</v>
      </c>
      <c r="AB315" s="701" t="str">
        <f t="array" ref="AB315">IF($S315="","",IF($S315="Lớp 5",INDEX('Lớp 5 - Phân công'!$AJ$14:$AJ$262,$T315),IF($S315="Lớp 4",INDEX('Lớp 4 - Danh mục'!$AI$14:$AI$132,$T315),INDEX('Lớp 3 - Công việc chính'!$AF$14:$AF$73,$T315))))</f>
        <v>#REF!</v>
      </c>
      <c r="AC315" s="702" t="str">
        <f t="array" ref="AC315">IF($S315="","",IF($S315="Lớp 5",INDEX('Lớp 5 - Phân công'!$AV$14:$AV$262,$T315),IF($S315="Lớp 4",INDEX('Lớp 4 - Danh mục'!$AU$14:$AU$132,$T315),INDEX('Lớp 3 - Công việc chính'!$AR$14:$AR$73,$T315))))</f>
        <v>#REF!</v>
      </c>
    </row>
    <row r="316" ht="15.75" customHeight="1">
      <c r="A316" s="690" t="str">
        <f t="shared" si="1"/>
        <v>#REF!</v>
      </c>
      <c r="B316" s="690" t="str">
        <f t="array" ref="B316">IF($S316="","",IF($S316="Lớp 5",INDEX('Lớp 5 - Phân công'!$I$14:$I$262,$T316),IF($S316="Lớp 4",INDEX('Lớp 4 - Danh mục'!$I$14:$I$132,$T316),INDEX('Lớp 3 - Công việc chính'!$I$14:$I$73,$T316))))</f>
        <v>#REF!</v>
      </c>
      <c r="C316" s="690" t="str">
        <f t="array" ref="C316">IF($S316="","",IF($S316="Lớp 5",INDEX('Lớp 5 - Phân công'!$K$14:$K$262,$T316),IF($S316="Lớp 4",INDEX('Lớp 4 - Danh mục'!$J$14:$J$132,$T316),INDEX('Lớp 3 - Công việc chính'!$I$14:$I$73,$T316))))</f>
        <v>#REF!</v>
      </c>
      <c r="D316" s="690" t="str">
        <f t="array" ref="D316">IF($S316="","",IF($S316="Lớp 5",INDEX('Lớp 5 - Phân công'!$J$14:$J$262,$T316),IF($S316="Lớp 4",INDEX('Lớp 4 - Danh mục'!$I$14:$I$132,$T316),"")))</f>
        <v>#REF!</v>
      </c>
      <c r="E316" s="690" t="str">
        <f t="array" ref="E316">IF($S316="","",IF($S316="Lớp 5",INDEX('Lớp 5 - Phân công'!$L$14:$L$262,$T316),IF($S316="Lớp 4",INDEX('Lớp 4 - Danh mục'!$K$14:$K$132,$T316),INDEX('Lớp 3 - Công việc chính'!$J$14:$J$73,$T316))))</f>
        <v>#REF!</v>
      </c>
      <c r="F316" s="690" t="str">
        <f t="array" ref="F316">IF($S316="","",IF($S316="Lớp 5",INDEX('Lớp 5 - Phân công'!$M$14:$M$262,$T316),IF($S316="Lớp 4",INDEX('Lớp 4 - Danh mục'!$L$14:$L$132,$T316),INDEX('Lớp 3 - Công việc chính'!$K$14:$K$73,$T316))))</f>
        <v>#REF!</v>
      </c>
      <c r="G316" s="691" t="str">
        <f t="array" ref="G316">IF($S316="","",IF($S316="Lớp 5",INDEX('Lớp 5 - Phân công'!$N$14:$N$262,$T316),IF($S316="Lớp 4",INDEX('Lớp 4 - Danh mục'!$M$14:$M$132,$T316),INDEX('Lớp 3 - Công việc chính'!$L$14:$L$73,$T316))))</f>
        <v>#REF!</v>
      </c>
      <c r="H316" s="692" t="str">
        <f t="array" ref="H316">IF($S316="","",IF($S316="Lớp 5",INDEX('Lớp 5 - Phân công'!$O$14:$O$262,$T316),IF($S316="Lớp 4",INDEX('Lớp 4 - Danh mục'!$N$14:$N$132,$T316),INDEX('Lớp 3 - Công việc chính'!$M$14:$M$73,$T316))))</f>
        <v>#REF!</v>
      </c>
      <c r="I316" s="692" t="str">
        <f t="array" ref="I316">IF($S316="","",IF($S316="Lớp 5",INDEX('Lớp 5 - Phân công'!$P$14:$P$262,$T316),IF($S316="Lớp 4",INDEX('Lớp 4 - Danh mục'!$O$14:$O$132,$T316),"")))</f>
        <v>#REF!</v>
      </c>
      <c r="J316" s="693" t="str">
        <f t="array" ref="J316">IF($S316="","",IF($S316="Lớp 5",INDEX('Lớp 5 - Phân công'!$Q$14:$Q$262,$T316),""))</f>
        <v>#REF!</v>
      </c>
      <c r="K316" s="690" t="str">
        <f t="array" ref="K316">IF($S316="","",IF($S316="Lớp 5",INDEX('Lớp 5 - Phân công'!$AA$14:$AA$262,$T316),IF($S316="Lớp 4",INDEX('Lớp 4 - Danh mục'!$Y$14:$Y$132,$T316),INDEX('Lớp 3 - Công việc chính'!$U$14:$U$73,$T316))))</f>
        <v>#REF!</v>
      </c>
      <c r="L316" s="691" t="str">
        <f t="array" ref="L316">IF($S316="","",IF($S316="Lớp 5",INDEX('Lớp 5 - Phân công'!$Z$14:$Z$262,$T316),IF($S316="Lớp 4",INDEX('Lớp 4 - Danh mục'!$X$14:$X$132,$T316),INDEX('Lớp 3 - Công việc chính'!$W$14:$W$73,$T316))))</f>
        <v>#REF!</v>
      </c>
      <c r="M316" s="694" t="str">
        <f t="array" ref="M316">IF($S316="","",IF($S316="Lớp 5",INDEX('Lớp 5 - Phân công'!$AD$14:$AD$262,$T316),IF($S316="Lớp 4",INDEX('Lớp 4 - Danh mục'!$AC$14:$AC$132,$T316),INDEX('Lớp 3 - Công việc chính'!$Z$14:$Z$73,$T316))))</f>
        <v>#REF!</v>
      </c>
      <c r="N316" s="695" t="str">
        <f t="array" ref="N316">IF($S316="","",IF($S316="Lớp 5",INDEX('Lớp 5 - Phân công'!$AE$14:$AE$262,$T316),IF($S316="Lớp 4",INDEX('Lớp 4 - Danh mục'!$AD$14:$AD$132,$T316),INDEX('Lớp 3 - Công việc chính'!$AA$14:$AA$73,$T316))))</f>
        <v>#REF!</v>
      </c>
      <c r="O316" s="690" t="str">
        <f t="array" ref="O316">IF($S316="","",IF($S316="Lớp 5",INDEX('Lớp 5 - Phân công'!$AB$14:$AB$262,$T316),IF($S316="Lớp 4",INDEX('Lớp 4 - Danh mục'!$AA$14:$AA$132,$T316),INDEX('Lớp 3 - Công việc chính'!$X$14:$X$73,$T316))))</f>
        <v>#REF!</v>
      </c>
      <c r="P316" s="703" t="str">
        <f t="array" ref="P316">IF($S316="","",IF($S316="Lớp 5",INDEX('Lớp 5 - Phân công'!$AC$14:$AC$262,$T316),IF($S316="Lớp 4",INDEX('Lớp 4 - Danh mục'!$AB$14:$AB$132,$T316),INDEX('Lớp 3 - Công việc chính'!$Y$14:$Y$73,$T316))))</f>
        <v>#REF!</v>
      </c>
      <c r="Q316" s="697" t="str">
        <f t="array" ref="Q316">IF($S316="","",IF($S316="Lớp 5",INDEX('Lớp 5 - Phân công'!$AG$14:$AG$262,$T316),IF($S316="Lớp 4",INDEX('Lớp 4 - Danh mục'!$AF$14:$AF$132,$T316),INDEX('Lớp 3 - Công việc chính'!$AC$14:$AC$73,$T316))))</f>
        <v>#REF!</v>
      </c>
      <c r="R316" s="698" t="str">
        <f t="array" ref="R316">IF($S316="","",IF($S316="Lớp 5",INDEX('Lớp 5 - Phân công'!$X$14:$X$262,$T316),IF($S316="Lớp 4",INDEX('Lớp 4 - Danh mục'!$V$14:$V$132,$T316),INDEX('Lớp 3 - Công việc chính'!$T$14:$T$73,$T316))))</f>
        <v>#REF!</v>
      </c>
      <c r="S316" s="699" t="str">
        <f>IF(ROWS($S$14:S316)&lt;=COUNTIF('Lớp 5 - Phân công'!$I$14:$I$262,"&lt;&gt;"),"Lớp 5",IF(ROWS($S$14:S316)&lt;=COUNTIF('Lớp 5 - Phân công'!$I$14:$I$262,"&lt;&gt;")+SUMPRODUCT(--('Lớp 4 - Danh mục'!$I$14:$I$132&lt;&gt;""),--(COUNTIF('Lớp 5 - Phân công'!$J$14:$J$262,'Lớp 4 - Danh mục'!$I$14:$I$132)=0)),"Lớp 4",IF(ROWS($S$14:S316)&lt;=COUNTIF('Lớp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6" s="699" t="str">
        <f t="array" ref="T316">IF(S316="","",IF(S316="Lớp 5",IF(S315&lt;&gt;"Lớp 5",MATCH("*",'Lớp 5 - Phân công'!$I$14:$I$262,0),T315+MATCH("*",INDEX('Lớp 5 - Phân công'!$I$14:$I$262,T315+1):'Lớp 5 - Phân công'!$I$262,0)),IF(S316="Lớp 4",IF(S315&lt;&gt;"Lớp 4",MATCH(1,INDEX(('Lớp 4 - Danh mục'!$I$14:$I$132&lt;&gt;"")*(COUNTIF('Lớp 5 - Phân công'!$J$14:$J$262,'Lớp 4 - Danh mục'!$I$14:$I$132)=0),0),0),T315+MATCH(1,INDEX((INDEX('Lớp 4 - Danh mục'!$I$14:$I$132,T315+1):'Lớp 4 - Danh mục'!$I$132&lt;&gt;"")*(COUNTIF('Lớp 5 - Phân công'!$J$14:$J$262,INDEX('Lớp 4 - Danh mục'!$I$14:$I$132,T315+1):'Lớp 4 - Danh mục'!$I$132)=0),0),0)),IF(S315&lt;&gt;"Lớp 3",MATCH(1,INDEX(('Lớp 3 - Công việc chính'!$I$14:$I$73&lt;&gt;"")*(COUNTIF('Lớp 4 - Danh mục'!$J$14:$J$132,'Lớp 3 - Công việc chính'!$I$14:$I$73)=0),0),0),T315+MATCH(1,INDEX((INDEX('Lớp 3 - Công việc chính'!$I$14:$I$73,T315+1):'Lớp 3 - Công việc chính'!$I$73&lt;&gt;"")*(COUNTIF('Lớp 4 - Danh mục'!$J$14:$J$132,INDEX('Lớp 3 - Công việc chính'!$I$14:$I$73,T315+1):'Lớp 3 - Công việc chính'!$I$73)=0),0),0)))))</f>
        <v>#REF!</v>
      </c>
      <c r="Z316" s="700" t="str">
        <f t="array" ref="Z316">IF($S316="","",IF($S316="Lớp 5",INDEX('Lớp 5 - Phân công'!$AS$14:$AS$262,$T316),IF($S316="Lớp 4",INDEX('Lớp 4 - Danh mục'!$AR$14:$AR$132,$T316),INDEX('Lớp 3 - Công việc chính'!$AO$14:$AO$73,$T316))))</f>
        <v>#REF!</v>
      </c>
      <c r="AA316" s="701" t="str">
        <f t="array" ref="AA316">IF($S316="","",IF($S316="Lớp 5",INDEX('Lớp 5 - Phân công'!$AT$14:$AT$262,$T316),IF($S316="Lớp 4",INDEX('Lớp 4 - Danh mục'!$AS$14:$AS$132,$T316),INDEX('Lớp 3 - Công việc chính'!$AP$14:$AP$73,$T316))))</f>
        <v>#REF!</v>
      </c>
      <c r="AB316" s="701" t="str">
        <f t="array" ref="AB316">IF($S316="","",IF($S316="Lớp 5",INDEX('Lớp 5 - Phân công'!$AJ$14:$AJ$262,$T316),IF($S316="Lớp 4",INDEX('Lớp 4 - Danh mục'!$AI$14:$AI$132,$T316),INDEX('Lớp 3 - Công việc chính'!$AF$14:$AF$73,$T316))))</f>
        <v>#REF!</v>
      </c>
      <c r="AC316" s="702" t="str">
        <f t="array" ref="AC316">IF($S316="","",IF($S316="Lớp 5",INDEX('Lớp 5 - Phân công'!$AV$14:$AV$262,$T316),IF($S316="Lớp 4",INDEX('Lớp 4 - Danh mục'!$AU$14:$AU$132,$T316),INDEX('Lớp 3 - Công việc chính'!$AR$14:$AR$73,$T316))))</f>
        <v>#REF!</v>
      </c>
    </row>
    <row r="317" ht="15.75" customHeight="1">
      <c r="A317" s="690" t="str">
        <f t="shared" si="1"/>
        <v>#REF!</v>
      </c>
      <c r="B317" s="690" t="str">
        <f t="array" ref="B317">IF($S317="","",IF($S317="Lớp 5",INDEX('Lớp 5 - Phân công'!$I$14:$I$262,$T317),IF($S317="Lớp 4",INDEX('Lớp 4 - Danh mục'!$I$14:$I$132,$T317),INDEX('Lớp 3 - Công việc chính'!$I$14:$I$73,$T317))))</f>
        <v>#REF!</v>
      </c>
      <c r="C317" s="690" t="str">
        <f t="array" ref="C317">IF($S317="","",IF($S317="Lớp 5",INDEX('Lớp 5 - Phân công'!$K$14:$K$262,$T317),IF($S317="Lớp 4",INDEX('Lớp 4 - Danh mục'!$J$14:$J$132,$T317),INDEX('Lớp 3 - Công việc chính'!$I$14:$I$73,$T317))))</f>
        <v>#REF!</v>
      </c>
      <c r="D317" s="690" t="str">
        <f t="array" ref="D317">IF($S317="","",IF($S317="Lớp 5",INDEX('Lớp 5 - Phân công'!$J$14:$J$262,$T317),IF($S317="Lớp 4",INDEX('Lớp 4 - Danh mục'!$I$14:$I$132,$T317),"")))</f>
        <v>#REF!</v>
      </c>
      <c r="E317" s="690" t="str">
        <f t="array" ref="E317">IF($S317="","",IF($S317="Lớp 5",INDEX('Lớp 5 - Phân công'!$L$14:$L$262,$T317),IF($S317="Lớp 4",INDEX('Lớp 4 - Danh mục'!$K$14:$K$132,$T317),INDEX('Lớp 3 - Công việc chính'!$J$14:$J$73,$T317))))</f>
        <v>#REF!</v>
      </c>
      <c r="F317" s="690" t="str">
        <f t="array" ref="F317">IF($S317="","",IF($S317="Lớp 5",INDEX('Lớp 5 - Phân công'!$M$14:$M$262,$T317),IF($S317="Lớp 4",INDEX('Lớp 4 - Danh mục'!$L$14:$L$132,$T317),INDEX('Lớp 3 - Công việc chính'!$K$14:$K$73,$T317))))</f>
        <v>#REF!</v>
      </c>
      <c r="G317" s="691" t="str">
        <f t="array" ref="G317">IF($S317="","",IF($S317="Lớp 5",INDEX('Lớp 5 - Phân công'!$N$14:$N$262,$T317),IF($S317="Lớp 4",INDEX('Lớp 4 - Danh mục'!$M$14:$M$132,$T317),INDEX('Lớp 3 - Công việc chính'!$L$14:$L$73,$T317))))</f>
        <v>#REF!</v>
      </c>
      <c r="H317" s="692" t="str">
        <f t="array" ref="H317">IF($S317="","",IF($S317="Lớp 5",INDEX('Lớp 5 - Phân công'!$O$14:$O$262,$T317),IF($S317="Lớp 4",INDEX('Lớp 4 - Danh mục'!$N$14:$N$132,$T317),INDEX('Lớp 3 - Công việc chính'!$M$14:$M$73,$T317))))</f>
        <v>#REF!</v>
      </c>
      <c r="I317" s="692" t="str">
        <f t="array" ref="I317">IF($S317="","",IF($S317="Lớp 5",INDEX('Lớp 5 - Phân công'!$P$14:$P$262,$T317),IF($S317="Lớp 4",INDEX('Lớp 4 - Danh mục'!$O$14:$O$132,$T317),"")))</f>
        <v>#REF!</v>
      </c>
      <c r="J317" s="693" t="str">
        <f t="array" ref="J317">IF($S317="","",IF($S317="Lớp 5",INDEX('Lớp 5 - Phân công'!$Q$14:$Q$262,$T317),""))</f>
        <v>#REF!</v>
      </c>
      <c r="K317" s="690" t="str">
        <f t="array" ref="K317">IF($S317="","",IF($S317="Lớp 5",INDEX('Lớp 5 - Phân công'!$AA$14:$AA$262,$T317),IF($S317="Lớp 4",INDEX('Lớp 4 - Danh mục'!$Y$14:$Y$132,$T317),INDEX('Lớp 3 - Công việc chính'!$U$14:$U$73,$T317))))</f>
        <v>#REF!</v>
      </c>
      <c r="L317" s="691" t="str">
        <f t="array" ref="L317">IF($S317="","",IF($S317="Lớp 5",INDEX('Lớp 5 - Phân công'!$Z$14:$Z$262,$T317),IF($S317="Lớp 4",INDEX('Lớp 4 - Danh mục'!$X$14:$X$132,$T317),INDEX('Lớp 3 - Công việc chính'!$W$14:$W$73,$T317))))</f>
        <v>#REF!</v>
      </c>
      <c r="M317" s="694" t="str">
        <f t="array" ref="M317">IF($S317="","",IF($S317="Lớp 5",INDEX('Lớp 5 - Phân công'!$AD$14:$AD$262,$T317),IF($S317="Lớp 4",INDEX('Lớp 4 - Danh mục'!$AC$14:$AC$132,$T317),INDEX('Lớp 3 - Công việc chính'!$Z$14:$Z$73,$T317))))</f>
        <v>#REF!</v>
      </c>
      <c r="N317" s="695" t="str">
        <f t="array" ref="N317">IF($S317="","",IF($S317="Lớp 5",INDEX('Lớp 5 - Phân công'!$AE$14:$AE$262,$T317),IF($S317="Lớp 4",INDEX('Lớp 4 - Danh mục'!$AD$14:$AD$132,$T317),INDEX('Lớp 3 - Công việc chính'!$AA$14:$AA$73,$T317))))</f>
        <v>#REF!</v>
      </c>
      <c r="O317" s="690" t="str">
        <f t="array" ref="O317">IF($S317="","",IF($S317="Lớp 5",INDEX('Lớp 5 - Phân công'!$AB$14:$AB$262,$T317),IF($S317="Lớp 4",INDEX('Lớp 4 - Danh mục'!$AA$14:$AA$132,$T317),INDEX('Lớp 3 - Công việc chính'!$X$14:$X$73,$T317))))</f>
        <v>#REF!</v>
      </c>
      <c r="P317" s="703" t="str">
        <f t="array" ref="P317">IF($S317="","",IF($S317="Lớp 5",INDEX('Lớp 5 - Phân công'!$AC$14:$AC$262,$T317),IF($S317="Lớp 4",INDEX('Lớp 4 - Danh mục'!$AB$14:$AB$132,$T317),INDEX('Lớp 3 - Công việc chính'!$Y$14:$Y$73,$T317))))</f>
        <v>#REF!</v>
      </c>
      <c r="Q317" s="697" t="str">
        <f t="array" ref="Q317">IF($S317="","",IF($S317="Lớp 5",INDEX('Lớp 5 - Phân công'!$AG$14:$AG$262,$T317),IF($S317="Lớp 4",INDEX('Lớp 4 - Danh mục'!$AF$14:$AF$132,$T317),INDEX('Lớp 3 - Công việc chính'!$AC$14:$AC$73,$T317))))</f>
        <v>#REF!</v>
      </c>
      <c r="R317" s="698" t="str">
        <f t="array" ref="R317">IF($S317="","",IF($S317="Lớp 5",INDEX('Lớp 5 - Phân công'!$X$14:$X$262,$T317),IF($S317="Lớp 4",INDEX('Lớp 4 - Danh mục'!$V$14:$V$132,$T317),INDEX('Lớp 3 - Công việc chính'!$T$14:$T$73,$T317))))</f>
        <v>#REF!</v>
      </c>
      <c r="S317" s="699" t="str">
        <f>IF(ROWS($S$14:S317)&lt;=COUNTIF('Lớp 5 - Phân công'!$I$14:$I$262,"&lt;&gt;"),"Lớp 5",IF(ROWS($S$14:S317)&lt;=COUNTIF('Lớp 5 - Phân công'!$I$14:$I$262,"&lt;&gt;")+SUMPRODUCT(--('Lớp 4 - Danh mục'!$I$14:$I$132&lt;&gt;""),--(COUNTIF('Lớp 5 - Phân công'!$J$14:$J$262,'Lớp 4 - Danh mục'!$I$14:$I$132)=0)),"Lớp 4",IF(ROWS($S$14:S317)&lt;=COUNTIF('Lớp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7" s="699" t="str">
        <f t="array" ref="T317">IF(S317="","",IF(S317="Lớp 5",IF(S316&lt;&gt;"Lớp 5",MATCH("*",'Lớp 5 - Phân công'!$I$14:$I$262,0),T316+MATCH("*",INDEX('Lớp 5 - Phân công'!$I$14:$I$262,T316+1):'Lớp 5 - Phân công'!$I$262,0)),IF(S317="Lớp 4",IF(S316&lt;&gt;"Lớp 4",MATCH(1,INDEX(('Lớp 4 - Danh mục'!$I$14:$I$132&lt;&gt;"")*(COUNTIF('Lớp 5 - Phân công'!$J$14:$J$262,'Lớp 4 - Danh mục'!$I$14:$I$132)=0),0),0),T316+MATCH(1,INDEX((INDEX('Lớp 4 - Danh mục'!$I$14:$I$132,T316+1):'Lớp 4 - Danh mục'!$I$132&lt;&gt;"")*(COUNTIF('Lớp 5 - Phân công'!$J$14:$J$262,INDEX('Lớp 4 - Danh mục'!$I$14:$I$132,T316+1):'Lớp 4 - Danh mục'!$I$132)=0),0),0)),IF(S316&lt;&gt;"Lớp 3",MATCH(1,INDEX(('Lớp 3 - Công việc chính'!$I$14:$I$73&lt;&gt;"")*(COUNTIF('Lớp 4 - Danh mục'!$J$14:$J$132,'Lớp 3 - Công việc chính'!$I$14:$I$73)=0),0),0),T316+MATCH(1,INDEX((INDEX('Lớp 3 - Công việc chính'!$I$14:$I$73,T316+1):'Lớp 3 - Công việc chính'!$I$73&lt;&gt;"")*(COUNTIF('Lớp 4 - Danh mục'!$J$14:$J$132,INDEX('Lớp 3 - Công việc chính'!$I$14:$I$73,T316+1):'Lớp 3 - Công việc chính'!$I$73)=0),0),0)))))</f>
        <v>#REF!</v>
      </c>
      <c r="Z317" s="700" t="str">
        <f t="array" ref="Z317">IF($S317="","",IF($S317="Lớp 5",INDEX('Lớp 5 - Phân công'!$AS$14:$AS$262,$T317),IF($S317="Lớp 4",INDEX('Lớp 4 - Danh mục'!$AR$14:$AR$132,$T317),INDEX('Lớp 3 - Công việc chính'!$AO$14:$AO$73,$T317))))</f>
        <v>#REF!</v>
      </c>
      <c r="AA317" s="701" t="str">
        <f t="array" ref="AA317">IF($S317="","",IF($S317="Lớp 5",INDEX('Lớp 5 - Phân công'!$AT$14:$AT$262,$T317),IF($S317="Lớp 4",INDEX('Lớp 4 - Danh mục'!$AS$14:$AS$132,$T317),INDEX('Lớp 3 - Công việc chính'!$AP$14:$AP$73,$T317))))</f>
        <v>#REF!</v>
      </c>
      <c r="AB317" s="701" t="str">
        <f t="array" ref="AB317">IF($S317="","",IF($S317="Lớp 5",INDEX('Lớp 5 - Phân công'!$AJ$14:$AJ$262,$T317),IF($S317="Lớp 4",INDEX('Lớp 4 - Danh mục'!$AI$14:$AI$132,$T317),INDEX('Lớp 3 - Công việc chính'!$AF$14:$AF$73,$T317))))</f>
        <v>#REF!</v>
      </c>
      <c r="AC317" s="702" t="str">
        <f t="array" ref="AC317">IF($S317="","",IF($S317="Lớp 5",INDEX('Lớp 5 - Phân công'!$AV$14:$AV$262,$T317),IF($S317="Lớp 4",INDEX('Lớp 4 - Danh mục'!$AU$14:$AU$132,$T317),INDEX('Lớp 3 - Công việc chính'!$AR$14:$AR$73,$T317))))</f>
        <v>#REF!</v>
      </c>
    </row>
    <row r="318" ht="15.75" customHeight="1">
      <c r="A318" s="690" t="str">
        <f t="shared" si="1"/>
        <v>#REF!</v>
      </c>
      <c r="B318" s="690" t="str">
        <f t="array" ref="B318">IF($S318="","",IF($S318="Lớp 5",INDEX('Lớp 5 - Phân công'!$I$14:$I$262,$T318),IF($S318="Lớp 4",INDEX('Lớp 4 - Danh mục'!$I$14:$I$132,$T318),INDEX('Lớp 3 - Công việc chính'!$I$14:$I$73,$T318))))</f>
        <v>#REF!</v>
      </c>
      <c r="C318" s="690" t="str">
        <f t="array" ref="C318">IF($S318="","",IF($S318="Lớp 5",INDEX('Lớp 5 - Phân công'!$K$14:$K$262,$T318),IF($S318="Lớp 4",INDEX('Lớp 4 - Danh mục'!$J$14:$J$132,$T318),INDEX('Lớp 3 - Công việc chính'!$I$14:$I$73,$T318))))</f>
        <v>#REF!</v>
      </c>
      <c r="D318" s="690" t="str">
        <f t="array" ref="D318">IF($S318="","",IF($S318="Lớp 5",INDEX('Lớp 5 - Phân công'!$J$14:$J$262,$T318),IF($S318="Lớp 4",INDEX('Lớp 4 - Danh mục'!$I$14:$I$132,$T318),"")))</f>
        <v>#REF!</v>
      </c>
      <c r="E318" s="690" t="str">
        <f t="array" ref="E318">IF($S318="","",IF($S318="Lớp 5",INDEX('Lớp 5 - Phân công'!$L$14:$L$262,$T318),IF($S318="Lớp 4",INDEX('Lớp 4 - Danh mục'!$K$14:$K$132,$T318),INDEX('Lớp 3 - Công việc chính'!$J$14:$J$73,$T318))))</f>
        <v>#REF!</v>
      </c>
      <c r="F318" s="690" t="str">
        <f t="array" ref="F318">IF($S318="","",IF($S318="Lớp 5",INDEX('Lớp 5 - Phân công'!$M$14:$M$262,$T318),IF($S318="Lớp 4",INDEX('Lớp 4 - Danh mục'!$L$14:$L$132,$T318),INDEX('Lớp 3 - Công việc chính'!$K$14:$K$73,$T318))))</f>
        <v>#REF!</v>
      </c>
      <c r="G318" s="691" t="str">
        <f t="array" ref="G318">IF($S318="","",IF($S318="Lớp 5",INDEX('Lớp 5 - Phân công'!$N$14:$N$262,$T318),IF($S318="Lớp 4",INDEX('Lớp 4 - Danh mục'!$M$14:$M$132,$T318),INDEX('Lớp 3 - Công việc chính'!$L$14:$L$73,$T318))))</f>
        <v>#REF!</v>
      </c>
      <c r="H318" s="692" t="str">
        <f t="array" ref="H318">IF($S318="","",IF($S318="Lớp 5",INDEX('Lớp 5 - Phân công'!$O$14:$O$262,$T318),IF($S318="Lớp 4",INDEX('Lớp 4 - Danh mục'!$N$14:$N$132,$T318),INDEX('Lớp 3 - Công việc chính'!$M$14:$M$73,$T318))))</f>
        <v>#REF!</v>
      </c>
      <c r="I318" s="692" t="str">
        <f t="array" ref="I318">IF($S318="","",IF($S318="Lớp 5",INDEX('Lớp 5 - Phân công'!$P$14:$P$262,$T318),IF($S318="Lớp 4",INDEX('Lớp 4 - Danh mục'!$O$14:$O$132,$T318),"")))</f>
        <v>#REF!</v>
      </c>
      <c r="J318" s="693" t="str">
        <f t="array" ref="J318">IF($S318="","",IF($S318="Lớp 5",INDEX('Lớp 5 - Phân công'!$Q$14:$Q$262,$T318),""))</f>
        <v>#REF!</v>
      </c>
      <c r="K318" s="690" t="str">
        <f t="array" ref="K318">IF($S318="","",IF($S318="Lớp 5",INDEX('Lớp 5 - Phân công'!$AA$14:$AA$262,$T318),IF($S318="Lớp 4",INDEX('Lớp 4 - Danh mục'!$Y$14:$Y$132,$T318),INDEX('Lớp 3 - Công việc chính'!$U$14:$U$73,$T318))))</f>
        <v>#REF!</v>
      </c>
      <c r="L318" s="691" t="str">
        <f t="array" ref="L318">IF($S318="","",IF($S318="Lớp 5",INDEX('Lớp 5 - Phân công'!$Z$14:$Z$262,$T318),IF($S318="Lớp 4",INDEX('Lớp 4 - Danh mục'!$X$14:$X$132,$T318),INDEX('Lớp 3 - Công việc chính'!$W$14:$W$73,$T318))))</f>
        <v>#REF!</v>
      </c>
      <c r="M318" s="694" t="str">
        <f t="array" ref="M318">IF($S318="","",IF($S318="Lớp 5",INDEX('Lớp 5 - Phân công'!$AD$14:$AD$262,$T318),IF($S318="Lớp 4",INDEX('Lớp 4 - Danh mục'!$AC$14:$AC$132,$T318),INDEX('Lớp 3 - Công việc chính'!$Z$14:$Z$73,$T318))))</f>
        <v>#REF!</v>
      </c>
      <c r="N318" s="695" t="str">
        <f t="array" ref="N318">IF($S318="","",IF($S318="Lớp 5",INDEX('Lớp 5 - Phân công'!$AE$14:$AE$262,$T318),IF($S318="Lớp 4",INDEX('Lớp 4 - Danh mục'!$AD$14:$AD$132,$T318),INDEX('Lớp 3 - Công việc chính'!$AA$14:$AA$73,$T318))))</f>
        <v>#REF!</v>
      </c>
      <c r="O318" s="690" t="str">
        <f t="array" ref="O318">IF($S318="","",IF($S318="Lớp 5",INDEX('Lớp 5 - Phân công'!$AB$14:$AB$262,$T318),IF($S318="Lớp 4",INDEX('Lớp 4 - Danh mục'!$AA$14:$AA$132,$T318),INDEX('Lớp 3 - Công việc chính'!$X$14:$X$73,$T318))))</f>
        <v>#REF!</v>
      </c>
      <c r="P318" s="703" t="str">
        <f t="array" ref="P318">IF($S318="","",IF($S318="Lớp 5",INDEX('Lớp 5 - Phân công'!$AC$14:$AC$262,$T318),IF($S318="Lớp 4",INDEX('Lớp 4 - Danh mục'!$AB$14:$AB$132,$T318),INDEX('Lớp 3 - Công việc chính'!$Y$14:$Y$73,$T318))))</f>
        <v>#REF!</v>
      </c>
      <c r="Q318" s="697" t="str">
        <f t="array" ref="Q318">IF($S318="","",IF($S318="Lớp 5",INDEX('Lớp 5 - Phân công'!$AG$14:$AG$262,$T318),IF($S318="Lớp 4",INDEX('Lớp 4 - Danh mục'!$AF$14:$AF$132,$T318),INDEX('Lớp 3 - Công việc chính'!$AC$14:$AC$73,$T318))))</f>
        <v>#REF!</v>
      </c>
      <c r="R318" s="698" t="str">
        <f t="array" ref="R318">IF($S318="","",IF($S318="Lớp 5",INDEX('Lớp 5 - Phân công'!$X$14:$X$262,$T318),IF($S318="Lớp 4",INDEX('Lớp 4 - Danh mục'!$V$14:$V$132,$T318),INDEX('Lớp 3 - Công việc chính'!$T$14:$T$73,$T318))))</f>
        <v>#REF!</v>
      </c>
      <c r="S318" s="699" t="str">
        <f>IF(ROWS($S$14:S318)&lt;=COUNTIF('Lớp 5 - Phân công'!$I$14:$I$262,"&lt;&gt;"),"Lớp 5",IF(ROWS($S$14:S318)&lt;=COUNTIF('Lớp 5 - Phân công'!$I$14:$I$262,"&lt;&gt;")+SUMPRODUCT(--('Lớp 4 - Danh mục'!$I$14:$I$132&lt;&gt;""),--(COUNTIF('Lớp 5 - Phân công'!$J$14:$J$262,'Lớp 4 - Danh mục'!$I$14:$I$132)=0)),"Lớp 4",IF(ROWS($S$14:S318)&lt;=COUNTIF('Lớp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8" s="699" t="str">
        <f t="array" ref="T318">IF(S318="","",IF(S318="Lớp 5",IF(S317&lt;&gt;"Lớp 5",MATCH("*",'Lớp 5 - Phân công'!$I$14:$I$262,0),T317+MATCH("*",INDEX('Lớp 5 - Phân công'!$I$14:$I$262,T317+1):'Lớp 5 - Phân công'!$I$262,0)),IF(S318="Lớp 4",IF(S317&lt;&gt;"Lớp 4",MATCH(1,INDEX(('Lớp 4 - Danh mục'!$I$14:$I$132&lt;&gt;"")*(COUNTIF('Lớp 5 - Phân công'!$J$14:$J$262,'Lớp 4 - Danh mục'!$I$14:$I$132)=0),0),0),T317+MATCH(1,INDEX((INDEX('Lớp 4 - Danh mục'!$I$14:$I$132,T317+1):'Lớp 4 - Danh mục'!$I$132&lt;&gt;"")*(COUNTIF('Lớp 5 - Phân công'!$J$14:$J$262,INDEX('Lớp 4 - Danh mục'!$I$14:$I$132,T317+1):'Lớp 4 - Danh mục'!$I$132)=0),0),0)),IF(S317&lt;&gt;"Lớp 3",MATCH(1,INDEX(('Lớp 3 - Công việc chính'!$I$14:$I$73&lt;&gt;"")*(COUNTIF('Lớp 4 - Danh mục'!$J$14:$J$132,'Lớp 3 - Công việc chính'!$I$14:$I$73)=0),0),0),T317+MATCH(1,INDEX((INDEX('Lớp 3 - Công việc chính'!$I$14:$I$73,T317+1):'Lớp 3 - Công việc chính'!$I$73&lt;&gt;"")*(COUNTIF('Lớp 4 - Danh mục'!$J$14:$J$132,INDEX('Lớp 3 - Công việc chính'!$I$14:$I$73,T317+1):'Lớp 3 - Công việc chính'!$I$73)=0),0),0)))))</f>
        <v>#REF!</v>
      </c>
      <c r="Z318" s="700" t="str">
        <f t="array" ref="Z318">IF($S318="","",IF($S318="Lớp 5",INDEX('Lớp 5 - Phân công'!$AS$14:$AS$262,$T318),IF($S318="Lớp 4",INDEX('Lớp 4 - Danh mục'!$AR$14:$AR$132,$T318),INDEX('Lớp 3 - Công việc chính'!$AO$14:$AO$73,$T318))))</f>
        <v>#REF!</v>
      </c>
      <c r="AA318" s="701" t="str">
        <f t="array" ref="AA318">IF($S318="","",IF($S318="Lớp 5",INDEX('Lớp 5 - Phân công'!$AT$14:$AT$262,$T318),IF($S318="Lớp 4",INDEX('Lớp 4 - Danh mục'!$AS$14:$AS$132,$T318),INDEX('Lớp 3 - Công việc chính'!$AP$14:$AP$73,$T318))))</f>
        <v>#REF!</v>
      </c>
      <c r="AB318" s="701" t="str">
        <f t="array" ref="AB318">IF($S318="","",IF($S318="Lớp 5",INDEX('Lớp 5 - Phân công'!$AJ$14:$AJ$262,$T318),IF($S318="Lớp 4",INDEX('Lớp 4 - Danh mục'!$AI$14:$AI$132,$T318),INDEX('Lớp 3 - Công việc chính'!$AF$14:$AF$73,$T318))))</f>
        <v>#REF!</v>
      </c>
      <c r="AC318" s="702" t="str">
        <f t="array" ref="AC318">IF($S318="","",IF($S318="Lớp 5",INDEX('Lớp 5 - Phân công'!$AV$14:$AV$262,$T318),IF($S318="Lớp 4",INDEX('Lớp 4 - Danh mục'!$AU$14:$AU$132,$T318),INDEX('Lớp 3 - Công việc chính'!$AR$14:$AR$73,$T318))))</f>
        <v>#REF!</v>
      </c>
    </row>
    <row r="319" ht="15.75" customHeight="1">
      <c r="A319" s="690" t="str">
        <f t="shared" si="1"/>
        <v>#REF!</v>
      </c>
      <c r="B319" s="690" t="str">
        <f t="array" ref="B319">IF($S319="","",IF($S319="Lớp 5",INDEX('Lớp 5 - Phân công'!$I$14:$I$262,$T319),IF($S319="Lớp 4",INDEX('Lớp 4 - Danh mục'!$I$14:$I$132,$T319),INDEX('Lớp 3 - Công việc chính'!$I$14:$I$73,$T319))))</f>
        <v>#REF!</v>
      </c>
      <c r="C319" s="690" t="str">
        <f t="array" ref="C319">IF($S319="","",IF($S319="Lớp 5",INDEX('Lớp 5 - Phân công'!$K$14:$K$262,$T319),IF($S319="Lớp 4",INDEX('Lớp 4 - Danh mục'!$J$14:$J$132,$T319),INDEX('Lớp 3 - Công việc chính'!$I$14:$I$73,$T319))))</f>
        <v>#REF!</v>
      </c>
      <c r="D319" s="690" t="str">
        <f t="array" ref="D319">IF($S319="","",IF($S319="Lớp 5",INDEX('Lớp 5 - Phân công'!$J$14:$J$262,$T319),IF($S319="Lớp 4",INDEX('Lớp 4 - Danh mục'!$I$14:$I$132,$T319),"")))</f>
        <v>#REF!</v>
      </c>
      <c r="E319" s="690" t="str">
        <f t="array" ref="E319">IF($S319="","",IF($S319="Lớp 5",INDEX('Lớp 5 - Phân công'!$L$14:$L$262,$T319),IF($S319="Lớp 4",INDEX('Lớp 4 - Danh mục'!$K$14:$K$132,$T319),INDEX('Lớp 3 - Công việc chính'!$J$14:$J$73,$T319))))</f>
        <v>#REF!</v>
      </c>
      <c r="F319" s="690" t="str">
        <f t="array" ref="F319">IF($S319="","",IF($S319="Lớp 5",INDEX('Lớp 5 - Phân công'!$M$14:$M$262,$T319),IF($S319="Lớp 4",INDEX('Lớp 4 - Danh mục'!$L$14:$L$132,$T319),INDEX('Lớp 3 - Công việc chính'!$K$14:$K$73,$T319))))</f>
        <v>#REF!</v>
      </c>
      <c r="G319" s="691" t="str">
        <f t="array" ref="G319">IF($S319="","",IF($S319="Lớp 5",INDEX('Lớp 5 - Phân công'!$N$14:$N$262,$T319),IF($S319="Lớp 4",INDEX('Lớp 4 - Danh mục'!$M$14:$M$132,$T319),INDEX('Lớp 3 - Công việc chính'!$L$14:$L$73,$T319))))</f>
        <v>#REF!</v>
      </c>
      <c r="H319" s="692" t="str">
        <f t="array" ref="H319">IF($S319="","",IF($S319="Lớp 5",INDEX('Lớp 5 - Phân công'!$O$14:$O$262,$T319),IF($S319="Lớp 4",INDEX('Lớp 4 - Danh mục'!$N$14:$N$132,$T319),INDEX('Lớp 3 - Công việc chính'!$M$14:$M$73,$T319))))</f>
        <v>#REF!</v>
      </c>
      <c r="I319" s="692" t="str">
        <f t="array" ref="I319">IF($S319="","",IF($S319="Lớp 5",INDEX('Lớp 5 - Phân công'!$P$14:$P$262,$T319),IF($S319="Lớp 4",INDEX('Lớp 4 - Danh mục'!$O$14:$O$132,$T319),"")))</f>
        <v>#REF!</v>
      </c>
      <c r="J319" s="693" t="str">
        <f t="array" ref="J319">IF($S319="","",IF($S319="Lớp 5",INDEX('Lớp 5 - Phân công'!$Q$14:$Q$262,$T319),""))</f>
        <v>#REF!</v>
      </c>
      <c r="K319" s="690" t="str">
        <f t="array" ref="K319">IF($S319="","",IF($S319="Lớp 5",INDEX('Lớp 5 - Phân công'!$AA$14:$AA$262,$T319),IF($S319="Lớp 4",INDEX('Lớp 4 - Danh mục'!$Y$14:$Y$132,$T319),INDEX('Lớp 3 - Công việc chính'!$U$14:$U$73,$T319))))</f>
        <v>#REF!</v>
      </c>
      <c r="L319" s="691" t="str">
        <f t="array" ref="L319">IF($S319="","",IF($S319="Lớp 5",INDEX('Lớp 5 - Phân công'!$Z$14:$Z$262,$T319),IF($S319="Lớp 4",INDEX('Lớp 4 - Danh mục'!$X$14:$X$132,$T319),INDEX('Lớp 3 - Công việc chính'!$W$14:$W$73,$T319))))</f>
        <v>#REF!</v>
      </c>
      <c r="M319" s="694" t="str">
        <f t="array" ref="M319">IF($S319="","",IF($S319="Lớp 5",INDEX('Lớp 5 - Phân công'!$AD$14:$AD$262,$T319),IF($S319="Lớp 4",INDEX('Lớp 4 - Danh mục'!$AC$14:$AC$132,$T319),INDEX('Lớp 3 - Công việc chính'!$Z$14:$Z$73,$T319))))</f>
        <v>#REF!</v>
      </c>
      <c r="N319" s="695" t="str">
        <f t="array" ref="N319">IF($S319="","",IF($S319="Lớp 5",INDEX('Lớp 5 - Phân công'!$AE$14:$AE$262,$T319),IF($S319="Lớp 4",INDEX('Lớp 4 - Danh mục'!$AD$14:$AD$132,$T319),INDEX('Lớp 3 - Công việc chính'!$AA$14:$AA$73,$T319))))</f>
        <v>#REF!</v>
      </c>
      <c r="O319" s="690" t="str">
        <f t="array" ref="O319">IF($S319="","",IF($S319="Lớp 5",INDEX('Lớp 5 - Phân công'!$AB$14:$AB$262,$T319),IF($S319="Lớp 4",INDEX('Lớp 4 - Danh mục'!$AA$14:$AA$132,$T319),INDEX('Lớp 3 - Công việc chính'!$X$14:$X$73,$T319))))</f>
        <v>#REF!</v>
      </c>
      <c r="P319" s="703" t="str">
        <f t="array" ref="P319">IF($S319="","",IF($S319="Lớp 5",INDEX('Lớp 5 - Phân công'!$AC$14:$AC$262,$T319),IF($S319="Lớp 4",INDEX('Lớp 4 - Danh mục'!$AB$14:$AB$132,$T319),INDEX('Lớp 3 - Công việc chính'!$Y$14:$Y$73,$T319))))</f>
        <v>#REF!</v>
      </c>
      <c r="Q319" s="697" t="str">
        <f t="array" ref="Q319">IF($S319="","",IF($S319="Lớp 5",INDEX('Lớp 5 - Phân công'!$AG$14:$AG$262,$T319),IF($S319="Lớp 4",INDEX('Lớp 4 - Danh mục'!$AF$14:$AF$132,$T319),INDEX('Lớp 3 - Công việc chính'!$AC$14:$AC$73,$T319))))</f>
        <v>#REF!</v>
      </c>
      <c r="R319" s="698" t="str">
        <f t="array" ref="R319">IF($S319="","",IF($S319="Lớp 5",INDEX('Lớp 5 - Phân công'!$X$14:$X$262,$T319),IF($S319="Lớp 4",INDEX('Lớp 4 - Danh mục'!$V$14:$V$132,$T319),INDEX('Lớp 3 - Công việc chính'!$T$14:$T$73,$T319))))</f>
        <v>#REF!</v>
      </c>
      <c r="S319" s="699" t="str">
        <f>IF(ROWS($S$14:S319)&lt;=COUNTIF('Lớp 5 - Phân công'!$I$14:$I$262,"&lt;&gt;"),"Lớp 5",IF(ROWS($S$14:S319)&lt;=COUNTIF('Lớp 5 - Phân công'!$I$14:$I$262,"&lt;&gt;")+SUMPRODUCT(--('Lớp 4 - Danh mục'!$I$14:$I$132&lt;&gt;""),--(COUNTIF('Lớp 5 - Phân công'!$J$14:$J$262,'Lớp 4 - Danh mục'!$I$14:$I$132)=0)),"Lớp 4",IF(ROWS($S$14:S319)&lt;=COUNTIF('Lớp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19" s="699" t="str">
        <f t="array" ref="T319">IF(S319="","",IF(S319="Lớp 5",IF(S318&lt;&gt;"Lớp 5",MATCH("*",'Lớp 5 - Phân công'!$I$14:$I$262,0),T318+MATCH("*",INDEX('Lớp 5 - Phân công'!$I$14:$I$262,T318+1):'Lớp 5 - Phân công'!$I$262,0)),IF(S319="Lớp 4",IF(S318&lt;&gt;"Lớp 4",MATCH(1,INDEX(('Lớp 4 - Danh mục'!$I$14:$I$132&lt;&gt;"")*(COUNTIF('Lớp 5 - Phân công'!$J$14:$J$262,'Lớp 4 - Danh mục'!$I$14:$I$132)=0),0),0),T318+MATCH(1,INDEX((INDEX('Lớp 4 - Danh mục'!$I$14:$I$132,T318+1):'Lớp 4 - Danh mục'!$I$132&lt;&gt;"")*(COUNTIF('Lớp 5 - Phân công'!$J$14:$J$262,INDEX('Lớp 4 - Danh mục'!$I$14:$I$132,T318+1):'Lớp 4 - Danh mục'!$I$132)=0),0),0)),IF(S318&lt;&gt;"Lớp 3",MATCH(1,INDEX(('Lớp 3 - Công việc chính'!$I$14:$I$73&lt;&gt;"")*(COUNTIF('Lớp 4 - Danh mục'!$J$14:$J$132,'Lớp 3 - Công việc chính'!$I$14:$I$73)=0),0),0),T318+MATCH(1,INDEX((INDEX('Lớp 3 - Công việc chính'!$I$14:$I$73,T318+1):'Lớp 3 - Công việc chính'!$I$73&lt;&gt;"")*(COUNTIF('Lớp 4 - Danh mục'!$J$14:$J$132,INDEX('Lớp 3 - Công việc chính'!$I$14:$I$73,T318+1):'Lớp 3 - Công việc chính'!$I$73)=0),0),0)))))</f>
        <v>#REF!</v>
      </c>
      <c r="Z319" s="700" t="str">
        <f t="array" ref="Z319">IF($S319="","",IF($S319="Lớp 5",INDEX('Lớp 5 - Phân công'!$AS$14:$AS$262,$T319),IF($S319="Lớp 4",INDEX('Lớp 4 - Danh mục'!$AR$14:$AR$132,$T319),INDEX('Lớp 3 - Công việc chính'!$AO$14:$AO$73,$T319))))</f>
        <v>#REF!</v>
      </c>
      <c r="AA319" s="701" t="str">
        <f t="array" ref="AA319">IF($S319="","",IF($S319="Lớp 5",INDEX('Lớp 5 - Phân công'!$AT$14:$AT$262,$T319),IF($S319="Lớp 4",INDEX('Lớp 4 - Danh mục'!$AS$14:$AS$132,$T319),INDEX('Lớp 3 - Công việc chính'!$AP$14:$AP$73,$T319))))</f>
        <v>#REF!</v>
      </c>
      <c r="AB319" s="701" t="str">
        <f t="array" ref="AB319">IF($S319="","",IF($S319="Lớp 5",INDEX('Lớp 5 - Phân công'!$AJ$14:$AJ$262,$T319),IF($S319="Lớp 4",INDEX('Lớp 4 - Danh mục'!$AI$14:$AI$132,$T319),INDEX('Lớp 3 - Công việc chính'!$AF$14:$AF$73,$T319))))</f>
        <v>#REF!</v>
      </c>
      <c r="AC319" s="702" t="str">
        <f t="array" ref="AC319">IF($S319="","",IF($S319="Lớp 5",INDEX('Lớp 5 - Phân công'!$AV$14:$AV$262,$T319),IF($S319="Lớp 4",INDEX('Lớp 4 - Danh mục'!$AU$14:$AU$132,$T319),INDEX('Lớp 3 - Công việc chính'!$AR$14:$AR$73,$T319))))</f>
        <v>#REF!</v>
      </c>
    </row>
    <row r="320" ht="15.75" customHeight="1">
      <c r="A320" s="690" t="str">
        <f t="shared" si="1"/>
        <v>#REF!</v>
      </c>
      <c r="B320" s="690" t="str">
        <f t="array" ref="B320">IF($S320="","",IF($S320="Lớp 5",INDEX('Lớp 5 - Phân công'!$I$14:$I$262,$T320),IF($S320="Lớp 4",INDEX('Lớp 4 - Danh mục'!$I$14:$I$132,$T320),INDEX('Lớp 3 - Công việc chính'!$I$14:$I$73,$T320))))</f>
        <v>#REF!</v>
      </c>
      <c r="C320" s="690" t="str">
        <f t="array" ref="C320">IF($S320="","",IF($S320="Lớp 5",INDEX('Lớp 5 - Phân công'!$K$14:$K$262,$T320),IF($S320="Lớp 4",INDEX('Lớp 4 - Danh mục'!$J$14:$J$132,$T320),INDEX('Lớp 3 - Công việc chính'!$I$14:$I$73,$T320))))</f>
        <v>#REF!</v>
      </c>
      <c r="D320" s="690" t="str">
        <f t="array" ref="D320">IF($S320="","",IF($S320="Lớp 5",INDEX('Lớp 5 - Phân công'!$J$14:$J$262,$T320),IF($S320="Lớp 4",INDEX('Lớp 4 - Danh mục'!$I$14:$I$132,$T320),"")))</f>
        <v>#REF!</v>
      </c>
      <c r="E320" s="690" t="str">
        <f t="array" ref="E320">IF($S320="","",IF($S320="Lớp 5",INDEX('Lớp 5 - Phân công'!$L$14:$L$262,$T320),IF($S320="Lớp 4",INDEX('Lớp 4 - Danh mục'!$K$14:$K$132,$T320),INDEX('Lớp 3 - Công việc chính'!$J$14:$J$73,$T320))))</f>
        <v>#REF!</v>
      </c>
      <c r="F320" s="690" t="str">
        <f t="array" ref="F320">IF($S320="","",IF($S320="Lớp 5",INDEX('Lớp 5 - Phân công'!$M$14:$M$262,$T320),IF($S320="Lớp 4",INDEX('Lớp 4 - Danh mục'!$L$14:$L$132,$T320),INDEX('Lớp 3 - Công việc chính'!$K$14:$K$73,$T320))))</f>
        <v>#REF!</v>
      </c>
      <c r="G320" s="691" t="str">
        <f t="array" ref="G320">IF($S320="","",IF($S320="Lớp 5",INDEX('Lớp 5 - Phân công'!$N$14:$N$262,$T320),IF($S320="Lớp 4",INDEX('Lớp 4 - Danh mục'!$M$14:$M$132,$T320),INDEX('Lớp 3 - Công việc chính'!$L$14:$L$73,$T320))))</f>
        <v>#REF!</v>
      </c>
      <c r="H320" s="692" t="str">
        <f t="array" ref="H320">IF($S320="","",IF($S320="Lớp 5",INDEX('Lớp 5 - Phân công'!$O$14:$O$262,$T320),IF($S320="Lớp 4",INDEX('Lớp 4 - Danh mục'!$N$14:$N$132,$T320),INDEX('Lớp 3 - Công việc chính'!$M$14:$M$73,$T320))))</f>
        <v>#REF!</v>
      </c>
      <c r="I320" s="692" t="str">
        <f t="array" ref="I320">IF($S320="","",IF($S320="Lớp 5",INDEX('Lớp 5 - Phân công'!$P$14:$P$262,$T320),IF($S320="Lớp 4",INDEX('Lớp 4 - Danh mục'!$O$14:$O$132,$T320),"")))</f>
        <v>#REF!</v>
      </c>
      <c r="J320" s="693" t="str">
        <f t="array" ref="J320">IF($S320="","",IF($S320="Lớp 5",INDEX('Lớp 5 - Phân công'!$Q$14:$Q$262,$T320),""))</f>
        <v>#REF!</v>
      </c>
      <c r="K320" s="690" t="str">
        <f t="array" ref="K320">IF($S320="","",IF($S320="Lớp 5",INDEX('Lớp 5 - Phân công'!$AA$14:$AA$262,$T320),IF($S320="Lớp 4",INDEX('Lớp 4 - Danh mục'!$Y$14:$Y$132,$T320),INDEX('Lớp 3 - Công việc chính'!$U$14:$U$73,$T320))))</f>
        <v>#REF!</v>
      </c>
      <c r="L320" s="691" t="str">
        <f t="array" ref="L320">IF($S320="","",IF($S320="Lớp 5",INDEX('Lớp 5 - Phân công'!$Z$14:$Z$262,$T320),IF($S320="Lớp 4",INDEX('Lớp 4 - Danh mục'!$X$14:$X$132,$T320),INDEX('Lớp 3 - Công việc chính'!$W$14:$W$73,$T320))))</f>
        <v>#REF!</v>
      </c>
      <c r="M320" s="694" t="str">
        <f t="array" ref="M320">IF($S320="","",IF($S320="Lớp 5",INDEX('Lớp 5 - Phân công'!$AD$14:$AD$262,$T320),IF($S320="Lớp 4",INDEX('Lớp 4 - Danh mục'!$AC$14:$AC$132,$T320),INDEX('Lớp 3 - Công việc chính'!$Z$14:$Z$73,$T320))))</f>
        <v>#REF!</v>
      </c>
      <c r="N320" s="695" t="str">
        <f t="array" ref="N320">IF($S320="","",IF($S320="Lớp 5",INDEX('Lớp 5 - Phân công'!$AE$14:$AE$262,$T320),IF($S320="Lớp 4",INDEX('Lớp 4 - Danh mục'!$AD$14:$AD$132,$T320),INDEX('Lớp 3 - Công việc chính'!$AA$14:$AA$73,$T320))))</f>
        <v>#REF!</v>
      </c>
      <c r="O320" s="690" t="str">
        <f t="array" ref="O320">IF($S320="","",IF($S320="Lớp 5",INDEX('Lớp 5 - Phân công'!$AB$14:$AB$262,$T320),IF($S320="Lớp 4",INDEX('Lớp 4 - Danh mục'!$AA$14:$AA$132,$T320),INDEX('Lớp 3 - Công việc chính'!$X$14:$X$73,$T320))))</f>
        <v>#REF!</v>
      </c>
      <c r="P320" s="703" t="str">
        <f t="array" ref="P320">IF($S320="","",IF($S320="Lớp 5",INDEX('Lớp 5 - Phân công'!$AC$14:$AC$262,$T320),IF($S320="Lớp 4",INDEX('Lớp 4 - Danh mục'!$AB$14:$AB$132,$T320),INDEX('Lớp 3 - Công việc chính'!$Y$14:$Y$73,$T320))))</f>
        <v>#REF!</v>
      </c>
      <c r="Q320" s="697" t="str">
        <f t="array" ref="Q320">IF($S320="","",IF($S320="Lớp 5",INDEX('Lớp 5 - Phân công'!$AG$14:$AG$262,$T320),IF($S320="Lớp 4",INDEX('Lớp 4 - Danh mục'!$AF$14:$AF$132,$T320),INDEX('Lớp 3 - Công việc chính'!$AC$14:$AC$73,$T320))))</f>
        <v>#REF!</v>
      </c>
      <c r="R320" s="698" t="str">
        <f t="array" ref="R320">IF($S320="","",IF($S320="Lớp 5",INDEX('Lớp 5 - Phân công'!$X$14:$X$262,$T320),IF($S320="Lớp 4",INDEX('Lớp 4 - Danh mục'!$V$14:$V$132,$T320),INDEX('Lớp 3 - Công việc chính'!$T$14:$T$73,$T320))))</f>
        <v>#REF!</v>
      </c>
      <c r="S320" s="699" t="str">
        <f>IF(ROWS($S$14:S320)&lt;=COUNTIF('Lớp 5 - Phân công'!$I$14:$I$262,"&lt;&gt;"),"Lớp 5",IF(ROWS($S$14:S320)&lt;=COUNTIF('Lớp 5 - Phân công'!$I$14:$I$262,"&lt;&gt;")+SUMPRODUCT(--('Lớp 4 - Danh mục'!$I$14:$I$132&lt;&gt;""),--(COUNTIF('Lớp 5 - Phân công'!$J$14:$J$262,'Lớp 4 - Danh mục'!$I$14:$I$132)=0)),"Lớp 4",IF(ROWS($S$14:S320)&lt;=COUNTIF('Lớp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0" s="699" t="str">
        <f t="array" ref="T320">IF(S320="","",IF(S320="Lớp 5",IF(S319&lt;&gt;"Lớp 5",MATCH("*",'Lớp 5 - Phân công'!$I$14:$I$262,0),T319+MATCH("*",INDEX('Lớp 5 - Phân công'!$I$14:$I$262,T319+1):'Lớp 5 - Phân công'!$I$262,0)),IF(S320="Lớp 4",IF(S319&lt;&gt;"Lớp 4",MATCH(1,INDEX(('Lớp 4 - Danh mục'!$I$14:$I$132&lt;&gt;"")*(COUNTIF('Lớp 5 - Phân công'!$J$14:$J$262,'Lớp 4 - Danh mục'!$I$14:$I$132)=0),0),0),T319+MATCH(1,INDEX((INDEX('Lớp 4 - Danh mục'!$I$14:$I$132,T319+1):'Lớp 4 - Danh mục'!$I$132&lt;&gt;"")*(COUNTIF('Lớp 5 - Phân công'!$J$14:$J$262,INDEX('Lớp 4 - Danh mục'!$I$14:$I$132,T319+1):'Lớp 4 - Danh mục'!$I$132)=0),0),0)),IF(S319&lt;&gt;"Lớp 3",MATCH(1,INDEX(('Lớp 3 - Công việc chính'!$I$14:$I$73&lt;&gt;"")*(COUNTIF('Lớp 4 - Danh mục'!$J$14:$J$132,'Lớp 3 - Công việc chính'!$I$14:$I$73)=0),0),0),T319+MATCH(1,INDEX((INDEX('Lớp 3 - Công việc chính'!$I$14:$I$73,T319+1):'Lớp 3 - Công việc chính'!$I$73&lt;&gt;"")*(COUNTIF('Lớp 4 - Danh mục'!$J$14:$J$132,INDEX('Lớp 3 - Công việc chính'!$I$14:$I$73,T319+1):'Lớp 3 - Công việc chính'!$I$73)=0),0),0)))))</f>
        <v>#REF!</v>
      </c>
      <c r="Z320" s="700" t="str">
        <f t="array" ref="Z320">IF($S320="","",IF($S320="Lớp 5",INDEX('Lớp 5 - Phân công'!$AS$14:$AS$262,$T320),IF($S320="Lớp 4",INDEX('Lớp 4 - Danh mục'!$AR$14:$AR$132,$T320),INDEX('Lớp 3 - Công việc chính'!$AO$14:$AO$73,$T320))))</f>
        <v>#REF!</v>
      </c>
      <c r="AA320" s="701" t="str">
        <f t="array" ref="AA320">IF($S320="","",IF($S320="Lớp 5",INDEX('Lớp 5 - Phân công'!$AT$14:$AT$262,$T320),IF($S320="Lớp 4",INDEX('Lớp 4 - Danh mục'!$AS$14:$AS$132,$T320),INDEX('Lớp 3 - Công việc chính'!$AP$14:$AP$73,$T320))))</f>
        <v>#REF!</v>
      </c>
      <c r="AB320" s="701" t="str">
        <f t="array" ref="AB320">IF($S320="","",IF($S320="Lớp 5",INDEX('Lớp 5 - Phân công'!$AJ$14:$AJ$262,$T320),IF($S320="Lớp 4",INDEX('Lớp 4 - Danh mục'!$AI$14:$AI$132,$T320),INDEX('Lớp 3 - Công việc chính'!$AF$14:$AF$73,$T320))))</f>
        <v>#REF!</v>
      </c>
      <c r="AC320" s="702" t="str">
        <f t="array" ref="AC320">IF($S320="","",IF($S320="Lớp 5",INDEX('Lớp 5 - Phân công'!$AV$14:$AV$262,$T320),IF($S320="Lớp 4",INDEX('Lớp 4 - Danh mục'!$AU$14:$AU$132,$T320),INDEX('Lớp 3 - Công việc chính'!$AR$14:$AR$73,$T320))))</f>
        <v>#REF!</v>
      </c>
    </row>
    <row r="321" ht="15.75" customHeight="1">
      <c r="A321" s="690" t="str">
        <f t="shared" si="1"/>
        <v>#REF!</v>
      </c>
      <c r="B321" s="690" t="str">
        <f t="array" ref="B321">IF($S321="","",IF($S321="Lớp 5",INDEX('Lớp 5 - Phân công'!$I$14:$I$262,$T321),IF($S321="Lớp 4",INDEX('Lớp 4 - Danh mục'!$I$14:$I$132,$T321),INDEX('Lớp 3 - Công việc chính'!$I$14:$I$73,$T321))))</f>
        <v>#REF!</v>
      </c>
      <c r="C321" s="690" t="str">
        <f t="array" ref="C321">IF($S321="","",IF($S321="Lớp 5",INDEX('Lớp 5 - Phân công'!$K$14:$K$262,$T321),IF($S321="Lớp 4",INDEX('Lớp 4 - Danh mục'!$J$14:$J$132,$T321),INDEX('Lớp 3 - Công việc chính'!$I$14:$I$73,$T321))))</f>
        <v>#REF!</v>
      </c>
      <c r="D321" s="690" t="str">
        <f t="array" ref="D321">IF($S321="","",IF($S321="Lớp 5",INDEX('Lớp 5 - Phân công'!$J$14:$J$262,$T321),IF($S321="Lớp 4",INDEX('Lớp 4 - Danh mục'!$I$14:$I$132,$T321),"")))</f>
        <v>#REF!</v>
      </c>
      <c r="E321" s="690" t="str">
        <f t="array" ref="E321">IF($S321="","",IF($S321="Lớp 5",INDEX('Lớp 5 - Phân công'!$L$14:$L$262,$T321),IF($S321="Lớp 4",INDEX('Lớp 4 - Danh mục'!$K$14:$K$132,$T321),INDEX('Lớp 3 - Công việc chính'!$J$14:$J$73,$T321))))</f>
        <v>#REF!</v>
      </c>
      <c r="F321" s="690" t="str">
        <f t="array" ref="F321">IF($S321="","",IF($S321="Lớp 5",INDEX('Lớp 5 - Phân công'!$M$14:$M$262,$T321),IF($S321="Lớp 4",INDEX('Lớp 4 - Danh mục'!$L$14:$L$132,$T321),INDEX('Lớp 3 - Công việc chính'!$K$14:$K$73,$T321))))</f>
        <v>#REF!</v>
      </c>
      <c r="G321" s="691" t="str">
        <f t="array" ref="G321">IF($S321="","",IF($S321="Lớp 5",INDEX('Lớp 5 - Phân công'!$N$14:$N$262,$T321),IF($S321="Lớp 4",INDEX('Lớp 4 - Danh mục'!$M$14:$M$132,$T321),INDEX('Lớp 3 - Công việc chính'!$L$14:$L$73,$T321))))</f>
        <v>#REF!</v>
      </c>
      <c r="H321" s="692" t="str">
        <f t="array" ref="H321">IF($S321="","",IF($S321="Lớp 5",INDEX('Lớp 5 - Phân công'!$O$14:$O$262,$T321),IF($S321="Lớp 4",INDEX('Lớp 4 - Danh mục'!$N$14:$N$132,$T321),INDEX('Lớp 3 - Công việc chính'!$M$14:$M$73,$T321))))</f>
        <v>#REF!</v>
      </c>
      <c r="I321" s="692" t="str">
        <f t="array" ref="I321">IF($S321="","",IF($S321="Lớp 5",INDEX('Lớp 5 - Phân công'!$P$14:$P$262,$T321),IF($S321="Lớp 4",INDEX('Lớp 4 - Danh mục'!$O$14:$O$132,$T321),"")))</f>
        <v>#REF!</v>
      </c>
      <c r="J321" s="693" t="str">
        <f t="array" ref="J321">IF($S321="","",IF($S321="Lớp 5",INDEX('Lớp 5 - Phân công'!$Q$14:$Q$262,$T321),""))</f>
        <v>#REF!</v>
      </c>
      <c r="K321" s="690" t="str">
        <f t="array" ref="K321">IF($S321="","",IF($S321="Lớp 5",INDEX('Lớp 5 - Phân công'!$AA$14:$AA$262,$T321),IF($S321="Lớp 4",INDEX('Lớp 4 - Danh mục'!$Y$14:$Y$132,$T321),INDEX('Lớp 3 - Công việc chính'!$U$14:$U$73,$T321))))</f>
        <v>#REF!</v>
      </c>
      <c r="L321" s="691" t="str">
        <f t="array" ref="L321">IF($S321="","",IF($S321="Lớp 5",INDEX('Lớp 5 - Phân công'!$Z$14:$Z$262,$T321),IF($S321="Lớp 4",INDEX('Lớp 4 - Danh mục'!$X$14:$X$132,$T321),INDEX('Lớp 3 - Công việc chính'!$W$14:$W$73,$T321))))</f>
        <v>#REF!</v>
      </c>
      <c r="M321" s="694" t="str">
        <f t="array" ref="M321">IF($S321="","",IF($S321="Lớp 5",INDEX('Lớp 5 - Phân công'!$AD$14:$AD$262,$T321),IF($S321="Lớp 4",INDEX('Lớp 4 - Danh mục'!$AC$14:$AC$132,$T321),INDEX('Lớp 3 - Công việc chính'!$Z$14:$Z$73,$T321))))</f>
        <v>#REF!</v>
      </c>
      <c r="N321" s="695" t="str">
        <f t="array" ref="N321">IF($S321="","",IF($S321="Lớp 5",INDEX('Lớp 5 - Phân công'!$AE$14:$AE$262,$T321),IF($S321="Lớp 4",INDEX('Lớp 4 - Danh mục'!$AD$14:$AD$132,$T321),INDEX('Lớp 3 - Công việc chính'!$AA$14:$AA$73,$T321))))</f>
        <v>#REF!</v>
      </c>
      <c r="O321" s="690" t="str">
        <f t="array" ref="O321">IF($S321="","",IF($S321="Lớp 5",INDEX('Lớp 5 - Phân công'!$AB$14:$AB$262,$T321),IF($S321="Lớp 4",INDEX('Lớp 4 - Danh mục'!$AA$14:$AA$132,$T321),INDEX('Lớp 3 - Công việc chính'!$X$14:$X$73,$T321))))</f>
        <v>#REF!</v>
      </c>
      <c r="P321" s="703" t="str">
        <f t="array" ref="P321">IF($S321="","",IF($S321="Lớp 5",INDEX('Lớp 5 - Phân công'!$AC$14:$AC$262,$T321),IF($S321="Lớp 4",INDEX('Lớp 4 - Danh mục'!$AB$14:$AB$132,$T321),INDEX('Lớp 3 - Công việc chính'!$Y$14:$Y$73,$T321))))</f>
        <v>#REF!</v>
      </c>
      <c r="Q321" s="697" t="str">
        <f t="array" ref="Q321">IF($S321="","",IF($S321="Lớp 5",INDEX('Lớp 5 - Phân công'!$AG$14:$AG$262,$T321),IF($S321="Lớp 4",INDEX('Lớp 4 - Danh mục'!$AF$14:$AF$132,$T321),INDEX('Lớp 3 - Công việc chính'!$AC$14:$AC$73,$T321))))</f>
        <v>#REF!</v>
      </c>
      <c r="R321" s="698" t="str">
        <f t="array" ref="R321">IF($S321="","",IF($S321="Lớp 5",INDEX('Lớp 5 - Phân công'!$X$14:$X$262,$T321),IF($S321="Lớp 4",INDEX('Lớp 4 - Danh mục'!$V$14:$V$132,$T321),INDEX('Lớp 3 - Công việc chính'!$T$14:$T$73,$T321))))</f>
        <v>#REF!</v>
      </c>
      <c r="S321" s="699" t="str">
        <f>IF(ROWS($S$14:S321)&lt;=COUNTIF('Lớp 5 - Phân công'!$I$14:$I$262,"&lt;&gt;"),"Lớp 5",IF(ROWS($S$14:S321)&lt;=COUNTIF('Lớp 5 - Phân công'!$I$14:$I$262,"&lt;&gt;")+SUMPRODUCT(--('Lớp 4 - Danh mục'!$I$14:$I$132&lt;&gt;""),--(COUNTIF('Lớp 5 - Phân công'!$J$14:$J$262,'Lớp 4 - Danh mục'!$I$14:$I$132)=0)),"Lớp 4",IF(ROWS($S$14:S321)&lt;=COUNTIF('Lớp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1" s="699" t="str">
        <f t="array" ref="T321">IF(S321="","",IF(S321="Lớp 5",IF(S320&lt;&gt;"Lớp 5",MATCH("*",'Lớp 5 - Phân công'!$I$14:$I$262,0),T320+MATCH("*",INDEX('Lớp 5 - Phân công'!$I$14:$I$262,T320+1):'Lớp 5 - Phân công'!$I$262,0)),IF(S321="Lớp 4",IF(S320&lt;&gt;"Lớp 4",MATCH(1,INDEX(('Lớp 4 - Danh mục'!$I$14:$I$132&lt;&gt;"")*(COUNTIF('Lớp 5 - Phân công'!$J$14:$J$262,'Lớp 4 - Danh mục'!$I$14:$I$132)=0),0),0),T320+MATCH(1,INDEX((INDEX('Lớp 4 - Danh mục'!$I$14:$I$132,T320+1):'Lớp 4 - Danh mục'!$I$132&lt;&gt;"")*(COUNTIF('Lớp 5 - Phân công'!$J$14:$J$262,INDEX('Lớp 4 - Danh mục'!$I$14:$I$132,T320+1):'Lớp 4 - Danh mục'!$I$132)=0),0),0)),IF(S320&lt;&gt;"Lớp 3",MATCH(1,INDEX(('Lớp 3 - Công việc chính'!$I$14:$I$73&lt;&gt;"")*(COUNTIF('Lớp 4 - Danh mục'!$J$14:$J$132,'Lớp 3 - Công việc chính'!$I$14:$I$73)=0),0),0),T320+MATCH(1,INDEX((INDEX('Lớp 3 - Công việc chính'!$I$14:$I$73,T320+1):'Lớp 3 - Công việc chính'!$I$73&lt;&gt;"")*(COUNTIF('Lớp 4 - Danh mục'!$J$14:$J$132,INDEX('Lớp 3 - Công việc chính'!$I$14:$I$73,T320+1):'Lớp 3 - Công việc chính'!$I$73)=0),0),0)))))</f>
        <v>#REF!</v>
      </c>
      <c r="Z321" s="700" t="str">
        <f t="array" ref="Z321">IF($S321="","",IF($S321="Lớp 5",INDEX('Lớp 5 - Phân công'!$AS$14:$AS$262,$T321),IF($S321="Lớp 4",INDEX('Lớp 4 - Danh mục'!$AR$14:$AR$132,$T321),INDEX('Lớp 3 - Công việc chính'!$AO$14:$AO$73,$T321))))</f>
        <v>#REF!</v>
      </c>
      <c r="AA321" s="701" t="str">
        <f t="array" ref="AA321">IF($S321="","",IF($S321="Lớp 5",INDEX('Lớp 5 - Phân công'!$AT$14:$AT$262,$T321),IF($S321="Lớp 4",INDEX('Lớp 4 - Danh mục'!$AS$14:$AS$132,$T321),INDEX('Lớp 3 - Công việc chính'!$AP$14:$AP$73,$T321))))</f>
        <v>#REF!</v>
      </c>
      <c r="AB321" s="701" t="str">
        <f t="array" ref="AB321">IF($S321="","",IF($S321="Lớp 5",INDEX('Lớp 5 - Phân công'!$AJ$14:$AJ$262,$T321),IF($S321="Lớp 4",INDEX('Lớp 4 - Danh mục'!$AI$14:$AI$132,$T321),INDEX('Lớp 3 - Công việc chính'!$AF$14:$AF$73,$T321))))</f>
        <v>#REF!</v>
      </c>
      <c r="AC321" s="702" t="str">
        <f t="array" ref="AC321">IF($S321="","",IF($S321="Lớp 5",INDEX('Lớp 5 - Phân công'!$AV$14:$AV$262,$T321),IF($S321="Lớp 4",INDEX('Lớp 4 - Danh mục'!$AU$14:$AU$132,$T321),INDEX('Lớp 3 - Công việc chính'!$AR$14:$AR$73,$T321))))</f>
        <v>#REF!</v>
      </c>
    </row>
    <row r="322" ht="15.75" customHeight="1">
      <c r="A322" s="690" t="str">
        <f t="shared" si="1"/>
        <v>#REF!</v>
      </c>
      <c r="B322" s="690" t="str">
        <f t="array" ref="B322">IF($S322="","",IF($S322="Lớp 5",INDEX('Lớp 5 - Phân công'!$I$14:$I$262,$T322),IF($S322="Lớp 4",INDEX('Lớp 4 - Danh mục'!$I$14:$I$132,$T322),INDEX('Lớp 3 - Công việc chính'!$I$14:$I$73,$T322))))</f>
        <v>#REF!</v>
      </c>
      <c r="C322" s="690" t="str">
        <f t="array" ref="C322">IF($S322="","",IF($S322="Lớp 5",INDEX('Lớp 5 - Phân công'!$K$14:$K$262,$T322),IF($S322="Lớp 4",INDEX('Lớp 4 - Danh mục'!$J$14:$J$132,$T322),INDEX('Lớp 3 - Công việc chính'!$I$14:$I$73,$T322))))</f>
        <v>#REF!</v>
      </c>
      <c r="D322" s="690" t="str">
        <f t="array" ref="D322">IF($S322="","",IF($S322="Lớp 5",INDEX('Lớp 5 - Phân công'!$J$14:$J$262,$T322),IF($S322="Lớp 4",INDEX('Lớp 4 - Danh mục'!$I$14:$I$132,$T322),"")))</f>
        <v>#REF!</v>
      </c>
      <c r="E322" s="690" t="str">
        <f t="array" ref="E322">IF($S322="","",IF($S322="Lớp 5",INDEX('Lớp 5 - Phân công'!$L$14:$L$262,$T322),IF($S322="Lớp 4",INDEX('Lớp 4 - Danh mục'!$K$14:$K$132,$T322),INDEX('Lớp 3 - Công việc chính'!$J$14:$J$73,$T322))))</f>
        <v>#REF!</v>
      </c>
      <c r="F322" s="690" t="str">
        <f t="array" ref="F322">IF($S322="","",IF($S322="Lớp 5",INDEX('Lớp 5 - Phân công'!$M$14:$M$262,$T322),IF($S322="Lớp 4",INDEX('Lớp 4 - Danh mục'!$L$14:$L$132,$T322),INDEX('Lớp 3 - Công việc chính'!$K$14:$K$73,$T322))))</f>
        <v>#REF!</v>
      </c>
      <c r="G322" s="691" t="str">
        <f t="array" ref="G322">IF($S322="","",IF($S322="Lớp 5",INDEX('Lớp 5 - Phân công'!$N$14:$N$262,$T322),IF($S322="Lớp 4",INDEX('Lớp 4 - Danh mục'!$M$14:$M$132,$T322),INDEX('Lớp 3 - Công việc chính'!$L$14:$L$73,$T322))))</f>
        <v>#REF!</v>
      </c>
      <c r="H322" s="692" t="str">
        <f t="array" ref="H322">IF($S322="","",IF($S322="Lớp 5",INDEX('Lớp 5 - Phân công'!$O$14:$O$262,$T322),IF($S322="Lớp 4",INDEX('Lớp 4 - Danh mục'!$N$14:$N$132,$T322),INDEX('Lớp 3 - Công việc chính'!$M$14:$M$73,$T322))))</f>
        <v>#REF!</v>
      </c>
      <c r="I322" s="692" t="str">
        <f t="array" ref="I322">IF($S322="","",IF($S322="Lớp 5",INDEX('Lớp 5 - Phân công'!$P$14:$P$262,$T322),IF($S322="Lớp 4",INDEX('Lớp 4 - Danh mục'!$O$14:$O$132,$T322),"")))</f>
        <v>#REF!</v>
      </c>
      <c r="J322" s="693" t="str">
        <f t="array" ref="J322">IF($S322="","",IF($S322="Lớp 5",INDEX('Lớp 5 - Phân công'!$Q$14:$Q$262,$T322),""))</f>
        <v>#REF!</v>
      </c>
      <c r="K322" s="690" t="str">
        <f t="array" ref="K322">IF($S322="","",IF($S322="Lớp 5",INDEX('Lớp 5 - Phân công'!$AA$14:$AA$262,$T322),IF($S322="Lớp 4",INDEX('Lớp 4 - Danh mục'!$Y$14:$Y$132,$T322),INDEX('Lớp 3 - Công việc chính'!$U$14:$U$73,$T322))))</f>
        <v>#REF!</v>
      </c>
      <c r="L322" s="691" t="str">
        <f t="array" ref="L322">IF($S322="","",IF($S322="Lớp 5",INDEX('Lớp 5 - Phân công'!$Z$14:$Z$262,$T322),IF($S322="Lớp 4",INDEX('Lớp 4 - Danh mục'!$X$14:$X$132,$T322),INDEX('Lớp 3 - Công việc chính'!$W$14:$W$73,$T322))))</f>
        <v>#REF!</v>
      </c>
      <c r="M322" s="694" t="str">
        <f t="array" ref="M322">IF($S322="","",IF($S322="Lớp 5",INDEX('Lớp 5 - Phân công'!$AD$14:$AD$262,$T322),IF($S322="Lớp 4",INDEX('Lớp 4 - Danh mục'!$AC$14:$AC$132,$T322),INDEX('Lớp 3 - Công việc chính'!$Z$14:$Z$73,$T322))))</f>
        <v>#REF!</v>
      </c>
      <c r="N322" s="695" t="str">
        <f t="array" ref="N322">IF($S322="","",IF($S322="Lớp 5",INDEX('Lớp 5 - Phân công'!$AE$14:$AE$262,$T322),IF($S322="Lớp 4",INDEX('Lớp 4 - Danh mục'!$AD$14:$AD$132,$T322),INDEX('Lớp 3 - Công việc chính'!$AA$14:$AA$73,$T322))))</f>
        <v>#REF!</v>
      </c>
      <c r="O322" s="690" t="str">
        <f t="array" ref="O322">IF($S322="","",IF($S322="Lớp 5",INDEX('Lớp 5 - Phân công'!$AB$14:$AB$262,$T322),IF($S322="Lớp 4",INDEX('Lớp 4 - Danh mục'!$AA$14:$AA$132,$T322),INDEX('Lớp 3 - Công việc chính'!$X$14:$X$73,$T322))))</f>
        <v>#REF!</v>
      </c>
      <c r="P322" s="703" t="str">
        <f t="array" ref="P322">IF($S322="","",IF($S322="Lớp 5",INDEX('Lớp 5 - Phân công'!$AC$14:$AC$262,$T322),IF($S322="Lớp 4",INDEX('Lớp 4 - Danh mục'!$AB$14:$AB$132,$T322),INDEX('Lớp 3 - Công việc chính'!$Y$14:$Y$73,$T322))))</f>
        <v>#REF!</v>
      </c>
      <c r="Q322" s="697" t="str">
        <f t="array" ref="Q322">IF($S322="","",IF($S322="Lớp 5",INDEX('Lớp 5 - Phân công'!$AG$14:$AG$262,$T322),IF($S322="Lớp 4",INDEX('Lớp 4 - Danh mục'!$AF$14:$AF$132,$T322),INDEX('Lớp 3 - Công việc chính'!$AC$14:$AC$73,$T322))))</f>
        <v>#REF!</v>
      </c>
      <c r="R322" s="698" t="str">
        <f t="array" ref="R322">IF($S322="","",IF($S322="Lớp 5",INDEX('Lớp 5 - Phân công'!$X$14:$X$262,$T322),IF($S322="Lớp 4",INDEX('Lớp 4 - Danh mục'!$V$14:$V$132,$T322),INDEX('Lớp 3 - Công việc chính'!$T$14:$T$73,$T322))))</f>
        <v>#REF!</v>
      </c>
      <c r="S322" s="699" t="str">
        <f>IF(ROWS($S$14:S322)&lt;=COUNTIF('Lớp 5 - Phân công'!$I$14:$I$262,"&lt;&gt;"),"Lớp 5",IF(ROWS($S$14:S322)&lt;=COUNTIF('Lớp 5 - Phân công'!$I$14:$I$262,"&lt;&gt;")+SUMPRODUCT(--('Lớp 4 - Danh mục'!$I$14:$I$132&lt;&gt;""),--(COUNTIF('Lớp 5 - Phân công'!$J$14:$J$262,'Lớp 4 - Danh mục'!$I$14:$I$132)=0)),"Lớp 4",IF(ROWS($S$14:S322)&lt;=COUNTIF('Lớp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2" s="699" t="str">
        <f t="array" ref="T322">IF(S322="","",IF(S322="Lớp 5",IF(S321&lt;&gt;"Lớp 5",MATCH("*",'Lớp 5 - Phân công'!$I$14:$I$262,0),T321+MATCH("*",INDEX('Lớp 5 - Phân công'!$I$14:$I$262,T321+1):'Lớp 5 - Phân công'!$I$262,0)),IF(S322="Lớp 4",IF(S321&lt;&gt;"Lớp 4",MATCH(1,INDEX(('Lớp 4 - Danh mục'!$I$14:$I$132&lt;&gt;"")*(COUNTIF('Lớp 5 - Phân công'!$J$14:$J$262,'Lớp 4 - Danh mục'!$I$14:$I$132)=0),0),0),T321+MATCH(1,INDEX((INDEX('Lớp 4 - Danh mục'!$I$14:$I$132,T321+1):'Lớp 4 - Danh mục'!$I$132&lt;&gt;"")*(COUNTIF('Lớp 5 - Phân công'!$J$14:$J$262,INDEX('Lớp 4 - Danh mục'!$I$14:$I$132,T321+1):'Lớp 4 - Danh mục'!$I$132)=0),0),0)),IF(S321&lt;&gt;"Lớp 3",MATCH(1,INDEX(('Lớp 3 - Công việc chính'!$I$14:$I$73&lt;&gt;"")*(COUNTIF('Lớp 4 - Danh mục'!$J$14:$J$132,'Lớp 3 - Công việc chính'!$I$14:$I$73)=0),0),0),T321+MATCH(1,INDEX((INDEX('Lớp 3 - Công việc chính'!$I$14:$I$73,T321+1):'Lớp 3 - Công việc chính'!$I$73&lt;&gt;"")*(COUNTIF('Lớp 4 - Danh mục'!$J$14:$J$132,INDEX('Lớp 3 - Công việc chính'!$I$14:$I$73,T321+1):'Lớp 3 - Công việc chính'!$I$73)=0),0),0)))))</f>
        <v>#REF!</v>
      </c>
      <c r="Z322" s="700" t="str">
        <f t="array" ref="Z322">IF($S322="","",IF($S322="Lớp 5",INDEX('Lớp 5 - Phân công'!$AS$14:$AS$262,$T322),IF($S322="Lớp 4",INDEX('Lớp 4 - Danh mục'!$AR$14:$AR$132,$T322),INDEX('Lớp 3 - Công việc chính'!$AO$14:$AO$73,$T322))))</f>
        <v>#REF!</v>
      </c>
      <c r="AA322" s="701" t="str">
        <f t="array" ref="AA322">IF($S322="","",IF($S322="Lớp 5",INDEX('Lớp 5 - Phân công'!$AT$14:$AT$262,$T322),IF($S322="Lớp 4",INDEX('Lớp 4 - Danh mục'!$AS$14:$AS$132,$T322),INDEX('Lớp 3 - Công việc chính'!$AP$14:$AP$73,$T322))))</f>
        <v>#REF!</v>
      </c>
      <c r="AB322" s="701" t="str">
        <f t="array" ref="AB322">IF($S322="","",IF($S322="Lớp 5",INDEX('Lớp 5 - Phân công'!$AJ$14:$AJ$262,$T322),IF($S322="Lớp 4",INDEX('Lớp 4 - Danh mục'!$AI$14:$AI$132,$T322),INDEX('Lớp 3 - Công việc chính'!$AF$14:$AF$73,$T322))))</f>
        <v>#REF!</v>
      </c>
      <c r="AC322" s="702" t="str">
        <f t="array" ref="AC322">IF($S322="","",IF($S322="Lớp 5",INDEX('Lớp 5 - Phân công'!$AV$14:$AV$262,$T322),IF($S322="Lớp 4",INDEX('Lớp 4 - Danh mục'!$AU$14:$AU$132,$T322),INDEX('Lớp 3 - Công việc chính'!$AR$14:$AR$73,$T322))))</f>
        <v>#REF!</v>
      </c>
    </row>
    <row r="323" ht="15.75" customHeight="1">
      <c r="A323" s="690" t="str">
        <f t="shared" si="1"/>
        <v>#REF!</v>
      </c>
      <c r="B323" s="690" t="str">
        <f t="array" ref="B323">IF($S323="","",IF($S323="Lớp 5",INDEX('Lớp 5 - Phân công'!$I$14:$I$262,$T323),IF($S323="Lớp 4",INDEX('Lớp 4 - Danh mục'!$I$14:$I$132,$T323),INDEX('Lớp 3 - Công việc chính'!$I$14:$I$73,$T323))))</f>
        <v>#REF!</v>
      </c>
      <c r="C323" s="690" t="str">
        <f t="array" ref="C323">IF($S323="","",IF($S323="Lớp 5",INDEX('Lớp 5 - Phân công'!$K$14:$K$262,$T323),IF($S323="Lớp 4",INDEX('Lớp 4 - Danh mục'!$J$14:$J$132,$T323),INDEX('Lớp 3 - Công việc chính'!$I$14:$I$73,$T323))))</f>
        <v>#REF!</v>
      </c>
      <c r="D323" s="690" t="str">
        <f t="array" ref="D323">IF($S323="","",IF($S323="Lớp 5",INDEX('Lớp 5 - Phân công'!$J$14:$J$262,$T323),IF($S323="Lớp 4",INDEX('Lớp 4 - Danh mục'!$I$14:$I$132,$T323),"")))</f>
        <v>#REF!</v>
      </c>
      <c r="E323" s="690" t="str">
        <f t="array" ref="E323">IF($S323="","",IF($S323="Lớp 5",INDEX('Lớp 5 - Phân công'!$L$14:$L$262,$T323),IF($S323="Lớp 4",INDEX('Lớp 4 - Danh mục'!$K$14:$K$132,$T323),INDEX('Lớp 3 - Công việc chính'!$J$14:$J$73,$T323))))</f>
        <v>#REF!</v>
      </c>
      <c r="F323" s="690" t="str">
        <f t="array" ref="F323">IF($S323="","",IF($S323="Lớp 5",INDEX('Lớp 5 - Phân công'!$M$14:$M$262,$T323),IF($S323="Lớp 4",INDEX('Lớp 4 - Danh mục'!$L$14:$L$132,$T323),INDEX('Lớp 3 - Công việc chính'!$K$14:$K$73,$T323))))</f>
        <v>#REF!</v>
      </c>
      <c r="G323" s="691" t="str">
        <f t="array" ref="G323">IF($S323="","",IF($S323="Lớp 5",INDEX('Lớp 5 - Phân công'!$N$14:$N$262,$T323),IF($S323="Lớp 4",INDEX('Lớp 4 - Danh mục'!$M$14:$M$132,$T323),INDEX('Lớp 3 - Công việc chính'!$L$14:$L$73,$T323))))</f>
        <v>#REF!</v>
      </c>
      <c r="H323" s="692" t="str">
        <f t="array" ref="H323">IF($S323="","",IF($S323="Lớp 5",INDEX('Lớp 5 - Phân công'!$O$14:$O$262,$T323),IF($S323="Lớp 4",INDEX('Lớp 4 - Danh mục'!$N$14:$N$132,$T323),INDEX('Lớp 3 - Công việc chính'!$M$14:$M$73,$T323))))</f>
        <v>#REF!</v>
      </c>
      <c r="I323" s="692" t="str">
        <f t="array" ref="I323">IF($S323="","",IF($S323="Lớp 5",INDEX('Lớp 5 - Phân công'!$P$14:$P$262,$T323),IF($S323="Lớp 4",INDEX('Lớp 4 - Danh mục'!$O$14:$O$132,$T323),"")))</f>
        <v>#REF!</v>
      </c>
      <c r="J323" s="693" t="str">
        <f t="array" ref="J323">IF($S323="","",IF($S323="Lớp 5",INDEX('Lớp 5 - Phân công'!$Q$14:$Q$262,$T323),""))</f>
        <v>#REF!</v>
      </c>
      <c r="K323" s="690" t="str">
        <f t="array" ref="K323">IF($S323="","",IF($S323="Lớp 5",INDEX('Lớp 5 - Phân công'!$AA$14:$AA$262,$T323),IF($S323="Lớp 4",INDEX('Lớp 4 - Danh mục'!$Y$14:$Y$132,$T323),INDEX('Lớp 3 - Công việc chính'!$U$14:$U$73,$T323))))</f>
        <v>#REF!</v>
      </c>
      <c r="L323" s="691" t="str">
        <f t="array" ref="L323">IF($S323="","",IF($S323="Lớp 5",INDEX('Lớp 5 - Phân công'!$Z$14:$Z$262,$T323),IF($S323="Lớp 4",INDEX('Lớp 4 - Danh mục'!$X$14:$X$132,$T323),INDEX('Lớp 3 - Công việc chính'!$W$14:$W$73,$T323))))</f>
        <v>#REF!</v>
      </c>
      <c r="M323" s="694" t="str">
        <f t="array" ref="M323">IF($S323="","",IF($S323="Lớp 5",INDEX('Lớp 5 - Phân công'!$AD$14:$AD$262,$T323),IF($S323="Lớp 4",INDEX('Lớp 4 - Danh mục'!$AC$14:$AC$132,$T323),INDEX('Lớp 3 - Công việc chính'!$Z$14:$Z$73,$T323))))</f>
        <v>#REF!</v>
      </c>
      <c r="N323" s="695" t="str">
        <f t="array" ref="N323">IF($S323="","",IF($S323="Lớp 5",INDEX('Lớp 5 - Phân công'!$AE$14:$AE$262,$T323),IF($S323="Lớp 4",INDEX('Lớp 4 - Danh mục'!$AD$14:$AD$132,$T323),INDEX('Lớp 3 - Công việc chính'!$AA$14:$AA$73,$T323))))</f>
        <v>#REF!</v>
      </c>
      <c r="O323" s="690" t="str">
        <f t="array" ref="O323">IF($S323="","",IF($S323="Lớp 5",INDEX('Lớp 5 - Phân công'!$AB$14:$AB$262,$T323),IF($S323="Lớp 4",INDEX('Lớp 4 - Danh mục'!$AA$14:$AA$132,$T323),INDEX('Lớp 3 - Công việc chính'!$X$14:$X$73,$T323))))</f>
        <v>#REF!</v>
      </c>
      <c r="P323" s="703" t="str">
        <f t="array" ref="P323">IF($S323="","",IF($S323="Lớp 5",INDEX('Lớp 5 - Phân công'!$AC$14:$AC$262,$T323),IF($S323="Lớp 4",INDEX('Lớp 4 - Danh mục'!$AB$14:$AB$132,$T323),INDEX('Lớp 3 - Công việc chính'!$Y$14:$Y$73,$T323))))</f>
        <v>#REF!</v>
      </c>
      <c r="Q323" s="697" t="str">
        <f t="array" ref="Q323">IF($S323="","",IF($S323="Lớp 5",INDEX('Lớp 5 - Phân công'!$AG$14:$AG$262,$T323),IF($S323="Lớp 4",INDEX('Lớp 4 - Danh mục'!$AF$14:$AF$132,$T323),INDEX('Lớp 3 - Công việc chính'!$AC$14:$AC$73,$T323))))</f>
        <v>#REF!</v>
      </c>
      <c r="R323" s="698" t="str">
        <f t="array" ref="R323">IF($S323="","",IF($S323="Lớp 5",INDEX('Lớp 5 - Phân công'!$X$14:$X$262,$T323),IF($S323="Lớp 4",INDEX('Lớp 4 - Danh mục'!$V$14:$V$132,$T323),INDEX('Lớp 3 - Công việc chính'!$T$14:$T$73,$T323))))</f>
        <v>#REF!</v>
      </c>
      <c r="S323" s="699" t="str">
        <f>IF(ROWS($S$14:S323)&lt;=COUNTIF('Lớp 5 - Phân công'!$I$14:$I$262,"&lt;&gt;"),"Lớp 5",IF(ROWS($S$14:S323)&lt;=COUNTIF('Lớp 5 - Phân công'!$I$14:$I$262,"&lt;&gt;")+SUMPRODUCT(--('Lớp 4 - Danh mục'!$I$14:$I$132&lt;&gt;""),--(COUNTIF('Lớp 5 - Phân công'!$J$14:$J$262,'Lớp 4 - Danh mục'!$I$14:$I$132)=0)),"Lớp 4",IF(ROWS($S$14:S323)&lt;=COUNTIF('Lớp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3" s="699" t="str">
        <f t="array" ref="T323">IF(S323="","",IF(S323="Lớp 5",IF(S322&lt;&gt;"Lớp 5",MATCH("*",'Lớp 5 - Phân công'!$I$14:$I$262,0),T322+MATCH("*",INDEX('Lớp 5 - Phân công'!$I$14:$I$262,T322+1):'Lớp 5 - Phân công'!$I$262,0)),IF(S323="Lớp 4",IF(S322&lt;&gt;"Lớp 4",MATCH(1,INDEX(('Lớp 4 - Danh mục'!$I$14:$I$132&lt;&gt;"")*(COUNTIF('Lớp 5 - Phân công'!$J$14:$J$262,'Lớp 4 - Danh mục'!$I$14:$I$132)=0),0),0),T322+MATCH(1,INDEX((INDEX('Lớp 4 - Danh mục'!$I$14:$I$132,T322+1):'Lớp 4 - Danh mục'!$I$132&lt;&gt;"")*(COUNTIF('Lớp 5 - Phân công'!$J$14:$J$262,INDEX('Lớp 4 - Danh mục'!$I$14:$I$132,T322+1):'Lớp 4 - Danh mục'!$I$132)=0),0),0)),IF(S322&lt;&gt;"Lớp 3",MATCH(1,INDEX(('Lớp 3 - Công việc chính'!$I$14:$I$73&lt;&gt;"")*(COUNTIF('Lớp 4 - Danh mục'!$J$14:$J$132,'Lớp 3 - Công việc chính'!$I$14:$I$73)=0),0),0),T322+MATCH(1,INDEX((INDEX('Lớp 3 - Công việc chính'!$I$14:$I$73,T322+1):'Lớp 3 - Công việc chính'!$I$73&lt;&gt;"")*(COUNTIF('Lớp 4 - Danh mục'!$J$14:$J$132,INDEX('Lớp 3 - Công việc chính'!$I$14:$I$73,T322+1):'Lớp 3 - Công việc chính'!$I$73)=0),0),0)))))</f>
        <v>#REF!</v>
      </c>
      <c r="Z323" s="700" t="str">
        <f t="array" ref="Z323">IF($S323="","",IF($S323="Lớp 5",INDEX('Lớp 5 - Phân công'!$AS$14:$AS$262,$T323),IF($S323="Lớp 4",INDEX('Lớp 4 - Danh mục'!$AR$14:$AR$132,$T323),INDEX('Lớp 3 - Công việc chính'!$AO$14:$AO$73,$T323))))</f>
        <v>#REF!</v>
      </c>
      <c r="AA323" s="701" t="str">
        <f t="array" ref="AA323">IF($S323="","",IF($S323="Lớp 5",INDEX('Lớp 5 - Phân công'!$AT$14:$AT$262,$T323),IF($S323="Lớp 4",INDEX('Lớp 4 - Danh mục'!$AS$14:$AS$132,$T323),INDEX('Lớp 3 - Công việc chính'!$AP$14:$AP$73,$T323))))</f>
        <v>#REF!</v>
      </c>
      <c r="AB323" s="701" t="str">
        <f t="array" ref="AB323">IF($S323="","",IF($S323="Lớp 5",INDEX('Lớp 5 - Phân công'!$AJ$14:$AJ$262,$T323),IF($S323="Lớp 4",INDEX('Lớp 4 - Danh mục'!$AI$14:$AI$132,$T323),INDEX('Lớp 3 - Công việc chính'!$AF$14:$AF$73,$T323))))</f>
        <v>#REF!</v>
      </c>
      <c r="AC323" s="702" t="str">
        <f t="array" ref="AC323">IF($S323="","",IF($S323="Lớp 5",INDEX('Lớp 5 - Phân công'!$AV$14:$AV$262,$T323),IF($S323="Lớp 4",INDEX('Lớp 4 - Danh mục'!$AU$14:$AU$132,$T323),INDEX('Lớp 3 - Công việc chính'!$AR$14:$AR$73,$T323))))</f>
        <v>#REF!</v>
      </c>
    </row>
    <row r="324" ht="15.75" customHeight="1">
      <c r="A324" s="690" t="str">
        <f t="shared" si="1"/>
        <v>#REF!</v>
      </c>
      <c r="B324" s="690" t="str">
        <f t="array" ref="B324">IF($S324="","",IF($S324="Lớp 5",INDEX('Lớp 5 - Phân công'!$I$14:$I$262,$T324),IF($S324="Lớp 4",INDEX('Lớp 4 - Danh mục'!$I$14:$I$132,$T324),INDEX('Lớp 3 - Công việc chính'!$I$14:$I$73,$T324))))</f>
        <v>#REF!</v>
      </c>
      <c r="C324" s="690" t="str">
        <f t="array" ref="C324">IF($S324="","",IF($S324="Lớp 5",INDEX('Lớp 5 - Phân công'!$K$14:$K$262,$T324),IF($S324="Lớp 4",INDEX('Lớp 4 - Danh mục'!$J$14:$J$132,$T324),INDEX('Lớp 3 - Công việc chính'!$I$14:$I$73,$T324))))</f>
        <v>#REF!</v>
      </c>
      <c r="D324" s="690" t="str">
        <f t="array" ref="D324">IF($S324="","",IF($S324="Lớp 5",INDEX('Lớp 5 - Phân công'!$J$14:$J$262,$T324),IF($S324="Lớp 4",INDEX('Lớp 4 - Danh mục'!$I$14:$I$132,$T324),"")))</f>
        <v>#REF!</v>
      </c>
      <c r="E324" s="690" t="str">
        <f t="array" ref="E324">IF($S324="","",IF($S324="Lớp 5",INDEX('Lớp 5 - Phân công'!$L$14:$L$262,$T324),IF($S324="Lớp 4",INDEX('Lớp 4 - Danh mục'!$K$14:$K$132,$T324),INDEX('Lớp 3 - Công việc chính'!$J$14:$J$73,$T324))))</f>
        <v>#REF!</v>
      </c>
      <c r="F324" s="690" t="str">
        <f t="array" ref="F324">IF($S324="","",IF($S324="Lớp 5",INDEX('Lớp 5 - Phân công'!$M$14:$M$262,$T324),IF($S324="Lớp 4",INDEX('Lớp 4 - Danh mục'!$L$14:$L$132,$T324),INDEX('Lớp 3 - Công việc chính'!$K$14:$K$73,$T324))))</f>
        <v>#REF!</v>
      </c>
      <c r="G324" s="691" t="str">
        <f t="array" ref="G324">IF($S324="","",IF($S324="Lớp 5",INDEX('Lớp 5 - Phân công'!$N$14:$N$262,$T324),IF($S324="Lớp 4",INDEX('Lớp 4 - Danh mục'!$M$14:$M$132,$T324),INDEX('Lớp 3 - Công việc chính'!$L$14:$L$73,$T324))))</f>
        <v>#REF!</v>
      </c>
      <c r="H324" s="692" t="str">
        <f t="array" ref="H324">IF($S324="","",IF($S324="Lớp 5",INDEX('Lớp 5 - Phân công'!$O$14:$O$262,$T324),IF($S324="Lớp 4",INDEX('Lớp 4 - Danh mục'!$N$14:$N$132,$T324),INDEX('Lớp 3 - Công việc chính'!$M$14:$M$73,$T324))))</f>
        <v>#REF!</v>
      </c>
      <c r="I324" s="692" t="str">
        <f t="array" ref="I324">IF($S324="","",IF($S324="Lớp 5",INDEX('Lớp 5 - Phân công'!$P$14:$P$262,$T324),IF($S324="Lớp 4",INDEX('Lớp 4 - Danh mục'!$O$14:$O$132,$T324),"")))</f>
        <v>#REF!</v>
      </c>
      <c r="J324" s="693" t="str">
        <f t="array" ref="J324">IF($S324="","",IF($S324="Lớp 5",INDEX('Lớp 5 - Phân công'!$Q$14:$Q$262,$T324),""))</f>
        <v>#REF!</v>
      </c>
      <c r="K324" s="690" t="str">
        <f t="array" ref="K324">IF($S324="","",IF($S324="Lớp 5",INDEX('Lớp 5 - Phân công'!$AA$14:$AA$262,$T324),IF($S324="Lớp 4",INDEX('Lớp 4 - Danh mục'!$Y$14:$Y$132,$T324),INDEX('Lớp 3 - Công việc chính'!$U$14:$U$73,$T324))))</f>
        <v>#REF!</v>
      </c>
      <c r="L324" s="691" t="str">
        <f t="array" ref="L324">IF($S324="","",IF($S324="Lớp 5",INDEX('Lớp 5 - Phân công'!$Z$14:$Z$262,$T324),IF($S324="Lớp 4",INDEX('Lớp 4 - Danh mục'!$X$14:$X$132,$T324),INDEX('Lớp 3 - Công việc chính'!$W$14:$W$73,$T324))))</f>
        <v>#REF!</v>
      </c>
      <c r="M324" s="694" t="str">
        <f t="array" ref="M324">IF($S324="","",IF($S324="Lớp 5",INDEX('Lớp 5 - Phân công'!$AD$14:$AD$262,$T324),IF($S324="Lớp 4",INDEX('Lớp 4 - Danh mục'!$AC$14:$AC$132,$T324),INDEX('Lớp 3 - Công việc chính'!$Z$14:$Z$73,$T324))))</f>
        <v>#REF!</v>
      </c>
      <c r="N324" s="695" t="str">
        <f t="array" ref="N324">IF($S324="","",IF($S324="Lớp 5",INDEX('Lớp 5 - Phân công'!$AE$14:$AE$262,$T324),IF($S324="Lớp 4",INDEX('Lớp 4 - Danh mục'!$AD$14:$AD$132,$T324),INDEX('Lớp 3 - Công việc chính'!$AA$14:$AA$73,$T324))))</f>
        <v>#REF!</v>
      </c>
      <c r="O324" s="690" t="str">
        <f t="array" ref="O324">IF($S324="","",IF($S324="Lớp 5",INDEX('Lớp 5 - Phân công'!$AB$14:$AB$262,$T324),IF($S324="Lớp 4",INDEX('Lớp 4 - Danh mục'!$AA$14:$AA$132,$T324),INDEX('Lớp 3 - Công việc chính'!$X$14:$X$73,$T324))))</f>
        <v>#REF!</v>
      </c>
      <c r="P324" s="703" t="str">
        <f t="array" ref="P324">IF($S324="","",IF($S324="Lớp 5",INDEX('Lớp 5 - Phân công'!$AC$14:$AC$262,$T324),IF($S324="Lớp 4",INDEX('Lớp 4 - Danh mục'!$AB$14:$AB$132,$T324),INDEX('Lớp 3 - Công việc chính'!$Y$14:$Y$73,$T324))))</f>
        <v>#REF!</v>
      </c>
      <c r="Q324" s="697" t="str">
        <f t="array" ref="Q324">IF($S324="","",IF($S324="Lớp 5",INDEX('Lớp 5 - Phân công'!$AG$14:$AG$262,$T324),IF($S324="Lớp 4",INDEX('Lớp 4 - Danh mục'!$AF$14:$AF$132,$T324),INDEX('Lớp 3 - Công việc chính'!$AC$14:$AC$73,$T324))))</f>
        <v>#REF!</v>
      </c>
      <c r="R324" s="698" t="str">
        <f t="array" ref="R324">IF($S324="","",IF($S324="Lớp 5",INDEX('Lớp 5 - Phân công'!$X$14:$X$262,$T324),IF($S324="Lớp 4",INDEX('Lớp 4 - Danh mục'!$V$14:$V$132,$T324),INDEX('Lớp 3 - Công việc chính'!$T$14:$T$73,$T324))))</f>
        <v>#REF!</v>
      </c>
      <c r="S324" s="699" t="str">
        <f>IF(ROWS($S$14:S324)&lt;=COUNTIF('Lớp 5 - Phân công'!$I$14:$I$262,"&lt;&gt;"),"Lớp 5",IF(ROWS($S$14:S324)&lt;=COUNTIF('Lớp 5 - Phân công'!$I$14:$I$262,"&lt;&gt;")+SUMPRODUCT(--('Lớp 4 - Danh mục'!$I$14:$I$132&lt;&gt;""),--(COUNTIF('Lớp 5 - Phân công'!$J$14:$J$262,'Lớp 4 - Danh mục'!$I$14:$I$132)=0)),"Lớp 4",IF(ROWS($S$14:S324)&lt;=COUNTIF('Lớp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4" s="699" t="str">
        <f t="array" ref="T324">IF(S324="","",IF(S324="Lớp 5",IF(S323&lt;&gt;"Lớp 5",MATCH("*",'Lớp 5 - Phân công'!$I$14:$I$262,0),T323+MATCH("*",INDEX('Lớp 5 - Phân công'!$I$14:$I$262,T323+1):'Lớp 5 - Phân công'!$I$262,0)),IF(S324="Lớp 4",IF(S323&lt;&gt;"Lớp 4",MATCH(1,INDEX(('Lớp 4 - Danh mục'!$I$14:$I$132&lt;&gt;"")*(COUNTIF('Lớp 5 - Phân công'!$J$14:$J$262,'Lớp 4 - Danh mục'!$I$14:$I$132)=0),0),0),T323+MATCH(1,INDEX((INDEX('Lớp 4 - Danh mục'!$I$14:$I$132,T323+1):'Lớp 4 - Danh mục'!$I$132&lt;&gt;"")*(COUNTIF('Lớp 5 - Phân công'!$J$14:$J$262,INDEX('Lớp 4 - Danh mục'!$I$14:$I$132,T323+1):'Lớp 4 - Danh mục'!$I$132)=0),0),0)),IF(S323&lt;&gt;"Lớp 3",MATCH(1,INDEX(('Lớp 3 - Công việc chính'!$I$14:$I$73&lt;&gt;"")*(COUNTIF('Lớp 4 - Danh mục'!$J$14:$J$132,'Lớp 3 - Công việc chính'!$I$14:$I$73)=0),0),0),T323+MATCH(1,INDEX((INDEX('Lớp 3 - Công việc chính'!$I$14:$I$73,T323+1):'Lớp 3 - Công việc chính'!$I$73&lt;&gt;"")*(COUNTIF('Lớp 4 - Danh mục'!$J$14:$J$132,INDEX('Lớp 3 - Công việc chính'!$I$14:$I$73,T323+1):'Lớp 3 - Công việc chính'!$I$73)=0),0),0)))))</f>
        <v>#REF!</v>
      </c>
      <c r="Z324" s="700" t="str">
        <f t="array" ref="Z324">IF($S324="","",IF($S324="Lớp 5",INDEX('Lớp 5 - Phân công'!$AS$14:$AS$262,$T324),IF($S324="Lớp 4",INDEX('Lớp 4 - Danh mục'!$AR$14:$AR$132,$T324),INDEX('Lớp 3 - Công việc chính'!$AO$14:$AO$73,$T324))))</f>
        <v>#REF!</v>
      </c>
      <c r="AA324" s="701" t="str">
        <f t="array" ref="AA324">IF($S324="","",IF($S324="Lớp 5",INDEX('Lớp 5 - Phân công'!$AT$14:$AT$262,$T324),IF($S324="Lớp 4",INDEX('Lớp 4 - Danh mục'!$AS$14:$AS$132,$T324),INDEX('Lớp 3 - Công việc chính'!$AP$14:$AP$73,$T324))))</f>
        <v>#REF!</v>
      </c>
      <c r="AB324" s="701" t="str">
        <f t="array" ref="AB324">IF($S324="","",IF($S324="Lớp 5",INDEX('Lớp 5 - Phân công'!$AJ$14:$AJ$262,$T324),IF($S324="Lớp 4",INDEX('Lớp 4 - Danh mục'!$AI$14:$AI$132,$T324),INDEX('Lớp 3 - Công việc chính'!$AF$14:$AF$73,$T324))))</f>
        <v>#REF!</v>
      </c>
      <c r="AC324" s="702" t="str">
        <f t="array" ref="AC324">IF($S324="","",IF($S324="Lớp 5",INDEX('Lớp 5 - Phân công'!$AV$14:$AV$262,$T324),IF($S324="Lớp 4",INDEX('Lớp 4 - Danh mục'!$AU$14:$AU$132,$T324),INDEX('Lớp 3 - Công việc chính'!$AR$14:$AR$73,$T324))))</f>
        <v>#REF!</v>
      </c>
    </row>
    <row r="325" ht="15.75" customHeight="1">
      <c r="A325" s="690" t="str">
        <f t="shared" si="1"/>
        <v>#REF!</v>
      </c>
      <c r="B325" s="690" t="str">
        <f t="array" ref="B325">IF($S325="","",IF($S325="Lớp 5",INDEX('Lớp 5 - Phân công'!$I$14:$I$262,$T325),IF($S325="Lớp 4",INDEX('Lớp 4 - Danh mục'!$I$14:$I$132,$T325),INDEX('Lớp 3 - Công việc chính'!$I$14:$I$73,$T325))))</f>
        <v>#REF!</v>
      </c>
      <c r="C325" s="690" t="str">
        <f t="array" ref="C325">IF($S325="","",IF($S325="Lớp 5",INDEX('Lớp 5 - Phân công'!$K$14:$K$262,$T325),IF($S325="Lớp 4",INDEX('Lớp 4 - Danh mục'!$J$14:$J$132,$T325),INDEX('Lớp 3 - Công việc chính'!$I$14:$I$73,$T325))))</f>
        <v>#REF!</v>
      </c>
      <c r="D325" s="690" t="str">
        <f t="array" ref="D325">IF($S325="","",IF($S325="Lớp 5",INDEX('Lớp 5 - Phân công'!$J$14:$J$262,$T325),IF($S325="Lớp 4",INDEX('Lớp 4 - Danh mục'!$I$14:$I$132,$T325),"")))</f>
        <v>#REF!</v>
      </c>
      <c r="E325" s="690" t="str">
        <f t="array" ref="E325">IF($S325="","",IF($S325="Lớp 5",INDEX('Lớp 5 - Phân công'!$L$14:$L$262,$T325),IF($S325="Lớp 4",INDEX('Lớp 4 - Danh mục'!$K$14:$K$132,$T325),INDEX('Lớp 3 - Công việc chính'!$J$14:$J$73,$T325))))</f>
        <v>#REF!</v>
      </c>
      <c r="F325" s="690" t="str">
        <f t="array" ref="F325">IF($S325="","",IF($S325="Lớp 5",INDEX('Lớp 5 - Phân công'!$M$14:$M$262,$T325),IF($S325="Lớp 4",INDEX('Lớp 4 - Danh mục'!$L$14:$L$132,$T325),INDEX('Lớp 3 - Công việc chính'!$K$14:$K$73,$T325))))</f>
        <v>#REF!</v>
      </c>
      <c r="G325" s="691" t="str">
        <f t="array" ref="G325">IF($S325="","",IF($S325="Lớp 5",INDEX('Lớp 5 - Phân công'!$N$14:$N$262,$T325),IF($S325="Lớp 4",INDEX('Lớp 4 - Danh mục'!$M$14:$M$132,$T325),INDEX('Lớp 3 - Công việc chính'!$L$14:$L$73,$T325))))</f>
        <v>#REF!</v>
      </c>
      <c r="H325" s="692" t="str">
        <f t="array" ref="H325">IF($S325="","",IF($S325="Lớp 5",INDEX('Lớp 5 - Phân công'!$O$14:$O$262,$T325),IF($S325="Lớp 4",INDEX('Lớp 4 - Danh mục'!$N$14:$N$132,$T325),INDEX('Lớp 3 - Công việc chính'!$M$14:$M$73,$T325))))</f>
        <v>#REF!</v>
      </c>
      <c r="I325" s="692" t="str">
        <f t="array" ref="I325">IF($S325="","",IF($S325="Lớp 5",INDEX('Lớp 5 - Phân công'!$P$14:$P$262,$T325),IF($S325="Lớp 4",INDEX('Lớp 4 - Danh mục'!$O$14:$O$132,$T325),"")))</f>
        <v>#REF!</v>
      </c>
      <c r="J325" s="693" t="str">
        <f t="array" ref="J325">IF($S325="","",IF($S325="Lớp 5",INDEX('Lớp 5 - Phân công'!$Q$14:$Q$262,$T325),""))</f>
        <v>#REF!</v>
      </c>
      <c r="K325" s="690" t="str">
        <f t="array" ref="K325">IF($S325="","",IF($S325="Lớp 5",INDEX('Lớp 5 - Phân công'!$AA$14:$AA$262,$T325),IF($S325="Lớp 4",INDEX('Lớp 4 - Danh mục'!$Y$14:$Y$132,$T325),INDEX('Lớp 3 - Công việc chính'!$U$14:$U$73,$T325))))</f>
        <v>#REF!</v>
      </c>
      <c r="L325" s="691" t="str">
        <f t="array" ref="L325">IF($S325="","",IF($S325="Lớp 5",INDEX('Lớp 5 - Phân công'!$Z$14:$Z$262,$T325),IF($S325="Lớp 4",INDEX('Lớp 4 - Danh mục'!$X$14:$X$132,$T325),INDEX('Lớp 3 - Công việc chính'!$W$14:$W$73,$T325))))</f>
        <v>#REF!</v>
      </c>
      <c r="M325" s="694" t="str">
        <f t="array" ref="M325">IF($S325="","",IF($S325="Lớp 5",INDEX('Lớp 5 - Phân công'!$AD$14:$AD$262,$T325),IF($S325="Lớp 4",INDEX('Lớp 4 - Danh mục'!$AC$14:$AC$132,$T325),INDEX('Lớp 3 - Công việc chính'!$Z$14:$Z$73,$T325))))</f>
        <v>#REF!</v>
      </c>
      <c r="N325" s="695" t="str">
        <f t="array" ref="N325">IF($S325="","",IF($S325="Lớp 5",INDEX('Lớp 5 - Phân công'!$AE$14:$AE$262,$T325),IF($S325="Lớp 4",INDEX('Lớp 4 - Danh mục'!$AD$14:$AD$132,$T325),INDEX('Lớp 3 - Công việc chính'!$AA$14:$AA$73,$T325))))</f>
        <v>#REF!</v>
      </c>
      <c r="O325" s="690" t="str">
        <f t="array" ref="O325">IF($S325="","",IF($S325="Lớp 5",INDEX('Lớp 5 - Phân công'!$AB$14:$AB$262,$T325),IF($S325="Lớp 4",INDEX('Lớp 4 - Danh mục'!$AA$14:$AA$132,$T325),INDEX('Lớp 3 - Công việc chính'!$X$14:$X$73,$T325))))</f>
        <v>#REF!</v>
      </c>
      <c r="P325" s="703" t="str">
        <f t="array" ref="P325">IF($S325="","",IF($S325="Lớp 5",INDEX('Lớp 5 - Phân công'!$AC$14:$AC$262,$T325),IF($S325="Lớp 4",INDEX('Lớp 4 - Danh mục'!$AB$14:$AB$132,$T325),INDEX('Lớp 3 - Công việc chính'!$Y$14:$Y$73,$T325))))</f>
        <v>#REF!</v>
      </c>
      <c r="Q325" s="697" t="str">
        <f t="array" ref="Q325">IF($S325="","",IF($S325="Lớp 5",INDEX('Lớp 5 - Phân công'!$AG$14:$AG$262,$T325),IF($S325="Lớp 4",INDEX('Lớp 4 - Danh mục'!$AF$14:$AF$132,$T325),INDEX('Lớp 3 - Công việc chính'!$AC$14:$AC$73,$T325))))</f>
        <v>#REF!</v>
      </c>
      <c r="R325" s="698" t="str">
        <f t="array" ref="R325">IF($S325="","",IF($S325="Lớp 5",INDEX('Lớp 5 - Phân công'!$X$14:$X$262,$T325),IF($S325="Lớp 4",INDEX('Lớp 4 - Danh mục'!$V$14:$V$132,$T325),INDEX('Lớp 3 - Công việc chính'!$T$14:$T$73,$T325))))</f>
        <v>#REF!</v>
      </c>
      <c r="S325" s="699" t="str">
        <f>IF(ROWS($S$14:S325)&lt;=COUNTIF('Lớp 5 - Phân công'!$I$14:$I$262,"&lt;&gt;"),"Lớp 5",IF(ROWS($S$14:S325)&lt;=COUNTIF('Lớp 5 - Phân công'!$I$14:$I$262,"&lt;&gt;")+SUMPRODUCT(--('Lớp 4 - Danh mục'!$I$14:$I$132&lt;&gt;""),--(COUNTIF('Lớp 5 - Phân công'!$J$14:$J$262,'Lớp 4 - Danh mục'!$I$14:$I$132)=0)),"Lớp 4",IF(ROWS($S$14:S325)&lt;=COUNTIF('Lớp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5" s="699" t="str">
        <f t="array" ref="T325">IF(S325="","",IF(S325="Lớp 5",IF(S324&lt;&gt;"Lớp 5",MATCH("*",'Lớp 5 - Phân công'!$I$14:$I$262,0),T324+MATCH("*",INDEX('Lớp 5 - Phân công'!$I$14:$I$262,T324+1):'Lớp 5 - Phân công'!$I$262,0)),IF(S325="Lớp 4",IF(S324&lt;&gt;"Lớp 4",MATCH(1,INDEX(('Lớp 4 - Danh mục'!$I$14:$I$132&lt;&gt;"")*(COUNTIF('Lớp 5 - Phân công'!$J$14:$J$262,'Lớp 4 - Danh mục'!$I$14:$I$132)=0),0),0),T324+MATCH(1,INDEX((INDEX('Lớp 4 - Danh mục'!$I$14:$I$132,T324+1):'Lớp 4 - Danh mục'!$I$132&lt;&gt;"")*(COUNTIF('Lớp 5 - Phân công'!$J$14:$J$262,INDEX('Lớp 4 - Danh mục'!$I$14:$I$132,T324+1):'Lớp 4 - Danh mục'!$I$132)=0),0),0)),IF(S324&lt;&gt;"Lớp 3",MATCH(1,INDEX(('Lớp 3 - Công việc chính'!$I$14:$I$73&lt;&gt;"")*(COUNTIF('Lớp 4 - Danh mục'!$J$14:$J$132,'Lớp 3 - Công việc chính'!$I$14:$I$73)=0),0),0),T324+MATCH(1,INDEX((INDEX('Lớp 3 - Công việc chính'!$I$14:$I$73,T324+1):'Lớp 3 - Công việc chính'!$I$73&lt;&gt;"")*(COUNTIF('Lớp 4 - Danh mục'!$J$14:$J$132,INDEX('Lớp 3 - Công việc chính'!$I$14:$I$73,T324+1):'Lớp 3 - Công việc chính'!$I$73)=0),0),0)))))</f>
        <v>#REF!</v>
      </c>
      <c r="Z325" s="700" t="str">
        <f t="array" ref="Z325">IF($S325="","",IF($S325="Lớp 5",INDEX('Lớp 5 - Phân công'!$AS$14:$AS$262,$T325),IF($S325="Lớp 4",INDEX('Lớp 4 - Danh mục'!$AR$14:$AR$132,$T325),INDEX('Lớp 3 - Công việc chính'!$AO$14:$AO$73,$T325))))</f>
        <v>#REF!</v>
      </c>
      <c r="AA325" s="701" t="str">
        <f t="array" ref="AA325">IF($S325="","",IF($S325="Lớp 5",INDEX('Lớp 5 - Phân công'!$AT$14:$AT$262,$T325),IF($S325="Lớp 4",INDEX('Lớp 4 - Danh mục'!$AS$14:$AS$132,$T325),INDEX('Lớp 3 - Công việc chính'!$AP$14:$AP$73,$T325))))</f>
        <v>#REF!</v>
      </c>
      <c r="AB325" s="701" t="str">
        <f t="array" ref="AB325">IF($S325="","",IF($S325="Lớp 5",INDEX('Lớp 5 - Phân công'!$AJ$14:$AJ$262,$T325),IF($S325="Lớp 4",INDEX('Lớp 4 - Danh mục'!$AI$14:$AI$132,$T325),INDEX('Lớp 3 - Công việc chính'!$AF$14:$AF$73,$T325))))</f>
        <v>#REF!</v>
      </c>
      <c r="AC325" s="702" t="str">
        <f t="array" ref="AC325">IF($S325="","",IF($S325="Lớp 5",INDEX('Lớp 5 - Phân công'!$AV$14:$AV$262,$T325),IF($S325="Lớp 4",INDEX('Lớp 4 - Danh mục'!$AU$14:$AU$132,$T325),INDEX('Lớp 3 - Công việc chính'!$AR$14:$AR$73,$T325))))</f>
        <v>#REF!</v>
      </c>
    </row>
    <row r="326" ht="15.75" customHeight="1">
      <c r="A326" s="690" t="str">
        <f t="shared" si="1"/>
        <v>#REF!</v>
      </c>
      <c r="B326" s="690" t="str">
        <f t="array" ref="B326">IF($S326="","",IF($S326="Lớp 5",INDEX('Lớp 5 - Phân công'!$I$14:$I$262,$T326),IF($S326="Lớp 4",INDEX('Lớp 4 - Danh mục'!$I$14:$I$132,$T326),INDEX('Lớp 3 - Công việc chính'!$I$14:$I$73,$T326))))</f>
        <v>#REF!</v>
      </c>
      <c r="C326" s="690" t="str">
        <f t="array" ref="C326">IF($S326="","",IF($S326="Lớp 5",INDEX('Lớp 5 - Phân công'!$K$14:$K$262,$T326),IF($S326="Lớp 4",INDEX('Lớp 4 - Danh mục'!$J$14:$J$132,$T326),INDEX('Lớp 3 - Công việc chính'!$I$14:$I$73,$T326))))</f>
        <v>#REF!</v>
      </c>
      <c r="D326" s="690" t="str">
        <f t="array" ref="D326">IF($S326="","",IF($S326="Lớp 5",INDEX('Lớp 5 - Phân công'!$J$14:$J$262,$T326),IF($S326="Lớp 4",INDEX('Lớp 4 - Danh mục'!$I$14:$I$132,$T326),"")))</f>
        <v>#REF!</v>
      </c>
      <c r="E326" s="690" t="str">
        <f t="array" ref="E326">IF($S326="","",IF($S326="Lớp 5",INDEX('Lớp 5 - Phân công'!$L$14:$L$262,$T326),IF($S326="Lớp 4",INDEX('Lớp 4 - Danh mục'!$K$14:$K$132,$T326),INDEX('Lớp 3 - Công việc chính'!$J$14:$J$73,$T326))))</f>
        <v>#REF!</v>
      </c>
      <c r="F326" s="690" t="str">
        <f t="array" ref="F326">IF($S326="","",IF($S326="Lớp 5",INDEX('Lớp 5 - Phân công'!$M$14:$M$262,$T326),IF($S326="Lớp 4",INDEX('Lớp 4 - Danh mục'!$L$14:$L$132,$T326),INDEX('Lớp 3 - Công việc chính'!$K$14:$K$73,$T326))))</f>
        <v>#REF!</v>
      </c>
      <c r="G326" s="691" t="str">
        <f t="array" ref="G326">IF($S326="","",IF($S326="Lớp 5",INDEX('Lớp 5 - Phân công'!$N$14:$N$262,$T326),IF($S326="Lớp 4",INDEX('Lớp 4 - Danh mục'!$M$14:$M$132,$T326),INDEX('Lớp 3 - Công việc chính'!$L$14:$L$73,$T326))))</f>
        <v>#REF!</v>
      </c>
      <c r="H326" s="692" t="str">
        <f t="array" ref="H326">IF($S326="","",IF($S326="Lớp 5",INDEX('Lớp 5 - Phân công'!$O$14:$O$262,$T326),IF($S326="Lớp 4",INDEX('Lớp 4 - Danh mục'!$N$14:$N$132,$T326),INDEX('Lớp 3 - Công việc chính'!$M$14:$M$73,$T326))))</f>
        <v>#REF!</v>
      </c>
      <c r="I326" s="692" t="str">
        <f t="array" ref="I326">IF($S326="","",IF($S326="Lớp 5",INDEX('Lớp 5 - Phân công'!$P$14:$P$262,$T326),IF($S326="Lớp 4",INDEX('Lớp 4 - Danh mục'!$O$14:$O$132,$T326),"")))</f>
        <v>#REF!</v>
      </c>
      <c r="J326" s="693" t="str">
        <f t="array" ref="J326">IF($S326="","",IF($S326="Lớp 5",INDEX('Lớp 5 - Phân công'!$Q$14:$Q$262,$T326),""))</f>
        <v>#REF!</v>
      </c>
      <c r="K326" s="690" t="str">
        <f t="array" ref="K326">IF($S326="","",IF($S326="Lớp 5",INDEX('Lớp 5 - Phân công'!$AA$14:$AA$262,$T326),IF($S326="Lớp 4",INDEX('Lớp 4 - Danh mục'!$Y$14:$Y$132,$T326),INDEX('Lớp 3 - Công việc chính'!$U$14:$U$73,$T326))))</f>
        <v>#REF!</v>
      </c>
      <c r="L326" s="691" t="str">
        <f t="array" ref="L326">IF($S326="","",IF($S326="Lớp 5",INDEX('Lớp 5 - Phân công'!$Z$14:$Z$262,$T326),IF($S326="Lớp 4",INDEX('Lớp 4 - Danh mục'!$X$14:$X$132,$T326),INDEX('Lớp 3 - Công việc chính'!$W$14:$W$73,$T326))))</f>
        <v>#REF!</v>
      </c>
      <c r="M326" s="694" t="str">
        <f t="array" ref="M326">IF($S326="","",IF($S326="Lớp 5",INDEX('Lớp 5 - Phân công'!$AD$14:$AD$262,$T326),IF($S326="Lớp 4",INDEX('Lớp 4 - Danh mục'!$AC$14:$AC$132,$T326),INDEX('Lớp 3 - Công việc chính'!$Z$14:$Z$73,$T326))))</f>
        <v>#REF!</v>
      </c>
      <c r="N326" s="695" t="str">
        <f t="array" ref="N326">IF($S326="","",IF($S326="Lớp 5",INDEX('Lớp 5 - Phân công'!$AE$14:$AE$262,$T326),IF($S326="Lớp 4",INDEX('Lớp 4 - Danh mục'!$AD$14:$AD$132,$T326),INDEX('Lớp 3 - Công việc chính'!$AA$14:$AA$73,$T326))))</f>
        <v>#REF!</v>
      </c>
      <c r="O326" s="690" t="str">
        <f t="array" ref="O326">IF($S326="","",IF($S326="Lớp 5",INDEX('Lớp 5 - Phân công'!$AB$14:$AB$262,$T326),IF($S326="Lớp 4",INDEX('Lớp 4 - Danh mục'!$AA$14:$AA$132,$T326),INDEX('Lớp 3 - Công việc chính'!$X$14:$X$73,$T326))))</f>
        <v>#REF!</v>
      </c>
      <c r="P326" s="703" t="str">
        <f t="array" ref="P326">IF($S326="","",IF($S326="Lớp 5",INDEX('Lớp 5 - Phân công'!$AC$14:$AC$262,$T326),IF($S326="Lớp 4",INDEX('Lớp 4 - Danh mục'!$AB$14:$AB$132,$T326),INDEX('Lớp 3 - Công việc chính'!$Y$14:$Y$73,$T326))))</f>
        <v>#REF!</v>
      </c>
      <c r="Q326" s="697" t="str">
        <f t="array" ref="Q326">IF($S326="","",IF($S326="Lớp 5",INDEX('Lớp 5 - Phân công'!$AG$14:$AG$262,$T326),IF($S326="Lớp 4",INDEX('Lớp 4 - Danh mục'!$AF$14:$AF$132,$T326),INDEX('Lớp 3 - Công việc chính'!$AC$14:$AC$73,$T326))))</f>
        <v>#REF!</v>
      </c>
      <c r="R326" s="698" t="str">
        <f t="array" ref="R326">IF($S326="","",IF($S326="Lớp 5",INDEX('Lớp 5 - Phân công'!$X$14:$X$262,$T326),IF($S326="Lớp 4",INDEX('Lớp 4 - Danh mục'!$V$14:$V$132,$T326),INDEX('Lớp 3 - Công việc chính'!$T$14:$T$73,$T326))))</f>
        <v>#REF!</v>
      </c>
      <c r="S326" s="699" t="str">
        <f>IF(ROWS($S$14:S326)&lt;=COUNTIF('Lớp 5 - Phân công'!$I$14:$I$262,"&lt;&gt;"),"Lớp 5",IF(ROWS($S$14:S326)&lt;=COUNTIF('Lớp 5 - Phân công'!$I$14:$I$262,"&lt;&gt;")+SUMPRODUCT(--('Lớp 4 - Danh mục'!$I$14:$I$132&lt;&gt;""),--(COUNTIF('Lớp 5 - Phân công'!$J$14:$J$262,'Lớp 4 - Danh mục'!$I$14:$I$132)=0)),"Lớp 4",IF(ROWS($S$14:S326)&lt;=COUNTIF('Lớp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6" s="699" t="str">
        <f t="array" ref="T326">IF(S326="","",IF(S326="Lớp 5",IF(S325&lt;&gt;"Lớp 5",MATCH("*",'Lớp 5 - Phân công'!$I$14:$I$262,0),T325+MATCH("*",INDEX('Lớp 5 - Phân công'!$I$14:$I$262,T325+1):'Lớp 5 - Phân công'!$I$262,0)),IF(S326="Lớp 4",IF(S325&lt;&gt;"Lớp 4",MATCH(1,INDEX(('Lớp 4 - Danh mục'!$I$14:$I$132&lt;&gt;"")*(COUNTIF('Lớp 5 - Phân công'!$J$14:$J$262,'Lớp 4 - Danh mục'!$I$14:$I$132)=0),0),0),T325+MATCH(1,INDEX((INDEX('Lớp 4 - Danh mục'!$I$14:$I$132,T325+1):'Lớp 4 - Danh mục'!$I$132&lt;&gt;"")*(COUNTIF('Lớp 5 - Phân công'!$J$14:$J$262,INDEX('Lớp 4 - Danh mục'!$I$14:$I$132,T325+1):'Lớp 4 - Danh mục'!$I$132)=0),0),0)),IF(S325&lt;&gt;"Lớp 3",MATCH(1,INDEX(('Lớp 3 - Công việc chính'!$I$14:$I$73&lt;&gt;"")*(COUNTIF('Lớp 4 - Danh mục'!$J$14:$J$132,'Lớp 3 - Công việc chính'!$I$14:$I$73)=0),0),0),T325+MATCH(1,INDEX((INDEX('Lớp 3 - Công việc chính'!$I$14:$I$73,T325+1):'Lớp 3 - Công việc chính'!$I$73&lt;&gt;"")*(COUNTIF('Lớp 4 - Danh mục'!$J$14:$J$132,INDEX('Lớp 3 - Công việc chính'!$I$14:$I$73,T325+1):'Lớp 3 - Công việc chính'!$I$73)=0),0),0)))))</f>
        <v>#REF!</v>
      </c>
      <c r="Z326" s="700" t="str">
        <f t="array" ref="Z326">IF($S326="","",IF($S326="Lớp 5",INDEX('Lớp 5 - Phân công'!$AS$14:$AS$262,$T326),IF($S326="Lớp 4",INDEX('Lớp 4 - Danh mục'!$AR$14:$AR$132,$T326),INDEX('Lớp 3 - Công việc chính'!$AO$14:$AO$73,$T326))))</f>
        <v>#REF!</v>
      </c>
      <c r="AA326" s="701" t="str">
        <f t="array" ref="AA326">IF($S326="","",IF($S326="Lớp 5",INDEX('Lớp 5 - Phân công'!$AT$14:$AT$262,$T326),IF($S326="Lớp 4",INDEX('Lớp 4 - Danh mục'!$AS$14:$AS$132,$T326),INDEX('Lớp 3 - Công việc chính'!$AP$14:$AP$73,$T326))))</f>
        <v>#REF!</v>
      </c>
      <c r="AB326" s="701" t="str">
        <f t="array" ref="AB326">IF($S326="","",IF($S326="Lớp 5",INDEX('Lớp 5 - Phân công'!$AJ$14:$AJ$262,$T326),IF($S326="Lớp 4",INDEX('Lớp 4 - Danh mục'!$AI$14:$AI$132,$T326),INDEX('Lớp 3 - Công việc chính'!$AF$14:$AF$73,$T326))))</f>
        <v>#REF!</v>
      </c>
      <c r="AC326" s="702" t="str">
        <f t="array" ref="AC326">IF($S326="","",IF($S326="Lớp 5",INDEX('Lớp 5 - Phân công'!$AV$14:$AV$262,$T326),IF($S326="Lớp 4",INDEX('Lớp 4 - Danh mục'!$AU$14:$AU$132,$T326),INDEX('Lớp 3 - Công việc chính'!$AR$14:$AR$73,$T326))))</f>
        <v>#REF!</v>
      </c>
    </row>
    <row r="327" ht="15.75" customHeight="1">
      <c r="A327" s="690" t="str">
        <f t="shared" si="1"/>
        <v>#REF!</v>
      </c>
      <c r="B327" s="690" t="str">
        <f t="array" ref="B327">IF($S327="","",IF($S327="Lớp 5",INDEX('Lớp 5 - Phân công'!$I$14:$I$262,$T327),IF($S327="Lớp 4",INDEX('Lớp 4 - Danh mục'!$I$14:$I$132,$T327),INDEX('Lớp 3 - Công việc chính'!$I$14:$I$73,$T327))))</f>
        <v>#REF!</v>
      </c>
      <c r="C327" s="690" t="str">
        <f t="array" ref="C327">IF($S327="","",IF($S327="Lớp 5",INDEX('Lớp 5 - Phân công'!$K$14:$K$262,$T327),IF($S327="Lớp 4",INDEX('Lớp 4 - Danh mục'!$J$14:$J$132,$T327),INDEX('Lớp 3 - Công việc chính'!$I$14:$I$73,$T327))))</f>
        <v>#REF!</v>
      </c>
      <c r="D327" s="690" t="str">
        <f t="array" ref="D327">IF($S327="","",IF($S327="Lớp 5",INDEX('Lớp 5 - Phân công'!$J$14:$J$262,$T327),IF($S327="Lớp 4",INDEX('Lớp 4 - Danh mục'!$I$14:$I$132,$T327),"")))</f>
        <v>#REF!</v>
      </c>
      <c r="E327" s="690" t="str">
        <f t="array" ref="E327">IF($S327="","",IF($S327="Lớp 5",INDEX('Lớp 5 - Phân công'!$L$14:$L$262,$T327),IF($S327="Lớp 4",INDEX('Lớp 4 - Danh mục'!$K$14:$K$132,$T327),INDEX('Lớp 3 - Công việc chính'!$J$14:$J$73,$T327))))</f>
        <v>#REF!</v>
      </c>
      <c r="F327" s="690" t="str">
        <f t="array" ref="F327">IF($S327="","",IF($S327="Lớp 5",INDEX('Lớp 5 - Phân công'!$M$14:$M$262,$T327),IF($S327="Lớp 4",INDEX('Lớp 4 - Danh mục'!$L$14:$L$132,$T327),INDEX('Lớp 3 - Công việc chính'!$K$14:$K$73,$T327))))</f>
        <v>#REF!</v>
      </c>
      <c r="G327" s="691" t="str">
        <f t="array" ref="G327">IF($S327="","",IF($S327="Lớp 5",INDEX('Lớp 5 - Phân công'!$N$14:$N$262,$T327),IF($S327="Lớp 4",INDEX('Lớp 4 - Danh mục'!$M$14:$M$132,$T327),INDEX('Lớp 3 - Công việc chính'!$L$14:$L$73,$T327))))</f>
        <v>#REF!</v>
      </c>
      <c r="H327" s="692" t="str">
        <f t="array" ref="H327">IF($S327="","",IF($S327="Lớp 5",INDEX('Lớp 5 - Phân công'!$O$14:$O$262,$T327),IF($S327="Lớp 4",INDEX('Lớp 4 - Danh mục'!$N$14:$N$132,$T327),INDEX('Lớp 3 - Công việc chính'!$M$14:$M$73,$T327))))</f>
        <v>#REF!</v>
      </c>
      <c r="I327" s="692" t="str">
        <f t="array" ref="I327">IF($S327="","",IF($S327="Lớp 5",INDEX('Lớp 5 - Phân công'!$P$14:$P$262,$T327),IF($S327="Lớp 4",INDEX('Lớp 4 - Danh mục'!$O$14:$O$132,$T327),"")))</f>
        <v>#REF!</v>
      </c>
      <c r="J327" s="693" t="str">
        <f t="array" ref="J327">IF($S327="","",IF($S327="Lớp 5",INDEX('Lớp 5 - Phân công'!$Q$14:$Q$262,$T327),""))</f>
        <v>#REF!</v>
      </c>
      <c r="K327" s="690" t="str">
        <f t="array" ref="K327">IF($S327="","",IF($S327="Lớp 5",INDEX('Lớp 5 - Phân công'!$AA$14:$AA$262,$T327),IF($S327="Lớp 4",INDEX('Lớp 4 - Danh mục'!$Y$14:$Y$132,$T327),INDEX('Lớp 3 - Công việc chính'!$U$14:$U$73,$T327))))</f>
        <v>#REF!</v>
      </c>
      <c r="L327" s="691" t="str">
        <f t="array" ref="L327">IF($S327="","",IF($S327="Lớp 5",INDEX('Lớp 5 - Phân công'!$Z$14:$Z$262,$T327),IF($S327="Lớp 4",INDEX('Lớp 4 - Danh mục'!$X$14:$X$132,$T327),INDEX('Lớp 3 - Công việc chính'!$W$14:$W$73,$T327))))</f>
        <v>#REF!</v>
      </c>
      <c r="M327" s="694" t="str">
        <f t="array" ref="M327">IF($S327="","",IF($S327="Lớp 5",INDEX('Lớp 5 - Phân công'!$AD$14:$AD$262,$T327),IF($S327="Lớp 4",INDEX('Lớp 4 - Danh mục'!$AC$14:$AC$132,$T327),INDEX('Lớp 3 - Công việc chính'!$Z$14:$Z$73,$T327))))</f>
        <v>#REF!</v>
      </c>
      <c r="N327" s="695" t="str">
        <f t="array" ref="N327">IF($S327="","",IF($S327="Lớp 5",INDEX('Lớp 5 - Phân công'!$AE$14:$AE$262,$T327),IF($S327="Lớp 4",INDEX('Lớp 4 - Danh mục'!$AD$14:$AD$132,$T327),INDEX('Lớp 3 - Công việc chính'!$AA$14:$AA$73,$T327))))</f>
        <v>#REF!</v>
      </c>
      <c r="O327" s="690" t="str">
        <f t="array" ref="O327">IF($S327="","",IF($S327="Lớp 5",INDEX('Lớp 5 - Phân công'!$AB$14:$AB$262,$T327),IF($S327="Lớp 4",INDEX('Lớp 4 - Danh mục'!$AA$14:$AA$132,$T327),INDEX('Lớp 3 - Công việc chính'!$X$14:$X$73,$T327))))</f>
        <v>#REF!</v>
      </c>
      <c r="P327" s="703" t="str">
        <f t="array" ref="P327">IF($S327="","",IF($S327="Lớp 5",INDEX('Lớp 5 - Phân công'!$AC$14:$AC$262,$T327),IF($S327="Lớp 4",INDEX('Lớp 4 - Danh mục'!$AB$14:$AB$132,$T327),INDEX('Lớp 3 - Công việc chính'!$Y$14:$Y$73,$T327))))</f>
        <v>#REF!</v>
      </c>
      <c r="Q327" s="697" t="str">
        <f t="array" ref="Q327">IF($S327="","",IF($S327="Lớp 5",INDEX('Lớp 5 - Phân công'!$AG$14:$AG$262,$T327),IF($S327="Lớp 4",INDEX('Lớp 4 - Danh mục'!$AF$14:$AF$132,$T327),INDEX('Lớp 3 - Công việc chính'!$AC$14:$AC$73,$T327))))</f>
        <v>#REF!</v>
      </c>
      <c r="R327" s="698" t="str">
        <f t="array" ref="R327">IF($S327="","",IF($S327="Lớp 5",INDEX('Lớp 5 - Phân công'!$X$14:$X$262,$T327),IF($S327="Lớp 4",INDEX('Lớp 4 - Danh mục'!$V$14:$V$132,$T327),INDEX('Lớp 3 - Công việc chính'!$T$14:$T$73,$T327))))</f>
        <v>#REF!</v>
      </c>
      <c r="S327" s="699" t="str">
        <f>IF(ROWS($S$14:S327)&lt;=COUNTIF('Lớp 5 - Phân công'!$I$14:$I$262,"&lt;&gt;"),"Lớp 5",IF(ROWS($S$14:S327)&lt;=COUNTIF('Lớp 5 - Phân công'!$I$14:$I$262,"&lt;&gt;")+SUMPRODUCT(--('Lớp 4 - Danh mục'!$I$14:$I$132&lt;&gt;""),--(COUNTIF('Lớp 5 - Phân công'!$J$14:$J$262,'Lớp 4 - Danh mục'!$I$14:$I$132)=0)),"Lớp 4",IF(ROWS($S$14:S327)&lt;=COUNTIF('Lớp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7" s="699" t="str">
        <f t="array" ref="T327">IF(S327="","",IF(S327="Lớp 5",IF(S326&lt;&gt;"Lớp 5",MATCH("*",'Lớp 5 - Phân công'!$I$14:$I$262,0),T326+MATCH("*",INDEX('Lớp 5 - Phân công'!$I$14:$I$262,T326+1):'Lớp 5 - Phân công'!$I$262,0)),IF(S327="Lớp 4",IF(S326&lt;&gt;"Lớp 4",MATCH(1,INDEX(('Lớp 4 - Danh mục'!$I$14:$I$132&lt;&gt;"")*(COUNTIF('Lớp 5 - Phân công'!$J$14:$J$262,'Lớp 4 - Danh mục'!$I$14:$I$132)=0),0),0),T326+MATCH(1,INDEX((INDEX('Lớp 4 - Danh mục'!$I$14:$I$132,T326+1):'Lớp 4 - Danh mục'!$I$132&lt;&gt;"")*(COUNTIF('Lớp 5 - Phân công'!$J$14:$J$262,INDEX('Lớp 4 - Danh mục'!$I$14:$I$132,T326+1):'Lớp 4 - Danh mục'!$I$132)=0),0),0)),IF(S326&lt;&gt;"Lớp 3",MATCH(1,INDEX(('Lớp 3 - Công việc chính'!$I$14:$I$73&lt;&gt;"")*(COUNTIF('Lớp 4 - Danh mục'!$J$14:$J$132,'Lớp 3 - Công việc chính'!$I$14:$I$73)=0),0),0),T326+MATCH(1,INDEX((INDEX('Lớp 3 - Công việc chính'!$I$14:$I$73,T326+1):'Lớp 3 - Công việc chính'!$I$73&lt;&gt;"")*(COUNTIF('Lớp 4 - Danh mục'!$J$14:$J$132,INDEX('Lớp 3 - Công việc chính'!$I$14:$I$73,T326+1):'Lớp 3 - Công việc chính'!$I$73)=0),0),0)))))</f>
        <v>#REF!</v>
      </c>
      <c r="Z327" s="700" t="str">
        <f t="array" ref="Z327">IF($S327="","",IF($S327="Lớp 5",INDEX('Lớp 5 - Phân công'!$AS$14:$AS$262,$T327),IF($S327="Lớp 4",INDEX('Lớp 4 - Danh mục'!$AR$14:$AR$132,$T327),INDEX('Lớp 3 - Công việc chính'!$AO$14:$AO$73,$T327))))</f>
        <v>#REF!</v>
      </c>
      <c r="AA327" s="701" t="str">
        <f t="array" ref="AA327">IF($S327="","",IF($S327="Lớp 5",INDEX('Lớp 5 - Phân công'!$AT$14:$AT$262,$T327),IF($S327="Lớp 4",INDEX('Lớp 4 - Danh mục'!$AS$14:$AS$132,$T327),INDEX('Lớp 3 - Công việc chính'!$AP$14:$AP$73,$T327))))</f>
        <v>#REF!</v>
      </c>
      <c r="AB327" s="701" t="str">
        <f t="array" ref="AB327">IF($S327="","",IF($S327="Lớp 5",INDEX('Lớp 5 - Phân công'!$AJ$14:$AJ$262,$T327),IF($S327="Lớp 4",INDEX('Lớp 4 - Danh mục'!$AI$14:$AI$132,$T327),INDEX('Lớp 3 - Công việc chính'!$AF$14:$AF$73,$T327))))</f>
        <v>#REF!</v>
      </c>
      <c r="AC327" s="702" t="str">
        <f t="array" ref="AC327">IF($S327="","",IF($S327="Lớp 5",INDEX('Lớp 5 - Phân công'!$AV$14:$AV$262,$T327),IF($S327="Lớp 4",INDEX('Lớp 4 - Danh mục'!$AU$14:$AU$132,$T327),INDEX('Lớp 3 - Công việc chính'!$AR$14:$AR$73,$T327))))</f>
        <v>#REF!</v>
      </c>
    </row>
    <row r="328" ht="15.75" customHeight="1">
      <c r="A328" s="690" t="str">
        <f t="shared" si="1"/>
        <v>#REF!</v>
      </c>
      <c r="B328" s="690" t="str">
        <f t="array" ref="B328">IF($S328="","",IF($S328="Lớp 5",INDEX('Lớp 5 - Phân công'!$I$14:$I$262,$T328),IF($S328="Lớp 4",INDEX('Lớp 4 - Danh mục'!$I$14:$I$132,$T328),INDEX('Lớp 3 - Công việc chính'!$I$14:$I$73,$T328))))</f>
        <v>#REF!</v>
      </c>
      <c r="C328" s="690" t="str">
        <f t="array" ref="C328">IF($S328="","",IF($S328="Lớp 5",INDEX('Lớp 5 - Phân công'!$K$14:$K$262,$T328),IF($S328="Lớp 4",INDEX('Lớp 4 - Danh mục'!$J$14:$J$132,$T328),INDEX('Lớp 3 - Công việc chính'!$I$14:$I$73,$T328))))</f>
        <v>#REF!</v>
      </c>
      <c r="D328" s="690" t="str">
        <f t="array" ref="D328">IF($S328="","",IF($S328="Lớp 5",INDEX('Lớp 5 - Phân công'!$J$14:$J$262,$T328),IF($S328="Lớp 4",INDEX('Lớp 4 - Danh mục'!$I$14:$I$132,$T328),"")))</f>
        <v>#REF!</v>
      </c>
      <c r="E328" s="690" t="str">
        <f t="array" ref="E328">IF($S328="","",IF($S328="Lớp 5",INDEX('Lớp 5 - Phân công'!$L$14:$L$262,$T328),IF($S328="Lớp 4",INDEX('Lớp 4 - Danh mục'!$K$14:$K$132,$T328),INDEX('Lớp 3 - Công việc chính'!$J$14:$J$73,$T328))))</f>
        <v>#REF!</v>
      </c>
      <c r="F328" s="690" t="str">
        <f t="array" ref="F328">IF($S328="","",IF($S328="Lớp 5",INDEX('Lớp 5 - Phân công'!$M$14:$M$262,$T328),IF($S328="Lớp 4",INDEX('Lớp 4 - Danh mục'!$L$14:$L$132,$T328),INDEX('Lớp 3 - Công việc chính'!$K$14:$K$73,$T328))))</f>
        <v>#REF!</v>
      </c>
      <c r="G328" s="691" t="str">
        <f t="array" ref="G328">IF($S328="","",IF($S328="Lớp 5",INDEX('Lớp 5 - Phân công'!$N$14:$N$262,$T328),IF($S328="Lớp 4",INDEX('Lớp 4 - Danh mục'!$M$14:$M$132,$T328),INDEX('Lớp 3 - Công việc chính'!$L$14:$L$73,$T328))))</f>
        <v>#REF!</v>
      </c>
      <c r="H328" s="692" t="str">
        <f t="array" ref="H328">IF($S328="","",IF($S328="Lớp 5",INDEX('Lớp 5 - Phân công'!$O$14:$O$262,$T328),IF($S328="Lớp 4",INDEX('Lớp 4 - Danh mục'!$N$14:$N$132,$T328),INDEX('Lớp 3 - Công việc chính'!$M$14:$M$73,$T328))))</f>
        <v>#REF!</v>
      </c>
      <c r="I328" s="692" t="str">
        <f t="array" ref="I328">IF($S328="","",IF($S328="Lớp 5",INDEX('Lớp 5 - Phân công'!$P$14:$P$262,$T328),IF($S328="Lớp 4",INDEX('Lớp 4 - Danh mục'!$O$14:$O$132,$T328),"")))</f>
        <v>#REF!</v>
      </c>
      <c r="J328" s="693" t="str">
        <f t="array" ref="J328">IF($S328="","",IF($S328="Lớp 5",INDEX('Lớp 5 - Phân công'!$Q$14:$Q$262,$T328),""))</f>
        <v>#REF!</v>
      </c>
      <c r="K328" s="690" t="str">
        <f t="array" ref="K328">IF($S328="","",IF($S328="Lớp 5",INDEX('Lớp 5 - Phân công'!$AA$14:$AA$262,$T328),IF($S328="Lớp 4",INDEX('Lớp 4 - Danh mục'!$Y$14:$Y$132,$T328),INDEX('Lớp 3 - Công việc chính'!$U$14:$U$73,$T328))))</f>
        <v>#REF!</v>
      </c>
      <c r="L328" s="691" t="str">
        <f t="array" ref="L328">IF($S328="","",IF($S328="Lớp 5",INDEX('Lớp 5 - Phân công'!$Z$14:$Z$262,$T328),IF($S328="Lớp 4",INDEX('Lớp 4 - Danh mục'!$X$14:$X$132,$T328),INDEX('Lớp 3 - Công việc chính'!$W$14:$W$73,$T328))))</f>
        <v>#REF!</v>
      </c>
      <c r="M328" s="694" t="str">
        <f t="array" ref="M328">IF($S328="","",IF($S328="Lớp 5",INDEX('Lớp 5 - Phân công'!$AD$14:$AD$262,$T328),IF($S328="Lớp 4",INDEX('Lớp 4 - Danh mục'!$AC$14:$AC$132,$T328),INDEX('Lớp 3 - Công việc chính'!$Z$14:$Z$73,$T328))))</f>
        <v>#REF!</v>
      </c>
      <c r="N328" s="695" t="str">
        <f t="array" ref="N328">IF($S328="","",IF($S328="Lớp 5",INDEX('Lớp 5 - Phân công'!$AE$14:$AE$262,$T328),IF($S328="Lớp 4",INDEX('Lớp 4 - Danh mục'!$AD$14:$AD$132,$T328),INDEX('Lớp 3 - Công việc chính'!$AA$14:$AA$73,$T328))))</f>
        <v>#REF!</v>
      </c>
      <c r="O328" s="690" t="str">
        <f t="array" ref="O328">IF($S328="","",IF($S328="Lớp 5",INDEX('Lớp 5 - Phân công'!$AB$14:$AB$262,$T328),IF($S328="Lớp 4",INDEX('Lớp 4 - Danh mục'!$AA$14:$AA$132,$T328),INDEX('Lớp 3 - Công việc chính'!$X$14:$X$73,$T328))))</f>
        <v>#REF!</v>
      </c>
      <c r="P328" s="703" t="str">
        <f t="array" ref="P328">IF($S328="","",IF($S328="Lớp 5",INDEX('Lớp 5 - Phân công'!$AC$14:$AC$262,$T328),IF($S328="Lớp 4",INDEX('Lớp 4 - Danh mục'!$AB$14:$AB$132,$T328),INDEX('Lớp 3 - Công việc chính'!$Y$14:$Y$73,$T328))))</f>
        <v>#REF!</v>
      </c>
      <c r="Q328" s="697" t="str">
        <f t="array" ref="Q328">IF($S328="","",IF($S328="Lớp 5",INDEX('Lớp 5 - Phân công'!$AG$14:$AG$262,$T328),IF($S328="Lớp 4",INDEX('Lớp 4 - Danh mục'!$AF$14:$AF$132,$T328),INDEX('Lớp 3 - Công việc chính'!$AC$14:$AC$73,$T328))))</f>
        <v>#REF!</v>
      </c>
      <c r="R328" s="698" t="str">
        <f t="array" ref="R328">IF($S328="","",IF($S328="Lớp 5",INDEX('Lớp 5 - Phân công'!$X$14:$X$262,$T328),IF($S328="Lớp 4",INDEX('Lớp 4 - Danh mục'!$V$14:$V$132,$T328),INDEX('Lớp 3 - Công việc chính'!$T$14:$T$73,$T328))))</f>
        <v>#REF!</v>
      </c>
      <c r="S328" s="699" t="str">
        <f>IF(ROWS($S$14:S328)&lt;=COUNTIF('Lớp 5 - Phân công'!$I$14:$I$262,"&lt;&gt;"),"Lớp 5",IF(ROWS($S$14:S328)&lt;=COUNTIF('Lớp 5 - Phân công'!$I$14:$I$262,"&lt;&gt;")+SUMPRODUCT(--('Lớp 4 - Danh mục'!$I$14:$I$132&lt;&gt;""),--(COUNTIF('Lớp 5 - Phân công'!$J$14:$J$262,'Lớp 4 - Danh mục'!$I$14:$I$132)=0)),"Lớp 4",IF(ROWS($S$14:S328)&lt;=COUNTIF('Lớp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8" s="699" t="str">
        <f t="array" ref="T328">IF(S328="","",IF(S328="Lớp 5",IF(S327&lt;&gt;"Lớp 5",MATCH("*",'Lớp 5 - Phân công'!$I$14:$I$262,0),T327+MATCH("*",INDEX('Lớp 5 - Phân công'!$I$14:$I$262,T327+1):'Lớp 5 - Phân công'!$I$262,0)),IF(S328="Lớp 4",IF(S327&lt;&gt;"Lớp 4",MATCH(1,INDEX(('Lớp 4 - Danh mục'!$I$14:$I$132&lt;&gt;"")*(COUNTIF('Lớp 5 - Phân công'!$J$14:$J$262,'Lớp 4 - Danh mục'!$I$14:$I$132)=0),0),0),T327+MATCH(1,INDEX((INDEX('Lớp 4 - Danh mục'!$I$14:$I$132,T327+1):'Lớp 4 - Danh mục'!$I$132&lt;&gt;"")*(COUNTIF('Lớp 5 - Phân công'!$J$14:$J$262,INDEX('Lớp 4 - Danh mục'!$I$14:$I$132,T327+1):'Lớp 4 - Danh mục'!$I$132)=0),0),0)),IF(S327&lt;&gt;"Lớp 3",MATCH(1,INDEX(('Lớp 3 - Công việc chính'!$I$14:$I$73&lt;&gt;"")*(COUNTIF('Lớp 4 - Danh mục'!$J$14:$J$132,'Lớp 3 - Công việc chính'!$I$14:$I$73)=0),0),0),T327+MATCH(1,INDEX((INDEX('Lớp 3 - Công việc chính'!$I$14:$I$73,T327+1):'Lớp 3 - Công việc chính'!$I$73&lt;&gt;"")*(COUNTIF('Lớp 4 - Danh mục'!$J$14:$J$132,INDEX('Lớp 3 - Công việc chính'!$I$14:$I$73,T327+1):'Lớp 3 - Công việc chính'!$I$73)=0),0),0)))))</f>
        <v>#REF!</v>
      </c>
      <c r="Z328" s="700" t="str">
        <f t="array" ref="Z328">IF($S328="","",IF($S328="Lớp 5",INDEX('Lớp 5 - Phân công'!$AS$14:$AS$262,$T328),IF($S328="Lớp 4",INDEX('Lớp 4 - Danh mục'!$AR$14:$AR$132,$T328),INDEX('Lớp 3 - Công việc chính'!$AO$14:$AO$73,$T328))))</f>
        <v>#REF!</v>
      </c>
      <c r="AA328" s="701" t="str">
        <f t="array" ref="AA328">IF($S328="","",IF($S328="Lớp 5",INDEX('Lớp 5 - Phân công'!$AT$14:$AT$262,$T328),IF($S328="Lớp 4",INDEX('Lớp 4 - Danh mục'!$AS$14:$AS$132,$T328),INDEX('Lớp 3 - Công việc chính'!$AP$14:$AP$73,$T328))))</f>
        <v>#REF!</v>
      </c>
      <c r="AB328" s="701" t="str">
        <f t="array" ref="AB328">IF($S328="","",IF($S328="Lớp 5",INDEX('Lớp 5 - Phân công'!$AJ$14:$AJ$262,$T328),IF($S328="Lớp 4",INDEX('Lớp 4 - Danh mục'!$AI$14:$AI$132,$T328),INDEX('Lớp 3 - Công việc chính'!$AF$14:$AF$73,$T328))))</f>
        <v>#REF!</v>
      </c>
      <c r="AC328" s="702" t="str">
        <f t="array" ref="AC328">IF($S328="","",IF($S328="Lớp 5",INDEX('Lớp 5 - Phân công'!$AV$14:$AV$262,$T328),IF($S328="Lớp 4",INDEX('Lớp 4 - Danh mục'!$AU$14:$AU$132,$T328),INDEX('Lớp 3 - Công việc chính'!$AR$14:$AR$73,$T328))))</f>
        <v>#REF!</v>
      </c>
    </row>
    <row r="329" ht="15.75" customHeight="1">
      <c r="A329" s="690" t="str">
        <f t="shared" si="1"/>
        <v>#REF!</v>
      </c>
      <c r="B329" s="690" t="str">
        <f t="array" ref="B329">IF($S329="","",IF($S329="Lớp 5",INDEX('Lớp 5 - Phân công'!$I$14:$I$262,$T329),IF($S329="Lớp 4",INDEX('Lớp 4 - Danh mục'!$I$14:$I$132,$T329),INDEX('Lớp 3 - Công việc chính'!$I$14:$I$73,$T329))))</f>
        <v>#REF!</v>
      </c>
      <c r="C329" s="690" t="str">
        <f t="array" ref="C329">IF($S329="","",IF($S329="Lớp 5",INDEX('Lớp 5 - Phân công'!$K$14:$K$262,$T329),IF($S329="Lớp 4",INDEX('Lớp 4 - Danh mục'!$J$14:$J$132,$T329),INDEX('Lớp 3 - Công việc chính'!$I$14:$I$73,$T329))))</f>
        <v>#REF!</v>
      </c>
      <c r="D329" s="690" t="str">
        <f t="array" ref="D329">IF($S329="","",IF($S329="Lớp 5",INDEX('Lớp 5 - Phân công'!$J$14:$J$262,$T329),IF($S329="Lớp 4",INDEX('Lớp 4 - Danh mục'!$I$14:$I$132,$T329),"")))</f>
        <v>#REF!</v>
      </c>
      <c r="E329" s="690" t="str">
        <f t="array" ref="E329">IF($S329="","",IF($S329="Lớp 5",INDEX('Lớp 5 - Phân công'!$L$14:$L$262,$T329),IF($S329="Lớp 4",INDEX('Lớp 4 - Danh mục'!$K$14:$K$132,$T329),INDEX('Lớp 3 - Công việc chính'!$J$14:$J$73,$T329))))</f>
        <v>#REF!</v>
      </c>
      <c r="F329" s="690" t="str">
        <f t="array" ref="F329">IF($S329="","",IF($S329="Lớp 5",INDEX('Lớp 5 - Phân công'!$M$14:$M$262,$T329),IF($S329="Lớp 4",INDEX('Lớp 4 - Danh mục'!$L$14:$L$132,$T329),INDEX('Lớp 3 - Công việc chính'!$K$14:$K$73,$T329))))</f>
        <v>#REF!</v>
      </c>
      <c r="G329" s="691" t="str">
        <f t="array" ref="G329">IF($S329="","",IF($S329="Lớp 5",INDEX('Lớp 5 - Phân công'!$N$14:$N$262,$T329),IF($S329="Lớp 4",INDEX('Lớp 4 - Danh mục'!$M$14:$M$132,$T329),INDEX('Lớp 3 - Công việc chính'!$L$14:$L$73,$T329))))</f>
        <v>#REF!</v>
      </c>
      <c r="H329" s="692" t="str">
        <f t="array" ref="H329">IF($S329="","",IF($S329="Lớp 5",INDEX('Lớp 5 - Phân công'!$O$14:$O$262,$T329),IF($S329="Lớp 4",INDEX('Lớp 4 - Danh mục'!$N$14:$N$132,$T329),INDEX('Lớp 3 - Công việc chính'!$M$14:$M$73,$T329))))</f>
        <v>#REF!</v>
      </c>
      <c r="I329" s="692" t="str">
        <f t="array" ref="I329">IF($S329="","",IF($S329="Lớp 5",INDEX('Lớp 5 - Phân công'!$P$14:$P$262,$T329),IF($S329="Lớp 4",INDEX('Lớp 4 - Danh mục'!$O$14:$O$132,$T329),"")))</f>
        <v>#REF!</v>
      </c>
      <c r="J329" s="693" t="str">
        <f t="array" ref="J329">IF($S329="","",IF($S329="Lớp 5",INDEX('Lớp 5 - Phân công'!$Q$14:$Q$262,$T329),""))</f>
        <v>#REF!</v>
      </c>
      <c r="K329" s="690" t="str">
        <f t="array" ref="K329">IF($S329="","",IF($S329="Lớp 5",INDEX('Lớp 5 - Phân công'!$AA$14:$AA$262,$T329),IF($S329="Lớp 4",INDEX('Lớp 4 - Danh mục'!$Y$14:$Y$132,$T329),INDEX('Lớp 3 - Công việc chính'!$U$14:$U$73,$T329))))</f>
        <v>#REF!</v>
      </c>
      <c r="L329" s="691" t="str">
        <f t="array" ref="L329">IF($S329="","",IF($S329="Lớp 5",INDEX('Lớp 5 - Phân công'!$Z$14:$Z$262,$T329),IF($S329="Lớp 4",INDEX('Lớp 4 - Danh mục'!$X$14:$X$132,$T329),INDEX('Lớp 3 - Công việc chính'!$W$14:$W$73,$T329))))</f>
        <v>#REF!</v>
      </c>
      <c r="M329" s="694" t="str">
        <f t="array" ref="M329">IF($S329="","",IF($S329="Lớp 5",INDEX('Lớp 5 - Phân công'!$AD$14:$AD$262,$T329),IF($S329="Lớp 4",INDEX('Lớp 4 - Danh mục'!$AC$14:$AC$132,$T329),INDEX('Lớp 3 - Công việc chính'!$Z$14:$Z$73,$T329))))</f>
        <v>#REF!</v>
      </c>
      <c r="N329" s="695" t="str">
        <f t="array" ref="N329">IF($S329="","",IF($S329="Lớp 5",INDEX('Lớp 5 - Phân công'!$AE$14:$AE$262,$T329),IF($S329="Lớp 4",INDEX('Lớp 4 - Danh mục'!$AD$14:$AD$132,$T329),INDEX('Lớp 3 - Công việc chính'!$AA$14:$AA$73,$T329))))</f>
        <v>#REF!</v>
      </c>
      <c r="O329" s="690" t="str">
        <f t="array" ref="O329">IF($S329="","",IF($S329="Lớp 5",INDEX('Lớp 5 - Phân công'!$AB$14:$AB$262,$T329),IF($S329="Lớp 4",INDEX('Lớp 4 - Danh mục'!$AA$14:$AA$132,$T329),INDEX('Lớp 3 - Công việc chính'!$X$14:$X$73,$T329))))</f>
        <v>#REF!</v>
      </c>
      <c r="P329" s="703" t="str">
        <f t="array" ref="P329">IF($S329="","",IF($S329="Lớp 5",INDEX('Lớp 5 - Phân công'!$AC$14:$AC$262,$T329),IF($S329="Lớp 4",INDEX('Lớp 4 - Danh mục'!$AB$14:$AB$132,$T329),INDEX('Lớp 3 - Công việc chính'!$Y$14:$Y$73,$T329))))</f>
        <v>#REF!</v>
      </c>
      <c r="Q329" s="697" t="str">
        <f t="array" ref="Q329">IF($S329="","",IF($S329="Lớp 5",INDEX('Lớp 5 - Phân công'!$AG$14:$AG$262,$T329),IF($S329="Lớp 4",INDEX('Lớp 4 - Danh mục'!$AF$14:$AF$132,$T329),INDEX('Lớp 3 - Công việc chính'!$AC$14:$AC$73,$T329))))</f>
        <v>#REF!</v>
      </c>
      <c r="R329" s="698" t="str">
        <f t="array" ref="R329">IF($S329="","",IF($S329="Lớp 5",INDEX('Lớp 5 - Phân công'!$X$14:$X$262,$T329),IF($S329="Lớp 4",INDEX('Lớp 4 - Danh mục'!$V$14:$V$132,$T329),INDEX('Lớp 3 - Công việc chính'!$T$14:$T$73,$T329))))</f>
        <v>#REF!</v>
      </c>
      <c r="S329" s="699" t="str">
        <f>IF(ROWS($S$14:S329)&lt;=COUNTIF('Lớp 5 - Phân công'!$I$14:$I$262,"&lt;&gt;"),"Lớp 5",IF(ROWS($S$14:S329)&lt;=COUNTIF('Lớp 5 - Phân công'!$I$14:$I$262,"&lt;&gt;")+SUMPRODUCT(--('Lớp 4 - Danh mục'!$I$14:$I$132&lt;&gt;""),--(COUNTIF('Lớp 5 - Phân công'!$J$14:$J$262,'Lớp 4 - Danh mục'!$I$14:$I$132)=0)),"Lớp 4",IF(ROWS($S$14:S329)&lt;=COUNTIF('Lớp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29" s="699" t="str">
        <f t="array" ref="T329">IF(S329="","",IF(S329="Lớp 5",IF(S328&lt;&gt;"Lớp 5",MATCH("*",'Lớp 5 - Phân công'!$I$14:$I$262,0),T328+MATCH("*",INDEX('Lớp 5 - Phân công'!$I$14:$I$262,T328+1):'Lớp 5 - Phân công'!$I$262,0)),IF(S329="Lớp 4",IF(S328&lt;&gt;"Lớp 4",MATCH(1,INDEX(('Lớp 4 - Danh mục'!$I$14:$I$132&lt;&gt;"")*(COUNTIF('Lớp 5 - Phân công'!$J$14:$J$262,'Lớp 4 - Danh mục'!$I$14:$I$132)=0),0),0),T328+MATCH(1,INDEX((INDEX('Lớp 4 - Danh mục'!$I$14:$I$132,T328+1):'Lớp 4 - Danh mục'!$I$132&lt;&gt;"")*(COUNTIF('Lớp 5 - Phân công'!$J$14:$J$262,INDEX('Lớp 4 - Danh mục'!$I$14:$I$132,T328+1):'Lớp 4 - Danh mục'!$I$132)=0),0),0)),IF(S328&lt;&gt;"Lớp 3",MATCH(1,INDEX(('Lớp 3 - Công việc chính'!$I$14:$I$73&lt;&gt;"")*(COUNTIF('Lớp 4 - Danh mục'!$J$14:$J$132,'Lớp 3 - Công việc chính'!$I$14:$I$73)=0),0),0),T328+MATCH(1,INDEX((INDEX('Lớp 3 - Công việc chính'!$I$14:$I$73,T328+1):'Lớp 3 - Công việc chính'!$I$73&lt;&gt;"")*(COUNTIF('Lớp 4 - Danh mục'!$J$14:$J$132,INDEX('Lớp 3 - Công việc chính'!$I$14:$I$73,T328+1):'Lớp 3 - Công việc chính'!$I$73)=0),0),0)))))</f>
        <v>#REF!</v>
      </c>
      <c r="Z329" s="700" t="str">
        <f t="array" ref="Z329">IF($S329="","",IF($S329="Lớp 5",INDEX('Lớp 5 - Phân công'!$AS$14:$AS$262,$T329),IF($S329="Lớp 4",INDEX('Lớp 4 - Danh mục'!$AR$14:$AR$132,$T329),INDEX('Lớp 3 - Công việc chính'!$AO$14:$AO$73,$T329))))</f>
        <v>#REF!</v>
      </c>
      <c r="AA329" s="701" t="str">
        <f t="array" ref="AA329">IF($S329="","",IF($S329="Lớp 5",INDEX('Lớp 5 - Phân công'!$AT$14:$AT$262,$T329),IF($S329="Lớp 4",INDEX('Lớp 4 - Danh mục'!$AS$14:$AS$132,$T329),INDEX('Lớp 3 - Công việc chính'!$AP$14:$AP$73,$T329))))</f>
        <v>#REF!</v>
      </c>
      <c r="AB329" s="701" t="str">
        <f t="array" ref="AB329">IF($S329="","",IF($S329="Lớp 5",INDEX('Lớp 5 - Phân công'!$AJ$14:$AJ$262,$T329),IF($S329="Lớp 4",INDEX('Lớp 4 - Danh mục'!$AI$14:$AI$132,$T329),INDEX('Lớp 3 - Công việc chính'!$AF$14:$AF$73,$T329))))</f>
        <v>#REF!</v>
      </c>
      <c r="AC329" s="702" t="str">
        <f t="array" ref="AC329">IF($S329="","",IF($S329="Lớp 5",INDEX('Lớp 5 - Phân công'!$AV$14:$AV$262,$T329),IF($S329="Lớp 4",INDEX('Lớp 4 - Danh mục'!$AU$14:$AU$132,$T329),INDEX('Lớp 3 - Công việc chính'!$AR$14:$AR$73,$T329))))</f>
        <v>#REF!</v>
      </c>
    </row>
    <row r="330" ht="15.75" customHeight="1">
      <c r="A330" s="690" t="str">
        <f t="shared" si="1"/>
        <v>#REF!</v>
      </c>
      <c r="B330" s="690" t="str">
        <f t="array" ref="B330">IF($S330="","",IF($S330="Lớp 5",INDEX('Lớp 5 - Phân công'!$I$14:$I$262,$T330),IF($S330="Lớp 4",INDEX('Lớp 4 - Danh mục'!$I$14:$I$132,$T330),INDEX('Lớp 3 - Công việc chính'!$I$14:$I$73,$T330))))</f>
        <v>#REF!</v>
      </c>
      <c r="C330" s="690" t="str">
        <f t="array" ref="C330">IF($S330="","",IF($S330="Lớp 5",INDEX('Lớp 5 - Phân công'!$K$14:$K$262,$T330),IF($S330="Lớp 4",INDEX('Lớp 4 - Danh mục'!$J$14:$J$132,$T330),INDEX('Lớp 3 - Công việc chính'!$I$14:$I$73,$T330))))</f>
        <v>#REF!</v>
      </c>
      <c r="D330" s="690" t="str">
        <f t="array" ref="D330">IF($S330="","",IF($S330="Lớp 5",INDEX('Lớp 5 - Phân công'!$J$14:$J$262,$T330),IF($S330="Lớp 4",INDEX('Lớp 4 - Danh mục'!$I$14:$I$132,$T330),"")))</f>
        <v>#REF!</v>
      </c>
      <c r="E330" s="690" t="str">
        <f t="array" ref="E330">IF($S330="","",IF($S330="Lớp 5",INDEX('Lớp 5 - Phân công'!$L$14:$L$262,$T330),IF($S330="Lớp 4",INDEX('Lớp 4 - Danh mục'!$K$14:$K$132,$T330),INDEX('Lớp 3 - Công việc chính'!$J$14:$J$73,$T330))))</f>
        <v>#REF!</v>
      </c>
      <c r="F330" s="690" t="str">
        <f t="array" ref="F330">IF($S330="","",IF($S330="Lớp 5",INDEX('Lớp 5 - Phân công'!$M$14:$M$262,$T330),IF($S330="Lớp 4",INDEX('Lớp 4 - Danh mục'!$L$14:$L$132,$T330),INDEX('Lớp 3 - Công việc chính'!$K$14:$K$73,$T330))))</f>
        <v>#REF!</v>
      </c>
      <c r="G330" s="691" t="str">
        <f t="array" ref="G330">IF($S330="","",IF($S330="Lớp 5",INDEX('Lớp 5 - Phân công'!$N$14:$N$262,$T330),IF($S330="Lớp 4",INDEX('Lớp 4 - Danh mục'!$M$14:$M$132,$T330),INDEX('Lớp 3 - Công việc chính'!$L$14:$L$73,$T330))))</f>
        <v>#REF!</v>
      </c>
      <c r="H330" s="692" t="str">
        <f t="array" ref="H330">IF($S330="","",IF($S330="Lớp 5",INDEX('Lớp 5 - Phân công'!$O$14:$O$262,$T330),IF($S330="Lớp 4",INDEX('Lớp 4 - Danh mục'!$N$14:$N$132,$T330),INDEX('Lớp 3 - Công việc chính'!$M$14:$M$73,$T330))))</f>
        <v>#REF!</v>
      </c>
      <c r="I330" s="692" t="str">
        <f t="array" ref="I330">IF($S330="","",IF($S330="Lớp 5",INDEX('Lớp 5 - Phân công'!$P$14:$P$262,$T330),IF($S330="Lớp 4",INDEX('Lớp 4 - Danh mục'!$O$14:$O$132,$T330),"")))</f>
        <v>#REF!</v>
      </c>
      <c r="J330" s="693" t="str">
        <f t="array" ref="J330">IF($S330="","",IF($S330="Lớp 5",INDEX('Lớp 5 - Phân công'!$Q$14:$Q$262,$T330),""))</f>
        <v>#REF!</v>
      </c>
      <c r="K330" s="690" t="str">
        <f t="array" ref="K330">IF($S330="","",IF($S330="Lớp 5",INDEX('Lớp 5 - Phân công'!$AA$14:$AA$262,$T330),IF($S330="Lớp 4",INDEX('Lớp 4 - Danh mục'!$Y$14:$Y$132,$T330),INDEX('Lớp 3 - Công việc chính'!$U$14:$U$73,$T330))))</f>
        <v>#REF!</v>
      </c>
      <c r="L330" s="691" t="str">
        <f t="array" ref="L330">IF($S330="","",IF($S330="Lớp 5",INDEX('Lớp 5 - Phân công'!$Z$14:$Z$262,$T330),IF($S330="Lớp 4",INDEX('Lớp 4 - Danh mục'!$X$14:$X$132,$T330),INDEX('Lớp 3 - Công việc chính'!$W$14:$W$73,$T330))))</f>
        <v>#REF!</v>
      </c>
      <c r="M330" s="694" t="str">
        <f t="array" ref="M330">IF($S330="","",IF($S330="Lớp 5",INDEX('Lớp 5 - Phân công'!$AD$14:$AD$262,$T330),IF($S330="Lớp 4",INDEX('Lớp 4 - Danh mục'!$AC$14:$AC$132,$T330),INDEX('Lớp 3 - Công việc chính'!$Z$14:$Z$73,$T330))))</f>
        <v>#REF!</v>
      </c>
      <c r="N330" s="695" t="str">
        <f t="array" ref="N330">IF($S330="","",IF($S330="Lớp 5",INDEX('Lớp 5 - Phân công'!$AE$14:$AE$262,$T330),IF($S330="Lớp 4",INDEX('Lớp 4 - Danh mục'!$AD$14:$AD$132,$T330),INDEX('Lớp 3 - Công việc chính'!$AA$14:$AA$73,$T330))))</f>
        <v>#REF!</v>
      </c>
      <c r="O330" s="690" t="str">
        <f t="array" ref="O330">IF($S330="","",IF($S330="Lớp 5",INDEX('Lớp 5 - Phân công'!$AB$14:$AB$262,$T330),IF($S330="Lớp 4",INDEX('Lớp 4 - Danh mục'!$AA$14:$AA$132,$T330),INDEX('Lớp 3 - Công việc chính'!$X$14:$X$73,$T330))))</f>
        <v>#REF!</v>
      </c>
      <c r="P330" s="703" t="str">
        <f t="array" ref="P330">IF($S330="","",IF($S330="Lớp 5",INDEX('Lớp 5 - Phân công'!$AC$14:$AC$262,$T330),IF($S330="Lớp 4",INDEX('Lớp 4 - Danh mục'!$AB$14:$AB$132,$T330),INDEX('Lớp 3 - Công việc chính'!$Y$14:$Y$73,$T330))))</f>
        <v>#REF!</v>
      </c>
      <c r="Q330" s="697" t="str">
        <f t="array" ref="Q330">IF($S330="","",IF($S330="Lớp 5",INDEX('Lớp 5 - Phân công'!$AG$14:$AG$262,$T330),IF($S330="Lớp 4",INDEX('Lớp 4 - Danh mục'!$AF$14:$AF$132,$T330),INDEX('Lớp 3 - Công việc chính'!$AC$14:$AC$73,$T330))))</f>
        <v>#REF!</v>
      </c>
      <c r="R330" s="698" t="str">
        <f t="array" ref="R330">IF($S330="","",IF($S330="Lớp 5",INDEX('Lớp 5 - Phân công'!$X$14:$X$262,$T330),IF($S330="Lớp 4",INDEX('Lớp 4 - Danh mục'!$V$14:$V$132,$T330),INDEX('Lớp 3 - Công việc chính'!$T$14:$T$73,$T330))))</f>
        <v>#REF!</v>
      </c>
      <c r="S330" s="699" t="str">
        <f>IF(ROWS($S$14:S330)&lt;=COUNTIF('Lớp 5 - Phân công'!$I$14:$I$262,"&lt;&gt;"),"Lớp 5",IF(ROWS($S$14:S330)&lt;=COUNTIF('Lớp 5 - Phân công'!$I$14:$I$262,"&lt;&gt;")+SUMPRODUCT(--('Lớp 4 - Danh mục'!$I$14:$I$132&lt;&gt;""),--(COUNTIF('Lớp 5 - Phân công'!$J$14:$J$262,'Lớp 4 - Danh mục'!$I$14:$I$132)=0)),"Lớp 4",IF(ROWS($S$14:S330)&lt;=COUNTIF('Lớp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0" s="699" t="str">
        <f t="array" ref="T330">IF(S330="","",IF(S330="Lớp 5",IF(S329&lt;&gt;"Lớp 5",MATCH("*",'Lớp 5 - Phân công'!$I$14:$I$262,0),T329+MATCH("*",INDEX('Lớp 5 - Phân công'!$I$14:$I$262,T329+1):'Lớp 5 - Phân công'!$I$262,0)),IF(S330="Lớp 4",IF(S329&lt;&gt;"Lớp 4",MATCH(1,INDEX(('Lớp 4 - Danh mục'!$I$14:$I$132&lt;&gt;"")*(COUNTIF('Lớp 5 - Phân công'!$J$14:$J$262,'Lớp 4 - Danh mục'!$I$14:$I$132)=0),0),0),T329+MATCH(1,INDEX((INDEX('Lớp 4 - Danh mục'!$I$14:$I$132,T329+1):'Lớp 4 - Danh mục'!$I$132&lt;&gt;"")*(COUNTIF('Lớp 5 - Phân công'!$J$14:$J$262,INDEX('Lớp 4 - Danh mục'!$I$14:$I$132,T329+1):'Lớp 4 - Danh mục'!$I$132)=0),0),0)),IF(S329&lt;&gt;"Lớp 3",MATCH(1,INDEX(('Lớp 3 - Công việc chính'!$I$14:$I$73&lt;&gt;"")*(COUNTIF('Lớp 4 - Danh mục'!$J$14:$J$132,'Lớp 3 - Công việc chính'!$I$14:$I$73)=0),0),0),T329+MATCH(1,INDEX((INDEX('Lớp 3 - Công việc chính'!$I$14:$I$73,T329+1):'Lớp 3 - Công việc chính'!$I$73&lt;&gt;"")*(COUNTIF('Lớp 4 - Danh mục'!$J$14:$J$132,INDEX('Lớp 3 - Công việc chính'!$I$14:$I$73,T329+1):'Lớp 3 - Công việc chính'!$I$73)=0),0),0)))))</f>
        <v>#REF!</v>
      </c>
      <c r="Z330" s="700" t="str">
        <f t="array" ref="Z330">IF($S330="","",IF($S330="Lớp 5",INDEX('Lớp 5 - Phân công'!$AS$14:$AS$262,$T330),IF($S330="Lớp 4",INDEX('Lớp 4 - Danh mục'!$AR$14:$AR$132,$T330),INDEX('Lớp 3 - Công việc chính'!$AO$14:$AO$73,$T330))))</f>
        <v>#REF!</v>
      </c>
      <c r="AA330" s="701" t="str">
        <f t="array" ref="AA330">IF($S330="","",IF($S330="Lớp 5",INDEX('Lớp 5 - Phân công'!$AT$14:$AT$262,$T330),IF($S330="Lớp 4",INDEX('Lớp 4 - Danh mục'!$AS$14:$AS$132,$T330),INDEX('Lớp 3 - Công việc chính'!$AP$14:$AP$73,$T330))))</f>
        <v>#REF!</v>
      </c>
      <c r="AB330" s="701" t="str">
        <f t="array" ref="AB330">IF($S330="","",IF($S330="Lớp 5",INDEX('Lớp 5 - Phân công'!$AJ$14:$AJ$262,$T330),IF($S330="Lớp 4",INDEX('Lớp 4 - Danh mục'!$AI$14:$AI$132,$T330),INDEX('Lớp 3 - Công việc chính'!$AF$14:$AF$73,$T330))))</f>
        <v>#REF!</v>
      </c>
      <c r="AC330" s="702" t="str">
        <f t="array" ref="AC330">IF($S330="","",IF($S330="Lớp 5",INDEX('Lớp 5 - Phân công'!$AV$14:$AV$262,$T330),IF($S330="Lớp 4",INDEX('Lớp 4 - Danh mục'!$AU$14:$AU$132,$T330),INDEX('Lớp 3 - Công việc chính'!$AR$14:$AR$73,$T330))))</f>
        <v>#REF!</v>
      </c>
    </row>
    <row r="331" ht="15.75" customHeight="1">
      <c r="A331" s="690" t="str">
        <f t="shared" si="1"/>
        <v>#REF!</v>
      </c>
      <c r="B331" s="690" t="str">
        <f t="array" ref="B331">IF($S331="","",IF($S331="Lớp 5",INDEX('Lớp 5 - Phân công'!$I$14:$I$262,$T331),IF($S331="Lớp 4",INDEX('Lớp 4 - Danh mục'!$I$14:$I$132,$T331),INDEX('Lớp 3 - Công việc chính'!$I$14:$I$73,$T331))))</f>
        <v>#REF!</v>
      </c>
      <c r="C331" s="690" t="str">
        <f t="array" ref="C331">IF($S331="","",IF($S331="Lớp 5",INDEX('Lớp 5 - Phân công'!$K$14:$K$262,$T331),IF($S331="Lớp 4",INDEX('Lớp 4 - Danh mục'!$J$14:$J$132,$T331),INDEX('Lớp 3 - Công việc chính'!$I$14:$I$73,$T331))))</f>
        <v>#REF!</v>
      </c>
      <c r="D331" s="690" t="str">
        <f t="array" ref="D331">IF($S331="","",IF($S331="Lớp 5",INDEX('Lớp 5 - Phân công'!$J$14:$J$262,$T331),IF($S331="Lớp 4",INDEX('Lớp 4 - Danh mục'!$I$14:$I$132,$T331),"")))</f>
        <v>#REF!</v>
      </c>
      <c r="E331" s="690" t="str">
        <f t="array" ref="E331">IF($S331="","",IF($S331="Lớp 5",INDEX('Lớp 5 - Phân công'!$L$14:$L$262,$T331),IF($S331="Lớp 4",INDEX('Lớp 4 - Danh mục'!$K$14:$K$132,$T331),INDEX('Lớp 3 - Công việc chính'!$J$14:$J$73,$T331))))</f>
        <v>#REF!</v>
      </c>
      <c r="F331" s="690" t="str">
        <f t="array" ref="F331">IF($S331="","",IF($S331="Lớp 5",INDEX('Lớp 5 - Phân công'!$M$14:$M$262,$T331),IF($S331="Lớp 4",INDEX('Lớp 4 - Danh mục'!$L$14:$L$132,$T331),INDEX('Lớp 3 - Công việc chính'!$K$14:$K$73,$T331))))</f>
        <v>#REF!</v>
      </c>
      <c r="G331" s="691" t="str">
        <f t="array" ref="G331">IF($S331="","",IF($S331="Lớp 5",INDEX('Lớp 5 - Phân công'!$N$14:$N$262,$T331),IF($S331="Lớp 4",INDEX('Lớp 4 - Danh mục'!$M$14:$M$132,$T331),INDEX('Lớp 3 - Công việc chính'!$L$14:$L$73,$T331))))</f>
        <v>#REF!</v>
      </c>
      <c r="H331" s="692" t="str">
        <f t="array" ref="H331">IF($S331="","",IF($S331="Lớp 5",INDEX('Lớp 5 - Phân công'!$O$14:$O$262,$T331),IF($S331="Lớp 4",INDEX('Lớp 4 - Danh mục'!$N$14:$N$132,$T331),INDEX('Lớp 3 - Công việc chính'!$M$14:$M$73,$T331))))</f>
        <v>#REF!</v>
      </c>
      <c r="I331" s="692" t="str">
        <f t="array" ref="I331">IF($S331="","",IF($S331="Lớp 5",INDEX('Lớp 5 - Phân công'!$P$14:$P$262,$T331),IF($S331="Lớp 4",INDEX('Lớp 4 - Danh mục'!$O$14:$O$132,$T331),"")))</f>
        <v>#REF!</v>
      </c>
      <c r="J331" s="693" t="str">
        <f t="array" ref="J331">IF($S331="","",IF($S331="Lớp 5",INDEX('Lớp 5 - Phân công'!$Q$14:$Q$262,$T331),""))</f>
        <v>#REF!</v>
      </c>
      <c r="K331" s="690" t="str">
        <f t="array" ref="K331">IF($S331="","",IF($S331="Lớp 5",INDEX('Lớp 5 - Phân công'!$AA$14:$AA$262,$T331),IF($S331="Lớp 4",INDEX('Lớp 4 - Danh mục'!$Y$14:$Y$132,$T331),INDEX('Lớp 3 - Công việc chính'!$U$14:$U$73,$T331))))</f>
        <v>#REF!</v>
      </c>
      <c r="L331" s="691" t="str">
        <f t="array" ref="L331">IF($S331="","",IF($S331="Lớp 5",INDEX('Lớp 5 - Phân công'!$Z$14:$Z$262,$T331),IF($S331="Lớp 4",INDEX('Lớp 4 - Danh mục'!$X$14:$X$132,$T331),INDEX('Lớp 3 - Công việc chính'!$W$14:$W$73,$T331))))</f>
        <v>#REF!</v>
      </c>
      <c r="M331" s="694" t="str">
        <f t="array" ref="M331">IF($S331="","",IF($S331="Lớp 5",INDEX('Lớp 5 - Phân công'!$AD$14:$AD$262,$T331),IF($S331="Lớp 4",INDEX('Lớp 4 - Danh mục'!$AC$14:$AC$132,$T331),INDEX('Lớp 3 - Công việc chính'!$Z$14:$Z$73,$T331))))</f>
        <v>#REF!</v>
      </c>
      <c r="N331" s="695" t="str">
        <f t="array" ref="N331">IF($S331="","",IF($S331="Lớp 5",INDEX('Lớp 5 - Phân công'!$AE$14:$AE$262,$T331),IF($S331="Lớp 4",INDEX('Lớp 4 - Danh mục'!$AD$14:$AD$132,$T331),INDEX('Lớp 3 - Công việc chính'!$AA$14:$AA$73,$T331))))</f>
        <v>#REF!</v>
      </c>
      <c r="O331" s="690" t="str">
        <f t="array" ref="O331">IF($S331="","",IF($S331="Lớp 5",INDEX('Lớp 5 - Phân công'!$AB$14:$AB$262,$T331),IF($S331="Lớp 4",INDEX('Lớp 4 - Danh mục'!$AA$14:$AA$132,$T331),INDEX('Lớp 3 - Công việc chính'!$X$14:$X$73,$T331))))</f>
        <v>#REF!</v>
      </c>
      <c r="P331" s="703" t="str">
        <f t="array" ref="P331">IF($S331="","",IF($S331="Lớp 5",INDEX('Lớp 5 - Phân công'!$AC$14:$AC$262,$T331),IF($S331="Lớp 4",INDEX('Lớp 4 - Danh mục'!$AB$14:$AB$132,$T331),INDEX('Lớp 3 - Công việc chính'!$Y$14:$Y$73,$T331))))</f>
        <v>#REF!</v>
      </c>
      <c r="Q331" s="697" t="str">
        <f t="array" ref="Q331">IF($S331="","",IF($S331="Lớp 5",INDEX('Lớp 5 - Phân công'!$AG$14:$AG$262,$T331),IF($S331="Lớp 4",INDEX('Lớp 4 - Danh mục'!$AF$14:$AF$132,$T331),INDEX('Lớp 3 - Công việc chính'!$AC$14:$AC$73,$T331))))</f>
        <v>#REF!</v>
      </c>
      <c r="R331" s="698" t="str">
        <f t="array" ref="R331">IF($S331="","",IF($S331="Lớp 5",INDEX('Lớp 5 - Phân công'!$X$14:$X$262,$T331),IF($S331="Lớp 4",INDEX('Lớp 4 - Danh mục'!$V$14:$V$132,$T331),INDEX('Lớp 3 - Công việc chính'!$T$14:$T$73,$T331))))</f>
        <v>#REF!</v>
      </c>
      <c r="S331" s="699" t="str">
        <f>IF(ROWS($S$14:S331)&lt;=COUNTIF('Lớp 5 - Phân công'!$I$14:$I$262,"&lt;&gt;"),"Lớp 5",IF(ROWS($S$14:S331)&lt;=COUNTIF('Lớp 5 - Phân công'!$I$14:$I$262,"&lt;&gt;")+SUMPRODUCT(--('Lớp 4 - Danh mục'!$I$14:$I$132&lt;&gt;""),--(COUNTIF('Lớp 5 - Phân công'!$J$14:$J$262,'Lớp 4 - Danh mục'!$I$14:$I$132)=0)),"Lớp 4",IF(ROWS($S$14:S331)&lt;=COUNTIF('Lớp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1" s="699" t="str">
        <f t="array" ref="T331">IF(S331="","",IF(S331="Lớp 5",IF(S330&lt;&gt;"Lớp 5",MATCH("*",'Lớp 5 - Phân công'!$I$14:$I$262,0),T330+MATCH("*",INDEX('Lớp 5 - Phân công'!$I$14:$I$262,T330+1):'Lớp 5 - Phân công'!$I$262,0)),IF(S331="Lớp 4",IF(S330&lt;&gt;"Lớp 4",MATCH(1,INDEX(('Lớp 4 - Danh mục'!$I$14:$I$132&lt;&gt;"")*(COUNTIF('Lớp 5 - Phân công'!$J$14:$J$262,'Lớp 4 - Danh mục'!$I$14:$I$132)=0),0),0),T330+MATCH(1,INDEX((INDEX('Lớp 4 - Danh mục'!$I$14:$I$132,T330+1):'Lớp 4 - Danh mục'!$I$132&lt;&gt;"")*(COUNTIF('Lớp 5 - Phân công'!$J$14:$J$262,INDEX('Lớp 4 - Danh mục'!$I$14:$I$132,T330+1):'Lớp 4 - Danh mục'!$I$132)=0),0),0)),IF(S330&lt;&gt;"Lớp 3",MATCH(1,INDEX(('Lớp 3 - Công việc chính'!$I$14:$I$73&lt;&gt;"")*(COUNTIF('Lớp 4 - Danh mục'!$J$14:$J$132,'Lớp 3 - Công việc chính'!$I$14:$I$73)=0),0),0),T330+MATCH(1,INDEX((INDEX('Lớp 3 - Công việc chính'!$I$14:$I$73,T330+1):'Lớp 3 - Công việc chính'!$I$73&lt;&gt;"")*(COUNTIF('Lớp 4 - Danh mục'!$J$14:$J$132,INDEX('Lớp 3 - Công việc chính'!$I$14:$I$73,T330+1):'Lớp 3 - Công việc chính'!$I$73)=0),0),0)))))</f>
        <v>#REF!</v>
      </c>
      <c r="Z331" s="700" t="str">
        <f t="array" ref="Z331">IF($S331="","",IF($S331="Lớp 5",INDEX('Lớp 5 - Phân công'!$AS$14:$AS$262,$T331),IF($S331="Lớp 4",INDEX('Lớp 4 - Danh mục'!$AR$14:$AR$132,$T331),INDEX('Lớp 3 - Công việc chính'!$AO$14:$AO$73,$T331))))</f>
        <v>#REF!</v>
      </c>
      <c r="AA331" s="701" t="str">
        <f t="array" ref="AA331">IF($S331="","",IF($S331="Lớp 5",INDEX('Lớp 5 - Phân công'!$AT$14:$AT$262,$T331),IF($S331="Lớp 4",INDEX('Lớp 4 - Danh mục'!$AS$14:$AS$132,$T331),INDEX('Lớp 3 - Công việc chính'!$AP$14:$AP$73,$T331))))</f>
        <v>#REF!</v>
      </c>
      <c r="AB331" s="701" t="str">
        <f t="array" ref="AB331">IF($S331="","",IF($S331="Lớp 5",INDEX('Lớp 5 - Phân công'!$AJ$14:$AJ$262,$T331),IF($S331="Lớp 4",INDEX('Lớp 4 - Danh mục'!$AI$14:$AI$132,$T331),INDEX('Lớp 3 - Công việc chính'!$AF$14:$AF$73,$T331))))</f>
        <v>#REF!</v>
      </c>
      <c r="AC331" s="702" t="str">
        <f t="array" ref="AC331">IF($S331="","",IF($S331="Lớp 5",INDEX('Lớp 5 - Phân công'!$AV$14:$AV$262,$T331),IF($S331="Lớp 4",INDEX('Lớp 4 - Danh mục'!$AU$14:$AU$132,$T331),INDEX('Lớp 3 - Công việc chính'!$AR$14:$AR$73,$T331))))</f>
        <v>#REF!</v>
      </c>
    </row>
    <row r="332" ht="15.75" customHeight="1">
      <c r="A332" s="690" t="str">
        <f t="shared" si="1"/>
        <v>#REF!</v>
      </c>
      <c r="B332" s="690" t="str">
        <f t="array" ref="B332">IF($S332="","",IF($S332="Lớp 5",INDEX('Lớp 5 - Phân công'!$I$14:$I$262,$T332),IF($S332="Lớp 4",INDEX('Lớp 4 - Danh mục'!$I$14:$I$132,$T332),INDEX('Lớp 3 - Công việc chính'!$I$14:$I$73,$T332))))</f>
        <v>#REF!</v>
      </c>
      <c r="C332" s="690" t="str">
        <f t="array" ref="C332">IF($S332="","",IF($S332="Lớp 5",INDEX('Lớp 5 - Phân công'!$K$14:$K$262,$T332),IF($S332="Lớp 4",INDEX('Lớp 4 - Danh mục'!$J$14:$J$132,$T332),INDEX('Lớp 3 - Công việc chính'!$I$14:$I$73,$T332))))</f>
        <v>#REF!</v>
      </c>
      <c r="D332" s="690" t="str">
        <f t="array" ref="D332">IF($S332="","",IF($S332="Lớp 5",INDEX('Lớp 5 - Phân công'!$J$14:$J$262,$T332),IF($S332="Lớp 4",INDEX('Lớp 4 - Danh mục'!$I$14:$I$132,$T332),"")))</f>
        <v>#REF!</v>
      </c>
      <c r="E332" s="690" t="str">
        <f t="array" ref="E332">IF($S332="","",IF($S332="Lớp 5",INDEX('Lớp 5 - Phân công'!$L$14:$L$262,$T332),IF($S332="Lớp 4",INDEX('Lớp 4 - Danh mục'!$K$14:$K$132,$T332),INDEX('Lớp 3 - Công việc chính'!$J$14:$J$73,$T332))))</f>
        <v>#REF!</v>
      </c>
      <c r="F332" s="690" t="str">
        <f t="array" ref="F332">IF($S332="","",IF($S332="Lớp 5",INDEX('Lớp 5 - Phân công'!$M$14:$M$262,$T332),IF($S332="Lớp 4",INDEX('Lớp 4 - Danh mục'!$L$14:$L$132,$T332),INDEX('Lớp 3 - Công việc chính'!$K$14:$K$73,$T332))))</f>
        <v>#REF!</v>
      </c>
      <c r="G332" s="691" t="str">
        <f t="array" ref="G332">IF($S332="","",IF($S332="Lớp 5",INDEX('Lớp 5 - Phân công'!$N$14:$N$262,$T332),IF($S332="Lớp 4",INDEX('Lớp 4 - Danh mục'!$M$14:$M$132,$T332),INDEX('Lớp 3 - Công việc chính'!$L$14:$L$73,$T332))))</f>
        <v>#REF!</v>
      </c>
      <c r="H332" s="692" t="str">
        <f t="array" ref="H332">IF($S332="","",IF($S332="Lớp 5",INDEX('Lớp 5 - Phân công'!$O$14:$O$262,$T332),IF($S332="Lớp 4",INDEX('Lớp 4 - Danh mục'!$N$14:$N$132,$T332),INDEX('Lớp 3 - Công việc chính'!$M$14:$M$73,$T332))))</f>
        <v>#REF!</v>
      </c>
      <c r="I332" s="692" t="str">
        <f t="array" ref="I332">IF($S332="","",IF($S332="Lớp 5",INDEX('Lớp 5 - Phân công'!$P$14:$P$262,$T332),IF($S332="Lớp 4",INDEX('Lớp 4 - Danh mục'!$O$14:$O$132,$T332),"")))</f>
        <v>#REF!</v>
      </c>
      <c r="J332" s="693" t="str">
        <f t="array" ref="J332">IF($S332="","",IF($S332="Lớp 5",INDEX('Lớp 5 - Phân công'!$Q$14:$Q$262,$T332),""))</f>
        <v>#REF!</v>
      </c>
      <c r="K332" s="690" t="str">
        <f t="array" ref="K332">IF($S332="","",IF($S332="Lớp 5",INDEX('Lớp 5 - Phân công'!$AA$14:$AA$262,$T332),IF($S332="Lớp 4",INDEX('Lớp 4 - Danh mục'!$Y$14:$Y$132,$T332),INDEX('Lớp 3 - Công việc chính'!$U$14:$U$73,$T332))))</f>
        <v>#REF!</v>
      </c>
      <c r="L332" s="691" t="str">
        <f t="array" ref="L332">IF($S332="","",IF($S332="Lớp 5",INDEX('Lớp 5 - Phân công'!$Z$14:$Z$262,$T332),IF($S332="Lớp 4",INDEX('Lớp 4 - Danh mục'!$X$14:$X$132,$T332),INDEX('Lớp 3 - Công việc chính'!$W$14:$W$73,$T332))))</f>
        <v>#REF!</v>
      </c>
      <c r="M332" s="694" t="str">
        <f t="array" ref="M332">IF($S332="","",IF($S332="Lớp 5",INDEX('Lớp 5 - Phân công'!$AD$14:$AD$262,$T332),IF($S332="Lớp 4",INDEX('Lớp 4 - Danh mục'!$AC$14:$AC$132,$T332),INDEX('Lớp 3 - Công việc chính'!$Z$14:$Z$73,$T332))))</f>
        <v>#REF!</v>
      </c>
      <c r="N332" s="695" t="str">
        <f t="array" ref="N332">IF($S332="","",IF($S332="Lớp 5",INDEX('Lớp 5 - Phân công'!$AE$14:$AE$262,$T332),IF($S332="Lớp 4",INDEX('Lớp 4 - Danh mục'!$AD$14:$AD$132,$T332),INDEX('Lớp 3 - Công việc chính'!$AA$14:$AA$73,$T332))))</f>
        <v>#REF!</v>
      </c>
      <c r="O332" s="690" t="str">
        <f t="array" ref="O332">IF($S332="","",IF($S332="Lớp 5",INDEX('Lớp 5 - Phân công'!$AB$14:$AB$262,$T332),IF($S332="Lớp 4",INDEX('Lớp 4 - Danh mục'!$AA$14:$AA$132,$T332),INDEX('Lớp 3 - Công việc chính'!$X$14:$X$73,$T332))))</f>
        <v>#REF!</v>
      </c>
      <c r="P332" s="703" t="str">
        <f t="array" ref="P332">IF($S332="","",IF($S332="Lớp 5",INDEX('Lớp 5 - Phân công'!$AC$14:$AC$262,$T332),IF($S332="Lớp 4",INDEX('Lớp 4 - Danh mục'!$AB$14:$AB$132,$T332),INDEX('Lớp 3 - Công việc chính'!$Y$14:$Y$73,$T332))))</f>
        <v>#REF!</v>
      </c>
      <c r="Q332" s="697" t="str">
        <f t="array" ref="Q332">IF($S332="","",IF($S332="Lớp 5",INDEX('Lớp 5 - Phân công'!$AG$14:$AG$262,$T332),IF($S332="Lớp 4",INDEX('Lớp 4 - Danh mục'!$AF$14:$AF$132,$T332),INDEX('Lớp 3 - Công việc chính'!$AC$14:$AC$73,$T332))))</f>
        <v>#REF!</v>
      </c>
      <c r="R332" s="698" t="str">
        <f t="array" ref="R332">IF($S332="","",IF($S332="Lớp 5",INDEX('Lớp 5 - Phân công'!$X$14:$X$262,$T332),IF($S332="Lớp 4",INDEX('Lớp 4 - Danh mục'!$V$14:$V$132,$T332),INDEX('Lớp 3 - Công việc chính'!$T$14:$T$73,$T332))))</f>
        <v>#REF!</v>
      </c>
      <c r="S332" s="699" t="str">
        <f>IF(ROWS($S$14:S332)&lt;=COUNTIF('Lớp 5 - Phân công'!$I$14:$I$262,"&lt;&gt;"),"Lớp 5",IF(ROWS($S$14:S332)&lt;=COUNTIF('Lớp 5 - Phân công'!$I$14:$I$262,"&lt;&gt;")+SUMPRODUCT(--('Lớp 4 - Danh mục'!$I$14:$I$132&lt;&gt;""),--(COUNTIF('Lớp 5 - Phân công'!$J$14:$J$262,'Lớp 4 - Danh mục'!$I$14:$I$132)=0)),"Lớp 4",IF(ROWS($S$14:S332)&lt;=COUNTIF('Lớp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2" s="699" t="str">
        <f t="array" ref="T332">IF(S332="","",IF(S332="Lớp 5",IF(S331&lt;&gt;"Lớp 5",MATCH("*",'Lớp 5 - Phân công'!$I$14:$I$262,0),T331+MATCH("*",INDEX('Lớp 5 - Phân công'!$I$14:$I$262,T331+1):'Lớp 5 - Phân công'!$I$262,0)),IF(S332="Lớp 4",IF(S331&lt;&gt;"Lớp 4",MATCH(1,INDEX(('Lớp 4 - Danh mục'!$I$14:$I$132&lt;&gt;"")*(COUNTIF('Lớp 5 - Phân công'!$J$14:$J$262,'Lớp 4 - Danh mục'!$I$14:$I$132)=0),0),0),T331+MATCH(1,INDEX((INDEX('Lớp 4 - Danh mục'!$I$14:$I$132,T331+1):'Lớp 4 - Danh mục'!$I$132&lt;&gt;"")*(COUNTIF('Lớp 5 - Phân công'!$J$14:$J$262,INDEX('Lớp 4 - Danh mục'!$I$14:$I$132,T331+1):'Lớp 4 - Danh mục'!$I$132)=0),0),0)),IF(S331&lt;&gt;"Lớp 3",MATCH(1,INDEX(('Lớp 3 - Công việc chính'!$I$14:$I$73&lt;&gt;"")*(COUNTIF('Lớp 4 - Danh mục'!$J$14:$J$132,'Lớp 3 - Công việc chính'!$I$14:$I$73)=0),0),0),T331+MATCH(1,INDEX((INDEX('Lớp 3 - Công việc chính'!$I$14:$I$73,T331+1):'Lớp 3 - Công việc chính'!$I$73&lt;&gt;"")*(COUNTIF('Lớp 4 - Danh mục'!$J$14:$J$132,INDEX('Lớp 3 - Công việc chính'!$I$14:$I$73,T331+1):'Lớp 3 - Công việc chính'!$I$73)=0),0),0)))))</f>
        <v>#REF!</v>
      </c>
      <c r="Z332" s="700" t="str">
        <f t="array" ref="Z332">IF($S332="","",IF($S332="Lớp 5",INDEX('Lớp 5 - Phân công'!$AS$14:$AS$262,$T332),IF($S332="Lớp 4",INDEX('Lớp 4 - Danh mục'!$AR$14:$AR$132,$T332),INDEX('Lớp 3 - Công việc chính'!$AO$14:$AO$73,$T332))))</f>
        <v>#REF!</v>
      </c>
      <c r="AA332" s="701" t="str">
        <f t="array" ref="AA332">IF($S332="","",IF($S332="Lớp 5",INDEX('Lớp 5 - Phân công'!$AT$14:$AT$262,$T332),IF($S332="Lớp 4",INDEX('Lớp 4 - Danh mục'!$AS$14:$AS$132,$T332),INDEX('Lớp 3 - Công việc chính'!$AP$14:$AP$73,$T332))))</f>
        <v>#REF!</v>
      </c>
      <c r="AB332" s="701" t="str">
        <f t="array" ref="AB332">IF($S332="","",IF($S332="Lớp 5",INDEX('Lớp 5 - Phân công'!$AJ$14:$AJ$262,$T332),IF($S332="Lớp 4",INDEX('Lớp 4 - Danh mục'!$AI$14:$AI$132,$T332),INDEX('Lớp 3 - Công việc chính'!$AF$14:$AF$73,$T332))))</f>
        <v>#REF!</v>
      </c>
      <c r="AC332" s="702" t="str">
        <f t="array" ref="AC332">IF($S332="","",IF($S332="Lớp 5",INDEX('Lớp 5 - Phân công'!$AV$14:$AV$262,$T332),IF($S332="Lớp 4",INDEX('Lớp 4 - Danh mục'!$AU$14:$AU$132,$T332),INDEX('Lớp 3 - Công việc chính'!$AR$14:$AR$73,$T332))))</f>
        <v>#REF!</v>
      </c>
    </row>
    <row r="333" ht="15.75" customHeight="1">
      <c r="A333" s="690" t="str">
        <f t="shared" si="1"/>
        <v>#REF!</v>
      </c>
      <c r="B333" s="690" t="str">
        <f t="array" ref="B333">IF($S333="","",IF($S333="Lớp 5",INDEX('Lớp 5 - Phân công'!$I$14:$I$262,$T333),IF($S333="Lớp 4",INDEX('Lớp 4 - Danh mục'!$I$14:$I$132,$T333),INDEX('Lớp 3 - Công việc chính'!$I$14:$I$73,$T333))))</f>
        <v>#REF!</v>
      </c>
      <c r="C333" s="690" t="str">
        <f t="array" ref="C333">IF($S333="","",IF($S333="Lớp 5",INDEX('Lớp 5 - Phân công'!$K$14:$K$262,$T333),IF($S333="Lớp 4",INDEX('Lớp 4 - Danh mục'!$J$14:$J$132,$T333),INDEX('Lớp 3 - Công việc chính'!$I$14:$I$73,$T333))))</f>
        <v>#REF!</v>
      </c>
      <c r="D333" s="690" t="str">
        <f t="array" ref="D333">IF($S333="","",IF($S333="Lớp 5",INDEX('Lớp 5 - Phân công'!$J$14:$J$262,$T333),IF($S333="Lớp 4",INDEX('Lớp 4 - Danh mục'!$I$14:$I$132,$T333),"")))</f>
        <v>#REF!</v>
      </c>
      <c r="E333" s="690" t="str">
        <f t="array" ref="E333">IF($S333="","",IF($S333="Lớp 5",INDEX('Lớp 5 - Phân công'!$L$14:$L$262,$T333),IF($S333="Lớp 4",INDEX('Lớp 4 - Danh mục'!$K$14:$K$132,$T333),INDEX('Lớp 3 - Công việc chính'!$J$14:$J$73,$T333))))</f>
        <v>#REF!</v>
      </c>
      <c r="F333" s="690" t="str">
        <f t="array" ref="F333">IF($S333="","",IF($S333="Lớp 5",INDEX('Lớp 5 - Phân công'!$M$14:$M$262,$T333),IF($S333="Lớp 4",INDEX('Lớp 4 - Danh mục'!$L$14:$L$132,$T333),INDEX('Lớp 3 - Công việc chính'!$K$14:$K$73,$T333))))</f>
        <v>#REF!</v>
      </c>
      <c r="G333" s="691" t="str">
        <f t="array" ref="G333">IF($S333="","",IF($S333="Lớp 5",INDEX('Lớp 5 - Phân công'!$N$14:$N$262,$T333),IF($S333="Lớp 4",INDEX('Lớp 4 - Danh mục'!$M$14:$M$132,$T333),INDEX('Lớp 3 - Công việc chính'!$L$14:$L$73,$T333))))</f>
        <v>#REF!</v>
      </c>
      <c r="H333" s="692" t="str">
        <f t="array" ref="H333">IF($S333="","",IF($S333="Lớp 5",INDEX('Lớp 5 - Phân công'!$O$14:$O$262,$T333),IF($S333="Lớp 4",INDEX('Lớp 4 - Danh mục'!$N$14:$N$132,$T333),INDEX('Lớp 3 - Công việc chính'!$M$14:$M$73,$T333))))</f>
        <v>#REF!</v>
      </c>
      <c r="I333" s="692" t="str">
        <f t="array" ref="I333">IF($S333="","",IF($S333="Lớp 5",INDEX('Lớp 5 - Phân công'!$P$14:$P$262,$T333),IF($S333="Lớp 4",INDEX('Lớp 4 - Danh mục'!$O$14:$O$132,$T333),"")))</f>
        <v>#REF!</v>
      </c>
      <c r="J333" s="693" t="str">
        <f t="array" ref="J333">IF($S333="","",IF($S333="Lớp 5",INDEX('Lớp 5 - Phân công'!$Q$14:$Q$262,$T333),""))</f>
        <v>#REF!</v>
      </c>
      <c r="K333" s="690" t="str">
        <f t="array" ref="K333">IF($S333="","",IF($S333="Lớp 5",INDEX('Lớp 5 - Phân công'!$AA$14:$AA$262,$T333),IF($S333="Lớp 4",INDEX('Lớp 4 - Danh mục'!$Y$14:$Y$132,$T333),INDEX('Lớp 3 - Công việc chính'!$U$14:$U$73,$T333))))</f>
        <v>#REF!</v>
      </c>
      <c r="L333" s="691" t="str">
        <f t="array" ref="L333">IF($S333="","",IF($S333="Lớp 5",INDEX('Lớp 5 - Phân công'!$Z$14:$Z$262,$T333),IF($S333="Lớp 4",INDEX('Lớp 4 - Danh mục'!$X$14:$X$132,$T333),INDEX('Lớp 3 - Công việc chính'!$W$14:$W$73,$T333))))</f>
        <v>#REF!</v>
      </c>
      <c r="M333" s="694" t="str">
        <f t="array" ref="M333">IF($S333="","",IF($S333="Lớp 5",INDEX('Lớp 5 - Phân công'!$AD$14:$AD$262,$T333),IF($S333="Lớp 4",INDEX('Lớp 4 - Danh mục'!$AC$14:$AC$132,$T333),INDEX('Lớp 3 - Công việc chính'!$Z$14:$Z$73,$T333))))</f>
        <v>#REF!</v>
      </c>
      <c r="N333" s="695" t="str">
        <f t="array" ref="N333">IF($S333="","",IF($S333="Lớp 5",INDEX('Lớp 5 - Phân công'!$AE$14:$AE$262,$T333),IF($S333="Lớp 4",INDEX('Lớp 4 - Danh mục'!$AD$14:$AD$132,$T333),INDEX('Lớp 3 - Công việc chính'!$AA$14:$AA$73,$T333))))</f>
        <v>#REF!</v>
      </c>
      <c r="O333" s="690" t="str">
        <f t="array" ref="O333">IF($S333="","",IF($S333="Lớp 5",INDEX('Lớp 5 - Phân công'!$AB$14:$AB$262,$T333),IF($S333="Lớp 4",INDEX('Lớp 4 - Danh mục'!$AA$14:$AA$132,$T333),INDEX('Lớp 3 - Công việc chính'!$X$14:$X$73,$T333))))</f>
        <v>#REF!</v>
      </c>
      <c r="P333" s="703" t="str">
        <f t="array" ref="P333">IF($S333="","",IF($S333="Lớp 5",INDEX('Lớp 5 - Phân công'!$AC$14:$AC$262,$T333),IF($S333="Lớp 4",INDEX('Lớp 4 - Danh mục'!$AB$14:$AB$132,$T333),INDEX('Lớp 3 - Công việc chính'!$Y$14:$Y$73,$T333))))</f>
        <v>#REF!</v>
      </c>
      <c r="Q333" s="697" t="str">
        <f t="array" ref="Q333">IF($S333="","",IF($S333="Lớp 5",INDEX('Lớp 5 - Phân công'!$AG$14:$AG$262,$T333),IF($S333="Lớp 4",INDEX('Lớp 4 - Danh mục'!$AF$14:$AF$132,$T333),INDEX('Lớp 3 - Công việc chính'!$AC$14:$AC$73,$T333))))</f>
        <v>#REF!</v>
      </c>
      <c r="R333" s="698" t="str">
        <f t="array" ref="R333">IF($S333="","",IF($S333="Lớp 5",INDEX('Lớp 5 - Phân công'!$X$14:$X$262,$T333),IF($S333="Lớp 4",INDEX('Lớp 4 - Danh mục'!$V$14:$V$132,$T333),INDEX('Lớp 3 - Công việc chính'!$T$14:$T$73,$T333))))</f>
        <v>#REF!</v>
      </c>
      <c r="S333" s="699" t="str">
        <f>IF(ROWS($S$14:S333)&lt;=COUNTIF('Lớp 5 - Phân công'!$I$14:$I$262,"&lt;&gt;"),"Lớp 5",IF(ROWS($S$14:S333)&lt;=COUNTIF('Lớp 5 - Phân công'!$I$14:$I$262,"&lt;&gt;")+SUMPRODUCT(--('Lớp 4 - Danh mục'!$I$14:$I$132&lt;&gt;""),--(COUNTIF('Lớp 5 - Phân công'!$J$14:$J$262,'Lớp 4 - Danh mục'!$I$14:$I$132)=0)),"Lớp 4",IF(ROWS($S$14:S333)&lt;=COUNTIF('Lớp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3" s="699" t="str">
        <f t="array" ref="T333">IF(S333="","",IF(S333="Lớp 5",IF(S332&lt;&gt;"Lớp 5",MATCH("*",'Lớp 5 - Phân công'!$I$14:$I$262,0),T332+MATCH("*",INDEX('Lớp 5 - Phân công'!$I$14:$I$262,T332+1):'Lớp 5 - Phân công'!$I$262,0)),IF(S333="Lớp 4",IF(S332&lt;&gt;"Lớp 4",MATCH(1,INDEX(('Lớp 4 - Danh mục'!$I$14:$I$132&lt;&gt;"")*(COUNTIF('Lớp 5 - Phân công'!$J$14:$J$262,'Lớp 4 - Danh mục'!$I$14:$I$132)=0),0),0),T332+MATCH(1,INDEX((INDEX('Lớp 4 - Danh mục'!$I$14:$I$132,T332+1):'Lớp 4 - Danh mục'!$I$132&lt;&gt;"")*(COUNTIF('Lớp 5 - Phân công'!$J$14:$J$262,INDEX('Lớp 4 - Danh mục'!$I$14:$I$132,T332+1):'Lớp 4 - Danh mục'!$I$132)=0),0),0)),IF(S332&lt;&gt;"Lớp 3",MATCH(1,INDEX(('Lớp 3 - Công việc chính'!$I$14:$I$73&lt;&gt;"")*(COUNTIF('Lớp 4 - Danh mục'!$J$14:$J$132,'Lớp 3 - Công việc chính'!$I$14:$I$73)=0),0),0),T332+MATCH(1,INDEX((INDEX('Lớp 3 - Công việc chính'!$I$14:$I$73,T332+1):'Lớp 3 - Công việc chính'!$I$73&lt;&gt;"")*(COUNTIF('Lớp 4 - Danh mục'!$J$14:$J$132,INDEX('Lớp 3 - Công việc chính'!$I$14:$I$73,T332+1):'Lớp 3 - Công việc chính'!$I$73)=0),0),0)))))</f>
        <v>#REF!</v>
      </c>
      <c r="Z333" s="700" t="str">
        <f t="array" ref="Z333">IF($S333="","",IF($S333="Lớp 5",INDEX('Lớp 5 - Phân công'!$AS$14:$AS$262,$T333),IF($S333="Lớp 4",INDEX('Lớp 4 - Danh mục'!$AR$14:$AR$132,$T333),INDEX('Lớp 3 - Công việc chính'!$AO$14:$AO$73,$T333))))</f>
        <v>#REF!</v>
      </c>
      <c r="AA333" s="701" t="str">
        <f t="array" ref="AA333">IF($S333="","",IF($S333="Lớp 5",INDEX('Lớp 5 - Phân công'!$AT$14:$AT$262,$T333),IF($S333="Lớp 4",INDEX('Lớp 4 - Danh mục'!$AS$14:$AS$132,$T333),INDEX('Lớp 3 - Công việc chính'!$AP$14:$AP$73,$T333))))</f>
        <v>#REF!</v>
      </c>
      <c r="AB333" s="701" t="str">
        <f t="array" ref="AB333">IF($S333="","",IF($S333="Lớp 5",INDEX('Lớp 5 - Phân công'!$AJ$14:$AJ$262,$T333),IF($S333="Lớp 4",INDEX('Lớp 4 - Danh mục'!$AI$14:$AI$132,$T333),INDEX('Lớp 3 - Công việc chính'!$AF$14:$AF$73,$T333))))</f>
        <v>#REF!</v>
      </c>
      <c r="AC333" s="702" t="str">
        <f t="array" ref="AC333">IF($S333="","",IF($S333="Lớp 5",INDEX('Lớp 5 - Phân công'!$AV$14:$AV$262,$T333),IF($S333="Lớp 4",INDEX('Lớp 4 - Danh mục'!$AU$14:$AU$132,$T333),INDEX('Lớp 3 - Công việc chính'!$AR$14:$AR$73,$T333))))</f>
        <v>#REF!</v>
      </c>
    </row>
    <row r="334" ht="15.75" customHeight="1">
      <c r="A334" s="690" t="str">
        <f t="shared" si="1"/>
        <v>#REF!</v>
      </c>
      <c r="B334" s="690" t="str">
        <f t="array" ref="B334">IF($S334="","",IF($S334="Lớp 5",INDEX('Lớp 5 - Phân công'!$I$14:$I$262,$T334),IF($S334="Lớp 4",INDEX('Lớp 4 - Danh mục'!$I$14:$I$132,$T334),INDEX('Lớp 3 - Công việc chính'!$I$14:$I$73,$T334))))</f>
        <v>#REF!</v>
      </c>
      <c r="C334" s="690" t="str">
        <f t="array" ref="C334">IF($S334="","",IF($S334="Lớp 5",INDEX('Lớp 5 - Phân công'!$K$14:$K$262,$T334),IF($S334="Lớp 4",INDEX('Lớp 4 - Danh mục'!$J$14:$J$132,$T334),INDEX('Lớp 3 - Công việc chính'!$I$14:$I$73,$T334))))</f>
        <v>#REF!</v>
      </c>
      <c r="D334" s="690" t="str">
        <f t="array" ref="D334">IF($S334="","",IF($S334="Lớp 5",INDEX('Lớp 5 - Phân công'!$J$14:$J$262,$T334),IF($S334="Lớp 4",INDEX('Lớp 4 - Danh mục'!$I$14:$I$132,$T334),"")))</f>
        <v>#REF!</v>
      </c>
      <c r="E334" s="690" t="str">
        <f t="array" ref="E334">IF($S334="","",IF($S334="Lớp 5",INDEX('Lớp 5 - Phân công'!$L$14:$L$262,$T334),IF($S334="Lớp 4",INDEX('Lớp 4 - Danh mục'!$K$14:$K$132,$T334),INDEX('Lớp 3 - Công việc chính'!$J$14:$J$73,$T334))))</f>
        <v>#REF!</v>
      </c>
      <c r="F334" s="690" t="str">
        <f t="array" ref="F334">IF($S334="","",IF($S334="Lớp 5",INDEX('Lớp 5 - Phân công'!$M$14:$M$262,$T334),IF($S334="Lớp 4",INDEX('Lớp 4 - Danh mục'!$L$14:$L$132,$T334),INDEX('Lớp 3 - Công việc chính'!$K$14:$K$73,$T334))))</f>
        <v>#REF!</v>
      </c>
      <c r="G334" s="691" t="str">
        <f t="array" ref="G334">IF($S334="","",IF($S334="Lớp 5",INDEX('Lớp 5 - Phân công'!$N$14:$N$262,$T334),IF($S334="Lớp 4",INDEX('Lớp 4 - Danh mục'!$M$14:$M$132,$T334),INDEX('Lớp 3 - Công việc chính'!$L$14:$L$73,$T334))))</f>
        <v>#REF!</v>
      </c>
      <c r="H334" s="692" t="str">
        <f t="array" ref="H334">IF($S334="","",IF($S334="Lớp 5",INDEX('Lớp 5 - Phân công'!$O$14:$O$262,$T334),IF($S334="Lớp 4",INDEX('Lớp 4 - Danh mục'!$N$14:$N$132,$T334),INDEX('Lớp 3 - Công việc chính'!$M$14:$M$73,$T334))))</f>
        <v>#REF!</v>
      </c>
      <c r="I334" s="692" t="str">
        <f t="array" ref="I334">IF($S334="","",IF($S334="Lớp 5",INDEX('Lớp 5 - Phân công'!$P$14:$P$262,$T334),IF($S334="Lớp 4",INDEX('Lớp 4 - Danh mục'!$O$14:$O$132,$T334),"")))</f>
        <v>#REF!</v>
      </c>
      <c r="J334" s="693" t="str">
        <f t="array" ref="J334">IF($S334="","",IF($S334="Lớp 5",INDEX('Lớp 5 - Phân công'!$Q$14:$Q$262,$T334),""))</f>
        <v>#REF!</v>
      </c>
      <c r="K334" s="690" t="str">
        <f t="array" ref="K334">IF($S334="","",IF($S334="Lớp 5",INDEX('Lớp 5 - Phân công'!$AA$14:$AA$262,$T334),IF($S334="Lớp 4",INDEX('Lớp 4 - Danh mục'!$Y$14:$Y$132,$T334),INDEX('Lớp 3 - Công việc chính'!$U$14:$U$73,$T334))))</f>
        <v>#REF!</v>
      </c>
      <c r="L334" s="691" t="str">
        <f t="array" ref="L334">IF($S334="","",IF($S334="Lớp 5",INDEX('Lớp 5 - Phân công'!$Z$14:$Z$262,$T334),IF($S334="Lớp 4",INDEX('Lớp 4 - Danh mục'!$X$14:$X$132,$T334),INDEX('Lớp 3 - Công việc chính'!$W$14:$W$73,$T334))))</f>
        <v>#REF!</v>
      </c>
      <c r="M334" s="694" t="str">
        <f t="array" ref="M334">IF($S334="","",IF($S334="Lớp 5",INDEX('Lớp 5 - Phân công'!$AD$14:$AD$262,$T334),IF($S334="Lớp 4",INDEX('Lớp 4 - Danh mục'!$AC$14:$AC$132,$T334),INDEX('Lớp 3 - Công việc chính'!$Z$14:$Z$73,$T334))))</f>
        <v>#REF!</v>
      </c>
      <c r="N334" s="695" t="str">
        <f t="array" ref="N334">IF($S334="","",IF($S334="Lớp 5",INDEX('Lớp 5 - Phân công'!$AE$14:$AE$262,$T334),IF($S334="Lớp 4",INDEX('Lớp 4 - Danh mục'!$AD$14:$AD$132,$T334),INDEX('Lớp 3 - Công việc chính'!$AA$14:$AA$73,$T334))))</f>
        <v>#REF!</v>
      </c>
      <c r="O334" s="690" t="str">
        <f t="array" ref="O334">IF($S334="","",IF($S334="Lớp 5",INDEX('Lớp 5 - Phân công'!$AB$14:$AB$262,$T334),IF($S334="Lớp 4",INDEX('Lớp 4 - Danh mục'!$AA$14:$AA$132,$T334),INDEX('Lớp 3 - Công việc chính'!$X$14:$X$73,$T334))))</f>
        <v>#REF!</v>
      </c>
      <c r="P334" s="703" t="str">
        <f t="array" ref="P334">IF($S334="","",IF($S334="Lớp 5",INDEX('Lớp 5 - Phân công'!$AC$14:$AC$262,$T334),IF($S334="Lớp 4",INDEX('Lớp 4 - Danh mục'!$AB$14:$AB$132,$T334),INDEX('Lớp 3 - Công việc chính'!$Y$14:$Y$73,$T334))))</f>
        <v>#REF!</v>
      </c>
      <c r="Q334" s="697" t="str">
        <f t="array" ref="Q334">IF($S334="","",IF($S334="Lớp 5",INDEX('Lớp 5 - Phân công'!$AG$14:$AG$262,$T334),IF($S334="Lớp 4",INDEX('Lớp 4 - Danh mục'!$AF$14:$AF$132,$T334),INDEX('Lớp 3 - Công việc chính'!$AC$14:$AC$73,$T334))))</f>
        <v>#REF!</v>
      </c>
      <c r="R334" s="698" t="str">
        <f t="array" ref="R334">IF($S334="","",IF($S334="Lớp 5",INDEX('Lớp 5 - Phân công'!$X$14:$X$262,$T334),IF($S334="Lớp 4",INDEX('Lớp 4 - Danh mục'!$V$14:$V$132,$T334),INDEX('Lớp 3 - Công việc chính'!$T$14:$T$73,$T334))))</f>
        <v>#REF!</v>
      </c>
      <c r="S334" s="699" t="str">
        <f>IF(ROWS($S$14:S334)&lt;=COUNTIF('Lớp 5 - Phân công'!$I$14:$I$262,"&lt;&gt;"),"Lớp 5",IF(ROWS($S$14:S334)&lt;=COUNTIF('Lớp 5 - Phân công'!$I$14:$I$262,"&lt;&gt;")+SUMPRODUCT(--('Lớp 4 - Danh mục'!$I$14:$I$132&lt;&gt;""),--(COUNTIF('Lớp 5 - Phân công'!$J$14:$J$262,'Lớp 4 - Danh mục'!$I$14:$I$132)=0)),"Lớp 4",IF(ROWS($S$14:S334)&lt;=COUNTIF('Lớp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4" s="699" t="str">
        <f t="array" ref="T334">IF(S334="","",IF(S334="Lớp 5",IF(S333&lt;&gt;"Lớp 5",MATCH("*",'Lớp 5 - Phân công'!$I$14:$I$262,0),T333+MATCH("*",INDEX('Lớp 5 - Phân công'!$I$14:$I$262,T333+1):'Lớp 5 - Phân công'!$I$262,0)),IF(S334="Lớp 4",IF(S333&lt;&gt;"Lớp 4",MATCH(1,INDEX(('Lớp 4 - Danh mục'!$I$14:$I$132&lt;&gt;"")*(COUNTIF('Lớp 5 - Phân công'!$J$14:$J$262,'Lớp 4 - Danh mục'!$I$14:$I$132)=0),0),0),T333+MATCH(1,INDEX((INDEX('Lớp 4 - Danh mục'!$I$14:$I$132,T333+1):'Lớp 4 - Danh mục'!$I$132&lt;&gt;"")*(COUNTIF('Lớp 5 - Phân công'!$J$14:$J$262,INDEX('Lớp 4 - Danh mục'!$I$14:$I$132,T333+1):'Lớp 4 - Danh mục'!$I$132)=0),0),0)),IF(S333&lt;&gt;"Lớp 3",MATCH(1,INDEX(('Lớp 3 - Công việc chính'!$I$14:$I$73&lt;&gt;"")*(COUNTIF('Lớp 4 - Danh mục'!$J$14:$J$132,'Lớp 3 - Công việc chính'!$I$14:$I$73)=0),0),0),T333+MATCH(1,INDEX((INDEX('Lớp 3 - Công việc chính'!$I$14:$I$73,T333+1):'Lớp 3 - Công việc chính'!$I$73&lt;&gt;"")*(COUNTIF('Lớp 4 - Danh mục'!$J$14:$J$132,INDEX('Lớp 3 - Công việc chính'!$I$14:$I$73,T333+1):'Lớp 3 - Công việc chính'!$I$73)=0),0),0)))))</f>
        <v>#REF!</v>
      </c>
      <c r="Z334" s="700" t="str">
        <f t="array" ref="Z334">IF($S334="","",IF($S334="Lớp 5",INDEX('Lớp 5 - Phân công'!$AS$14:$AS$262,$T334),IF($S334="Lớp 4",INDEX('Lớp 4 - Danh mục'!$AR$14:$AR$132,$T334),INDEX('Lớp 3 - Công việc chính'!$AO$14:$AO$73,$T334))))</f>
        <v>#REF!</v>
      </c>
      <c r="AA334" s="701" t="str">
        <f t="array" ref="AA334">IF($S334="","",IF($S334="Lớp 5",INDEX('Lớp 5 - Phân công'!$AT$14:$AT$262,$T334),IF($S334="Lớp 4",INDEX('Lớp 4 - Danh mục'!$AS$14:$AS$132,$T334),INDEX('Lớp 3 - Công việc chính'!$AP$14:$AP$73,$T334))))</f>
        <v>#REF!</v>
      </c>
      <c r="AB334" s="701" t="str">
        <f t="array" ref="AB334">IF($S334="","",IF($S334="Lớp 5",INDEX('Lớp 5 - Phân công'!$AJ$14:$AJ$262,$T334),IF($S334="Lớp 4",INDEX('Lớp 4 - Danh mục'!$AI$14:$AI$132,$T334),INDEX('Lớp 3 - Công việc chính'!$AF$14:$AF$73,$T334))))</f>
        <v>#REF!</v>
      </c>
      <c r="AC334" s="702" t="str">
        <f t="array" ref="AC334">IF($S334="","",IF($S334="Lớp 5",INDEX('Lớp 5 - Phân công'!$AV$14:$AV$262,$T334),IF($S334="Lớp 4",INDEX('Lớp 4 - Danh mục'!$AU$14:$AU$132,$T334),INDEX('Lớp 3 - Công việc chính'!$AR$14:$AR$73,$T334))))</f>
        <v>#REF!</v>
      </c>
    </row>
    <row r="335" ht="15.75" customHeight="1">
      <c r="A335" s="690" t="str">
        <f t="shared" si="1"/>
        <v>#REF!</v>
      </c>
      <c r="B335" s="690" t="str">
        <f t="array" ref="B335">IF($S335="","",IF($S335="Lớp 5",INDEX('Lớp 5 - Phân công'!$I$14:$I$262,$T335),IF($S335="Lớp 4",INDEX('Lớp 4 - Danh mục'!$I$14:$I$132,$T335),INDEX('Lớp 3 - Công việc chính'!$I$14:$I$73,$T335))))</f>
        <v>#REF!</v>
      </c>
      <c r="C335" s="690" t="str">
        <f t="array" ref="C335">IF($S335="","",IF($S335="Lớp 5",INDEX('Lớp 5 - Phân công'!$K$14:$K$262,$T335),IF($S335="Lớp 4",INDEX('Lớp 4 - Danh mục'!$J$14:$J$132,$T335),INDEX('Lớp 3 - Công việc chính'!$I$14:$I$73,$T335))))</f>
        <v>#REF!</v>
      </c>
      <c r="D335" s="690" t="str">
        <f t="array" ref="D335">IF($S335="","",IF($S335="Lớp 5",INDEX('Lớp 5 - Phân công'!$J$14:$J$262,$T335),IF($S335="Lớp 4",INDEX('Lớp 4 - Danh mục'!$I$14:$I$132,$T335),"")))</f>
        <v>#REF!</v>
      </c>
      <c r="E335" s="690" t="str">
        <f t="array" ref="E335">IF($S335="","",IF($S335="Lớp 5",INDEX('Lớp 5 - Phân công'!$L$14:$L$262,$T335),IF($S335="Lớp 4",INDEX('Lớp 4 - Danh mục'!$K$14:$K$132,$T335),INDEX('Lớp 3 - Công việc chính'!$J$14:$J$73,$T335))))</f>
        <v>#REF!</v>
      </c>
      <c r="F335" s="690" t="str">
        <f t="array" ref="F335">IF($S335="","",IF($S335="Lớp 5",INDEX('Lớp 5 - Phân công'!$M$14:$M$262,$T335),IF($S335="Lớp 4",INDEX('Lớp 4 - Danh mục'!$L$14:$L$132,$T335),INDEX('Lớp 3 - Công việc chính'!$K$14:$K$73,$T335))))</f>
        <v>#REF!</v>
      </c>
      <c r="G335" s="691" t="str">
        <f t="array" ref="G335">IF($S335="","",IF($S335="Lớp 5",INDEX('Lớp 5 - Phân công'!$N$14:$N$262,$T335),IF($S335="Lớp 4",INDEX('Lớp 4 - Danh mục'!$M$14:$M$132,$T335),INDEX('Lớp 3 - Công việc chính'!$L$14:$L$73,$T335))))</f>
        <v>#REF!</v>
      </c>
      <c r="H335" s="692" t="str">
        <f t="array" ref="H335">IF($S335="","",IF($S335="Lớp 5",INDEX('Lớp 5 - Phân công'!$O$14:$O$262,$T335),IF($S335="Lớp 4",INDEX('Lớp 4 - Danh mục'!$N$14:$N$132,$T335),INDEX('Lớp 3 - Công việc chính'!$M$14:$M$73,$T335))))</f>
        <v>#REF!</v>
      </c>
      <c r="I335" s="692" t="str">
        <f t="array" ref="I335">IF($S335="","",IF($S335="Lớp 5",INDEX('Lớp 5 - Phân công'!$P$14:$P$262,$T335),IF($S335="Lớp 4",INDEX('Lớp 4 - Danh mục'!$O$14:$O$132,$T335),"")))</f>
        <v>#REF!</v>
      </c>
      <c r="J335" s="693" t="str">
        <f t="array" ref="J335">IF($S335="","",IF($S335="Lớp 5",INDEX('Lớp 5 - Phân công'!$Q$14:$Q$262,$T335),""))</f>
        <v>#REF!</v>
      </c>
      <c r="K335" s="690" t="str">
        <f t="array" ref="K335">IF($S335="","",IF($S335="Lớp 5",INDEX('Lớp 5 - Phân công'!$AA$14:$AA$262,$T335),IF($S335="Lớp 4",INDEX('Lớp 4 - Danh mục'!$Y$14:$Y$132,$T335),INDEX('Lớp 3 - Công việc chính'!$U$14:$U$73,$T335))))</f>
        <v>#REF!</v>
      </c>
      <c r="L335" s="691" t="str">
        <f t="array" ref="L335">IF($S335="","",IF($S335="Lớp 5",INDEX('Lớp 5 - Phân công'!$Z$14:$Z$262,$T335),IF($S335="Lớp 4",INDEX('Lớp 4 - Danh mục'!$X$14:$X$132,$T335),INDEX('Lớp 3 - Công việc chính'!$W$14:$W$73,$T335))))</f>
        <v>#REF!</v>
      </c>
      <c r="M335" s="694" t="str">
        <f t="array" ref="M335">IF($S335="","",IF($S335="Lớp 5",INDEX('Lớp 5 - Phân công'!$AD$14:$AD$262,$T335),IF($S335="Lớp 4",INDEX('Lớp 4 - Danh mục'!$AC$14:$AC$132,$T335),INDEX('Lớp 3 - Công việc chính'!$Z$14:$Z$73,$T335))))</f>
        <v>#REF!</v>
      </c>
      <c r="N335" s="695" t="str">
        <f t="array" ref="N335">IF($S335="","",IF($S335="Lớp 5",INDEX('Lớp 5 - Phân công'!$AE$14:$AE$262,$T335),IF($S335="Lớp 4",INDEX('Lớp 4 - Danh mục'!$AD$14:$AD$132,$T335),INDEX('Lớp 3 - Công việc chính'!$AA$14:$AA$73,$T335))))</f>
        <v>#REF!</v>
      </c>
      <c r="O335" s="690" t="str">
        <f t="array" ref="O335">IF($S335="","",IF($S335="Lớp 5",INDEX('Lớp 5 - Phân công'!$AB$14:$AB$262,$T335),IF($S335="Lớp 4",INDEX('Lớp 4 - Danh mục'!$AA$14:$AA$132,$T335),INDEX('Lớp 3 - Công việc chính'!$X$14:$X$73,$T335))))</f>
        <v>#REF!</v>
      </c>
      <c r="P335" s="703" t="str">
        <f t="array" ref="P335">IF($S335="","",IF($S335="Lớp 5",INDEX('Lớp 5 - Phân công'!$AC$14:$AC$262,$T335),IF($S335="Lớp 4",INDEX('Lớp 4 - Danh mục'!$AB$14:$AB$132,$T335),INDEX('Lớp 3 - Công việc chính'!$Y$14:$Y$73,$T335))))</f>
        <v>#REF!</v>
      </c>
      <c r="Q335" s="697" t="str">
        <f t="array" ref="Q335">IF($S335="","",IF($S335="Lớp 5",INDEX('Lớp 5 - Phân công'!$AG$14:$AG$262,$T335),IF($S335="Lớp 4",INDEX('Lớp 4 - Danh mục'!$AF$14:$AF$132,$T335),INDEX('Lớp 3 - Công việc chính'!$AC$14:$AC$73,$T335))))</f>
        <v>#REF!</v>
      </c>
      <c r="R335" s="698" t="str">
        <f t="array" ref="R335">IF($S335="","",IF($S335="Lớp 5",INDEX('Lớp 5 - Phân công'!$X$14:$X$262,$T335),IF($S335="Lớp 4",INDEX('Lớp 4 - Danh mục'!$V$14:$V$132,$T335),INDEX('Lớp 3 - Công việc chính'!$T$14:$T$73,$T335))))</f>
        <v>#REF!</v>
      </c>
      <c r="S335" s="699" t="str">
        <f>IF(ROWS($S$14:S335)&lt;=COUNTIF('Lớp 5 - Phân công'!$I$14:$I$262,"&lt;&gt;"),"Lớp 5",IF(ROWS($S$14:S335)&lt;=COUNTIF('Lớp 5 - Phân công'!$I$14:$I$262,"&lt;&gt;")+SUMPRODUCT(--('Lớp 4 - Danh mục'!$I$14:$I$132&lt;&gt;""),--(COUNTIF('Lớp 5 - Phân công'!$J$14:$J$262,'Lớp 4 - Danh mục'!$I$14:$I$132)=0)),"Lớp 4",IF(ROWS($S$14:S335)&lt;=COUNTIF('Lớp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5" s="699" t="str">
        <f t="array" ref="T335">IF(S335="","",IF(S335="Lớp 5",IF(S334&lt;&gt;"Lớp 5",MATCH("*",'Lớp 5 - Phân công'!$I$14:$I$262,0),T334+MATCH("*",INDEX('Lớp 5 - Phân công'!$I$14:$I$262,T334+1):'Lớp 5 - Phân công'!$I$262,0)),IF(S335="Lớp 4",IF(S334&lt;&gt;"Lớp 4",MATCH(1,INDEX(('Lớp 4 - Danh mục'!$I$14:$I$132&lt;&gt;"")*(COUNTIF('Lớp 5 - Phân công'!$J$14:$J$262,'Lớp 4 - Danh mục'!$I$14:$I$132)=0),0),0),T334+MATCH(1,INDEX((INDEX('Lớp 4 - Danh mục'!$I$14:$I$132,T334+1):'Lớp 4 - Danh mục'!$I$132&lt;&gt;"")*(COUNTIF('Lớp 5 - Phân công'!$J$14:$J$262,INDEX('Lớp 4 - Danh mục'!$I$14:$I$132,T334+1):'Lớp 4 - Danh mục'!$I$132)=0),0),0)),IF(S334&lt;&gt;"Lớp 3",MATCH(1,INDEX(('Lớp 3 - Công việc chính'!$I$14:$I$73&lt;&gt;"")*(COUNTIF('Lớp 4 - Danh mục'!$J$14:$J$132,'Lớp 3 - Công việc chính'!$I$14:$I$73)=0),0),0),T334+MATCH(1,INDEX((INDEX('Lớp 3 - Công việc chính'!$I$14:$I$73,T334+1):'Lớp 3 - Công việc chính'!$I$73&lt;&gt;"")*(COUNTIF('Lớp 4 - Danh mục'!$J$14:$J$132,INDEX('Lớp 3 - Công việc chính'!$I$14:$I$73,T334+1):'Lớp 3 - Công việc chính'!$I$73)=0),0),0)))))</f>
        <v>#REF!</v>
      </c>
      <c r="Z335" s="700" t="str">
        <f t="array" ref="Z335">IF($S335="","",IF($S335="Lớp 5",INDEX('Lớp 5 - Phân công'!$AS$14:$AS$262,$T335),IF($S335="Lớp 4",INDEX('Lớp 4 - Danh mục'!$AR$14:$AR$132,$T335),INDEX('Lớp 3 - Công việc chính'!$AO$14:$AO$73,$T335))))</f>
        <v>#REF!</v>
      </c>
      <c r="AA335" s="701" t="str">
        <f t="array" ref="AA335">IF($S335="","",IF($S335="Lớp 5",INDEX('Lớp 5 - Phân công'!$AT$14:$AT$262,$T335),IF($S335="Lớp 4",INDEX('Lớp 4 - Danh mục'!$AS$14:$AS$132,$T335),INDEX('Lớp 3 - Công việc chính'!$AP$14:$AP$73,$T335))))</f>
        <v>#REF!</v>
      </c>
      <c r="AB335" s="701" t="str">
        <f t="array" ref="AB335">IF($S335="","",IF($S335="Lớp 5",INDEX('Lớp 5 - Phân công'!$AJ$14:$AJ$262,$T335),IF($S335="Lớp 4",INDEX('Lớp 4 - Danh mục'!$AI$14:$AI$132,$T335),INDEX('Lớp 3 - Công việc chính'!$AF$14:$AF$73,$T335))))</f>
        <v>#REF!</v>
      </c>
      <c r="AC335" s="702" t="str">
        <f t="array" ref="AC335">IF($S335="","",IF($S335="Lớp 5",INDEX('Lớp 5 - Phân công'!$AV$14:$AV$262,$T335),IF($S335="Lớp 4",INDEX('Lớp 4 - Danh mục'!$AU$14:$AU$132,$T335),INDEX('Lớp 3 - Công việc chính'!$AR$14:$AR$73,$T335))))</f>
        <v>#REF!</v>
      </c>
    </row>
    <row r="336" ht="15.75" customHeight="1">
      <c r="A336" s="690" t="str">
        <f t="shared" si="1"/>
        <v>#REF!</v>
      </c>
      <c r="B336" s="690" t="str">
        <f t="array" ref="B336">IF($S336="","",IF($S336="Lớp 5",INDEX('Lớp 5 - Phân công'!$I$14:$I$262,$T336),IF($S336="Lớp 4",INDEX('Lớp 4 - Danh mục'!$I$14:$I$132,$T336),INDEX('Lớp 3 - Công việc chính'!$I$14:$I$73,$T336))))</f>
        <v>#REF!</v>
      </c>
      <c r="C336" s="690" t="str">
        <f t="array" ref="C336">IF($S336="","",IF($S336="Lớp 5",INDEX('Lớp 5 - Phân công'!$K$14:$K$262,$T336),IF($S336="Lớp 4",INDEX('Lớp 4 - Danh mục'!$J$14:$J$132,$T336),INDEX('Lớp 3 - Công việc chính'!$I$14:$I$73,$T336))))</f>
        <v>#REF!</v>
      </c>
      <c r="D336" s="690" t="str">
        <f t="array" ref="D336">IF($S336="","",IF($S336="Lớp 5",INDEX('Lớp 5 - Phân công'!$J$14:$J$262,$T336),IF($S336="Lớp 4",INDEX('Lớp 4 - Danh mục'!$I$14:$I$132,$T336),"")))</f>
        <v>#REF!</v>
      </c>
      <c r="E336" s="690" t="str">
        <f t="array" ref="E336">IF($S336="","",IF($S336="Lớp 5",INDEX('Lớp 5 - Phân công'!$L$14:$L$262,$T336),IF($S336="Lớp 4",INDEX('Lớp 4 - Danh mục'!$K$14:$K$132,$T336),INDEX('Lớp 3 - Công việc chính'!$J$14:$J$73,$T336))))</f>
        <v>#REF!</v>
      </c>
      <c r="F336" s="690" t="str">
        <f t="array" ref="F336">IF($S336="","",IF($S336="Lớp 5",INDEX('Lớp 5 - Phân công'!$M$14:$M$262,$T336),IF($S336="Lớp 4",INDEX('Lớp 4 - Danh mục'!$L$14:$L$132,$T336),INDEX('Lớp 3 - Công việc chính'!$K$14:$K$73,$T336))))</f>
        <v>#REF!</v>
      </c>
      <c r="G336" s="691" t="str">
        <f t="array" ref="G336">IF($S336="","",IF($S336="Lớp 5",INDEX('Lớp 5 - Phân công'!$N$14:$N$262,$T336),IF($S336="Lớp 4",INDEX('Lớp 4 - Danh mục'!$M$14:$M$132,$T336),INDEX('Lớp 3 - Công việc chính'!$L$14:$L$73,$T336))))</f>
        <v>#REF!</v>
      </c>
      <c r="H336" s="692" t="str">
        <f t="array" ref="H336">IF($S336="","",IF($S336="Lớp 5",INDEX('Lớp 5 - Phân công'!$O$14:$O$262,$T336),IF($S336="Lớp 4",INDEX('Lớp 4 - Danh mục'!$N$14:$N$132,$T336),INDEX('Lớp 3 - Công việc chính'!$M$14:$M$73,$T336))))</f>
        <v>#REF!</v>
      </c>
      <c r="I336" s="692" t="str">
        <f t="array" ref="I336">IF($S336="","",IF($S336="Lớp 5",INDEX('Lớp 5 - Phân công'!$P$14:$P$262,$T336),IF($S336="Lớp 4",INDEX('Lớp 4 - Danh mục'!$O$14:$O$132,$T336),"")))</f>
        <v>#REF!</v>
      </c>
      <c r="J336" s="693" t="str">
        <f t="array" ref="J336">IF($S336="","",IF($S336="Lớp 5",INDEX('Lớp 5 - Phân công'!$Q$14:$Q$262,$T336),""))</f>
        <v>#REF!</v>
      </c>
      <c r="K336" s="690" t="str">
        <f t="array" ref="K336">IF($S336="","",IF($S336="Lớp 5",INDEX('Lớp 5 - Phân công'!$AA$14:$AA$262,$T336),IF($S336="Lớp 4",INDEX('Lớp 4 - Danh mục'!$Y$14:$Y$132,$T336),INDEX('Lớp 3 - Công việc chính'!$U$14:$U$73,$T336))))</f>
        <v>#REF!</v>
      </c>
      <c r="L336" s="691" t="str">
        <f t="array" ref="L336">IF($S336="","",IF($S336="Lớp 5",INDEX('Lớp 5 - Phân công'!$Z$14:$Z$262,$T336),IF($S336="Lớp 4",INDEX('Lớp 4 - Danh mục'!$X$14:$X$132,$T336),INDEX('Lớp 3 - Công việc chính'!$W$14:$W$73,$T336))))</f>
        <v>#REF!</v>
      </c>
      <c r="M336" s="694" t="str">
        <f t="array" ref="M336">IF($S336="","",IF($S336="Lớp 5",INDEX('Lớp 5 - Phân công'!$AD$14:$AD$262,$T336),IF($S336="Lớp 4",INDEX('Lớp 4 - Danh mục'!$AC$14:$AC$132,$T336),INDEX('Lớp 3 - Công việc chính'!$Z$14:$Z$73,$T336))))</f>
        <v>#REF!</v>
      </c>
      <c r="N336" s="695" t="str">
        <f t="array" ref="N336">IF($S336="","",IF($S336="Lớp 5",INDEX('Lớp 5 - Phân công'!$AE$14:$AE$262,$T336),IF($S336="Lớp 4",INDEX('Lớp 4 - Danh mục'!$AD$14:$AD$132,$T336),INDEX('Lớp 3 - Công việc chính'!$AA$14:$AA$73,$T336))))</f>
        <v>#REF!</v>
      </c>
      <c r="O336" s="690" t="str">
        <f t="array" ref="O336">IF($S336="","",IF($S336="Lớp 5",INDEX('Lớp 5 - Phân công'!$AB$14:$AB$262,$T336),IF($S336="Lớp 4",INDEX('Lớp 4 - Danh mục'!$AA$14:$AA$132,$T336),INDEX('Lớp 3 - Công việc chính'!$X$14:$X$73,$T336))))</f>
        <v>#REF!</v>
      </c>
      <c r="P336" s="703" t="str">
        <f t="array" ref="P336">IF($S336="","",IF($S336="Lớp 5",INDEX('Lớp 5 - Phân công'!$AC$14:$AC$262,$T336),IF($S336="Lớp 4",INDEX('Lớp 4 - Danh mục'!$AB$14:$AB$132,$T336),INDEX('Lớp 3 - Công việc chính'!$Y$14:$Y$73,$T336))))</f>
        <v>#REF!</v>
      </c>
      <c r="Q336" s="697" t="str">
        <f t="array" ref="Q336">IF($S336="","",IF($S336="Lớp 5",INDEX('Lớp 5 - Phân công'!$AG$14:$AG$262,$T336),IF($S336="Lớp 4",INDEX('Lớp 4 - Danh mục'!$AF$14:$AF$132,$T336),INDEX('Lớp 3 - Công việc chính'!$AC$14:$AC$73,$T336))))</f>
        <v>#REF!</v>
      </c>
      <c r="R336" s="698" t="str">
        <f t="array" ref="R336">IF($S336="","",IF($S336="Lớp 5",INDEX('Lớp 5 - Phân công'!$X$14:$X$262,$T336),IF($S336="Lớp 4",INDEX('Lớp 4 - Danh mục'!$V$14:$V$132,$T336),INDEX('Lớp 3 - Công việc chính'!$T$14:$T$73,$T336))))</f>
        <v>#REF!</v>
      </c>
      <c r="S336" s="699" t="str">
        <f>IF(ROWS($S$14:S336)&lt;=COUNTIF('Lớp 5 - Phân công'!$I$14:$I$262,"&lt;&gt;"),"Lớp 5",IF(ROWS($S$14:S336)&lt;=COUNTIF('Lớp 5 - Phân công'!$I$14:$I$262,"&lt;&gt;")+SUMPRODUCT(--('Lớp 4 - Danh mục'!$I$14:$I$132&lt;&gt;""),--(COUNTIF('Lớp 5 - Phân công'!$J$14:$J$262,'Lớp 4 - Danh mục'!$I$14:$I$132)=0)),"Lớp 4",IF(ROWS($S$14:S336)&lt;=COUNTIF('Lớp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6" s="699" t="str">
        <f t="array" ref="T336">IF(S336="","",IF(S336="Lớp 5",IF(S335&lt;&gt;"Lớp 5",MATCH("*",'Lớp 5 - Phân công'!$I$14:$I$262,0),T335+MATCH("*",INDEX('Lớp 5 - Phân công'!$I$14:$I$262,T335+1):'Lớp 5 - Phân công'!$I$262,0)),IF(S336="Lớp 4",IF(S335&lt;&gt;"Lớp 4",MATCH(1,INDEX(('Lớp 4 - Danh mục'!$I$14:$I$132&lt;&gt;"")*(COUNTIF('Lớp 5 - Phân công'!$J$14:$J$262,'Lớp 4 - Danh mục'!$I$14:$I$132)=0),0),0),T335+MATCH(1,INDEX((INDEX('Lớp 4 - Danh mục'!$I$14:$I$132,T335+1):'Lớp 4 - Danh mục'!$I$132&lt;&gt;"")*(COUNTIF('Lớp 5 - Phân công'!$J$14:$J$262,INDEX('Lớp 4 - Danh mục'!$I$14:$I$132,T335+1):'Lớp 4 - Danh mục'!$I$132)=0),0),0)),IF(S335&lt;&gt;"Lớp 3",MATCH(1,INDEX(('Lớp 3 - Công việc chính'!$I$14:$I$73&lt;&gt;"")*(COUNTIF('Lớp 4 - Danh mục'!$J$14:$J$132,'Lớp 3 - Công việc chính'!$I$14:$I$73)=0),0),0),T335+MATCH(1,INDEX((INDEX('Lớp 3 - Công việc chính'!$I$14:$I$73,T335+1):'Lớp 3 - Công việc chính'!$I$73&lt;&gt;"")*(COUNTIF('Lớp 4 - Danh mục'!$J$14:$J$132,INDEX('Lớp 3 - Công việc chính'!$I$14:$I$73,T335+1):'Lớp 3 - Công việc chính'!$I$73)=0),0),0)))))</f>
        <v>#REF!</v>
      </c>
      <c r="Z336" s="700" t="str">
        <f t="array" ref="Z336">IF($S336="","",IF($S336="Lớp 5",INDEX('Lớp 5 - Phân công'!$AS$14:$AS$262,$T336),IF($S336="Lớp 4",INDEX('Lớp 4 - Danh mục'!$AR$14:$AR$132,$T336),INDEX('Lớp 3 - Công việc chính'!$AO$14:$AO$73,$T336))))</f>
        <v>#REF!</v>
      </c>
      <c r="AA336" s="701" t="str">
        <f t="array" ref="AA336">IF($S336="","",IF($S336="Lớp 5",INDEX('Lớp 5 - Phân công'!$AT$14:$AT$262,$T336),IF($S336="Lớp 4",INDEX('Lớp 4 - Danh mục'!$AS$14:$AS$132,$T336),INDEX('Lớp 3 - Công việc chính'!$AP$14:$AP$73,$T336))))</f>
        <v>#REF!</v>
      </c>
      <c r="AB336" s="701" t="str">
        <f t="array" ref="AB336">IF($S336="","",IF($S336="Lớp 5",INDEX('Lớp 5 - Phân công'!$AJ$14:$AJ$262,$T336),IF($S336="Lớp 4",INDEX('Lớp 4 - Danh mục'!$AI$14:$AI$132,$T336),INDEX('Lớp 3 - Công việc chính'!$AF$14:$AF$73,$T336))))</f>
        <v>#REF!</v>
      </c>
      <c r="AC336" s="702" t="str">
        <f t="array" ref="AC336">IF($S336="","",IF($S336="Lớp 5",INDEX('Lớp 5 - Phân công'!$AV$14:$AV$262,$T336),IF($S336="Lớp 4",INDEX('Lớp 4 - Danh mục'!$AU$14:$AU$132,$T336),INDEX('Lớp 3 - Công việc chính'!$AR$14:$AR$73,$T336))))</f>
        <v>#REF!</v>
      </c>
    </row>
    <row r="337" ht="15.75" customHeight="1">
      <c r="A337" s="690" t="str">
        <f t="shared" si="1"/>
        <v>#REF!</v>
      </c>
      <c r="B337" s="690" t="str">
        <f t="array" ref="B337">IF($S337="","",IF($S337="Lớp 5",INDEX('Lớp 5 - Phân công'!$I$14:$I$262,$T337),IF($S337="Lớp 4",INDEX('Lớp 4 - Danh mục'!$I$14:$I$132,$T337),INDEX('Lớp 3 - Công việc chính'!$I$14:$I$73,$T337))))</f>
        <v>#REF!</v>
      </c>
      <c r="C337" s="690" t="str">
        <f t="array" ref="C337">IF($S337="","",IF($S337="Lớp 5",INDEX('Lớp 5 - Phân công'!$K$14:$K$262,$T337),IF($S337="Lớp 4",INDEX('Lớp 4 - Danh mục'!$J$14:$J$132,$T337),INDEX('Lớp 3 - Công việc chính'!$I$14:$I$73,$T337))))</f>
        <v>#REF!</v>
      </c>
      <c r="D337" s="690" t="str">
        <f t="array" ref="D337">IF($S337="","",IF($S337="Lớp 5",INDEX('Lớp 5 - Phân công'!$J$14:$J$262,$T337),IF($S337="Lớp 4",INDEX('Lớp 4 - Danh mục'!$I$14:$I$132,$T337),"")))</f>
        <v>#REF!</v>
      </c>
      <c r="E337" s="690" t="str">
        <f t="array" ref="E337">IF($S337="","",IF($S337="Lớp 5",INDEX('Lớp 5 - Phân công'!$L$14:$L$262,$T337),IF($S337="Lớp 4",INDEX('Lớp 4 - Danh mục'!$K$14:$K$132,$T337),INDEX('Lớp 3 - Công việc chính'!$J$14:$J$73,$T337))))</f>
        <v>#REF!</v>
      </c>
      <c r="F337" s="690" t="str">
        <f t="array" ref="F337">IF($S337="","",IF($S337="Lớp 5",INDEX('Lớp 5 - Phân công'!$M$14:$M$262,$T337),IF($S337="Lớp 4",INDEX('Lớp 4 - Danh mục'!$L$14:$L$132,$T337),INDEX('Lớp 3 - Công việc chính'!$K$14:$K$73,$T337))))</f>
        <v>#REF!</v>
      </c>
      <c r="G337" s="691" t="str">
        <f t="array" ref="G337">IF($S337="","",IF($S337="Lớp 5",INDEX('Lớp 5 - Phân công'!$N$14:$N$262,$T337),IF($S337="Lớp 4",INDEX('Lớp 4 - Danh mục'!$M$14:$M$132,$T337),INDEX('Lớp 3 - Công việc chính'!$L$14:$L$73,$T337))))</f>
        <v>#REF!</v>
      </c>
      <c r="H337" s="692" t="str">
        <f t="array" ref="H337">IF($S337="","",IF($S337="Lớp 5",INDEX('Lớp 5 - Phân công'!$O$14:$O$262,$T337),IF($S337="Lớp 4",INDEX('Lớp 4 - Danh mục'!$N$14:$N$132,$T337),INDEX('Lớp 3 - Công việc chính'!$M$14:$M$73,$T337))))</f>
        <v>#REF!</v>
      </c>
      <c r="I337" s="692" t="str">
        <f t="array" ref="I337">IF($S337="","",IF($S337="Lớp 5",INDEX('Lớp 5 - Phân công'!$P$14:$P$262,$T337),IF($S337="Lớp 4",INDEX('Lớp 4 - Danh mục'!$O$14:$O$132,$T337),"")))</f>
        <v>#REF!</v>
      </c>
      <c r="J337" s="693" t="str">
        <f t="array" ref="J337">IF($S337="","",IF($S337="Lớp 5",INDEX('Lớp 5 - Phân công'!$Q$14:$Q$262,$T337),""))</f>
        <v>#REF!</v>
      </c>
      <c r="K337" s="690" t="str">
        <f t="array" ref="K337">IF($S337="","",IF($S337="Lớp 5",INDEX('Lớp 5 - Phân công'!$AA$14:$AA$262,$T337),IF($S337="Lớp 4",INDEX('Lớp 4 - Danh mục'!$Y$14:$Y$132,$T337),INDEX('Lớp 3 - Công việc chính'!$U$14:$U$73,$T337))))</f>
        <v>#REF!</v>
      </c>
      <c r="L337" s="691" t="str">
        <f t="array" ref="L337">IF($S337="","",IF($S337="Lớp 5",INDEX('Lớp 5 - Phân công'!$Z$14:$Z$262,$T337),IF($S337="Lớp 4",INDEX('Lớp 4 - Danh mục'!$X$14:$X$132,$T337),INDEX('Lớp 3 - Công việc chính'!$W$14:$W$73,$T337))))</f>
        <v>#REF!</v>
      </c>
      <c r="M337" s="694" t="str">
        <f t="array" ref="M337">IF($S337="","",IF($S337="Lớp 5",INDEX('Lớp 5 - Phân công'!$AD$14:$AD$262,$T337),IF($S337="Lớp 4",INDEX('Lớp 4 - Danh mục'!$AC$14:$AC$132,$T337),INDEX('Lớp 3 - Công việc chính'!$Z$14:$Z$73,$T337))))</f>
        <v>#REF!</v>
      </c>
      <c r="N337" s="695" t="str">
        <f t="array" ref="N337">IF($S337="","",IF($S337="Lớp 5",INDEX('Lớp 5 - Phân công'!$AE$14:$AE$262,$T337),IF($S337="Lớp 4",INDEX('Lớp 4 - Danh mục'!$AD$14:$AD$132,$T337),INDEX('Lớp 3 - Công việc chính'!$AA$14:$AA$73,$T337))))</f>
        <v>#REF!</v>
      </c>
      <c r="O337" s="690" t="str">
        <f t="array" ref="O337">IF($S337="","",IF($S337="Lớp 5",INDEX('Lớp 5 - Phân công'!$AB$14:$AB$262,$T337),IF($S337="Lớp 4",INDEX('Lớp 4 - Danh mục'!$AA$14:$AA$132,$T337),INDEX('Lớp 3 - Công việc chính'!$X$14:$X$73,$T337))))</f>
        <v>#REF!</v>
      </c>
      <c r="P337" s="703" t="str">
        <f t="array" ref="P337">IF($S337="","",IF($S337="Lớp 5",INDEX('Lớp 5 - Phân công'!$AC$14:$AC$262,$T337),IF($S337="Lớp 4",INDEX('Lớp 4 - Danh mục'!$AB$14:$AB$132,$T337),INDEX('Lớp 3 - Công việc chính'!$Y$14:$Y$73,$T337))))</f>
        <v>#REF!</v>
      </c>
      <c r="Q337" s="697" t="str">
        <f t="array" ref="Q337">IF($S337="","",IF($S337="Lớp 5",INDEX('Lớp 5 - Phân công'!$AG$14:$AG$262,$T337),IF($S337="Lớp 4",INDEX('Lớp 4 - Danh mục'!$AF$14:$AF$132,$T337),INDEX('Lớp 3 - Công việc chính'!$AC$14:$AC$73,$T337))))</f>
        <v>#REF!</v>
      </c>
      <c r="R337" s="698" t="str">
        <f t="array" ref="R337">IF($S337="","",IF($S337="Lớp 5",INDEX('Lớp 5 - Phân công'!$X$14:$X$262,$T337),IF($S337="Lớp 4",INDEX('Lớp 4 - Danh mục'!$V$14:$V$132,$T337),INDEX('Lớp 3 - Công việc chính'!$T$14:$T$73,$T337))))</f>
        <v>#REF!</v>
      </c>
      <c r="S337" s="699" t="str">
        <f>IF(ROWS($S$14:S337)&lt;=COUNTIF('Lớp 5 - Phân công'!$I$14:$I$262,"&lt;&gt;"),"Lớp 5",IF(ROWS($S$14:S337)&lt;=COUNTIF('Lớp 5 - Phân công'!$I$14:$I$262,"&lt;&gt;")+SUMPRODUCT(--('Lớp 4 - Danh mục'!$I$14:$I$132&lt;&gt;""),--(COUNTIF('Lớp 5 - Phân công'!$J$14:$J$262,'Lớp 4 - Danh mục'!$I$14:$I$132)=0)),"Lớp 4",IF(ROWS($S$14:S337)&lt;=COUNTIF('Lớp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7" s="699" t="str">
        <f t="array" ref="T337">IF(S337="","",IF(S337="Lớp 5",IF(S336&lt;&gt;"Lớp 5",MATCH("*",'Lớp 5 - Phân công'!$I$14:$I$262,0),T336+MATCH("*",INDEX('Lớp 5 - Phân công'!$I$14:$I$262,T336+1):'Lớp 5 - Phân công'!$I$262,0)),IF(S337="Lớp 4",IF(S336&lt;&gt;"Lớp 4",MATCH(1,INDEX(('Lớp 4 - Danh mục'!$I$14:$I$132&lt;&gt;"")*(COUNTIF('Lớp 5 - Phân công'!$J$14:$J$262,'Lớp 4 - Danh mục'!$I$14:$I$132)=0),0),0),T336+MATCH(1,INDEX((INDEX('Lớp 4 - Danh mục'!$I$14:$I$132,T336+1):'Lớp 4 - Danh mục'!$I$132&lt;&gt;"")*(COUNTIF('Lớp 5 - Phân công'!$J$14:$J$262,INDEX('Lớp 4 - Danh mục'!$I$14:$I$132,T336+1):'Lớp 4 - Danh mục'!$I$132)=0),0),0)),IF(S336&lt;&gt;"Lớp 3",MATCH(1,INDEX(('Lớp 3 - Công việc chính'!$I$14:$I$73&lt;&gt;"")*(COUNTIF('Lớp 4 - Danh mục'!$J$14:$J$132,'Lớp 3 - Công việc chính'!$I$14:$I$73)=0),0),0),T336+MATCH(1,INDEX((INDEX('Lớp 3 - Công việc chính'!$I$14:$I$73,T336+1):'Lớp 3 - Công việc chính'!$I$73&lt;&gt;"")*(COUNTIF('Lớp 4 - Danh mục'!$J$14:$J$132,INDEX('Lớp 3 - Công việc chính'!$I$14:$I$73,T336+1):'Lớp 3 - Công việc chính'!$I$73)=0),0),0)))))</f>
        <v>#REF!</v>
      </c>
      <c r="Z337" s="700" t="str">
        <f t="array" ref="Z337">IF($S337="","",IF($S337="Lớp 5",INDEX('Lớp 5 - Phân công'!$AS$14:$AS$262,$T337),IF($S337="Lớp 4",INDEX('Lớp 4 - Danh mục'!$AR$14:$AR$132,$T337),INDEX('Lớp 3 - Công việc chính'!$AO$14:$AO$73,$T337))))</f>
        <v>#REF!</v>
      </c>
      <c r="AA337" s="701" t="str">
        <f t="array" ref="AA337">IF($S337="","",IF($S337="Lớp 5",INDEX('Lớp 5 - Phân công'!$AT$14:$AT$262,$T337),IF($S337="Lớp 4",INDEX('Lớp 4 - Danh mục'!$AS$14:$AS$132,$T337),INDEX('Lớp 3 - Công việc chính'!$AP$14:$AP$73,$T337))))</f>
        <v>#REF!</v>
      </c>
      <c r="AB337" s="701" t="str">
        <f t="array" ref="AB337">IF($S337="","",IF($S337="Lớp 5",INDEX('Lớp 5 - Phân công'!$AJ$14:$AJ$262,$T337),IF($S337="Lớp 4",INDEX('Lớp 4 - Danh mục'!$AI$14:$AI$132,$T337),INDEX('Lớp 3 - Công việc chính'!$AF$14:$AF$73,$T337))))</f>
        <v>#REF!</v>
      </c>
      <c r="AC337" s="702" t="str">
        <f t="array" ref="AC337">IF($S337="","",IF($S337="Lớp 5",INDEX('Lớp 5 - Phân công'!$AV$14:$AV$262,$T337),IF($S337="Lớp 4",INDEX('Lớp 4 - Danh mục'!$AU$14:$AU$132,$T337),INDEX('Lớp 3 - Công việc chính'!$AR$14:$AR$73,$T337))))</f>
        <v>#REF!</v>
      </c>
    </row>
    <row r="338" ht="15.75" customHeight="1">
      <c r="A338" s="690" t="str">
        <f t="shared" si="1"/>
        <v>#REF!</v>
      </c>
      <c r="B338" s="690" t="str">
        <f t="array" ref="B338">IF($S338="","",IF($S338="Lớp 5",INDEX('Lớp 5 - Phân công'!$I$14:$I$262,$T338),IF($S338="Lớp 4",INDEX('Lớp 4 - Danh mục'!$I$14:$I$132,$T338),INDEX('Lớp 3 - Công việc chính'!$I$14:$I$73,$T338))))</f>
        <v>#REF!</v>
      </c>
      <c r="C338" s="690" t="str">
        <f t="array" ref="C338">IF($S338="","",IF($S338="Lớp 5",INDEX('Lớp 5 - Phân công'!$K$14:$K$262,$T338),IF($S338="Lớp 4",INDEX('Lớp 4 - Danh mục'!$J$14:$J$132,$T338),INDEX('Lớp 3 - Công việc chính'!$I$14:$I$73,$T338))))</f>
        <v>#REF!</v>
      </c>
      <c r="D338" s="690" t="str">
        <f t="array" ref="D338">IF($S338="","",IF($S338="Lớp 5",INDEX('Lớp 5 - Phân công'!$J$14:$J$262,$T338),IF($S338="Lớp 4",INDEX('Lớp 4 - Danh mục'!$I$14:$I$132,$T338),"")))</f>
        <v>#REF!</v>
      </c>
      <c r="E338" s="690" t="str">
        <f t="array" ref="E338">IF($S338="","",IF($S338="Lớp 5",INDEX('Lớp 5 - Phân công'!$L$14:$L$262,$T338),IF($S338="Lớp 4",INDEX('Lớp 4 - Danh mục'!$K$14:$K$132,$T338),INDEX('Lớp 3 - Công việc chính'!$J$14:$J$73,$T338))))</f>
        <v>#REF!</v>
      </c>
      <c r="F338" s="690" t="str">
        <f t="array" ref="F338">IF($S338="","",IF($S338="Lớp 5",INDEX('Lớp 5 - Phân công'!$M$14:$M$262,$T338),IF($S338="Lớp 4",INDEX('Lớp 4 - Danh mục'!$L$14:$L$132,$T338),INDEX('Lớp 3 - Công việc chính'!$K$14:$K$73,$T338))))</f>
        <v>#REF!</v>
      </c>
      <c r="G338" s="691" t="str">
        <f t="array" ref="G338">IF($S338="","",IF($S338="Lớp 5",INDEX('Lớp 5 - Phân công'!$N$14:$N$262,$T338),IF($S338="Lớp 4",INDEX('Lớp 4 - Danh mục'!$M$14:$M$132,$T338),INDEX('Lớp 3 - Công việc chính'!$L$14:$L$73,$T338))))</f>
        <v>#REF!</v>
      </c>
      <c r="H338" s="692" t="str">
        <f t="array" ref="H338">IF($S338="","",IF($S338="Lớp 5",INDEX('Lớp 5 - Phân công'!$O$14:$O$262,$T338),IF($S338="Lớp 4",INDEX('Lớp 4 - Danh mục'!$N$14:$N$132,$T338),INDEX('Lớp 3 - Công việc chính'!$M$14:$M$73,$T338))))</f>
        <v>#REF!</v>
      </c>
      <c r="I338" s="692" t="str">
        <f t="array" ref="I338">IF($S338="","",IF($S338="Lớp 5",INDEX('Lớp 5 - Phân công'!$P$14:$P$262,$T338),IF($S338="Lớp 4",INDEX('Lớp 4 - Danh mục'!$O$14:$O$132,$T338),"")))</f>
        <v>#REF!</v>
      </c>
      <c r="J338" s="693" t="str">
        <f t="array" ref="J338">IF($S338="","",IF($S338="Lớp 5",INDEX('Lớp 5 - Phân công'!$Q$14:$Q$262,$T338),""))</f>
        <v>#REF!</v>
      </c>
      <c r="K338" s="690" t="str">
        <f t="array" ref="K338">IF($S338="","",IF($S338="Lớp 5",INDEX('Lớp 5 - Phân công'!$AA$14:$AA$262,$T338),IF($S338="Lớp 4",INDEX('Lớp 4 - Danh mục'!$Y$14:$Y$132,$T338),INDEX('Lớp 3 - Công việc chính'!$U$14:$U$73,$T338))))</f>
        <v>#REF!</v>
      </c>
      <c r="L338" s="691" t="str">
        <f t="array" ref="L338">IF($S338="","",IF($S338="Lớp 5",INDEX('Lớp 5 - Phân công'!$Z$14:$Z$262,$T338),IF($S338="Lớp 4",INDEX('Lớp 4 - Danh mục'!$X$14:$X$132,$T338),INDEX('Lớp 3 - Công việc chính'!$W$14:$W$73,$T338))))</f>
        <v>#REF!</v>
      </c>
      <c r="M338" s="694" t="str">
        <f t="array" ref="M338">IF($S338="","",IF($S338="Lớp 5",INDEX('Lớp 5 - Phân công'!$AD$14:$AD$262,$T338),IF($S338="Lớp 4",INDEX('Lớp 4 - Danh mục'!$AC$14:$AC$132,$T338),INDEX('Lớp 3 - Công việc chính'!$Z$14:$Z$73,$T338))))</f>
        <v>#REF!</v>
      </c>
      <c r="N338" s="695" t="str">
        <f t="array" ref="N338">IF($S338="","",IF($S338="Lớp 5",INDEX('Lớp 5 - Phân công'!$AE$14:$AE$262,$T338),IF($S338="Lớp 4",INDEX('Lớp 4 - Danh mục'!$AD$14:$AD$132,$T338),INDEX('Lớp 3 - Công việc chính'!$AA$14:$AA$73,$T338))))</f>
        <v>#REF!</v>
      </c>
      <c r="O338" s="690" t="str">
        <f t="array" ref="O338">IF($S338="","",IF($S338="Lớp 5",INDEX('Lớp 5 - Phân công'!$AB$14:$AB$262,$T338),IF($S338="Lớp 4",INDEX('Lớp 4 - Danh mục'!$AA$14:$AA$132,$T338),INDEX('Lớp 3 - Công việc chính'!$X$14:$X$73,$T338))))</f>
        <v>#REF!</v>
      </c>
      <c r="P338" s="703" t="str">
        <f t="array" ref="P338">IF($S338="","",IF($S338="Lớp 5",INDEX('Lớp 5 - Phân công'!$AC$14:$AC$262,$T338),IF($S338="Lớp 4",INDEX('Lớp 4 - Danh mục'!$AB$14:$AB$132,$T338),INDEX('Lớp 3 - Công việc chính'!$Y$14:$Y$73,$T338))))</f>
        <v>#REF!</v>
      </c>
      <c r="Q338" s="697" t="str">
        <f t="array" ref="Q338">IF($S338="","",IF($S338="Lớp 5",INDEX('Lớp 5 - Phân công'!$AG$14:$AG$262,$T338),IF($S338="Lớp 4",INDEX('Lớp 4 - Danh mục'!$AF$14:$AF$132,$T338),INDEX('Lớp 3 - Công việc chính'!$AC$14:$AC$73,$T338))))</f>
        <v>#REF!</v>
      </c>
      <c r="R338" s="698" t="str">
        <f t="array" ref="R338">IF($S338="","",IF($S338="Lớp 5",INDEX('Lớp 5 - Phân công'!$X$14:$X$262,$T338),IF($S338="Lớp 4",INDEX('Lớp 4 - Danh mục'!$V$14:$V$132,$T338),INDEX('Lớp 3 - Công việc chính'!$T$14:$T$73,$T338))))</f>
        <v>#REF!</v>
      </c>
      <c r="S338" s="699" t="str">
        <f>IF(ROWS($S$14:S338)&lt;=COUNTIF('Lớp 5 - Phân công'!$I$14:$I$262,"&lt;&gt;"),"Lớp 5",IF(ROWS($S$14:S338)&lt;=COUNTIF('Lớp 5 - Phân công'!$I$14:$I$262,"&lt;&gt;")+SUMPRODUCT(--('Lớp 4 - Danh mục'!$I$14:$I$132&lt;&gt;""),--(COUNTIF('Lớp 5 - Phân công'!$J$14:$J$262,'Lớp 4 - Danh mục'!$I$14:$I$132)=0)),"Lớp 4",IF(ROWS($S$14:S338)&lt;=COUNTIF('Lớp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8" s="699" t="str">
        <f t="array" ref="T338">IF(S338="","",IF(S338="Lớp 5",IF(S337&lt;&gt;"Lớp 5",MATCH("*",'Lớp 5 - Phân công'!$I$14:$I$262,0),T337+MATCH("*",INDEX('Lớp 5 - Phân công'!$I$14:$I$262,T337+1):'Lớp 5 - Phân công'!$I$262,0)),IF(S338="Lớp 4",IF(S337&lt;&gt;"Lớp 4",MATCH(1,INDEX(('Lớp 4 - Danh mục'!$I$14:$I$132&lt;&gt;"")*(COUNTIF('Lớp 5 - Phân công'!$J$14:$J$262,'Lớp 4 - Danh mục'!$I$14:$I$132)=0),0),0),T337+MATCH(1,INDEX((INDEX('Lớp 4 - Danh mục'!$I$14:$I$132,T337+1):'Lớp 4 - Danh mục'!$I$132&lt;&gt;"")*(COUNTIF('Lớp 5 - Phân công'!$J$14:$J$262,INDEX('Lớp 4 - Danh mục'!$I$14:$I$132,T337+1):'Lớp 4 - Danh mục'!$I$132)=0),0),0)),IF(S337&lt;&gt;"Lớp 3",MATCH(1,INDEX(('Lớp 3 - Công việc chính'!$I$14:$I$73&lt;&gt;"")*(COUNTIF('Lớp 4 - Danh mục'!$J$14:$J$132,'Lớp 3 - Công việc chính'!$I$14:$I$73)=0),0),0),T337+MATCH(1,INDEX((INDEX('Lớp 3 - Công việc chính'!$I$14:$I$73,T337+1):'Lớp 3 - Công việc chính'!$I$73&lt;&gt;"")*(COUNTIF('Lớp 4 - Danh mục'!$J$14:$J$132,INDEX('Lớp 3 - Công việc chính'!$I$14:$I$73,T337+1):'Lớp 3 - Công việc chính'!$I$73)=0),0),0)))))</f>
        <v>#REF!</v>
      </c>
      <c r="Z338" s="700" t="str">
        <f t="array" ref="Z338">IF($S338="","",IF($S338="Lớp 5",INDEX('Lớp 5 - Phân công'!$AS$14:$AS$262,$T338),IF($S338="Lớp 4",INDEX('Lớp 4 - Danh mục'!$AR$14:$AR$132,$T338),INDEX('Lớp 3 - Công việc chính'!$AO$14:$AO$73,$T338))))</f>
        <v>#REF!</v>
      </c>
      <c r="AA338" s="701" t="str">
        <f t="array" ref="AA338">IF($S338="","",IF($S338="Lớp 5",INDEX('Lớp 5 - Phân công'!$AT$14:$AT$262,$T338),IF($S338="Lớp 4",INDEX('Lớp 4 - Danh mục'!$AS$14:$AS$132,$T338),INDEX('Lớp 3 - Công việc chính'!$AP$14:$AP$73,$T338))))</f>
        <v>#REF!</v>
      </c>
      <c r="AB338" s="701" t="str">
        <f t="array" ref="AB338">IF($S338="","",IF($S338="Lớp 5",INDEX('Lớp 5 - Phân công'!$AJ$14:$AJ$262,$T338),IF($S338="Lớp 4",INDEX('Lớp 4 - Danh mục'!$AI$14:$AI$132,$T338),INDEX('Lớp 3 - Công việc chính'!$AF$14:$AF$73,$T338))))</f>
        <v>#REF!</v>
      </c>
      <c r="AC338" s="702" t="str">
        <f t="array" ref="AC338">IF($S338="","",IF($S338="Lớp 5",INDEX('Lớp 5 - Phân công'!$AV$14:$AV$262,$T338),IF($S338="Lớp 4",INDEX('Lớp 4 - Danh mục'!$AU$14:$AU$132,$T338),INDEX('Lớp 3 - Công việc chính'!$AR$14:$AR$73,$T338))))</f>
        <v>#REF!</v>
      </c>
    </row>
    <row r="339" ht="15.75" customHeight="1">
      <c r="A339" s="690" t="str">
        <f t="shared" si="1"/>
        <v>#REF!</v>
      </c>
      <c r="B339" s="690" t="str">
        <f t="array" ref="B339">IF($S339="","",IF($S339="Lớp 5",INDEX('Lớp 5 - Phân công'!$I$14:$I$262,$T339),IF($S339="Lớp 4",INDEX('Lớp 4 - Danh mục'!$I$14:$I$132,$T339),INDEX('Lớp 3 - Công việc chính'!$I$14:$I$73,$T339))))</f>
        <v>#REF!</v>
      </c>
      <c r="C339" s="690" t="str">
        <f t="array" ref="C339">IF($S339="","",IF($S339="Lớp 5",INDEX('Lớp 5 - Phân công'!$K$14:$K$262,$T339),IF($S339="Lớp 4",INDEX('Lớp 4 - Danh mục'!$J$14:$J$132,$T339),INDEX('Lớp 3 - Công việc chính'!$I$14:$I$73,$T339))))</f>
        <v>#REF!</v>
      </c>
      <c r="D339" s="690" t="str">
        <f t="array" ref="D339">IF($S339="","",IF($S339="Lớp 5",INDEX('Lớp 5 - Phân công'!$J$14:$J$262,$T339),IF($S339="Lớp 4",INDEX('Lớp 4 - Danh mục'!$I$14:$I$132,$T339),"")))</f>
        <v>#REF!</v>
      </c>
      <c r="E339" s="690" t="str">
        <f t="array" ref="E339">IF($S339="","",IF($S339="Lớp 5",INDEX('Lớp 5 - Phân công'!$L$14:$L$262,$T339),IF($S339="Lớp 4",INDEX('Lớp 4 - Danh mục'!$K$14:$K$132,$T339),INDEX('Lớp 3 - Công việc chính'!$J$14:$J$73,$T339))))</f>
        <v>#REF!</v>
      </c>
      <c r="F339" s="690" t="str">
        <f t="array" ref="F339">IF($S339="","",IF($S339="Lớp 5",INDEX('Lớp 5 - Phân công'!$M$14:$M$262,$T339),IF($S339="Lớp 4",INDEX('Lớp 4 - Danh mục'!$L$14:$L$132,$T339),INDEX('Lớp 3 - Công việc chính'!$K$14:$K$73,$T339))))</f>
        <v>#REF!</v>
      </c>
      <c r="G339" s="691" t="str">
        <f t="array" ref="G339">IF($S339="","",IF($S339="Lớp 5",INDEX('Lớp 5 - Phân công'!$N$14:$N$262,$T339),IF($S339="Lớp 4",INDEX('Lớp 4 - Danh mục'!$M$14:$M$132,$T339),INDEX('Lớp 3 - Công việc chính'!$L$14:$L$73,$T339))))</f>
        <v>#REF!</v>
      </c>
      <c r="H339" s="692" t="str">
        <f t="array" ref="H339">IF($S339="","",IF($S339="Lớp 5",INDEX('Lớp 5 - Phân công'!$O$14:$O$262,$T339),IF($S339="Lớp 4",INDEX('Lớp 4 - Danh mục'!$N$14:$N$132,$T339),INDEX('Lớp 3 - Công việc chính'!$M$14:$M$73,$T339))))</f>
        <v>#REF!</v>
      </c>
      <c r="I339" s="692" t="str">
        <f t="array" ref="I339">IF($S339="","",IF($S339="Lớp 5",INDEX('Lớp 5 - Phân công'!$P$14:$P$262,$T339),IF($S339="Lớp 4",INDEX('Lớp 4 - Danh mục'!$O$14:$O$132,$T339),"")))</f>
        <v>#REF!</v>
      </c>
      <c r="J339" s="693" t="str">
        <f t="array" ref="J339">IF($S339="","",IF($S339="Lớp 5",INDEX('Lớp 5 - Phân công'!$Q$14:$Q$262,$T339),""))</f>
        <v>#REF!</v>
      </c>
      <c r="K339" s="690" t="str">
        <f t="array" ref="K339">IF($S339="","",IF($S339="Lớp 5",INDEX('Lớp 5 - Phân công'!$AA$14:$AA$262,$T339),IF($S339="Lớp 4",INDEX('Lớp 4 - Danh mục'!$Y$14:$Y$132,$T339),INDEX('Lớp 3 - Công việc chính'!$U$14:$U$73,$T339))))</f>
        <v>#REF!</v>
      </c>
      <c r="L339" s="691" t="str">
        <f t="array" ref="L339">IF($S339="","",IF($S339="Lớp 5",INDEX('Lớp 5 - Phân công'!$Z$14:$Z$262,$T339),IF($S339="Lớp 4",INDEX('Lớp 4 - Danh mục'!$X$14:$X$132,$T339),INDEX('Lớp 3 - Công việc chính'!$W$14:$W$73,$T339))))</f>
        <v>#REF!</v>
      </c>
      <c r="M339" s="694" t="str">
        <f t="array" ref="M339">IF($S339="","",IF($S339="Lớp 5",INDEX('Lớp 5 - Phân công'!$AD$14:$AD$262,$T339),IF($S339="Lớp 4",INDEX('Lớp 4 - Danh mục'!$AC$14:$AC$132,$T339),INDEX('Lớp 3 - Công việc chính'!$Z$14:$Z$73,$T339))))</f>
        <v>#REF!</v>
      </c>
      <c r="N339" s="695" t="str">
        <f t="array" ref="N339">IF($S339="","",IF($S339="Lớp 5",INDEX('Lớp 5 - Phân công'!$AE$14:$AE$262,$T339),IF($S339="Lớp 4",INDEX('Lớp 4 - Danh mục'!$AD$14:$AD$132,$T339),INDEX('Lớp 3 - Công việc chính'!$AA$14:$AA$73,$T339))))</f>
        <v>#REF!</v>
      </c>
      <c r="O339" s="690" t="str">
        <f t="array" ref="O339">IF($S339="","",IF($S339="Lớp 5",INDEX('Lớp 5 - Phân công'!$AB$14:$AB$262,$T339),IF($S339="Lớp 4",INDEX('Lớp 4 - Danh mục'!$AA$14:$AA$132,$T339),INDEX('Lớp 3 - Công việc chính'!$X$14:$X$73,$T339))))</f>
        <v>#REF!</v>
      </c>
      <c r="P339" s="703" t="str">
        <f t="array" ref="P339">IF($S339="","",IF($S339="Lớp 5",INDEX('Lớp 5 - Phân công'!$AC$14:$AC$262,$T339),IF($S339="Lớp 4",INDEX('Lớp 4 - Danh mục'!$AB$14:$AB$132,$T339),INDEX('Lớp 3 - Công việc chính'!$Y$14:$Y$73,$T339))))</f>
        <v>#REF!</v>
      </c>
      <c r="Q339" s="697" t="str">
        <f t="array" ref="Q339">IF($S339="","",IF($S339="Lớp 5",INDEX('Lớp 5 - Phân công'!$AG$14:$AG$262,$T339),IF($S339="Lớp 4",INDEX('Lớp 4 - Danh mục'!$AF$14:$AF$132,$T339),INDEX('Lớp 3 - Công việc chính'!$AC$14:$AC$73,$T339))))</f>
        <v>#REF!</v>
      </c>
      <c r="R339" s="698" t="str">
        <f t="array" ref="R339">IF($S339="","",IF($S339="Lớp 5",INDEX('Lớp 5 - Phân công'!$X$14:$X$262,$T339),IF($S339="Lớp 4",INDEX('Lớp 4 - Danh mục'!$V$14:$V$132,$T339),INDEX('Lớp 3 - Công việc chính'!$T$14:$T$73,$T339))))</f>
        <v>#REF!</v>
      </c>
      <c r="S339" s="699" t="str">
        <f>IF(ROWS($S$14:S339)&lt;=COUNTIF('Lớp 5 - Phân công'!$I$14:$I$262,"&lt;&gt;"),"Lớp 5",IF(ROWS($S$14:S339)&lt;=COUNTIF('Lớp 5 - Phân công'!$I$14:$I$262,"&lt;&gt;")+SUMPRODUCT(--('Lớp 4 - Danh mục'!$I$14:$I$132&lt;&gt;""),--(COUNTIF('Lớp 5 - Phân công'!$J$14:$J$262,'Lớp 4 - Danh mục'!$I$14:$I$132)=0)),"Lớp 4",IF(ROWS($S$14:S339)&lt;=COUNTIF('Lớp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39" s="699" t="str">
        <f t="array" ref="T339">IF(S339="","",IF(S339="Lớp 5",IF(S338&lt;&gt;"Lớp 5",MATCH("*",'Lớp 5 - Phân công'!$I$14:$I$262,0),T338+MATCH("*",INDEX('Lớp 5 - Phân công'!$I$14:$I$262,T338+1):'Lớp 5 - Phân công'!$I$262,0)),IF(S339="Lớp 4",IF(S338&lt;&gt;"Lớp 4",MATCH(1,INDEX(('Lớp 4 - Danh mục'!$I$14:$I$132&lt;&gt;"")*(COUNTIF('Lớp 5 - Phân công'!$J$14:$J$262,'Lớp 4 - Danh mục'!$I$14:$I$132)=0),0),0),T338+MATCH(1,INDEX((INDEX('Lớp 4 - Danh mục'!$I$14:$I$132,T338+1):'Lớp 4 - Danh mục'!$I$132&lt;&gt;"")*(COUNTIF('Lớp 5 - Phân công'!$J$14:$J$262,INDEX('Lớp 4 - Danh mục'!$I$14:$I$132,T338+1):'Lớp 4 - Danh mục'!$I$132)=0),0),0)),IF(S338&lt;&gt;"Lớp 3",MATCH(1,INDEX(('Lớp 3 - Công việc chính'!$I$14:$I$73&lt;&gt;"")*(COUNTIF('Lớp 4 - Danh mục'!$J$14:$J$132,'Lớp 3 - Công việc chính'!$I$14:$I$73)=0),0),0),T338+MATCH(1,INDEX((INDEX('Lớp 3 - Công việc chính'!$I$14:$I$73,T338+1):'Lớp 3 - Công việc chính'!$I$73&lt;&gt;"")*(COUNTIF('Lớp 4 - Danh mục'!$J$14:$J$132,INDEX('Lớp 3 - Công việc chính'!$I$14:$I$73,T338+1):'Lớp 3 - Công việc chính'!$I$73)=0),0),0)))))</f>
        <v>#REF!</v>
      </c>
      <c r="Z339" s="700" t="str">
        <f t="array" ref="Z339">IF($S339="","",IF($S339="Lớp 5",INDEX('Lớp 5 - Phân công'!$AS$14:$AS$262,$T339),IF($S339="Lớp 4",INDEX('Lớp 4 - Danh mục'!$AR$14:$AR$132,$T339),INDEX('Lớp 3 - Công việc chính'!$AO$14:$AO$73,$T339))))</f>
        <v>#REF!</v>
      </c>
      <c r="AA339" s="701" t="str">
        <f t="array" ref="AA339">IF($S339="","",IF($S339="Lớp 5",INDEX('Lớp 5 - Phân công'!$AT$14:$AT$262,$T339),IF($S339="Lớp 4",INDEX('Lớp 4 - Danh mục'!$AS$14:$AS$132,$T339),INDEX('Lớp 3 - Công việc chính'!$AP$14:$AP$73,$T339))))</f>
        <v>#REF!</v>
      </c>
      <c r="AB339" s="701" t="str">
        <f t="array" ref="AB339">IF($S339="","",IF($S339="Lớp 5",INDEX('Lớp 5 - Phân công'!$AJ$14:$AJ$262,$T339),IF($S339="Lớp 4",INDEX('Lớp 4 - Danh mục'!$AI$14:$AI$132,$T339),INDEX('Lớp 3 - Công việc chính'!$AF$14:$AF$73,$T339))))</f>
        <v>#REF!</v>
      </c>
      <c r="AC339" s="702" t="str">
        <f t="array" ref="AC339">IF($S339="","",IF($S339="Lớp 5",INDEX('Lớp 5 - Phân công'!$AV$14:$AV$262,$T339),IF($S339="Lớp 4",INDEX('Lớp 4 - Danh mục'!$AU$14:$AU$132,$T339),INDEX('Lớp 3 - Công việc chính'!$AR$14:$AR$73,$T339))))</f>
        <v>#REF!</v>
      </c>
    </row>
    <row r="340" ht="15.75" customHeight="1">
      <c r="A340" s="690" t="str">
        <f t="shared" si="1"/>
        <v>#REF!</v>
      </c>
      <c r="B340" s="690" t="str">
        <f t="array" ref="B340">IF($S340="","",IF($S340="Lớp 5",INDEX('Lớp 5 - Phân công'!$I$14:$I$262,$T340),IF($S340="Lớp 4",INDEX('Lớp 4 - Danh mục'!$I$14:$I$132,$T340),INDEX('Lớp 3 - Công việc chính'!$I$14:$I$73,$T340))))</f>
        <v>#REF!</v>
      </c>
      <c r="C340" s="690" t="str">
        <f t="array" ref="C340">IF($S340="","",IF($S340="Lớp 5",INDEX('Lớp 5 - Phân công'!$K$14:$K$262,$T340),IF($S340="Lớp 4",INDEX('Lớp 4 - Danh mục'!$J$14:$J$132,$T340),INDEX('Lớp 3 - Công việc chính'!$I$14:$I$73,$T340))))</f>
        <v>#REF!</v>
      </c>
      <c r="D340" s="690" t="str">
        <f t="array" ref="D340">IF($S340="","",IF($S340="Lớp 5",INDEX('Lớp 5 - Phân công'!$J$14:$J$262,$T340),IF($S340="Lớp 4",INDEX('Lớp 4 - Danh mục'!$I$14:$I$132,$T340),"")))</f>
        <v>#REF!</v>
      </c>
      <c r="E340" s="690" t="str">
        <f t="array" ref="E340">IF($S340="","",IF($S340="Lớp 5",INDEX('Lớp 5 - Phân công'!$L$14:$L$262,$T340),IF($S340="Lớp 4",INDEX('Lớp 4 - Danh mục'!$K$14:$K$132,$T340),INDEX('Lớp 3 - Công việc chính'!$J$14:$J$73,$T340))))</f>
        <v>#REF!</v>
      </c>
      <c r="F340" s="690" t="str">
        <f t="array" ref="F340">IF($S340="","",IF($S340="Lớp 5",INDEX('Lớp 5 - Phân công'!$M$14:$M$262,$T340),IF($S340="Lớp 4",INDEX('Lớp 4 - Danh mục'!$L$14:$L$132,$T340),INDEX('Lớp 3 - Công việc chính'!$K$14:$K$73,$T340))))</f>
        <v>#REF!</v>
      </c>
      <c r="G340" s="691" t="str">
        <f t="array" ref="G340">IF($S340="","",IF($S340="Lớp 5",INDEX('Lớp 5 - Phân công'!$N$14:$N$262,$T340),IF($S340="Lớp 4",INDEX('Lớp 4 - Danh mục'!$M$14:$M$132,$T340),INDEX('Lớp 3 - Công việc chính'!$L$14:$L$73,$T340))))</f>
        <v>#REF!</v>
      </c>
      <c r="H340" s="692" t="str">
        <f t="array" ref="H340">IF($S340="","",IF($S340="Lớp 5",INDEX('Lớp 5 - Phân công'!$O$14:$O$262,$T340),IF($S340="Lớp 4",INDEX('Lớp 4 - Danh mục'!$N$14:$N$132,$T340),INDEX('Lớp 3 - Công việc chính'!$M$14:$M$73,$T340))))</f>
        <v>#REF!</v>
      </c>
      <c r="I340" s="692" t="str">
        <f t="array" ref="I340">IF($S340="","",IF($S340="Lớp 5",INDEX('Lớp 5 - Phân công'!$P$14:$P$262,$T340),IF($S340="Lớp 4",INDEX('Lớp 4 - Danh mục'!$O$14:$O$132,$T340),"")))</f>
        <v>#REF!</v>
      </c>
      <c r="J340" s="693" t="str">
        <f t="array" ref="J340">IF($S340="","",IF($S340="Lớp 5",INDEX('Lớp 5 - Phân công'!$Q$14:$Q$262,$T340),""))</f>
        <v>#REF!</v>
      </c>
      <c r="K340" s="690" t="str">
        <f t="array" ref="K340">IF($S340="","",IF($S340="Lớp 5",INDEX('Lớp 5 - Phân công'!$AA$14:$AA$262,$T340),IF($S340="Lớp 4",INDEX('Lớp 4 - Danh mục'!$Y$14:$Y$132,$T340),INDEX('Lớp 3 - Công việc chính'!$U$14:$U$73,$T340))))</f>
        <v>#REF!</v>
      </c>
      <c r="L340" s="691" t="str">
        <f t="array" ref="L340">IF($S340="","",IF($S340="Lớp 5",INDEX('Lớp 5 - Phân công'!$Z$14:$Z$262,$T340),IF($S340="Lớp 4",INDEX('Lớp 4 - Danh mục'!$X$14:$X$132,$T340),INDEX('Lớp 3 - Công việc chính'!$W$14:$W$73,$T340))))</f>
        <v>#REF!</v>
      </c>
      <c r="M340" s="694" t="str">
        <f t="array" ref="M340">IF($S340="","",IF($S340="Lớp 5",INDEX('Lớp 5 - Phân công'!$AD$14:$AD$262,$T340),IF($S340="Lớp 4",INDEX('Lớp 4 - Danh mục'!$AC$14:$AC$132,$T340),INDEX('Lớp 3 - Công việc chính'!$Z$14:$Z$73,$T340))))</f>
        <v>#REF!</v>
      </c>
      <c r="N340" s="695" t="str">
        <f t="array" ref="N340">IF($S340="","",IF($S340="Lớp 5",INDEX('Lớp 5 - Phân công'!$AE$14:$AE$262,$T340),IF($S340="Lớp 4",INDEX('Lớp 4 - Danh mục'!$AD$14:$AD$132,$T340),INDEX('Lớp 3 - Công việc chính'!$AA$14:$AA$73,$T340))))</f>
        <v>#REF!</v>
      </c>
      <c r="O340" s="690" t="str">
        <f t="array" ref="O340">IF($S340="","",IF($S340="Lớp 5",INDEX('Lớp 5 - Phân công'!$AB$14:$AB$262,$T340),IF($S340="Lớp 4",INDEX('Lớp 4 - Danh mục'!$AA$14:$AA$132,$T340),INDEX('Lớp 3 - Công việc chính'!$X$14:$X$73,$T340))))</f>
        <v>#REF!</v>
      </c>
      <c r="P340" s="703" t="str">
        <f t="array" ref="P340">IF($S340="","",IF($S340="Lớp 5",INDEX('Lớp 5 - Phân công'!$AC$14:$AC$262,$T340),IF($S340="Lớp 4",INDEX('Lớp 4 - Danh mục'!$AB$14:$AB$132,$T340),INDEX('Lớp 3 - Công việc chính'!$Y$14:$Y$73,$T340))))</f>
        <v>#REF!</v>
      </c>
      <c r="Q340" s="697" t="str">
        <f t="array" ref="Q340">IF($S340="","",IF($S340="Lớp 5",INDEX('Lớp 5 - Phân công'!$AG$14:$AG$262,$T340),IF($S340="Lớp 4",INDEX('Lớp 4 - Danh mục'!$AF$14:$AF$132,$T340),INDEX('Lớp 3 - Công việc chính'!$AC$14:$AC$73,$T340))))</f>
        <v>#REF!</v>
      </c>
      <c r="R340" s="698" t="str">
        <f t="array" ref="R340">IF($S340="","",IF($S340="Lớp 5",INDEX('Lớp 5 - Phân công'!$X$14:$X$262,$T340),IF($S340="Lớp 4",INDEX('Lớp 4 - Danh mục'!$V$14:$V$132,$T340),INDEX('Lớp 3 - Công việc chính'!$T$14:$T$73,$T340))))</f>
        <v>#REF!</v>
      </c>
      <c r="S340" s="699" t="str">
        <f>IF(ROWS($S$14:S340)&lt;=COUNTIF('Lớp 5 - Phân công'!$I$14:$I$262,"&lt;&gt;"),"Lớp 5",IF(ROWS($S$14:S340)&lt;=COUNTIF('Lớp 5 - Phân công'!$I$14:$I$262,"&lt;&gt;")+SUMPRODUCT(--('Lớp 4 - Danh mục'!$I$14:$I$132&lt;&gt;""),--(COUNTIF('Lớp 5 - Phân công'!$J$14:$J$262,'Lớp 4 - Danh mục'!$I$14:$I$132)=0)),"Lớp 4",IF(ROWS($S$14:S340)&lt;=COUNTIF('Lớp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0" s="699" t="str">
        <f t="array" ref="T340">IF(S340="","",IF(S340="Lớp 5",IF(S339&lt;&gt;"Lớp 5",MATCH("*",'Lớp 5 - Phân công'!$I$14:$I$262,0),T339+MATCH("*",INDEX('Lớp 5 - Phân công'!$I$14:$I$262,T339+1):'Lớp 5 - Phân công'!$I$262,0)),IF(S340="Lớp 4",IF(S339&lt;&gt;"Lớp 4",MATCH(1,INDEX(('Lớp 4 - Danh mục'!$I$14:$I$132&lt;&gt;"")*(COUNTIF('Lớp 5 - Phân công'!$J$14:$J$262,'Lớp 4 - Danh mục'!$I$14:$I$132)=0),0),0),T339+MATCH(1,INDEX((INDEX('Lớp 4 - Danh mục'!$I$14:$I$132,T339+1):'Lớp 4 - Danh mục'!$I$132&lt;&gt;"")*(COUNTIF('Lớp 5 - Phân công'!$J$14:$J$262,INDEX('Lớp 4 - Danh mục'!$I$14:$I$132,T339+1):'Lớp 4 - Danh mục'!$I$132)=0),0),0)),IF(S339&lt;&gt;"Lớp 3",MATCH(1,INDEX(('Lớp 3 - Công việc chính'!$I$14:$I$73&lt;&gt;"")*(COUNTIF('Lớp 4 - Danh mục'!$J$14:$J$132,'Lớp 3 - Công việc chính'!$I$14:$I$73)=0),0),0),T339+MATCH(1,INDEX((INDEX('Lớp 3 - Công việc chính'!$I$14:$I$73,T339+1):'Lớp 3 - Công việc chính'!$I$73&lt;&gt;"")*(COUNTIF('Lớp 4 - Danh mục'!$J$14:$J$132,INDEX('Lớp 3 - Công việc chính'!$I$14:$I$73,T339+1):'Lớp 3 - Công việc chính'!$I$73)=0),0),0)))))</f>
        <v>#REF!</v>
      </c>
      <c r="Z340" s="700" t="str">
        <f t="array" ref="Z340">IF($S340="","",IF($S340="Lớp 5",INDEX('Lớp 5 - Phân công'!$AS$14:$AS$262,$T340),IF($S340="Lớp 4",INDEX('Lớp 4 - Danh mục'!$AR$14:$AR$132,$T340),INDEX('Lớp 3 - Công việc chính'!$AO$14:$AO$73,$T340))))</f>
        <v>#REF!</v>
      </c>
      <c r="AA340" s="701" t="str">
        <f t="array" ref="AA340">IF($S340="","",IF($S340="Lớp 5",INDEX('Lớp 5 - Phân công'!$AT$14:$AT$262,$T340),IF($S340="Lớp 4",INDEX('Lớp 4 - Danh mục'!$AS$14:$AS$132,$T340),INDEX('Lớp 3 - Công việc chính'!$AP$14:$AP$73,$T340))))</f>
        <v>#REF!</v>
      </c>
      <c r="AB340" s="701" t="str">
        <f t="array" ref="AB340">IF($S340="","",IF($S340="Lớp 5",INDEX('Lớp 5 - Phân công'!$AJ$14:$AJ$262,$T340),IF($S340="Lớp 4",INDEX('Lớp 4 - Danh mục'!$AI$14:$AI$132,$T340),INDEX('Lớp 3 - Công việc chính'!$AF$14:$AF$73,$T340))))</f>
        <v>#REF!</v>
      </c>
      <c r="AC340" s="702" t="str">
        <f t="array" ref="AC340">IF($S340="","",IF($S340="Lớp 5",INDEX('Lớp 5 - Phân công'!$AV$14:$AV$262,$T340),IF($S340="Lớp 4",INDEX('Lớp 4 - Danh mục'!$AU$14:$AU$132,$T340),INDEX('Lớp 3 - Công việc chính'!$AR$14:$AR$73,$T340))))</f>
        <v>#REF!</v>
      </c>
    </row>
    <row r="341" ht="15.75" customHeight="1">
      <c r="A341" s="690" t="str">
        <f t="shared" si="1"/>
        <v>#REF!</v>
      </c>
      <c r="B341" s="690" t="str">
        <f t="array" ref="B341">IF($S341="","",IF($S341="Lớp 5",INDEX('Lớp 5 - Phân công'!$I$14:$I$262,$T341),IF($S341="Lớp 4",INDEX('Lớp 4 - Danh mục'!$I$14:$I$132,$T341),INDEX('Lớp 3 - Công việc chính'!$I$14:$I$73,$T341))))</f>
        <v>#REF!</v>
      </c>
      <c r="C341" s="690" t="str">
        <f t="array" ref="C341">IF($S341="","",IF($S341="Lớp 5",INDEX('Lớp 5 - Phân công'!$K$14:$K$262,$T341),IF($S341="Lớp 4",INDEX('Lớp 4 - Danh mục'!$J$14:$J$132,$T341),INDEX('Lớp 3 - Công việc chính'!$I$14:$I$73,$T341))))</f>
        <v>#REF!</v>
      </c>
      <c r="D341" s="690" t="str">
        <f t="array" ref="D341">IF($S341="","",IF($S341="Lớp 5",INDEX('Lớp 5 - Phân công'!$J$14:$J$262,$T341),IF($S341="Lớp 4",INDEX('Lớp 4 - Danh mục'!$I$14:$I$132,$T341),"")))</f>
        <v>#REF!</v>
      </c>
      <c r="E341" s="690" t="str">
        <f t="array" ref="E341">IF($S341="","",IF($S341="Lớp 5",INDEX('Lớp 5 - Phân công'!$L$14:$L$262,$T341),IF($S341="Lớp 4",INDEX('Lớp 4 - Danh mục'!$K$14:$K$132,$T341),INDEX('Lớp 3 - Công việc chính'!$J$14:$J$73,$T341))))</f>
        <v>#REF!</v>
      </c>
      <c r="F341" s="690" t="str">
        <f t="array" ref="F341">IF($S341="","",IF($S341="Lớp 5",INDEX('Lớp 5 - Phân công'!$M$14:$M$262,$T341),IF($S341="Lớp 4",INDEX('Lớp 4 - Danh mục'!$L$14:$L$132,$T341),INDEX('Lớp 3 - Công việc chính'!$K$14:$K$73,$T341))))</f>
        <v>#REF!</v>
      </c>
      <c r="G341" s="691" t="str">
        <f t="array" ref="G341">IF($S341="","",IF($S341="Lớp 5",INDEX('Lớp 5 - Phân công'!$N$14:$N$262,$T341),IF($S341="Lớp 4",INDEX('Lớp 4 - Danh mục'!$M$14:$M$132,$T341),INDEX('Lớp 3 - Công việc chính'!$L$14:$L$73,$T341))))</f>
        <v>#REF!</v>
      </c>
      <c r="H341" s="692" t="str">
        <f t="array" ref="H341">IF($S341="","",IF($S341="Lớp 5",INDEX('Lớp 5 - Phân công'!$O$14:$O$262,$T341),IF($S341="Lớp 4",INDEX('Lớp 4 - Danh mục'!$N$14:$N$132,$T341),INDEX('Lớp 3 - Công việc chính'!$M$14:$M$73,$T341))))</f>
        <v>#REF!</v>
      </c>
      <c r="I341" s="692" t="str">
        <f t="array" ref="I341">IF($S341="","",IF($S341="Lớp 5",INDEX('Lớp 5 - Phân công'!$P$14:$P$262,$T341),IF($S341="Lớp 4",INDEX('Lớp 4 - Danh mục'!$O$14:$O$132,$T341),"")))</f>
        <v>#REF!</v>
      </c>
      <c r="J341" s="693" t="str">
        <f t="array" ref="J341">IF($S341="","",IF($S341="Lớp 5",INDEX('Lớp 5 - Phân công'!$Q$14:$Q$262,$T341),""))</f>
        <v>#REF!</v>
      </c>
      <c r="K341" s="690" t="str">
        <f t="array" ref="K341">IF($S341="","",IF($S341="Lớp 5",INDEX('Lớp 5 - Phân công'!$AA$14:$AA$262,$T341),IF($S341="Lớp 4",INDEX('Lớp 4 - Danh mục'!$Y$14:$Y$132,$T341),INDEX('Lớp 3 - Công việc chính'!$U$14:$U$73,$T341))))</f>
        <v>#REF!</v>
      </c>
      <c r="L341" s="691" t="str">
        <f t="array" ref="L341">IF($S341="","",IF($S341="Lớp 5",INDEX('Lớp 5 - Phân công'!$Z$14:$Z$262,$T341),IF($S341="Lớp 4",INDEX('Lớp 4 - Danh mục'!$X$14:$X$132,$T341),INDEX('Lớp 3 - Công việc chính'!$W$14:$W$73,$T341))))</f>
        <v>#REF!</v>
      </c>
      <c r="M341" s="694" t="str">
        <f t="array" ref="M341">IF($S341="","",IF($S341="Lớp 5",INDEX('Lớp 5 - Phân công'!$AD$14:$AD$262,$T341),IF($S341="Lớp 4",INDEX('Lớp 4 - Danh mục'!$AC$14:$AC$132,$T341),INDEX('Lớp 3 - Công việc chính'!$Z$14:$Z$73,$T341))))</f>
        <v>#REF!</v>
      </c>
      <c r="N341" s="695" t="str">
        <f t="array" ref="N341">IF($S341="","",IF($S341="Lớp 5",INDEX('Lớp 5 - Phân công'!$AE$14:$AE$262,$T341),IF($S341="Lớp 4",INDEX('Lớp 4 - Danh mục'!$AD$14:$AD$132,$T341),INDEX('Lớp 3 - Công việc chính'!$AA$14:$AA$73,$T341))))</f>
        <v>#REF!</v>
      </c>
      <c r="O341" s="690" t="str">
        <f t="array" ref="O341">IF($S341="","",IF($S341="Lớp 5",INDEX('Lớp 5 - Phân công'!$AB$14:$AB$262,$T341),IF($S341="Lớp 4",INDEX('Lớp 4 - Danh mục'!$AA$14:$AA$132,$T341),INDEX('Lớp 3 - Công việc chính'!$X$14:$X$73,$T341))))</f>
        <v>#REF!</v>
      </c>
      <c r="P341" s="703" t="str">
        <f t="array" ref="P341">IF($S341="","",IF($S341="Lớp 5",INDEX('Lớp 5 - Phân công'!$AC$14:$AC$262,$T341),IF($S341="Lớp 4",INDEX('Lớp 4 - Danh mục'!$AB$14:$AB$132,$T341),INDEX('Lớp 3 - Công việc chính'!$Y$14:$Y$73,$T341))))</f>
        <v>#REF!</v>
      </c>
      <c r="Q341" s="697" t="str">
        <f t="array" ref="Q341">IF($S341="","",IF($S341="Lớp 5",INDEX('Lớp 5 - Phân công'!$AG$14:$AG$262,$T341),IF($S341="Lớp 4",INDEX('Lớp 4 - Danh mục'!$AF$14:$AF$132,$T341),INDEX('Lớp 3 - Công việc chính'!$AC$14:$AC$73,$T341))))</f>
        <v>#REF!</v>
      </c>
      <c r="R341" s="698" t="str">
        <f t="array" ref="R341">IF($S341="","",IF($S341="Lớp 5",INDEX('Lớp 5 - Phân công'!$X$14:$X$262,$T341),IF($S341="Lớp 4",INDEX('Lớp 4 - Danh mục'!$V$14:$V$132,$T341),INDEX('Lớp 3 - Công việc chính'!$T$14:$T$73,$T341))))</f>
        <v>#REF!</v>
      </c>
      <c r="S341" s="699" t="str">
        <f>IF(ROWS($S$14:S341)&lt;=COUNTIF('Lớp 5 - Phân công'!$I$14:$I$262,"&lt;&gt;"),"Lớp 5",IF(ROWS($S$14:S341)&lt;=COUNTIF('Lớp 5 - Phân công'!$I$14:$I$262,"&lt;&gt;")+SUMPRODUCT(--('Lớp 4 - Danh mục'!$I$14:$I$132&lt;&gt;""),--(COUNTIF('Lớp 5 - Phân công'!$J$14:$J$262,'Lớp 4 - Danh mục'!$I$14:$I$132)=0)),"Lớp 4",IF(ROWS($S$14:S341)&lt;=COUNTIF('Lớp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1" s="699" t="str">
        <f t="array" ref="T341">IF(S341="","",IF(S341="Lớp 5",IF(S340&lt;&gt;"Lớp 5",MATCH("*",'Lớp 5 - Phân công'!$I$14:$I$262,0),T340+MATCH("*",INDEX('Lớp 5 - Phân công'!$I$14:$I$262,T340+1):'Lớp 5 - Phân công'!$I$262,0)),IF(S341="Lớp 4",IF(S340&lt;&gt;"Lớp 4",MATCH(1,INDEX(('Lớp 4 - Danh mục'!$I$14:$I$132&lt;&gt;"")*(COUNTIF('Lớp 5 - Phân công'!$J$14:$J$262,'Lớp 4 - Danh mục'!$I$14:$I$132)=0),0),0),T340+MATCH(1,INDEX((INDEX('Lớp 4 - Danh mục'!$I$14:$I$132,T340+1):'Lớp 4 - Danh mục'!$I$132&lt;&gt;"")*(COUNTIF('Lớp 5 - Phân công'!$J$14:$J$262,INDEX('Lớp 4 - Danh mục'!$I$14:$I$132,T340+1):'Lớp 4 - Danh mục'!$I$132)=0),0),0)),IF(S340&lt;&gt;"Lớp 3",MATCH(1,INDEX(('Lớp 3 - Công việc chính'!$I$14:$I$73&lt;&gt;"")*(COUNTIF('Lớp 4 - Danh mục'!$J$14:$J$132,'Lớp 3 - Công việc chính'!$I$14:$I$73)=0),0),0),T340+MATCH(1,INDEX((INDEX('Lớp 3 - Công việc chính'!$I$14:$I$73,T340+1):'Lớp 3 - Công việc chính'!$I$73&lt;&gt;"")*(COUNTIF('Lớp 4 - Danh mục'!$J$14:$J$132,INDEX('Lớp 3 - Công việc chính'!$I$14:$I$73,T340+1):'Lớp 3 - Công việc chính'!$I$73)=0),0),0)))))</f>
        <v>#REF!</v>
      </c>
      <c r="Z341" s="700" t="str">
        <f t="array" ref="Z341">IF($S341="","",IF($S341="Lớp 5",INDEX('Lớp 5 - Phân công'!$AS$14:$AS$262,$T341),IF($S341="Lớp 4",INDEX('Lớp 4 - Danh mục'!$AR$14:$AR$132,$T341),INDEX('Lớp 3 - Công việc chính'!$AO$14:$AO$73,$T341))))</f>
        <v>#REF!</v>
      </c>
      <c r="AA341" s="701" t="str">
        <f t="array" ref="AA341">IF($S341="","",IF($S341="Lớp 5",INDEX('Lớp 5 - Phân công'!$AT$14:$AT$262,$T341),IF($S341="Lớp 4",INDEX('Lớp 4 - Danh mục'!$AS$14:$AS$132,$T341),INDEX('Lớp 3 - Công việc chính'!$AP$14:$AP$73,$T341))))</f>
        <v>#REF!</v>
      </c>
      <c r="AB341" s="701" t="str">
        <f t="array" ref="AB341">IF($S341="","",IF($S341="Lớp 5",INDEX('Lớp 5 - Phân công'!$AJ$14:$AJ$262,$T341),IF($S341="Lớp 4",INDEX('Lớp 4 - Danh mục'!$AI$14:$AI$132,$T341),INDEX('Lớp 3 - Công việc chính'!$AF$14:$AF$73,$T341))))</f>
        <v>#REF!</v>
      </c>
      <c r="AC341" s="702" t="str">
        <f t="array" ref="AC341">IF($S341="","",IF($S341="Lớp 5",INDEX('Lớp 5 - Phân công'!$AV$14:$AV$262,$T341),IF($S341="Lớp 4",INDEX('Lớp 4 - Danh mục'!$AU$14:$AU$132,$T341),INDEX('Lớp 3 - Công việc chính'!$AR$14:$AR$73,$T341))))</f>
        <v>#REF!</v>
      </c>
    </row>
    <row r="342" ht="15.75" customHeight="1">
      <c r="A342" s="690" t="str">
        <f t="shared" si="1"/>
        <v>#REF!</v>
      </c>
      <c r="B342" s="690" t="str">
        <f t="array" ref="B342">IF($S342="","",IF($S342="Lớp 5",INDEX('Lớp 5 - Phân công'!$I$14:$I$262,$T342),IF($S342="Lớp 4",INDEX('Lớp 4 - Danh mục'!$I$14:$I$132,$T342),INDEX('Lớp 3 - Công việc chính'!$I$14:$I$73,$T342))))</f>
        <v>#REF!</v>
      </c>
      <c r="C342" s="690" t="str">
        <f t="array" ref="C342">IF($S342="","",IF($S342="Lớp 5",INDEX('Lớp 5 - Phân công'!$K$14:$K$262,$T342),IF($S342="Lớp 4",INDEX('Lớp 4 - Danh mục'!$J$14:$J$132,$T342),INDEX('Lớp 3 - Công việc chính'!$I$14:$I$73,$T342))))</f>
        <v>#REF!</v>
      </c>
      <c r="D342" s="690" t="str">
        <f t="array" ref="D342">IF($S342="","",IF($S342="Lớp 5",INDEX('Lớp 5 - Phân công'!$J$14:$J$262,$T342),IF($S342="Lớp 4",INDEX('Lớp 4 - Danh mục'!$I$14:$I$132,$T342),"")))</f>
        <v>#REF!</v>
      </c>
      <c r="E342" s="690" t="str">
        <f t="array" ref="E342">IF($S342="","",IF($S342="Lớp 5",INDEX('Lớp 5 - Phân công'!$L$14:$L$262,$T342),IF($S342="Lớp 4",INDEX('Lớp 4 - Danh mục'!$K$14:$K$132,$T342),INDEX('Lớp 3 - Công việc chính'!$J$14:$J$73,$T342))))</f>
        <v>#REF!</v>
      </c>
      <c r="F342" s="690" t="str">
        <f t="array" ref="F342">IF($S342="","",IF($S342="Lớp 5",INDEX('Lớp 5 - Phân công'!$M$14:$M$262,$T342),IF($S342="Lớp 4",INDEX('Lớp 4 - Danh mục'!$L$14:$L$132,$T342),INDEX('Lớp 3 - Công việc chính'!$K$14:$K$73,$T342))))</f>
        <v>#REF!</v>
      </c>
      <c r="G342" s="691" t="str">
        <f t="array" ref="G342">IF($S342="","",IF($S342="Lớp 5",INDEX('Lớp 5 - Phân công'!$N$14:$N$262,$T342),IF($S342="Lớp 4",INDEX('Lớp 4 - Danh mục'!$M$14:$M$132,$T342),INDEX('Lớp 3 - Công việc chính'!$L$14:$L$73,$T342))))</f>
        <v>#REF!</v>
      </c>
      <c r="H342" s="692" t="str">
        <f t="array" ref="H342">IF($S342="","",IF($S342="Lớp 5",INDEX('Lớp 5 - Phân công'!$O$14:$O$262,$T342),IF($S342="Lớp 4",INDEX('Lớp 4 - Danh mục'!$N$14:$N$132,$T342),INDEX('Lớp 3 - Công việc chính'!$M$14:$M$73,$T342))))</f>
        <v>#REF!</v>
      </c>
      <c r="I342" s="692" t="str">
        <f t="array" ref="I342">IF($S342="","",IF($S342="Lớp 5",INDEX('Lớp 5 - Phân công'!$P$14:$P$262,$T342),IF($S342="Lớp 4",INDEX('Lớp 4 - Danh mục'!$O$14:$O$132,$T342),"")))</f>
        <v>#REF!</v>
      </c>
      <c r="J342" s="693" t="str">
        <f t="array" ref="J342">IF($S342="","",IF($S342="Lớp 5",INDEX('Lớp 5 - Phân công'!$Q$14:$Q$262,$T342),""))</f>
        <v>#REF!</v>
      </c>
      <c r="K342" s="690" t="str">
        <f t="array" ref="K342">IF($S342="","",IF($S342="Lớp 5",INDEX('Lớp 5 - Phân công'!$AA$14:$AA$262,$T342),IF($S342="Lớp 4",INDEX('Lớp 4 - Danh mục'!$Y$14:$Y$132,$T342),INDEX('Lớp 3 - Công việc chính'!$U$14:$U$73,$T342))))</f>
        <v>#REF!</v>
      </c>
      <c r="L342" s="691" t="str">
        <f t="array" ref="L342">IF($S342="","",IF($S342="Lớp 5",INDEX('Lớp 5 - Phân công'!$Z$14:$Z$262,$T342),IF($S342="Lớp 4",INDEX('Lớp 4 - Danh mục'!$X$14:$X$132,$T342),INDEX('Lớp 3 - Công việc chính'!$W$14:$W$73,$T342))))</f>
        <v>#REF!</v>
      </c>
      <c r="M342" s="694" t="str">
        <f t="array" ref="M342">IF($S342="","",IF($S342="Lớp 5",INDEX('Lớp 5 - Phân công'!$AD$14:$AD$262,$T342),IF($S342="Lớp 4",INDEX('Lớp 4 - Danh mục'!$AC$14:$AC$132,$T342),INDEX('Lớp 3 - Công việc chính'!$Z$14:$Z$73,$T342))))</f>
        <v>#REF!</v>
      </c>
      <c r="N342" s="695" t="str">
        <f t="array" ref="N342">IF($S342="","",IF($S342="Lớp 5",INDEX('Lớp 5 - Phân công'!$AE$14:$AE$262,$T342),IF($S342="Lớp 4",INDEX('Lớp 4 - Danh mục'!$AD$14:$AD$132,$T342),INDEX('Lớp 3 - Công việc chính'!$AA$14:$AA$73,$T342))))</f>
        <v>#REF!</v>
      </c>
      <c r="O342" s="690" t="str">
        <f t="array" ref="O342">IF($S342="","",IF($S342="Lớp 5",INDEX('Lớp 5 - Phân công'!$AB$14:$AB$262,$T342),IF($S342="Lớp 4",INDEX('Lớp 4 - Danh mục'!$AA$14:$AA$132,$T342),INDEX('Lớp 3 - Công việc chính'!$X$14:$X$73,$T342))))</f>
        <v>#REF!</v>
      </c>
      <c r="P342" s="703" t="str">
        <f t="array" ref="P342">IF($S342="","",IF($S342="Lớp 5",INDEX('Lớp 5 - Phân công'!$AC$14:$AC$262,$T342),IF($S342="Lớp 4",INDEX('Lớp 4 - Danh mục'!$AB$14:$AB$132,$T342),INDEX('Lớp 3 - Công việc chính'!$Y$14:$Y$73,$T342))))</f>
        <v>#REF!</v>
      </c>
      <c r="Q342" s="697" t="str">
        <f t="array" ref="Q342">IF($S342="","",IF($S342="Lớp 5",INDEX('Lớp 5 - Phân công'!$AG$14:$AG$262,$T342),IF($S342="Lớp 4",INDEX('Lớp 4 - Danh mục'!$AF$14:$AF$132,$T342),INDEX('Lớp 3 - Công việc chính'!$AC$14:$AC$73,$T342))))</f>
        <v>#REF!</v>
      </c>
      <c r="R342" s="698" t="str">
        <f t="array" ref="R342">IF($S342="","",IF($S342="Lớp 5",INDEX('Lớp 5 - Phân công'!$X$14:$X$262,$T342),IF($S342="Lớp 4",INDEX('Lớp 4 - Danh mục'!$V$14:$V$132,$T342),INDEX('Lớp 3 - Công việc chính'!$T$14:$T$73,$T342))))</f>
        <v>#REF!</v>
      </c>
      <c r="S342" s="699" t="str">
        <f>IF(ROWS($S$14:S342)&lt;=COUNTIF('Lớp 5 - Phân công'!$I$14:$I$262,"&lt;&gt;"),"Lớp 5",IF(ROWS($S$14:S342)&lt;=COUNTIF('Lớp 5 - Phân công'!$I$14:$I$262,"&lt;&gt;")+SUMPRODUCT(--('Lớp 4 - Danh mục'!$I$14:$I$132&lt;&gt;""),--(COUNTIF('Lớp 5 - Phân công'!$J$14:$J$262,'Lớp 4 - Danh mục'!$I$14:$I$132)=0)),"Lớp 4",IF(ROWS($S$14:S342)&lt;=COUNTIF('Lớp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2" s="699" t="str">
        <f t="array" ref="T342">IF(S342="","",IF(S342="Lớp 5",IF(S341&lt;&gt;"Lớp 5",MATCH("*",'Lớp 5 - Phân công'!$I$14:$I$262,0),T341+MATCH("*",INDEX('Lớp 5 - Phân công'!$I$14:$I$262,T341+1):'Lớp 5 - Phân công'!$I$262,0)),IF(S342="Lớp 4",IF(S341&lt;&gt;"Lớp 4",MATCH(1,INDEX(('Lớp 4 - Danh mục'!$I$14:$I$132&lt;&gt;"")*(COUNTIF('Lớp 5 - Phân công'!$J$14:$J$262,'Lớp 4 - Danh mục'!$I$14:$I$132)=0),0),0),T341+MATCH(1,INDEX((INDEX('Lớp 4 - Danh mục'!$I$14:$I$132,T341+1):'Lớp 4 - Danh mục'!$I$132&lt;&gt;"")*(COUNTIF('Lớp 5 - Phân công'!$J$14:$J$262,INDEX('Lớp 4 - Danh mục'!$I$14:$I$132,T341+1):'Lớp 4 - Danh mục'!$I$132)=0),0),0)),IF(S341&lt;&gt;"Lớp 3",MATCH(1,INDEX(('Lớp 3 - Công việc chính'!$I$14:$I$73&lt;&gt;"")*(COUNTIF('Lớp 4 - Danh mục'!$J$14:$J$132,'Lớp 3 - Công việc chính'!$I$14:$I$73)=0),0),0),T341+MATCH(1,INDEX((INDEX('Lớp 3 - Công việc chính'!$I$14:$I$73,T341+1):'Lớp 3 - Công việc chính'!$I$73&lt;&gt;"")*(COUNTIF('Lớp 4 - Danh mục'!$J$14:$J$132,INDEX('Lớp 3 - Công việc chính'!$I$14:$I$73,T341+1):'Lớp 3 - Công việc chính'!$I$73)=0),0),0)))))</f>
        <v>#REF!</v>
      </c>
      <c r="Z342" s="700" t="str">
        <f t="array" ref="Z342">IF($S342="","",IF($S342="Lớp 5",INDEX('Lớp 5 - Phân công'!$AS$14:$AS$262,$T342),IF($S342="Lớp 4",INDEX('Lớp 4 - Danh mục'!$AR$14:$AR$132,$T342),INDEX('Lớp 3 - Công việc chính'!$AO$14:$AO$73,$T342))))</f>
        <v>#REF!</v>
      </c>
      <c r="AA342" s="701" t="str">
        <f t="array" ref="AA342">IF($S342="","",IF($S342="Lớp 5",INDEX('Lớp 5 - Phân công'!$AT$14:$AT$262,$T342),IF($S342="Lớp 4",INDEX('Lớp 4 - Danh mục'!$AS$14:$AS$132,$T342),INDEX('Lớp 3 - Công việc chính'!$AP$14:$AP$73,$T342))))</f>
        <v>#REF!</v>
      </c>
      <c r="AB342" s="701" t="str">
        <f t="array" ref="AB342">IF($S342="","",IF($S342="Lớp 5",INDEX('Lớp 5 - Phân công'!$AJ$14:$AJ$262,$T342),IF($S342="Lớp 4",INDEX('Lớp 4 - Danh mục'!$AI$14:$AI$132,$T342),INDEX('Lớp 3 - Công việc chính'!$AF$14:$AF$73,$T342))))</f>
        <v>#REF!</v>
      </c>
      <c r="AC342" s="702" t="str">
        <f t="array" ref="AC342">IF($S342="","",IF($S342="Lớp 5",INDEX('Lớp 5 - Phân công'!$AV$14:$AV$262,$T342),IF($S342="Lớp 4",INDEX('Lớp 4 - Danh mục'!$AU$14:$AU$132,$T342),INDEX('Lớp 3 - Công việc chính'!$AR$14:$AR$73,$T342))))</f>
        <v>#REF!</v>
      </c>
    </row>
    <row r="343" ht="15.75" customHeight="1">
      <c r="A343" s="690" t="str">
        <f t="shared" si="1"/>
        <v>#REF!</v>
      </c>
      <c r="B343" s="690" t="str">
        <f t="array" ref="B343">IF($S343="","",IF($S343="Lớp 5",INDEX('Lớp 5 - Phân công'!$I$14:$I$262,$T343),IF($S343="Lớp 4",INDEX('Lớp 4 - Danh mục'!$I$14:$I$132,$T343),INDEX('Lớp 3 - Công việc chính'!$I$14:$I$73,$T343))))</f>
        <v>#REF!</v>
      </c>
      <c r="C343" s="690" t="str">
        <f t="array" ref="C343">IF($S343="","",IF($S343="Lớp 5",INDEX('Lớp 5 - Phân công'!$K$14:$K$262,$T343),IF($S343="Lớp 4",INDEX('Lớp 4 - Danh mục'!$J$14:$J$132,$T343),INDEX('Lớp 3 - Công việc chính'!$I$14:$I$73,$T343))))</f>
        <v>#REF!</v>
      </c>
      <c r="D343" s="690" t="str">
        <f t="array" ref="D343">IF($S343="","",IF($S343="Lớp 5",INDEX('Lớp 5 - Phân công'!$J$14:$J$262,$T343),IF($S343="Lớp 4",INDEX('Lớp 4 - Danh mục'!$I$14:$I$132,$T343),"")))</f>
        <v>#REF!</v>
      </c>
      <c r="E343" s="690" t="str">
        <f t="array" ref="E343">IF($S343="","",IF($S343="Lớp 5",INDEX('Lớp 5 - Phân công'!$L$14:$L$262,$T343),IF($S343="Lớp 4",INDEX('Lớp 4 - Danh mục'!$K$14:$K$132,$T343),INDEX('Lớp 3 - Công việc chính'!$J$14:$J$73,$T343))))</f>
        <v>#REF!</v>
      </c>
      <c r="F343" s="690" t="str">
        <f t="array" ref="F343">IF($S343="","",IF($S343="Lớp 5",INDEX('Lớp 5 - Phân công'!$M$14:$M$262,$T343),IF($S343="Lớp 4",INDEX('Lớp 4 - Danh mục'!$L$14:$L$132,$T343),INDEX('Lớp 3 - Công việc chính'!$K$14:$K$73,$T343))))</f>
        <v>#REF!</v>
      </c>
      <c r="G343" s="691" t="str">
        <f t="array" ref="G343">IF($S343="","",IF($S343="Lớp 5",INDEX('Lớp 5 - Phân công'!$N$14:$N$262,$T343),IF($S343="Lớp 4",INDEX('Lớp 4 - Danh mục'!$M$14:$M$132,$T343),INDEX('Lớp 3 - Công việc chính'!$L$14:$L$73,$T343))))</f>
        <v>#REF!</v>
      </c>
      <c r="H343" s="692" t="str">
        <f t="array" ref="H343">IF($S343="","",IF($S343="Lớp 5",INDEX('Lớp 5 - Phân công'!$O$14:$O$262,$T343),IF($S343="Lớp 4",INDEX('Lớp 4 - Danh mục'!$N$14:$N$132,$T343),INDEX('Lớp 3 - Công việc chính'!$M$14:$M$73,$T343))))</f>
        <v>#REF!</v>
      </c>
      <c r="I343" s="692" t="str">
        <f t="array" ref="I343">IF($S343="","",IF($S343="Lớp 5",INDEX('Lớp 5 - Phân công'!$P$14:$P$262,$T343),IF($S343="Lớp 4",INDEX('Lớp 4 - Danh mục'!$O$14:$O$132,$T343),"")))</f>
        <v>#REF!</v>
      </c>
      <c r="J343" s="693" t="str">
        <f t="array" ref="J343">IF($S343="","",IF($S343="Lớp 5",INDEX('Lớp 5 - Phân công'!$Q$14:$Q$262,$T343),""))</f>
        <v>#REF!</v>
      </c>
      <c r="K343" s="690" t="str">
        <f t="array" ref="K343">IF($S343="","",IF($S343="Lớp 5",INDEX('Lớp 5 - Phân công'!$AA$14:$AA$262,$T343),IF($S343="Lớp 4",INDEX('Lớp 4 - Danh mục'!$Y$14:$Y$132,$T343),INDEX('Lớp 3 - Công việc chính'!$U$14:$U$73,$T343))))</f>
        <v>#REF!</v>
      </c>
      <c r="L343" s="691" t="str">
        <f t="array" ref="L343">IF($S343="","",IF($S343="Lớp 5",INDEX('Lớp 5 - Phân công'!$Z$14:$Z$262,$T343),IF($S343="Lớp 4",INDEX('Lớp 4 - Danh mục'!$X$14:$X$132,$T343),INDEX('Lớp 3 - Công việc chính'!$W$14:$W$73,$T343))))</f>
        <v>#REF!</v>
      </c>
      <c r="M343" s="694" t="str">
        <f t="array" ref="M343">IF($S343="","",IF($S343="Lớp 5",INDEX('Lớp 5 - Phân công'!$AD$14:$AD$262,$T343),IF($S343="Lớp 4",INDEX('Lớp 4 - Danh mục'!$AC$14:$AC$132,$T343),INDEX('Lớp 3 - Công việc chính'!$Z$14:$Z$73,$T343))))</f>
        <v>#REF!</v>
      </c>
      <c r="N343" s="695" t="str">
        <f t="array" ref="N343">IF($S343="","",IF($S343="Lớp 5",INDEX('Lớp 5 - Phân công'!$AE$14:$AE$262,$T343),IF($S343="Lớp 4",INDEX('Lớp 4 - Danh mục'!$AD$14:$AD$132,$T343),INDEX('Lớp 3 - Công việc chính'!$AA$14:$AA$73,$T343))))</f>
        <v>#REF!</v>
      </c>
      <c r="O343" s="690" t="str">
        <f t="array" ref="O343">IF($S343="","",IF($S343="Lớp 5",INDEX('Lớp 5 - Phân công'!$AB$14:$AB$262,$T343),IF($S343="Lớp 4",INDEX('Lớp 4 - Danh mục'!$AA$14:$AA$132,$T343),INDEX('Lớp 3 - Công việc chính'!$X$14:$X$73,$T343))))</f>
        <v>#REF!</v>
      </c>
      <c r="P343" s="703" t="str">
        <f t="array" ref="P343">IF($S343="","",IF($S343="Lớp 5",INDEX('Lớp 5 - Phân công'!$AC$14:$AC$262,$T343),IF($S343="Lớp 4",INDEX('Lớp 4 - Danh mục'!$AB$14:$AB$132,$T343),INDEX('Lớp 3 - Công việc chính'!$Y$14:$Y$73,$T343))))</f>
        <v>#REF!</v>
      </c>
      <c r="Q343" s="697" t="str">
        <f t="array" ref="Q343">IF($S343="","",IF($S343="Lớp 5",INDEX('Lớp 5 - Phân công'!$AG$14:$AG$262,$T343),IF($S343="Lớp 4",INDEX('Lớp 4 - Danh mục'!$AF$14:$AF$132,$T343),INDEX('Lớp 3 - Công việc chính'!$AC$14:$AC$73,$T343))))</f>
        <v>#REF!</v>
      </c>
      <c r="R343" s="698" t="str">
        <f t="array" ref="R343">IF($S343="","",IF($S343="Lớp 5",INDEX('Lớp 5 - Phân công'!$X$14:$X$262,$T343),IF($S343="Lớp 4",INDEX('Lớp 4 - Danh mục'!$V$14:$V$132,$T343),INDEX('Lớp 3 - Công việc chính'!$T$14:$T$73,$T343))))</f>
        <v>#REF!</v>
      </c>
      <c r="S343" s="699" t="str">
        <f>IF(ROWS($S$14:S343)&lt;=COUNTIF('Lớp 5 - Phân công'!$I$14:$I$262,"&lt;&gt;"),"Lớp 5",IF(ROWS($S$14:S343)&lt;=COUNTIF('Lớp 5 - Phân công'!$I$14:$I$262,"&lt;&gt;")+SUMPRODUCT(--('Lớp 4 - Danh mục'!$I$14:$I$132&lt;&gt;""),--(COUNTIF('Lớp 5 - Phân công'!$J$14:$J$262,'Lớp 4 - Danh mục'!$I$14:$I$132)=0)),"Lớp 4",IF(ROWS($S$14:S343)&lt;=COUNTIF('Lớp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3" s="699" t="str">
        <f t="array" ref="T343">IF(S343="","",IF(S343="Lớp 5",IF(S342&lt;&gt;"Lớp 5",MATCH("*",'Lớp 5 - Phân công'!$I$14:$I$262,0),T342+MATCH("*",INDEX('Lớp 5 - Phân công'!$I$14:$I$262,T342+1):'Lớp 5 - Phân công'!$I$262,0)),IF(S343="Lớp 4",IF(S342&lt;&gt;"Lớp 4",MATCH(1,INDEX(('Lớp 4 - Danh mục'!$I$14:$I$132&lt;&gt;"")*(COUNTIF('Lớp 5 - Phân công'!$J$14:$J$262,'Lớp 4 - Danh mục'!$I$14:$I$132)=0),0),0),T342+MATCH(1,INDEX((INDEX('Lớp 4 - Danh mục'!$I$14:$I$132,T342+1):'Lớp 4 - Danh mục'!$I$132&lt;&gt;"")*(COUNTIF('Lớp 5 - Phân công'!$J$14:$J$262,INDEX('Lớp 4 - Danh mục'!$I$14:$I$132,T342+1):'Lớp 4 - Danh mục'!$I$132)=0),0),0)),IF(S342&lt;&gt;"Lớp 3",MATCH(1,INDEX(('Lớp 3 - Công việc chính'!$I$14:$I$73&lt;&gt;"")*(COUNTIF('Lớp 4 - Danh mục'!$J$14:$J$132,'Lớp 3 - Công việc chính'!$I$14:$I$73)=0),0),0),T342+MATCH(1,INDEX((INDEX('Lớp 3 - Công việc chính'!$I$14:$I$73,T342+1):'Lớp 3 - Công việc chính'!$I$73&lt;&gt;"")*(COUNTIF('Lớp 4 - Danh mục'!$J$14:$J$132,INDEX('Lớp 3 - Công việc chính'!$I$14:$I$73,T342+1):'Lớp 3 - Công việc chính'!$I$73)=0),0),0)))))</f>
        <v>#REF!</v>
      </c>
      <c r="Z343" s="700" t="str">
        <f t="array" ref="Z343">IF($S343="","",IF($S343="Lớp 5",INDEX('Lớp 5 - Phân công'!$AS$14:$AS$262,$T343),IF($S343="Lớp 4",INDEX('Lớp 4 - Danh mục'!$AR$14:$AR$132,$T343),INDEX('Lớp 3 - Công việc chính'!$AO$14:$AO$73,$T343))))</f>
        <v>#REF!</v>
      </c>
      <c r="AA343" s="701" t="str">
        <f t="array" ref="AA343">IF($S343="","",IF($S343="Lớp 5",INDEX('Lớp 5 - Phân công'!$AT$14:$AT$262,$T343),IF($S343="Lớp 4",INDEX('Lớp 4 - Danh mục'!$AS$14:$AS$132,$T343),INDEX('Lớp 3 - Công việc chính'!$AP$14:$AP$73,$T343))))</f>
        <v>#REF!</v>
      </c>
      <c r="AB343" s="701" t="str">
        <f t="array" ref="AB343">IF($S343="","",IF($S343="Lớp 5",INDEX('Lớp 5 - Phân công'!$AJ$14:$AJ$262,$T343),IF($S343="Lớp 4",INDEX('Lớp 4 - Danh mục'!$AI$14:$AI$132,$T343),INDEX('Lớp 3 - Công việc chính'!$AF$14:$AF$73,$T343))))</f>
        <v>#REF!</v>
      </c>
      <c r="AC343" s="702" t="str">
        <f t="array" ref="AC343">IF($S343="","",IF($S343="Lớp 5",INDEX('Lớp 5 - Phân công'!$AV$14:$AV$262,$T343),IF($S343="Lớp 4",INDEX('Lớp 4 - Danh mục'!$AU$14:$AU$132,$T343),INDEX('Lớp 3 - Công việc chính'!$AR$14:$AR$73,$T343))))</f>
        <v>#REF!</v>
      </c>
    </row>
    <row r="344" ht="15.75" customHeight="1">
      <c r="A344" s="690" t="str">
        <f t="shared" si="1"/>
        <v>#REF!</v>
      </c>
      <c r="B344" s="690" t="str">
        <f t="array" ref="B344">IF($S344="","",IF($S344="Lớp 5",INDEX('Lớp 5 - Phân công'!$I$14:$I$262,$T344),IF($S344="Lớp 4",INDEX('Lớp 4 - Danh mục'!$I$14:$I$132,$T344),INDEX('Lớp 3 - Công việc chính'!$I$14:$I$73,$T344))))</f>
        <v>#REF!</v>
      </c>
      <c r="C344" s="690" t="str">
        <f t="array" ref="C344">IF($S344="","",IF($S344="Lớp 5",INDEX('Lớp 5 - Phân công'!$K$14:$K$262,$T344),IF($S344="Lớp 4",INDEX('Lớp 4 - Danh mục'!$J$14:$J$132,$T344),INDEX('Lớp 3 - Công việc chính'!$I$14:$I$73,$T344))))</f>
        <v>#REF!</v>
      </c>
      <c r="D344" s="690" t="str">
        <f t="array" ref="D344">IF($S344="","",IF($S344="Lớp 5",INDEX('Lớp 5 - Phân công'!$J$14:$J$262,$T344),IF($S344="Lớp 4",INDEX('Lớp 4 - Danh mục'!$I$14:$I$132,$T344),"")))</f>
        <v>#REF!</v>
      </c>
      <c r="E344" s="690" t="str">
        <f t="array" ref="E344">IF($S344="","",IF($S344="Lớp 5",INDEX('Lớp 5 - Phân công'!$L$14:$L$262,$T344),IF($S344="Lớp 4",INDEX('Lớp 4 - Danh mục'!$K$14:$K$132,$T344),INDEX('Lớp 3 - Công việc chính'!$J$14:$J$73,$T344))))</f>
        <v>#REF!</v>
      </c>
      <c r="F344" s="690" t="str">
        <f t="array" ref="F344">IF($S344="","",IF($S344="Lớp 5",INDEX('Lớp 5 - Phân công'!$M$14:$M$262,$T344),IF($S344="Lớp 4",INDEX('Lớp 4 - Danh mục'!$L$14:$L$132,$T344),INDEX('Lớp 3 - Công việc chính'!$K$14:$K$73,$T344))))</f>
        <v>#REF!</v>
      </c>
      <c r="G344" s="691" t="str">
        <f t="array" ref="G344">IF($S344="","",IF($S344="Lớp 5",INDEX('Lớp 5 - Phân công'!$N$14:$N$262,$T344),IF($S344="Lớp 4",INDEX('Lớp 4 - Danh mục'!$M$14:$M$132,$T344),INDEX('Lớp 3 - Công việc chính'!$L$14:$L$73,$T344))))</f>
        <v>#REF!</v>
      </c>
      <c r="H344" s="692" t="str">
        <f t="array" ref="H344">IF($S344="","",IF($S344="Lớp 5",INDEX('Lớp 5 - Phân công'!$O$14:$O$262,$T344),IF($S344="Lớp 4",INDEX('Lớp 4 - Danh mục'!$N$14:$N$132,$T344),INDEX('Lớp 3 - Công việc chính'!$M$14:$M$73,$T344))))</f>
        <v>#REF!</v>
      </c>
      <c r="I344" s="692" t="str">
        <f t="array" ref="I344">IF($S344="","",IF($S344="Lớp 5",INDEX('Lớp 5 - Phân công'!$P$14:$P$262,$T344),IF($S344="Lớp 4",INDEX('Lớp 4 - Danh mục'!$O$14:$O$132,$T344),"")))</f>
        <v>#REF!</v>
      </c>
      <c r="J344" s="693" t="str">
        <f t="array" ref="J344">IF($S344="","",IF($S344="Lớp 5",INDEX('Lớp 5 - Phân công'!$Q$14:$Q$262,$T344),""))</f>
        <v>#REF!</v>
      </c>
      <c r="K344" s="690" t="str">
        <f t="array" ref="K344">IF($S344="","",IF($S344="Lớp 5",INDEX('Lớp 5 - Phân công'!$AA$14:$AA$262,$T344),IF($S344="Lớp 4",INDEX('Lớp 4 - Danh mục'!$Y$14:$Y$132,$T344),INDEX('Lớp 3 - Công việc chính'!$U$14:$U$73,$T344))))</f>
        <v>#REF!</v>
      </c>
      <c r="L344" s="691" t="str">
        <f t="array" ref="L344">IF($S344="","",IF($S344="Lớp 5",INDEX('Lớp 5 - Phân công'!$Z$14:$Z$262,$T344),IF($S344="Lớp 4",INDEX('Lớp 4 - Danh mục'!$X$14:$X$132,$T344),INDEX('Lớp 3 - Công việc chính'!$W$14:$W$73,$T344))))</f>
        <v>#REF!</v>
      </c>
      <c r="M344" s="694" t="str">
        <f t="array" ref="M344">IF($S344="","",IF($S344="Lớp 5",INDEX('Lớp 5 - Phân công'!$AD$14:$AD$262,$T344),IF($S344="Lớp 4",INDEX('Lớp 4 - Danh mục'!$AC$14:$AC$132,$T344),INDEX('Lớp 3 - Công việc chính'!$Z$14:$Z$73,$T344))))</f>
        <v>#REF!</v>
      </c>
      <c r="N344" s="695" t="str">
        <f t="array" ref="N344">IF($S344="","",IF($S344="Lớp 5",INDEX('Lớp 5 - Phân công'!$AE$14:$AE$262,$T344),IF($S344="Lớp 4",INDEX('Lớp 4 - Danh mục'!$AD$14:$AD$132,$T344),INDEX('Lớp 3 - Công việc chính'!$AA$14:$AA$73,$T344))))</f>
        <v>#REF!</v>
      </c>
      <c r="O344" s="690" t="str">
        <f t="array" ref="O344">IF($S344="","",IF($S344="Lớp 5",INDEX('Lớp 5 - Phân công'!$AB$14:$AB$262,$T344),IF($S344="Lớp 4",INDEX('Lớp 4 - Danh mục'!$AA$14:$AA$132,$T344),INDEX('Lớp 3 - Công việc chính'!$X$14:$X$73,$T344))))</f>
        <v>#REF!</v>
      </c>
      <c r="P344" s="703" t="str">
        <f t="array" ref="P344">IF($S344="","",IF($S344="Lớp 5",INDEX('Lớp 5 - Phân công'!$AC$14:$AC$262,$T344),IF($S344="Lớp 4",INDEX('Lớp 4 - Danh mục'!$AB$14:$AB$132,$T344),INDEX('Lớp 3 - Công việc chính'!$Y$14:$Y$73,$T344))))</f>
        <v>#REF!</v>
      </c>
      <c r="Q344" s="697" t="str">
        <f t="array" ref="Q344">IF($S344="","",IF($S344="Lớp 5",INDEX('Lớp 5 - Phân công'!$AG$14:$AG$262,$T344),IF($S344="Lớp 4",INDEX('Lớp 4 - Danh mục'!$AF$14:$AF$132,$T344),INDEX('Lớp 3 - Công việc chính'!$AC$14:$AC$73,$T344))))</f>
        <v>#REF!</v>
      </c>
      <c r="R344" s="698" t="str">
        <f t="array" ref="R344">IF($S344="","",IF($S344="Lớp 5",INDEX('Lớp 5 - Phân công'!$X$14:$X$262,$T344),IF($S344="Lớp 4",INDEX('Lớp 4 - Danh mục'!$V$14:$V$132,$T344),INDEX('Lớp 3 - Công việc chính'!$T$14:$T$73,$T344))))</f>
        <v>#REF!</v>
      </c>
      <c r="S344" s="699" t="str">
        <f>IF(ROWS($S$14:S344)&lt;=COUNTIF('Lớp 5 - Phân công'!$I$14:$I$262,"&lt;&gt;"),"Lớp 5",IF(ROWS($S$14:S344)&lt;=COUNTIF('Lớp 5 - Phân công'!$I$14:$I$262,"&lt;&gt;")+SUMPRODUCT(--('Lớp 4 - Danh mục'!$I$14:$I$132&lt;&gt;""),--(COUNTIF('Lớp 5 - Phân công'!$J$14:$J$262,'Lớp 4 - Danh mục'!$I$14:$I$132)=0)),"Lớp 4",IF(ROWS($S$14:S344)&lt;=COUNTIF('Lớp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4" s="699" t="str">
        <f t="array" ref="T344">IF(S344="","",IF(S344="Lớp 5",IF(S343&lt;&gt;"Lớp 5",MATCH("*",'Lớp 5 - Phân công'!$I$14:$I$262,0),T343+MATCH("*",INDEX('Lớp 5 - Phân công'!$I$14:$I$262,T343+1):'Lớp 5 - Phân công'!$I$262,0)),IF(S344="Lớp 4",IF(S343&lt;&gt;"Lớp 4",MATCH(1,INDEX(('Lớp 4 - Danh mục'!$I$14:$I$132&lt;&gt;"")*(COUNTIF('Lớp 5 - Phân công'!$J$14:$J$262,'Lớp 4 - Danh mục'!$I$14:$I$132)=0),0),0),T343+MATCH(1,INDEX((INDEX('Lớp 4 - Danh mục'!$I$14:$I$132,T343+1):'Lớp 4 - Danh mục'!$I$132&lt;&gt;"")*(COUNTIF('Lớp 5 - Phân công'!$J$14:$J$262,INDEX('Lớp 4 - Danh mục'!$I$14:$I$132,T343+1):'Lớp 4 - Danh mục'!$I$132)=0),0),0)),IF(S343&lt;&gt;"Lớp 3",MATCH(1,INDEX(('Lớp 3 - Công việc chính'!$I$14:$I$73&lt;&gt;"")*(COUNTIF('Lớp 4 - Danh mục'!$J$14:$J$132,'Lớp 3 - Công việc chính'!$I$14:$I$73)=0),0),0),T343+MATCH(1,INDEX((INDEX('Lớp 3 - Công việc chính'!$I$14:$I$73,T343+1):'Lớp 3 - Công việc chính'!$I$73&lt;&gt;"")*(COUNTIF('Lớp 4 - Danh mục'!$J$14:$J$132,INDEX('Lớp 3 - Công việc chính'!$I$14:$I$73,T343+1):'Lớp 3 - Công việc chính'!$I$73)=0),0),0)))))</f>
        <v>#REF!</v>
      </c>
      <c r="Z344" s="700" t="str">
        <f t="array" ref="Z344">IF($S344="","",IF($S344="Lớp 5",INDEX('Lớp 5 - Phân công'!$AS$14:$AS$262,$T344),IF($S344="Lớp 4",INDEX('Lớp 4 - Danh mục'!$AR$14:$AR$132,$T344),INDEX('Lớp 3 - Công việc chính'!$AO$14:$AO$73,$T344))))</f>
        <v>#REF!</v>
      </c>
      <c r="AA344" s="701" t="str">
        <f t="array" ref="AA344">IF($S344="","",IF($S344="Lớp 5",INDEX('Lớp 5 - Phân công'!$AT$14:$AT$262,$T344),IF($S344="Lớp 4",INDEX('Lớp 4 - Danh mục'!$AS$14:$AS$132,$T344),INDEX('Lớp 3 - Công việc chính'!$AP$14:$AP$73,$T344))))</f>
        <v>#REF!</v>
      </c>
      <c r="AB344" s="701" t="str">
        <f t="array" ref="AB344">IF($S344="","",IF($S344="Lớp 5",INDEX('Lớp 5 - Phân công'!$AJ$14:$AJ$262,$T344),IF($S344="Lớp 4",INDEX('Lớp 4 - Danh mục'!$AI$14:$AI$132,$T344),INDEX('Lớp 3 - Công việc chính'!$AF$14:$AF$73,$T344))))</f>
        <v>#REF!</v>
      </c>
      <c r="AC344" s="702" t="str">
        <f t="array" ref="AC344">IF($S344="","",IF($S344="Lớp 5",INDEX('Lớp 5 - Phân công'!$AV$14:$AV$262,$T344),IF($S344="Lớp 4",INDEX('Lớp 4 - Danh mục'!$AU$14:$AU$132,$T344),INDEX('Lớp 3 - Công việc chính'!$AR$14:$AR$73,$T344))))</f>
        <v>#REF!</v>
      </c>
    </row>
    <row r="345" ht="15.75" customHeight="1">
      <c r="A345" s="690" t="str">
        <f t="shared" si="1"/>
        <v>#REF!</v>
      </c>
      <c r="B345" s="690" t="str">
        <f t="array" ref="B345">IF($S345="","",IF($S345="Lớp 5",INDEX('Lớp 5 - Phân công'!$I$14:$I$262,$T345),IF($S345="Lớp 4",INDEX('Lớp 4 - Danh mục'!$I$14:$I$132,$T345),INDEX('Lớp 3 - Công việc chính'!$I$14:$I$73,$T345))))</f>
        <v>#REF!</v>
      </c>
      <c r="C345" s="690" t="str">
        <f t="array" ref="C345">IF($S345="","",IF($S345="Lớp 5",INDEX('Lớp 5 - Phân công'!$K$14:$K$262,$T345),IF($S345="Lớp 4",INDEX('Lớp 4 - Danh mục'!$J$14:$J$132,$T345),INDEX('Lớp 3 - Công việc chính'!$I$14:$I$73,$T345))))</f>
        <v>#REF!</v>
      </c>
      <c r="D345" s="690" t="str">
        <f t="array" ref="D345">IF($S345="","",IF($S345="Lớp 5",INDEX('Lớp 5 - Phân công'!$J$14:$J$262,$T345),IF($S345="Lớp 4",INDEX('Lớp 4 - Danh mục'!$I$14:$I$132,$T345),"")))</f>
        <v>#REF!</v>
      </c>
      <c r="E345" s="690" t="str">
        <f t="array" ref="E345">IF($S345="","",IF($S345="Lớp 5",INDEX('Lớp 5 - Phân công'!$L$14:$L$262,$T345),IF($S345="Lớp 4",INDEX('Lớp 4 - Danh mục'!$K$14:$K$132,$T345),INDEX('Lớp 3 - Công việc chính'!$J$14:$J$73,$T345))))</f>
        <v>#REF!</v>
      </c>
      <c r="F345" s="690" t="str">
        <f t="array" ref="F345">IF($S345="","",IF($S345="Lớp 5",INDEX('Lớp 5 - Phân công'!$M$14:$M$262,$T345),IF($S345="Lớp 4",INDEX('Lớp 4 - Danh mục'!$L$14:$L$132,$T345),INDEX('Lớp 3 - Công việc chính'!$K$14:$K$73,$T345))))</f>
        <v>#REF!</v>
      </c>
      <c r="G345" s="691" t="str">
        <f t="array" ref="G345">IF($S345="","",IF($S345="Lớp 5",INDEX('Lớp 5 - Phân công'!$N$14:$N$262,$T345),IF($S345="Lớp 4",INDEX('Lớp 4 - Danh mục'!$M$14:$M$132,$T345),INDEX('Lớp 3 - Công việc chính'!$L$14:$L$73,$T345))))</f>
        <v>#REF!</v>
      </c>
      <c r="H345" s="692" t="str">
        <f t="array" ref="H345">IF($S345="","",IF($S345="Lớp 5",INDEX('Lớp 5 - Phân công'!$O$14:$O$262,$T345),IF($S345="Lớp 4",INDEX('Lớp 4 - Danh mục'!$N$14:$N$132,$T345),INDEX('Lớp 3 - Công việc chính'!$M$14:$M$73,$T345))))</f>
        <v>#REF!</v>
      </c>
      <c r="I345" s="692" t="str">
        <f t="array" ref="I345">IF($S345="","",IF($S345="Lớp 5",INDEX('Lớp 5 - Phân công'!$P$14:$P$262,$T345),IF($S345="Lớp 4",INDEX('Lớp 4 - Danh mục'!$O$14:$O$132,$T345),"")))</f>
        <v>#REF!</v>
      </c>
      <c r="J345" s="693" t="str">
        <f t="array" ref="J345">IF($S345="","",IF($S345="Lớp 5",INDEX('Lớp 5 - Phân công'!$Q$14:$Q$262,$T345),""))</f>
        <v>#REF!</v>
      </c>
      <c r="K345" s="690" t="str">
        <f t="array" ref="K345">IF($S345="","",IF($S345="Lớp 5",INDEX('Lớp 5 - Phân công'!$AA$14:$AA$262,$T345),IF($S345="Lớp 4",INDEX('Lớp 4 - Danh mục'!$Y$14:$Y$132,$T345),INDEX('Lớp 3 - Công việc chính'!$U$14:$U$73,$T345))))</f>
        <v>#REF!</v>
      </c>
      <c r="L345" s="691" t="str">
        <f t="array" ref="L345">IF($S345="","",IF($S345="Lớp 5",INDEX('Lớp 5 - Phân công'!$Z$14:$Z$262,$T345),IF($S345="Lớp 4",INDEX('Lớp 4 - Danh mục'!$X$14:$X$132,$T345),INDEX('Lớp 3 - Công việc chính'!$W$14:$W$73,$T345))))</f>
        <v>#REF!</v>
      </c>
      <c r="M345" s="694" t="str">
        <f t="array" ref="M345">IF($S345="","",IF($S345="Lớp 5",INDEX('Lớp 5 - Phân công'!$AD$14:$AD$262,$T345),IF($S345="Lớp 4",INDEX('Lớp 4 - Danh mục'!$AC$14:$AC$132,$T345),INDEX('Lớp 3 - Công việc chính'!$Z$14:$Z$73,$T345))))</f>
        <v>#REF!</v>
      </c>
      <c r="N345" s="695" t="str">
        <f t="array" ref="N345">IF($S345="","",IF($S345="Lớp 5",INDEX('Lớp 5 - Phân công'!$AE$14:$AE$262,$T345),IF($S345="Lớp 4",INDEX('Lớp 4 - Danh mục'!$AD$14:$AD$132,$T345),INDEX('Lớp 3 - Công việc chính'!$AA$14:$AA$73,$T345))))</f>
        <v>#REF!</v>
      </c>
      <c r="O345" s="690" t="str">
        <f t="array" ref="O345">IF($S345="","",IF($S345="Lớp 5",INDEX('Lớp 5 - Phân công'!$AB$14:$AB$262,$T345),IF($S345="Lớp 4",INDEX('Lớp 4 - Danh mục'!$AA$14:$AA$132,$T345),INDEX('Lớp 3 - Công việc chính'!$X$14:$X$73,$T345))))</f>
        <v>#REF!</v>
      </c>
      <c r="P345" s="703" t="str">
        <f t="array" ref="P345">IF($S345="","",IF($S345="Lớp 5",INDEX('Lớp 5 - Phân công'!$AC$14:$AC$262,$T345),IF($S345="Lớp 4",INDEX('Lớp 4 - Danh mục'!$AB$14:$AB$132,$T345),INDEX('Lớp 3 - Công việc chính'!$Y$14:$Y$73,$T345))))</f>
        <v>#REF!</v>
      </c>
      <c r="Q345" s="697" t="str">
        <f t="array" ref="Q345">IF($S345="","",IF($S345="Lớp 5",INDEX('Lớp 5 - Phân công'!$AG$14:$AG$262,$T345),IF($S345="Lớp 4",INDEX('Lớp 4 - Danh mục'!$AF$14:$AF$132,$T345),INDEX('Lớp 3 - Công việc chính'!$AC$14:$AC$73,$T345))))</f>
        <v>#REF!</v>
      </c>
      <c r="R345" s="698" t="str">
        <f t="array" ref="R345">IF($S345="","",IF($S345="Lớp 5",INDEX('Lớp 5 - Phân công'!$X$14:$X$262,$T345),IF($S345="Lớp 4",INDEX('Lớp 4 - Danh mục'!$V$14:$V$132,$T345),INDEX('Lớp 3 - Công việc chính'!$T$14:$T$73,$T345))))</f>
        <v>#REF!</v>
      </c>
      <c r="S345" s="699" t="str">
        <f>IF(ROWS($S$14:S345)&lt;=COUNTIF('Lớp 5 - Phân công'!$I$14:$I$262,"&lt;&gt;"),"Lớp 5",IF(ROWS($S$14:S345)&lt;=COUNTIF('Lớp 5 - Phân công'!$I$14:$I$262,"&lt;&gt;")+SUMPRODUCT(--('Lớp 4 - Danh mục'!$I$14:$I$132&lt;&gt;""),--(COUNTIF('Lớp 5 - Phân công'!$J$14:$J$262,'Lớp 4 - Danh mục'!$I$14:$I$132)=0)),"Lớp 4",IF(ROWS($S$14:S345)&lt;=COUNTIF('Lớp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5" s="699" t="str">
        <f t="array" ref="T345">IF(S345="","",IF(S345="Lớp 5",IF(S344&lt;&gt;"Lớp 5",MATCH("*",'Lớp 5 - Phân công'!$I$14:$I$262,0),T344+MATCH("*",INDEX('Lớp 5 - Phân công'!$I$14:$I$262,T344+1):'Lớp 5 - Phân công'!$I$262,0)),IF(S345="Lớp 4",IF(S344&lt;&gt;"Lớp 4",MATCH(1,INDEX(('Lớp 4 - Danh mục'!$I$14:$I$132&lt;&gt;"")*(COUNTIF('Lớp 5 - Phân công'!$J$14:$J$262,'Lớp 4 - Danh mục'!$I$14:$I$132)=0),0),0),T344+MATCH(1,INDEX((INDEX('Lớp 4 - Danh mục'!$I$14:$I$132,T344+1):'Lớp 4 - Danh mục'!$I$132&lt;&gt;"")*(COUNTIF('Lớp 5 - Phân công'!$J$14:$J$262,INDEX('Lớp 4 - Danh mục'!$I$14:$I$132,T344+1):'Lớp 4 - Danh mục'!$I$132)=0),0),0)),IF(S344&lt;&gt;"Lớp 3",MATCH(1,INDEX(('Lớp 3 - Công việc chính'!$I$14:$I$73&lt;&gt;"")*(COUNTIF('Lớp 4 - Danh mục'!$J$14:$J$132,'Lớp 3 - Công việc chính'!$I$14:$I$73)=0),0),0),T344+MATCH(1,INDEX((INDEX('Lớp 3 - Công việc chính'!$I$14:$I$73,T344+1):'Lớp 3 - Công việc chính'!$I$73&lt;&gt;"")*(COUNTIF('Lớp 4 - Danh mục'!$J$14:$J$132,INDEX('Lớp 3 - Công việc chính'!$I$14:$I$73,T344+1):'Lớp 3 - Công việc chính'!$I$73)=0),0),0)))))</f>
        <v>#REF!</v>
      </c>
      <c r="Z345" s="700" t="str">
        <f t="array" ref="Z345">IF($S345="","",IF($S345="Lớp 5",INDEX('Lớp 5 - Phân công'!$AS$14:$AS$262,$T345),IF($S345="Lớp 4",INDEX('Lớp 4 - Danh mục'!$AR$14:$AR$132,$T345),INDEX('Lớp 3 - Công việc chính'!$AO$14:$AO$73,$T345))))</f>
        <v>#REF!</v>
      </c>
      <c r="AA345" s="701" t="str">
        <f t="array" ref="AA345">IF($S345="","",IF($S345="Lớp 5",INDEX('Lớp 5 - Phân công'!$AT$14:$AT$262,$T345),IF($S345="Lớp 4",INDEX('Lớp 4 - Danh mục'!$AS$14:$AS$132,$T345),INDEX('Lớp 3 - Công việc chính'!$AP$14:$AP$73,$T345))))</f>
        <v>#REF!</v>
      </c>
      <c r="AB345" s="701" t="str">
        <f t="array" ref="AB345">IF($S345="","",IF($S345="Lớp 5",INDEX('Lớp 5 - Phân công'!$AJ$14:$AJ$262,$T345),IF($S345="Lớp 4",INDEX('Lớp 4 - Danh mục'!$AI$14:$AI$132,$T345),INDEX('Lớp 3 - Công việc chính'!$AF$14:$AF$73,$T345))))</f>
        <v>#REF!</v>
      </c>
      <c r="AC345" s="702" t="str">
        <f t="array" ref="AC345">IF($S345="","",IF($S345="Lớp 5",INDEX('Lớp 5 - Phân công'!$AV$14:$AV$262,$T345),IF($S345="Lớp 4",INDEX('Lớp 4 - Danh mục'!$AU$14:$AU$132,$T345),INDEX('Lớp 3 - Công việc chính'!$AR$14:$AR$73,$T345))))</f>
        <v>#REF!</v>
      </c>
    </row>
    <row r="346" ht="15.75" customHeight="1">
      <c r="A346" s="690" t="str">
        <f t="shared" si="1"/>
        <v>#REF!</v>
      </c>
      <c r="B346" s="690" t="str">
        <f t="array" ref="B346">IF($S346="","",IF($S346="Lớp 5",INDEX('Lớp 5 - Phân công'!$I$14:$I$262,$T346),IF($S346="Lớp 4",INDEX('Lớp 4 - Danh mục'!$I$14:$I$132,$T346),INDEX('Lớp 3 - Công việc chính'!$I$14:$I$73,$T346))))</f>
        <v>#REF!</v>
      </c>
      <c r="C346" s="690" t="str">
        <f t="array" ref="C346">IF($S346="","",IF($S346="Lớp 5",INDEX('Lớp 5 - Phân công'!$K$14:$K$262,$T346),IF($S346="Lớp 4",INDEX('Lớp 4 - Danh mục'!$J$14:$J$132,$T346),INDEX('Lớp 3 - Công việc chính'!$I$14:$I$73,$T346))))</f>
        <v>#REF!</v>
      </c>
      <c r="D346" s="690" t="str">
        <f t="array" ref="D346">IF($S346="","",IF($S346="Lớp 5",INDEX('Lớp 5 - Phân công'!$J$14:$J$262,$T346),IF($S346="Lớp 4",INDEX('Lớp 4 - Danh mục'!$I$14:$I$132,$T346),"")))</f>
        <v>#REF!</v>
      </c>
      <c r="E346" s="690" t="str">
        <f t="array" ref="E346">IF($S346="","",IF($S346="Lớp 5",INDEX('Lớp 5 - Phân công'!$L$14:$L$262,$T346),IF($S346="Lớp 4",INDEX('Lớp 4 - Danh mục'!$K$14:$K$132,$T346),INDEX('Lớp 3 - Công việc chính'!$J$14:$J$73,$T346))))</f>
        <v>#REF!</v>
      </c>
      <c r="F346" s="690" t="str">
        <f t="array" ref="F346">IF($S346="","",IF($S346="Lớp 5",INDEX('Lớp 5 - Phân công'!$M$14:$M$262,$T346),IF($S346="Lớp 4",INDEX('Lớp 4 - Danh mục'!$L$14:$L$132,$T346),INDEX('Lớp 3 - Công việc chính'!$K$14:$K$73,$T346))))</f>
        <v>#REF!</v>
      </c>
      <c r="G346" s="691" t="str">
        <f t="array" ref="G346">IF($S346="","",IF($S346="Lớp 5",INDEX('Lớp 5 - Phân công'!$N$14:$N$262,$T346),IF($S346="Lớp 4",INDEX('Lớp 4 - Danh mục'!$M$14:$M$132,$T346),INDEX('Lớp 3 - Công việc chính'!$L$14:$L$73,$T346))))</f>
        <v>#REF!</v>
      </c>
      <c r="H346" s="692" t="str">
        <f t="array" ref="H346">IF($S346="","",IF($S346="Lớp 5",INDEX('Lớp 5 - Phân công'!$O$14:$O$262,$T346),IF($S346="Lớp 4",INDEX('Lớp 4 - Danh mục'!$N$14:$N$132,$T346),INDEX('Lớp 3 - Công việc chính'!$M$14:$M$73,$T346))))</f>
        <v>#REF!</v>
      </c>
      <c r="I346" s="692" t="str">
        <f t="array" ref="I346">IF($S346="","",IF($S346="Lớp 5",INDEX('Lớp 5 - Phân công'!$P$14:$P$262,$T346),IF($S346="Lớp 4",INDEX('Lớp 4 - Danh mục'!$O$14:$O$132,$T346),"")))</f>
        <v>#REF!</v>
      </c>
      <c r="J346" s="693" t="str">
        <f t="array" ref="J346">IF($S346="","",IF($S346="Lớp 5",INDEX('Lớp 5 - Phân công'!$Q$14:$Q$262,$T346),""))</f>
        <v>#REF!</v>
      </c>
      <c r="K346" s="690" t="str">
        <f t="array" ref="K346">IF($S346="","",IF($S346="Lớp 5",INDEX('Lớp 5 - Phân công'!$AA$14:$AA$262,$T346),IF($S346="Lớp 4",INDEX('Lớp 4 - Danh mục'!$Y$14:$Y$132,$T346),INDEX('Lớp 3 - Công việc chính'!$U$14:$U$73,$T346))))</f>
        <v>#REF!</v>
      </c>
      <c r="L346" s="691" t="str">
        <f t="array" ref="L346">IF($S346="","",IF($S346="Lớp 5",INDEX('Lớp 5 - Phân công'!$Z$14:$Z$262,$T346),IF($S346="Lớp 4",INDEX('Lớp 4 - Danh mục'!$X$14:$X$132,$T346),INDEX('Lớp 3 - Công việc chính'!$W$14:$W$73,$T346))))</f>
        <v>#REF!</v>
      </c>
      <c r="M346" s="694" t="str">
        <f t="array" ref="M346">IF($S346="","",IF($S346="Lớp 5",INDEX('Lớp 5 - Phân công'!$AD$14:$AD$262,$T346),IF($S346="Lớp 4",INDEX('Lớp 4 - Danh mục'!$AC$14:$AC$132,$T346),INDEX('Lớp 3 - Công việc chính'!$Z$14:$Z$73,$T346))))</f>
        <v>#REF!</v>
      </c>
      <c r="N346" s="695" t="str">
        <f t="array" ref="N346">IF($S346="","",IF($S346="Lớp 5",INDEX('Lớp 5 - Phân công'!$AE$14:$AE$262,$T346),IF($S346="Lớp 4",INDEX('Lớp 4 - Danh mục'!$AD$14:$AD$132,$T346),INDEX('Lớp 3 - Công việc chính'!$AA$14:$AA$73,$T346))))</f>
        <v>#REF!</v>
      </c>
      <c r="O346" s="690" t="str">
        <f t="array" ref="O346">IF($S346="","",IF($S346="Lớp 5",INDEX('Lớp 5 - Phân công'!$AB$14:$AB$262,$T346),IF($S346="Lớp 4",INDEX('Lớp 4 - Danh mục'!$AA$14:$AA$132,$T346),INDEX('Lớp 3 - Công việc chính'!$X$14:$X$73,$T346))))</f>
        <v>#REF!</v>
      </c>
      <c r="P346" s="703" t="str">
        <f t="array" ref="P346">IF($S346="","",IF($S346="Lớp 5",INDEX('Lớp 5 - Phân công'!$AC$14:$AC$262,$T346),IF($S346="Lớp 4",INDEX('Lớp 4 - Danh mục'!$AB$14:$AB$132,$T346),INDEX('Lớp 3 - Công việc chính'!$Y$14:$Y$73,$T346))))</f>
        <v>#REF!</v>
      </c>
      <c r="Q346" s="697" t="str">
        <f t="array" ref="Q346">IF($S346="","",IF($S346="Lớp 5",INDEX('Lớp 5 - Phân công'!$AG$14:$AG$262,$T346),IF($S346="Lớp 4",INDEX('Lớp 4 - Danh mục'!$AF$14:$AF$132,$T346),INDEX('Lớp 3 - Công việc chính'!$AC$14:$AC$73,$T346))))</f>
        <v>#REF!</v>
      </c>
      <c r="R346" s="698" t="str">
        <f t="array" ref="R346">IF($S346="","",IF($S346="Lớp 5",INDEX('Lớp 5 - Phân công'!$X$14:$X$262,$T346),IF($S346="Lớp 4",INDEX('Lớp 4 - Danh mục'!$V$14:$V$132,$T346),INDEX('Lớp 3 - Công việc chính'!$T$14:$T$73,$T346))))</f>
        <v>#REF!</v>
      </c>
      <c r="S346" s="699" t="str">
        <f>IF(ROWS($S$14:S346)&lt;=COUNTIF('Lớp 5 - Phân công'!$I$14:$I$262,"&lt;&gt;"),"Lớp 5",IF(ROWS($S$14:S346)&lt;=COUNTIF('Lớp 5 - Phân công'!$I$14:$I$262,"&lt;&gt;")+SUMPRODUCT(--('Lớp 4 - Danh mục'!$I$14:$I$132&lt;&gt;""),--(COUNTIF('Lớp 5 - Phân công'!$J$14:$J$262,'Lớp 4 - Danh mục'!$I$14:$I$132)=0)),"Lớp 4",IF(ROWS($S$14:S346)&lt;=COUNTIF('Lớp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6" s="699" t="str">
        <f t="array" ref="T346">IF(S346="","",IF(S346="Lớp 5",IF(S345&lt;&gt;"Lớp 5",MATCH("*",'Lớp 5 - Phân công'!$I$14:$I$262,0),T345+MATCH("*",INDEX('Lớp 5 - Phân công'!$I$14:$I$262,T345+1):'Lớp 5 - Phân công'!$I$262,0)),IF(S346="Lớp 4",IF(S345&lt;&gt;"Lớp 4",MATCH(1,INDEX(('Lớp 4 - Danh mục'!$I$14:$I$132&lt;&gt;"")*(COUNTIF('Lớp 5 - Phân công'!$J$14:$J$262,'Lớp 4 - Danh mục'!$I$14:$I$132)=0),0),0),T345+MATCH(1,INDEX((INDEX('Lớp 4 - Danh mục'!$I$14:$I$132,T345+1):'Lớp 4 - Danh mục'!$I$132&lt;&gt;"")*(COUNTIF('Lớp 5 - Phân công'!$J$14:$J$262,INDEX('Lớp 4 - Danh mục'!$I$14:$I$132,T345+1):'Lớp 4 - Danh mục'!$I$132)=0),0),0)),IF(S345&lt;&gt;"Lớp 3",MATCH(1,INDEX(('Lớp 3 - Công việc chính'!$I$14:$I$73&lt;&gt;"")*(COUNTIF('Lớp 4 - Danh mục'!$J$14:$J$132,'Lớp 3 - Công việc chính'!$I$14:$I$73)=0),0),0),T345+MATCH(1,INDEX((INDEX('Lớp 3 - Công việc chính'!$I$14:$I$73,T345+1):'Lớp 3 - Công việc chính'!$I$73&lt;&gt;"")*(COUNTIF('Lớp 4 - Danh mục'!$J$14:$J$132,INDEX('Lớp 3 - Công việc chính'!$I$14:$I$73,T345+1):'Lớp 3 - Công việc chính'!$I$73)=0),0),0)))))</f>
        <v>#REF!</v>
      </c>
      <c r="Z346" s="700" t="str">
        <f t="array" ref="Z346">IF($S346="","",IF($S346="Lớp 5",INDEX('Lớp 5 - Phân công'!$AS$14:$AS$262,$T346),IF($S346="Lớp 4",INDEX('Lớp 4 - Danh mục'!$AR$14:$AR$132,$T346),INDEX('Lớp 3 - Công việc chính'!$AO$14:$AO$73,$T346))))</f>
        <v>#REF!</v>
      </c>
      <c r="AA346" s="701" t="str">
        <f t="array" ref="AA346">IF($S346="","",IF($S346="Lớp 5",INDEX('Lớp 5 - Phân công'!$AT$14:$AT$262,$T346),IF($S346="Lớp 4",INDEX('Lớp 4 - Danh mục'!$AS$14:$AS$132,$T346),INDEX('Lớp 3 - Công việc chính'!$AP$14:$AP$73,$T346))))</f>
        <v>#REF!</v>
      </c>
      <c r="AB346" s="701" t="str">
        <f t="array" ref="AB346">IF($S346="","",IF($S346="Lớp 5",INDEX('Lớp 5 - Phân công'!$AJ$14:$AJ$262,$T346),IF($S346="Lớp 4",INDEX('Lớp 4 - Danh mục'!$AI$14:$AI$132,$T346),INDEX('Lớp 3 - Công việc chính'!$AF$14:$AF$73,$T346))))</f>
        <v>#REF!</v>
      </c>
      <c r="AC346" s="702" t="str">
        <f t="array" ref="AC346">IF($S346="","",IF($S346="Lớp 5",INDEX('Lớp 5 - Phân công'!$AV$14:$AV$262,$T346),IF($S346="Lớp 4",INDEX('Lớp 4 - Danh mục'!$AU$14:$AU$132,$T346),INDEX('Lớp 3 - Công việc chính'!$AR$14:$AR$73,$T346))))</f>
        <v>#REF!</v>
      </c>
    </row>
    <row r="347" ht="15.75" customHeight="1">
      <c r="A347" s="690" t="str">
        <f t="shared" si="1"/>
        <v>#REF!</v>
      </c>
      <c r="B347" s="690" t="str">
        <f t="array" ref="B347">IF($S347="","",IF($S347="Lớp 5",INDEX('Lớp 5 - Phân công'!$I$14:$I$262,$T347),IF($S347="Lớp 4",INDEX('Lớp 4 - Danh mục'!$I$14:$I$132,$T347),INDEX('Lớp 3 - Công việc chính'!$I$14:$I$73,$T347))))</f>
        <v>#REF!</v>
      </c>
      <c r="C347" s="690" t="str">
        <f t="array" ref="C347">IF($S347="","",IF($S347="Lớp 5",INDEX('Lớp 5 - Phân công'!$K$14:$K$262,$T347),IF($S347="Lớp 4",INDEX('Lớp 4 - Danh mục'!$J$14:$J$132,$T347),INDEX('Lớp 3 - Công việc chính'!$I$14:$I$73,$T347))))</f>
        <v>#REF!</v>
      </c>
      <c r="D347" s="690" t="str">
        <f t="array" ref="D347">IF($S347="","",IF($S347="Lớp 5",INDEX('Lớp 5 - Phân công'!$J$14:$J$262,$T347),IF($S347="Lớp 4",INDEX('Lớp 4 - Danh mục'!$I$14:$I$132,$T347),"")))</f>
        <v>#REF!</v>
      </c>
      <c r="E347" s="690" t="str">
        <f t="array" ref="E347">IF($S347="","",IF($S347="Lớp 5",INDEX('Lớp 5 - Phân công'!$L$14:$L$262,$T347),IF($S347="Lớp 4",INDEX('Lớp 4 - Danh mục'!$K$14:$K$132,$T347),INDEX('Lớp 3 - Công việc chính'!$J$14:$J$73,$T347))))</f>
        <v>#REF!</v>
      </c>
      <c r="F347" s="690" t="str">
        <f t="array" ref="F347">IF($S347="","",IF($S347="Lớp 5",INDEX('Lớp 5 - Phân công'!$M$14:$M$262,$T347),IF($S347="Lớp 4",INDEX('Lớp 4 - Danh mục'!$L$14:$L$132,$T347),INDEX('Lớp 3 - Công việc chính'!$K$14:$K$73,$T347))))</f>
        <v>#REF!</v>
      </c>
      <c r="G347" s="691" t="str">
        <f t="array" ref="G347">IF($S347="","",IF($S347="Lớp 5",INDEX('Lớp 5 - Phân công'!$N$14:$N$262,$T347),IF($S347="Lớp 4",INDEX('Lớp 4 - Danh mục'!$M$14:$M$132,$T347),INDEX('Lớp 3 - Công việc chính'!$L$14:$L$73,$T347))))</f>
        <v>#REF!</v>
      </c>
      <c r="H347" s="692" t="str">
        <f t="array" ref="H347">IF($S347="","",IF($S347="Lớp 5",INDEX('Lớp 5 - Phân công'!$O$14:$O$262,$T347),IF($S347="Lớp 4",INDEX('Lớp 4 - Danh mục'!$N$14:$N$132,$T347),INDEX('Lớp 3 - Công việc chính'!$M$14:$M$73,$T347))))</f>
        <v>#REF!</v>
      </c>
      <c r="I347" s="692" t="str">
        <f t="array" ref="I347">IF($S347="","",IF($S347="Lớp 5",INDEX('Lớp 5 - Phân công'!$P$14:$P$262,$T347),IF($S347="Lớp 4",INDEX('Lớp 4 - Danh mục'!$O$14:$O$132,$T347),"")))</f>
        <v>#REF!</v>
      </c>
      <c r="J347" s="693" t="str">
        <f t="array" ref="J347">IF($S347="","",IF($S347="Lớp 5",INDEX('Lớp 5 - Phân công'!$Q$14:$Q$262,$T347),""))</f>
        <v>#REF!</v>
      </c>
      <c r="K347" s="690" t="str">
        <f t="array" ref="K347">IF($S347="","",IF($S347="Lớp 5",INDEX('Lớp 5 - Phân công'!$AA$14:$AA$262,$T347),IF($S347="Lớp 4",INDEX('Lớp 4 - Danh mục'!$Y$14:$Y$132,$T347),INDEX('Lớp 3 - Công việc chính'!$U$14:$U$73,$T347))))</f>
        <v>#REF!</v>
      </c>
      <c r="L347" s="691" t="str">
        <f t="array" ref="L347">IF($S347="","",IF($S347="Lớp 5",INDEX('Lớp 5 - Phân công'!$Z$14:$Z$262,$T347),IF($S347="Lớp 4",INDEX('Lớp 4 - Danh mục'!$X$14:$X$132,$T347),INDEX('Lớp 3 - Công việc chính'!$W$14:$W$73,$T347))))</f>
        <v>#REF!</v>
      </c>
      <c r="M347" s="694" t="str">
        <f t="array" ref="M347">IF($S347="","",IF($S347="Lớp 5",INDEX('Lớp 5 - Phân công'!$AD$14:$AD$262,$T347),IF($S347="Lớp 4",INDEX('Lớp 4 - Danh mục'!$AC$14:$AC$132,$T347),INDEX('Lớp 3 - Công việc chính'!$Z$14:$Z$73,$T347))))</f>
        <v>#REF!</v>
      </c>
      <c r="N347" s="695" t="str">
        <f t="array" ref="N347">IF($S347="","",IF($S347="Lớp 5",INDEX('Lớp 5 - Phân công'!$AE$14:$AE$262,$T347),IF($S347="Lớp 4",INDEX('Lớp 4 - Danh mục'!$AD$14:$AD$132,$T347),INDEX('Lớp 3 - Công việc chính'!$AA$14:$AA$73,$T347))))</f>
        <v>#REF!</v>
      </c>
      <c r="O347" s="690" t="str">
        <f t="array" ref="O347">IF($S347="","",IF($S347="Lớp 5",INDEX('Lớp 5 - Phân công'!$AB$14:$AB$262,$T347),IF($S347="Lớp 4",INDEX('Lớp 4 - Danh mục'!$AA$14:$AA$132,$T347),INDEX('Lớp 3 - Công việc chính'!$X$14:$X$73,$T347))))</f>
        <v>#REF!</v>
      </c>
      <c r="P347" s="703" t="str">
        <f t="array" ref="P347">IF($S347="","",IF($S347="Lớp 5",INDEX('Lớp 5 - Phân công'!$AC$14:$AC$262,$T347),IF($S347="Lớp 4",INDEX('Lớp 4 - Danh mục'!$AB$14:$AB$132,$T347),INDEX('Lớp 3 - Công việc chính'!$Y$14:$Y$73,$T347))))</f>
        <v>#REF!</v>
      </c>
      <c r="Q347" s="697" t="str">
        <f t="array" ref="Q347">IF($S347="","",IF($S347="Lớp 5",INDEX('Lớp 5 - Phân công'!$AG$14:$AG$262,$T347),IF($S347="Lớp 4",INDEX('Lớp 4 - Danh mục'!$AF$14:$AF$132,$T347),INDEX('Lớp 3 - Công việc chính'!$AC$14:$AC$73,$T347))))</f>
        <v>#REF!</v>
      </c>
      <c r="R347" s="698" t="str">
        <f t="array" ref="R347">IF($S347="","",IF($S347="Lớp 5",INDEX('Lớp 5 - Phân công'!$X$14:$X$262,$T347),IF($S347="Lớp 4",INDEX('Lớp 4 - Danh mục'!$V$14:$V$132,$T347),INDEX('Lớp 3 - Công việc chính'!$T$14:$T$73,$T347))))</f>
        <v>#REF!</v>
      </c>
      <c r="S347" s="699" t="str">
        <f>IF(ROWS($S$14:S347)&lt;=COUNTIF('Lớp 5 - Phân công'!$I$14:$I$262,"&lt;&gt;"),"Lớp 5",IF(ROWS($S$14:S347)&lt;=COUNTIF('Lớp 5 - Phân công'!$I$14:$I$262,"&lt;&gt;")+SUMPRODUCT(--('Lớp 4 - Danh mục'!$I$14:$I$132&lt;&gt;""),--(COUNTIF('Lớp 5 - Phân công'!$J$14:$J$262,'Lớp 4 - Danh mục'!$I$14:$I$132)=0)),"Lớp 4",IF(ROWS($S$14:S347)&lt;=COUNTIF('Lớp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7" s="699" t="str">
        <f t="array" ref="T347">IF(S347="","",IF(S347="Lớp 5",IF(S346&lt;&gt;"Lớp 5",MATCH("*",'Lớp 5 - Phân công'!$I$14:$I$262,0),T346+MATCH("*",INDEX('Lớp 5 - Phân công'!$I$14:$I$262,T346+1):'Lớp 5 - Phân công'!$I$262,0)),IF(S347="Lớp 4",IF(S346&lt;&gt;"Lớp 4",MATCH(1,INDEX(('Lớp 4 - Danh mục'!$I$14:$I$132&lt;&gt;"")*(COUNTIF('Lớp 5 - Phân công'!$J$14:$J$262,'Lớp 4 - Danh mục'!$I$14:$I$132)=0),0),0),T346+MATCH(1,INDEX((INDEX('Lớp 4 - Danh mục'!$I$14:$I$132,T346+1):'Lớp 4 - Danh mục'!$I$132&lt;&gt;"")*(COUNTIF('Lớp 5 - Phân công'!$J$14:$J$262,INDEX('Lớp 4 - Danh mục'!$I$14:$I$132,T346+1):'Lớp 4 - Danh mục'!$I$132)=0),0),0)),IF(S346&lt;&gt;"Lớp 3",MATCH(1,INDEX(('Lớp 3 - Công việc chính'!$I$14:$I$73&lt;&gt;"")*(COUNTIF('Lớp 4 - Danh mục'!$J$14:$J$132,'Lớp 3 - Công việc chính'!$I$14:$I$73)=0),0),0),T346+MATCH(1,INDEX((INDEX('Lớp 3 - Công việc chính'!$I$14:$I$73,T346+1):'Lớp 3 - Công việc chính'!$I$73&lt;&gt;"")*(COUNTIF('Lớp 4 - Danh mục'!$J$14:$J$132,INDEX('Lớp 3 - Công việc chính'!$I$14:$I$73,T346+1):'Lớp 3 - Công việc chính'!$I$73)=0),0),0)))))</f>
        <v>#REF!</v>
      </c>
      <c r="Z347" s="700" t="str">
        <f t="array" ref="Z347">IF($S347="","",IF($S347="Lớp 5",INDEX('Lớp 5 - Phân công'!$AS$14:$AS$262,$T347),IF($S347="Lớp 4",INDEX('Lớp 4 - Danh mục'!$AR$14:$AR$132,$T347),INDEX('Lớp 3 - Công việc chính'!$AO$14:$AO$73,$T347))))</f>
        <v>#REF!</v>
      </c>
      <c r="AA347" s="701" t="str">
        <f t="array" ref="AA347">IF($S347="","",IF($S347="Lớp 5",INDEX('Lớp 5 - Phân công'!$AT$14:$AT$262,$T347),IF($S347="Lớp 4",INDEX('Lớp 4 - Danh mục'!$AS$14:$AS$132,$T347),INDEX('Lớp 3 - Công việc chính'!$AP$14:$AP$73,$T347))))</f>
        <v>#REF!</v>
      </c>
      <c r="AB347" s="701" t="str">
        <f t="array" ref="AB347">IF($S347="","",IF($S347="Lớp 5",INDEX('Lớp 5 - Phân công'!$AJ$14:$AJ$262,$T347),IF($S347="Lớp 4",INDEX('Lớp 4 - Danh mục'!$AI$14:$AI$132,$T347),INDEX('Lớp 3 - Công việc chính'!$AF$14:$AF$73,$T347))))</f>
        <v>#REF!</v>
      </c>
      <c r="AC347" s="702" t="str">
        <f t="array" ref="AC347">IF($S347="","",IF($S347="Lớp 5",INDEX('Lớp 5 - Phân công'!$AV$14:$AV$262,$T347),IF($S347="Lớp 4",INDEX('Lớp 4 - Danh mục'!$AU$14:$AU$132,$T347),INDEX('Lớp 3 - Công việc chính'!$AR$14:$AR$73,$T347))))</f>
        <v>#REF!</v>
      </c>
    </row>
    <row r="348" ht="15.75" customHeight="1">
      <c r="A348" s="690" t="str">
        <f t="shared" si="1"/>
        <v>#REF!</v>
      </c>
      <c r="B348" s="690" t="str">
        <f t="array" ref="B348">IF($S348="","",IF($S348="Lớp 5",INDEX('Lớp 5 - Phân công'!$I$14:$I$262,$T348),IF($S348="Lớp 4",INDEX('Lớp 4 - Danh mục'!$I$14:$I$132,$T348),INDEX('Lớp 3 - Công việc chính'!$I$14:$I$73,$T348))))</f>
        <v>#REF!</v>
      </c>
      <c r="C348" s="690" t="str">
        <f t="array" ref="C348">IF($S348="","",IF($S348="Lớp 5",INDEX('Lớp 5 - Phân công'!$K$14:$K$262,$T348),IF($S348="Lớp 4",INDEX('Lớp 4 - Danh mục'!$J$14:$J$132,$T348),INDEX('Lớp 3 - Công việc chính'!$I$14:$I$73,$T348))))</f>
        <v>#REF!</v>
      </c>
      <c r="D348" s="690" t="str">
        <f t="array" ref="D348">IF($S348="","",IF($S348="Lớp 5",INDEX('Lớp 5 - Phân công'!$J$14:$J$262,$T348),IF($S348="Lớp 4",INDEX('Lớp 4 - Danh mục'!$I$14:$I$132,$T348),"")))</f>
        <v>#REF!</v>
      </c>
      <c r="E348" s="690" t="str">
        <f t="array" ref="E348">IF($S348="","",IF($S348="Lớp 5",INDEX('Lớp 5 - Phân công'!$L$14:$L$262,$T348),IF($S348="Lớp 4",INDEX('Lớp 4 - Danh mục'!$K$14:$K$132,$T348),INDEX('Lớp 3 - Công việc chính'!$J$14:$J$73,$T348))))</f>
        <v>#REF!</v>
      </c>
      <c r="F348" s="690" t="str">
        <f t="array" ref="F348">IF($S348="","",IF($S348="Lớp 5",INDEX('Lớp 5 - Phân công'!$M$14:$M$262,$T348),IF($S348="Lớp 4",INDEX('Lớp 4 - Danh mục'!$L$14:$L$132,$T348),INDEX('Lớp 3 - Công việc chính'!$K$14:$K$73,$T348))))</f>
        <v>#REF!</v>
      </c>
      <c r="G348" s="691" t="str">
        <f t="array" ref="G348">IF($S348="","",IF($S348="Lớp 5",INDEX('Lớp 5 - Phân công'!$N$14:$N$262,$T348),IF($S348="Lớp 4",INDEX('Lớp 4 - Danh mục'!$M$14:$M$132,$T348),INDEX('Lớp 3 - Công việc chính'!$L$14:$L$73,$T348))))</f>
        <v>#REF!</v>
      </c>
      <c r="H348" s="692" t="str">
        <f t="array" ref="H348">IF($S348="","",IF($S348="Lớp 5",INDEX('Lớp 5 - Phân công'!$O$14:$O$262,$T348),IF($S348="Lớp 4",INDEX('Lớp 4 - Danh mục'!$N$14:$N$132,$T348),INDEX('Lớp 3 - Công việc chính'!$M$14:$M$73,$T348))))</f>
        <v>#REF!</v>
      </c>
      <c r="I348" s="692" t="str">
        <f t="array" ref="I348">IF($S348="","",IF($S348="Lớp 5",INDEX('Lớp 5 - Phân công'!$P$14:$P$262,$T348),IF($S348="Lớp 4",INDEX('Lớp 4 - Danh mục'!$O$14:$O$132,$T348),"")))</f>
        <v>#REF!</v>
      </c>
      <c r="J348" s="693" t="str">
        <f t="array" ref="J348">IF($S348="","",IF($S348="Lớp 5",INDEX('Lớp 5 - Phân công'!$Q$14:$Q$262,$T348),""))</f>
        <v>#REF!</v>
      </c>
      <c r="K348" s="690" t="str">
        <f t="array" ref="K348">IF($S348="","",IF($S348="Lớp 5",INDEX('Lớp 5 - Phân công'!$AA$14:$AA$262,$T348),IF($S348="Lớp 4",INDEX('Lớp 4 - Danh mục'!$Y$14:$Y$132,$T348),INDEX('Lớp 3 - Công việc chính'!$U$14:$U$73,$T348))))</f>
        <v>#REF!</v>
      </c>
      <c r="L348" s="691" t="str">
        <f t="array" ref="L348">IF($S348="","",IF($S348="Lớp 5",INDEX('Lớp 5 - Phân công'!$Z$14:$Z$262,$T348),IF($S348="Lớp 4",INDEX('Lớp 4 - Danh mục'!$X$14:$X$132,$T348),INDEX('Lớp 3 - Công việc chính'!$W$14:$W$73,$T348))))</f>
        <v>#REF!</v>
      </c>
      <c r="M348" s="694" t="str">
        <f t="array" ref="M348">IF($S348="","",IF($S348="Lớp 5",INDEX('Lớp 5 - Phân công'!$AD$14:$AD$262,$T348),IF($S348="Lớp 4",INDEX('Lớp 4 - Danh mục'!$AC$14:$AC$132,$T348),INDEX('Lớp 3 - Công việc chính'!$Z$14:$Z$73,$T348))))</f>
        <v>#REF!</v>
      </c>
      <c r="N348" s="695" t="str">
        <f t="array" ref="N348">IF($S348="","",IF($S348="Lớp 5",INDEX('Lớp 5 - Phân công'!$AE$14:$AE$262,$T348),IF($S348="Lớp 4",INDEX('Lớp 4 - Danh mục'!$AD$14:$AD$132,$T348),INDEX('Lớp 3 - Công việc chính'!$AA$14:$AA$73,$T348))))</f>
        <v>#REF!</v>
      </c>
      <c r="O348" s="690" t="str">
        <f t="array" ref="O348">IF($S348="","",IF($S348="Lớp 5",INDEX('Lớp 5 - Phân công'!$AB$14:$AB$262,$T348),IF($S348="Lớp 4",INDEX('Lớp 4 - Danh mục'!$AA$14:$AA$132,$T348),INDEX('Lớp 3 - Công việc chính'!$X$14:$X$73,$T348))))</f>
        <v>#REF!</v>
      </c>
      <c r="P348" s="703" t="str">
        <f t="array" ref="P348">IF($S348="","",IF($S348="Lớp 5",INDEX('Lớp 5 - Phân công'!$AC$14:$AC$262,$T348),IF($S348="Lớp 4",INDEX('Lớp 4 - Danh mục'!$AB$14:$AB$132,$T348),INDEX('Lớp 3 - Công việc chính'!$Y$14:$Y$73,$T348))))</f>
        <v>#REF!</v>
      </c>
      <c r="Q348" s="697" t="str">
        <f t="array" ref="Q348">IF($S348="","",IF($S348="Lớp 5",INDEX('Lớp 5 - Phân công'!$AG$14:$AG$262,$T348),IF($S348="Lớp 4",INDEX('Lớp 4 - Danh mục'!$AF$14:$AF$132,$T348),INDEX('Lớp 3 - Công việc chính'!$AC$14:$AC$73,$T348))))</f>
        <v>#REF!</v>
      </c>
      <c r="R348" s="698" t="str">
        <f t="array" ref="R348">IF($S348="","",IF($S348="Lớp 5",INDEX('Lớp 5 - Phân công'!$X$14:$X$262,$T348),IF($S348="Lớp 4",INDEX('Lớp 4 - Danh mục'!$V$14:$V$132,$T348),INDEX('Lớp 3 - Công việc chính'!$T$14:$T$73,$T348))))</f>
        <v>#REF!</v>
      </c>
      <c r="S348" s="699" t="str">
        <f>IF(ROWS($S$14:S348)&lt;=COUNTIF('Lớp 5 - Phân công'!$I$14:$I$262,"&lt;&gt;"),"Lớp 5",IF(ROWS($S$14:S348)&lt;=COUNTIF('Lớp 5 - Phân công'!$I$14:$I$262,"&lt;&gt;")+SUMPRODUCT(--('Lớp 4 - Danh mục'!$I$14:$I$132&lt;&gt;""),--(COUNTIF('Lớp 5 - Phân công'!$J$14:$J$262,'Lớp 4 - Danh mục'!$I$14:$I$132)=0)),"Lớp 4",IF(ROWS($S$14:S348)&lt;=COUNTIF('Lớp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8" s="699" t="str">
        <f t="array" ref="T348">IF(S348="","",IF(S348="Lớp 5",IF(S347&lt;&gt;"Lớp 5",MATCH("*",'Lớp 5 - Phân công'!$I$14:$I$262,0),T347+MATCH("*",INDEX('Lớp 5 - Phân công'!$I$14:$I$262,T347+1):'Lớp 5 - Phân công'!$I$262,0)),IF(S348="Lớp 4",IF(S347&lt;&gt;"Lớp 4",MATCH(1,INDEX(('Lớp 4 - Danh mục'!$I$14:$I$132&lt;&gt;"")*(COUNTIF('Lớp 5 - Phân công'!$J$14:$J$262,'Lớp 4 - Danh mục'!$I$14:$I$132)=0),0),0),T347+MATCH(1,INDEX((INDEX('Lớp 4 - Danh mục'!$I$14:$I$132,T347+1):'Lớp 4 - Danh mục'!$I$132&lt;&gt;"")*(COUNTIF('Lớp 5 - Phân công'!$J$14:$J$262,INDEX('Lớp 4 - Danh mục'!$I$14:$I$132,T347+1):'Lớp 4 - Danh mục'!$I$132)=0),0),0)),IF(S347&lt;&gt;"Lớp 3",MATCH(1,INDEX(('Lớp 3 - Công việc chính'!$I$14:$I$73&lt;&gt;"")*(COUNTIF('Lớp 4 - Danh mục'!$J$14:$J$132,'Lớp 3 - Công việc chính'!$I$14:$I$73)=0),0),0),T347+MATCH(1,INDEX((INDEX('Lớp 3 - Công việc chính'!$I$14:$I$73,T347+1):'Lớp 3 - Công việc chính'!$I$73&lt;&gt;"")*(COUNTIF('Lớp 4 - Danh mục'!$J$14:$J$132,INDEX('Lớp 3 - Công việc chính'!$I$14:$I$73,T347+1):'Lớp 3 - Công việc chính'!$I$73)=0),0),0)))))</f>
        <v>#REF!</v>
      </c>
      <c r="Z348" s="700" t="str">
        <f t="array" ref="Z348">IF($S348="","",IF($S348="Lớp 5",INDEX('Lớp 5 - Phân công'!$AS$14:$AS$262,$T348),IF($S348="Lớp 4",INDEX('Lớp 4 - Danh mục'!$AR$14:$AR$132,$T348),INDEX('Lớp 3 - Công việc chính'!$AO$14:$AO$73,$T348))))</f>
        <v>#REF!</v>
      </c>
      <c r="AA348" s="701" t="str">
        <f t="array" ref="AA348">IF($S348="","",IF($S348="Lớp 5",INDEX('Lớp 5 - Phân công'!$AT$14:$AT$262,$T348),IF($S348="Lớp 4",INDEX('Lớp 4 - Danh mục'!$AS$14:$AS$132,$T348),INDEX('Lớp 3 - Công việc chính'!$AP$14:$AP$73,$T348))))</f>
        <v>#REF!</v>
      </c>
      <c r="AB348" s="701" t="str">
        <f t="array" ref="AB348">IF($S348="","",IF($S348="Lớp 5",INDEX('Lớp 5 - Phân công'!$AJ$14:$AJ$262,$T348),IF($S348="Lớp 4",INDEX('Lớp 4 - Danh mục'!$AI$14:$AI$132,$T348),INDEX('Lớp 3 - Công việc chính'!$AF$14:$AF$73,$T348))))</f>
        <v>#REF!</v>
      </c>
      <c r="AC348" s="702" t="str">
        <f t="array" ref="AC348">IF($S348="","",IF($S348="Lớp 5",INDEX('Lớp 5 - Phân công'!$AV$14:$AV$262,$T348),IF($S348="Lớp 4",INDEX('Lớp 4 - Danh mục'!$AU$14:$AU$132,$T348),INDEX('Lớp 3 - Công việc chính'!$AR$14:$AR$73,$T348))))</f>
        <v>#REF!</v>
      </c>
    </row>
    <row r="349" ht="15.75" customHeight="1">
      <c r="A349" s="690" t="str">
        <f t="shared" si="1"/>
        <v>#REF!</v>
      </c>
      <c r="B349" s="690" t="str">
        <f t="array" ref="B349">IF($S349="","",IF($S349="Lớp 5",INDEX('Lớp 5 - Phân công'!$I$14:$I$262,$T349),IF($S349="Lớp 4",INDEX('Lớp 4 - Danh mục'!$I$14:$I$132,$T349),INDEX('Lớp 3 - Công việc chính'!$I$14:$I$73,$T349))))</f>
        <v>#REF!</v>
      </c>
      <c r="C349" s="690" t="str">
        <f t="array" ref="C349">IF($S349="","",IF($S349="Lớp 5",INDEX('Lớp 5 - Phân công'!$K$14:$K$262,$T349),IF($S349="Lớp 4",INDEX('Lớp 4 - Danh mục'!$J$14:$J$132,$T349),INDEX('Lớp 3 - Công việc chính'!$I$14:$I$73,$T349))))</f>
        <v>#REF!</v>
      </c>
      <c r="D349" s="690" t="str">
        <f t="array" ref="D349">IF($S349="","",IF($S349="Lớp 5",INDEX('Lớp 5 - Phân công'!$J$14:$J$262,$T349),IF($S349="Lớp 4",INDEX('Lớp 4 - Danh mục'!$I$14:$I$132,$T349),"")))</f>
        <v>#REF!</v>
      </c>
      <c r="E349" s="690" t="str">
        <f t="array" ref="E349">IF($S349="","",IF($S349="Lớp 5",INDEX('Lớp 5 - Phân công'!$L$14:$L$262,$T349),IF($S349="Lớp 4",INDEX('Lớp 4 - Danh mục'!$K$14:$K$132,$T349),INDEX('Lớp 3 - Công việc chính'!$J$14:$J$73,$T349))))</f>
        <v>#REF!</v>
      </c>
      <c r="F349" s="690" t="str">
        <f t="array" ref="F349">IF($S349="","",IF($S349="Lớp 5",INDEX('Lớp 5 - Phân công'!$M$14:$M$262,$T349),IF($S349="Lớp 4",INDEX('Lớp 4 - Danh mục'!$L$14:$L$132,$T349),INDEX('Lớp 3 - Công việc chính'!$K$14:$K$73,$T349))))</f>
        <v>#REF!</v>
      </c>
      <c r="G349" s="691" t="str">
        <f t="array" ref="G349">IF($S349="","",IF($S349="Lớp 5",INDEX('Lớp 5 - Phân công'!$N$14:$N$262,$T349),IF($S349="Lớp 4",INDEX('Lớp 4 - Danh mục'!$M$14:$M$132,$T349),INDEX('Lớp 3 - Công việc chính'!$L$14:$L$73,$T349))))</f>
        <v>#REF!</v>
      </c>
      <c r="H349" s="692" t="str">
        <f t="array" ref="H349">IF($S349="","",IF($S349="Lớp 5",INDEX('Lớp 5 - Phân công'!$O$14:$O$262,$T349),IF($S349="Lớp 4",INDEX('Lớp 4 - Danh mục'!$N$14:$N$132,$T349),INDEX('Lớp 3 - Công việc chính'!$M$14:$M$73,$T349))))</f>
        <v>#REF!</v>
      </c>
      <c r="I349" s="692" t="str">
        <f t="array" ref="I349">IF($S349="","",IF($S349="Lớp 5",INDEX('Lớp 5 - Phân công'!$P$14:$P$262,$T349),IF($S349="Lớp 4",INDEX('Lớp 4 - Danh mục'!$O$14:$O$132,$T349),"")))</f>
        <v>#REF!</v>
      </c>
      <c r="J349" s="693" t="str">
        <f t="array" ref="J349">IF($S349="","",IF($S349="Lớp 5",INDEX('Lớp 5 - Phân công'!$Q$14:$Q$262,$T349),""))</f>
        <v>#REF!</v>
      </c>
      <c r="K349" s="690" t="str">
        <f t="array" ref="K349">IF($S349="","",IF($S349="Lớp 5",INDEX('Lớp 5 - Phân công'!$AA$14:$AA$262,$T349),IF($S349="Lớp 4",INDEX('Lớp 4 - Danh mục'!$Y$14:$Y$132,$T349),INDEX('Lớp 3 - Công việc chính'!$U$14:$U$73,$T349))))</f>
        <v>#REF!</v>
      </c>
      <c r="L349" s="691" t="str">
        <f t="array" ref="L349">IF($S349="","",IF($S349="Lớp 5",INDEX('Lớp 5 - Phân công'!$Z$14:$Z$262,$T349),IF($S349="Lớp 4",INDEX('Lớp 4 - Danh mục'!$X$14:$X$132,$T349),INDEX('Lớp 3 - Công việc chính'!$W$14:$W$73,$T349))))</f>
        <v>#REF!</v>
      </c>
      <c r="M349" s="694" t="str">
        <f t="array" ref="M349">IF($S349="","",IF($S349="Lớp 5",INDEX('Lớp 5 - Phân công'!$AD$14:$AD$262,$T349),IF($S349="Lớp 4",INDEX('Lớp 4 - Danh mục'!$AC$14:$AC$132,$T349),INDEX('Lớp 3 - Công việc chính'!$Z$14:$Z$73,$T349))))</f>
        <v>#REF!</v>
      </c>
      <c r="N349" s="695" t="str">
        <f t="array" ref="N349">IF($S349="","",IF($S349="Lớp 5",INDEX('Lớp 5 - Phân công'!$AE$14:$AE$262,$T349),IF($S349="Lớp 4",INDEX('Lớp 4 - Danh mục'!$AD$14:$AD$132,$T349),INDEX('Lớp 3 - Công việc chính'!$AA$14:$AA$73,$T349))))</f>
        <v>#REF!</v>
      </c>
      <c r="O349" s="690" t="str">
        <f t="array" ref="O349">IF($S349="","",IF($S349="Lớp 5",INDEX('Lớp 5 - Phân công'!$AB$14:$AB$262,$T349),IF($S349="Lớp 4",INDEX('Lớp 4 - Danh mục'!$AA$14:$AA$132,$T349),INDEX('Lớp 3 - Công việc chính'!$X$14:$X$73,$T349))))</f>
        <v>#REF!</v>
      </c>
      <c r="P349" s="703" t="str">
        <f t="array" ref="P349">IF($S349="","",IF($S349="Lớp 5",INDEX('Lớp 5 - Phân công'!$AC$14:$AC$262,$T349),IF($S349="Lớp 4",INDEX('Lớp 4 - Danh mục'!$AB$14:$AB$132,$T349),INDEX('Lớp 3 - Công việc chính'!$Y$14:$Y$73,$T349))))</f>
        <v>#REF!</v>
      </c>
      <c r="Q349" s="697" t="str">
        <f t="array" ref="Q349">IF($S349="","",IF($S349="Lớp 5",INDEX('Lớp 5 - Phân công'!$AG$14:$AG$262,$T349),IF($S349="Lớp 4",INDEX('Lớp 4 - Danh mục'!$AF$14:$AF$132,$T349),INDEX('Lớp 3 - Công việc chính'!$AC$14:$AC$73,$T349))))</f>
        <v>#REF!</v>
      </c>
      <c r="R349" s="698" t="str">
        <f t="array" ref="R349">IF($S349="","",IF($S349="Lớp 5",INDEX('Lớp 5 - Phân công'!$X$14:$X$262,$T349),IF($S349="Lớp 4",INDEX('Lớp 4 - Danh mục'!$V$14:$V$132,$T349),INDEX('Lớp 3 - Công việc chính'!$T$14:$T$73,$T349))))</f>
        <v>#REF!</v>
      </c>
      <c r="S349" s="699" t="str">
        <f>IF(ROWS($S$14:S349)&lt;=COUNTIF('Lớp 5 - Phân công'!$I$14:$I$262,"&lt;&gt;"),"Lớp 5",IF(ROWS($S$14:S349)&lt;=COUNTIF('Lớp 5 - Phân công'!$I$14:$I$262,"&lt;&gt;")+SUMPRODUCT(--('Lớp 4 - Danh mục'!$I$14:$I$132&lt;&gt;""),--(COUNTIF('Lớp 5 - Phân công'!$J$14:$J$262,'Lớp 4 - Danh mục'!$I$14:$I$132)=0)),"Lớp 4",IF(ROWS($S$14:S349)&lt;=COUNTIF('Lớp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49" s="699" t="str">
        <f t="array" ref="T349">IF(S349="","",IF(S349="Lớp 5",IF(S348&lt;&gt;"Lớp 5",MATCH("*",'Lớp 5 - Phân công'!$I$14:$I$262,0),T348+MATCH("*",INDEX('Lớp 5 - Phân công'!$I$14:$I$262,T348+1):'Lớp 5 - Phân công'!$I$262,0)),IF(S349="Lớp 4",IF(S348&lt;&gt;"Lớp 4",MATCH(1,INDEX(('Lớp 4 - Danh mục'!$I$14:$I$132&lt;&gt;"")*(COUNTIF('Lớp 5 - Phân công'!$J$14:$J$262,'Lớp 4 - Danh mục'!$I$14:$I$132)=0),0),0),T348+MATCH(1,INDEX((INDEX('Lớp 4 - Danh mục'!$I$14:$I$132,T348+1):'Lớp 4 - Danh mục'!$I$132&lt;&gt;"")*(COUNTIF('Lớp 5 - Phân công'!$J$14:$J$262,INDEX('Lớp 4 - Danh mục'!$I$14:$I$132,T348+1):'Lớp 4 - Danh mục'!$I$132)=0),0),0)),IF(S348&lt;&gt;"Lớp 3",MATCH(1,INDEX(('Lớp 3 - Công việc chính'!$I$14:$I$73&lt;&gt;"")*(COUNTIF('Lớp 4 - Danh mục'!$J$14:$J$132,'Lớp 3 - Công việc chính'!$I$14:$I$73)=0),0),0),T348+MATCH(1,INDEX((INDEX('Lớp 3 - Công việc chính'!$I$14:$I$73,T348+1):'Lớp 3 - Công việc chính'!$I$73&lt;&gt;"")*(COUNTIF('Lớp 4 - Danh mục'!$J$14:$J$132,INDEX('Lớp 3 - Công việc chính'!$I$14:$I$73,T348+1):'Lớp 3 - Công việc chính'!$I$73)=0),0),0)))))</f>
        <v>#REF!</v>
      </c>
      <c r="Z349" s="700" t="str">
        <f t="array" ref="Z349">IF($S349="","",IF($S349="Lớp 5",INDEX('Lớp 5 - Phân công'!$AS$14:$AS$262,$T349),IF($S349="Lớp 4",INDEX('Lớp 4 - Danh mục'!$AR$14:$AR$132,$T349),INDEX('Lớp 3 - Công việc chính'!$AO$14:$AO$73,$T349))))</f>
        <v>#REF!</v>
      </c>
      <c r="AA349" s="701" t="str">
        <f t="array" ref="AA349">IF($S349="","",IF($S349="Lớp 5",INDEX('Lớp 5 - Phân công'!$AT$14:$AT$262,$T349),IF($S349="Lớp 4",INDEX('Lớp 4 - Danh mục'!$AS$14:$AS$132,$T349),INDEX('Lớp 3 - Công việc chính'!$AP$14:$AP$73,$T349))))</f>
        <v>#REF!</v>
      </c>
      <c r="AB349" s="701" t="str">
        <f t="array" ref="AB349">IF($S349="","",IF($S349="Lớp 5",INDEX('Lớp 5 - Phân công'!$AJ$14:$AJ$262,$T349),IF($S349="Lớp 4",INDEX('Lớp 4 - Danh mục'!$AI$14:$AI$132,$T349),INDEX('Lớp 3 - Công việc chính'!$AF$14:$AF$73,$T349))))</f>
        <v>#REF!</v>
      </c>
      <c r="AC349" s="702" t="str">
        <f t="array" ref="AC349">IF($S349="","",IF($S349="Lớp 5",INDEX('Lớp 5 - Phân công'!$AV$14:$AV$262,$T349),IF($S349="Lớp 4",INDEX('Lớp 4 - Danh mục'!$AU$14:$AU$132,$T349),INDEX('Lớp 3 - Công việc chính'!$AR$14:$AR$73,$T349))))</f>
        <v>#REF!</v>
      </c>
    </row>
    <row r="350" ht="15.75" customHeight="1">
      <c r="A350" s="690" t="str">
        <f t="shared" si="1"/>
        <v>#REF!</v>
      </c>
      <c r="B350" s="690" t="str">
        <f t="array" ref="B350">IF($S350="","",IF($S350="Lớp 5",INDEX('Lớp 5 - Phân công'!$I$14:$I$262,$T350),IF($S350="Lớp 4",INDEX('Lớp 4 - Danh mục'!$I$14:$I$132,$T350),INDEX('Lớp 3 - Công việc chính'!$I$14:$I$73,$T350))))</f>
        <v>#REF!</v>
      </c>
      <c r="C350" s="690" t="str">
        <f t="array" ref="C350">IF($S350="","",IF($S350="Lớp 5",INDEX('Lớp 5 - Phân công'!$K$14:$K$262,$T350),IF($S350="Lớp 4",INDEX('Lớp 4 - Danh mục'!$J$14:$J$132,$T350),INDEX('Lớp 3 - Công việc chính'!$I$14:$I$73,$T350))))</f>
        <v>#REF!</v>
      </c>
      <c r="D350" s="690" t="str">
        <f t="array" ref="D350">IF($S350="","",IF($S350="Lớp 5",INDEX('Lớp 5 - Phân công'!$J$14:$J$262,$T350),IF($S350="Lớp 4",INDEX('Lớp 4 - Danh mục'!$I$14:$I$132,$T350),"")))</f>
        <v>#REF!</v>
      </c>
      <c r="E350" s="690" t="str">
        <f t="array" ref="E350">IF($S350="","",IF($S350="Lớp 5",INDEX('Lớp 5 - Phân công'!$L$14:$L$262,$T350),IF($S350="Lớp 4",INDEX('Lớp 4 - Danh mục'!$K$14:$K$132,$T350),INDEX('Lớp 3 - Công việc chính'!$J$14:$J$73,$T350))))</f>
        <v>#REF!</v>
      </c>
      <c r="F350" s="690" t="str">
        <f t="array" ref="F350">IF($S350="","",IF($S350="Lớp 5",INDEX('Lớp 5 - Phân công'!$M$14:$M$262,$T350),IF($S350="Lớp 4",INDEX('Lớp 4 - Danh mục'!$L$14:$L$132,$T350),INDEX('Lớp 3 - Công việc chính'!$K$14:$K$73,$T350))))</f>
        <v>#REF!</v>
      </c>
      <c r="G350" s="691" t="str">
        <f t="array" ref="G350">IF($S350="","",IF($S350="Lớp 5",INDEX('Lớp 5 - Phân công'!$N$14:$N$262,$T350),IF($S350="Lớp 4",INDEX('Lớp 4 - Danh mục'!$M$14:$M$132,$T350),INDEX('Lớp 3 - Công việc chính'!$L$14:$L$73,$T350))))</f>
        <v>#REF!</v>
      </c>
      <c r="H350" s="692" t="str">
        <f t="array" ref="H350">IF($S350="","",IF($S350="Lớp 5",INDEX('Lớp 5 - Phân công'!$O$14:$O$262,$T350),IF($S350="Lớp 4",INDEX('Lớp 4 - Danh mục'!$N$14:$N$132,$T350),INDEX('Lớp 3 - Công việc chính'!$M$14:$M$73,$T350))))</f>
        <v>#REF!</v>
      </c>
      <c r="I350" s="692" t="str">
        <f t="array" ref="I350">IF($S350="","",IF($S350="Lớp 5",INDEX('Lớp 5 - Phân công'!$P$14:$P$262,$T350),IF($S350="Lớp 4",INDEX('Lớp 4 - Danh mục'!$O$14:$O$132,$T350),"")))</f>
        <v>#REF!</v>
      </c>
      <c r="J350" s="693" t="str">
        <f t="array" ref="J350">IF($S350="","",IF($S350="Lớp 5",INDEX('Lớp 5 - Phân công'!$Q$14:$Q$262,$T350),""))</f>
        <v>#REF!</v>
      </c>
      <c r="K350" s="690" t="str">
        <f t="array" ref="K350">IF($S350="","",IF($S350="Lớp 5",INDEX('Lớp 5 - Phân công'!$AA$14:$AA$262,$T350),IF($S350="Lớp 4",INDEX('Lớp 4 - Danh mục'!$Y$14:$Y$132,$T350),INDEX('Lớp 3 - Công việc chính'!$U$14:$U$73,$T350))))</f>
        <v>#REF!</v>
      </c>
      <c r="L350" s="691" t="str">
        <f t="array" ref="L350">IF($S350="","",IF($S350="Lớp 5",INDEX('Lớp 5 - Phân công'!$Z$14:$Z$262,$T350),IF($S350="Lớp 4",INDEX('Lớp 4 - Danh mục'!$X$14:$X$132,$T350),INDEX('Lớp 3 - Công việc chính'!$W$14:$W$73,$T350))))</f>
        <v>#REF!</v>
      </c>
      <c r="M350" s="694" t="str">
        <f t="array" ref="M350">IF($S350="","",IF($S350="Lớp 5",INDEX('Lớp 5 - Phân công'!$AD$14:$AD$262,$T350),IF($S350="Lớp 4",INDEX('Lớp 4 - Danh mục'!$AC$14:$AC$132,$T350),INDEX('Lớp 3 - Công việc chính'!$Z$14:$Z$73,$T350))))</f>
        <v>#REF!</v>
      </c>
      <c r="N350" s="695" t="str">
        <f t="array" ref="N350">IF($S350="","",IF($S350="Lớp 5",INDEX('Lớp 5 - Phân công'!$AE$14:$AE$262,$T350),IF($S350="Lớp 4",INDEX('Lớp 4 - Danh mục'!$AD$14:$AD$132,$T350),INDEX('Lớp 3 - Công việc chính'!$AA$14:$AA$73,$T350))))</f>
        <v>#REF!</v>
      </c>
      <c r="O350" s="690" t="str">
        <f t="array" ref="O350">IF($S350="","",IF($S350="Lớp 5",INDEX('Lớp 5 - Phân công'!$AB$14:$AB$262,$T350),IF($S350="Lớp 4",INDEX('Lớp 4 - Danh mục'!$AA$14:$AA$132,$T350),INDEX('Lớp 3 - Công việc chính'!$X$14:$X$73,$T350))))</f>
        <v>#REF!</v>
      </c>
      <c r="P350" s="703" t="str">
        <f t="array" ref="P350">IF($S350="","",IF($S350="Lớp 5",INDEX('Lớp 5 - Phân công'!$AC$14:$AC$262,$T350),IF($S350="Lớp 4",INDEX('Lớp 4 - Danh mục'!$AB$14:$AB$132,$T350),INDEX('Lớp 3 - Công việc chính'!$Y$14:$Y$73,$T350))))</f>
        <v>#REF!</v>
      </c>
      <c r="Q350" s="697" t="str">
        <f t="array" ref="Q350">IF($S350="","",IF($S350="Lớp 5",INDEX('Lớp 5 - Phân công'!$AG$14:$AG$262,$T350),IF($S350="Lớp 4",INDEX('Lớp 4 - Danh mục'!$AF$14:$AF$132,$T350),INDEX('Lớp 3 - Công việc chính'!$AC$14:$AC$73,$T350))))</f>
        <v>#REF!</v>
      </c>
      <c r="R350" s="698" t="str">
        <f t="array" ref="R350">IF($S350="","",IF($S350="Lớp 5",INDEX('Lớp 5 - Phân công'!$X$14:$X$262,$T350),IF($S350="Lớp 4",INDEX('Lớp 4 - Danh mục'!$V$14:$V$132,$T350),INDEX('Lớp 3 - Công việc chính'!$T$14:$T$73,$T350))))</f>
        <v>#REF!</v>
      </c>
      <c r="S350" s="699" t="str">
        <f>IF(ROWS($S$14:S350)&lt;=COUNTIF('Lớp 5 - Phân công'!$I$14:$I$262,"&lt;&gt;"),"Lớp 5",IF(ROWS($S$14:S350)&lt;=COUNTIF('Lớp 5 - Phân công'!$I$14:$I$262,"&lt;&gt;")+SUMPRODUCT(--('Lớp 4 - Danh mục'!$I$14:$I$132&lt;&gt;""),--(COUNTIF('Lớp 5 - Phân công'!$J$14:$J$262,'Lớp 4 - Danh mục'!$I$14:$I$132)=0)),"Lớp 4",IF(ROWS($S$14:S350)&lt;=COUNTIF('Lớp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0" s="699" t="str">
        <f t="array" ref="T350">IF(S350="","",IF(S350="Lớp 5",IF(S349&lt;&gt;"Lớp 5",MATCH("*",'Lớp 5 - Phân công'!$I$14:$I$262,0),T349+MATCH("*",INDEX('Lớp 5 - Phân công'!$I$14:$I$262,T349+1):'Lớp 5 - Phân công'!$I$262,0)),IF(S350="Lớp 4",IF(S349&lt;&gt;"Lớp 4",MATCH(1,INDEX(('Lớp 4 - Danh mục'!$I$14:$I$132&lt;&gt;"")*(COUNTIF('Lớp 5 - Phân công'!$J$14:$J$262,'Lớp 4 - Danh mục'!$I$14:$I$132)=0),0),0),T349+MATCH(1,INDEX((INDEX('Lớp 4 - Danh mục'!$I$14:$I$132,T349+1):'Lớp 4 - Danh mục'!$I$132&lt;&gt;"")*(COUNTIF('Lớp 5 - Phân công'!$J$14:$J$262,INDEX('Lớp 4 - Danh mục'!$I$14:$I$132,T349+1):'Lớp 4 - Danh mục'!$I$132)=0),0),0)),IF(S349&lt;&gt;"Lớp 3",MATCH(1,INDEX(('Lớp 3 - Công việc chính'!$I$14:$I$73&lt;&gt;"")*(COUNTIF('Lớp 4 - Danh mục'!$J$14:$J$132,'Lớp 3 - Công việc chính'!$I$14:$I$73)=0),0),0),T349+MATCH(1,INDEX((INDEX('Lớp 3 - Công việc chính'!$I$14:$I$73,T349+1):'Lớp 3 - Công việc chính'!$I$73&lt;&gt;"")*(COUNTIF('Lớp 4 - Danh mục'!$J$14:$J$132,INDEX('Lớp 3 - Công việc chính'!$I$14:$I$73,T349+1):'Lớp 3 - Công việc chính'!$I$73)=0),0),0)))))</f>
        <v>#REF!</v>
      </c>
      <c r="Z350" s="700" t="str">
        <f t="array" ref="Z350">IF($S350="","",IF($S350="Lớp 5",INDEX('Lớp 5 - Phân công'!$AS$14:$AS$262,$T350),IF($S350="Lớp 4",INDEX('Lớp 4 - Danh mục'!$AR$14:$AR$132,$T350),INDEX('Lớp 3 - Công việc chính'!$AO$14:$AO$73,$T350))))</f>
        <v>#REF!</v>
      </c>
      <c r="AA350" s="701" t="str">
        <f t="array" ref="AA350">IF($S350="","",IF($S350="Lớp 5",INDEX('Lớp 5 - Phân công'!$AT$14:$AT$262,$T350),IF($S350="Lớp 4",INDEX('Lớp 4 - Danh mục'!$AS$14:$AS$132,$T350),INDEX('Lớp 3 - Công việc chính'!$AP$14:$AP$73,$T350))))</f>
        <v>#REF!</v>
      </c>
      <c r="AB350" s="701" t="str">
        <f t="array" ref="AB350">IF($S350="","",IF($S350="Lớp 5",INDEX('Lớp 5 - Phân công'!$AJ$14:$AJ$262,$T350),IF($S350="Lớp 4",INDEX('Lớp 4 - Danh mục'!$AI$14:$AI$132,$T350),INDEX('Lớp 3 - Công việc chính'!$AF$14:$AF$73,$T350))))</f>
        <v>#REF!</v>
      </c>
      <c r="AC350" s="702" t="str">
        <f t="array" ref="AC350">IF($S350="","",IF($S350="Lớp 5",INDEX('Lớp 5 - Phân công'!$AV$14:$AV$262,$T350),IF($S350="Lớp 4",INDEX('Lớp 4 - Danh mục'!$AU$14:$AU$132,$T350),INDEX('Lớp 3 - Công việc chính'!$AR$14:$AR$73,$T350))))</f>
        <v>#REF!</v>
      </c>
    </row>
    <row r="351" ht="15.75" customHeight="1">
      <c r="A351" s="690" t="str">
        <f t="shared" si="1"/>
        <v>#REF!</v>
      </c>
      <c r="B351" s="690" t="str">
        <f t="array" ref="B351">IF($S351="","",IF($S351="Lớp 5",INDEX('Lớp 5 - Phân công'!$I$14:$I$262,$T351),IF($S351="Lớp 4",INDEX('Lớp 4 - Danh mục'!$I$14:$I$132,$T351),INDEX('Lớp 3 - Công việc chính'!$I$14:$I$73,$T351))))</f>
        <v>#REF!</v>
      </c>
      <c r="C351" s="690" t="str">
        <f t="array" ref="C351">IF($S351="","",IF($S351="Lớp 5",INDEX('Lớp 5 - Phân công'!$K$14:$K$262,$T351),IF($S351="Lớp 4",INDEX('Lớp 4 - Danh mục'!$J$14:$J$132,$T351),INDEX('Lớp 3 - Công việc chính'!$I$14:$I$73,$T351))))</f>
        <v>#REF!</v>
      </c>
      <c r="D351" s="690" t="str">
        <f t="array" ref="D351">IF($S351="","",IF($S351="Lớp 5",INDEX('Lớp 5 - Phân công'!$J$14:$J$262,$T351),IF($S351="Lớp 4",INDEX('Lớp 4 - Danh mục'!$I$14:$I$132,$T351),"")))</f>
        <v>#REF!</v>
      </c>
      <c r="E351" s="690" t="str">
        <f t="array" ref="E351">IF($S351="","",IF($S351="Lớp 5",INDEX('Lớp 5 - Phân công'!$L$14:$L$262,$T351),IF($S351="Lớp 4",INDEX('Lớp 4 - Danh mục'!$K$14:$K$132,$T351),INDEX('Lớp 3 - Công việc chính'!$J$14:$J$73,$T351))))</f>
        <v>#REF!</v>
      </c>
      <c r="F351" s="690" t="str">
        <f t="array" ref="F351">IF($S351="","",IF($S351="Lớp 5",INDEX('Lớp 5 - Phân công'!$M$14:$M$262,$T351),IF($S351="Lớp 4",INDEX('Lớp 4 - Danh mục'!$L$14:$L$132,$T351),INDEX('Lớp 3 - Công việc chính'!$K$14:$K$73,$T351))))</f>
        <v>#REF!</v>
      </c>
      <c r="G351" s="691" t="str">
        <f t="array" ref="G351">IF($S351="","",IF($S351="Lớp 5",INDEX('Lớp 5 - Phân công'!$N$14:$N$262,$T351),IF($S351="Lớp 4",INDEX('Lớp 4 - Danh mục'!$M$14:$M$132,$T351),INDEX('Lớp 3 - Công việc chính'!$L$14:$L$73,$T351))))</f>
        <v>#REF!</v>
      </c>
      <c r="H351" s="692" t="str">
        <f t="array" ref="H351">IF($S351="","",IF($S351="Lớp 5",INDEX('Lớp 5 - Phân công'!$O$14:$O$262,$T351),IF($S351="Lớp 4",INDEX('Lớp 4 - Danh mục'!$N$14:$N$132,$T351),INDEX('Lớp 3 - Công việc chính'!$M$14:$M$73,$T351))))</f>
        <v>#REF!</v>
      </c>
      <c r="I351" s="692" t="str">
        <f t="array" ref="I351">IF($S351="","",IF($S351="Lớp 5",INDEX('Lớp 5 - Phân công'!$P$14:$P$262,$T351),IF($S351="Lớp 4",INDEX('Lớp 4 - Danh mục'!$O$14:$O$132,$T351),"")))</f>
        <v>#REF!</v>
      </c>
      <c r="J351" s="693" t="str">
        <f t="array" ref="J351">IF($S351="","",IF($S351="Lớp 5",INDEX('Lớp 5 - Phân công'!$Q$14:$Q$262,$T351),""))</f>
        <v>#REF!</v>
      </c>
      <c r="K351" s="690" t="str">
        <f t="array" ref="K351">IF($S351="","",IF($S351="Lớp 5",INDEX('Lớp 5 - Phân công'!$AA$14:$AA$262,$T351),IF($S351="Lớp 4",INDEX('Lớp 4 - Danh mục'!$Y$14:$Y$132,$T351),INDEX('Lớp 3 - Công việc chính'!$U$14:$U$73,$T351))))</f>
        <v>#REF!</v>
      </c>
      <c r="L351" s="691" t="str">
        <f t="array" ref="L351">IF($S351="","",IF($S351="Lớp 5",INDEX('Lớp 5 - Phân công'!$Z$14:$Z$262,$T351),IF($S351="Lớp 4",INDEX('Lớp 4 - Danh mục'!$X$14:$X$132,$T351),INDEX('Lớp 3 - Công việc chính'!$W$14:$W$73,$T351))))</f>
        <v>#REF!</v>
      </c>
      <c r="M351" s="694" t="str">
        <f t="array" ref="M351">IF($S351="","",IF($S351="Lớp 5",INDEX('Lớp 5 - Phân công'!$AD$14:$AD$262,$T351),IF($S351="Lớp 4",INDEX('Lớp 4 - Danh mục'!$AC$14:$AC$132,$T351),INDEX('Lớp 3 - Công việc chính'!$Z$14:$Z$73,$T351))))</f>
        <v>#REF!</v>
      </c>
      <c r="N351" s="695" t="str">
        <f t="array" ref="N351">IF($S351="","",IF($S351="Lớp 5",INDEX('Lớp 5 - Phân công'!$AE$14:$AE$262,$T351),IF($S351="Lớp 4",INDEX('Lớp 4 - Danh mục'!$AD$14:$AD$132,$T351),INDEX('Lớp 3 - Công việc chính'!$AA$14:$AA$73,$T351))))</f>
        <v>#REF!</v>
      </c>
      <c r="O351" s="690" t="str">
        <f t="array" ref="O351">IF($S351="","",IF($S351="Lớp 5",INDEX('Lớp 5 - Phân công'!$AB$14:$AB$262,$T351),IF($S351="Lớp 4",INDEX('Lớp 4 - Danh mục'!$AA$14:$AA$132,$T351),INDEX('Lớp 3 - Công việc chính'!$X$14:$X$73,$T351))))</f>
        <v>#REF!</v>
      </c>
      <c r="P351" s="703" t="str">
        <f t="array" ref="P351">IF($S351="","",IF($S351="Lớp 5",INDEX('Lớp 5 - Phân công'!$AC$14:$AC$262,$T351),IF($S351="Lớp 4",INDEX('Lớp 4 - Danh mục'!$AB$14:$AB$132,$T351),INDEX('Lớp 3 - Công việc chính'!$Y$14:$Y$73,$T351))))</f>
        <v>#REF!</v>
      </c>
      <c r="Q351" s="697" t="str">
        <f t="array" ref="Q351">IF($S351="","",IF($S351="Lớp 5",INDEX('Lớp 5 - Phân công'!$AG$14:$AG$262,$T351),IF($S351="Lớp 4",INDEX('Lớp 4 - Danh mục'!$AF$14:$AF$132,$T351),INDEX('Lớp 3 - Công việc chính'!$AC$14:$AC$73,$T351))))</f>
        <v>#REF!</v>
      </c>
      <c r="R351" s="698" t="str">
        <f t="array" ref="R351">IF($S351="","",IF($S351="Lớp 5",INDEX('Lớp 5 - Phân công'!$X$14:$X$262,$T351),IF($S351="Lớp 4",INDEX('Lớp 4 - Danh mục'!$V$14:$V$132,$T351),INDEX('Lớp 3 - Công việc chính'!$T$14:$T$73,$T351))))</f>
        <v>#REF!</v>
      </c>
      <c r="S351" s="699" t="str">
        <f>IF(ROWS($S$14:S351)&lt;=COUNTIF('Lớp 5 - Phân công'!$I$14:$I$262,"&lt;&gt;"),"Lớp 5",IF(ROWS($S$14:S351)&lt;=COUNTIF('Lớp 5 - Phân công'!$I$14:$I$262,"&lt;&gt;")+SUMPRODUCT(--('Lớp 4 - Danh mục'!$I$14:$I$132&lt;&gt;""),--(COUNTIF('Lớp 5 - Phân công'!$J$14:$J$262,'Lớp 4 - Danh mục'!$I$14:$I$132)=0)),"Lớp 4",IF(ROWS($S$14:S351)&lt;=COUNTIF('Lớp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1" s="699" t="str">
        <f t="array" ref="T351">IF(S351="","",IF(S351="Lớp 5",IF(S350&lt;&gt;"Lớp 5",MATCH("*",'Lớp 5 - Phân công'!$I$14:$I$262,0),T350+MATCH("*",INDEX('Lớp 5 - Phân công'!$I$14:$I$262,T350+1):'Lớp 5 - Phân công'!$I$262,0)),IF(S351="Lớp 4",IF(S350&lt;&gt;"Lớp 4",MATCH(1,INDEX(('Lớp 4 - Danh mục'!$I$14:$I$132&lt;&gt;"")*(COUNTIF('Lớp 5 - Phân công'!$J$14:$J$262,'Lớp 4 - Danh mục'!$I$14:$I$132)=0),0),0),T350+MATCH(1,INDEX((INDEX('Lớp 4 - Danh mục'!$I$14:$I$132,T350+1):'Lớp 4 - Danh mục'!$I$132&lt;&gt;"")*(COUNTIF('Lớp 5 - Phân công'!$J$14:$J$262,INDEX('Lớp 4 - Danh mục'!$I$14:$I$132,T350+1):'Lớp 4 - Danh mục'!$I$132)=0),0),0)),IF(S350&lt;&gt;"Lớp 3",MATCH(1,INDEX(('Lớp 3 - Công việc chính'!$I$14:$I$73&lt;&gt;"")*(COUNTIF('Lớp 4 - Danh mục'!$J$14:$J$132,'Lớp 3 - Công việc chính'!$I$14:$I$73)=0),0),0),T350+MATCH(1,INDEX((INDEX('Lớp 3 - Công việc chính'!$I$14:$I$73,T350+1):'Lớp 3 - Công việc chính'!$I$73&lt;&gt;"")*(COUNTIF('Lớp 4 - Danh mục'!$J$14:$J$132,INDEX('Lớp 3 - Công việc chính'!$I$14:$I$73,T350+1):'Lớp 3 - Công việc chính'!$I$73)=0),0),0)))))</f>
        <v>#REF!</v>
      </c>
      <c r="Z351" s="700" t="str">
        <f t="array" ref="Z351">IF($S351="","",IF($S351="Lớp 5",INDEX('Lớp 5 - Phân công'!$AS$14:$AS$262,$T351),IF($S351="Lớp 4",INDEX('Lớp 4 - Danh mục'!$AR$14:$AR$132,$T351),INDEX('Lớp 3 - Công việc chính'!$AO$14:$AO$73,$T351))))</f>
        <v>#REF!</v>
      </c>
      <c r="AA351" s="701" t="str">
        <f t="array" ref="AA351">IF($S351="","",IF($S351="Lớp 5",INDEX('Lớp 5 - Phân công'!$AT$14:$AT$262,$T351),IF($S351="Lớp 4",INDEX('Lớp 4 - Danh mục'!$AS$14:$AS$132,$T351),INDEX('Lớp 3 - Công việc chính'!$AP$14:$AP$73,$T351))))</f>
        <v>#REF!</v>
      </c>
      <c r="AB351" s="701" t="str">
        <f t="array" ref="AB351">IF($S351="","",IF($S351="Lớp 5",INDEX('Lớp 5 - Phân công'!$AJ$14:$AJ$262,$T351),IF($S351="Lớp 4",INDEX('Lớp 4 - Danh mục'!$AI$14:$AI$132,$T351),INDEX('Lớp 3 - Công việc chính'!$AF$14:$AF$73,$T351))))</f>
        <v>#REF!</v>
      </c>
      <c r="AC351" s="702" t="str">
        <f t="array" ref="AC351">IF($S351="","",IF($S351="Lớp 5",INDEX('Lớp 5 - Phân công'!$AV$14:$AV$262,$T351),IF($S351="Lớp 4",INDEX('Lớp 4 - Danh mục'!$AU$14:$AU$132,$T351),INDEX('Lớp 3 - Công việc chính'!$AR$14:$AR$73,$T351))))</f>
        <v>#REF!</v>
      </c>
    </row>
    <row r="352" ht="15.75" customHeight="1">
      <c r="A352" s="690" t="str">
        <f t="shared" si="1"/>
        <v>#REF!</v>
      </c>
      <c r="B352" s="690" t="str">
        <f t="array" ref="B352">IF($S352="","",IF($S352="Lớp 5",INDEX('Lớp 5 - Phân công'!$I$14:$I$262,$T352),IF($S352="Lớp 4",INDEX('Lớp 4 - Danh mục'!$I$14:$I$132,$T352),INDEX('Lớp 3 - Công việc chính'!$I$14:$I$73,$T352))))</f>
        <v>#REF!</v>
      </c>
      <c r="C352" s="690" t="str">
        <f t="array" ref="C352">IF($S352="","",IF($S352="Lớp 5",INDEX('Lớp 5 - Phân công'!$K$14:$K$262,$T352),IF($S352="Lớp 4",INDEX('Lớp 4 - Danh mục'!$J$14:$J$132,$T352),INDEX('Lớp 3 - Công việc chính'!$I$14:$I$73,$T352))))</f>
        <v>#REF!</v>
      </c>
      <c r="D352" s="690" t="str">
        <f t="array" ref="D352">IF($S352="","",IF($S352="Lớp 5",INDEX('Lớp 5 - Phân công'!$J$14:$J$262,$T352),IF($S352="Lớp 4",INDEX('Lớp 4 - Danh mục'!$I$14:$I$132,$T352),"")))</f>
        <v>#REF!</v>
      </c>
      <c r="E352" s="690" t="str">
        <f t="array" ref="E352">IF($S352="","",IF($S352="Lớp 5",INDEX('Lớp 5 - Phân công'!$L$14:$L$262,$T352),IF($S352="Lớp 4",INDEX('Lớp 4 - Danh mục'!$K$14:$K$132,$T352),INDEX('Lớp 3 - Công việc chính'!$J$14:$J$73,$T352))))</f>
        <v>#REF!</v>
      </c>
      <c r="F352" s="690" t="str">
        <f t="array" ref="F352">IF($S352="","",IF($S352="Lớp 5",INDEX('Lớp 5 - Phân công'!$M$14:$M$262,$T352),IF($S352="Lớp 4",INDEX('Lớp 4 - Danh mục'!$L$14:$L$132,$T352),INDEX('Lớp 3 - Công việc chính'!$K$14:$K$73,$T352))))</f>
        <v>#REF!</v>
      </c>
      <c r="G352" s="691" t="str">
        <f t="array" ref="G352">IF($S352="","",IF($S352="Lớp 5",INDEX('Lớp 5 - Phân công'!$N$14:$N$262,$T352),IF($S352="Lớp 4",INDEX('Lớp 4 - Danh mục'!$M$14:$M$132,$T352),INDEX('Lớp 3 - Công việc chính'!$L$14:$L$73,$T352))))</f>
        <v>#REF!</v>
      </c>
      <c r="H352" s="692" t="str">
        <f t="array" ref="H352">IF($S352="","",IF($S352="Lớp 5",INDEX('Lớp 5 - Phân công'!$O$14:$O$262,$T352),IF($S352="Lớp 4",INDEX('Lớp 4 - Danh mục'!$N$14:$N$132,$T352),INDEX('Lớp 3 - Công việc chính'!$M$14:$M$73,$T352))))</f>
        <v>#REF!</v>
      </c>
      <c r="I352" s="692" t="str">
        <f t="array" ref="I352">IF($S352="","",IF($S352="Lớp 5",INDEX('Lớp 5 - Phân công'!$P$14:$P$262,$T352),IF($S352="Lớp 4",INDEX('Lớp 4 - Danh mục'!$O$14:$O$132,$T352),"")))</f>
        <v>#REF!</v>
      </c>
      <c r="J352" s="693" t="str">
        <f t="array" ref="J352">IF($S352="","",IF($S352="Lớp 5",INDEX('Lớp 5 - Phân công'!$Q$14:$Q$262,$T352),""))</f>
        <v>#REF!</v>
      </c>
      <c r="K352" s="690" t="str">
        <f t="array" ref="K352">IF($S352="","",IF($S352="Lớp 5",INDEX('Lớp 5 - Phân công'!$AA$14:$AA$262,$T352),IF($S352="Lớp 4",INDEX('Lớp 4 - Danh mục'!$Y$14:$Y$132,$T352),INDEX('Lớp 3 - Công việc chính'!$U$14:$U$73,$T352))))</f>
        <v>#REF!</v>
      </c>
      <c r="L352" s="691" t="str">
        <f t="array" ref="L352">IF($S352="","",IF($S352="Lớp 5",INDEX('Lớp 5 - Phân công'!$Z$14:$Z$262,$T352),IF($S352="Lớp 4",INDEX('Lớp 4 - Danh mục'!$X$14:$X$132,$T352),INDEX('Lớp 3 - Công việc chính'!$W$14:$W$73,$T352))))</f>
        <v>#REF!</v>
      </c>
      <c r="M352" s="694" t="str">
        <f t="array" ref="M352">IF($S352="","",IF($S352="Lớp 5",INDEX('Lớp 5 - Phân công'!$AD$14:$AD$262,$T352),IF($S352="Lớp 4",INDEX('Lớp 4 - Danh mục'!$AC$14:$AC$132,$T352),INDEX('Lớp 3 - Công việc chính'!$Z$14:$Z$73,$T352))))</f>
        <v>#REF!</v>
      </c>
      <c r="N352" s="695" t="str">
        <f t="array" ref="N352">IF($S352="","",IF($S352="Lớp 5",INDEX('Lớp 5 - Phân công'!$AE$14:$AE$262,$T352),IF($S352="Lớp 4",INDEX('Lớp 4 - Danh mục'!$AD$14:$AD$132,$T352),INDEX('Lớp 3 - Công việc chính'!$AA$14:$AA$73,$T352))))</f>
        <v>#REF!</v>
      </c>
      <c r="O352" s="690" t="str">
        <f t="array" ref="O352">IF($S352="","",IF($S352="Lớp 5",INDEX('Lớp 5 - Phân công'!$AB$14:$AB$262,$T352),IF($S352="Lớp 4",INDEX('Lớp 4 - Danh mục'!$AA$14:$AA$132,$T352),INDEX('Lớp 3 - Công việc chính'!$X$14:$X$73,$T352))))</f>
        <v>#REF!</v>
      </c>
      <c r="P352" s="703" t="str">
        <f t="array" ref="P352">IF($S352="","",IF($S352="Lớp 5",INDEX('Lớp 5 - Phân công'!$AC$14:$AC$262,$T352),IF($S352="Lớp 4",INDEX('Lớp 4 - Danh mục'!$AB$14:$AB$132,$T352),INDEX('Lớp 3 - Công việc chính'!$Y$14:$Y$73,$T352))))</f>
        <v>#REF!</v>
      </c>
      <c r="Q352" s="697" t="str">
        <f t="array" ref="Q352">IF($S352="","",IF($S352="Lớp 5",INDEX('Lớp 5 - Phân công'!$AG$14:$AG$262,$T352),IF($S352="Lớp 4",INDEX('Lớp 4 - Danh mục'!$AF$14:$AF$132,$T352),INDEX('Lớp 3 - Công việc chính'!$AC$14:$AC$73,$T352))))</f>
        <v>#REF!</v>
      </c>
      <c r="R352" s="698" t="str">
        <f t="array" ref="R352">IF($S352="","",IF($S352="Lớp 5",INDEX('Lớp 5 - Phân công'!$X$14:$X$262,$T352),IF($S352="Lớp 4",INDEX('Lớp 4 - Danh mục'!$V$14:$V$132,$T352),INDEX('Lớp 3 - Công việc chính'!$T$14:$T$73,$T352))))</f>
        <v>#REF!</v>
      </c>
      <c r="S352" s="699" t="str">
        <f>IF(ROWS($S$14:S352)&lt;=COUNTIF('Lớp 5 - Phân công'!$I$14:$I$262,"&lt;&gt;"),"Lớp 5",IF(ROWS($S$14:S352)&lt;=COUNTIF('Lớp 5 - Phân công'!$I$14:$I$262,"&lt;&gt;")+SUMPRODUCT(--('Lớp 4 - Danh mục'!$I$14:$I$132&lt;&gt;""),--(COUNTIF('Lớp 5 - Phân công'!$J$14:$J$262,'Lớp 4 - Danh mục'!$I$14:$I$132)=0)),"Lớp 4",IF(ROWS($S$14:S352)&lt;=COUNTIF('Lớp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2" s="699" t="str">
        <f t="array" ref="T352">IF(S352="","",IF(S352="Lớp 5",IF(S351&lt;&gt;"Lớp 5",MATCH("*",'Lớp 5 - Phân công'!$I$14:$I$262,0),T351+MATCH("*",INDEX('Lớp 5 - Phân công'!$I$14:$I$262,T351+1):'Lớp 5 - Phân công'!$I$262,0)),IF(S352="Lớp 4",IF(S351&lt;&gt;"Lớp 4",MATCH(1,INDEX(('Lớp 4 - Danh mục'!$I$14:$I$132&lt;&gt;"")*(COUNTIF('Lớp 5 - Phân công'!$J$14:$J$262,'Lớp 4 - Danh mục'!$I$14:$I$132)=0),0),0),T351+MATCH(1,INDEX((INDEX('Lớp 4 - Danh mục'!$I$14:$I$132,T351+1):'Lớp 4 - Danh mục'!$I$132&lt;&gt;"")*(COUNTIF('Lớp 5 - Phân công'!$J$14:$J$262,INDEX('Lớp 4 - Danh mục'!$I$14:$I$132,T351+1):'Lớp 4 - Danh mục'!$I$132)=0),0),0)),IF(S351&lt;&gt;"Lớp 3",MATCH(1,INDEX(('Lớp 3 - Công việc chính'!$I$14:$I$73&lt;&gt;"")*(COUNTIF('Lớp 4 - Danh mục'!$J$14:$J$132,'Lớp 3 - Công việc chính'!$I$14:$I$73)=0),0),0),T351+MATCH(1,INDEX((INDEX('Lớp 3 - Công việc chính'!$I$14:$I$73,T351+1):'Lớp 3 - Công việc chính'!$I$73&lt;&gt;"")*(COUNTIF('Lớp 4 - Danh mục'!$J$14:$J$132,INDEX('Lớp 3 - Công việc chính'!$I$14:$I$73,T351+1):'Lớp 3 - Công việc chính'!$I$73)=0),0),0)))))</f>
        <v>#REF!</v>
      </c>
      <c r="Z352" s="700" t="str">
        <f t="array" ref="Z352">IF($S352="","",IF($S352="Lớp 5",INDEX('Lớp 5 - Phân công'!$AS$14:$AS$262,$T352),IF($S352="Lớp 4",INDEX('Lớp 4 - Danh mục'!$AR$14:$AR$132,$T352),INDEX('Lớp 3 - Công việc chính'!$AO$14:$AO$73,$T352))))</f>
        <v>#REF!</v>
      </c>
      <c r="AA352" s="701" t="str">
        <f t="array" ref="AA352">IF($S352="","",IF($S352="Lớp 5",INDEX('Lớp 5 - Phân công'!$AT$14:$AT$262,$T352),IF($S352="Lớp 4",INDEX('Lớp 4 - Danh mục'!$AS$14:$AS$132,$T352),INDEX('Lớp 3 - Công việc chính'!$AP$14:$AP$73,$T352))))</f>
        <v>#REF!</v>
      </c>
      <c r="AB352" s="701" t="str">
        <f t="array" ref="AB352">IF($S352="","",IF($S352="Lớp 5",INDEX('Lớp 5 - Phân công'!$AJ$14:$AJ$262,$T352),IF($S352="Lớp 4",INDEX('Lớp 4 - Danh mục'!$AI$14:$AI$132,$T352),INDEX('Lớp 3 - Công việc chính'!$AF$14:$AF$73,$T352))))</f>
        <v>#REF!</v>
      </c>
      <c r="AC352" s="702" t="str">
        <f t="array" ref="AC352">IF($S352="","",IF($S352="Lớp 5",INDEX('Lớp 5 - Phân công'!$AV$14:$AV$262,$T352),IF($S352="Lớp 4",INDEX('Lớp 4 - Danh mục'!$AU$14:$AU$132,$T352),INDEX('Lớp 3 - Công việc chính'!$AR$14:$AR$73,$T352))))</f>
        <v>#REF!</v>
      </c>
    </row>
    <row r="353" ht="15.75" customHeight="1">
      <c r="A353" s="690" t="str">
        <f t="shared" si="1"/>
        <v>#REF!</v>
      </c>
      <c r="B353" s="690" t="str">
        <f t="array" ref="B353">IF($S353="","",IF($S353="Lớp 5",INDEX('Lớp 5 - Phân công'!$I$14:$I$262,$T353),IF($S353="Lớp 4",INDEX('Lớp 4 - Danh mục'!$I$14:$I$132,$T353),INDEX('Lớp 3 - Công việc chính'!$I$14:$I$73,$T353))))</f>
        <v>#REF!</v>
      </c>
      <c r="C353" s="690" t="str">
        <f t="array" ref="C353">IF($S353="","",IF($S353="Lớp 5",INDEX('Lớp 5 - Phân công'!$K$14:$K$262,$T353),IF($S353="Lớp 4",INDEX('Lớp 4 - Danh mục'!$J$14:$J$132,$T353),INDEX('Lớp 3 - Công việc chính'!$I$14:$I$73,$T353))))</f>
        <v>#REF!</v>
      </c>
      <c r="D353" s="690" t="str">
        <f t="array" ref="D353">IF($S353="","",IF($S353="Lớp 5",INDEX('Lớp 5 - Phân công'!$J$14:$J$262,$T353),IF($S353="Lớp 4",INDEX('Lớp 4 - Danh mục'!$I$14:$I$132,$T353),"")))</f>
        <v>#REF!</v>
      </c>
      <c r="E353" s="690" t="str">
        <f t="array" ref="E353">IF($S353="","",IF($S353="Lớp 5",INDEX('Lớp 5 - Phân công'!$L$14:$L$262,$T353),IF($S353="Lớp 4",INDEX('Lớp 4 - Danh mục'!$K$14:$K$132,$T353),INDEX('Lớp 3 - Công việc chính'!$J$14:$J$73,$T353))))</f>
        <v>#REF!</v>
      </c>
      <c r="F353" s="690" t="str">
        <f t="array" ref="F353">IF($S353="","",IF($S353="Lớp 5",INDEX('Lớp 5 - Phân công'!$M$14:$M$262,$T353),IF($S353="Lớp 4",INDEX('Lớp 4 - Danh mục'!$L$14:$L$132,$T353),INDEX('Lớp 3 - Công việc chính'!$K$14:$K$73,$T353))))</f>
        <v>#REF!</v>
      </c>
      <c r="G353" s="691" t="str">
        <f t="array" ref="G353">IF($S353="","",IF($S353="Lớp 5",INDEX('Lớp 5 - Phân công'!$N$14:$N$262,$T353),IF($S353="Lớp 4",INDEX('Lớp 4 - Danh mục'!$M$14:$M$132,$T353),INDEX('Lớp 3 - Công việc chính'!$L$14:$L$73,$T353))))</f>
        <v>#REF!</v>
      </c>
      <c r="H353" s="692" t="str">
        <f t="array" ref="H353">IF($S353="","",IF($S353="Lớp 5",INDEX('Lớp 5 - Phân công'!$O$14:$O$262,$T353),IF($S353="Lớp 4",INDEX('Lớp 4 - Danh mục'!$N$14:$N$132,$T353),INDEX('Lớp 3 - Công việc chính'!$M$14:$M$73,$T353))))</f>
        <v>#REF!</v>
      </c>
      <c r="I353" s="692" t="str">
        <f t="array" ref="I353">IF($S353="","",IF($S353="Lớp 5",INDEX('Lớp 5 - Phân công'!$P$14:$P$262,$T353),IF($S353="Lớp 4",INDEX('Lớp 4 - Danh mục'!$O$14:$O$132,$T353),"")))</f>
        <v>#REF!</v>
      </c>
      <c r="J353" s="693" t="str">
        <f t="array" ref="J353">IF($S353="","",IF($S353="Lớp 5",INDEX('Lớp 5 - Phân công'!$Q$14:$Q$262,$T353),""))</f>
        <v>#REF!</v>
      </c>
      <c r="K353" s="690" t="str">
        <f t="array" ref="K353">IF($S353="","",IF($S353="Lớp 5",INDEX('Lớp 5 - Phân công'!$AA$14:$AA$262,$T353),IF($S353="Lớp 4",INDEX('Lớp 4 - Danh mục'!$Y$14:$Y$132,$T353),INDEX('Lớp 3 - Công việc chính'!$U$14:$U$73,$T353))))</f>
        <v>#REF!</v>
      </c>
      <c r="L353" s="691" t="str">
        <f t="array" ref="L353">IF($S353="","",IF($S353="Lớp 5",INDEX('Lớp 5 - Phân công'!$Z$14:$Z$262,$T353),IF($S353="Lớp 4",INDEX('Lớp 4 - Danh mục'!$X$14:$X$132,$T353),INDEX('Lớp 3 - Công việc chính'!$W$14:$W$73,$T353))))</f>
        <v>#REF!</v>
      </c>
      <c r="M353" s="694" t="str">
        <f t="array" ref="M353">IF($S353="","",IF($S353="Lớp 5",INDEX('Lớp 5 - Phân công'!$AD$14:$AD$262,$T353),IF($S353="Lớp 4",INDEX('Lớp 4 - Danh mục'!$AC$14:$AC$132,$T353),INDEX('Lớp 3 - Công việc chính'!$Z$14:$Z$73,$T353))))</f>
        <v>#REF!</v>
      </c>
      <c r="N353" s="695" t="str">
        <f t="array" ref="N353">IF($S353="","",IF($S353="Lớp 5",INDEX('Lớp 5 - Phân công'!$AE$14:$AE$262,$T353),IF($S353="Lớp 4",INDEX('Lớp 4 - Danh mục'!$AD$14:$AD$132,$T353),INDEX('Lớp 3 - Công việc chính'!$AA$14:$AA$73,$T353))))</f>
        <v>#REF!</v>
      </c>
      <c r="O353" s="690" t="str">
        <f t="array" ref="O353">IF($S353="","",IF($S353="Lớp 5",INDEX('Lớp 5 - Phân công'!$AB$14:$AB$262,$T353),IF($S353="Lớp 4",INDEX('Lớp 4 - Danh mục'!$AA$14:$AA$132,$T353),INDEX('Lớp 3 - Công việc chính'!$X$14:$X$73,$T353))))</f>
        <v>#REF!</v>
      </c>
      <c r="P353" s="703" t="str">
        <f t="array" ref="P353">IF($S353="","",IF($S353="Lớp 5",INDEX('Lớp 5 - Phân công'!$AC$14:$AC$262,$T353),IF($S353="Lớp 4",INDEX('Lớp 4 - Danh mục'!$AB$14:$AB$132,$T353),INDEX('Lớp 3 - Công việc chính'!$Y$14:$Y$73,$T353))))</f>
        <v>#REF!</v>
      </c>
      <c r="Q353" s="697" t="str">
        <f t="array" ref="Q353">IF($S353="","",IF($S353="Lớp 5",INDEX('Lớp 5 - Phân công'!$AG$14:$AG$262,$T353),IF($S353="Lớp 4",INDEX('Lớp 4 - Danh mục'!$AF$14:$AF$132,$T353),INDEX('Lớp 3 - Công việc chính'!$AC$14:$AC$73,$T353))))</f>
        <v>#REF!</v>
      </c>
      <c r="R353" s="698" t="str">
        <f t="array" ref="R353">IF($S353="","",IF($S353="Lớp 5",INDEX('Lớp 5 - Phân công'!$X$14:$X$262,$T353),IF($S353="Lớp 4",INDEX('Lớp 4 - Danh mục'!$V$14:$V$132,$T353),INDEX('Lớp 3 - Công việc chính'!$T$14:$T$73,$T353))))</f>
        <v>#REF!</v>
      </c>
      <c r="S353" s="699" t="str">
        <f>IF(ROWS($S$14:S353)&lt;=COUNTIF('Lớp 5 - Phân công'!$I$14:$I$262,"&lt;&gt;"),"Lớp 5",IF(ROWS($S$14:S353)&lt;=COUNTIF('Lớp 5 - Phân công'!$I$14:$I$262,"&lt;&gt;")+SUMPRODUCT(--('Lớp 4 - Danh mục'!$I$14:$I$132&lt;&gt;""),--(COUNTIF('Lớp 5 - Phân công'!$J$14:$J$262,'Lớp 4 - Danh mục'!$I$14:$I$132)=0)),"Lớp 4",IF(ROWS($S$14:S353)&lt;=COUNTIF('Lớp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3" s="699" t="str">
        <f t="array" ref="T353">IF(S353="","",IF(S353="Lớp 5",IF(S352&lt;&gt;"Lớp 5",MATCH("*",'Lớp 5 - Phân công'!$I$14:$I$262,0),T352+MATCH("*",INDEX('Lớp 5 - Phân công'!$I$14:$I$262,T352+1):'Lớp 5 - Phân công'!$I$262,0)),IF(S353="Lớp 4",IF(S352&lt;&gt;"Lớp 4",MATCH(1,INDEX(('Lớp 4 - Danh mục'!$I$14:$I$132&lt;&gt;"")*(COUNTIF('Lớp 5 - Phân công'!$J$14:$J$262,'Lớp 4 - Danh mục'!$I$14:$I$132)=0),0),0),T352+MATCH(1,INDEX((INDEX('Lớp 4 - Danh mục'!$I$14:$I$132,T352+1):'Lớp 4 - Danh mục'!$I$132&lt;&gt;"")*(COUNTIF('Lớp 5 - Phân công'!$J$14:$J$262,INDEX('Lớp 4 - Danh mục'!$I$14:$I$132,T352+1):'Lớp 4 - Danh mục'!$I$132)=0),0),0)),IF(S352&lt;&gt;"Lớp 3",MATCH(1,INDEX(('Lớp 3 - Công việc chính'!$I$14:$I$73&lt;&gt;"")*(COUNTIF('Lớp 4 - Danh mục'!$J$14:$J$132,'Lớp 3 - Công việc chính'!$I$14:$I$73)=0),0),0),T352+MATCH(1,INDEX((INDEX('Lớp 3 - Công việc chính'!$I$14:$I$73,T352+1):'Lớp 3 - Công việc chính'!$I$73&lt;&gt;"")*(COUNTIF('Lớp 4 - Danh mục'!$J$14:$J$132,INDEX('Lớp 3 - Công việc chính'!$I$14:$I$73,T352+1):'Lớp 3 - Công việc chính'!$I$73)=0),0),0)))))</f>
        <v>#REF!</v>
      </c>
      <c r="Z353" s="700" t="str">
        <f t="array" ref="Z353">IF($S353="","",IF($S353="Lớp 5",INDEX('Lớp 5 - Phân công'!$AS$14:$AS$262,$T353),IF($S353="Lớp 4",INDEX('Lớp 4 - Danh mục'!$AR$14:$AR$132,$T353),INDEX('Lớp 3 - Công việc chính'!$AO$14:$AO$73,$T353))))</f>
        <v>#REF!</v>
      </c>
      <c r="AA353" s="701" t="str">
        <f t="array" ref="AA353">IF($S353="","",IF($S353="Lớp 5",INDEX('Lớp 5 - Phân công'!$AT$14:$AT$262,$T353),IF($S353="Lớp 4",INDEX('Lớp 4 - Danh mục'!$AS$14:$AS$132,$T353),INDEX('Lớp 3 - Công việc chính'!$AP$14:$AP$73,$T353))))</f>
        <v>#REF!</v>
      </c>
      <c r="AB353" s="701" t="str">
        <f t="array" ref="AB353">IF($S353="","",IF($S353="Lớp 5",INDEX('Lớp 5 - Phân công'!$AJ$14:$AJ$262,$T353),IF($S353="Lớp 4",INDEX('Lớp 4 - Danh mục'!$AI$14:$AI$132,$T353),INDEX('Lớp 3 - Công việc chính'!$AF$14:$AF$73,$T353))))</f>
        <v>#REF!</v>
      </c>
      <c r="AC353" s="702" t="str">
        <f t="array" ref="AC353">IF($S353="","",IF($S353="Lớp 5",INDEX('Lớp 5 - Phân công'!$AV$14:$AV$262,$T353),IF($S353="Lớp 4",INDEX('Lớp 4 - Danh mục'!$AU$14:$AU$132,$T353),INDEX('Lớp 3 - Công việc chính'!$AR$14:$AR$73,$T353))))</f>
        <v>#REF!</v>
      </c>
    </row>
    <row r="354" ht="15.75" customHeight="1">
      <c r="A354" s="690" t="str">
        <f t="shared" si="1"/>
        <v>#REF!</v>
      </c>
      <c r="B354" s="690" t="str">
        <f t="array" ref="B354">IF($S354="","",IF($S354="Lớp 5",INDEX('Lớp 5 - Phân công'!$I$14:$I$262,$T354),IF($S354="Lớp 4",INDEX('Lớp 4 - Danh mục'!$I$14:$I$132,$T354),INDEX('Lớp 3 - Công việc chính'!$I$14:$I$73,$T354))))</f>
        <v>#REF!</v>
      </c>
      <c r="C354" s="690" t="str">
        <f t="array" ref="C354">IF($S354="","",IF($S354="Lớp 5",INDEX('Lớp 5 - Phân công'!$K$14:$K$262,$T354),IF($S354="Lớp 4",INDEX('Lớp 4 - Danh mục'!$J$14:$J$132,$T354),INDEX('Lớp 3 - Công việc chính'!$I$14:$I$73,$T354))))</f>
        <v>#REF!</v>
      </c>
      <c r="D354" s="690" t="str">
        <f t="array" ref="D354">IF($S354="","",IF($S354="Lớp 5",INDEX('Lớp 5 - Phân công'!$J$14:$J$262,$T354),IF($S354="Lớp 4",INDEX('Lớp 4 - Danh mục'!$I$14:$I$132,$T354),"")))</f>
        <v>#REF!</v>
      </c>
      <c r="E354" s="690" t="str">
        <f t="array" ref="E354">IF($S354="","",IF($S354="Lớp 5",INDEX('Lớp 5 - Phân công'!$L$14:$L$262,$T354),IF($S354="Lớp 4",INDEX('Lớp 4 - Danh mục'!$K$14:$K$132,$T354),INDEX('Lớp 3 - Công việc chính'!$J$14:$J$73,$T354))))</f>
        <v>#REF!</v>
      </c>
      <c r="F354" s="690" t="str">
        <f t="array" ref="F354">IF($S354="","",IF($S354="Lớp 5",INDEX('Lớp 5 - Phân công'!$M$14:$M$262,$T354),IF($S354="Lớp 4",INDEX('Lớp 4 - Danh mục'!$L$14:$L$132,$T354),INDEX('Lớp 3 - Công việc chính'!$K$14:$K$73,$T354))))</f>
        <v>#REF!</v>
      </c>
      <c r="G354" s="691" t="str">
        <f t="array" ref="G354">IF($S354="","",IF($S354="Lớp 5",INDEX('Lớp 5 - Phân công'!$N$14:$N$262,$T354),IF($S354="Lớp 4",INDEX('Lớp 4 - Danh mục'!$M$14:$M$132,$T354),INDEX('Lớp 3 - Công việc chính'!$L$14:$L$73,$T354))))</f>
        <v>#REF!</v>
      </c>
      <c r="H354" s="692" t="str">
        <f t="array" ref="H354">IF($S354="","",IF($S354="Lớp 5",INDEX('Lớp 5 - Phân công'!$O$14:$O$262,$T354),IF($S354="Lớp 4",INDEX('Lớp 4 - Danh mục'!$N$14:$N$132,$T354),INDEX('Lớp 3 - Công việc chính'!$M$14:$M$73,$T354))))</f>
        <v>#REF!</v>
      </c>
      <c r="I354" s="692" t="str">
        <f t="array" ref="I354">IF($S354="","",IF($S354="Lớp 5",INDEX('Lớp 5 - Phân công'!$P$14:$P$262,$T354),IF($S354="Lớp 4",INDEX('Lớp 4 - Danh mục'!$O$14:$O$132,$T354),"")))</f>
        <v>#REF!</v>
      </c>
      <c r="J354" s="693" t="str">
        <f t="array" ref="J354">IF($S354="","",IF($S354="Lớp 5",INDEX('Lớp 5 - Phân công'!$Q$14:$Q$262,$T354),""))</f>
        <v>#REF!</v>
      </c>
      <c r="K354" s="690" t="str">
        <f t="array" ref="K354">IF($S354="","",IF($S354="Lớp 5",INDEX('Lớp 5 - Phân công'!$AA$14:$AA$262,$T354),IF($S354="Lớp 4",INDEX('Lớp 4 - Danh mục'!$Y$14:$Y$132,$T354),INDEX('Lớp 3 - Công việc chính'!$U$14:$U$73,$T354))))</f>
        <v>#REF!</v>
      </c>
      <c r="L354" s="691" t="str">
        <f t="array" ref="L354">IF($S354="","",IF($S354="Lớp 5",INDEX('Lớp 5 - Phân công'!$Z$14:$Z$262,$T354),IF($S354="Lớp 4",INDEX('Lớp 4 - Danh mục'!$X$14:$X$132,$T354),INDEX('Lớp 3 - Công việc chính'!$W$14:$W$73,$T354))))</f>
        <v>#REF!</v>
      </c>
      <c r="M354" s="694" t="str">
        <f t="array" ref="M354">IF($S354="","",IF($S354="Lớp 5",INDEX('Lớp 5 - Phân công'!$AD$14:$AD$262,$T354),IF($S354="Lớp 4",INDEX('Lớp 4 - Danh mục'!$AC$14:$AC$132,$T354),INDEX('Lớp 3 - Công việc chính'!$Z$14:$Z$73,$T354))))</f>
        <v>#REF!</v>
      </c>
      <c r="N354" s="695" t="str">
        <f t="array" ref="N354">IF($S354="","",IF($S354="Lớp 5",INDEX('Lớp 5 - Phân công'!$AE$14:$AE$262,$T354),IF($S354="Lớp 4",INDEX('Lớp 4 - Danh mục'!$AD$14:$AD$132,$T354),INDEX('Lớp 3 - Công việc chính'!$AA$14:$AA$73,$T354))))</f>
        <v>#REF!</v>
      </c>
      <c r="O354" s="690" t="str">
        <f t="array" ref="O354">IF($S354="","",IF($S354="Lớp 5",INDEX('Lớp 5 - Phân công'!$AB$14:$AB$262,$T354),IF($S354="Lớp 4",INDEX('Lớp 4 - Danh mục'!$AA$14:$AA$132,$T354),INDEX('Lớp 3 - Công việc chính'!$X$14:$X$73,$T354))))</f>
        <v>#REF!</v>
      </c>
      <c r="P354" s="703" t="str">
        <f t="array" ref="P354">IF($S354="","",IF($S354="Lớp 5",INDEX('Lớp 5 - Phân công'!$AC$14:$AC$262,$T354),IF($S354="Lớp 4",INDEX('Lớp 4 - Danh mục'!$AB$14:$AB$132,$T354),INDEX('Lớp 3 - Công việc chính'!$Y$14:$Y$73,$T354))))</f>
        <v>#REF!</v>
      </c>
      <c r="Q354" s="697" t="str">
        <f t="array" ref="Q354">IF($S354="","",IF($S354="Lớp 5",INDEX('Lớp 5 - Phân công'!$AG$14:$AG$262,$T354),IF($S354="Lớp 4",INDEX('Lớp 4 - Danh mục'!$AF$14:$AF$132,$T354),INDEX('Lớp 3 - Công việc chính'!$AC$14:$AC$73,$T354))))</f>
        <v>#REF!</v>
      </c>
      <c r="R354" s="698" t="str">
        <f t="array" ref="R354">IF($S354="","",IF($S354="Lớp 5",INDEX('Lớp 5 - Phân công'!$X$14:$X$262,$T354),IF($S354="Lớp 4",INDEX('Lớp 4 - Danh mục'!$V$14:$V$132,$T354),INDEX('Lớp 3 - Công việc chính'!$T$14:$T$73,$T354))))</f>
        <v>#REF!</v>
      </c>
      <c r="S354" s="699" t="str">
        <f>IF(ROWS($S$14:S354)&lt;=COUNTIF('Lớp 5 - Phân công'!$I$14:$I$262,"&lt;&gt;"),"Lớp 5",IF(ROWS($S$14:S354)&lt;=COUNTIF('Lớp 5 - Phân công'!$I$14:$I$262,"&lt;&gt;")+SUMPRODUCT(--('Lớp 4 - Danh mục'!$I$14:$I$132&lt;&gt;""),--(COUNTIF('Lớp 5 - Phân công'!$J$14:$J$262,'Lớp 4 - Danh mục'!$I$14:$I$132)=0)),"Lớp 4",IF(ROWS($S$14:S354)&lt;=COUNTIF('Lớp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4" s="699" t="str">
        <f t="array" ref="T354">IF(S354="","",IF(S354="Lớp 5",IF(S353&lt;&gt;"Lớp 5",MATCH("*",'Lớp 5 - Phân công'!$I$14:$I$262,0),T353+MATCH("*",INDEX('Lớp 5 - Phân công'!$I$14:$I$262,T353+1):'Lớp 5 - Phân công'!$I$262,0)),IF(S354="Lớp 4",IF(S353&lt;&gt;"Lớp 4",MATCH(1,INDEX(('Lớp 4 - Danh mục'!$I$14:$I$132&lt;&gt;"")*(COUNTIF('Lớp 5 - Phân công'!$J$14:$J$262,'Lớp 4 - Danh mục'!$I$14:$I$132)=0),0),0),T353+MATCH(1,INDEX((INDEX('Lớp 4 - Danh mục'!$I$14:$I$132,T353+1):'Lớp 4 - Danh mục'!$I$132&lt;&gt;"")*(COUNTIF('Lớp 5 - Phân công'!$J$14:$J$262,INDEX('Lớp 4 - Danh mục'!$I$14:$I$132,T353+1):'Lớp 4 - Danh mục'!$I$132)=0),0),0)),IF(S353&lt;&gt;"Lớp 3",MATCH(1,INDEX(('Lớp 3 - Công việc chính'!$I$14:$I$73&lt;&gt;"")*(COUNTIF('Lớp 4 - Danh mục'!$J$14:$J$132,'Lớp 3 - Công việc chính'!$I$14:$I$73)=0),0),0),T353+MATCH(1,INDEX((INDEX('Lớp 3 - Công việc chính'!$I$14:$I$73,T353+1):'Lớp 3 - Công việc chính'!$I$73&lt;&gt;"")*(COUNTIF('Lớp 4 - Danh mục'!$J$14:$J$132,INDEX('Lớp 3 - Công việc chính'!$I$14:$I$73,T353+1):'Lớp 3 - Công việc chính'!$I$73)=0),0),0)))))</f>
        <v>#REF!</v>
      </c>
      <c r="Z354" s="700" t="str">
        <f t="array" ref="Z354">IF($S354="","",IF($S354="Lớp 5",INDEX('Lớp 5 - Phân công'!$AS$14:$AS$262,$T354),IF($S354="Lớp 4",INDEX('Lớp 4 - Danh mục'!$AR$14:$AR$132,$T354),INDEX('Lớp 3 - Công việc chính'!$AO$14:$AO$73,$T354))))</f>
        <v>#REF!</v>
      </c>
      <c r="AA354" s="701" t="str">
        <f t="array" ref="AA354">IF($S354="","",IF($S354="Lớp 5",INDEX('Lớp 5 - Phân công'!$AT$14:$AT$262,$T354),IF($S354="Lớp 4",INDEX('Lớp 4 - Danh mục'!$AS$14:$AS$132,$T354),INDEX('Lớp 3 - Công việc chính'!$AP$14:$AP$73,$T354))))</f>
        <v>#REF!</v>
      </c>
      <c r="AB354" s="701" t="str">
        <f t="array" ref="AB354">IF($S354="","",IF($S354="Lớp 5",INDEX('Lớp 5 - Phân công'!$AJ$14:$AJ$262,$T354),IF($S354="Lớp 4",INDEX('Lớp 4 - Danh mục'!$AI$14:$AI$132,$T354),INDEX('Lớp 3 - Công việc chính'!$AF$14:$AF$73,$T354))))</f>
        <v>#REF!</v>
      </c>
      <c r="AC354" s="702" t="str">
        <f t="array" ref="AC354">IF($S354="","",IF($S354="Lớp 5",INDEX('Lớp 5 - Phân công'!$AV$14:$AV$262,$T354),IF($S354="Lớp 4",INDEX('Lớp 4 - Danh mục'!$AU$14:$AU$132,$T354),INDEX('Lớp 3 - Công việc chính'!$AR$14:$AR$73,$T354))))</f>
        <v>#REF!</v>
      </c>
    </row>
    <row r="355" ht="15.75" customHeight="1">
      <c r="A355" s="690" t="str">
        <f t="shared" si="1"/>
        <v>#REF!</v>
      </c>
      <c r="B355" s="690" t="str">
        <f t="array" ref="B355">IF($S355="","",IF($S355="Lớp 5",INDEX('Lớp 5 - Phân công'!$I$14:$I$262,$T355),IF($S355="Lớp 4",INDEX('Lớp 4 - Danh mục'!$I$14:$I$132,$T355),INDEX('Lớp 3 - Công việc chính'!$I$14:$I$73,$T355))))</f>
        <v>#REF!</v>
      </c>
      <c r="C355" s="690" t="str">
        <f t="array" ref="C355">IF($S355="","",IF($S355="Lớp 5",INDEX('Lớp 5 - Phân công'!$K$14:$K$262,$T355),IF($S355="Lớp 4",INDEX('Lớp 4 - Danh mục'!$J$14:$J$132,$T355),INDEX('Lớp 3 - Công việc chính'!$I$14:$I$73,$T355))))</f>
        <v>#REF!</v>
      </c>
      <c r="D355" s="690" t="str">
        <f t="array" ref="D355">IF($S355="","",IF($S355="Lớp 5",INDEX('Lớp 5 - Phân công'!$J$14:$J$262,$T355),IF($S355="Lớp 4",INDEX('Lớp 4 - Danh mục'!$I$14:$I$132,$T355),"")))</f>
        <v>#REF!</v>
      </c>
      <c r="E355" s="690" t="str">
        <f t="array" ref="E355">IF($S355="","",IF($S355="Lớp 5",INDEX('Lớp 5 - Phân công'!$L$14:$L$262,$T355),IF($S355="Lớp 4",INDEX('Lớp 4 - Danh mục'!$K$14:$K$132,$T355),INDEX('Lớp 3 - Công việc chính'!$J$14:$J$73,$T355))))</f>
        <v>#REF!</v>
      </c>
      <c r="F355" s="690" t="str">
        <f t="array" ref="F355">IF($S355="","",IF($S355="Lớp 5",INDEX('Lớp 5 - Phân công'!$M$14:$M$262,$T355),IF($S355="Lớp 4",INDEX('Lớp 4 - Danh mục'!$L$14:$L$132,$T355),INDEX('Lớp 3 - Công việc chính'!$K$14:$K$73,$T355))))</f>
        <v>#REF!</v>
      </c>
      <c r="G355" s="691" t="str">
        <f t="array" ref="G355">IF($S355="","",IF($S355="Lớp 5",INDEX('Lớp 5 - Phân công'!$N$14:$N$262,$T355),IF($S355="Lớp 4",INDEX('Lớp 4 - Danh mục'!$M$14:$M$132,$T355),INDEX('Lớp 3 - Công việc chính'!$L$14:$L$73,$T355))))</f>
        <v>#REF!</v>
      </c>
      <c r="H355" s="692" t="str">
        <f t="array" ref="H355">IF($S355="","",IF($S355="Lớp 5",INDEX('Lớp 5 - Phân công'!$O$14:$O$262,$T355),IF($S355="Lớp 4",INDEX('Lớp 4 - Danh mục'!$N$14:$N$132,$T355),INDEX('Lớp 3 - Công việc chính'!$M$14:$M$73,$T355))))</f>
        <v>#REF!</v>
      </c>
      <c r="I355" s="692" t="str">
        <f t="array" ref="I355">IF($S355="","",IF($S355="Lớp 5",INDEX('Lớp 5 - Phân công'!$P$14:$P$262,$T355),IF($S355="Lớp 4",INDEX('Lớp 4 - Danh mục'!$O$14:$O$132,$T355),"")))</f>
        <v>#REF!</v>
      </c>
      <c r="J355" s="693" t="str">
        <f t="array" ref="J355">IF($S355="","",IF($S355="Lớp 5",INDEX('Lớp 5 - Phân công'!$Q$14:$Q$262,$T355),""))</f>
        <v>#REF!</v>
      </c>
      <c r="K355" s="690" t="str">
        <f t="array" ref="K355">IF($S355="","",IF($S355="Lớp 5",INDEX('Lớp 5 - Phân công'!$AA$14:$AA$262,$T355),IF($S355="Lớp 4",INDEX('Lớp 4 - Danh mục'!$Y$14:$Y$132,$T355),INDEX('Lớp 3 - Công việc chính'!$U$14:$U$73,$T355))))</f>
        <v>#REF!</v>
      </c>
      <c r="L355" s="691" t="str">
        <f t="array" ref="L355">IF($S355="","",IF($S355="Lớp 5",INDEX('Lớp 5 - Phân công'!$Z$14:$Z$262,$T355),IF($S355="Lớp 4",INDEX('Lớp 4 - Danh mục'!$X$14:$X$132,$T355),INDEX('Lớp 3 - Công việc chính'!$W$14:$W$73,$T355))))</f>
        <v>#REF!</v>
      </c>
      <c r="M355" s="694" t="str">
        <f t="array" ref="M355">IF($S355="","",IF($S355="Lớp 5",INDEX('Lớp 5 - Phân công'!$AD$14:$AD$262,$T355),IF($S355="Lớp 4",INDEX('Lớp 4 - Danh mục'!$AC$14:$AC$132,$T355),INDEX('Lớp 3 - Công việc chính'!$Z$14:$Z$73,$T355))))</f>
        <v>#REF!</v>
      </c>
      <c r="N355" s="695" t="str">
        <f t="array" ref="N355">IF($S355="","",IF($S355="Lớp 5",INDEX('Lớp 5 - Phân công'!$AE$14:$AE$262,$T355),IF($S355="Lớp 4",INDEX('Lớp 4 - Danh mục'!$AD$14:$AD$132,$T355),INDEX('Lớp 3 - Công việc chính'!$AA$14:$AA$73,$T355))))</f>
        <v>#REF!</v>
      </c>
      <c r="O355" s="690" t="str">
        <f t="array" ref="O355">IF($S355="","",IF($S355="Lớp 5",INDEX('Lớp 5 - Phân công'!$AB$14:$AB$262,$T355),IF($S355="Lớp 4",INDEX('Lớp 4 - Danh mục'!$AA$14:$AA$132,$T355),INDEX('Lớp 3 - Công việc chính'!$X$14:$X$73,$T355))))</f>
        <v>#REF!</v>
      </c>
      <c r="P355" s="703" t="str">
        <f t="array" ref="P355">IF($S355="","",IF($S355="Lớp 5",INDEX('Lớp 5 - Phân công'!$AC$14:$AC$262,$T355),IF($S355="Lớp 4",INDEX('Lớp 4 - Danh mục'!$AB$14:$AB$132,$T355),INDEX('Lớp 3 - Công việc chính'!$Y$14:$Y$73,$T355))))</f>
        <v>#REF!</v>
      </c>
      <c r="Q355" s="697" t="str">
        <f t="array" ref="Q355">IF($S355="","",IF($S355="Lớp 5",INDEX('Lớp 5 - Phân công'!$AG$14:$AG$262,$T355),IF($S355="Lớp 4",INDEX('Lớp 4 - Danh mục'!$AF$14:$AF$132,$T355),INDEX('Lớp 3 - Công việc chính'!$AC$14:$AC$73,$T355))))</f>
        <v>#REF!</v>
      </c>
      <c r="R355" s="698" t="str">
        <f t="array" ref="R355">IF($S355="","",IF($S355="Lớp 5",INDEX('Lớp 5 - Phân công'!$X$14:$X$262,$T355),IF($S355="Lớp 4",INDEX('Lớp 4 - Danh mục'!$V$14:$V$132,$T355),INDEX('Lớp 3 - Công việc chính'!$T$14:$T$73,$T355))))</f>
        <v>#REF!</v>
      </c>
      <c r="S355" s="699" t="str">
        <f>IF(ROWS($S$14:S355)&lt;=COUNTIF('Lớp 5 - Phân công'!$I$14:$I$262,"&lt;&gt;"),"Lớp 5",IF(ROWS($S$14:S355)&lt;=COUNTIF('Lớp 5 - Phân công'!$I$14:$I$262,"&lt;&gt;")+SUMPRODUCT(--('Lớp 4 - Danh mục'!$I$14:$I$132&lt;&gt;""),--(COUNTIF('Lớp 5 - Phân công'!$J$14:$J$262,'Lớp 4 - Danh mục'!$I$14:$I$132)=0)),"Lớp 4",IF(ROWS($S$14:S355)&lt;=COUNTIF('Lớp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5" s="699" t="str">
        <f t="array" ref="T355">IF(S355="","",IF(S355="Lớp 5",IF(S354&lt;&gt;"Lớp 5",MATCH("*",'Lớp 5 - Phân công'!$I$14:$I$262,0),T354+MATCH("*",INDEX('Lớp 5 - Phân công'!$I$14:$I$262,T354+1):'Lớp 5 - Phân công'!$I$262,0)),IF(S355="Lớp 4",IF(S354&lt;&gt;"Lớp 4",MATCH(1,INDEX(('Lớp 4 - Danh mục'!$I$14:$I$132&lt;&gt;"")*(COUNTIF('Lớp 5 - Phân công'!$J$14:$J$262,'Lớp 4 - Danh mục'!$I$14:$I$132)=0),0),0),T354+MATCH(1,INDEX((INDEX('Lớp 4 - Danh mục'!$I$14:$I$132,T354+1):'Lớp 4 - Danh mục'!$I$132&lt;&gt;"")*(COUNTIF('Lớp 5 - Phân công'!$J$14:$J$262,INDEX('Lớp 4 - Danh mục'!$I$14:$I$132,T354+1):'Lớp 4 - Danh mục'!$I$132)=0),0),0)),IF(S354&lt;&gt;"Lớp 3",MATCH(1,INDEX(('Lớp 3 - Công việc chính'!$I$14:$I$73&lt;&gt;"")*(COUNTIF('Lớp 4 - Danh mục'!$J$14:$J$132,'Lớp 3 - Công việc chính'!$I$14:$I$73)=0),0),0),T354+MATCH(1,INDEX((INDEX('Lớp 3 - Công việc chính'!$I$14:$I$73,T354+1):'Lớp 3 - Công việc chính'!$I$73&lt;&gt;"")*(COUNTIF('Lớp 4 - Danh mục'!$J$14:$J$132,INDEX('Lớp 3 - Công việc chính'!$I$14:$I$73,T354+1):'Lớp 3 - Công việc chính'!$I$73)=0),0),0)))))</f>
        <v>#REF!</v>
      </c>
      <c r="Z355" s="700" t="str">
        <f t="array" ref="Z355">IF($S355="","",IF($S355="Lớp 5",INDEX('Lớp 5 - Phân công'!$AS$14:$AS$262,$T355),IF($S355="Lớp 4",INDEX('Lớp 4 - Danh mục'!$AR$14:$AR$132,$T355),INDEX('Lớp 3 - Công việc chính'!$AO$14:$AO$73,$T355))))</f>
        <v>#REF!</v>
      </c>
      <c r="AA355" s="701" t="str">
        <f t="array" ref="AA355">IF($S355="","",IF($S355="Lớp 5",INDEX('Lớp 5 - Phân công'!$AT$14:$AT$262,$T355),IF($S355="Lớp 4",INDEX('Lớp 4 - Danh mục'!$AS$14:$AS$132,$T355),INDEX('Lớp 3 - Công việc chính'!$AP$14:$AP$73,$T355))))</f>
        <v>#REF!</v>
      </c>
      <c r="AB355" s="701" t="str">
        <f t="array" ref="AB355">IF($S355="","",IF($S355="Lớp 5",INDEX('Lớp 5 - Phân công'!$AJ$14:$AJ$262,$T355),IF($S355="Lớp 4",INDEX('Lớp 4 - Danh mục'!$AI$14:$AI$132,$T355),INDEX('Lớp 3 - Công việc chính'!$AF$14:$AF$73,$T355))))</f>
        <v>#REF!</v>
      </c>
      <c r="AC355" s="702" t="str">
        <f t="array" ref="AC355">IF($S355="","",IF($S355="Lớp 5",INDEX('Lớp 5 - Phân công'!$AV$14:$AV$262,$T355),IF($S355="Lớp 4",INDEX('Lớp 4 - Danh mục'!$AU$14:$AU$132,$T355),INDEX('Lớp 3 - Công việc chính'!$AR$14:$AR$73,$T355))))</f>
        <v>#REF!</v>
      </c>
    </row>
    <row r="356" ht="15.75" customHeight="1">
      <c r="A356" s="690" t="str">
        <f t="shared" si="1"/>
        <v>#REF!</v>
      </c>
      <c r="B356" s="690" t="str">
        <f t="array" ref="B356">IF($S356="","",IF($S356="Lớp 5",INDEX('Lớp 5 - Phân công'!$I$14:$I$262,$T356),IF($S356="Lớp 4",INDEX('Lớp 4 - Danh mục'!$I$14:$I$132,$T356),INDEX('Lớp 3 - Công việc chính'!$I$14:$I$73,$T356))))</f>
        <v>#REF!</v>
      </c>
      <c r="C356" s="690" t="str">
        <f t="array" ref="C356">IF($S356="","",IF($S356="Lớp 5",INDEX('Lớp 5 - Phân công'!$K$14:$K$262,$T356),IF($S356="Lớp 4",INDEX('Lớp 4 - Danh mục'!$J$14:$J$132,$T356),INDEX('Lớp 3 - Công việc chính'!$I$14:$I$73,$T356))))</f>
        <v>#REF!</v>
      </c>
      <c r="D356" s="690" t="str">
        <f t="array" ref="D356">IF($S356="","",IF($S356="Lớp 5",INDEX('Lớp 5 - Phân công'!$J$14:$J$262,$T356),IF($S356="Lớp 4",INDEX('Lớp 4 - Danh mục'!$I$14:$I$132,$T356),"")))</f>
        <v>#REF!</v>
      </c>
      <c r="E356" s="690" t="str">
        <f t="array" ref="E356">IF($S356="","",IF($S356="Lớp 5",INDEX('Lớp 5 - Phân công'!$L$14:$L$262,$T356),IF($S356="Lớp 4",INDEX('Lớp 4 - Danh mục'!$K$14:$K$132,$T356),INDEX('Lớp 3 - Công việc chính'!$J$14:$J$73,$T356))))</f>
        <v>#REF!</v>
      </c>
      <c r="F356" s="690" t="str">
        <f t="array" ref="F356">IF($S356="","",IF($S356="Lớp 5",INDEX('Lớp 5 - Phân công'!$M$14:$M$262,$T356),IF($S356="Lớp 4",INDEX('Lớp 4 - Danh mục'!$L$14:$L$132,$T356),INDEX('Lớp 3 - Công việc chính'!$K$14:$K$73,$T356))))</f>
        <v>#REF!</v>
      </c>
      <c r="G356" s="691" t="str">
        <f t="array" ref="G356">IF($S356="","",IF($S356="Lớp 5",INDEX('Lớp 5 - Phân công'!$N$14:$N$262,$T356),IF($S356="Lớp 4",INDEX('Lớp 4 - Danh mục'!$M$14:$M$132,$T356),INDEX('Lớp 3 - Công việc chính'!$L$14:$L$73,$T356))))</f>
        <v>#REF!</v>
      </c>
      <c r="H356" s="692" t="str">
        <f t="array" ref="H356">IF($S356="","",IF($S356="Lớp 5",INDEX('Lớp 5 - Phân công'!$O$14:$O$262,$T356),IF($S356="Lớp 4",INDEX('Lớp 4 - Danh mục'!$N$14:$N$132,$T356),INDEX('Lớp 3 - Công việc chính'!$M$14:$M$73,$T356))))</f>
        <v>#REF!</v>
      </c>
      <c r="I356" s="692" t="str">
        <f t="array" ref="I356">IF($S356="","",IF($S356="Lớp 5",INDEX('Lớp 5 - Phân công'!$P$14:$P$262,$T356),IF($S356="Lớp 4",INDEX('Lớp 4 - Danh mục'!$O$14:$O$132,$T356),"")))</f>
        <v>#REF!</v>
      </c>
      <c r="J356" s="693" t="str">
        <f t="array" ref="J356">IF($S356="","",IF($S356="Lớp 5",INDEX('Lớp 5 - Phân công'!$Q$14:$Q$262,$T356),""))</f>
        <v>#REF!</v>
      </c>
      <c r="K356" s="690" t="str">
        <f t="array" ref="K356">IF($S356="","",IF($S356="Lớp 5",INDEX('Lớp 5 - Phân công'!$AA$14:$AA$262,$T356),IF($S356="Lớp 4",INDEX('Lớp 4 - Danh mục'!$Y$14:$Y$132,$T356),INDEX('Lớp 3 - Công việc chính'!$U$14:$U$73,$T356))))</f>
        <v>#REF!</v>
      </c>
      <c r="L356" s="691" t="str">
        <f t="array" ref="L356">IF($S356="","",IF($S356="Lớp 5",INDEX('Lớp 5 - Phân công'!$Z$14:$Z$262,$T356),IF($S356="Lớp 4",INDEX('Lớp 4 - Danh mục'!$X$14:$X$132,$T356),INDEX('Lớp 3 - Công việc chính'!$W$14:$W$73,$T356))))</f>
        <v>#REF!</v>
      </c>
      <c r="M356" s="694" t="str">
        <f t="array" ref="M356">IF($S356="","",IF($S356="Lớp 5",INDEX('Lớp 5 - Phân công'!$AD$14:$AD$262,$T356),IF($S356="Lớp 4",INDEX('Lớp 4 - Danh mục'!$AC$14:$AC$132,$T356),INDEX('Lớp 3 - Công việc chính'!$Z$14:$Z$73,$T356))))</f>
        <v>#REF!</v>
      </c>
      <c r="N356" s="695" t="str">
        <f t="array" ref="N356">IF($S356="","",IF($S356="Lớp 5",INDEX('Lớp 5 - Phân công'!$AE$14:$AE$262,$T356),IF($S356="Lớp 4",INDEX('Lớp 4 - Danh mục'!$AD$14:$AD$132,$T356),INDEX('Lớp 3 - Công việc chính'!$AA$14:$AA$73,$T356))))</f>
        <v>#REF!</v>
      </c>
      <c r="O356" s="690" t="str">
        <f t="array" ref="O356">IF($S356="","",IF($S356="Lớp 5",INDEX('Lớp 5 - Phân công'!$AB$14:$AB$262,$T356),IF($S356="Lớp 4",INDEX('Lớp 4 - Danh mục'!$AA$14:$AA$132,$T356),INDEX('Lớp 3 - Công việc chính'!$X$14:$X$73,$T356))))</f>
        <v>#REF!</v>
      </c>
      <c r="P356" s="703" t="str">
        <f t="array" ref="P356">IF($S356="","",IF($S356="Lớp 5",INDEX('Lớp 5 - Phân công'!$AC$14:$AC$262,$T356),IF($S356="Lớp 4",INDEX('Lớp 4 - Danh mục'!$AB$14:$AB$132,$T356),INDEX('Lớp 3 - Công việc chính'!$Y$14:$Y$73,$T356))))</f>
        <v>#REF!</v>
      </c>
      <c r="Q356" s="697" t="str">
        <f t="array" ref="Q356">IF($S356="","",IF($S356="Lớp 5",INDEX('Lớp 5 - Phân công'!$AG$14:$AG$262,$T356),IF($S356="Lớp 4",INDEX('Lớp 4 - Danh mục'!$AF$14:$AF$132,$T356),INDEX('Lớp 3 - Công việc chính'!$AC$14:$AC$73,$T356))))</f>
        <v>#REF!</v>
      </c>
      <c r="R356" s="698" t="str">
        <f t="array" ref="R356">IF($S356="","",IF($S356="Lớp 5",INDEX('Lớp 5 - Phân công'!$X$14:$X$262,$T356),IF($S356="Lớp 4",INDEX('Lớp 4 - Danh mục'!$V$14:$V$132,$T356),INDEX('Lớp 3 - Công việc chính'!$T$14:$T$73,$T356))))</f>
        <v>#REF!</v>
      </c>
      <c r="S356" s="699" t="str">
        <f>IF(ROWS($S$14:S356)&lt;=COUNTIF('Lớp 5 - Phân công'!$I$14:$I$262,"&lt;&gt;"),"Lớp 5",IF(ROWS($S$14:S356)&lt;=COUNTIF('Lớp 5 - Phân công'!$I$14:$I$262,"&lt;&gt;")+SUMPRODUCT(--('Lớp 4 - Danh mục'!$I$14:$I$132&lt;&gt;""),--(COUNTIF('Lớp 5 - Phân công'!$J$14:$J$262,'Lớp 4 - Danh mục'!$I$14:$I$132)=0)),"Lớp 4",IF(ROWS($S$14:S356)&lt;=COUNTIF('Lớp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6" s="699" t="str">
        <f t="array" ref="T356">IF(S356="","",IF(S356="Lớp 5",IF(S355&lt;&gt;"Lớp 5",MATCH("*",'Lớp 5 - Phân công'!$I$14:$I$262,0),T355+MATCH("*",INDEX('Lớp 5 - Phân công'!$I$14:$I$262,T355+1):'Lớp 5 - Phân công'!$I$262,0)),IF(S356="Lớp 4",IF(S355&lt;&gt;"Lớp 4",MATCH(1,INDEX(('Lớp 4 - Danh mục'!$I$14:$I$132&lt;&gt;"")*(COUNTIF('Lớp 5 - Phân công'!$J$14:$J$262,'Lớp 4 - Danh mục'!$I$14:$I$132)=0),0),0),T355+MATCH(1,INDEX((INDEX('Lớp 4 - Danh mục'!$I$14:$I$132,T355+1):'Lớp 4 - Danh mục'!$I$132&lt;&gt;"")*(COUNTIF('Lớp 5 - Phân công'!$J$14:$J$262,INDEX('Lớp 4 - Danh mục'!$I$14:$I$132,T355+1):'Lớp 4 - Danh mục'!$I$132)=0),0),0)),IF(S355&lt;&gt;"Lớp 3",MATCH(1,INDEX(('Lớp 3 - Công việc chính'!$I$14:$I$73&lt;&gt;"")*(COUNTIF('Lớp 4 - Danh mục'!$J$14:$J$132,'Lớp 3 - Công việc chính'!$I$14:$I$73)=0),0),0),T355+MATCH(1,INDEX((INDEX('Lớp 3 - Công việc chính'!$I$14:$I$73,T355+1):'Lớp 3 - Công việc chính'!$I$73&lt;&gt;"")*(COUNTIF('Lớp 4 - Danh mục'!$J$14:$J$132,INDEX('Lớp 3 - Công việc chính'!$I$14:$I$73,T355+1):'Lớp 3 - Công việc chính'!$I$73)=0),0),0)))))</f>
        <v>#REF!</v>
      </c>
      <c r="Z356" s="700" t="str">
        <f t="array" ref="Z356">IF($S356="","",IF($S356="Lớp 5",INDEX('Lớp 5 - Phân công'!$AS$14:$AS$262,$T356),IF($S356="Lớp 4",INDEX('Lớp 4 - Danh mục'!$AR$14:$AR$132,$T356),INDEX('Lớp 3 - Công việc chính'!$AO$14:$AO$73,$T356))))</f>
        <v>#REF!</v>
      </c>
      <c r="AA356" s="701" t="str">
        <f t="array" ref="AA356">IF($S356="","",IF($S356="Lớp 5",INDEX('Lớp 5 - Phân công'!$AT$14:$AT$262,$T356),IF($S356="Lớp 4",INDEX('Lớp 4 - Danh mục'!$AS$14:$AS$132,$T356),INDEX('Lớp 3 - Công việc chính'!$AP$14:$AP$73,$T356))))</f>
        <v>#REF!</v>
      </c>
      <c r="AB356" s="701" t="str">
        <f t="array" ref="AB356">IF($S356="","",IF($S356="Lớp 5",INDEX('Lớp 5 - Phân công'!$AJ$14:$AJ$262,$T356),IF($S356="Lớp 4",INDEX('Lớp 4 - Danh mục'!$AI$14:$AI$132,$T356),INDEX('Lớp 3 - Công việc chính'!$AF$14:$AF$73,$T356))))</f>
        <v>#REF!</v>
      </c>
      <c r="AC356" s="702" t="str">
        <f t="array" ref="AC356">IF($S356="","",IF($S356="Lớp 5",INDEX('Lớp 5 - Phân công'!$AV$14:$AV$262,$T356),IF($S356="Lớp 4",INDEX('Lớp 4 - Danh mục'!$AU$14:$AU$132,$T356),INDEX('Lớp 3 - Công việc chính'!$AR$14:$AR$73,$T356))))</f>
        <v>#REF!</v>
      </c>
    </row>
    <row r="357" ht="15.75" customHeight="1">
      <c r="A357" s="690" t="str">
        <f t="shared" si="1"/>
        <v>#REF!</v>
      </c>
      <c r="B357" s="690" t="str">
        <f t="array" ref="B357">IF($S357="","",IF($S357="Lớp 5",INDEX('Lớp 5 - Phân công'!$I$14:$I$262,$T357),IF($S357="Lớp 4",INDEX('Lớp 4 - Danh mục'!$I$14:$I$132,$T357),INDEX('Lớp 3 - Công việc chính'!$I$14:$I$73,$T357))))</f>
        <v>#REF!</v>
      </c>
      <c r="C357" s="690" t="str">
        <f t="array" ref="C357">IF($S357="","",IF($S357="Lớp 5",INDEX('Lớp 5 - Phân công'!$K$14:$K$262,$T357),IF($S357="Lớp 4",INDEX('Lớp 4 - Danh mục'!$J$14:$J$132,$T357),INDEX('Lớp 3 - Công việc chính'!$I$14:$I$73,$T357))))</f>
        <v>#REF!</v>
      </c>
      <c r="D357" s="690" t="str">
        <f t="array" ref="D357">IF($S357="","",IF($S357="Lớp 5",INDEX('Lớp 5 - Phân công'!$J$14:$J$262,$T357),IF($S357="Lớp 4",INDEX('Lớp 4 - Danh mục'!$I$14:$I$132,$T357),"")))</f>
        <v>#REF!</v>
      </c>
      <c r="E357" s="690" t="str">
        <f t="array" ref="E357">IF($S357="","",IF($S357="Lớp 5",INDEX('Lớp 5 - Phân công'!$L$14:$L$262,$T357),IF($S357="Lớp 4",INDEX('Lớp 4 - Danh mục'!$K$14:$K$132,$T357),INDEX('Lớp 3 - Công việc chính'!$J$14:$J$73,$T357))))</f>
        <v>#REF!</v>
      </c>
      <c r="F357" s="690" t="str">
        <f t="array" ref="F357">IF($S357="","",IF($S357="Lớp 5",INDEX('Lớp 5 - Phân công'!$M$14:$M$262,$T357),IF($S357="Lớp 4",INDEX('Lớp 4 - Danh mục'!$L$14:$L$132,$T357),INDEX('Lớp 3 - Công việc chính'!$K$14:$K$73,$T357))))</f>
        <v>#REF!</v>
      </c>
      <c r="G357" s="691" t="str">
        <f t="array" ref="G357">IF($S357="","",IF($S357="Lớp 5",INDEX('Lớp 5 - Phân công'!$N$14:$N$262,$T357),IF($S357="Lớp 4",INDEX('Lớp 4 - Danh mục'!$M$14:$M$132,$T357),INDEX('Lớp 3 - Công việc chính'!$L$14:$L$73,$T357))))</f>
        <v>#REF!</v>
      </c>
      <c r="H357" s="692" t="str">
        <f t="array" ref="H357">IF($S357="","",IF($S357="Lớp 5",INDEX('Lớp 5 - Phân công'!$O$14:$O$262,$T357),IF($S357="Lớp 4",INDEX('Lớp 4 - Danh mục'!$N$14:$N$132,$T357),INDEX('Lớp 3 - Công việc chính'!$M$14:$M$73,$T357))))</f>
        <v>#REF!</v>
      </c>
      <c r="I357" s="692" t="str">
        <f t="array" ref="I357">IF($S357="","",IF($S357="Lớp 5",INDEX('Lớp 5 - Phân công'!$P$14:$P$262,$T357),IF($S357="Lớp 4",INDEX('Lớp 4 - Danh mục'!$O$14:$O$132,$T357),"")))</f>
        <v>#REF!</v>
      </c>
      <c r="J357" s="693" t="str">
        <f t="array" ref="J357">IF($S357="","",IF($S357="Lớp 5",INDEX('Lớp 5 - Phân công'!$Q$14:$Q$262,$T357),""))</f>
        <v>#REF!</v>
      </c>
      <c r="K357" s="690" t="str">
        <f t="array" ref="K357">IF($S357="","",IF($S357="Lớp 5",INDEX('Lớp 5 - Phân công'!$AA$14:$AA$262,$T357),IF($S357="Lớp 4",INDEX('Lớp 4 - Danh mục'!$Y$14:$Y$132,$T357),INDEX('Lớp 3 - Công việc chính'!$U$14:$U$73,$T357))))</f>
        <v>#REF!</v>
      </c>
      <c r="L357" s="691" t="str">
        <f t="array" ref="L357">IF($S357="","",IF($S357="Lớp 5",INDEX('Lớp 5 - Phân công'!$Z$14:$Z$262,$T357),IF($S357="Lớp 4",INDEX('Lớp 4 - Danh mục'!$X$14:$X$132,$T357),INDEX('Lớp 3 - Công việc chính'!$W$14:$W$73,$T357))))</f>
        <v>#REF!</v>
      </c>
      <c r="M357" s="694" t="str">
        <f t="array" ref="M357">IF($S357="","",IF($S357="Lớp 5",INDEX('Lớp 5 - Phân công'!$AD$14:$AD$262,$T357),IF($S357="Lớp 4",INDEX('Lớp 4 - Danh mục'!$AC$14:$AC$132,$T357),INDEX('Lớp 3 - Công việc chính'!$Z$14:$Z$73,$T357))))</f>
        <v>#REF!</v>
      </c>
      <c r="N357" s="695" t="str">
        <f t="array" ref="N357">IF($S357="","",IF($S357="Lớp 5",INDEX('Lớp 5 - Phân công'!$AE$14:$AE$262,$T357),IF($S357="Lớp 4",INDEX('Lớp 4 - Danh mục'!$AD$14:$AD$132,$T357),INDEX('Lớp 3 - Công việc chính'!$AA$14:$AA$73,$T357))))</f>
        <v>#REF!</v>
      </c>
      <c r="O357" s="690" t="str">
        <f t="array" ref="O357">IF($S357="","",IF($S357="Lớp 5",INDEX('Lớp 5 - Phân công'!$AB$14:$AB$262,$T357),IF($S357="Lớp 4",INDEX('Lớp 4 - Danh mục'!$AA$14:$AA$132,$T357),INDEX('Lớp 3 - Công việc chính'!$X$14:$X$73,$T357))))</f>
        <v>#REF!</v>
      </c>
      <c r="P357" s="703" t="str">
        <f t="array" ref="P357">IF($S357="","",IF($S357="Lớp 5",INDEX('Lớp 5 - Phân công'!$AC$14:$AC$262,$T357),IF($S357="Lớp 4",INDEX('Lớp 4 - Danh mục'!$AB$14:$AB$132,$T357),INDEX('Lớp 3 - Công việc chính'!$Y$14:$Y$73,$T357))))</f>
        <v>#REF!</v>
      </c>
      <c r="Q357" s="697" t="str">
        <f t="array" ref="Q357">IF($S357="","",IF($S357="Lớp 5",INDEX('Lớp 5 - Phân công'!$AG$14:$AG$262,$T357),IF($S357="Lớp 4",INDEX('Lớp 4 - Danh mục'!$AF$14:$AF$132,$T357),INDEX('Lớp 3 - Công việc chính'!$AC$14:$AC$73,$T357))))</f>
        <v>#REF!</v>
      </c>
      <c r="R357" s="698" t="str">
        <f t="array" ref="R357">IF($S357="","",IF($S357="Lớp 5",INDEX('Lớp 5 - Phân công'!$X$14:$X$262,$T357),IF($S357="Lớp 4",INDEX('Lớp 4 - Danh mục'!$V$14:$V$132,$T357),INDEX('Lớp 3 - Công việc chính'!$T$14:$T$73,$T357))))</f>
        <v>#REF!</v>
      </c>
      <c r="S357" s="699" t="str">
        <f>IF(ROWS($S$14:S357)&lt;=COUNTIF('Lớp 5 - Phân công'!$I$14:$I$262,"&lt;&gt;"),"Lớp 5",IF(ROWS($S$14:S357)&lt;=COUNTIF('Lớp 5 - Phân công'!$I$14:$I$262,"&lt;&gt;")+SUMPRODUCT(--('Lớp 4 - Danh mục'!$I$14:$I$132&lt;&gt;""),--(COUNTIF('Lớp 5 - Phân công'!$J$14:$J$262,'Lớp 4 - Danh mục'!$I$14:$I$132)=0)),"Lớp 4",IF(ROWS($S$14:S357)&lt;=COUNTIF('Lớp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7" s="699" t="str">
        <f t="array" ref="T357">IF(S357="","",IF(S357="Lớp 5",IF(S356&lt;&gt;"Lớp 5",MATCH("*",'Lớp 5 - Phân công'!$I$14:$I$262,0),T356+MATCH("*",INDEX('Lớp 5 - Phân công'!$I$14:$I$262,T356+1):'Lớp 5 - Phân công'!$I$262,0)),IF(S357="Lớp 4",IF(S356&lt;&gt;"Lớp 4",MATCH(1,INDEX(('Lớp 4 - Danh mục'!$I$14:$I$132&lt;&gt;"")*(COUNTIF('Lớp 5 - Phân công'!$J$14:$J$262,'Lớp 4 - Danh mục'!$I$14:$I$132)=0),0),0),T356+MATCH(1,INDEX((INDEX('Lớp 4 - Danh mục'!$I$14:$I$132,T356+1):'Lớp 4 - Danh mục'!$I$132&lt;&gt;"")*(COUNTIF('Lớp 5 - Phân công'!$J$14:$J$262,INDEX('Lớp 4 - Danh mục'!$I$14:$I$132,T356+1):'Lớp 4 - Danh mục'!$I$132)=0),0),0)),IF(S356&lt;&gt;"Lớp 3",MATCH(1,INDEX(('Lớp 3 - Công việc chính'!$I$14:$I$73&lt;&gt;"")*(COUNTIF('Lớp 4 - Danh mục'!$J$14:$J$132,'Lớp 3 - Công việc chính'!$I$14:$I$73)=0),0),0),T356+MATCH(1,INDEX((INDEX('Lớp 3 - Công việc chính'!$I$14:$I$73,T356+1):'Lớp 3 - Công việc chính'!$I$73&lt;&gt;"")*(COUNTIF('Lớp 4 - Danh mục'!$J$14:$J$132,INDEX('Lớp 3 - Công việc chính'!$I$14:$I$73,T356+1):'Lớp 3 - Công việc chính'!$I$73)=0),0),0)))))</f>
        <v>#REF!</v>
      </c>
      <c r="Z357" s="700" t="str">
        <f t="array" ref="Z357">IF($S357="","",IF($S357="Lớp 5",INDEX('Lớp 5 - Phân công'!$AS$14:$AS$262,$T357),IF($S357="Lớp 4",INDEX('Lớp 4 - Danh mục'!$AR$14:$AR$132,$T357),INDEX('Lớp 3 - Công việc chính'!$AO$14:$AO$73,$T357))))</f>
        <v>#REF!</v>
      </c>
      <c r="AA357" s="701" t="str">
        <f t="array" ref="AA357">IF($S357="","",IF($S357="Lớp 5",INDEX('Lớp 5 - Phân công'!$AT$14:$AT$262,$T357),IF($S357="Lớp 4",INDEX('Lớp 4 - Danh mục'!$AS$14:$AS$132,$T357),INDEX('Lớp 3 - Công việc chính'!$AP$14:$AP$73,$T357))))</f>
        <v>#REF!</v>
      </c>
      <c r="AB357" s="701" t="str">
        <f t="array" ref="AB357">IF($S357="","",IF($S357="Lớp 5",INDEX('Lớp 5 - Phân công'!$AJ$14:$AJ$262,$T357),IF($S357="Lớp 4",INDEX('Lớp 4 - Danh mục'!$AI$14:$AI$132,$T357),INDEX('Lớp 3 - Công việc chính'!$AF$14:$AF$73,$T357))))</f>
        <v>#REF!</v>
      </c>
      <c r="AC357" s="702" t="str">
        <f t="array" ref="AC357">IF($S357="","",IF($S357="Lớp 5",INDEX('Lớp 5 - Phân công'!$AV$14:$AV$262,$T357),IF($S357="Lớp 4",INDEX('Lớp 4 - Danh mục'!$AU$14:$AU$132,$T357),INDEX('Lớp 3 - Công việc chính'!$AR$14:$AR$73,$T357))))</f>
        <v>#REF!</v>
      </c>
    </row>
    <row r="358" ht="15.75" customHeight="1">
      <c r="A358" s="690" t="str">
        <f t="shared" si="1"/>
        <v>#REF!</v>
      </c>
      <c r="B358" s="690" t="str">
        <f t="array" ref="B358">IF($S358="","",IF($S358="Lớp 5",INDEX('Lớp 5 - Phân công'!$I$14:$I$262,$T358),IF($S358="Lớp 4",INDEX('Lớp 4 - Danh mục'!$I$14:$I$132,$T358),INDEX('Lớp 3 - Công việc chính'!$I$14:$I$73,$T358))))</f>
        <v>#REF!</v>
      </c>
      <c r="C358" s="690" t="str">
        <f t="array" ref="C358">IF($S358="","",IF($S358="Lớp 5",INDEX('Lớp 5 - Phân công'!$K$14:$K$262,$T358),IF($S358="Lớp 4",INDEX('Lớp 4 - Danh mục'!$J$14:$J$132,$T358),INDEX('Lớp 3 - Công việc chính'!$I$14:$I$73,$T358))))</f>
        <v>#REF!</v>
      </c>
      <c r="D358" s="690" t="str">
        <f t="array" ref="D358">IF($S358="","",IF($S358="Lớp 5",INDEX('Lớp 5 - Phân công'!$J$14:$J$262,$T358),IF($S358="Lớp 4",INDEX('Lớp 4 - Danh mục'!$I$14:$I$132,$T358),"")))</f>
        <v>#REF!</v>
      </c>
      <c r="E358" s="690" t="str">
        <f t="array" ref="E358">IF($S358="","",IF($S358="Lớp 5",INDEX('Lớp 5 - Phân công'!$L$14:$L$262,$T358),IF($S358="Lớp 4",INDEX('Lớp 4 - Danh mục'!$K$14:$K$132,$T358),INDEX('Lớp 3 - Công việc chính'!$J$14:$J$73,$T358))))</f>
        <v>#REF!</v>
      </c>
      <c r="F358" s="690" t="str">
        <f t="array" ref="F358">IF($S358="","",IF($S358="Lớp 5",INDEX('Lớp 5 - Phân công'!$M$14:$M$262,$T358),IF($S358="Lớp 4",INDEX('Lớp 4 - Danh mục'!$L$14:$L$132,$T358),INDEX('Lớp 3 - Công việc chính'!$K$14:$K$73,$T358))))</f>
        <v>#REF!</v>
      </c>
      <c r="G358" s="691" t="str">
        <f t="array" ref="G358">IF($S358="","",IF($S358="Lớp 5",INDEX('Lớp 5 - Phân công'!$N$14:$N$262,$T358),IF($S358="Lớp 4",INDEX('Lớp 4 - Danh mục'!$M$14:$M$132,$T358),INDEX('Lớp 3 - Công việc chính'!$L$14:$L$73,$T358))))</f>
        <v>#REF!</v>
      </c>
      <c r="H358" s="692" t="str">
        <f t="array" ref="H358">IF($S358="","",IF($S358="Lớp 5",INDEX('Lớp 5 - Phân công'!$O$14:$O$262,$T358),IF($S358="Lớp 4",INDEX('Lớp 4 - Danh mục'!$N$14:$N$132,$T358),INDEX('Lớp 3 - Công việc chính'!$M$14:$M$73,$T358))))</f>
        <v>#REF!</v>
      </c>
      <c r="I358" s="692" t="str">
        <f t="array" ref="I358">IF($S358="","",IF($S358="Lớp 5",INDEX('Lớp 5 - Phân công'!$P$14:$P$262,$T358),IF($S358="Lớp 4",INDEX('Lớp 4 - Danh mục'!$O$14:$O$132,$T358),"")))</f>
        <v>#REF!</v>
      </c>
      <c r="J358" s="693" t="str">
        <f t="array" ref="J358">IF($S358="","",IF($S358="Lớp 5",INDEX('Lớp 5 - Phân công'!$Q$14:$Q$262,$T358),""))</f>
        <v>#REF!</v>
      </c>
      <c r="K358" s="690" t="str">
        <f t="array" ref="K358">IF($S358="","",IF($S358="Lớp 5",INDEX('Lớp 5 - Phân công'!$AA$14:$AA$262,$T358),IF($S358="Lớp 4",INDEX('Lớp 4 - Danh mục'!$Y$14:$Y$132,$T358),INDEX('Lớp 3 - Công việc chính'!$U$14:$U$73,$T358))))</f>
        <v>#REF!</v>
      </c>
      <c r="L358" s="691" t="str">
        <f t="array" ref="L358">IF($S358="","",IF($S358="Lớp 5",INDEX('Lớp 5 - Phân công'!$Z$14:$Z$262,$T358),IF($S358="Lớp 4",INDEX('Lớp 4 - Danh mục'!$X$14:$X$132,$T358),INDEX('Lớp 3 - Công việc chính'!$W$14:$W$73,$T358))))</f>
        <v>#REF!</v>
      </c>
      <c r="M358" s="694" t="str">
        <f t="array" ref="M358">IF($S358="","",IF($S358="Lớp 5",INDEX('Lớp 5 - Phân công'!$AD$14:$AD$262,$T358),IF($S358="Lớp 4",INDEX('Lớp 4 - Danh mục'!$AC$14:$AC$132,$T358),INDEX('Lớp 3 - Công việc chính'!$Z$14:$Z$73,$T358))))</f>
        <v>#REF!</v>
      </c>
      <c r="N358" s="695" t="str">
        <f t="array" ref="N358">IF($S358="","",IF($S358="Lớp 5",INDEX('Lớp 5 - Phân công'!$AE$14:$AE$262,$T358),IF($S358="Lớp 4",INDEX('Lớp 4 - Danh mục'!$AD$14:$AD$132,$T358),INDEX('Lớp 3 - Công việc chính'!$AA$14:$AA$73,$T358))))</f>
        <v>#REF!</v>
      </c>
      <c r="O358" s="690" t="str">
        <f t="array" ref="O358">IF($S358="","",IF($S358="Lớp 5",INDEX('Lớp 5 - Phân công'!$AB$14:$AB$262,$T358),IF($S358="Lớp 4",INDEX('Lớp 4 - Danh mục'!$AA$14:$AA$132,$T358),INDEX('Lớp 3 - Công việc chính'!$X$14:$X$73,$T358))))</f>
        <v>#REF!</v>
      </c>
      <c r="P358" s="703" t="str">
        <f t="array" ref="P358">IF($S358="","",IF($S358="Lớp 5",INDEX('Lớp 5 - Phân công'!$AC$14:$AC$262,$T358),IF($S358="Lớp 4",INDEX('Lớp 4 - Danh mục'!$AB$14:$AB$132,$T358),INDEX('Lớp 3 - Công việc chính'!$Y$14:$Y$73,$T358))))</f>
        <v>#REF!</v>
      </c>
      <c r="Q358" s="697" t="str">
        <f t="array" ref="Q358">IF($S358="","",IF($S358="Lớp 5",INDEX('Lớp 5 - Phân công'!$AG$14:$AG$262,$T358),IF($S358="Lớp 4",INDEX('Lớp 4 - Danh mục'!$AF$14:$AF$132,$T358),INDEX('Lớp 3 - Công việc chính'!$AC$14:$AC$73,$T358))))</f>
        <v>#REF!</v>
      </c>
      <c r="R358" s="698" t="str">
        <f t="array" ref="R358">IF($S358="","",IF($S358="Lớp 5",INDEX('Lớp 5 - Phân công'!$X$14:$X$262,$T358),IF($S358="Lớp 4",INDEX('Lớp 4 - Danh mục'!$V$14:$V$132,$T358),INDEX('Lớp 3 - Công việc chính'!$T$14:$T$73,$T358))))</f>
        <v>#REF!</v>
      </c>
      <c r="S358" s="699" t="str">
        <f>IF(ROWS($S$14:S358)&lt;=COUNTIF('Lớp 5 - Phân công'!$I$14:$I$262,"&lt;&gt;"),"Lớp 5",IF(ROWS($S$14:S358)&lt;=COUNTIF('Lớp 5 - Phân công'!$I$14:$I$262,"&lt;&gt;")+SUMPRODUCT(--('Lớp 4 - Danh mục'!$I$14:$I$132&lt;&gt;""),--(COUNTIF('Lớp 5 - Phân công'!$J$14:$J$262,'Lớp 4 - Danh mục'!$I$14:$I$132)=0)),"Lớp 4",IF(ROWS($S$14:S358)&lt;=COUNTIF('Lớp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8" s="699" t="str">
        <f t="array" ref="T358">IF(S358="","",IF(S358="Lớp 5",IF(S357&lt;&gt;"Lớp 5",MATCH("*",'Lớp 5 - Phân công'!$I$14:$I$262,0),T357+MATCH("*",INDEX('Lớp 5 - Phân công'!$I$14:$I$262,T357+1):'Lớp 5 - Phân công'!$I$262,0)),IF(S358="Lớp 4",IF(S357&lt;&gt;"Lớp 4",MATCH(1,INDEX(('Lớp 4 - Danh mục'!$I$14:$I$132&lt;&gt;"")*(COUNTIF('Lớp 5 - Phân công'!$J$14:$J$262,'Lớp 4 - Danh mục'!$I$14:$I$132)=0),0),0),T357+MATCH(1,INDEX((INDEX('Lớp 4 - Danh mục'!$I$14:$I$132,T357+1):'Lớp 4 - Danh mục'!$I$132&lt;&gt;"")*(COUNTIF('Lớp 5 - Phân công'!$J$14:$J$262,INDEX('Lớp 4 - Danh mục'!$I$14:$I$132,T357+1):'Lớp 4 - Danh mục'!$I$132)=0),0),0)),IF(S357&lt;&gt;"Lớp 3",MATCH(1,INDEX(('Lớp 3 - Công việc chính'!$I$14:$I$73&lt;&gt;"")*(COUNTIF('Lớp 4 - Danh mục'!$J$14:$J$132,'Lớp 3 - Công việc chính'!$I$14:$I$73)=0),0),0),T357+MATCH(1,INDEX((INDEX('Lớp 3 - Công việc chính'!$I$14:$I$73,T357+1):'Lớp 3 - Công việc chính'!$I$73&lt;&gt;"")*(COUNTIF('Lớp 4 - Danh mục'!$J$14:$J$132,INDEX('Lớp 3 - Công việc chính'!$I$14:$I$73,T357+1):'Lớp 3 - Công việc chính'!$I$73)=0),0),0)))))</f>
        <v>#REF!</v>
      </c>
      <c r="Z358" s="700" t="str">
        <f t="array" ref="Z358">IF($S358="","",IF($S358="Lớp 5",INDEX('Lớp 5 - Phân công'!$AS$14:$AS$262,$T358),IF($S358="Lớp 4",INDEX('Lớp 4 - Danh mục'!$AR$14:$AR$132,$T358),INDEX('Lớp 3 - Công việc chính'!$AO$14:$AO$73,$T358))))</f>
        <v>#REF!</v>
      </c>
      <c r="AA358" s="701" t="str">
        <f t="array" ref="AA358">IF($S358="","",IF($S358="Lớp 5",INDEX('Lớp 5 - Phân công'!$AT$14:$AT$262,$T358),IF($S358="Lớp 4",INDEX('Lớp 4 - Danh mục'!$AS$14:$AS$132,$T358),INDEX('Lớp 3 - Công việc chính'!$AP$14:$AP$73,$T358))))</f>
        <v>#REF!</v>
      </c>
      <c r="AB358" s="701" t="str">
        <f t="array" ref="AB358">IF($S358="","",IF($S358="Lớp 5",INDEX('Lớp 5 - Phân công'!$AJ$14:$AJ$262,$T358),IF($S358="Lớp 4",INDEX('Lớp 4 - Danh mục'!$AI$14:$AI$132,$T358),INDEX('Lớp 3 - Công việc chính'!$AF$14:$AF$73,$T358))))</f>
        <v>#REF!</v>
      </c>
      <c r="AC358" s="702" t="str">
        <f t="array" ref="AC358">IF($S358="","",IF($S358="Lớp 5",INDEX('Lớp 5 - Phân công'!$AV$14:$AV$262,$T358),IF($S358="Lớp 4",INDEX('Lớp 4 - Danh mục'!$AU$14:$AU$132,$T358),INDEX('Lớp 3 - Công việc chính'!$AR$14:$AR$73,$T358))))</f>
        <v>#REF!</v>
      </c>
    </row>
    <row r="359" ht="15.75" customHeight="1">
      <c r="A359" s="690" t="str">
        <f t="shared" si="1"/>
        <v>#REF!</v>
      </c>
      <c r="B359" s="690" t="str">
        <f t="array" ref="B359">IF($S359="","",IF($S359="Lớp 5",INDEX('Lớp 5 - Phân công'!$I$14:$I$262,$T359),IF($S359="Lớp 4",INDEX('Lớp 4 - Danh mục'!$I$14:$I$132,$T359),INDEX('Lớp 3 - Công việc chính'!$I$14:$I$73,$T359))))</f>
        <v>#REF!</v>
      </c>
      <c r="C359" s="690" t="str">
        <f t="array" ref="C359">IF($S359="","",IF($S359="Lớp 5",INDEX('Lớp 5 - Phân công'!$K$14:$K$262,$T359),IF($S359="Lớp 4",INDEX('Lớp 4 - Danh mục'!$J$14:$J$132,$T359),INDEX('Lớp 3 - Công việc chính'!$I$14:$I$73,$T359))))</f>
        <v>#REF!</v>
      </c>
      <c r="D359" s="690" t="str">
        <f t="array" ref="D359">IF($S359="","",IF($S359="Lớp 5",INDEX('Lớp 5 - Phân công'!$J$14:$J$262,$T359),IF($S359="Lớp 4",INDEX('Lớp 4 - Danh mục'!$I$14:$I$132,$T359),"")))</f>
        <v>#REF!</v>
      </c>
      <c r="E359" s="690" t="str">
        <f t="array" ref="E359">IF($S359="","",IF($S359="Lớp 5",INDEX('Lớp 5 - Phân công'!$L$14:$L$262,$T359),IF($S359="Lớp 4",INDEX('Lớp 4 - Danh mục'!$K$14:$K$132,$T359),INDEX('Lớp 3 - Công việc chính'!$J$14:$J$73,$T359))))</f>
        <v>#REF!</v>
      </c>
      <c r="F359" s="690" t="str">
        <f t="array" ref="F359">IF($S359="","",IF($S359="Lớp 5",INDEX('Lớp 5 - Phân công'!$M$14:$M$262,$T359),IF($S359="Lớp 4",INDEX('Lớp 4 - Danh mục'!$L$14:$L$132,$T359),INDEX('Lớp 3 - Công việc chính'!$K$14:$K$73,$T359))))</f>
        <v>#REF!</v>
      </c>
      <c r="G359" s="691" t="str">
        <f t="array" ref="G359">IF($S359="","",IF($S359="Lớp 5",INDEX('Lớp 5 - Phân công'!$N$14:$N$262,$T359),IF($S359="Lớp 4",INDEX('Lớp 4 - Danh mục'!$M$14:$M$132,$T359),INDEX('Lớp 3 - Công việc chính'!$L$14:$L$73,$T359))))</f>
        <v>#REF!</v>
      </c>
      <c r="H359" s="692" t="str">
        <f t="array" ref="H359">IF($S359="","",IF($S359="Lớp 5",INDEX('Lớp 5 - Phân công'!$O$14:$O$262,$T359),IF($S359="Lớp 4",INDEX('Lớp 4 - Danh mục'!$N$14:$N$132,$T359),INDEX('Lớp 3 - Công việc chính'!$M$14:$M$73,$T359))))</f>
        <v>#REF!</v>
      </c>
      <c r="I359" s="692" t="str">
        <f t="array" ref="I359">IF($S359="","",IF($S359="Lớp 5",INDEX('Lớp 5 - Phân công'!$P$14:$P$262,$T359),IF($S359="Lớp 4",INDEX('Lớp 4 - Danh mục'!$O$14:$O$132,$T359),"")))</f>
        <v>#REF!</v>
      </c>
      <c r="J359" s="693" t="str">
        <f t="array" ref="J359">IF($S359="","",IF($S359="Lớp 5",INDEX('Lớp 5 - Phân công'!$Q$14:$Q$262,$T359),""))</f>
        <v>#REF!</v>
      </c>
      <c r="K359" s="690" t="str">
        <f t="array" ref="K359">IF($S359="","",IF($S359="Lớp 5",INDEX('Lớp 5 - Phân công'!$AA$14:$AA$262,$T359),IF($S359="Lớp 4",INDEX('Lớp 4 - Danh mục'!$Y$14:$Y$132,$T359),INDEX('Lớp 3 - Công việc chính'!$U$14:$U$73,$T359))))</f>
        <v>#REF!</v>
      </c>
      <c r="L359" s="691" t="str">
        <f t="array" ref="L359">IF($S359="","",IF($S359="Lớp 5",INDEX('Lớp 5 - Phân công'!$Z$14:$Z$262,$T359),IF($S359="Lớp 4",INDEX('Lớp 4 - Danh mục'!$X$14:$X$132,$T359),INDEX('Lớp 3 - Công việc chính'!$W$14:$W$73,$T359))))</f>
        <v>#REF!</v>
      </c>
      <c r="M359" s="694" t="str">
        <f t="array" ref="M359">IF($S359="","",IF($S359="Lớp 5",INDEX('Lớp 5 - Phân công'!$AD$14:$AD$262,$T359),IF($S359="Lớp 4",INDEX('Lớp 4 - Danh mục'!$AC$14:$AC$132,$T359),INDEX('Lớp 3 - Công việc chính'!$Z$14:$Z$73,$T359))))</f>
        <v>#REF!</v>
      </c>
      <c r="N359" s="695" t="str">
        <f t="array" ref="N359">IF($S359="","",IF($S359="Lớp 5",INDEX('Lớp 5 - Phân công'!$AE$14:$AE$262,$T359),IF($S359="Lớp 4",INDEX('Lớp 4 - Danh mục'!$AD$14:$AD$132,$T359),INDEX('Lớp 3 - Công việc chính'!$AA$14:$AA$73,$T359))))</f>
        <v>#REF!</v>
      </c>
      <c r="O359" s="690" t="str">
        <f t="array" ref="O359">IF($S359="","",IF($S359="Lớp 5",INDEX('Lớp 5 - Phân công'!$AB$14:$AB$262,$T359),IF($S359="Lớp 4",INDEX('Lớp 4 - Danh mục'!$AA$14:$AA$132,$T359),INDEX('Lớp 3 - Công việc chính'!$X$14:$X$73,$T359))))</f>
        <v>#REF!</v>
      </c>
      <c r="P359" s="703" t="str">
        <f t="array" ref="P359">IF($S359="","",IF($S359="Lớp 5",INDEX('Lớp 5 - Phân công'!$AC$14:$AC$262,$T359),IF($S359="Lớp 4",INDEX('Lớp 4 - Danh mục'!$AB$14:$AB$132,$T359),INDEX('Lớp 3 - Công việc chính'!$Y$14:$Y$73,$T359))))</f>
        <v>#REF!</v>
      </c>
      <c r="Q359" s="697" t="str">
        <f t="array" ref="Q359">IF($S359="","",IF($S359="Lớp 5",INDEX('Lớp 5 - Phân công'!$AG$14:$AG$262,$T359),IF($S359="Lớp 4",INDEX('Lớp 4 - Danh mục'!$AF$14:$AF$132,$T359),INDEX('Lớp 3 - Công việc chính'!$AC$14:$AC$73,$T359))))</f>
        <v>#REF!</v>
      </c>
      <c r="R359" s="698" t="str">
        <f t="array" ref="R359">IF($S359="","",IF($S359="Lớp 5",INDEX('Lớp 5 - Phân công'!$X$14:$X$262,$T359),IF($S359="Lớp 4",INDEX('Lớp 4 - Danh mục'!$V$14:$V$132,$T359),INDEX('Lớp 3 - Công việc chính'!$T$14:$T$73,$T359))))</f>
        <v>#REF!</v>
      </c>
      <c r="S359" s="699" t="str">
        <f>IF(ROWS($S$14:S359)&lt;=COUNTIF('Lớp 5 - Phân công'!$I$14:$I$262,"&lt;&gt;"),"Lớp 5",IF(ROWS($S$14:S359)&lt;=COUNTIF('Lớp 5 - Phân công'!$I$14:$I$262,"&lt;&gt;")+SUMPRODUCT(--('Lớp 4 - Danh mục'!$I$14:$I$132&lt;&gt;""),--(COUNTIF('Lớp 5 - Phân công'!$J$14:$J$262,'Lớp 4 - Danh mục'!$I$14:$I$132)=0)),"Lớp 4",IF(ROWS($S$14:S359)&lt;=COUNTIF('Lớp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59" s="699" t="str">
        <f t="array" ref="T359">IF(S359="","",IF(S359="Lớp 5",IF(S358&lt;&gt;"Lớp 5",MATCH("*",'Lớp 5 - Phân công'!$I$14:$I$262,0),T358+MATCH("*",INDEX('Lớp 5 - Phân công'!$I$14:$I$262,T358+1):'Lớp 5 - Phân công'!$I$262,0)),IF(S359="Lớp 4",IF(S358&lt;&gt;"Lớp 4",MATCH(1,INDEX(('Lớp 4 - Danh mục'!$I$14:$I$132&lt;&gt;"")*(COUNTIF('Lớp 5 - Phân công'!$J$14:$J$262,'Lớp 4 - Danh mục'!$I$14:$I$132)=0),0),0),T358+MATCH(1,INDEX((INDEX('Lớp 4 - Danh mục'!$I$14:$I$132,T358+1):'Lớp 4 - Danh mục'!$I$132&lt;&gt;"")*(COUNTIF('Lớp 5 - Phân công'!$J$14:$J$262,INDEX('Lớp 4 - Danh mục'!$I$14:$I$132,T358+1):'Lớp 4 - Danh mục'!$I$132)=0),0),0)),IF(S358&lt;&gt;"Lớp 3",MATCH(1,INDEX(('Lớp 3 - Công việc chính'!$I$14:$I$73&lt;&gt;"")*(COUNTIF('Lớp 4 - Danh mục'!$J$14:$J$132,'Lớp 3 - Công việc chính'!$I$14:$I$73)=0),0),0),T358+MATCH(1,INDEX((INDEX('Lớp 3 - Công việc chính'!$I$14:$I$73,T358+1):'Lớp 3 - Công việc chính'!$I$73&lt;&gt;"")*(COUNTIF('Lớp 4 - Danh mục'!$J$14:$J$132,INDEX('Lớp 3 - Công việc chính'!$I$14:$I$73,T358+1):'Lớp 3 - Công việc chính'!$I$73)=0),0),0)))))</f>
        <v>#REF!</v>
      </c>
      <c r="Z359" s="700" t="str">
        <f t="array" ref="Z359">IF($S359="","",IF($S359="Lớp 5",INDEX('Lớp 5 - Phân công'!$AS$14:$AS$262,$T359),IF($S359="Lớp 4",INDEX('Lớp 4 - Danh mục'!$AR$14:$AR$132,$T359),INDEX('Lớp 3 - Công việc chính'!$AO$14:$AO$73,$T359))))</f>
        <v>#REF!</v>
      </c>
      <c r="AA359" s="701" t="str">
        <f t="array" ref="AA359">IF($S359="","",IF($S359="Lớp 5",INDEX('Lớp 5 - Phân công'!$AT$14:$AT$262,$T359),IF($S359="Lớp 4",INDEX('Lớp 4 - Danh mục'!$AS$14:$AS$132,$T359),INDEX('Lớp 3 - Công việc chính'!$AP$14:$AP$73,$T359))))</f>
        <v>#REF!</v>
      </c>
      <c r="AB359" s="701" t="str">
        <f t="array" ref="AB359">IF($S359="","",IF($S359="Lớp 5",INDEX('Lớp 5 - Phân công'!$AJ$14:$AJ$262,$T359),IF($S359="Lớp 4",INDEX('Lớp 4 - Danh mục'!$AI$14:$AI$132,$T359),INDEX('Lớp 3 - Công việc chính'!$AF$14:$AF$73,$T359))))</f>
        <v>#REF!</v>
      </c>
      <c r="AC359" s="702" t="str">
        <f t="array" ref="AC359">IF($S359="","",IF($S359="Lớp 5",INDEX('Lớp 5 - Phân công'!$AV$14:$AV$262,$T359),IF($S359="Lớp 4",INDEX('Lớp 4 - Danh mục'!$AU$14:$AU$132,$T359),INDEX('Lớp 3 - Công việc chính'!$AR$14:$AR$73,$T359))))</f>
        <v>#REF!</v>
      </c>
    </row>
    <row r="360" ht="15.75" customHeight="1">
      <c r="A360" s="690" t="str">
        <f t="shared" si="1"/>
        <v>#REF!</v>
      </c>
      <c r="B360" s="690" t="str">
        <f t="array" ref="B360">IF($S360="","",IF($S360="Lớp 5",INDEX('Lớp 5 - Phân công'!$I$14:$I$262,$T360),IF($S360="Lớp 4",INDEX('Lớp 4 - Danh mục'!$I$14:$I$132,$T360),INDEX('Lớp 3 - Công việc chính'!$I$14:$I$73,$T360))))</f>
        <v>#REF!</v>
      </c>
      <c r="C360" s="690" t="str">
        <f t="array" ref="C360">IF($S360="","",IF($S360="Lớp 5",INDEX('Lớp 5 - Phân công'!$K$14:$K$262,$T360),IF($S360="Lớp 4",INDEX('Lớp 4 - Danh mục'!$J$14:$J$132,$T360),INDEX('Lớp 3 - Công việc chính'!$I$14:$I$73,$T360))))</f>
        <v>#REF!</v>
      </c>
      <c r="D360" s="690" t="str">
        <f t="array" ref="D360">IF($S360="","",IF($S360="Lớp 5",INDEX('Lớp 5 - Phân công'!$J$14:$J$262,$T360),IF($S360="Lớp 4",INDEX('Lớp 4 - Danh mục'!$I$14:$I$132,$T360),"")))</f>
        <v>#REF!</v>
      </c>
      <c r="E360" s="690" t="str">
        <f t="array" ref="E360">IF($S360="","",IF($S360="Lớp 5",INDEX('Lớp 5 - Phân công'!$L$14:$L$262,$T360),IF($S360="Lớp 4",INDEX('Lớp 4 - Danh mục'!$K$14:$K$132,$T360),INDEX('Lớp 3 - Công việc chính'!$J$14:$J$73,$T360))))</f>
        <v>#REF!</v>
      </c>
      <c r="F360" s="690" t="str">
        <f t="array" ref="F360">IF($S360="","",IF($S360="Lớp 5",INDEX('Lớp 5 - Phân công'!$M$14:$M$262,$T360),IF($S360="Lớp 4",INDEX('Lớp 4 - Danh mục'!$L$14:$L$132,$T360),INDEX('Lớp 3 - Công việc chính'!$K$14:$K$73,$T360))))</f>
        <v>#REF!</v>
      </c>
      <c r="G360" s="691" t="str">
        <f t="array" ref="G360">IF($S360="","",IF($S360="Lớp 5",INDEX('Lớp 5 - Phân công'!$N$14:$N$262,$T360),IF($S360="Lớp 4",INDEX('Lớp 4 - Danh mục'!$M$14:$M$132,$T360),INDEX('Lớp 3 - Công việc chính'!$L$14:$L$73,$T360))))</f>
        <v>#REF!</v>
      </c>
      <c r="H360" s="692" t="str">
        <f t="array" ref="H360">IF($S360="","",IF($S360="Lớp 5",INDEX('Lớp 5 - Phân công'!$O$14:$O$262,$T360),IF($S360="Lớp 4",INDEX('Lớp 4 - Danh mục'!$N$14:$N$132,$T360),INDEX('Lớp 3 - Công việc chính'!$M$14:$M$73,$T360))))</f>
        <v>#REF!</v>
      </c>
      <c r="I360" s="692" t="str">
        <f t="array" ref="I360">IF($S360="","",IF($S360="Lớp 5",INDEX('Lớp 5 - Phân công'!$P$14:$P$262,$T360),IF($S360="Lớp 4",INDEX('Lớp 4 - Danh mục'!$O$14:$O$132,$T360),"")))</f>
        <v>#REF!</v>
      </c>
      <c r="J360" s="693" t="str">
        <f t="array" ref="J360">IF($S360="","",IF($S360="Lớp 5",INDEX('Lớp 5 - Phân công'!$Q$14:$Q$262,$T360),""))</f>
        <v>#REF!</v>
      </c>
      <c r="K360" s="690" t="str">
        <f t="array" ref="K360">IF($S360="","",IF($S360="Lớp 5",INDEX('Lớp 5 - Phân công'!$AA$14:$AA$262,$T360),IF($S360="Lớp 4",INDEX('Lớp 4 - Danh mục'!$Y$14:$Y$132,$T360),INDEX('Lớp 3 - Công việc chính'!$U$14:$U$73,$T360))))</f>
        <v>#REF!</v>
      </c>
      <c r="L360" s="691" t="str">
        <f t="array" ref="L360">IF($S360="","",IF($S360="Lớp 5",INDEX('Lớp 5 - Phân công'!$Z$14:$Z$262,$T360),IF($S360="Lớp 4",INDEX('Lớp 4 - Danh mục'!$X$14:$X$132,$T360),INDEX('Lớp 3 - Công việc chính'!$W$14:$W$73,$T360))))</f>
        <v>#REF!</v>
      </c>
      <c r="M360" s="694" t="str">
        <f t="array" ref="M360">IF($S360="","",IF($S360="Lớp 5",INDEX('Lớp 5 - Phân công'!$AD$14:$AD$262,$T360),IF($S360="Lớp 4",INDEX('Lớp 4 - Danh mục'!$AC$14:$AC$132,$T360),INDEX('Lớp 3 - Công việc chính'!$Z$14:$Z$73,$T360))))</f>
        <v>#REF!</v>
      </c>
      <c r="N360" s="695" t="str">
        <f t="array" ref="N360">IF($S360="","",IF($S360="Lớp 5",INDEX('Lớp 5 - Phân công'!$AE$14:$AE$262,$T360),IF($S360="Lớp 4",INDEX('Lớp 4 - Danh mục'!$AD$14:$AD$132,$T360),INDEX('Lớp 3 - Công việc chính'!$AA$14:$AA$73,$T360))))</f>
        <v>#REF!</v>
      </c>
      <c r="O360" s="690" t="str">
        <f t="array" ref="O360">IF($S360="","",IF($S360="Lớp 5",INDEX('Lớp 5 - Phân công'!$AB$14:$AB$262,$T360),IF($S360="Lớp 4",INDEX('Lớp 4 - Danh mục'!$AA$14:$AA$132,$T360),INDEX('Lớp 3 - Công việc chính'!$X$14:$X$73,$T360))))</f>
        <v>#REF!</v>
      </c>
      <c r="P360" s="703" t="str">
        <f t="array" ref="P360">IF($S360="","",IF($S360="Lớp 5",INDEX('Lớp 5 - Phân công'!$AC$14:$AC$262,$T360),IF($S360="Lớp 4",INDEX('Lớp 4 - Danh mục'!$AB$14:$AB$132,$T360),INDEX('Lớp 3 - Công việc chính'!$Y$14:$Y$73,$T360))))</f>
        <v>#REF!</v>
      </c>
      <c r="Q360" s="697" t="str">
        <f t="array" ref="Q360">IF($S360="","",IF($S360="Lớp 5",INDEX('Lớp 5 - Phân công'!$AG$14:$AG$262,$T360),IF($S360="Lớp 4",INDEX('Lớp 4 - Danh mục'!$AF$14:$AF$132,$T360),INDEX('Lớp 3 - Công việc chính'!$AC$14:$AC$73,$T360))))</f>
        <v>#REF!</v>
      </c>
      <c r="R360" s="698" t="str">
        <f t="array" ref="R360">IF($S360="","",IF($S360="Lớp 5",INDEX('Lớp 5 - Phân công'!$X$14:$X$262,$T360),IF($S360="Lớp 4",INDEX('Lớp 4 - Danh mục'!$V$14:$V$132,$T360),INDEX('Lớp 3 - Công việc chính'!$T$14:$T$73,$T360))))</f>
        <v>#REF!</v>
      </c>
      <c r="S360" s="699" t="str">
        <f>IF(ROWS($S$14:S360)&lt;=COUNTIF('Lớp 5 - Phân công'!$I$14:$I$262,"&lt;&gt;"),"Lớp 5",IF(ROWS($S$14:S360)&lt;=COUNTIF('Lớp 5 - Phân công'!$I$14:$I$262,"&lt;&gt;")+SUMPRODUCT(--('Lớp 4 - Danh mục'!$I$14:$I$132&lt;&gt;""),--(COUNTIF('Lớp 5 - Phân công'!$J$14:$J$262,'Lớp 4 - Danh mục'!$I$14:$I$132)=0)),"Lớp 4",IF(ROWS($S$14:S360)&lt;=COUNTIF('Lớp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0" s="699" t="str">
        <f t="array" ref="T360">IF(S360="","",IF(S360="Lớp 5",IF(S359&lt;&gt;"Lớp 5",MATCH("*",'Lớp 5 - Phân công'!$I$14:$I$262,0),T359+MATCH("*",INDEX('Lớp 5 - Phân công'!$I$14:$I$262,T359+1):'Lớp 5 - Phân công'!$I$262,0)),IF(S360="Lớp 4",IF(S359&lt;&gt;"Lớp 4",MATCH(1,INDEX(('Lớp 4 - Danh mục'!$I$14:$I$132&lt;&gt;"")*(COUNTIF('Lớp 5 - Phân công'!$J$14:$J$262,'Lớp 4 - Danh mục'!$I$14:$I$132)=0),0),0),T359+MATCH(1,INDEX((INDEX('Lớp 4 - Danh mục'!$I$14:$I$132,T359+1):'Lớp 4 - Danh mục'!$I$132&lt;&gt;"")*(COUNTIF('Lớp 5 - Phân công'!$J$14:$J$262,INDEX('Lớp 4 - Danh mục'!$I$14:$I$132,T359+1):'Lớp 4 - Danh mục'!$I$132)=0),0),0)),IF(S359&lt;&gt;"Lớp 3",MATCH(1,INDEX(('Lớp 3 - Công việc chính'!$I$14:$I$73&lt;&gt;"")*(COUNTIF('Lớp 4 - Danh mục'!$J$14:$J$132,'Lớp 3 - Công việc chính'!$I$14:$I$73)=0),0),0),T359+MATCH(1,INDEX((INDEX('Lớp 3 - Công việc chính'!$I$14:$I$73,T359+1):'Lớp 3 - Công việc chính'!$I$73&lt;&gt;"")*(COUNTIF('Lớp 4 - Danh mục'!$J$14:$J$132,INDEX('Lớp 3 - Công việc chính'!$I$14:$I$73,T359+1):'Lớp 3 - Công việc chính'!$I$73)=0),0),0)))))</f>
        <v>#REF!</v>
      </c>
      <c r="Z360" s="700" t="str">
        <f t="array" ref="Z360">IF($S360="","",IF($S360="Lớp 5",INDEX('Lớp 5 - Phân công'!$AS$14:$AS$262,$T360),IF($S360="Lớp 4",INDEX('Lớp 4 - Danh mục'!$AR$14:$AR$132,$T360),INDEX('Lớp 3 - Công việc chính'!$AO$14:$AO$73,$T360))))</f>
        <v>#REF!</v>
      </c>
      <c r="AA360" s="701" t="str">
        <f t="array" ref="AA360">IF($S360="","",IF($S360="Lớp 5",INDEX('Lớp 5 - Phân công'!$AT$14:$AT$262,$T360),IF($S360="Lớp 4",INDEX('Lớp 4 - Danh mục'!$AS$14:$AS$132,$T360),INDEX('Lớp 3 - Công việc chính'!$AP$14:$AP$73,$T360))))</f>
        <v>#REF!</v>
      </c>
      <c r="AB360" s="701" t="str">
        <f t="array" ref="AB360">IF($S360="","",IF($S360="Lớp 5",INDEX('Lớp 5 - Phân công'!$AJ$14:$AJ$262,$T360),IF($S360="Lớp 4",INDEX('Lớp 4 - Danh mục'!$AI$14:$AI$132,$T360),INDEX('Lớp 3 - Công việc chính'!$AF$14:$AF$73,$T360))))</f>
        <v>#REF!</v>
      </c>
      <c r="AC360" s="702" t="str">
        <f t="array" ref="AC360">IF($S360="","",IF($S360="Lớp 5",INDEX('Lớp 5 - Phân công'!$AV$14:$AV$262,$T360),IF($S360="Lớp 4",INDEX('Lớp 4 - Danh mục'!$AU$14:$AU$132,$T360),INDEX('Lớp 3 - Công việc chính'!$AR$14:$AR$73,$T360))))</f>
        <v>#REF!</v>
      </c>
    </row>
    <row r="361" ht="15.75" customHeight="1">
      <c r="A361" s="690" t="str">
        <f t="shared" si="1"/>
        <v>#REF!</v>
      </c>
      <c r="B361" s="690" t="str">
        <f t="array" ref="B361">IF($S361="","",IF($S361="Lớp 5",INDEX('Lớp 5 - Phân công'!$I$14:$I$262,$T361),IF($S361="Lớp 4",INDEX('Lớp 4 - Danh mục'!$I$14:$I$132,$T361),INDEX('Lớp 3 - Công việc chính'!$I$14:$I$73,$T361))))</f>
        <v>#REF!</v>
      </c>
      <c r="C361" s="690" t="str">
        <f t="array" ref="C361">IF($S361="","",IF($S361="Lớp 5",INDEX('Lớp 5 - Phân công'!$K$14:$K$262,$T361),IF($S361="Lớp 4",INDEX('Lớp 4 - Danh mục'!$J$14:$J$132,$T361),INDEX('Lớp 3 - Công việc chính'!$I$14:$I$73,$T361))))</f>
        <v>#REF!</v>
      </c>
      <c r="D361" s="690" t="str">
        <f t="array" ref="D361">IF($S361="","",IF($S361="Lớp 5",INDEX('Lớp 5 - Phân công'!$J$14:$J$262,$T361),IF($S361="Lớp 4",INDEX('Lớp 4 - Danh mục'!$I$14:$I$132,$T361),"")))</f>
        <v>#REF!</v>
      </c>
      <c r="E361" s="690" t="str">
        <f t="array" ref="E361">IF($S361="","",IF($S361="Lớp 5",INDEX('Lớp 5 - Phân công'!$L$14:$L$262,$T361),IF($S361="Lớp 4",INDEX('Lớp 4 - Danh mục'!$K$14:$K$132,$T361),INDEX('Lớp 3 - Công việc chính'!$J$14:$J$73,$T361))))</f>
        <v>#REF!</v>
      </c>
      <c r="F361" s="690" t="str">
        <f t="array" ref="F361">IF($S361="","",IF($S361="Lớp 5",INDEX('Lớp 5 - Phân công'!$M$14:$M$262,$T361),IF($S361="Lớp 4",INDEX('Lớp 4 - Danh mục'!$L$14:$L$132,$T361),INDEX('Lớp 3 - Công việc chính'!$K$14:$K$73,$T361))))</f>
        <v>#REF!</v>
      </c>
      <c r="G361" s="691" t="str">
        <f t="array" ref="G361">IF($S361="","",IF($S361="Lớp 5",INDEX('Lớp 5 - Phân công'!$N$14:$N$262,$T361),IF($S361="Lớp 4",INDEX('Lớp 4 - Danh mục'!$M$14:$M$132,$T361),INDEX('Lớp 3 - Công việc chính'!$L$14:$L$73,$T361))))</f>
        <v>#REF!</v>
      </c>
      <c r="H361" s="692" t="str">
        <f t="array" ref="H361">IF($S361="","",IF($S361="Lớp 5",INDEX('Lớp 5 - Phân công'!$O$14:$O$262,$T361),IF($S361="Lớp 4",INDEX('Lớp 4 - Danh mục'!$N$14:$N$132,$T361),INDEX('Lớp 3 - Công việc chính'!$M$14:$M$73,$T361))))</f>
        <v>#REF!</v>
      </c>
      <c r="I361" s="692" t="str">
        <f t="array" ref="I361">IF($S361="","",IF($S361="Lớp 5",INDEX('Lớp 5 - Phân công'!$P$14:$P$262,$T361),IF($S361="Lớp 4",INDEX('Lớp 4 - Danh mục'!$O$14:$O$132,$T361),"")))</f>
        <v>#REF!</v>
      </c>
      <c r="J361" s="693" t="str">
        <f t="array" ref="J361">IF($S361="","",IF($S361="Lớp 5",INDEX('Lớp 5 - Phân công'!$Q$14:$Q$262,$T361),""))</f>
        <v>#REF!</v>
      </c>
      <c r="K361" s="690" t="str">
        <f t="array" ref="K361">IF($S361="","",IF($S361="Lớp 5",INDEX('Lớp 5 - Phân công'!$AA$14:$AA$262,$T361),IF($S361="Lớp 4",INDEX('Lớp 4 - Danh mục'!$Y$14:$Y$132,$T361),INDEX('Lớp 3 - Công việc chính'!$U$14:$U$73,$T361))))</f>
        <v>#REF!</v>
      </c>
      <c r="L361" s="691" t="str">
        <f t="array" ref="L361">IF($S361="","",IF($S361="Lớp 5",INDEX('Lớp 5 - Phân công'!$Z$14:$Z$262,$T361),IF($S361="Lớp 4",INDEX('Lớp 4 - Danh mục'!$X$14:$X$132,$T361),INDEX('Lớp 3 - Công việc chính'!$W$14:$W$73,$T361))))</f>
        <v>#REF!</v>
      </c>
      <c r="M361" s="694" t="str">
        <f t="array" ref="M361">IF($S361="","",IF($S361="Lớp 5",INDEX('Lớp 5 - Phân công'!$AD$14:$AD$262,$T361),IF($S361="Lớp 4",INDEX('Lớp 4 - Danh mục'!$AC$14:$AC$132,$T361),INDEX('Lớp 3 - Công việc chính'!$Z$14:$Z$73,$T361))))</f>
        <v>#REF!</v>
      </c>
      <c r="N361" s="695" t="str">
        <f t="array" ref="N361">IF($S361="","",IF($S361="Lớp 5",INDEX('Lớp 5 - Phân công'!$AE$14:$AE$262,$T361),IF($S361="Lớp 4",INDEX('Lớp 4 - Danh mục'!$AD$14:$AD$132,$T361),INDEX('Lớp 3 - Công việc chính'!$AA$14:$AA$73,$T361))))</f>
        <v>#REF!</v>
      </c>
      <c r="O361" s="690" t="str">
        <f t="array" ref="O361">IF($S361="","",IF($S361="Lớp 5",INDEX('Lớp 5 - Phân công'!$AB$14:$AB$262,$T361),IF($S361="Lớp 4",INDEX('Lớp 4 - Danh mục'!$AA$14:$AA$132,$T361),INDEX('Lớp 3 - Công việc chính'!$X$14:$X$73,$T361))))</f>
        <v>#REF!</v>
      </c>
      <c r="P361" s="703" t="str">
        <f t="array" ref="P361">IF($S361="","",IF($S361="Lớp 5",INDEX('Lớp 5 - Phân công'!$AC$14:$AC$262,$T361),IF($S361="Lớp 4",INDEX('Lớp 4 - Danh mục'!$AB$14:$AB$132,$T361),INDEX('Lớp 3 - Công việc chính'!$Y$14:$Y$73,$T361))))</f>
        <v>#REF!</v>
      </c>
      <c r="Q361" s="697" t="str">
        <f t="array" ref="Q361">IF($S361="","",IF($S361="Lớp 5",INDEX('Lớp 5 - Phân công'!$AG$14:$AG$262,$T361),IF($S361="Lớp 4",INDEX('Lớp 4 - Danh mục'!$AF$14:$AF$132,$T361),INDEX('Lớp 3 - Công việc chính'!$AC$14:$AC$73,$T361))))</f>
        <v>#REF!</v>
      </c>
      <c r="R361" s="698" t="str">
        <f t="array" ref="R361">IF($S361="","",IF($S361="Lớp 5",INDEX('Lớp 5 - Phân công'!$X$14:$X$262,$T361),IF($S361="Lớp 4",INDEX('Lớp 4 - Danh mục'!$V$14:$V$132,$T361),INDEX('Lớp 3 - Công việc chính'!$T$14:$T$73,$T361))))</f>
        <v>#REF!</v>
      </c>
      <c r="S361" s="699" t="str">
        <f>IF(ROWS($S$14:S361)&lt;=COUNTIF('Lớp 5 - Phân công'!$I$14:$I$262,"&lt;&gt;"),"Lớp 5",IF(ROWS($S$14:S361)&lt;=COUNTIF('Lớp 5 - Phân công'!$I$14:$I$262,"&lt;&gt;")+SUMPRODUCT(--('Lớp 4 - Danh mục'!$I$14:$I$132&lt;&gt;""),--(COUNTIF('Lớp 5 - Phân công'!$J$14:$J$262,'Lớp 4 - Danh mục'!$I$14:$I$132)=0)),"Lớp 4",IF(ROWS($S$14:S361)&lt;=COUNTIF('Lớp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1" s="699" t="str">
        <f t="array" ref="T361">IF(S361="","",IF(S361="Lớp 5",IF(S360&lt;&gt;"Lớp 5",MATCH("*",'Lớp 5 - Phân công'!$I$14:$I$262,0),T360+MATCH("*",INDEX('Lớp 5 - Phân công'!$I$14:$I$262,T360+1):'Lớp 5 - Phân công'!$I$262,0)),IF(S361="Lớp 4",IF(S360&lt;&gt;"Lớp 4",MATCH(1,INDEX(('Lớp 4 - Danh mục'!$I$14:$I$132&lt;&gt;"")*(COUNTIF('Lớp 5 - Phân công'!$J$14:$J$262,'Lớp 4 - Danh mục'!$I$14:$I$132)=0),0),0),T360+MATCH(1,INDEX((INDEX('Lớp 4 - Danh mục'!$I$14:$I$132,T360+1):'Lớp 4 - Danh mục'!$I$132&lt;&gt;"")*(COUNTIF('Lớp 5 - Phân công'!$J$14:$J$262,INDEX('Lớp 4 - Danh mục'!$I$14:$I$132,T360+1):'Lớp 4 - Danh mục'!$I$132)=0),0),0)),IF(S360&lt;&gt;"Lớp 3",MATCH(1,INDEX(('Lớp 3 - Công việc chính'!$I$14:$I$73&lt;&gt;"")*(COUNTIF('Lớp 4 - Danh mục'!$J$14:$J$132,'Lớp 3 - Công việc chính'!$I$14:$I$73)=0),0),0),T360+MATCH(1,INDEX((INDEX('Lớp 3 - Công việc chính'!$I$14:$I$73,T360+1):'Lớp 3 - Công việc chính'!$I$73&lt;&gt;"")*(COUNTIF('Lớp 4 - Danh mục'!$J$14:$J$132,INDEX('Lớp 3 - Công việc chính'!$I$14:$I$73,T360+1):'Lớp 3 - Công việc chính'!$I$73)=0),0),0)))))</f>
        <v>#REF!</v>
      </c>
      <c r="Z361" s="700" t="str">
        <f t="array" ref="Z361">IF($S361="","",IF($S361="Lớp 5",INDEX('Lớp 5 - Phân công'!$AS$14:$AS$262,$T361),IF($S361="Lớp 4",INDEX('Lớp 4 - Danh mục'!$AR$14:$AR$132,$T361),INDEX('Lớp 3 - Công việc chính'!$AO$14:$AO$73,$T361))))</f>
        <v>#REF!</v>
      </c>
      <c r="AA361" s="701" t="str">
        <f t="array" ref="AA361">IF($S361="","",IF($S361="Lớp 5",INDEX('Lớp 5 - Phân công'!$AT$14:$AT$262,$T361),IF($S361="Lớp 4",INDEX('Lớp 4 - Danh mục'!$AS$14:$AS$132,$T361),INDEX('Lớp 3 - Công việc chính'!$AP$14:$AP$73,$T361))))</f>
        <v>#REF!</v>
      </c>
      <c r="AB361" s="701" t="str">
        <f t="array" ref="AB361">IF($S361="","",IF($S361="Lớp 5",INDEX('Lớp 5 - Phân công'!$AJ$14:$AJ$262,$T361),IF($S361="Lớp 4",INDEX('Lớp 4 - Danh mục'!$AI$14:$AI$132,$T361),INDEX('Lớp 3 - Công việc chính'!$AF$14:$AF$73,$T361))))</f>
        <v>#REF!</v>
      </c>
      <c r="AC361" s="702" t="str">
        <f t="array" ref="AC361">IF($S361="","",IF($S361="Lớp 5",INDEX('Lớp 5 - Phân công'!$AV$14:$AV$262,$T361),IF($S361="Lớp 4",INDEX('Lớp 4 - Danh mục'!$AU$14:$AU$132,$T361),INDEX('Lớp 3 - Công việc chính'!$AR$14:$AR$73,$T361))))</f>
        <v>#REF!</v>
      </c>
    </row>
    <row r="362" ht="15.75" customHeight="1">
      <c r="A362" s="690" t="str">
        <f t="shared" si="1"/>
        <v>#REF!</v>
      </c>
      <c r="B362" s="690" t="str">
        <f t="array" ref="B362">IF($S362="","",IF($S362="Lớp 5",INDEX('Lớp 5 - Phân công'!$I$14:$I$262,$T362),IF($S362="Lớp 4",INDEX('Lớp 4 - Danh mục'!$I$14:$I$132,$T362),INDEX('Lớp 3 - Công việc chính'!$I$14:$I$73,$T362))))</f>
        <v>#REF!</v>
      </c>
      <c r="C362" s="690" t="str">
        <f t="array" ref="C362">IF($S362="","",IF($S362="Lớp 5",INDEX('Lớp 5 - Phân công'!$K$14:$K$262,$T362),IF($S362="Lớp 4",INDEX('Lớp 4 - Danh mục'!$J$14:$J$132,$T362),INDEX('Lớp 3 - Công việc chính'!$I$14:$I$73,$T362))))</f>
        <v>#REF!</v>
      </c>
      <c r="D362" s="690" t="str">
        <f t="array" ref="D362">IF($S362="","",IF($S362="Lớp 5",INDEX('Lớp 5 - Phân công'!$J$14:$J$262,$T362),IF($S362="Lớp 4",INDEX('Lớp 4 - Danh mục'!$I$14:$I$132,$T362),"")))</f>
        <v>#REF!</v>
      </c>
      <c r="E362" s="690" t="str">
        <f t="array" ref="E362">IF($S362="","",IF($S362="Lớp 5",INDEX('Lớp 5 - Phân công'!$L$14:$L$262,$T362),IF($S362="Lớp 4",INDEX('Lớp 4 - Danh mục'!$K$14:$K$132,$T362),INDEX('Lớp 3 - Công việc chính'!$J$14:$J$73,$T362))))</f>
        <v>#REF!</v>
      </c>
      <c r="F362" s="690" t="str">
        <f t="array" ref="F362">IF($S362="","",IF($S362="Lớp 5",INDEX('Lớp 5 - Phân công'!$M$14:$M$262,$T362),IF($S362="Lớp 4",INDEX('Lớp 4 - Danh mục'!$L$14:$L$132,$T362),INDEX('Lớp 3 - Công việc chính'!$K$14:$K$73,$T362))))</f>
        <v>#REF!</v>
      </c>
      <c r="G362" s="691" t="str">
        <f t="array" ref="G362">IF($S362="","",IF($S362="Lớp 5",INDEX('Lớp 5 - Phân công'!$N$14:$N$262,$T362),IF($S362="Lớp 4",INDEX('Lớp 4 - Danh mục'!$M$14:$M$132,$T362),INDEX('Lớp 3 - Công việc chính'!$L$14:$L$73,$T362))))</f>
        <v>#REF!</v>
      </c>
      <c r="H362" s="692" t="str">
        <f t="array" ref="H362">IF($S362="","",IF($S362="Lớp 5",INDEX('Lớp 5 - Phân công'!$O$14:$O$262,$T362),IF($S362="Lớp 4",INDEX('Lớp 4 - Danh mục'!$N$14:$N$132,$T362),INDEX('Lớp 3 - Công việc chính'!$M$14:$M$73,$T362))))</f>
        <v>#REF!</v>
      </c>
      <c r="I362" s="692" t="str">
        <f t="array" ref="I362">IF($S362="","",IF($S362="Lớp 5",INDEX('Lớp 5 - Phân công'!$P$14:$P$262,$T362),IF($S362="Lớp 4",INDEX('Lớp 4 - Danh mục'!$O$14:$O$132,$T362),"")))</f>
        <v>#REF!</v>
      </c>
      <c r="J362" s="693" t="str">
        <f t="array" ref="J362">IF($S362="","",IF($S362="Lớp 5",INDEX('Lớp 5 - Phân công'!$Q$14:$Q$262,$T362),""))</f>
        <v>#REF!</v>
      </c>
      <c r="K362" s="690" t="str">
        <f t="array" ref="K362">IF($S362="","",IF($S362="Lớp 5",INDEX('Lớp 5 - Phân công'!$AA$14:$AA$262,$T362),IF($S362="Lớp 4",INDEX('Lớp 4 - Danh mục'!$Y$14:$Y$132,$T362),INDEX('Lớp 3 - Công việc chính'!$U$14:$U$73,$T362))))</f>
        <v>#REF!</v>
      </c>
      <c r="L362" s="691" t="str">
        <f t="array" ref="L362">IF($S362="","",IF($S362="Lớp 5",INDEX('Lớp 5 - Phân công'!$Z$14:$Z$262,$T362),IF($S362="Lớp 4",INDEX('Lớp 4 - Danh mục'!$X$14:$X$132,$T362),INDEX('Lớp 3 - Công việc chính'!$W$14:$W$73,$T362))))</f>
        <v>#REF!</v>
      </c>
      <c r="M362" s="694" t="str">
        <f t="array" ref="M362">IF($S362="","",IF($S362="Lớp 5",INDEX('Lớp 5 - Phân công'!$AD$14:$AD$262,$T362),IF($S362="Lớp 4",INDEX('Lớp 4 - Danh mục'!$AC$14:$AC$132,$T362),INDEX('Lớp 3 - Công việc chính'!$Z$14:$Z$73,$T362))))</f>
        <v>#REF!</v>
      </c>
      <c r="N362" s="695" t="str">
        <f t="array" ref="N362">IF($S362="","",IF($S362="Lớp 5",INDEX('Lớp 5 - Phân công'!$AE$14:$AE$262,$T362),IF($S362="Lớp 4",INDEX('Lớp 4 - Danh mục'!$AD$14:$AD$132,$T362),INDEX('Lớp 3 - Công việc chính'!$AA$14:$AA$73,$T362))))</f>
        <v>#REF!</v>
      </c>
      <c r="O362" s="690" t="str">
        <f t="array" ref="O362">IF($S362="","",IF($S362="Lớp 5",INDEX('Lớp 5 - Phân công'!$AB$14:$AB$262,$T362),IF($S362="Lớp 4",INDEX('Lớp 4 - Danh mục'!$AA$14:$AA$132,$T362),INDEX('Lớp 3 - Công việc chính'!$X$14:$X$73,$T362))))</f>
        <v>#REF!</v>
      </c>
      <c r="P362" s="703" t="str">
        <f t="array" ref="P362">IF($S362="","",IF($S362="Lớp 5",INDEX('Lớp 5 - Phân công'!$AC$14:$AC$262,$T362),IF($S362="Lớp 4",INDEX('Lớp 4 - Danh mục'!$AB$14:$AB$132,$T362),INDEX('Lớp 3 - Công việc chính'!$Y$14:$Y$73,$T362))))</f>
        <v>#REF!</v>
      </c>
      <c r="Q362" s="697" t="str">
        <f t="array" ref="Q362">IF($S362="","",IF($S362="Lớp 5",INDEX('Lớp 5 - Phân công'!$AG$14:$AG$262,$T362),IF($S362="Lớp 4",INDEX('Lớp 4 - Danh mục'!$AF$14:$AF$132,$T362),INDEX('Lớp 3 - Công việc chính'!$AC$14:$AC$73,$T362))))</f>
        <v>#REF!</v>
      </c>
      <c r="R362" s="698" t="str">
        <f t="array" ref="R362">IF($S362="","",IF($S362="Lớp 5",INDEX('Lớp 5 - Phân công'!$X$14:$X$262,$T362),IF($S362="Lớp 4",INDEX('Lớp 4 - Danh mục'!$V$14:$V$132,$T362),INDEX('Lớp 3 - Công việc chính'!$T$14:$T$73,$T362))))</f>
        <v>#REF!</v>
      </c>
      <c r="S362" s="699" t="str">
        <f>IF(ROWS($S$14:S362)&lt;=COUNTIF('Lớp 5 - Phân công'!$I$14:$I$262,"&lt;&gt;"),"Lớp 5",IF(ROWS($S$14:S362)&lt;=COUNTIF('Lớp 5 - Phân công'!$I$14:$I$262,"&lt;&gt;")+SUMPRODUCT(--('Lớp 4 - Danh mục'!$I$14:$I$132&lt;&gt;""),--(COUNTIF('Lớp 5 - Phân công'!$J$14:$J$262,'Lớp 4 - Danh mục'!$I$14:$I$132)=0)),"Lớp 4",IF(ROWS($S$14:S362)&lt;=COUNTIF('Lớp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2" s="699" t="str">
        <f t="array" ref="T362">IF(S362="","",IF(S362="Lớp 5",IF(S361&lt;&gt;"Lớp 5",MATCH("*",'Lớp 5 - Phân công'!$I$14:$I$262,0),T361+MATCH("*",INDEX('Lớp 5 - Phân công'!$I$14:$I$262,T361+1):'Lớp 5 - Phân công'!$I$262,0)),IF(S362="Lớp 4",IF(S361&lt;&gt;"Lớp 4",MATCH(1,INDEX(('Lớp 4 - Danh mục'!$I$14:$I$132&lt;&gt;"")*(COUNTIF('Lớp 5 - Phân công'!$J$14:$J$262,'Lớp 4 - Danh mục'!$I$14:$I$132)=0),0),0),T361+MATCH(1,INDEX((INDEX('Lớp 4 - Danh mục'!$I$14:$I$132,T361+1):'Lớp 4 - Danh mục'!$I$132&lt;&gt;"")*(COUNTIF('Lớp 5 - Phân công'!$J$14:$J$262,INDEX('Lớp 4 - Danh mục'!$I$14:$I$132,T361+1):'Lớp 4 - Danh mục'!$I$132)=0),0),0)),IF(S361&lt;&gt;"Lớp 3",MATCH(1,INDEX(('Lớp 3 - Công việc chính'!$I$14:$I$73&lt;&gt;"")*(COUNTIF('Lớp 4 - Danh mục'!$J$14:$J$132,'Lớp 3 - Công việc chính'!$I$14:$I$73)=0),0),0),T361+MATCH(1,INDEX((INDEX('Lớp 3 - Công việc chính'!$I$14:$I$73,T361+1):'Lớp 3 - Công việc chính'!$I$73&lt;&gt;"")*(COUNTIF('Lớp 4 - Danh mục'!$J$14:$J$132,INDEX('Lớp 3 - Công việc chính'!$I$14:$I$73,T361+1):'Lớp 3 - Công việc chính'!$I$73)=0),0),0)))))</f>
        <v>#REF!</v>
      </c>
      <c r="Z362" s="700" t="str">
        <f t="array" ref="Z362">IF($S362="","",IF($S362="Lớp 5",INDEX('Lớp 5 - Phân công'!$AS$14:$AS$262,$T362),IF($S362="Lớp 4",INDEX('Lớp 4 - Danh mục'!$AR$14:$AR$132,$T362),INDEX('Lớp 3 - Công việc chính'!$AO$14:$AO$73,$T362))))</f>
        <v>#REF!</v>
      </c>
      <c r="AA362" s="701" t="str">
        <f t="array" ref="AA362">IF($S362="","",IF($S362="Lớp 5",INDEX('Lớp 5 - Phân công'!$AT$14:$AT$262,$T362),IF($S362="Lớp 4",INDEX('Lớp 4 - Danh mục'!$AS$14:$AS$132,$T362),INDEX('Lớp 3 - Công việc chính'!$AP$14:$AP$73,$T362))))</f>
        <v>#REF!</v>
      </c>
      <c r="AB362" s="701" t="str">
        <f t="array" ref="AB362">IF($S362="","",IF($S362="Lớp 5",INDEX('Lớp 5 - Phân công'!$AJ$14:$AJ$262,$T362),IF($S362="Lớp 4",INDEX('Lớp 4 - Danh mục'!$AI$14:$AI$132,$T362),INDEX('Lớp 3 - Công việc chính'!$AF$14:$AF$73,$T362))))</f>
        <v>#REF!</v>
      </c>
      <c r="AC362" s="702" t="str">
        <f t="array" ref="AC362">IF($S362="","",IF($S362="Lớp 5",INDEX('Lớp 5 - Phân công'!$AV$14:$AV$262,$T362),IF($S362="Lớp 4",INDEX('Lớp 4 - Danh mục'!$AU$14:$AU$132,$T362),INDEX('Lớp 3 - Công việc chính'!$AR$14:$AR$73,$T362))))</f>
        <v>#REF!</v>
      </c>
    </row>
    <row r="363" ht="15.75" customHeight="1">
      <c r="A363" s="690" t="str">
        <f t="shared" si="1"/>
        <v>#REF!</v>
      </c>
      <c r="B363" s="690" t="str">
        <f t="array" ref="B363">IF($S363="","",IF($S363="Lớp 5",INDEX('Lớp 5 - Phân công'!$I$14:$I$262,$T363),IF($S363="Lớp 4",INDEX('Lớp 4 - Danh mục'!$I$14:$I$132,$T363),INDEX('Lớp 3 - Công việc chính'!$I$14:$I$73,$T363))))</f>
        <v>#REF!</v>
      </c>
      <c r="C363" s="690" t="str">
        <f t="array" ref="C363">IF($S363="","",IF($S363="Lớp 5",INDEX('Lớp 5 - Phân công'!$K$14:$K$262,$T363),IF($S363="Lớp 4",INDEX('Lớp 4 - Danh mục'!$J$14:$J$132,$T363),INDEX('Lớp 3 - Công việc chính'!$I$14:$I$73,$T363))))</f>
        <v>#REF!</v>
      </c>
      <c r="D363" s="690" t="str">
        <f t="array" ref="D363">IF($S363="","",IF($S363="Lớp 5",INDEX('Lớp 5 - Phân công'!$J$14:$J$262,$T363),IF($S363="Lớp 4",INDEX('Lớp 4 - Danh mục'!$I$14:$I$132,$T363),"")))</f>
        <v>#REF!</v>
      </c>
      <c r="E363" s="690" t="str">
        <f t="array" ref="E363">IF($S363="","",IF($S363="Lớp 5",INDEX('Lớp 5 - Phân công'!$L$14:$L$262,$T363),IF($S363="Lớp 4",INDEX('Lớp 4 - Danh mục'!$K$14:$K$132,$T363),INDEX('Lớp 3 - Công việc chính'!$J$14:$J$73,$T363))))</f>
        <v>#REF!</v>
      </c>
      <c r="F363" s="690" t="str">
        <f t="array" ref="F363">IF($S363="","",IF($S363="Lớp 5",INDEX('Lớp 5 - Phân công'!$M$14:$M$262,$T363),IF($S363="Lớp 4",INDEX('Lớp 4 - Danh mục'!$L$14:$L$132,$T363),INDEX('Lớp 3 - Công việc chính'!$K$14:$K$73,$T363))))</f>
        <v>#REF!</v>
      </c>
      <c r="G363" s="691" t="str">
        <f t="array" ref="G363">IF($S363="","",IF($S363="Lớp 5",INDEX('Lớp 5 - Phân công'!$N$14:$N$262,$T363),IF($S363="Lớp 4",INDEX('Lớp 4 - Danh mục'!$M$14:$M$132,$T363),INDEX('Lớp 3 - Công việc chính'!$L$14:$L$73,$T363))))</f>
        <v>#REF!</v>
      </c>
      <c r="H363" s="692" t="str">
        <f t="array" ref="H363">IF($S363="","",IF($S363="Lớp 5",INDEX('Lớp 5 - Phân công'!$O$14:$O$262,$T363),IF($S363="Lớp 4",INDEX('Lớp 4 - Danh mục'!$N$14:$N$132,$T363),INDEX('Lớp 3 - Công việc chính'!$M$14:$M$73,$T363))))</f>
        <v>#REF!</v>
      </c>
      <c r="I363" s="692" t="str">
        <f t="array" ref="I363">IF($S363="","",IF($S363="Lớp 5",INDEX('Lớp 5 - Phân công'!$P$14:$P$262,$T363),IF($S363="Lớp 4",INDEX('Lớp 4 - Danh mục'!$O$14:$O$132,$T363),"")))</f>
        <v>#REF!</v>
      </c>
      <c r="J363" s="693" t="str">
        <f t="array" ref="J363">IF($S363="","",IF($S363="Lớp 5",INDEX('Lớp 5 - Phân công'!$Q$14:$Q$262,$T363),""))</f>
        <v>#REF!</v>
      </c>
      <c r="K363" s="690" t="str">
        <f t="array" ref="K363">IF($S363="","",IF($S363="Lớp 5",INDEX('Lớp 5 - Phân công'!$AA$14:$AA$262,$T363),IF($S363="Lớp 4",INDEX('Lớp 4 - Danh mục'!$Y$14:$Y$132,$T363),INDEX('Lớp 3 - Công việc chính'!$U$14:$U$73,$T363))))</f>
        <v>#REF!</v>
      </c>
      <c r="L363" s="691" t="str">
        <f t="array" ref="L363">IF($S363="","",IF($S363="Lớp 5",INDEX('Lớp 5 - Phân công'!$Z$14:$Z$262,$T363),IF($S363="Lớp 4",INDEX('Lớp 4 - Danh mục'!$X$14:$X$132,$T363),INDEX('Lớp 3 - Công việc chính'!$W$14:$W$73,$T363))))</f>
        <v>#REF!</v>
      </c>
      <c r="M363" s="694" t="str">
        <f t="array" ref="M363">IF($S363="","",IF($S363="Lớp 5",INDEX('Lớp 5 - Phân công'!$AD$14:$AD$262,$T363),IF($S363="Lớp 4",INDEX('Lớp 4 - Danh mục'!$AC$14:$AC$132,$T363),INDEX('Lớp 3 - Công việc chính'!$Z$14:$Z$73,$T363))))</f>
        <v>#REF!</v>
      </c>
      <c r="N363" s="695" t="str">
        <f t="array" ref="N363">IF($S363="","",IF($S363="Lớp 5",INDEX('Lớp 5 - Phân công'!$AE$14:$AE$262,$T363),IF($S363="Lớp 4",INDEX('Lớp 4 - Danh mục'!$AD$14:$AD$132,$T363),INDEX('Lớp 3 - Công việc chính'!$AA$14:$AA$73,$T363))))</f>
        <v>#REF!</v>
      </c>
      <c r="O363" s="690" t="str">
        <f t="array" ref="O363">IF($S363="","",IF($S363="Lớp 5",INDEX('Lớp 5 - Phân công'!$AB$14:$AB$262,$T363),IF($S363="Lớp 4",INDEX('Lớp 4 - Danh mục'!$AA$14:$AA$132,$T363),INDEX('Lớp 3 - Công việc chính'!$X$14:$X$73,$T363))))</f>
        <v>#REF!</v>
      </c>
      <c r="P363" s="703" t="str">
        <f t="array" ref="P363">IF($S363="","",IF($S363="Lớp 5",INDEX('Lớp 5 - Phân công'!$AC$14:$AC$262,$T363),IF($S363="Lớp 4",INDEX('Lớp 4 - Danh mục'!$AB$14:$AB$132,$T363),INDEX('Lớp 3 - Công việc chính'!$Y$14:$Y$73,$T363))))</f>
        <v>#REF!</v>
      </c>
      <c r="Q363" s="697" t="str">
        <f t="array" ref="Q363">IF($S363="","",IF($S363="Lớp 5",INDEX('Lớp 5 - Phân công'!$AG$14:$AG$262,$T363),IF($S363="Lớp 4",INDEX('Lớp 4 - Danh mục'!$AF$14:$AF$132,$T363),INDEX('Lớp 3 - Công việc chính'!$AC$14:$AC$73,$T363))))</f>
        <v>#REF!</v>
      </c>
      <c r="R363" s="698" t="str">
        <f t="array" ref="R363">IF($S363="","",IF($S363="Lớp 5",INDEX('Lớp 5 - Phân công'!$X$14:$X$262,$T363),IF($S363="Lớp 4",INDEX('Lớp 4 - Danh mục'!$V$14:$V$132,$T363),INDEX('Lớp 3 - Công việc chính'!$T$14:$T$73,$T363))))</f>
        <v>#REF!</v>
      </c>
      <c r="S363" s="699" t="str">
        <f>IF(ROWS($S$14:S363)&lt;=COUNTIF('Lớp 5 - Phân công'!$I$14:$I$262,"&lt;&gt;"),"Lớp 5",IF(ROWS($S$14:S363)&lt;=COUNTIF('Lớp 5 - Phân công'!$I$14:$I$262,"&lt;&gt;")+SUMPRODUCT(--('Lớp 4 - Danh mục'!$I$14:$I$132&lt;&gt;""),--(COUNTIF('Lớp 5 - Phân công'!$J$14:$J$262,'Lớp 4 - Danh mục'!$I$14:$I$132)=0)),"Lớp 4",IF(ROWS($S$14:S363)&lt;=COUNTIF('Lớp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3" s="699" t="str">
        <f t="array" ref="T363">IF(S363="","",IF(S363="Lớp 5",IF(S362&lt;&gt;"Lớp 5",MATCH("*",'Lớp 5 - Phân công'!$I$14:$I$262,0),T362+MATCH("*",INDEX('Lớp 5 - Phân công'!$I$14:$I$262,T362+1):'Lớp 5 - Phân công'!$I$262,0)),IF(S363="Lớp 4",IF(S362&lt;&gt;"Lớp 4",MATCH(1,INDEX(('Lớp 4 - Danh mục'!$I$14:$I$132&lt;&gt;"")*(COUNTIF('Lớp 5 - Phân công'!$J$14:$J$262,'Lớp 4 - Danh mục'!$I$14:$I$132)=0),0),0),T362+MATCH(1,INDEX((INDEX('Lớp 4 - Danh mục'!$I$14:$I$132,T362+1):'Lớp 4 - Danh mục'!$I$132&lt;&gt;"")*(COUNTIF('Lớp 5 - Phân công'!$J$14:$J$262,INDEX('Lớp 4 - Danh mục'!$I$14:$I$132,T362+1):'Lớp 4 - Danh mục'!$I$132)=0),0),0)),IF(S362&lt;&gt;"Lớp 3",MATCH(1,INDEX(('Lớp 3 - Công việc chính'!$I$14:$I$73&lt;&gt;"")*(COUNTIF('Lớp 4 - Danh mục'!$J$14:$J$132,'Lớp 3 - Công việc chính'!$I$14:$I$73)=0),0),0),T362+MATCH(1,INDEX((INDEX('Lớp 3 - Công việc chính'!$I$14:$I$73,T362+1):'Lớp 3 - Công việc chính'!$I$73&lt;&gt;"")*(COUNTIF('Lớp 4 - Danh mục'!$J$14:$J$132,INDEX('Lớp 3 - Công việc chính'!$I$14:$I$73,T362+1):'Lớp 3 - Công việc chính'!$I$73)=0),0),0)))))</f>
        <v>#REF!</v>
      </c>
      <c r="Z363" s="700" t="str">
        <f t="array" ref="Z363">IF($S363="","",IF($S363="Lớp 5",INDEX('Lớp 5 - Phân công'!$AS$14:$AS$262,$T363),IF($S363="Lớp 4",INDEX('Lớp 4 - Danh mục'!$AR$14:$AR$132,$T363),INDEX('Lớp 3 - Công việc chính'!$AO$14:$AO$73,$T363))))</f>
        <v>#REF!</v>
      </c>
      <c r="AA363" s="701" t="str">
        <f t="array" ref="AA363">IF($S363="","",IF($S363="Lớp 5",INDEX('Lớp 5 - Phân công'!$AT$14:$AT$262,$T363),IF($S363="Lớp 4",INDEX('Lớp 4 - Danh mục'!$AS$14:$AS$132,$T363),INDEX('Lớp 3 - Công việc chính'!$AP$14:$AP$73,$T363))))</f>
        <v>#REF!</v>
      </c>
      <c r="AB363" s="701" t="str">
        <f t="array" ref="AB363">IF($S363="","",IF($S363="Lớp 5",INDEX('Lớp 5 - Phân công'!$AJ$14:$AJ$262,$T363),IF($S363="Lớp 4",INDEX('Lớp 4 - Danh mục'!$AI$14:$AI$132,$T363),INDEX('Lớp 3 - Công việc chính'!$AF$14:$AF$73,$T363))))</f>
        <v>#REF!</v>
      </c>
      <c r="AC363" s="702" t="str">
        <f t="array" ref="AC363">IF($S363="","",IF($S363="Lớp 5",INDEX('Lớp 5 - Phân công'!$AV$14:$AV$262,$T363),IF($S363="Lớp 4",INDEX('Lớp 4 - Danh mục'!$AU$14:$AU$132,$T363),INDEX('Lớp 3 - Công việc chính'!$AR$14:$AR$73,$T363))))</f>
        <v>#REF!</v>
      </c>
    </row>
    <row r="364" ht="15.75" customHeight="1">
      <c r="A364" s="690" t="str">
        <f t="shared" si="1"/>
        <v>#REF!</v>
      </c>
      <c r="B364" s="690" t="str">
        <f t="array" ref="B364">IF($S364="","",IF($S364="Lớp 5",INDEX('Lớp 5 - Phân công'!$I$14:$I$262,$T364),IF($S364="Lớp 4",INDEX('Lớp 4 - Danh mục'!$I$14:$I$132,$T364),INDEX('Lớp 3 - Công việc chính'!$I$14:$I$73,$T364))))</f>
        <v>#REF!</v>
      </c>
      <c r="C364" s="690" t="str">
        <f t="array" ref="C364">IF($S364="","",IF($S364="Lớp 5",INDEX('Lớp 5 - Phân công'!$K$14:$K$262,$T364),IF($S364="Lớp 4",INDEX('Lớp 4 - Danh mục'!$J$14:$J$132,$T364),INDEX('Lớp 3 - Công việc chính'!$I$14:$I$73,$T364))))</f>
        <v>#REF!</v>
      </c>
      <c r="D364" s="690" t="str">
        <f t="array" ref="D364">IF($S364="","",IF($S364="Lớp 5",INDEX('Lớp 5 - Phân công'!$J$14:$J$262,$T364),IF($S364="Lớp 4",INDEX('Lớp 4 - Danh mục'!$I$14:$I$132,$T364),"")))</f>
        <v>#REF!</v>
      </c>
      <c r="E364" s="690" t="str">
        <f t="array" ref="E364">IF($S364="","",IF($S364="Lớp 5",INDEX('Lớp 5 - Phân công'!$L$14:$L$262,$T364),IF($S364="Lớp 4",INDEX('Lớp 4 - Danh mục'!$K$14:$K$132,$T364),INDEX('Lớp 3 - Công việc chính'!$J$14:$J$73,$T364))))</f>
        <v>#REF!</v>
      </c>
      <c r="F364" s="690" t="str">
        <f t="array" ref="F364">IF($S364="","",IF($S364="Lớp 5",INDEX('Lớp 5 - Phân công'!$M$14:$M$262,$T364),IF($S364="Lớp 4",INDEX('Lớp 4 - Danh mục'!$L$14:$L$132,$T364),INDEX('Lớp 3 - Công việc chính'!$K$14:$K$73,$T364))))</f>
        <v>#REF!</v>
      </c>
      <c r="G364" s="691" t="str">
        <f t="array" ref="G364">IF($S364="","",IF($S364="Lớp 5",INDEX('Lớp 5 - Phân công'!$N$14:$N$262,$T364),IF($S364="Lớp 4",INDEX('Lớp 4 - Danh mục'!$M$14:$M$132,$T364),INDEX('Lớp 3 - Công việc chính'!$L$14:$L$73,$T364))))</f>
        <v>#REF!</v>
      </c>
      <c r="H364" s="692" t="str">
        <f t="array" ref="H364">IF($S364="","",IF($S364="Lớp 5",INDEX('Lớp 5 - Phân công'!$O$14:$O$262,$T364),IF($S364="Lớp 4",INDEX('Lớp 4 - Danh mục'!$N$14:$N$132,$T364),INDEX('Lớp 3 - Công việc chính'!$M$14:$M$73,$T364))))</f>
        <v>#REF!</v>
      </c>
      <c r="I364" s="692" t="str">
        <f t="array" ref="I364">IF($S364="","",IF($S364="Lớp 5",INDEX('Lớp 5 - Phân công'!$P$14:$P$262,$T364),IF($S364="Lớp 4",INDEX('Lớp 4 - Danh mục'!$O$14:$O$132,$T364),"")))</f>
        <v>#REF!</v>
      </c>
      <c r="J364" s="693" t="str">
        <f t="array" ref="J364">IF($S364="","",IF($S364="Lớp 5",INDEX('Lớp 5 - Phân công'!$Q$14:$Q$262,$T364),""))</f>
        <v>#REF!</v>
      </c>
      <c r="K364" s="690" t="str">
        <f t="array" ref="K364">IF($S364="","",IF($S364="Lớp 5",INDEX('Lớp 5 - Phân công'!$AA$14:$AA$262,$T364),IF($S364="Lớp 4",INDEX('Lớp 4 - Danh mục'!$Y$14:$Y$132,$T364),INDEX('Lớp 3 - Công việc chính'!$U$14:$U$73,$T364))))</f>
        <v>#REF!</v>
      </c>
      <c r="L364" s="691" t="str">
        <f t="array" ref="L364">IF($S364="","",IF($S364="Lớp 5",INDEX('Lớp 5 - Phân công'!$Z$14:$Z$262,$T364),IF($S364="Lớp 4",INDEX('Lớp 4 - Danh mục'!$X$14:$X$132,$T364),INDEX('Lớp 3 - Công việc chính'!$W$14:$W$73,$T364))))</f>
        <v>#REF!</v>
      </c>
      <c r="M364" s="694" t="str">
        <f t="array" ref="M364">IF($S364="","",IF($S364="Lớp 5",INDEX('Lớp 5 - Phân công'!$AD$14:$AD$262,$T364),IF($S364="Lớp 4",INDEX('Lớp 4 - Danh mục'!$AC$14:$AC$132,$T364),INDEX('Lớp 3 - Công việc chính'!$Z$14:$Z$73,$T364))))</f>
        <v>#REF!</v>
      </c>
      <c r="N364" s="695" t="str">
        <f t="array" ref="N364">IF($S364="","",IF($S364="Lớp 5",INDEX('Lớp 5 - Phân công'!$AE$14:$AE$262,$T364),IF($S364="Lớp 4",INDEX('Lớp 4 - Danh mục'!$AD$14:$AD$132,$T364),INDEX('Lớp 3 - Công việc chính'!$AA$14:$AA$73,$T364))))</f>
        <v>#REF!</v>
      </c>
      <c r="O364" s="690" t="str">
        <f t="array" ref="O364">IF($S364="","",IF($S364="Lớp 5",INDEX('Lớp 5 - Phân công'!$AB$14:$AB$262,$T364),IF($S364="Lớp 4",INDEX('Lớp 4 - Danh mục'!$AA$14:$AA$132,$T364),INDEX('Lớp 3 - Công việc chính'!$X$14:$X$73,$T364))))</f>
        <v>#REF!</v>
      </c>
      <c r="P364" s="703" t="str">
        <f t="array" ref="P364">IF($S364="","",IF($S364="Lớp 5",INDEX('Lớp 5 - Phân công'!$AC$14:$AC$262,$T364),IF($S364="Lớp 4",INDEX('Lớp 4 - Danh mục'!$AB$14:$AB$132,$T364),INDEX('Lớp 3 - Công việc chính'!$Y$14:$Y$73,$T364))))</f>
        <v>#REF!</v>
      </c>
      <c r="Q364" s="697" t="str">
        <f t="array" ref="Q364">IF($S364="","",IF($S364="Lớp 5",INDEX('Lớp 5 - Phân công'!$AG$14:$AG$262,$T364),IF($S364="Lớp 4",INDEX('Lớp 4 - Danh mục'!$AF$14:$AF$132,$T364),INDEX('Lớp 3 - Công việc chính'!$AC$14:$AC$73,$T364))))</f>
        <v>#REF!</v>
      </c>
      <c r="R364" s="698" t="str">
        <f t="array" ref="R364">IF($S364="","",IF($S364="Lớp 5",INDEX('Lớp 5 - Phân công'!$X$14:$X$262,$T364),IF($S364="Lớp 4",INDEX('Lớp 4 - Danh mục'!$V$14:$V$132,$T364),INDEX('Lớp 3 - Công việc chính'!$T$14:$T$73,$T364))))</f>
        <v>#REF!</v>
      </c>
      <c r="S364" s="699" t="str">
        <f>IF(ROWS($S$14:S364)&lt;=COUNTIF('Lớp 5 - Phân công'!$I$14:$I$262,"&lt;&gt;"),"Lớp 5",IF(ROWS($S$14:S364)&lt;=COUNTIF('Lớp 5 - Phân công'!$I$14:$I$262,"&lt;&gt;")+SUMPRODUCT(--('Lớp 4 - Danh mục'!$I$14:$I$132&lt;&gt;""),--(COUNTIF('Lớp 5 - Phân công'!$J$14:$J$262,'Lớp 4 - Danh mục'!$I$14:$I$132)=0)),"Lớp 4",IF(ROWS($S$14:S364)&lt;=COUNTIF('Lớp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4" s="699" t="str">
        <f t="array" ref="T364">IF(S364="","",IF(S364="Lớp 5",IF(S363&lt;&gt;"Lớp 5",MATCH("*",'Lớp 5 - Phân công'!$I$14:$I$262,0),T363+MATCH("*",INDEX('Lớp 5 - Phân công'!$I$14:$I$262,T363+1):'Lớp 5 - Phân công'!$I$262,0)),IF(S364="Lớp 4",IF(S363&lt;&gt;"Lớp 4",MATCH(1,INDEX(('Lớp 4 - Danh mục'!$I$14:$I$132&lt;&gt;"")*(COUNTIF('Lớp 5 - Phân công'!$J$14:$J$262,'Lớp 4 - Danh mục'!$I$14:$I$132)=0),0),0),T363+MATCH(1,INDEX((INDEX('Lớp 4 - Danh mục'!$I$14:$I$132,T363+1):'Lớp 4 - Danh mục'!$I$132&lt;&gt;"")*(COUNTIF('Lớp 5 - Phân công'!$J$14:$J$262,INDEX('Lớp 4 - Danh mục'!$I$14:$I$132,T363+1):'Lớp 4 - Danh mục'!$I$132)=0),0),0)),IF(S363&lt;&gt;"Lớp 3",MATCH(1,INDEX(('Lớp 3 - Công việc chính'!$I$14:$I$73&lt;&gt;"")*(COUNTIF('Lớp 4 - Danh mục'!$J$14:$J$132,'Lớp 3 - Công việc chính'!$I$14:$I$73)=0),0),0),T363+MATCH(1,INDEX((INDEX('Lớp 3 - Công việc chính'!$I$14:$I$73,T363+1):'Lớp 3 - Công việc chính'!$I$73&lt;&gt;"")*(COUNTIF('Lớp 4 - Danh mục'!$J$14:$J$132,INDEX('Lớp 3 - Công việc chính'!$I$14:$I$73,T363+1):'Lớp 3 - Công việc chính'!$I$73)=0),0),0)))))</f>
        <v>#REF!</v>
      </c>
      <c r="Z364" s="700" t="str">
        <f t="array" ref="Z364">IF($S364="","",IF($S364="Lớp 5",INDEX('Lớp 5 - Phân công'!$AS$14:$AS$262,$T364),IF($S364="Lớp 4",INDEX('Lớp 4 - Danh mục'!$AR$14:$AR$132,$T364),INDEX('Lớp 3 - Công việc chính'!$AO$14:$AO$73,$T364))))</f>
        <v>#REF!</v>
      </c>
      <c r="AA364" s="701" t="str">
        <f t="array" ref="AA364">IF($S364="","",IF($S364="Lớp 5",INDEX('Lớp 5 - Phân công'!$AT$14:$AT$262,$T364),IF($S364="Lớp 4",INDEX('Lớp 4 - Danh mục'!$AS$14:$AS$132,$T364),INDEX('Lớp 3 - Công việc chính'!$AP$14:$AP$73,$T364))))</f>
        <v>#REF!</v>
      </c>
      <c r="AB364" s="701" t="str">
        <f t="array" ref="AB364">IF($S364="","",IF($S364="Lớp 5",INDEX('Lớp 5 - Phân công'!$AJ$14:$AJ$262,$T364),IF($S364="Lớp 4",INDEX('Lớp 4 - Danh mục'!$AI$14:$AI$132,$T364),INDEX('Lớp 3 - Công việc chính'!$AF$14:$AF$73,$T364))))</f>
        <v>#REF!</v>
      </c>
      <c r="AC364" s="702" t="str">
        <f t="array" ref="AC364">IF($S364="","",IF($S364="Lớp 5",INDEX('Lớp 5 - Phân công'!$AV$14:$AV$262,$T364),IF($S364="Lớp 4",INDEX('Lớp 4 - Danh mục'!$AU$14:$AU$132,$T364),INDEX('Lớp 3 - Công việc chính'!$AR$14:$AR$73,$T364))))</f>
        <v>#REF!</v>
      </c>
    </row>
    <row r="365" ht="15.75" customHeight="1">
      <c r="A365" s="690" t="str">
        <f t="shared" si="1"/>
        <v>#REF!</v>
      </c>
      <c r="B365" s="690" t="str">
        <f t="array" ref="B365">IF($S365="","",IF($S365="Lớp 5",INDEX('Lớp 5 - Phân công'!$I$14:$I$262,$T365),IF($S365="Lớp 4",INDEX('Lớp 4 - Danh mục'!$I$14:$I$132,$T365),INDEX('Lớp 3 - Công việc chính'!$I$14:$I$73,$T365))))</f>
        <v>#REF!</v>
      </c>
      <c r="C365" s="690" t="str">
        <f t="array" ref="C365">IF($S365="","",IF($S365="Lớp 5",INDEX('Lớp 5 - Phân công'!$K$14:$K$262,$T365),IF($S365="Lớp 4",INDEX('Lớp 4 - Danh mục'!$J$14:$J$132,$T365),INDEX('Lớp 3 - Công việc chính'!$I$14:$I$73,$T365))))</f>
        <v>#REF!</v>
      </c>
      <c r="D365" s="690" t="str">
        <f t="array" ref="D365">IF($S365="","",IF($S365="Lớp 5",INDEX('Lớp 5 - Phân công'!$J$14:$J$262,$T365),IF($S365="Lớp 4",INDEX('Lớp 4 - Danh mục'!$I$14:$I$132,$T365),"")))</f>
        <v>#REF!</v>
      </c>
      <c r="E365" s="690" t="str">
        <f t="array" ref="E365">IF($S365="","",IF($S365="Lớp 5",INDEX('Lớp 5 - Phân công'!$L$14:$L$262,$T365),IF($S365="Lớp 4",INDEX('Lớp 4 - Danh mục'!$K$14:$K$132,$T365),INDEX('Lớp 3 - Công việc chính'!$J$14:$J$73,$T365))))</f>
        <v>#REF!</v>
      </c>
      <c r="F365" s="690" t="str">
        <f t="array" ref="F365">IF($S365="","",IF($S365="Lớp 5",INDEX('Lớp 5 - Phân công'!$M$14:$M$262,$T365),IF($S365="Lớp 4",INDEX('Lớp 4 - Danh mục'!$L$14:$L$132,$T365),INDEX('Lớp 3 - Công việc chính'!$K$14:$K$73,$T365))))</f>
        <v>#REF!</v>
      </c>
      <c r="G365" s="691" t="str">
        <f t="array" ref="G365">IF($S365="","",IF($S365="Lớp 5",INDEX('Lớp 5 - Phân công'!$N$14:$N$262,$T365),IF($S365="Lớp 4",INDEX('Lớp 4 - Danh mục'!$M$14:$M$132,$T365),INDEX('Lớp 3 - Công việc chính'!$L$14:$L$73,$T365))))</f>
        <v>#REF!</v>
      </c>
      <c r="H365" s="692" t="str">
        <f t="array" ref="H365">IF($S365="","",IF($S365="Lớp 5",INDEX('Lớp 5 - Phân công'!$O$14:$O$262,$T365),IF($S365="Lớp 4",INDEX('Lớp 4 - Danh mục'!$N$14:$N$132,$T365),INDEX('Lớp 3 - Công việc chính'!$M$14:$M$73,$T365))))</f>
        <v>#REF!</v>
      </c>
      <c r="I365" s="692" t="str">
        <f t="array" ref="I365">IF($S365="","",IF($S365="Lớp 5",INDEX('Lớp 5 - Phân công'!$P$14:$P$262,$T365),IF($S365="Lớp 4",INDEX('Lớp 4 - Danh mục'!$O$14:$O$132,$T365),"")))</f>
        <v>#REF!</v>
      </c>
      <c r="J365" s="693" t="str">
        <f t="array" ref="J365">IF($S365="","",IF($S365="Lớp 5",INDEX('Lớp 5 - Phân công'!$Q$14:$Q$262,$T365),""))</f>
        <v>#REF!</v>
      </c>
      <c r="K365" s="690" t="str">
        <f t="array" ref="K365">IF($S365="","",IF($S365="Lớp 5",INDEX('Lớp 5 - Phân công'!$AA$14:$AA$262,$T365),IF($S365="Lớp 4",INDEX('Lớp 4 - Danh mục'!$Y$14:$Y$132,$T365),INDEX('Lớp 3 - Công việc chính'!$U$14:$U$73,$T365))))</f>
        <v>#REF!</v>
      </c>
      <c r="L365" s="691" t="str">
        <f t="array" ref="L365">IF($S365="","",IF($S365="Lớp 5",INDEX('Lớp 5 - Phân công'!$Z$14:$Z$262,$T365),IF($S365="Lớp 4",INDEX('Lớp 4 - Danh mục'!$X$14:$X$132,$T365),INDEX('Lớp 3 - Công việc chính'!$W$14:$W$73,$T365))))</f>
        <v>#REF!</v>
      </c>
      <c r="M365" s="694" t="str">
        <f t="array" ref="M365">IF($S365="","",IF($S365="Lớp 5",INDEX('Lớp 5 - Phân công'!$AD$14:$AD$262,$T365),IF($S365="Lớp 4",INDEX('Lớp 4 - Danh mục'!$AC$14:$AC$132,$T365),INDEX('Lớp 3 - Công việc chính'!$Z$14:$Z$73,$T365))))</f>
        <v>#REF!</v>
      </c>
      <c r="N365" s="695" t="str">
        <f t="array" ref="N365">IF($S365="","",IF($S365="Lớp 5",INDEX('Lớp 5 - Phân công'!$AE$14:$AE$262,$T365),IF($S365="Lớp 4",INDEX('Lớp 4 - Danh mục'!$AD$14:$AD$132,$T365),INDEX('Lớp 3 - Công việc chính'!$AA$14:$AA$73,$T365))))</f>
        <v>#REF!</v>
      </c>
      <c r="O365" s="690" t="str">
        <f t="array" ref="O365">IF($S365="","",IF($S365="Lớp 5",INDEX('Lớp 5 - Phân công'!$AB$14:$AB$262,$T365),IF($S365="Lớp 4",INDEX('Lớp 4 - Danh mục'!$AA$14:$AA$132,$T365),INDEX('Lớp 3 - Công việc chính'!$X$14:$X$73,$T365))))</f>
        <v>#REF!</v>
      </c>
      <c r="P365" s="703" t="str">
        <f t="array" ref="P365">IF($S365="","",IF($S365="Lớp 5",INDEX('Lớp 5 - Phân công'!$AC$14:$AC$262,$T365),IF($S365="Lớp 4",INDEX('Lớp 4 - Danh mục'!$AB$14:$AB$132,$T365),INDEX('Lớp 3 - Công việc chính'!$Y$14:$Y$73,$T365))))</f>
        <v>#REF!</v>
      </c>
      <c r="Q365" s="697" t="str">
        <f t="array" ref="Q365">IF($S365="","",IF($S365="Lớp 5",INDEX('Lớp 5 - Phân công'!$AG$14:$AG$262,$T365),IF($S365="Lớp 4",INDEX('Lớp 4 - Danh mục'!$AF$14:$AF$132,$T365),INDEX('Lớp 3 - Công việc chính'!$AC$14:$AC$73,$T365))))</f>
        <v>#REF!</v>
      </c>
      <c r="R365" s="698" t="str">
        <f t="array" ref="R365">IF($S365="","",IF($S365="Lớp 5",INDEX('Lớp 5 - Phân công'!$X$14:$X$262,$T365),IF($S365="Lớp 4",INDEX('Lớp 4 - Danh mục'!$V$14:$V$132,$T365),INDEX('Lớp 3 - Công việc chính'!$T$14:$T$73,$T365))))</f>
        <v>#REF!</v>
      </c>
      <c r="S365" s="699" t="str">
        <f>IF(ROWS($S$14:S365)&lt;=COUNTIF('Lớp 5 - Phân công'!$I$14:$I$262,"&lt;&gt;"),"Lớp 5",IF(ROWS($S$14:S365)&lt;=COUNTIF('Lớp 5 - Phân công'!$I$14:$I$262,"&lt;&gt;")+SUMPRODUCT(--('Lớp 4 - Danh mục'!$I$14:$I$132&lt;&gt;""),--(COUNTIF('Lớp 5 - Phân công'!$J$14:$J$262,'Lớp 4 - Danh mục'!$I$14:$I$132)=0)),"Lớp 4",IF(ROWS($S$14:S365)&lt;=COUNTIF('Lớp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5" s="699" t="str">
        <f t="array" ref="T365">IF(S365="","",IF(S365="Lớp 5",IF(S364&lt;&gt;"Lớp 5",MATCH("*",'Lớp 5 - Phân công'!$I$14:$I$262,0),T364+MATCH("*",INDEX('Lớp 5 - Phân công'!$I$14:$I$262,T364+1):'Lớp 5 - Phân công'!$I$262,0)),IF(S365="Lớp 4",IF(S364&lt;&gt;"Lớp 4",MATCH(1,INDEX(('Lớp 4 - Danh mục'!$I$14:$I$132&lt;&gt;"")*(COUNTIF('Lớp 5 - Phân công'!$J$14:$J$262,'Lớp 4 - Danh mục'!$I$14:$I$132)=0),0),0),T364+MATCH(1,INDEX((INDEX('Lớp 4 - Danh mục'!$I$14:$I$132,T364+1):'Lớp 4 - Danh mục'!$I$132&lt;&gt;"")*(COUNTIF('Lớp 5 - Phân công'!$J$14:$J$262,INDEX('Lớp 4 - Danh mục'!$I$14:$I$132,T364+1):'Lớp 4 - Danh mục'!$I$132)=0),0),0)),IF(S364&lt;&gt;"Lớp 3",MATCH(1,INDEX(('Lớp 3 - Công việc chính'!$I$14:$I$73&lt;&gt;"")*(COUNTIF('Lớp 4 - Danh mục'!$J$14:$J$132,'Lớp 3 - Công việc chính'!$I$14:$I$73)=0),0),0),T364+MATCH(1,INDEX((INDEX('Lớp 3 - Công việc chính'!$I$14:$I$73,T364+1):'Lớp 3 - Công việc chính'!$I$73&lt;&gt;"")*(COUNTIF('Lớp 4 - Danh mục'!$J$14:$J$132,INDEX('Lớp 3 - Công việc chính'!$I$14:$I$73,T364+1):'Lớp 3 - Công việc chính'!$I$73)=0),0),0)))))</f>
        <v>#REF!</v>
      </c>
      <c r="Z365" s="700" t="str">
        <f t="array" ref="Z365">IF($S365="","",IF($S365="Lớp 5",INDEX('Lớp 5 - Phân công'!$AS$14:$AS$262,$T365),IF($S365="Lớp 4",INDEX('Lớp 4 - Danh mục'!$AR$14:$AR$132,$T365),INDEX('Lớp 3 - Công việc chính'!$AO$14:$AO$73,$T365))))</f>
        <v>#REF!</v>
      </c>
      <c r="AA365" s="701" t="str">
        <f t="array" ref="AA365">IF($S365="","",IF($S365="Lớp 5",INDEX('Lớp 5 - Phân công'!$AT$14:$AT$262,$T365),IF($S365="Lớp 4",INDEX('Lớp 4 - Danh mục'!$AS$14:$AS$132,$T365),INDEX('Lớp 3 - Công việc chính'!$AP$14:$AP$73,$T365))))</f>
        <v>#REF!</v>
      </c>
      <c r="AB365" s="701" t="str">
        <f t="array" ref="AB365">IF($S365="","",IF($S365="Lớp 5",INDEX('Lớp 5 - Phân công'!$AJ$14:$AJ$262,$T365),IF($S365="Lớp 4",INDEX('Lớp 4 - Danh mục'!$AI$14:$AI$132,$T365),INDEX('Lớp 3 - Công việc chính'!$AF$14:$AF$73,$T365))))</f>
        <v>#REF!</v>
      </c>
      <c r="AC365" s="702" t="str">
        <f t="array" ref="AC365">IF($S365="","",IF($S365="Lớp 5",INDEX('Lớp 5 - Phân công'!$AV$14:$AV$262,$T365),IF($S365="Lớp 4",INDEX('Lớp 4 - Danh mục'!$AU$14:$AU$132,$T365),INDEX('Lớp 3 - Công việc chính'!$AR$14:$AR$73,$T365))))</f>
        <v>#REF!</v>
      </c>
    </row>
    <row r="366" ht="15.75" customHeight="1">
      <c r="A366" s="690" t="str">
        <f t="shared" si="1"/>
        <v>#REF!</v>
      </c>
      <c r="B366" s="690" t="str">
        <f t="array" ref="B366">IF($S366="","",IF($S366="Lớp 5",INDEX('Lớp 5 - Phân công'!$I$14:$I$262,$T366),IF($S366="Lớp 4",INDEX('Lớp 4 - Danh mục'!$I$14:$I$132,$T366),INDEX('Lớp 3 - Công việc chính'!$I$14:$I$73,$T366))))</f>
        <v>#REF!</v>
      </c>
      <c r="C366" s="690" t="str">
        <f t="array" ref="C366">IF($S366="","",IF($S366="Lớp 5",INDEX('Lớp 5 - Phân công'!$K$14:$K$262,$T366),IF($S366="Lớp 4",INDEX('Lớp 4 - Danh mục'!$J$14:$J$132,$T366),INDEX('Lớp 3 - Công việc chính'!$I$14:$I$73,$T366))))</f>
        <v>#REF!</v>
      </c>
      <c r="D366" s="690" t="str">
        <f t="array" ref="D366">IF($S366="","",IF($S366="Lớp 5",INDEX('Lớp 5 - Phân công'!$J$14:$J$262,$T366),IF($S366="Lớp 4",INDEX('Lớp 4 - Danh mục'!$I$14:$I$132,$T366),"")))</f>
        <v>#REF!</v>
      </c>
      <c r="E366" s="690" t="str">
        <f t="array" ref="E366">IF($S366="","",IF($S366="Lớp 5",INDEX('Lớp 5 - Phân công'!$L$14:$L$262,$T366),IF($S366="Lớp 4",INDEX('Lớp 4 - Danh mục'!$K$14:$K$132,$T366),INDEX('Lớp 3 - Công việc chính'!$J$14:$J$73,$T366))))</f>
        <v>#REF!</v>
      </c>
      <c r="F366" s="690" t="str">
        <f t="array" ref="F366">IF($S366="","",IF($S366="Lớp 5",INDEX('Lớp 5 - Phân công'!$M$14:$M$262,$T366),IF($S366="Lớp 4",INDEX('Lớp 4 - Danh mục'!$L$14:$L$132,$T366),INDEX('Lớp 3 - Công việc chính'!$K$14:$K$73,$T366))))</f>
        <v>#REF!</v>
      </c>
      <c r="G366" s="691" t="str">
        <f t="array" ref="G366">IF($S366="","",IF($S366="Lớp 5",INDEX('Lớp 5 - Phân công'!$N$14:$N$262,$T366),IF($S366="Lớp 4",INDEX('Lớp 4 - Danh mục'!$M$14:$M$132,$T366),INDEX('Lớp 3 - Công việc chính'!$L$14:$L$73,$T366))))</f>
        <v>#REF!</v>
      </c>
      <c r="H366" s="692" t="str">
        <f t="array" ref="H366">IF($S366="","",IF($S366="Lớp 5",INDEX('Lớp 5 - Phân công'!$O$14:$O$262,$T366),IF($S366="Lớp 4",INDEX('Lớp 4 - Danh mục'!$N$14:$N$132,$T366),INDEX('Lớp 3 - Công việc chính'!$M$14:$M$73,$T366))))</f>
        <v>#REF!</v>
      </c>
      <c r="I366" s="692" t="str">
        <f t="array" ref="I366">IF($S366="","",IF($S366="Lớp 5",INDEX('Lớp 5 - Phân công'!$P$14:$P$262,$T366),IF($S366="Lớp 4",INDEX('Lớp 4 - Danh mục'!$O$14:$O$132,$T366),"")))</f>
        <v>#REF!</v>
      </c>
      <c r="J366" s="693" t="str">
        <f t="array" ref="J366">IF($S366="","",IF($S366="Lớp 5",INDEX('Lớp 5 - Phân công'!$Q$14:$Q$262,$T366),""))</f>
        <v>#REF!</v>
      </c>
      <c r="K366" s="690" t="str">
        <f t="array" ref="K366">IF($S366="","",IF($S366="Lớp 5",INDEX('Lớp 5 - Phân công'!$AA$14:$AA$262,$T366),IF($S366="Lớp 4",INDEX('Lớp 4 - Danh mục'!$Y$14:$Y$132,$T366),INDEX('Lớp 3 - Công việc chính'!$U$14:$U$73,$T366))))</f>
        <v>#REF!</v>
      </c>
      <c r="L366" s="691" t="str">
        <f t="array" ref="L366">IF($S366="","",IF($S366="Lớp 5",INDEX('Lớp 5 - Phân công'!$Z$14:$Z$262,$T366),IF($S366="Lớp 4",INDEX('Lớp 4 - Danh mục'!$X$14:$X$132,$T366),INDEX('Lớp 3 - Công việc chính'!$W$14:$W$73,$T366))))</f>
        <v>#REF!</v>
      </c>
      <c r="M366" s="694" t="str">
        <f t="array" ref="M366">IF($S366="","",IF($S366="Lớp 5",INDEX('Lớp 5 - Phân công'!$AD$14:$AD$262,$T366),IF($S366="Lớp 4",INDEX('Lớp 4 - Danh mục'!$AC$14:$AC$132,$T366),INDEX('Lớp 3 - Công việc chính'!$Z$14:$Z$73,$T366))))</f>
        <v>#REF!</v>
      </c>
      <c r="N366" s="695" t="str">
        <f t="array" ref="N366">IF($S366="","",IF($S366="Lớp 5",INDEX('Lớp 5 - Phân công'!$AE$14:$AE$262,$T366),IF($S366="Lớp 4",INDEX('Lớp 4 - Danh mục'!$AD$14:$AD$132,$T366),INDEX('Lớp 3 - Công việc chính'!$AA$14:$AA$73,$T366))))</f>
        <v>#REF!</v>
      </c>
      <c r="O366" s="690" t="str">
        <f t="array" ref="O366">IF($S366="","",IF($S366="Lớp 5",INDEX('Lớp 5 - Phân công'!$AB$14:$AB$262,$T366),IF($S366="Lớp 4",INDEX('Lớp 4 - Danh mục'!$AA$14:$AA$132,$T366),INDEX('Lớp 3 - Công việc chính'!$X$14:$X$73,$T366))))</f>
        <v>#REF!</v>
      </c>
      <c r="P366" s="703" t="str">
        <f t="array" ref="P366">IF($S366="","",IF($S366="Lớp 5",INDEX('Lớp 5 - Phân công'!$AC$14:$AC$262,$T366),IF($S366="Lớp 4",INDEX('Lớp 4 - Danh mục'!$AB$14:$AB$132,$T366),INDEX('Lớp 3 - Công việc chính'!$Y$14:$Y$73,$T366))))</f>
        <v>#REF!</v>
      </c>
      <c r="Q366" s="697" t="str">
        <f t="array" ref="Q366">IF($S366="","",IF($S366="Lớp 5",INDEX('Lớp 5 - Phân công'!$AG$14:$AG$262,$T366),IF($S366="Lớp 4",INDEX('Lớp 4 - Danh mục'!$AF$14:$AF$132,$T366),INDEX('Lớp 3 - Công việc chính'!$AC$14:$AC$73,$T366))))</f>
        <v>#REF!</v>
      </c>
      <c r="R366" s="698" t="str">
        <f t="array" ref="R366">IF($S366="","",IF($S366="Lớp 5",INDEX('Lớp 5 - Phân công'!$X$14:$X$262,$T366),IF($S366="Lớp 4",INDEX('Lớp 4 - Danh mục'!$V$14:$V$132,$T366),INDEX('Lớp 3 - Công việc chính'!$T$14:$T$73,$T366))))</f>
        <v>#REF!</v>
      </c>
      <c r="S366" s="699" t="str">
        <f>IF(ROWS($S$14:S366)&lt;=COUNTIF('Lớp 5 - Phân công'!$I$14:$I$262,"&lt;&gt;"),"Lớp 5",IF(ROWS($S$14:S366)&lt;=COUNTIF('Lớp 5 - Phân công'!$I$14:$I$262,"&lt;&gt;")+SUMPRODUCT(--('Lớp 4 - Danh mục'!$I$14:$I$132&lt;&gt;""),--(COUNTIF('Lớp 5 - Phân công'!$J$14:$J$262,'Lớp 4 - Danh mục'!$I$14:$I$132)=0)),"Lớp 4",IF(ROWS($S$14:S366)&lt;=COUNTIF('Lớp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6" s="699" t="str">
        <f t="array" ref="T366">IF(S366="","",IF(S366="Lớp 5",IF(S365&lt;&gt;"Lớp 5",MATCH("*",'Lớp 5 - Phân công'!$I$14:$I$262,0),T365+MATCH("*",INDEX('Lớp 5 - Phân công'!$I$14:$I$262,T365+1):'Lớp 5 - Phân công'!$I$262,0)),IF(S366="Lớp 4",IF(S365&lt;&gt;"Lớp 4",MATCH(1,INDEX(('Lớp 4 - Danh mục'!$I$14:$I$132&lt;&gt;"")*(COUNTIF('Lớp 5 - Phân công'!$J$14:$J$262,'Lớp 4 - Danh mục'!$I$14:$I$132)=0),0),0),T365+MATCH(1,INDEX((INDEX('Lớp 4 - Danh mục'!$I$14:$I$132,T365+1):'Lớp 4 - Danh mục'!$I$132&lt;&gt;"")*(COUNTIF('Lớp 5 - Phân công'!$J$14:$J$262,INDEX('Lớp 4 - Danh mục'!$I$14:$I$132,T365+1):'Lớp 4 - Danh mục'!$I$132)=0),0),0)),IF(S365&lt;&gt;"Lớp 3",MATCH(1,INDEX(('Lớp 3 - Công việc chính'!$I$14:$I$73&lt;&gt;"")*(COUNTIF('Lớp 4 - Danh mục'!$J$14:$J$132,'Lớp 3 - Công việc chính'!$I$14:$I$73)=0),0),0),T365+MATCH(1,INDEX((INDEX('Lớp 3 - Công việc chính'!$I$14:$I$73,T365+1):'Lớp 3 - Công việc chính'!$I$73&lt;&gt;"")*(COUNTIF('Lớp 4 - Danh mục'!$J$14:$J$132,INDEX('Lớp 3 - Công việc chính'!$I$14:$I$73,T365+1):'Lớp 3 - Công việc chính'!$I$73)=0),0),0)))))</f>
        <v>#REF!</v>
      </c>
      <c r="Z366" s="700" t="str">
        <f t="array" ref="Z366">IF($S366="","",IF($S366="Lớp 5",INDEX('Lớp 5 - Phân công'!$AS$14:$AS$262,$T366),IF($S366="Lớp 4",INDEX('Lớp 4 - Danh mục'!$AR$14:$AR$132,$T366),INDEX('Lớp 3 - Công việc chính'!$AO$14:$AO$73,$T366))))</f>
        <v>#REF!</v>
      </c>
      <c r="AA366" s="701" t="str">
        <f t="array" ref="AA366">IF($S366="","",IF($S366="Lớp 5",INDEX('Lớp 5 - Phân công'!$AT$14:$AT$262,$T366),IF($S366="Lớp 4",INDEX('Lớp 4 - Danh mục'!$AS$14:$AS$132,$T366),INDEX('Lớp 3 - Công việc chính'!$AP$14:$AP$73,$T366))))</f>
        <v>#REF!</v>
      </c>
      <c r="AB366" s="701" t="str">
        <f t="array" ref="AB366">IF($S366="","",IF($S366="Lớp 5",INDEX('Lớp 5 - Phân công'!$AJ$14:$AJ$262,$T366),IF($S366="Lớp 4",INDEX('Lớp 4 - Danh mục'!$AI$14:$AI$132,$T366),INDEX('Lớp 3 - Công việc chính'!$AF$14:$AF$73,$T366))))</f>
        <v>#REF!</v>
      </c>
      <c r="AC366" s="702" t="str">
        <f t="array" ref="AC366">IF($S366="","",IF($S366="Lớp 5",INDEX('Lớp 5 - Phân công'!$AV$14:$AV$262,$T366),IF($S366="Lớp 4",INDEX('Lớp 4 - Danh mục'!$AU$14:$AU$132,$T366),INDEX('Lớp 3 - Công việc chính'!$AR$14:$AR$73,$T366))))</f>
        <v>#REF!</v>
      </c>
    </row>
    <row r="367" ht="15.75" customHeight="1">
      <c r="A367" s="690" t="str">
        <f t="shared" si="1"/>
        <v>#REF!</v>
      </c>
      <c r="B367" s="690" t="str">
        <f t="array" ref="B367">IF($S367="","",IF($S367="Lớp 5",INDEX('Lớp 5 - Phân công'!$I$14:$I$262,$T367),IF($S367="Lớp 4",INDEX('Lớp 4 - Danh mục'!$I$14:$I$132,$T367),INDEX('Lớp 3 - Công việc chính'!$I$14:$I$73,$T367))))</f>
        <v>#REF!</v>
      </c>
      <c r="C367" s="690" t="str">
        <f t="array" ref="C367">IF($S367="","",IF($S367="Lớp 5",INDEX('Lớp 5 - Phân công'!$K$14:$K$262,$T367),IF($S367="Lớp 4",INDEX('Lớp 4 - Danh mục'!$J$14:$J$132,$T367),INDEX('Lớp 3 - Công việc chính'!$I$14:$I$73,$T367))))</f>
        <v>#REF!</v>
      </c>
      <c r="D367" s="690" t="str">
        <f t="array" ref="D367">IF($S367="","",IF($S367="Lớp 5",INDEX('Lớp 5 - Phân công'!$J$14:$J$262,$T367),IF($S367="Lớp 4",INDEX('Lớp 4 - Danh mục'!$I$14:$I$132,$T367),"")))</f>
        <v>#REF!</v>
      </c>
      <c r="E367" s="690" t="str">
        <f t="array" ref="E367">IF($S367="","",IF($S367="Lớp 5",INDEX('Lớp 5 - Phân công'!$L$14:$L$262,$T367),IF($S367="Lớp 4",INDEX('Lớp 4 - Danh mục'!$K$14:$K$132,$T367),INDEX('Lớp 3 - Công việc chính'!$J$14:$J$73,$T367))))</f>
        <v>#REF!</v>
      </c>
      <c r="F367" s="690" t="str">
        <f t="array" ref="F367">IF($S367="","",IF($S367="Lớp 5",INDEX('Lớp 5 - Phân công'!$M$14:$M$262,$T367),IF($S367="Lớp 4",INDEX('Lớp 4 - Danh mục'!$L$14:$L$132,$T367),INDEX('Lớp 3 - Công việc chính'!$K$14:$K$73,$T367))))</f>
        <v>#REF!</v>
      </c>
      <c r="G367" s="691" t="str">
        <f t="array" ref="G367">IF($S367="","",IF($S367="Lớp 5",INDEX('Lớp 5 - Phân công'!$N$14:$N$262,$T367),IF($S367="Lớp 4",INDEX('Lớp 4 - Danh mục'!$M$14:$M$132,$T367),INDEX('Lớp 3 - Công việc chính'!$L$14:$L$73,$T367))))</f>
        <v>#REF!</v>
      </c>
      <c r="H367" s="692" t="str">
        <f t="array" ref="H367">IF($S367="","",IF($S367="Lớp 5",INDEX('Lớp 5 - Phân công'!$O$14:$O$262,$T367),IF($S367="Lớp 4",INDEX('Lớp 4 - Danh mục'!$N$14:$N$132,$T367),INDEX('Lớp 3 - Công việc chính'!$M$14:$M$73,$T367))))</f>
        <v>#REF!</v>
      </c>
      <c r="I367" s="692" t="str">
        <f t="array" ref="I367">IF($S367="","",IF($S367="Lớp 5",INDEX('Lớp 5 - Phân công'!$P$14:$P$262,$T367),IF($S367="Lớp 4",INDEX('Lớp 4 - Danh mục'!$O$14:$O$132,$T367),"")))</f>
        <v>#REF!</v>
      </c>
      <c r="J367" s="693" t="str">
        <f t="array" ref="J367">IF($S367="","",IF($S367="Lớp 5",INDEX('Lớp 5 - Phân công'!$Q$14:$Q$262,$T367),""))</f>
        <v>#REF!</v>
      </c>
      <c r="K367" s="690" t="str">
        <f t="array" ref="K367">IF($S367="","",IF($S367="Lớp 5",INDEX('Lớp 5 - Phân công'!$AA$14:$AA$262,$T367),IF($S367="Lớp 4",INDEX('Lớp 4 - Danh mục'!$Y$14:$Y$132,$T367),INDEX('Lớp 3 - Công việc chính'!$U$14:$U$73,$T367))))</f>
        <v>#REF!</v>
      </c>
      <c r="L367" s="691" t="str">
        <f t="array" ref="L367">IF($S367="","",IF($S367="Lớp 5",INDEX('Lớp 5 - Phân công'!$Z$14:$Z$262,$T367),IF($S367="Lớp 4",INDEX('Lớp 4 - Danh mục'!$X$14:$X$132,$T367),INDEX('Lớp 3 - Công việc chính'!$W$14:$W$73,$T367))))</f>
        <v>#REF!</v>
      </c>
      <c r="M367" s="694" t="str">
        <f t="array" ref="M367">IF($S367="","",IF($S367="Lớp 5",INDEX('Lớp 5 - Phân công'!$AD$14:$AD$262,$T367),IF($S367="Lớp 4",INDEX('Lớp 4 - Danh mục'!$AC$14:$AC$132,$T367),INDEX('Lớp 3 - Công việc chính'!$Z$14:$Z$73,$T367))))</f>
        <v>#REF!</v>
      </c>
      <c r="N367" s="695" t="str">
        <f t="array" ref="N367">IF($S367="","",IF($S367="Lớp 5",INDEX('Lớp 5 - Phân công'!$AE$14:$AE$262,$T367),IF($S367="Lớp 4",INDEX('Lớp 4 - Danh mục'!$AD$14:$AD$132,$T367),INDEX('Lớp 3 - Công việc chính'!$AA$14:$AA$73,$T367))))</f>
        <v>#REF!</v>
      </c>
      <c r="O367" s="690" t="str">
        <f t="array" ref="O367">IF($S367="","",IF($S367="Lớp 5",INDEX('Lớp 5 - Phân công'!$AB$14:$AB$262,$T367),IF($S367="Lớp 4",INDEX('Lớp 4 - Danh mục'!$AA$14:$AA$132,$T367),INDEX('Lớp 3 - Công việc chính'!$X$14:$X$73,$T367))))</f>
        <v>#REF!</v>
      </c>
      <c r="P367" s="703" t="str">
        <f t="array" ref="P367">IF($S367="","",IF($S367="Lớp 5",INDEX('Lớp 5 - Phân công'!$AC$14:$AC$262,$T367),IF($S367="Lớp 4",INDEX('Lớp 4 - Danh mục'!$AB$14:$AB$132,$T367),INDEX('Lớp 3 - Công việc chính'!$Y$14:$Y$73,$T367))))</f>
        <v>#REF!</v>
      </c>
      <c r="Q367" s="697" t="str">
        <f t="array" ref="Q367">IF($S367="","",IF($S367="Lớp 5",INDEX('Lớp 5 - Phân công'!$AG$14:$AG$262,$T367),IF($S367="Lớp 4",INDEX('Lớp 4 - Danh mục'!$AF$14:$AF$132,$T367),INDEX('Lớp 3 - Công việc chính'!$AC$14:$AC$73,$T367))))</f>
        <v>#REF!</v>
      </c>
      <c r="R367" s="698" t="str">
        <f t="array" ref="R367">IF($S367="","",IF($S367="Lớp 5",INDEX('Lớp 5 - Phân công'!$X$14:$X$262,$T367),IF($S367="Lớp 4",INDEX('Lớp 4 - Danh mục'!$V$14:$V$132,$T367),INDEX('Lớp 3 - Công việc chính'!$T$14:$T$73,$T367))))</f>
        <v>#REF!</v>
      </c>
      <c r="S367" s="699" t="str">
        <f>IF(ROWS($S$14:S367)&lt;=COUNTIF('Lớp 5 - Phân công'!$I$14:$I$262,"&lt;&gt;"),"Lớp 5",IF(ROWS($S$14:S367)&lt;=COUNTIF('Lớp 5 - Phân công'!$I$14:$I$262,"&lt;&gt;")+SUMPRODUCT(--('Lớp 4 - Danh mục'!$I$14:$I$132&lt;&gt;""),--(COUNTIF('Lớp 5 - Phân công'!$J$14:$J$262,'Lớp 4 - Danh mục'!$I$14:$I$132)=0)),"Lớp 4",IF(ROWS($S$14:S367)&lt;=COUNTIF('Lớp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7" s="699" t="str">
        <f t="array" ref="T367">IF(S367="","",IF(S367="Lớp 5",IF(S366&lt;&gt;"Lớp 5",MATCH("*",'Lớp 5 - Phân công'!$I$14:$I$262,0),T366+MATCH("*",INDEX('Lớp 5 - Phân công'!$I$14:$I$262,T366+1):'Lớp 5 - Phân công'!$I$262,0)),IF(S367="Lớp 4",IF(S366&lt;&gt;"Lớp 4",MATCH(1,INDEX(('Lớp 4 - Danh mục'!$I$14:$I$132&lt;&gt;"")*(COUNTIF('Lớp 5 - Phân công'!$J$14:$J$262,'Lớp 4 - Danh mục'!$I$14:$I$132)=0),0),0),T366+MATCH(1,INDEX((INDEX('Lớp 4 - Danh mục'!$I$14:$I$132,T366+1):'Lớp 4 - Danh mục'!$I$132&lt;&gt;"")*(COUNTIF('Lớp 5 - Phân công'!$J$14:$J$262,INDEX('Lớp 4 - Danh mục'!$I$14:$I$132,T366+1):'Lớp 4 - Danh mục'!$I$132)=0),0),0)),IF(S366&lt;&gt;"Lớp 3",MATCH(1,INDEX(('Lớp 3 - Công việc chính'!$I$14:$I$73&lt;&gt;"")*(COUNTIF('Lớp 4 - Danh mục'!$J$14:$J$132,'Lớp 3 - Công việc chính'!$I$14:$I$73)=0),0),0),T366+MATCH(1,INDEX((INDEX('Lớp 3 - Công việc chính'!$I$14:$I$73,T366+1):'Lớp 3 - Công việc chính'!$I$73&lt;&gt;"")*(COUNTIF('Lớp 4 - Danh mục'!$J$14:$J$132,INDEX('Lớp 3 - Công việc chính'!$I$14:$I$73,T366+1):'Lớp 3 - Công việc chính'!$I$73)=0),0),0)))))</f>
        <v>#REF!</v>
      </c>
      <c r="Z367" s="700" t="str">
        <f t="array" ref="Z367">IF($S367="","",IF($S367="Lớp 5",INDEX('Lớp 5 - Phân công'!$AS$14:$AS$262,$T367),IF($S367="Lớp 4",INDEX('Lớp 4 - Danh mục'!$AR$14:$AR$132,$T367),INDEX('Lớp 3 - Công việc chính'!$AO$14:$AO$73,$T367))))</f>
        <v>#REF!</v>
      </c>
      <c r="AA367" s="701" t="str">
        <f t="array" ref="AA367">IF($S367="","",IF($S367="Lớp 5",INDEX('Lớp 5 - Phân công'!$AT$14:$AT$262,$T367),IF($S367="Lớp 4",INDEX('Lớp 4 - Danh mục'!$AS$14:$AS$132,$T367),INDEX('Lớp 3 - Công việc chính'!$AP$14:$AP$73,$T367))))</f>
        <v>#REF!</v>
      </c>
      <c r="AB367" s="701" t="str">
        <f t="array" ref="AB367">IF($S367="","",IF($S367="Lớp 5",INDEX('Lớp 5 - Phân công'!$AJ$14:$AJ$262,$T367),IF($S367="Lớp 4",INDEX('Lớp 4 - Danh mục'!$AI$14:$AI$132,$T367),INDEX('Lớp 3 - Công việc chính'!$AF$14:$AF$73,$T367))))</f>
        <v>#REF!</v>
      </c>
      <c r="AC367" s="702" t="str">
        <f t="array" ref="AC367">IF($S367="","",IF($S367="Lớp 5",INDEX('Lớp 5 - Phân công'!$AV$14:$AV$262,$T367),IF($S367="Lớp 4",INDEX('Lớp 4 - Danh mục'!$AU$14:$AU$132,$T367),INDEX('Lớp 3 - Công việc chính'!$AR$14:$AR$73,$T367))))</f>
        <v>#REF!</v>
      </c>
    </row>
    <row r="368" ht="15.75" customHeight="1">
      <c r="A368" s="690" t="str">
        <f t="shared" si="1"/>
        <v>#REF!</v>
      </c>
      <c r="B368" s="690" t="str">
        <f t="array" ref="B368">IF($S368="","",IF($S368="Lớp 5",INDEX('Lớp 5 - Phân công'!$I$14:$I$262,$T368),IF($S368="Lớp 4",INDEX('Lớp 4 - Danh mục'!$I$14:$I$132,$T368),INDEX('Lớp 3 - Công việc chính'!$I$14:$I$73,$T368))))</f>
        <v>#REF!</v>
      </c>
      <c r="C368" s="690" t="str">
        <f t="array" ref="C368">IF($S368="","",IF($S368="Lớp 5",INDEX('Lớp 5 - Phân công'!$K$14:$K$262,$T368),IF($S368="Lớp 4",INDEX('Lớp 4 - Danh mục'!$J$14:$J$132,$T368),INDEX('Lớp 3 - Công việc chính'!$I$14:$I$73,$T368))))</f>
        <v>#REF!</v>
      </c>
      <c r="D368" s="690" t="str">
        <f t="array" ref="D368">IF($S368="","",IF($S368="Lớp 5",INDEX('Lớp 5 - Phân công'!$J$14:$J$262,$T368),IF($S368="Lớp 4",INDEX('Lớp 4 - Danh mục'!$I$14:$I$132,$T368),"")))</f>
        <v>#REF!</v>
      </c>
      <c r="E368" s="690" t="str">
        <f t="array" ref="E368">IF($S368="","",IF($S368="Lớp 5",INDEX('Lớp 5 - Phân công'!$L$14:$L$262,$T368),IF($S368="Lớp 4",INDEX('Lớp 4 - Danh mục'!$K$14:$K$132,$T368),INDEX('Lớp 3 - Công việc chính'!$J$14:$J$73,$T368))))</f>
        <v>#REF!</v>
      </c>
      <c r="F368" s="690" t="str">
        <f t="array" ref="F368">IF($S368="","",IF($S368="Lớp 5",INDEX('Lớp 5 - Phân công'!$M$14:$M$262,$T368),IF($S368="Lớp 4",INDEX('Lớp 4 - Danh mục'!$L$14:$L$132,$T368),INDEX('Lớp 3 - Công việc chính'!$K$14:$K$73,$T368))))</f>
        <v>#REF!</v>
      </c>
      <c r="G368" s="691" t="str">
        <f t="array" ref="G368">IF($S368="","",IF($S368="Lớp 5",INDEX('Lớp 5 - Phân công'!$N$14:$N$262,$T368),IF($S368="Lớp 4",INDEX('Lớp 4 - Danh mục'!$M$14:$M$132,$T368),INDEX('Lớp 3 - Công việc chính'!$L$14:$L$73,$T368))))</f>
        <v>#REF!</v>
      </c>
      <c r="H368" s="692" t="str">
        <f t="array" ref="H368">IF($S368="","",IF($S368="Lớp 5",INDEX('Lớp 5 - Phân công'!$O$14:$O$262,$T368),IF($S368="Lớp 4",INDEX('Lớp 4 - Danh mục'!$N$14:$N$132,$T368),INDEX('Lớp 3 - Công việc chính'!$M$14:$M$73,$T368))))</f>
        <v>#REF!</v>
      </c>
      <c r="I368" s="692" t="str">
        <f t="array" ref="I368">IF($S368="","",IF($S368="Lớp 5",INDEX('Lớp 5 - Phân công'!$P$14:$P$262,$T368),IF($S368="Lớp 4",INDEX('Lớp 4 - Danh mục'!$O$14:$O$132,$T368),"")))</f>
        <v>#REF!</v>
      </c>
      <c r="J368" s="693" t="str">
        <f t="array" ref="J368">IF($S368="","",IF($S368="Lớp 5",INDEX('Lớp 5 - Phân công'!$Q$14:$Q$262,$T368),""))</f>
        <v>#REF!</v>
      </c>
      <c r="K368" s="690" t="str">
        <f t="array" ref="K368">IF($S368="","",IF($S368="Lớp 5",INDEX('Lớp 5 - Phân công'!$AA$14:$AA$262,$T368),IF($S368="Lớp 4",INDEX('Lớp 4 - Danh mục'!$Y$14:$Y$132,$T368),INDEX('Lớp 3 - Công việc chính'!$U$14:$U$73,$T368))))</f>
        <v>#REF!</v>
      </c>
      <c r="L368" s="691" t="str">
        <f t="array" ref="L368">IF($S368="","",IF($S368="Lớp 5",INDEX('Lớp 5 - Phân công'!$Z$14:$Z$262,$T368),IF($S368="Lớp 4",INDEX('Lớp 4 - Danh mục'!$X$14:$X$132,$T368),INDEX('Lớp 3 - Công việc chính'!$W$14:$W$73,$T368))))</f>
        <v>#REF!</v>
      </c>
      <c r="M368" s="694" t="str">
        <f t="array" ref="M368">IF($S368="","",IF($S368="Lớp 5",INDEX('Lớp 5 - Phân công'!$AD$14:$AD$262,$T368),IF($S368="Lớp 4",INDEX('Lớp 4 - Danh mục'!$AC$14:$AC$132,$T368),INDEX('Lớp 3 - Công việc chính'!$Z$14:$Z$73,$T368))))</f>
        <v>#REF!</v>
      </c>
      <c r="N368" s="695" t="str">
        <f t="array" ref="N368">IF($S368="","",IF($S368="Lớp 5",INDEX('Lớp 5 - Phân công'!$AE$14:$AE$262,$T368),IF($S368="Lớp 4",INDEX('Lớp 4 - Danh mục'!$AD$14:$AD$132,$T368),INDEX('Lớp 3 - Công việc chính'!$AA$14:$AA$73,$T368))))</f>
        <v>#REF!</v>
      </c>
      <c r="O368" s="690" t="str">
        <f t="array" ref="O368">IF($S368="","",IF($S368="Lớp 5",INDEX('Lớp 5 - Phân công'!$AB$14:$AB$262,$T368),IF($S368="Lớp 4",INDEX('Lớp 4 - Danh mục'!$AA$14:$AA$132,$T368),INDEX('Lớp 3 - Công việc chính'!$X$14:$X$73,$T368))))</f>
        <v>#REF!</v>
      </c>
      <c r="P368" s="703" t="str">
        <f t="array" ref="P368">IF($S368="","",IF($S368="Lớp 5",INDEX('Lớp 5 - Phân công'!$AC$14:$AC$262,$T368),IF($S368="Lớp 4",INDEX('Lớp 4 - Danh mục'!$AB$14:$AB$132,$T368),INDEX('Lớp 3 - Công việc chính'!$Y$14:$Y$73,$T368))))</f>
        <v>#REF!</v>
      </c>
      <c r="Q368" s="697" t="str">
        <f t="array" ref="Q368">IF($S368="","",IF($S368="Lớp 5",INDEX('Lớp 5 - Phân công'!$AG$14:$AG$262,$T368),IF($S368="Lớp 4",INDEX('Lớp 4 - Danh mục'!$AF$14:$AF$132,$T368),INDEX('Lớp 3 - Công việc chính'!$AC$14:$AC$73,$T368))))</f>
        <v>#REF!</v>
      </c>
      <c r="R368" s="698" t="str">
        <f t="array" ref="R368">IF($S368="","",IF($S368="Lớp 5",INDEX('Lớp 5 - Phân công'!$X$14:$X$262,$T368),IF($S368="Lớp 4",INDEX('Lớp 4 - Danh mục'!$V$14:$V$132,$T368),INDEX('Lớp 3 - Công việc chính'!$T$14:$T$73,$T368))))</f>
        <v>#REF!</v>
      </c>
      <c r="S368" s="699" t="str">
        <f>IF(ROWS($S$14:S368)&lt;=COUNTIF('Lớp 5 - Phân công'!$I$14:$I$262,"&lt;&gt;"),"Lớp 5",IF(ROWS($S$14:S368)&lt;=COUNTIF('Lớp 5 - Phân công'!$I$14:$I$262,"&lt;&gt;")+SUMPRODUCT(--('Lớp 4 - Danh mục'!$I$14:$I$132&lt;&gt;""),--(COUNTIF('Lớp 5 - Phân công'!$J$14:$J$262,'Lớp 4 - Danh mục'!$I$14:$I$132)=0)),"Lớp 4",IF(ROWS($S$14:S368)&lt;=COUNTIF('Lớp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8" s="699" t="str">
        <f t="array" ref="T368">IF(S368="","",IF(S368="Lớp 5",IF(S367&lt;&gt;"Lớp 5",MATCH("*",'Lớp 5 - Phân công'!$I$14:$I$262,0),T367+MATCH("*",INDEX('Lớp 5 - Phân công'!$I$14:$I$262,T367+1):'Lớp 5 - Phân công'!$I$262,0)),IF(S368="Lớp 4",IF(S367&lt;&gt;"Lớp 4",MATCH(1,INDEX(('Lớp 4 - Danh mục'!$I$14:$I$132&lt;&gt;"")*(COUNTIF('Lớp 5 - Phân công'!$J$14:$J$262,'Lớp 4 - Danh mục'!$I$14:$I$132)=0),0),0),T367+MATCH(1,INDEX((INDEX('Lớp 4 - Danh mục'!$I$14:$I$132,T367+1):'Lớp 4 - Danh mục'!$I$132&lt;&gt;"")*(COUNTIF('Lớp 5 - Phân công'!$J$14:$J$262,INDEX('Lớp 4 - Danh mục'!$I$14:$I$132,T367+1):'Lớp 4 - Danh mục'!$I$132)=0),0),0)),IF(S367&lt;&gt;"Lớp 3",MATCH(1,INDEX(('Lớp 3 - Công việc chính'!$I$14:$I$73&lt;&gt;"")*(COUNTIF('Lớp 4 - Danh mục'!$J$14:$J$132,'Lớp 3 - Công việc chính'!$I$14:$I$73)=0),0),0),T367+MATCH(1,INDEX((INDEX('Lớp 3 - Công việc chính'!$I$14:$I$73,T367+1):'Lớp 3 - Công việc chính'!$I$73&lt;&gt;"")*(COUNTIF('Lớp 4 - Danh mục'!$J$14:$J$132,INDEX('Lớp 3 - Công việc chính'!$I$14:$I$73,T367+1):'Lớp 3 - Công việc chính'!$I$73)=0),0),0)))))</f>
        <v>#REF!</v>
      </c>
      <c r="Z368" s="700" t="str">
        <f t="array" ref="Z368">IF($S368="","",IF($S368="Lớp 5",INDEX('Lớp 5 - Phân công'!$AS$14:$AS$262,$T368),IF($S368="Lớp 4",INDEX('Lớp 4 - Danh mục'!$AR$14:$AR$132,$T368),INDEX('Lớp 3 - Công việc chính'!$AO$14:$AO$73,$T368))))</f>
        <v>#REF!</v>
      </c>
      <c r="AA368" s="701" t="str">
        <f t="array" ref="AA368">IF($S368="","",IF($S368="Lớp 5",INDEX('Lớp 5 - Phân công'!$AT$14:$AT$262,$T368),IF($S368="Lớp 4",INDEX('Lớp 4 - Danh mục'!$AS$14:$AS$132,$T368),INDEX('Lớp 3 - Công việc chính'!$AP$14:$AP$73,$T368))))</f>
        <v>#REF!</v>
      </c>
      <c r="AB368" s="701" t="str">
        <f t="array" ref="AB368">IF($S368="","",IF($S368="Lớp 5",INDEX('Lớp 5 - Phân công'!$AJ$14:$AJ$262,$T368),IF($S368="Lớp 4",INDEX('Lớp 4 - Danh mục'!$AI$14:$AI$132,$T368),INDEX('Lớp 3 - Công việc chính'!$AF$14:$AF$73,$T368))))</f>
        <v>#REF!</v>
      </c>
      <c r="AC368" s="702" t="str">
        <f t="array" ref="AC368">IF($S368="","",IF($S368="Lớp 5",INDEX('Lớp 5 - Phân công'!$AV$14:$AV$262,$T368),IF($S368="Lớp 4",INDEX('Lớp 4 - Danh mục'!$AU$14:$AU$132,$T368),INDEX('Lớp 3 - Công việc chính'!$AR$14:$AR$73,$T368))))</f>
        <v>#REF!</v>
      </c>
    </row>
    <row r="369" ht="15.75" customHeight="1">
      <c r="A369" s="690" t="str">
        <f t="shared" si="1"/>
        <v>#REF!</v>
      </c>
      <c r="B369" s="690" t="str">
        <f t="array" ref="B369">IF($S369="","",IF($S369="Lớp 5",INDEX('Lớp 5 - Phân công'!$I$14:$I$262,$T369),IF($S369="Lớp 4",INDEX('Lớp 4 - Danh mục'!$I$14:$I$132,$T369),INDEX('Lớp 3 - Công việc chính'!$I$14:$I$73,$T369))))</f>
        <v>#REF!</v>
      </c>
      <c r="C369" s="690" t="str">
        <f t="array" ref="C369">IF($S369="","",IF($S369="Lớp 5",INDEX('Lớp 5 - Phân công'!$K$14:$K$262,$T369),IF($S369="Lớp 4",INDEX('Lớp 4 - Danh mục'!$J$14:$J$132,$T369),INDEX('Lớp 3 - Công việc chính'!$I$14:$I$73,$T369))))</f>
        <v>#REF!</v>
      </c>
      <c r="D369" s="690" t="str">
        <f t="array" ref="D369">IF($S369="","",IF($S369="Lớp 5",INDEX('Lớp 5 - Phân công'!$J$14:$J$262,$T369),IF($S369="Lớp 4",INDEX('Lớp 4 - Danh mục'!$I$14:$I$132,$T369),"")))</f>
        <v>#REF!</v>
      </c>
      <c r="E369" s="690" t="str">
        <f t="array" ref="E369">IF($S369="","",IF($S369="Lớp 5",INDEX('Lớp 5 - Phân công'!$L$14:$L$262,$T369),IF($S369="Lớp 4",INDEX('Lớp 4 - Danh mục'!$K$14:$K$132,$T369),INDEX('Lớp 3 - Công việc chính'!$J$14:$J$73,$T369))))</f>
        <v>#REF!</v>
      </c>
      <c r="F369" s="690" t="str">
        <f t="array" ref="F369">IF($S369="","",IF($S369="Lớp 5",INDEX('Lớp 5 - Phân công'!$M$14:$M$262,$T369),IF($S369="Lớp 4",INDEX('Lớp 4 - Danh mục'!$L$14:$L$132,$T369),INDEX('Lớp 3 - Công việc chính'!$K$14:$K$73,$T369))))</f>
        <v>#REF!</v>
      </c>
      <c r="G369" s="691" t="str">
        <f t="array" ref="G369">IF($S369="","",IF($S369="Lớp 5",INDEX('Lớp 5 - Phân công'!$N$14:$N$262,$T369),IF($S369="Lớp 4",INDEX('Lớp 4 - Danh mục'!$M$14:$M$132,$T369),INDEX('Lớp 3 - Công việc chính'!$L$14:$L$73,$T369))))</f>
        <v>#REF!</v>
      </c>
      <c r="H369" s="692" t="str">
        <f t="array" ref="H369">IF($S369="","",IF($S369="Lớp 5",INDEX('Lớp 5 - Phân công'!$O$14:$O$262,$T369),IF($S369="Lớp 4",INDEX('Lớp 4 - Danh mục'!$N$14:$N$132,$T369),INDEX('Lớp 3 - Công việc chính'!$M$14:$M$73,$T369))))</f>
        <v>#REF!</v>
      </c>
      <c r="I369" s="692" t="str">
        <f t="array" ref="I369">IF($S369="","",IF($S369="Lớp 5",INDEX('Lớp 5 - Phân công'!$P$14:$P$262,$T369),IF($S369="Lớp 4",INDEX('Lớp 4 - Danh mục'!$O$14:$O$132,$T369),"")))</f>
        <v>#REF!</v>
      </c>
      <c r="J369" s="693" t="str">
        <f t="array" ref="J369">IF($S369="","",IF($S369="Lớp 5",INDEX('Lớp 5 - Phân công'!$Q$14:$Q$262,$T369),""))</f>
        <v>#REF!</v>
      </c>
      <c r="K369" s="690" t="str">
        <f t="array" ref="K369">IF($S369="","",IF($S369="Lớp 5",INDEX('Lớp 5 - Phân công'!$AA$14:$AA$262,$T369),IF($S369="Lớp 4",INDEX('Lớp 4 - Danh mục'!$Y$14:$Y$132,$T369),INDEX('Lớp 3 - Công việc chính'!$U$14:$U$73,$T369))))</f>
        <v>#REF!</v>
      </c>
      <c r="L369" s="691" t="str">
        <f t="array" ref="L369">IF($S369="","",IF($S369="Lớp 5",INDEX('Lớp 5 - Phân công'!$Z$14:$Z$262,$T369),IF($S369="Lớp 4",INDEX('Lớp 4 - Danh mục'!$X$14:$X$132,$T369),INDEX('Lớp 3 - Công việc chính'!$W$14:$W$73,$T369))))</f>
        <v>#REF!</v>
      </c>
      <c r="M369" s="694" t="str">
        <f t="array" ref="M369">IF($S369="","",IF($S369="Lớp 5",INDEX('Lớp 5 - Phân công'!$AD$14:$AD$262,$T369),IF($S369="Lớp 4",INDEX('Lớp 4 - Danh mục'!$AC$14:$AC$132,$T369),INDEX('Lớp 3 - Công việc chính'!$Z$14:$Z$73,$T369))))</f>
        <v>#REF!</v>
      </c>
      <c r="N369" s="695" t="str">
        <f t="array" ref="N369">IF($S369="","",IF($S369="Lớp 5",INDEX('Lớp 5 - Phân công'!$AE$14:$AE$262,$T369),IF($S369="Lớp 4",INDEX('Lớp 4 - Danh mục'!$AD$14:$AD$132,$T369),INDEX('Lớp 3 - Công việc chính'!$AA$14:$AA$73,$T369))))</f>
        <v>#REF!</v>
      </c>
      <c r="O369" s="690" t="str">
        <f t="array" ref="O369">IF($S369="","",IF($S369="Lớp 5",INDEX('Lớp 5 - Phân công'!$AB$14:$AB$262,$T369),IF($S369="Lớp 4",INDEX('Lớp 4 - Danh mục'!$AA$14:$AA$132,$T369),INDEX('Lớp 3 - Công việc chính'!$X$14:$X$73,$T369))))</f>
        <v>#REF!</v>
      </c>
      <c r="P369" s="703" t="str">
        <f t="array" ref="P369">IF($S369="","",IF($S369="Lớp 5",INDEX('Lớp 5 - Phân công'!$AC$14:$AC$262,$T369),IF($S369="Lớp 4",INDEX('Lớp 4 - Danh mục'!$AB$14:$AB$132,$T369),INDEX('Lớp 3 - Công việc chính'!$Y$14:$Y$73,$T369))))</f>
        <v>#REF!</v>
      </c>
      <c r="Q369" s="697" t="str">
        <f t="array" ref="Q369">IF($S369="","",IF($S369="Lớp 5",INDEX('Lớp 5 - Phân công'!$AG$14:$AG$262,$T369),IF($S369="Lớp 4",INDEX('Lớp 4 - Danh mục'!$AF$14:$AF$132,$T369),INDEX('Lớp 3 - Công việc chính'!$AC$14:$AC$73,$T369))))</f>
        <v>#REF!</v>
      </c>
      <c r="R369" s="698" t="str">
        <f t="array" ref="R369">IF($S369="","",IF($S369="Lớp 5",INDEX('Lớp 5 - Phân công'!$X$14:$X$262,$T369),IF($S369="Lớp 4",INDEX('Lớp 4 - Danh mục'!$V$14:$V$132,$T369),INDEX('Lớp 3 - Công việc chính'!$T$14:$T$73,$T369))))</f>
        <v>#REF!</v>
      </c>
      <c r="S369" s="699" t="str">
        <f>IF(ROWS($S$14:S369)&lt;=COUNTIF('Lớp 5 - Phân công'!$I$14:$I$262,"&lt;&gt;"),"Lớp 5",IF(ROWS($S$14:S369)&lt;=COUNTIF('Lớp 5 - Phân công'!$I$14:$I$262,"&lt;&gt;")+SUMPRODUCT(--('Lớp 4 - Danh mục'!$I$14:$I$132&lt;&gt;""),--(COUNTIF('Lớp 5 - Phân công'!$J$14:$J$262,'Lớp 4 - Danh mục'!$I$14:$I$132)=0)),"Lớp 4",IF(ROWS($S$14:S369)&lt;=COUNTIF('Lớp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69" s="699" t="str">
        <f t="array" ref="T369">IF(S369="","",IF(S369="Lớp 5",IF(S368&lt;&gt;"Lớp 5",MATCH("*",'Lớp 5 - Phân công'!$I$14:$I$262,0),T368+MATCH("*",INDEX('Lớp 5 - Phân công'!$I$14:$I$262,T368+1):'Lớp 5 - Phân công'!$I$262,0)),IF(S369="Lớp 4",IF(S368&lt;&gt;"Lớp 4",MATCH(1,INDEX(('Lớp 4 - Danh mục'!$I$14:$I$132&lt;&gt;"")*(COUNTIF('Lớp 5 - Phân công'!$J$14:$J$262,'Lớp 4 - Danh mục'!$I$14:$I$132)=0),0),0),T368+MATCH(1,INDEX((INDEX('Lớp 4 - Danh mục'!$I$14:$I$132,T368+1):'Lớp 4 - Danh mục'!$I$132&lt;&gt;"")*(COUNTIF('Lớp 5 - Phân công'!$J$14:$J$262,INDEX('Lớp 4 - Danh mục'!$I$14:$I$132,T368+1):'Lớp 4 - Danh mục'!$I$132)=0),0),0)),IF(S368&lt;&gt;"Lớp 3",MATCH(1,INDEX(('Lớp 3 - Công việc chính'!$I$14:$I$73&lt;&gt;"")*(COUNTIF('Lớp 4 - Danh mục'!$J$14:$J$132,'Lớp 3 - Công việc chính'!$I$14:$I$73)=0),0),0),T368+MATCH(1,INDEX((INDEX('Lớp 3 - Công việc chính'!$I$14:$I$73,T368+1):'Lớp 3 - Công việc chính'!$I$73&lt;&gt;"")*(COUNTIF('Lớp 4 - Danh mục'!$J$14:$J$132,INDEX('Lớp 3 - Công việc chính'!$I$14:$I$73,T368+1):'Lớp 3 - Công việc chính'!$I$73)=0),0),0)))))</f>
        <v>#REF!</v>
      </c>
      <c r="Z369" s="700" t="str">
        <f t="array" ref="Z369">IF($S369="","",IF($S369="Lớp 5",INDEX('Lớp 5 - Phân công'!$AS$14:$AS$262,$T369),IF($S369="Lớp 4",INDEX('Lớp 4 - Danh mục'!$AR$14:$AR$132,$T369),INDEX('Lớp 3 - Công việc chính'!$AO$14:$AO$73,$T369))))</f>
        <v>#REF!</v>
      </c>
      <c r="AA369" s="701" t="str">
        <f t="array" ref="AA369">IF($S369="","",IF($S369="Lớp 5",INDEX('Lớp 5 - Phân công'!$AT$14:$AT$262,$T369),IF($S369="Lớp 4",INDEX('Lớp 4 - Danh mục'!$AS$14:$AS$132,$T369),INDEX('Lớp 3 - Công việc chính'!$AP$14:$AP$73,$T369))))</f>
        <v>#REF!</v>
      </c>
      <c r="AB369" s="701" t="str">
        <f t="array" ref="AB369">IF($S369="","",IF($S369="Lớp 5",INDEX('Lớp 5 - Phân công'!$AJ$14:$AJ$262,$T369),IF($S369="Lớp 4",INDEX('Lớp 4 - Danh mục'!$AI$14:$AI$132,$T369),INDEX('Lớp 3 - Công việc chính'!$AF$14:$AF$73,$T369))))</f>
        <v>#REF!</v>
      </c>
      <c r="AC369" s="702" t="str">
        <f t="array" ref="AC369">IF($S369="","",IF($S369="Lớp 5",INDEX('Lớp 5 - Phân công'!$AV$14:$AV$262,$T369),IF($S369="Lớp 4",INDEX('Lớp 4 - Danh mục'!$AU$14:$AU$132,$T369),INDEX('Lớp 3 - Công việc chính'!$AR$14:$AR$73,$T369))))</f>
        <v>#REF!</v>
      </c>
    </row>
    <row r="370" ht="15.75" customHeight="1">
      <c r="A370" s="690" t="str">
        <f t="shared" si="1"/>
        <v>#REF!</v>
      </c>
      <c r="B370" s="690" t="str">
        <f t="array" ref="B370">IF($S370="","",IF($S370="Lớp 5",INDEX('Lớp 5 - Phân công'!$I$14:$I$262,$T370),IF($S370="Lớp 4",INDEX('Lớp 4 - Danh mục'!$I$14:$I$132,$T370),INDEX('Lớp 3 - Công việc chính'!$I$14:$I$73,$T370))))</f>
        <v>#REF!</v>
      </c>
      <c r="C370" s="690" t="str">
        <f t="array" ref="C370">IF($S370="","",IF($S370="Lớp 5",INDEX('Lớp 5 - Phân công'!$K$14:$K$262,$T370),IF($S370="Lớp 4",INDEX('Lớp 4 - Danh mục'!$J$14:$J$132,$T370),INDEX('Lớp 3 - Công việc chính'!$I$14:$I$73,$T370))))</f>
        <v>#REF!</v>
      </c>
      <c r="D370" s="690" t="str">
        <f t="array" ref="D370">IF($S370="","",IF($S370="Lớp 5",INDEX('Lớp 5 - Phân công'!$J$14:$J$262,$T370),IF($S370="Lớp 4",INDEX('Lớp 4 - Danh mục'!$I$14:$I$132,$T370),"")))</f>
        <v>#REF!</v>
      </c>
      <c r="E370" s="690" t="str">
        <f t="array" ref="E370">IF($S370="","",IF($S370="Lớp 5",INDEX('Lớp 5 - Phân công'!$L$14:$L$262,$T370),IF($S370="Lớp 4",INDEX('Lớp 4 - Danh mục'!$K$14:$K$132,$T370),INDEX('Lớp 3 - Công việc chính'!$J$14:$J$73,$T370))))</f>
        <v>#REF!</v>
      </c>
      <c r="F370" s="690" t="str">
        <f t="array" ref="F370">IF($S370="","",IF($S370="Lớp 5",INDEX('Lớp 5 - Phân công'!$M$14:$M$262,$T370),IF($S370="Lớp 4",INDEX('Lớp 4 - Danh mục'!$L$14:$L$132,$T370),INDEX('Lớp 3 - Công việc chính'!$K$14:$K$73,$T370))))</f>
        <v>#REF!</v>
      </c>
      <c r="G370" s="691" t="str">
        <f t="array" ref="G370">IF($S370="","",IF($S370="Lớp 5",INDEX('Lớp 5 - Phân công'!$N$14:$N$262,$T370),IF($S370="Lớp 4",INDEX('Lớp 4 - Danh mục'!$M$14:$M$132,$T370),INDEX('Lớp 3 - Công việc chính'!$L$14:$L$73,$T370))))</f>
        <v>#REF!</v>
      </c>
      <c r="H370" s="692" t="str">
        <f t="array" ref="H370">IF($S370="","",IF($S370="Lớp 5",INDEX('Lớp 5 - Phân công'!$O$14:$O$262,$T370),IF($S370="Lớp 4",INDEX('Lớp 4 - Danh mục'!$N$14:$N$132,$T370),INDEX('Lớp 3 - Công việc chính'!$M$14:$M$73,$T370))))</f>
        <v>#REF!</v>
      </c>
      <c r="I370" s="692" t="str">
        <f t="array" ref="I370">IF($S370="","",IF($S370="Lớp 5",INDEX('Lớp 5 - Phân công'!$P$14:$P$262,$T370),IF($S370="Lớp 4",INDEX('Lớp 4 - Danh mục'!$O$14:$O$132,$T370),"")))</f>
        <v>#REF!</v>
      </c>
      <c r="J370" s="693" t="str">
        <f t="array" ref="J370">IF($S370="","",IF($S370="Lớp 5",INDEX('Lớp 5 - Phân công'!$Q$14:$Q$262,$T370),""))</f>
        <v>#REF!</v>
      </c>
      <c r="K370" s="690" t="str">
        <f t="array" ref="K370">IF($S370="","",IF($S370="Lớp 5",INDEX('Lớp 5 - Phân công'!$AA$14:$AA$262,$T370),IF($S370="Lớp 4",INDEX('Lớp 4 - Danh mục'!$Y$14:$Y$132,$T370),INDEX('Lớp 3 - Công việc chính'!$U$14:$U$73,$T370))))</f>
        <v>#REF!</v>
      </c>
      <c r="L370" s="691" t="str">
        <f t="array" ref="L370">IF($S370="","",IF($S370="Lớp 5",INDEX('Lớp 5 - Phân công'!$Z$14:$Z$262,$T370),IF($S370="Lớp 4",INDEX('Lớp 4 - Danh mục'!$X$14:$X$132,$T370),INDEX('Lớp 3 - Công việc chính'!$W$14:$W$73,$T370))))</f>
        <v>#REF!</v>
      </c>
      <c r="M370" s="694" t="str">
        <f t="array" ref="M370">IF($S370="","",IF($S370="Lớp 5",INDEX('Lớp 5 - Phân công'!$AD$14:$AD$262,$T370),IF($S370="Lớp 4",INDEX('Lớp 4 - Danh mục'!$AC$14:$AC$132,$T370),INDEX('Lớp 3 - Công việc chính'!$Z$14:$Z$73,$T370))))</f>
        <v>#REF!</v>
      </c>
      <c r="N370" s="695" t="str">
        <f t="array" ref="N370">IF($S370="","",IF($S370="Lớp 5",INDEX('Lớp 5 - Phân công'!$AE$14:$AE$262,$T370),IF($S370="Lớp 4",INDEX('Lớp 4 - Danh mục'!$AD$14:$AD$132,$T370),INDEX('Lớp 3 - Công việc chính'!$AA$14:$AA$73,$T370))))</f>
        <v>#REF!</v>
      </c>
      <c r="O370" s="690" t="str">
        <f t="array" ref="O370">IF($S370="","",IF($S370="Lớp 5",INDEX('Lớp 5 - Phân công'!$AB$14:$AB$262,$T370),IF($S370="Lớp 4",INDEX('Lớp 4 - Danh mục'!$AA$14:$AA$132,$T370),INDEX('Lớp 3 - Công việc chính'!$X$14:$X$73,$T370))))</f>
        <v>#REF!</v>
      </c>
      <c r="P370" s="703" t="str">
        <f t="array" ref="P370">IF($S370="","",IF($S370="Lớp 5",INDEX('Lớp 5 - Phân công'!$AC$14:$AC$262,$T370),IF($S370="Lớp 4",INDEX('Lớp 4 - Danh mục'!$AB$14:$AB$132,$T370),INDEX('Lớp 3 - Công việc chính'!$Y$14:$Y$73,$T370))))</f>
        <v>#REF!</v>
      </c>
      <c r="Q370" s="697" t="str">
        <f t="array" ref="Q370">IF($S370="","",IF($S370="Lớp 5",INDEX('Lớp 5 - Phân công'!$AG$14:$AG$262,$T370),IF($S370="Lớp 4",INDEX('Lớp 4 - Danh mục'!$AF$14:$AF$132,$T370),INDEX('Lớp 3 - Công việc chính'!$AC$14:$AC$73,$T370))))</f>
        <v>#REF!</v>
      </c>
      <c r="R370" s="698" t="str">
        <f t="array" ref="R370">IF($S370="","",IF($S370="Lớp 5",INDEX('Lớp 5 - Phân công'!$X$14:$X$262,$T370),IF($S370="Lớp 4",INDEX('Lớp 4 - Danh mục'!$V$14:$V$132,$T370),INDEX('Lớp 3 - Công việc chính'!$T$14:$T$73,$T370))))</f>
        <v>#REF!</v>
      </c>
      <c r="S370" s="699" t="str">
        <f>IF(ROWS($S$14:S370)&lt;=COUNTIF('Lớp 5 - Phân công'!$I$14:$I$262,"&lt;&gt;"),"Lớp 5",IF(ROWS($S$14:S370)&lt;=COUNTIF('Lớp 5 - Phân công'!$I$14:$I$262,"&lt;&gt;")+SUMPRODUCT(--('Lớp 4 - Danh mục'!$I$14:$I$132&lt;&gt;""),--(COUNTIF('Lớp 5 - Phân công'!$J$14:$J$262,'Lớp 4 - Danh mục'!$I$14:$I$132)=0)),"Lớp 4",IF(ROWS($S$14:S370)&lt;=COUNTIF('Lớp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0" s="699" t="str">
        <f t="array" ref="T370">IF(S370="","",IF(S370="Lớp 5",IF(S369&lt;&gt;"Lớp 5",MATCH("*",'Lớp 5 - Phân công'!$I$14:$I$262,0),T369+MATCH("*",INDEX('Lớp 5 - Phân công'!$I$14:$I$262,T369+1):'Lớp 5 - Phân công'!$I$262,0)),IF(S370="Lớp 4",IF(S369&lt;&gt;"Lớp 4",MATCH(1,INDEX(('Lớp 4 - Danh mục'!$I$14:$I$132&lt;&gt;"")*(COUNTIF('Lớp 5 - Phân công'!$J$14:$J$262,'Lớp 4 - Danh mục'!$I$14:$I$132)=0),0),0),T369+MATCH(1,INDEX((INDEX('Lớp 4 - Danh mục'!$I$14:$I$132,T369+1):'Lớp 4 - Danh mục'!$I$132&lt;&gt;"")*(COUNTIF('Lớp 5 - Phân công'!$J$14:$J$262,INDEX('Lớp 4 - Danh mục'!$I$14:$I$132,T369+1):'Lớp 4 - Danh mục'!$I$132)=0),0),0)),IF(S369&lt;&gt;"Lớp 3",MATCH(1,INDEX(('Lớp 3 - Công việc chính'!$I$14:$I$73&lt;&gt;"")*(COUNTIF('Lớp 4 - Danh mục'!$J$14:$J$132,'Lớp 3 - Công việc chính'!$I$14:$I$73)=0),0),0),T369+MATCH(1,INDEX((INDEX('Lớp 3 - Công việc chính'!$I$14:$I$73,T369+1):'Lớp 3 - Công việc chính'!$I$73&lt;&gt;"")*(COUNTIF('Lớp 4 - Danh mục'!$J$14:$J$132,INDEX('Lớp 3 - Công việc chính'!$I$14:$I$73,T369+1):'Lớp 3 - Công việc chính'!$I$73)=0),0),0)))))</f>
        <v>#REF!</v>
      </c>
      <c r="Z370" s="700" t="str">
        <f t="array" ref="Z370">IF($S370="","",IF($S370="Lớp 5",INDEX('Lớp 5 - Phân công'!$AS$14:$AS$262,$T370),IF($S370="Lớp 4",INDEX('Lớp 4 - Danh mục'!$AR$14:$AR$132,$T370),INDEX('Lớp 3 - Công việc chính'!$AO$14:$AO$73,$T370))))</f>
        <v>#REF!</v>
      </c>
      <c r="AA370" s="701" t="str">
        <f t="array" ref="AA370">IF($S370="","",IF($S370="Lớp 5",INDEX('Lớp 5 - Phân công'!$AT$14:$AT$262,$T370),IF($S370="Lớp 4",INDEX('Lớp 4 - Danh mục'!$AS$14:$AS$132,$T370),INDEX('Lớp 3 - Công việc chính'!$AP$14:$AP$73,$T370))))</f>
        <v>#REF!</v>
      </c>
      <c r="AB370" s="701" t="str">
        <f t="array" ref="AB370">IF($S370="","",IF($S370="Lớp 5",INDEX('Lớp 5 - Phân công'!$AJ$14:$AJ$262,$T370),IF($S370="Lớp 4",INDEX('Lớp 4 - Danh mục'!$AI$14:$AI$132,$T370),INDEX('Lớp 3 - Công việc chính'!$AF$14:$AF$73,$T370))))</f>
        <v>#REF!</v>
      </c>
      <c r="AC370" s="702" t="str">
        <f t="array" ref="AC370">IF($S370="","",IF($S370="Lớp 5",INDEX('Lớp 5 - Phân công'!$AV$14:$AV$262,$T370),IF($S370="Lớp 4",INDEX('Lớp 4 - Danh mục'!$AU$14:$AU$132,$T370),INDEX('Lớp 3 - Công việc chính'!$AR$14:$AR$73,$T370))))</f>
        <v>#REF!</v>
      </c>
    </row>
    <row r="371" ht="15.75" customHeight="1">
      <c r="A371" s="690" t="str">
        <f t="shared" si="1"/>
        <v>#REF!</v>
      </c>
      <c r="B371" s="690" t="str">
        <f t="array" ref="B371">IF($S371="","",IF($S371="Lớp 5",INDEX('Lớp 5 - Phân công'!$I$14:$I$262,$T371),IF($S371="Lớp 4",INDEX('Lớp 4 - Danh mục'!$I$14:$I$132,$T371),INDEX('Lớp 3 - Công việc chính'!$I$14:$I$73,$T371))))</f>
        <v>#REF!</v>
      </c>
      <c r="C371" s="690" t="str">
        <f t="array" ref="C371">IF($S371="","",IF($S371="Lớp 5",INDEX('Lớp 5 - Phân công'!$K$14:$K$262,$T371),IF($S371="Lớp 4",INDEX('Lớp 4 - Danh mục'!$J$14:$J$132,$T371),INDEX('Lớp 3 - Công việc chính'!$I$14:$I$73,$T371))))</f>
        <v>#REF!</v>
      </c>
      <c r="D371" s="690" t="str">
        <f t="array" ref="D371">IF($S371="","",IF($S371="Lớp 5",INDEX('Lớp 5 - Phân công'!$J$14:$J$262,$T371),IF($S371="Lớp 4",INDEX('Lớp 4 - Danh mục'!$I$14:$I$132,$T371),"")))</f>
        <v>#REF!</v>
      </c>
      <c r="E371" s="690" t="str">
        <f t="array" ref="E371">IF($S371="","",IF($S371="Lớp 5",INDEX('Lớp 5 - Phân công'!$L$14:$L$262,$T371),IF($S371="Lớp 4",INDEX('Lớp 4 - Danh mục'!$K$14:$K$132,$T371),INDEX('Lớp 3 - Công việc chính'!$J$14:$J$73,$T371))))</f>
        <v>#REF!</v>
      </c>
      <c r="F371" s="690" t="str">
        <f t="array" ref="F371">IF($S371="","",IF($S371="Lớp 5",INDEX('Lớp 5 - Phân công'!$M$14:$M$262,$T371),IF($S371="Lớp 4",INDEX('Lớp 4 - Danh mục'!$L$14:$L$132,$T371),INDEX('Lớp 3 - Công việc chính'!$K$14:$K$73,$T371))))</f>
        <v>#REF!</v>
      </c>
      <c r="G371" s="691" t="str">
        <f t="array" ref="G371">IF($S371="","",IF($S371="Lớp 5",INDEX('Lớp 5 - Phân công'!$N$14:$N$262,$T371),IF($S371="Lớp 4",INDEX('Lớp 4 - Danh mục'!$M$14:$M$132,$T371),INDEX('Lớp 3 - Công việc chính'!$L$14:$L$73,$T371))))</f>
        <v>#REF!</v>
      </c>
      <c r="H371" s="692" t="str">
        <f t="array" ref="H371">IF($S371="","",IF($S371="Lớp 5",INDEX('Lớp 5 - Phân công'!$O$14:$O$262,$T371),IF($S371="Lớp 4",INDEX('Lớp 4 - Danh mục'!$N$14:$N$132,$T371),INDEX('Lớp 3 - Công việc chính'!$M$14:$M$73,$T371))))</f>
        <v>#REF!</v>
      </c>
      <c r="I371" s="692" t="str">
        <f t="array" ref="I371">IF($S371="","",IF($S371="Lớp 5",INDEX('Lớp 5 - Phân công'!$P$14:$P$262,$T371),IF($S371="Lớp 4",INDEX('Lớp 4 - Danh mục'!$O$14:$O$132,$T371),"")))</f>
        <v>#REF!</v>
      </c>
      <c r="J371" s="693" t="str">
        <f t="array" ref="J371">IF($S371="","",IF($S371="Lớp 5",INDEX('Lớp 5 - Phân công'!$Q$14:$Q$262,$T371),""))</f>
        <v>#REF!</v>
      </c>
      <c r="K371" s="690" t="str">
        <f t="array" ref="K371">IF($S371="","",IF($S371="Lớp 5",INDEX('Lớp 5 - Phân công'!$AA$14:$AA$262,$T371),IF($S371="Lớp 4",INDEX('Lớp 4 - Danh mục'!$Y$14:$Y$132,$T371),INDEX('Lớp 3 - Công việc chính'!$U$14:$U$73,$T371))))</f>
        <v>#REF!</v>
      </c>
      <c r="L371" s="691" t="str">
        <f t="array" ref="L371">IF($S371="","",IF($S371="Lớp 5",INDEX('Lớp 5 - Phân công'!$Z$14:$Z$262,$T371),IF($S371="Lớp 4",INDEX('Lớp 4 - Danh mục'!$X$14:$X$132,$T371),INDEX('Lớp 3 - Công việc chính'!$W$14:$W$73,$T371))))</f>
        <v>#REF!</v>
      </c>
      <c r="M371" s="694" t="str">
        <f t="array" ref="M371">IF($S371="","",IF($S371="Lớp 5",INDEX('Lớp 5 - Phân công'!$AD$14:$AD$262,$T371),IF($S371="Lớp 4",INDEX('Lớp 4 - Danh mục'!$AC$14:$AC$132,$T371),INDEX('Lớp 3 - Công việc chính'!$Z$14:$Z$73,$T371))))</f>
        <v>#REF!</v>
      </c>
      <c r="N371" s="695" t="str">
        <f t="array" ref="N371">IF($S371="","",IF($S371="Lớp 5",INDEX('Lớp 5 - Phân công'!$AE$14:$AE$262,$T371),IF($S371="Lớp 4",INDEX('Lớp 4 - Danh mục'!$AD$14:$AD$132,$T371),INDEX('Lớp 3 - Công việc chính'!$AA$14:$AA$73,$T371))))</f>
        <v>#REF!</v>
      </c>
      <c r="O371" s="690" t="str">
        <f t="array" ref="O371">IF($S371="","",IF($S371="Lớp 5",INDEX('Lớp 5 - Phân công'!$AB$14:$AB$262,$T371),IF($S371="Lớp 4",INDEX('Lớp 4 - Danh mục'!$AA$14:$AA$132,$T371),INDEX('Lớp 3 - Công việc chính'!$X$14:$X$73,$T371))))</f>
        <v>#REF!</v>
      </c>
      <c r="P371" s="703" t="str">
        <f t="array" ref="P371">IF($S371="","",IF($S371="Lớp 5",INDEX('Lớp 5 - Phân công'!$AC$14:$AC$262,$T371),IF($S371="Lớp 4",INDEX('Lớp 4 - Danh mục'!$AB$14:$AB$132,$T371),INDEX('Lớp 3 - Công việc chính'!$Y$14:$Y$73,$T371))))</f>
        <v>#REF!</v>
      </c>
      <c r="Q371" s="697" t="str">
        <f t="array" ref="Q371">IF($S371="","",IF($S371="Lớp 5",INDEX('Lớp 5 - Phân công'!$AG$14:$AG$262,$T371),IF($S371="Lớp 4",INDEX('Lớp 4 - Danh mục'!$AF$14:$AF$132,$T371),INDEX('Lớp 3 - Công việc chính'!$AC$14:$AC$73,$T371))))</f>
        <v>#REF!</v>
      </c>
      <c r="R371" s="698" t="str">
        <f t="array" ref="R371">IF($S371="","",IF($S371="Lớp 5",INDEX('Lớp 5 - Phân công'!$X$14:$X$262,$T371),IF($S371="Lớp 4",INDEX('Lớp 4 - Danh mục'!$V$14:$V$132,$T371),INDEX('Lớp 3 - Công việc chính'!$T$14:$T$73,$T371))))</f>
        <v>#REF!</v>
      </c>
      <c r="S371" s="699" t="str">
        <f>IF(ROWS($S$14:S371)&lt;=COUNTIF('Lớp 5 - Phân công'!$I$14:$I$262,"&lt;&gt;"),"Lớp 5",IF(ROWS($S$14:S371)&lt;=COUNTIF('Lớp 5 - Phân công'!$I$14:$I$262,"&lt;&gt;")+SUMPRODUCT(--('Lớp 4 - Danh mục'!$I$14:$I$132&lt;&gt;""),--(COUNTIF('Lớp 5 - Phân công'!$J$14:$J$262,'Lớp 4 - Danh mục'!$I$14:$I$132)=0)),"Lớp 4",IF(ROWS($S$14:S371)&lt;=COUNTIF('Lớp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1" s="699" t="str">
        <f t="array" ref="T371">IF(S371="","",IF(S371="Lớp 5",IF(S370&lt;&gt;"Lớp 5",MATCH("*",'Lớp 5 - Phân công'!$I$14:$I$262,0),T370+MATCH("*",INDEX('Lớp 5 - Phân công'!$I$14:$I$262,T370+1):'Lớp 5 - Phân công'!$I$262,0)),IF(S371="Lớp 4",IF(S370&lt;&gt;"Lớp 4",MATCH(1,INDEX(('Lớp 4 - Danh mục'!$I$14:$I$132&lt;&gt;"")*(COUNTIF('Lớp 5 - Phân công'!$J$14:$J$262,'Lớp 4 - Danh mục'!$I$14:$I$132)=0),0),0),T370+MATCH(1,INDEX((INDEX('Lớp 4 - Danh mục'!$I$14:$I$132,T370+1):'Lớp 4 - Danh mục'!$I$132&lt;&gt;"")*(COUNTIF('Lớp 5 - Phân công'!$J$14:$J$262,INDEX('Lớp 4 - Danh mục'!$I$14:$I$132,T370+1):'Lớp 4 - Danh mục'!$I$132)=0),0),0)),IF(S370&lt;&gt;"Lớp 3",MATCH(1,INDEX(('Lớp 3 - Công việc chính'!$I$14:$I$73&lt;&gt;"")*(COUNTIF('Lớp 4 - Danh mục'!$J$14:$J$132,'Lớp 3 - Công việc chính'!$I$14:$I$73)=0),0),0),T370+MATCH(1,INDEX((INDEX('Lớp 3 - Công việc chính'!$I$14:$I$73,T370+1):'Lớp 3 - Công việc chính'!$I$73&lt;&gt;"")*(COUNTIF('Lớp 4 - Danh mục'!$J$14:$J$132,INDEX('Lớp 3 - Công việc chính'!$I$14:$I$73,T370+1):'Lớp 3 - Công việc chính'!$I$73)=0),0),0)))))</f>
        <v>#REF!</v>
      </c>
      <c r="Z371" s="700" t="str">
        <f t="array" ref="Z371">IF($S371="","",IF($S371="Lớp 5",INDEX('Lớp 5 - Phân công'!$AS$14:$AS$262,$T371),IF($S371="Lớp 4",INDEX('Lớp 4 - Danh mục'!$AR$14:$AR$132,$T371),INDEX('Lớp 3 - Công việc chính'!$AO$14:$AO$73,$T371))))</f>
        <v>#REF!</v>
      </c>
      <c r="AA371" s="701" t="str">
        <f t="array" ref="AA371">IF($S371="","",IF($S371="Lớp 5",INDEX('Lớp 5 - Phân công'!$AT$14:$AT$262,$T371),IF($S371="Lớp 4",INDEX('Lớp 4 - Danh mục'!$AS$14:$AS$132,$T371),INDEX('Lớp 3 - Công việc chính'!$AP$14:$AP$73,$T371))))</f>
        <v>#REF!</v>
      </c>
      <c r="AB371" s="701" t="str">
        <f t="array" ref="AB371">IF($S371="","",IF($S371="Lớp 5",INDEX('Lớp 5 - Phân công'!$AJ$14:$AJ$262,$T371),IF($S371="Lớp 4",INDEX('Lớp 4 - Danh mục'!$AI$14:$AI$132,$T371),INDEX('Lớp 3 - Công việc chính'!$AF$14:$AF$73,$T371))))</f>
        <v>#REF!</v>
      </c>
      <c r="AC371" s="702" t="str">
        <f t="array" ref="AC371">IF($S371="","",IF($S371="Lớp 5",INDEX('Lớp 5 - Phân công'!$AV$14:$AV$262,$T371),IF($S371="Lớp 4",INDEX('Lớp 4 - Danh mục'!$AU$14:$AU$132,$T371),INDEX('Lớp 3 - Công việc chính'!$AR$14:$AR$73,$T371))))</f>
        <v>#REF!</v>
      </c>
    </row>
    <row r="372" ht="15.75" customHeight="1">
      <c r="A372" s="690" t="str">
        <f t="shared" si="1"/>
        <v>#REF!</v>
      </c>
      <c r="B372" s="690" t="str">
        <f t="array" ref="B372">IF($S372="","",IF($S372="Lớp 5",INDEX('Lớp 5 - Phân công'!$I$14:$I$262,$T372),IF($S372="Lớp 4",INDEX('Lớp 4 - Danh mục'!$I$14:$I$132,$T372),INDEX('Lớp 3 - Công việc chính'!$I$14:$I$73,$T372))))</f>
        <v>#REF!</v>
      </c>
      <c r="C372" s="690" t="str">
        <f t="array" ref="C372">IF($S372="","",IF($S372="Lớp 5",INDEX('Lớp 5 - Phân công'!$K$14:$K$262,$T372),IF($S372="Lớp 4",INDEX('Lớp 4 - Danh mục'!$J$14:$J$132,$T372),INDEX('Lớp 3 - Công việc chính'!$I$14:$I$73,$T372))))</f>
        <v>#REF!</v>
      </c>
      <c r="D372" s="690" t="str">
        <f t="array" ref="D372">IF($S372="","",IF($S372="Lớp 5",INDEX('Lớp 5 - Phân công'!$J$14:$J$262,$T372),IF($S372="Lớp 4",INDEX('Lớp 4 - Danh mục'!$I$14:$I$132,$T372),"")))</f>
        <v>#REF!</v>
      </c>
      <c r="E372" s="690" t="str">
        <f t="array" ref="E372">IF($S372="","",IF($S372="Lớp 5",INDEX('Lớp 5 - Phân công'!$L$14:$L$262,$T372),IF($S372="Lớp 4",INDEX('Lớp 4 - Danh mục'!$K$14:$K$132,$T372),INDEX('Lớp 3 - Công việc chính'!$J$14:$J$73,$T372))))</f>
        <v>#REF!</v>
      </c>
      <c r="F372" s="690" t="str">
        <f t="array" ref="F372">IF($S372="","",IF($S372="Lớp 5",INDEX('Lớp 5 - Phân công'!$M$14:$M$262,$T372),IF($S372="Lớp 4",INDEX('Lớp 4 - Danh mục'!$L$14:$L$132,$T372),INDEX('Lớp 3 - Công việc chính'!$K$14:$K$73,$T372))))</f>
        <v>#REF!</v>
      </c>
      <c r="G372" s="691" t="str">
        <f t="array" ref="G372">IF($S372="","",IF($S372="Lớp 5",INDEX('Lớp 5 - Phân công'!$N$14:$N$262,$T372),IF($S372="Lớp 4",INDEX('Lớp 4 - Danh mục'!$M$14:$M$132,$T372),INDEX('Lớp 3 - Công việc chính'!$L$14:$L$73,$T372))))</f>
        <v>#REF!</v>
      </c>
      <c r="H372" s="692" t="str">
        <f t="array" ref="H372">IF($S372="","",IF($S372="Lớp 5",INDEX('Lớp 5 - Phân công'!$O$14:$O$262,$T372),IF($S372="Lớp 4",INDEX('Lớp 4 - Danh mục'!$N$14:$N$132,$T372),INDEX('Lớp 3 - Công việc chính'!$M$14:$M$73,$T372))))</f>
        <v>#REF!</v>
      </c>
      <c r="I372" s="692" t="str">
        <f t="array" ref="I372">IF($S372="","",IF($S372="Lớp 5",INDEX('Lớp 5 - Phân công'!$P$14:$P$262,$T372),IF($S372="Lớp 4",INDEX('Lớp 4 - Danh mục'!$O$14:$O$132,$T372),"")))</f>
        <v>#REF!</v>
      </c>
      <c r="J372" s="693" t="str">
        <f t="array" ref="J372">IF($S372="","",IF($S372="Lớp 5",INDEX('Lớp 5 - Phân công'!$Q$14:$Q$262,$T372),""))</f>
        <v>#REF!</v>
      </c>
      <c r="K372" s="690" t="str">
        <f t="array" ref="K372">IF($S372="","",IF($S372="Lớp 5",INDEX('Lớp 5 - Phân công'!$AA$14:$AA$262,$T372),IF($S372="Lớp 4",INDEX('Lớp 4 - Danh mục'!$Y$14:$Y$132,$T372),INDEX('Lớp 3 - Công việc chính'!$U$14:$U$73,$T372))))</f>
        <v>#REF!</v>
      </c>
      <c r="L372" s="691" t="str">
        <f t="array" ref="L372">IF($S372="","",IF($S372="Lớp 5",INDEX('Lớp 5 - Phân công'!$Z$14:$Z$262,$T372),IF($S372="Lớp 4",INDEX('Lớp 4 - Danh mục'!$X$14:$X$132,$T372),INDEX('Lớp 3 - Công việc chính'!$W$14:$W$73,$T372))))</f>
        <v>#REF!</v>
      </c>
      <c r="M372" s="694" t="str">
        <f t="array" ref="M372">IF($S372="","",IF($S372="Lớp 5",INDEX('Lớp 5 - Phân công'!$AD$14:$AD$262,$T372),IF($S372="Lớp 4",INDEX('Lớp 4 - Danh mục'!$AC$14:$AC$132,$T372),INDEX('Lớp 3 - Công việc chính'!$Z$14:$Z$73,$T372))))</f>
        <v>#REF!</v>
      </c>
      <c r="N372" s="695" t="str">
        <f t="array" ref="N372">IF($S372="","",IF($S372="Lớp 5",INDEX('Lớp 5 - Phân công'!$AE$14:$AE$262,$T372),IF($S372="Lớp 4",INDEX('Lớp 4 - Danh mục'!$AD$14:$AD$132,$T372),INDEX('Lớp 3 - Công việc chính'!$AA$14:$AA$73,$T372))))</f>
        <v>#REF!</v>
      </c>
      <c r="O372" s="690" t="str">
        <f t="array" ref="O372">IF($S372="","",IF($S372="Lớp 5",INDEX('Lớp 5 - Phân công'!$AB$14:$AB$262,$T372),IF($S372="Lớp 4",INDEX('Lớp 4 - Danh mục'!$AA$14:$AA$132,$T372),INDEX('Lớp 3 - Công việc chính'!$X$14:$X$73,$T372))))</f>
        <v>#REF!</v>
      </c>
      <c r="P372" s="703" t="str">
        <f t="array" ref="P372">IF($S372="","",IF($S372="Lớp 5",INDEX('Lớp 5 - Phân công'!$AC$14:$AC$262,$T372),IF($S372="Lớp 4",INDEX('Lớp 4 - Danh mục'!$AB$14:$AB$132,$T372),INDEX('Lớp 3 - Công việc chính'!$Y$14:$Y$73,$T372))))</f>
        <v>#REF!</v>
      </c>
      <c r="Q372" s="697" t="str">
        <f t="array" ref="Q372">IF($S372="","",IF($S372="Lớp 5",INDEX('Lớp 5 - Phân công'!$AG$14:$AG$262,$T372),IF($S372="Lớp 4",INDEX('Lớp 4 - Danh mục'!$AF$14:$AF$132,$T372),INDEX('Lớp 3 - Công việc chính'!$AC$14:$AC$73,$T372))))</f>
        <v>#REF!</v>
      </c>
      <c r="R372" s="698" t="str">
        <f t="array" ref="R372">IF($S372="","",IF($S372="Lớp 5",INDEX('Lớp 5 - Phân công'!$X$14:$X$262,$T372),IF($S372="Lớp 4",INDEX('Lớp 4 - Danh mục'!$V$14:$V$132,$T372),INDEX('Lớp 3 - Công việc chính'!$T$14:$T$73,$T372))))</f>
        <v>#REF!</v>
      </c>
      <c r="S372" s="699" t="str">
        <f>IF(ROWS($S$14:S372)&lt;=COUNTIF('Lớp 5 - Phân công'!$I$14:$I$262,"&lt;&gt;"),"Lớp 5",IF(ROWS($S$14:S372)&lt;=COUNTIF('Lớp 5 - Phân công'!$I$14:$I$262,"&lt;&gt;")+SUMPRODUCT(--('Lớp 4 - Danh mục'!$I$14:$I$132&lt;&gt;""),--(COUNTIF('Lớp 5 - Phân công'!$J$14:$J$262,'Lớp 4 - Danh mục'!$I$14:$I$132)=0)),"Lớp 4",IF(ROWS($S$14:S372)&lt;=COUNTIF('Lớp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2" s="699" t="str">
        <f t="array" ref="T372">IF(S372="","",IF(S372="Lớp 5",IF(S371&lt;&gt;"Lớp 5",MATCH("*",'Lớp 5 - Phân công'!$I$14:$I$262,0),T371+MATCH("*",INDEX('Lớp 5 - Phân công'!$I$14:$I$262,T371+1):'Lớp 5 - Phân công'!$I$262,0)),IF(S372="Lớp 4",IF(S371&lt;&gt;"Lớp 4",MATCH(1,INDEX(('Lớp 4 - Danh mục'!$I$14:$I$132&lt;&gt;"")*(COUNTIF('Lớp 5 - Phân công'!$J$14:$J$262,'Lớp 4 - Danh mục'!$I$14:$I$132)=0),0),0),T371+MATCH(1,INDEX((INDEX('Lớp 4 - Danh mục'!$I$14:$I$132,T371+1):'Lớp 4 - Danh mục'!$I$132&lt;&gt;"")*(COUNTIF('Lớp 5 - Phân công'!$J$14:$J$262,INDEX('Lớp 4 - Danh mục'!$I$14:$I$132,T371+1):'Lớp 4 - Danh mục'!$I$132)=0),0),0)),IF(S371&lt;&gt;"Lớp 3",MATCH(1,INDEX(('Lớp 3 - Công việc chính'!$I$14:$I$73&lt;&gt;"")*(COUNTIF('Lớp 4 - Danh mục'!$J$14:$J$132,'Lớp 3 - Công việc chính'!$I$14:$I$73)=0),0),0),T371+MATCH(1,INDEX((INDEX('Lớp 3 - Công việc chính'!$I$14:$I$73,T371+1):'Lớp 3 - Công việc chính'!$I$73&lt;&gt;"")*(COUNTIF('Lớp 4 - Danh mục'!$J$14:$J$132,INDEX('Lớp 3 - Công việc chính'!$I$14:$I$73,T371+1):'Lớp 3 - Công việc chính'!$I$73)=0),0),0)))))</f>
        <v>#REF!</v>
      </c>
      <c r="Z372" s="700" t="str">
        <f t="array" ref="Z372">IF($S372="","",IF($S372="Lớp 5",INDEX('Lớp 5 - Phân công'!$AS$14:$AS$262,$T372),IF($S372="Lớp 4",INDEX('Lớp 4 - Danh mục'!$AR$14:$AR$132,$T372),INDEX('Lớp 3 - Công việc chính'!$AO$14:$AO$73,$T372))))</f>
        <v>#REF!</v>
      </c>
      <c r="AA372" s="701" t="str">
        <f t="array" ref="AA372">IF($S372="","",IF($S372="Lớp 5",INDEX('Lớp 5 - Phân công'!$AT$14:$AT$262,$T372),IF($S372="Lớp 4",INDEX('Lớp 4 - Danh mục'!$AS$14:$AS$132,$T372),INDEX('Lớp 3 - Công việc chính'!$AP$14:$AP$73,$T372))))</f>
        <v>#REF!</v>
      </c>
      <c r="AB372" s="701" t="str">
        <f t="array" ref="AB372">IF($S372="","",IF($S372="Lớp 5",INDEX('Lớp 5 - Phân công'!$AJ$14:$AJ$262,$T372),IF($S372="Lớp 4",INDEX('Lớp 4 - Danh mục'!$AI$14:$AI$132,$T372),INDEX('Lớp 3 - Công việc chính'!$AF$14:$AF$73,$T372))))</f>
        <v>#REF!</v>
      </c>
      <c r="AC372" s="702" t="str">
        <f t="array" ref="AC372">IF($S372="","",IF($S372="Lớp 5",INDEX('Lớp 5 - Phân công'!$AV$14:$AV$262,$T372),IF($S372="Lớp 4",INDEX('Lớp 4 - Danh mục'!$AU$14:$AU$132,$T372),INDEX('Lớp 3 - Công việc chính'!$AR$14:$AR$73,$T372))))</f>
        <v>#REF!</v>
      </c>
    </row>
    <row r="373" ht="15.75" customHeight="1">
      <c r="A373" s="690" t="str">
        <f t="shared" si="1"/>
        <v>#REF!</v>
      </c>
      <c r="B373" s="690" t="str">
        <f t="array" ref="B373">IF($S373="","",IF($S373="Lớp 5",INDEX('Lớp 5 - Phân công'!$I$14:$I$262,$T373),IF($S373="Lớp 4",INDEX('Lớp 4 - Danh mục'!$I$14:$I$132,$T373),INDEX('Lớp 3 - Công việc chính'!$I$14:$I$73,$T373))))</f>
        <v>#REF!</v>
      </c>
      <c r="C373" s="690" t="str">
        <f t="array" ref="C373">IF($S373="","",IF($S373="Lớp 5",INDEX('Lớp 5 - Phân công'!$K$14:$K$262,$T373),IF($S373="Lớp 4",INDEX('Lớp 4 - Danh mục'!$J$14:$J$132,$T373),INDEX('Lớp 3 - Công việc chính'!$I$14:$I$73,$T373))))</f>
        <v>#REF!</v>
      </c>
      <c r="D373" s="690" t="str">
        <f t="array" ref="D373">IF($S373="","",IF($S373="Lớp 5",INDEX('Lớp 5 - Phân công'!$J$14:$J$262,$T373),IF($S373="Lớp 4",INDEX('Lớp 4 - Danh mục'!$I$14:$I$132,$T373),"")))</f>
        <v>#REF!</v>
      </c>
      <c r="E373" s="690" t="str">
        <f t="array" ref="E373">IF($S373="","",IF($S373="Lớp 5",INDEX('Lớp 5 - Phân công'!$L$14:$L$262,$T373),IF($S373="Lớp 4",INDEX('Lớp 4 - Danh mục'!$K$14:$K$132,$T373),INDEX('Lớp 3 - Công việc chính'!$J$14:$J$73,$T373))))</f>
        <v>#REF!</v>
      </c>
      <c r="F373" s="690" t="str">
        <f t="array" ref="F373">IF($S373="","",IF($S373="Lớp 5",INDEX('Lớp 5 - Phân công'!$M$14:$M$262,$T373),IF($S373="Lớp 4",INDEX('Lớp 4 - Danh mục'!$L$14:$L$132,$T373),INDEX('Lớp 3 - Công việc chính'!$K$14:$K$73,$T373))))</f>
        <v>#REF!</v>
      </c>
      <c r="G373" s="691" t="str">
        <f t="array" ref="G373">IF($S373="","",IF($S373="Lớp 5",INDEX('Lớp 5 - Phân công'!$N$14:$N$262,$T373),IF($S373="Lớp 4",INDEX('Lớp 4 - Danh mục'!$M$14:$M$132,$T373),INDEX('Lớp 3 - Công việc chính'!$L$14:$L$73,$T373))))</f>
        <v>#REF!</v>
      </c>
      <c r="H373" s="692" t="str">
        <f t="array" ref="H373">IF($S373="","",IF($S373="Lớp 5",INDEX('Lớp 5 - Phân công'!$O$14:$O$262,$T373),IF($S373="Lớp 4",INDEX('Lớp 4 - Danh mục'!$N$14:$N$132,$T373),INDEX('Lớp 3 - Công việc chính'!$M$14:$M$73,$T373))))</f>
        <v>#REF!</v>
      </c>
      <c r="I373" s="692" t="str">
        <f t="array" ref="I373">IF($S373="","",IF($S373="Lớp 5",INDEX('Lớp 5 - Phân công'!$P$14:$P$262,$T373),IF($S373="Lớp 4",INDEX('Lớp 4 - Danh mục'!$O$14:$O$132,$T373),"")))</f>
        <v>#REF!</v>
      </c>
      <c r="J373" s="693" t="str">
        <f t="array" ref="J373">IF($S373="","",IF($S373="Lớp 5",INDEX('Lớp 5 - Phân công'!$Q$14:$Q$262,$T373),""))</f>
        <v>#REF!</v>
      </c>
      <c r="K373" s="690" t="str">
        <f t="array" ref="K373">IF($S373="","",IF($S373="Lớp 5",INDEX('Lớp 5 - Phân công'!$AA$14:$AA$262,$T373),IF($S373="Lớp 4",INDEX('Lớp 4 - Danh mục'!$Y$14:$Y$132,$T373),INDEX('Lớp 3 - Công việc chính'!$U$14:$U$73,$T373))))</f>
        <v>#REF!</v>
      </c>
      <c r="L373" s="691" t="str">
        <f t="array" ref="L373">IF($S373="","",IF($S373="Lớp 5",INDEX('Lớp 5 - Phân công'!$Z$14:$Z$262,$T373),IF($S373="Lớp 4",INDEX('Lớp 4 - Danh mục'!$X$14:$X$132,$T373),INDEX('Lớp 3 - Công việc chính'!$W$14:$W$73,$T373))))</f>
        <v>#REF!</v>
      </c>
      <c r="M373" s="694" t="str">
        <f t="array" ref="M373">IF($S373="","",IF($S373="Lớp 5",INDEX('Lớp 5 - Phân công'!$AD$14:$AD$262,$T373),IF($S373="Lớp 4",INDEX('Lớp 4 - Danh mục'!$AC$14:$AC$132,$T373),INDEX('Lớp 3 - Công việc chính'!$Z$14:$Z$73,$T373))))</f>
        <v>#REF!</v>
      </c>
      <c r="N373" s="695" t="str">
        <f t="array" ref="N373">IF($S373="","",IF($S373="Lớp 5",INDEX('Lớp 5 - Phân công'!$AE$14:$AE$262,$T373),IF($S373="Lớp 4",INDEX('Lớp 4 - Danh mục'!$AD$14:$AD$132,$T373),INDEX('Lớp 3 - Công việc chính'!$AA$14:$AA$73,$T373))))</f>
        <v>#REF!</v>
      </c>
      <c r="O373" s="690" t="str">
        <f t="array" ref="O373">IF($S373="","",IF($S373="Lớp 5",INDEX('Lớp 5 - Phân công'!$AB$14:$AB$262,$T373),IF($S373="Lớp 4",INDEX('Lớp 4 - Danh mục'!$AA$14:$AA$132,$T373),INDEX('Lớp 3 - Công việc chính'!$X$14:$X$73,$T373))))</f>
        <v>#REF!</v>
      </c>
      <c r="P373" s="703" t="str">
        <f t="array" ref="P373">IF($S373="","",IF($S373="Lớp 5",INDEX('Lớp 5 - Phân công'!$AC$14:$AC$262,$T373),IF($S373="Lớp 4",INDEX('Lớp 4 - Danh mục'!$AB$14:$AB$132,$T373),INDEX('Lớp 3 - Công việc chính'!$Y$14:$Y$73,$T373))))</f>
        <v>#REF!</v>
      </c>
      <c r="Q373" s="697" t="str">
        <f t="array" ref="Q373">IF($S373="","",IF($S373="Lớp 5",INDEX('Lớp 5 - Phân công'!$AG$14:$AG$262,$T373),IF($S373="Lớp 4",INDEX('Lớp 4 - Danh mục'!$AF$14:$AF$132,$T373),INDEX('Lớp 3 - Công việc chính'!$AC$14:$AC$73,$T373))))</f>
        <v>#REF!</v>
      </c>
      <c r="R373" s="698" t="str">
        <f t="array" ref="R373">IF($S373="","",IF($S373="Lớp 5",INDEX('Lớp 5 - Phân công'!$X$14:$X$262,$T373),IF($S373="Lớp 4",INDEX('Lớp 4 - Danh mục'!$V$14:$V$132,$T373),INDEX('Lớp 3 - Công việc chính'!$T$14:$T$73,$T373))))</f>
        <v>#REF!</v>
      </c>
      <c r="S373" s="699" t="str">
        <f>IF(ROWS($S$14:S373)&lt;=COUNTIF('Lớp 5 - Phân công'!$I$14:$I$262,"&lt;&gt;"),"Lớp 5",IF(ROWS($S$14:S373)&lt;=COUNTIF('Lớp 5 - Phân công'!$I$14:$I$262,"&lt;&gt;")+SUMPRODUCT(--('Lớp 4 - Danh mục'!$I$14:$I$132&lt;&gt;""),--(COUNTIF('Lớp 5 - Phân công'!$J$14:$J$262,'Lớp 4 - Danh mục'!$I$14:$I$132)=0)),"Lớp 4",IF(ROWS($S$14:S373)&lt;=COUNTIF('Lớp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3" s="699" t="str">
        <f t="array" ref="T373">IF(S373="","",IF(S373="Lớp 5",IF(S372&lt;&gt;"Lớp 5",MATCH("*",'Lớp 5 - Phân công'!$I$14:$I$262,0),T372+MATCH("*",INDEX('Lớp 5 - Phân công'!$I$14:$I$262,T372+1):'Lớp 5 - Phân công'!$I$262,0)),IF(S373="Lớp 4",IF(S372&lt;&gt;"Lớp 4",MATCH(1,INDEX(('Lớp 4 - Danh mục'!$I$14:$I$132&lt;&gt;"")*(COUNTIF('Lớp 5 - Phân công'!$J$14:$J$262,'Lớp 4 - Danh mục'!$I$14:$I$132)=0),0),0),T372+MATCH(1,INDEX((INDEX('Lớp 4 - Danh mục'!$I$14:$I$132,T372+1):'Lớp 4 - Danh mục'!$I$132&lt;&gt;"")*(COUNTIF('Lớp 5 - Phân công'!$J$14:$J$262,INDEX('Lớp 4 - Danh mục'!$I$14:$I$132,T372+1):'Lớp 4 - Danh mục'!$I$132)=0),0),0)),IF(S372&lt;&gt;"Lớp 3",MATCH(1,INDEX(('Lớp 3 - Công việc chính'!$I$14:$I$73&lt;&gt;"")*(COUNTIF('Lớp 4 - Danh mục'!$J$14:$J$132,'Lớp 3 - Công việc chính'!$I$14:$I$73)=0),0),0),T372+MATCH(1,INDEX((INDEX('Lớp 3 - Công việc chính'!$I$14:$I$73,T372+1):'Lớp 3 - Công việc chính'!$I$73&lt;&gt;"")*(COUNTIF('Lớp 4 - Danh mục'!$J$14:$J$132,INDEX('Lớp 3 - Công việc chính'!$I$14:$I$73,T372+1):'Lớp 3 - Công việc chính'!$I$73)=0),0),0)))))</f>
        <v>#REF!</v>
      </c>
      <c r="Z373" s="700" t="str">
        <f t="array" ref="Z373">IF($S373="","",IF($S373="Lớp 5",INDEX('Lớp 5 - Phân công'!$AS$14:$AS$262,$T373),IF($S373="Lớp 4",INDEX('Lớp 4 - Danh mục'!$AR$14:$AR$132,$T373),INDEX('Lớp 3 - Công việc chính'!$AO$14:$AO$73,$T373))))</f>
        <v>#REF!</v>
      </c>
      <c r="AA373" s="701" t="str">
        <f t="array" ref="AA373">IF($S373="","",IF($S373="Lớp 5",INDEX('Lớp 5 - Phân công'!$AT$14:$AT$262,$T373),IF($S373="Lớp 4",INDEX('Lớp 4 - Danh mục'!$AS$14:$AS$132,$T373),INDEX('Lớp 3 - Công việc chính'!$AP$14:$AP$73,$T373))))</f>
        <v>#REF!</v>
      </c>
      <c r="AB373" s="701" t="str">
        <f t="array" ref="AB373">IF($S373="","",IF($S373="Lớp 5",INDEX('Lớp 5 - Phân công'!$AJ$14:$AJ$262,$T373),IF($S373="Lớp 4",INDEX('Lớp 4 - Danh mục'!$AI$14:$AI$132,$T373),INDEX('Lớp 3 - Công việc chính'!$AF$14:$AF$73,$T373))))</f>
        <v>#REF!</v>
      </c>
      <c r="AC373" s="702" t="str">
        <f t="array" ref="AC373">IF($S373="","",IF($S373="Lớp 5",INDEX('Lớp 5 - Phân công'!$AV$14:$AV$262,$T373),IF($S373="Lớp 4",INDEX('Lớp 4 - Danh mục'!$AU$14:$AU$132,$T373),INDEX('Lớp 3 - Công việc chính'!$AR$14:$AR$73,$T373))))</f>
        <v>#REF!</v>
      </c>
    </row>
    <row r="374" ht="15.75" customHeight="1">
      <c r="A374" s="690" t="str">
        <f t="shared" si="1"/>
        <v>#REF!</v>
      </c>
      <c r="B374" s="690" t="str">
        <f t="array" ref="B374">IF($S374="","",IF($S374="Lớp 5",INDEX('Lớp 5 - Phân công'!$I$14:$I$262,$T374),IF($S374="Lớp 4",INDEX('Lớp 4 - Danh mục'!$I$14:$I$132,$T374),INDEX('Lớp 3 - Công việc chính'!$I$14:$I$73,$T374))))</f>
        <v>#REF!</v>
      </c>
      <c r="C374" s="690" t="str">
        <f t="array" ref="C374">IF($S374="","",IF($S374="Lớp 5",INDEX('Lớp 5 - Phân công'!$K$14:$K$262,$T374),IF($S374="Lớp 4",INDEX('Lớp 4 - Danh mục'!$J$14:$J$132,$T374),INDEX('Lớp 3 - Công việc chính'!$I$14:$I$73,$T374))))</f>
        <v>#REF!</v>
      </c>
      <c r="D374" s="690" t="str">
        <f t="array" ref="D374">IF($S374="","",IF($S374="Lớp 5",INDEX('Lớp 5 - Phân công'!$J$14:$J$262,$T374),IF($S374="Lớp 4",INDEX('Lớp 4 - Danh mục'!$I$14:$I$132,$T374),"")))</f>
        <v>#REF!</v>
      </c>
      <c r="E374" s="690" t="str">
        <f t="array" ref="E374">IF($S374="","",IF($S374="Lớp 5",INDEX('Lớp 5 - Phân công'!$L$14:$L$262,$T374),IF($S374="Lớp 4",INDEX('Lớp 4 - Danh mục'!$K$14:$K$132,$T374),INDEX('Lớp 3 - Công việc chính'!$J$14:$J$73,$T374))))</f>
        <v>#REF!</v>
      </c>
      <c r="F374" s="690" t="str">
        <f t="array" ref="F374">IF($S374="","",IF($S374="Lớp 5",INDEX('Lớp 5 - Phân công'!$M$14:$M$262,$T374),IF($S374="Lớp 4",INDEX('Lớp 4 - Danh mục'!$L$14:$L$132,$T374),INDEX('Lớp 3 - Công việc chính'!$K$14:$K$73,$T374))))</f>
        <v>#REF!</v>
      </c>
      <c r="G374" s="691" t="str">
        <f t="array" ref="G374">IF($S374="","",IF($S374="Lớp 5",INDEX('Lớp 5 - Phân công'!$N$14:$N$262,$T374),IF($S374="Lớp 4",INDEX('Lớp 4 - Danh mục'!$M$14:$M$132,$T374),INDEX('Lớp 3 - Công việc chính'!$L$14:$L$73,$T374))))</f>
        <v>#REF!</v>
      </c>
      <c r="H374" s="692" t="str">
        <f t="array" ref="H374">IF($S374="","",IF($S374="Lớp 5",INDEX('Lớp 5 - Phân công'!$O$14:$O$262,$T374),IF($S374="Lớp 4",INDEX('Lớp 4 - Danh mục'!$N$14:$N$132,$T374),INDEX('Lớp 3 - Công việc chính'!$M$14:$M$73,$T374))))</f>
        <v>#REF!</v>
      </c>
      <c r="I374" s="692" t="str">
        <f t="array" ref="I374">IF($S374="","",IF($S374="Lớp 5",INDEX('Lớp 5 - Phân công'!$P$14:$P$262,$T374),IF($S374="Lớp 4",INDEX('Lớp 4 - Danh mục'!$O$14:$O$132,$T374),"")))</f>
        <v>#REF!</v>
      </c>
      <c r="J374" s="693" t="str">
        <f t="array" ref="J374">IF($S374="","",IF($S374="Lớp 5",INDEX('Lớp 5 - Phân công'!$Q$14:$Q$262,$T374),""))</f>
        <v>#REF!</v>
      </c>
      <c r="K374" s="690" t="str">
        <f t="array" ref="K374">IF($S374="","",IF($S374="Lớp 5",INDEX('Lớp 5 - Phân công'!$AA$14:$AA$262,$T374),IF($S374="Lớp 4",INDEX('Lớp 4 - Danh mục'!$Y$14:$Y$132,$T374),INDEX('Lớp 3 - Công việc chính'!$U$14:$U$73,$T374))))</f>
        <v>#REF!</v>
      </c>
      <c r="L374" s="691" t="str">
        <f t="array" ref="L374">IF($S374="","",IF($S374="Lớp 5",INDEX('Lớp 5 - Phân công'!$Z$14:$Z$262,$T374),IF($S374="Lớp 4",INDEX('Lớp 4 - Danh mục'!$X$14:$X$132,$T374),INDEX('Lớp 3 - Công việc chính'!$W$14:$W$73,$T374))))</f>
        <v>#REF!</v>
      </c>
      <c r="M374" s="694" t="str">
        <f t="array" ref="M374">IF($S374="","",IF($S374="Lớp 5",INDEX('Lớp 5 - Phân công'!$AD$14:$AD$262,$T374),IF($S374="Lớp 4",INDEX('Lớp 4 - Danh mục'!$AC$14:$AC$132,$T374),INDEX('Lớp 3 - Công việc chính'!$Z$14:$Z$73,$T374))))</f>
        <v>#REF!</v>
      </c>
      <c r="N374" s="695" t="str">
        <f t="array" ref="N374">IF($S374="","",IF($S374="Lớp 5",INDEX('Lớp 5 - Phân công'!$AE$14:$AE$262,$T374),IF($S374="Lớp 4",INDEX('Lớp 4 - Danh mục'!$AD$14:$AD$132,$T374),INDEX('Lớp 3 - Công việc chính'!$AA$14:$AA$73,$T374))))</f>
        <v>#REF!</v>
      </c>
      <c r="O374" s="690" t="str">
        <f t="array" ref="O374">IF($S374="","",IF($S374="Lớp 5",INDEX('Lớp 5 - Phân công'!$AB$14:$AB$262,$T374),IF($S374="Lớp 4",INDEX('Lớp 4 - Danh mục'!$AA$14:$AA$132,$T374),INDEX('Lớp 3 - Công việc chính'!$X$14:$X$73,$T374))))</f>
        <v>#REF!</v>
      </c>
      <c r="P374" s="703" t="str">
        <f t="array" ref="P374">IF($S374="","",IF($S374="Lớp 5",INDEX('Lớp 5 - Phân công'!$AC$14:$AC$262,$T374),IF($S374="Lớp 4",INDEX('Lớp 4 - Danh mục'!$AB$14:$AB$132,$T374),INDEX('Lớp 3 - Công việc chính'!$Y$14:$Y$73,$T374))))</f>
        <v>#REF!</v>
      </c>
      <c r="Q374" s="697" t="str">
        <f t="array" ref="Q374">IF($S374="","",IF($S374="Lớp 5",INDEX('Lớp 5 - Phân công'!$AG$14:$AG$262,$T374),IF($S374="Lớp 4",INDEX('Lớp 4 - Danh mục'!$AF$14:$AF$132,$T374),INDEX('Lớp 3 - Công việc chính'!$AC$14:$AC$73,$T374))))</f>
        <v>#REF!</v>
      </c>
      <c r="R374" s="698" t="str">
        <f t="array" ref="R374">IF($S374="","",IF($S374="Lớp 5",INDEX('Lớp 5 - Phân công'!$X$14:$X$262,$T374),IF($S374="Lớp 4",INDEX('Lớp 4 - Danh mục'!$V$14:$V$132,$T374),INDEX('Lớp 3 - Công việc chính'!$T$14:$T$73,$T374))))</f>
        <v>#REF!</v>
      </c>
      <c r="S374" s="699" t="str">
        <f>IF(ROWS($S$14:S374)&lt;=COUNTIF('Lớp 5 - Phân công'!$I$14:$I$262,"&lt;&gt;"),"Lớp 5",IF(ROWS($S$14:S374)&lt;=COUNTIF('Lớp 5 - Phân công'!$I$14:$I$262,"&lt;&gt;")+SUMPRODUCT(--('Lớp 4 - Danh mục'!$I$14:$I$132&lt;&gt;""),--(COUNTIF('Lớp 5 - Phân công'!$J$14:$J$262,'Lớp 4 - Danh mục'!$I$14:$I$132)=0)),"Lớp 4",IF(ROWS($S$14:S374)&lt;=COUNTIF('Lớp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4" s="699" t="str">
        <f t="array" ref="T374">IF(S374="","",IF(S374="Lớp 5",IF(S373&lt;&gt;"Lớp 5",MATCH("*",'Lớp 5 - Phân công'!$I$14:$I$262,0),T373+MATCH("*",INDEX('Lớp 5 - Phân công'!$I$14:$I$262,T373+1):'Lớp 5 - Phân công'!$I$262,0)),IF(S374="Lớp 4",IF(S373&lt;&gt;"Lớp 4",MATCH(1,INDEX(('Lớp 4 - Danh mục'!$I$14:$I$132&lt;&gt;"")*(COUNTIF('Lớp 5 - Phân công'!$J$14:$J$262,'Lớp 4 - Danh mục'!$I$14:$I$132)=0),0),0),T373+MATCH(1,INDEX((INDEX('Lớp 4 - Danh mục'!$I$14:$I$132,T373+1):'Lớp 4 - Danh mục'!$I$132&lt;&gt;"")*(COUNTIF('Lớp 5 - Phân công'!$J$14:$J$262,INDEX('Lớp 4 - Danh mục'!$I$14:$I$132,T373+1):'Lớp 4 - Danh mục'!$I$132)=0),0),0)),IF(S373&lt;&gt;"Lớp 3",MATCH(1,INDEX(('Lớp 3 - Công việc chính'!$I$14:$I$73&lt;&gt;"")*(COUNTIF('Lớp 4 - Danh mục'!$J$14:$J$132,'Lớp 3 - Công việc chính'!$I$14:$I$73)=0),0),0),T373+MATCH(1,INDEX((INDEX('Lớp 3 - Công việc chính'!$I$14:$I$73,T373+1):'Lớp 3 - Công việc chính'!$I$73&lt;&gt;"")*(COUNTIF('Lớp 4 - Danh mục'!$J$14:$J$132,INDEX('Lớp 3 - Công việc chính'!$I$14:$I$73,T373+1):'Lớp 3 - Công việc chính'!$I$73)=0),0),0)))))</f>
        <v>#REF!</v>
      </c>
      <c r="Z374" s="700" t="str">
        <f t="array" ref="Z374">IF($S374="","",IF($S374="Lớp 5",INDEX('Lớp 5 - Phân công'!$AS$14:$AS$262,$T374),IF($S374="Lớp 4",INDEX('Lớp 4 - Danh mục'!$AR$14:$AR$132,$T374),INDEX('Lớp 3 - Công việc chính'!$AO$14:$AO$73,$T374))))</f>
        <v>#REF!</v>
      </c>
      <c r="AA374" s="701" t="str">
        <f t="array" ref="AA374">IF($S374="","",IF($S374="Lớp 5",INDEX('Lớp 5 - Phân công'!$AT$14:$AT$262,$T374),IF($S374="Lớp 4",INDEX('Lớp 4 - Danh mục'!$AS$14:$AS$132,$T374),INDEX('Lớp 3 - Công việc chính'!$AP$14:$AP$73,$T374))))</f>
        <v>#REF!</v>
      </c>
      <c r="AB374" s="701" t="str">
        <f t="array" ref="AB374">IF($S374="","",IF($S374="Lớp 5",INDEX('Lớp 5 - Phân công'!$AJ$14:$AJ$262,$T374),IF($S374="Lớp 4",INDEX('Lớp 4 - Danh mục'!$AI$14:$AI$132,$T374),INDEX('Lớp 3 - Công việc chính'!$AF$14:$AF$73,$T374))))</f>
        <v>#REF!</v>
      </c>
      <c r="AC374" s="702" t="str">
        <f t="array" ref="AC374">IF($S374="","",IF($S374="Lớp 5",INDEX('Lớp 5 - Phân công'!$AV$14:$AV$262,$T374),IF($S374="Lớp 4",INDEX('Lớp 4 - Danh mục'!$AU$14:$AU$132,$T374),INDEX('Lớp 3 - Công việc chính'!$AR$14:$AR$73,$T374))))</f>
        <v>#REF!</v>
      </c>
    </row>
    <row r="375" ht="15.75" customHeight="1">
      <c r="A375" s="690" t="str">
        <f t="shared" si="1"/>
        <v>#REF!</v>
      </c>
      <c r="B375" s="690" t="str">
        <f t="array" ref="B375">IF($S375="","",IF($S375="Lớp 5",INDEX('Lớp 5 - Phân công'!$I$14:$I$262,$T375),IF($S375="Lớp 4",INDEX('Lớp 4 - Danh mục'!$I$14:$I$132,$T375),INDEX('Lớp 3 - Công việc chính'!$I$14:$I$73,$T375))))</f>
        <v>#REF!</v>
      </c>
      <c r="C375" s="690" t="str">
        <f t="array" ref="C375">IF($S375="","",IF($S375="Lớp 5",INDEX('Lớp 5 - Phân công'!$K$14:$K$262,$T375),IF($S375="Lớp 4",INDEX('Lớp 4 - Danh mục'!$J$14:$J$132,$T375),INDEX('Lớp 3 - Công việc chính'!$I$14:$I$73,$T375))))</f>
        <v>#REF!</v>
      </c>
      <c r="D375" s="690" t="str">
        <f t="array" ref="D375">IF($S375="","",IF($S375="Lớp 5",INDEX('Lớp 5 - Phân công'!$J$14:$J$262,$T375),IF($S375="Lớp 4",INDEX('Lớp 4 - Danh mục'!$I$14:$I$132,$T375),"")))</f>
        <v>#REF!</v>
      </c>
      <c r="E375" s="690" t="str">
        <f t="array" ref="E375">IF($S375="","",IF($S375="Lớp 5",INDEX('Lớp 5 - Phân công'!$L$14:$L$262,$T375),IF($S375="Lớp 4",INDEX('Lớp 4 - Danh mục'!$K$14:$K$132,$T375),INDEX('Lớp 3 - Công việc chính'!$J$14:$J$73,$T375))))</f>
        <v>#REF!</v>
      </c>
      <c r="F375" s="690" t="str">
        <f t="array" ref="F375">IF($S375="","",IF($S375="Lớp 5",INDEX('Lớp 5 - Phân công'!$M$14:$M$262,$T375),IF($S375="Lớp 4",INDEX('Lớp 4 - Danh mục'!$L$14:$L$132,$T375),INDEX('Lớp 3 - Công việc chính'!$K$14:$K$73,$T375))))</f>
        <v>#REF!</v>
      </c>
      <c r="G375" s="691" t="str">
        <f t="array" ref="G375">IF($S375="","",IF($S375="Lớp 5",INDEX('Lớp 5 - Phân công'!$N$14:$N$262,$T375),IF($S375="Lớp 4",INDEX('Lớp 4 - Danh mục'!$M$14:$M$132,$T375),INDEX('Lớp 3 - Công việc chính'!$L$14:$L$73,$T375))))</f>
        <v>#REF!</v>
      </c>
      <c r="H375" s="692" t="str">
        <f t="array" ref="H375">IF($S375="","",IF($S375="Lớp 5",INDEX('Lớp 5 - Phân công'!$O$14:$O$262,$T375),IF($S375="Lớp 4",INDEX('Lớp 4 - Danh mục'!$N$14:$N$132,$T375),INDEX('Lớp 3 - Công việc chính'!$M$14:$M$73,$T375))))</f>
        <v>#REF!</v>
      </c>
      <c r="I375" s="692" t="str">
        <f t="array" ref="I375">IF($S375="","",IF($S375="Lớp 5",INDEX('Lớp 5 - Phân công'!$P$14:$P$262,$T375),IF($S375="Lớp 4",INDEX('Lớp 4 - Danh mục'!$O$14:$O$132,$T375),"")))</f>
        <v>#REF!</v>
      </c>
      <c r="J375" s="693" t="str">
        <f t="array" ref="J375">IF($S375="","",IF($S375="Lớp 5",INDEX('Lớp 5 - Phân công'!$Q$14:$Q$262,$T375),""))</f>
        <v>#REF!</v>
      </c>
      <c r="K375" s="690" t="str">
        <f t="array" ref="K375">IF($S375="","",IF($S375="Lớp 5",INDEX('Lớp 5 - Phân công'!$AA$14:$AA$262,$T375),IF($S375="Lớp 4",INDEX('Lớp 4 - Danh mục'!$Y$14:$Y$132,$T375),INDEX('Lớp 3 - Công việc chính'!$U$14:$U$73,$T375))))</f>
        <v>#REF!</v>
      </c>
      <c r="L375" s="691" t="str">
        <f t="array" ref="L375">IF($S375="","",IF($S375="Lớp 5",INDEX('Lớp 5 - Phân công'!$Z$14:$Z$262,$T375),IF($S375="Lớp 4",INDEX('Lớp 4 - Danh mục'!$X$14:$X$132,$T375),INDEX('Lớp 3 - Công việc chính'!$W$14:$W$73,$T375))))</f>
        <v>#REF!</v>
      </c>
      <c r="M375" s="694" t="str">
        <f t="array" ref="M375">IF($S375="","",IF($S375="Lớp 5",INDEX('Lớp 5 - Phân công'!$AD$14:$AD$262,$T375),IF($S375="Lớp 4",INDEX('Lớp 4 - Danh mục'!$AC$14:$AC$132,$T375),INDEX('Lớp 3 - Công việc chính'!$Z$14:$Z$73,$T375))))</f>
        <v>#REF!</v>
      </c>
      <c r="N375" s="695" t="str">
        <f t="array" ref="N375">IF($S375="","",IF($S375="Lớp 5",INDEX('Lớp 5 - Phân công'!$AE$14:$AE$262,$T375),IF($S375="Lớp 4",INDEX('Lớp 4 - Danh mục'!$AD$14:$AD$132,$T375),INDEX('Lớp 3 - Công việc chính'!$AA$14:$AA$73,$T375))))</f>
        <v>#REF!</v>
      </c>
      <c r="O375" s="690" t="str">
        <f t="array" ref="O375">IF($S375="","",IF($S375="Lớp 5",INDEX('Lớp 5 - Phân công'!$AB$14:$AB$262,$T375),IF($S375="Lớp 4",INDEX('Lớp 4 - Danh mục'!$AA$14:$AA$132,$T375),INDEX('Lớp 3 - Công việc chính'!$X$14:$X$73,$T375))))</f>
        <v>#REF!</v>
      </c>
      <c r="P375" s="703" t="str">
        <f t="array" ref="P375">IF($S375="","",IF($S375="Lớp 5",INDEX('Lớp 5 - Phân công'!$AC$14:$AC$262,$T375),IF($S375="Lớp 4",INDEX('Lớp 4 - Danh mục'!$AB$14:$AB$132,$T375),INDEX('Lớp 3 - Công việc chính'!$Y$14:$Y$73,$T375))))</f>
        <v>#REF!</v>
      </c>
      <c r="Q375" s="697" t="str">
        <f t="array" ref="Q375">IF($S375="","",IF($S375="Lớp 5",INDEX('Lớp 5 - Phân công'!$AG$14:$AG$262,$T375),IF($S375="Lớp 4",INDEX('Lớp 4 - Danh mục'!$AF$14:$AF$132,$T375),INDEX('Lớp 3 - Công việc chính'!$AC$14:$AC$73,$T375))))</f>
        <v>#REF!</v>
      </c>
      <c r="R375" s="698" t="str">
        <f t="array" ref="R375">IF($S375="","",IF($S375="Lớp 5",INDEX('Lớp 5 - Phân công'!$X$14:$X$262,$T375),IF($S375="Lớp 4",INDEX('Lớp 4 - Danh mục'!$V$14:$V$132,$T375),INDEX('Lớp 3 - Công việc chính'!$T$14:$T$73,$T375))))</f>
        <v>#REF!</v>
      </c>
      <c r="S375" s="699" t="str">
        <f>IF(ROWS($S$14:S375)&lt;=COUNTIF('Lớp 5 - Phân công'!$I$14:$I$262,"&lt;&gt;"),"Lớp 5",IF(ROWS($S$14:S375)&lt;=COUNTIF('Lớp 5 - Phân công'!$I$14:$I$262,"&lt;&gt;")+SUMPRODUCT(--('Lớp 4 - Danh mục'!$I$14:$I$132&lt;&gt;""),--(COUNTIF('Lớp 5 - Phân công'!$J$14:$J$262,'Lớp 4 - Danh mục'!$I$14:$I$132)=0)),"Lớp 4",IF(ROWS($S$14:S375)&lt;=COUNTIF('Lớp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5" s="699" t="str">
        <f t="array" ref="T375">IF(S375="","",IF(S375="Lớp 5",IF(S374&lt;&gt;"Lớp 5",MATCH("*",'Lớp 5 - Phân công'!$I$14:$I$262,0),T374+MATCH("*",INDEX('Lớp 5 - Phân công'!$I$14:$I$262,T374+1):'Lớp 5 - Phân công'!$I$262,0)),IF(S375="Lớp 4",IF(S374&lt;&gt;"Lớp 4",MATCH(1,INDEX(('Lớp 4 - Danh mục'!$I$14:$I$132&lt;&gt;"")*(COUNTIF('Lớp 5 - Phân công'!$J$14:$J$262,'Lớp 4 - Danh mục'!$I$14:$I$132)=0),0),0),T374+MATCH(1,INDEX((INDEX('Lớp 4 - Danh mục'!$I$14:$I$132,T374+1):'Lớp 4 - Danh mục'!$I$132&lt;&gt;"")*(COUNTIF('Lớp 5 - Phân công'!$J$14:$J$262,INDEX('Lớp 4 - Danh mục'!$I$14:$I$132,T374+1):'Lớp 4 - Danh mục'!$I$132)=0),0),0)),IF(S374&lt;&gt;"Lớp 3",MATCH(1,INDEX(('Lớp 3 - Công việc chính'!$I$14:$I$73&lt;&gt;"")*(COUNTIF('Lớp 4 - Danh mục'!$J$14:$J$132,'Lớp 3 - Công việc chính'!$I$14:$I$73)=0),0),0),T374+MATCH(1,INDEX((INDEX('Lớp 3 - Công việc chính'!$I$14:$I$73,T374+1):'Lớp 3 - Công việc chính'!$I$73&lt;&gt;"")*(COUNTIF('Lớp 4 - Danh mục'!$J$14:$J$132,INDEX('Lớp 3 - Công việc chính'!$I$14:$I$73,T374+1):'Lớp 3 - Công việc chính'!$I$73)=0),0),0)))))</f>
        <v>#REF!</v>
      </c>
      <c r="Z375" s="700" t="str">
        <f t="array" ref="Z375">IF($S375="","",IF($S375="Lớp 5",INDEX('Lớp 5 - Phân công'!$AS$14:$AS$262,$T375),IF($S375="Lớp 4",INDEX('Lớp 4 - Danh mục'!$AR$14:$AR$132,$T375),INDEX('Lớp 3 - Công việc chính'!$AO$14:$AO$73,$T375))))</f>
        <v>#REF!</v>
      </c>
      <c r="AA375" s="701" t="str">
        <f t="array" ref="AA375">IF($S375="","",IF($S375="Lớp 5",INDEX('Lớp 5 - Phân công'!$AT$14:$AT$262,$T375),IF($S375="Lớp 4",INDEX('Lớp 4 - Danh mục'!$AS$14:$AS$132,$T375),INDEX('Lớp 3 - Công việc chính'!$AP$14:$AP$73,$T375))))</f>
        <v>#REF!</v>
      </c>
      <c r="AB375" s="701" t="str">
        <f t="array" ref="AB375">IF($S375="","",IF($S375="Lớp 5",INDEX('Lớp 5 - Phân công'!$AJ$14:$AJ$262,$T375),IF($S375="Lớp 4",INDEX('Lớp 4 - Danh mục'!$AI$14:$AI$132,$T375),INDEX('Lớp 3 - Công việc chính'!$AF$14:$AF$73,$T375))))</f>
        <v>#REF!</v>
      </c>
      <c r="AC375" s="702" t="str">
        <f t="array" ref="AC375">IF($S375="","",IF($S375="Lớp 5",INDEX('Lớp 5 - Phân công'!$AV$14:$AV$262,$T375),IF($S375="Lớp 4",INDEX('Lớp 4 - Danh mục'!$AU$14:$AU$132,$T375),INDEX('Lớp 3 - Công việc chính'!$AR$14:$AR$73,$T375))))</f>
        <v>#REF!</v>
      </c>
    </row>
    <row r="376" ht="15.75" customHeight="1">
      <c r="A376" s="690" t="str">
        <f t="shared" si="1"/>
        <v>#REF!</v>
      </c>
      <c r="B376" s="690" t="str">
        <f t="array" ref="B376">IF($S376="","",IF($S376="Lớp 5",INDEX('Lớp 5 - Phân công'!$I$14:$I$262,$T376),IF($S376="Lớp 4",INDEX('Lớp 4 - Danh mục'!$I$14:$I$132,$T376),INDEX('Lớp 3 - Công việc chính'!$I$14:$I$73,$T376))))</f>
        <v>#REF!</v>
      </c>
      <c r="C376" s="690" t="str">
        <f t="array" ref="C376">IF($S376="","",IF($S376="Lớp 5",INDEX('Lớp 5 - Phân công'!$K$14:$K$262,$T376),IF($S376="Lớp 4",INDEX('Lớp 4 - Danh mục'!$J$14:$J$132,$T376),INDEX('Lớp 3 - Công việc chính'!$I$14:$I$73,$T376))))</f>
        <v>#REF!</v>
      </c>
      <c r="D376" s="690" t="str">
        <f t="array" ref="D376">IF($S376="","",IF($S376="Lớp 5",INDEX('Lớp 5 - Phân công'!$J$14:$J$262,$T376),IF($S376="Lớp 4",INDEX('Lớp 4 - Danh mục'!$I$14:$I$132,$T376),"")))</f>
        <v>#REF!</v>
      </c>
      <c r="E376" s="690" t="str">
        <f t="array" ref="E376">IF($S376="","",IF($S376="Lớp 5",INDEX('Lớp 5 - Phân công'!$L$14:$L$262,$T376),IF($S376="Lớp 4",INDEX('Lớp 4 - Danh mục'!$K$14:$K$132,$T376),INDEX('Lớp 3 - Công việc chính'!$J$14:$J$73,$T376))))</f>
        <v>#REF!</v>
      </c>
      <c r="F376" s="690" t="str">
        <f t="array" ref="F376">IF($S376="","",IF($S376="Lớp 5",INDEX('Lớp 5 - Phân công'!$M$14:$M$262,$T376),IF($S376="Lớp 4",INDEX('Lớp 4 - Danh mục'!$L$14:$L$132,$T376),INDEX('Lớp 3 - Công việc chính'!$K$14:$K$73,$T376))))</f>
        <v>#REF!</v>
      </c>
      <c r="G376" s="691" t="str">
        <f t="array" ref="G376">IF($S376="","",IF($S376="Lớp 5",INDEX('Lớp 5 - Phân công'!$N$14:$N$262,$T376),IF($S376="Lớp 4",INDEX('Lớp 4 - Danh mục'!$M$14:$M$132,$T376),INDEX('Lớp 3 - Công việc chính'!$L$14:$L$73,$T376))))</f>
        <v>#REF!</v>
      </c>
      <c r="H376" s="692" t="str">
        <f t="array" ref="H376">IF($S376="","",IF($S376="Lớp 5",INDEX('Lớp 5 - Phân công'!$O$14:$O$262,$T376),IF($S376="Lớp 4",INDEX('Lớp 4 - Danh mục'!$N$14:$N$132,$T376),INDEX('Lớp 3 - Công việc chính'!$M$14:$M$73,$T376))))</f>
        <v>#REF!</v>
      </c>
      <c r="I376" s="692" t="str">
        <f t="array" ref="I376">IF($S376="","",IF($S376="Lớp 5",INDEX('Lớp 5 - Phân công'!$P$14:$P$262,$T376),IF($S376="Lớp 4",INDEX('Lớp 4 - Danh mục'!$O$14:$O$132,$T376),"")))</f>
        <v>#REF!</v>
      </c>
      <c r="J376" s="693" t="str">
        <f t="array" ref="J376">IF($S376="","",IF($S376="Lớp 5",INDEX('Lớp 5 - Phân công'!$Q$14:$Q$262,$T376),""))</f>
        <v>#REF!</v>
      </c>
      <c r="K376" s="690" t="str">
        <f t="array" ref="K376">IF($S376="","",IF($S376="Lớp 5",INDEX('Lớp 5 - Phân công'!$AA$14:$AA$262,$T376),IF($S376="Lớp 4",INDEX('Lớp 4 - Danh mục'!$Y$14:$Y$132,$T376),INDEX('Lớp 3 - Công việc chính'!$U$14:$U$73,$T376))))</f>
        <v>#REF!</v>
      </c>
      <c r="L376" s="691" t="str">
        <f t="array" ref="L376">IF($S376="","",IF($S376="Lớp 5",INDEX('Lớp 5 - Phân công'!$Z$14:$Z$262,$T376),IF($S376="Lớp 4",INDEX('Lớp 4 - Danh mục'!$X$14:$X$132,$T376),INDEX('Lớp 3 - Công việc chính'!$W$14:$W$73,$T376))))</f>
        <v>#REF!</v>
      </c>
      <c r="M376" s="694" t="str">
        <f t="array" ref="M376">IF($S376="","",IF($S376="Lớp 5",INDEX('Lớp 5 - Phân công'!$AD$14:$AD$262,$T376),IF($S376="Lớp 4",INDEX('Lớp 4 - Danh mục'!$AC$14:$AC$132,$T376),INDEX('Lớp 3 - Công việc chính'!$Z$14:$Z$73,$T376))))</f>
        <v>#REF!</v>
      </c>
      <c r="N376" s="695" t="str">
        <f t="array" ref="N376">IF($S376="","",IF($S376="Lớp 5",INDEX('Lớp 5 - Phân công'!$AE$14:$AE$262,$T376),IF($S376="Lớp 4",INDEX('Lớp 4 - Danh mục'!$AD$14:$AD$132,$T376),INDEX('Lớp 3 - Công việc chính'!$AA$14:$AA$73,$T376))))</f>
        <v>#REF!</v>
      </c>
      <c r="O376" s="690" t="str">
        <f t="array" ref="O376">IF($S376="","",IF($S376="Lớp 5",INDEX('Lớp 5 - Phân công'!$AB$14:$AB$262,$T376),IF($S376="Lớp 4",INDEX('Lớp 4 - Danh mục'!$AA$14:$AA$132,$T376),INDEX('Lớp 3 - Công việc chính'!$X$14:$X$73,$T376))))</f>
        <v>#REF!</v>
      </c>
      <c r="P376" s="703" t="str">
        <f t="array" ref="P376">IF($S376="","",IF($S376="Lớp 5",INDEX('Lớp 5 - Phân công'!$AC$14:$AC$262,$T376),IF($S376="Lớp 4",INDEX('Lớp 4 - Danh mục'!$AB$14:$AB$132,$T376),INDEX('Lớp 3 - Công việc chính'!$Y$14:$Y$73,$T376))))</f>
        <v>#REF!</v>
      </c>
      <c r="Q376" s="697" t="str">
        <f t="array" ref="Q376">IF($S376="","",IF($S376="Lớp 5",INDEX('Lớp 5 - Phân công'!$AG$14:$AG$262,$T376),IF($S376="Lớp 4",INDEX('Lớp 4 - Danh mục'!$AF$14:$AF$132,$T376),INDEX('Lớp 3 - Công việc chính'!$AC$14:$AC$73,$T376))))</f>
        <v>#REF!</v>
      </c>
      <c r="R376" s="698" t="str">
        <f t="array" ref="R376">IF($S376="","",IF($S376="Lớp 5",INDEX('Lớp 5 - Phân công'!$X$14:$X$262,$T376),IF($S376="Lớp 4",INDEX('Lớp 4 - Danh mục'!$V$14:$V$132,$T376),INDEX('Lớp 3 - Công việc chính'!$T$14:$T$73,$T376))))</f>
        <v>#REF!</v>
      </c>
      <c r="S376" s="699" t="str">
        <f>IF(ROWS($S$14:S376)&lt;=COUNTIF('Lớp 5 - Phân công'!$I$14:$I$262,"&lt;&gt;"),"Lớp 5",IF(ROWS($S$14:S376)&lt;=COUNTIF('Lớp 5 - Phân công'!$I$14:$I$262,"&lt;&gt;")+SUMPRODUCT(--('Lớp 4 - Danh mục'!$I$14:$I$132&lt;&gt;""),--(COUNTIF('Lớp 5 - Phân công'!$J$14:$J$262,'Lớp 4 - Danh mục'!$I$14:$I$132)=0)),"Lớp 4",IF(ROWS($S$14:S376)&lt;=COUNTIF('Lớp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6" s="699" t="str">
        <f t="array" ref="T376">IF(S376="","",IF(S376="Lớp 5",IF(S375&lt;&gt;"Lớp 5",MATCH("*",'Lớp 5 - Phân công'!$I$14:$I$262,0),T375+MATCH("*",INDEX('Lớp 5 - Phân công'!$I$14:$I$262,T375+1):'Lớp 5 - Phân công'!$I$262,0)),IF(S376="Lớp 4",IF(S375&lt;&gt;"Lớp 4",MATCH(1,INDEX(('Lớp 4 - Danh mục'!$I$14:$I$132&lt;&gt;"")*(COUNTIF('Lớp 5 - Phân công'!$J$14:$J$262,'Lớp 4 - Danh mục'!$I$14:$I$132)=0),0),0),T375+MATCH(1,INDEX((INDEX('Lớp 4 - Danh mục'!$I$14:$I$132,T375+1):'Lớp 4 - Danh mục'!$I$132&lt;&gt;"")*(COUNTIF('Lớp 5 - Phân công'!$J$14:$J$262,INDEX('Lớp 4 - Danh mục'!$I$14:$I$132,T375+1):'Lớp 4 - Danh mục'!$I$132)=0),0),0)),IF(S375&lt;&gt;"Lớp 3",MATCH(1,INDEX(('Lớp 3 - Công việc chính'!$I$14:$I$73&lt;&gt;"")*(COUNTIF('Lớp 4 - Danh mục'!$J$14:$J$132,'Lớp 3 - Công việc chính'!$I$14:$I$73)=0),0),0),T375+MATCH(1,INDEX((INDEX('Lớp 3 - Công việc chính'!$I$14:$I$73,T375+1):'Lớp 3 - Công việc chính'!$I$73&lt;&gt;"")*(COUNTIF('Lớp 4 - Danh mục'!$J$14:$J$132,INDEX('Lớp 3 - Công việc chính'!$I$14:$I$73,T375+1):'Lớp 3 - Công việc chính'!$I$73)=0),0),0)))))</f>
        <v>#REF!</v>
      </c>
      <c r="Z376" s="700" t="str">
        <f t="array" ref="Z376">IF($S376="","",IF($S376="Lớp 5",INDEX('Lớp 5 - Phân công'!$AS$14:$AS$262,$T376),IF($S376="Lớp 4",INDEX('Lớp 4 - Danh mục'!$AR$14:$AR$132,$T376),INDEX('Lớp 3 - Công việc chính'!$AO$14:$AO$73,$T376))))</f>
        <v>#REF!</v>
      </c>
      <c r="AA376" s="701" t="str">
        <f t="array" ref="AA376">IF($S376="","",IF($S376="Lớp 5",INDEX('Lớp 5 - Phân công'!$AT$14:$AT$262,$T376),IF($S376="Lớp 4",INDEX('Lớp 4 - Danh mục'!$AS$14:$AS$132,$T376),INDEX('Lớp 3 - Công việc chính'!$AP$14:$AP$73,$T376))))</f>
        <v>#REF!</v>
      </c>
      <c r="AB376" s="701" t="str">
        <f t="array" ref="AB376">IF($S376="","",IF($S376="Lớp 5",INDEX('Lớp 5 - Phân công'!$AJ$14:$AJ$262,$T376),IF($S376="Lớp 4",INDEX('Lớp 4 - Danh mục'!$AI$14:$AI$132,$T376),INDEX('Lớp 3 - Công việc chính'!$AF$14:$AF$73,$T376))))</f>
        <v>#REF!</v>
      </c>
      <c r="AC376" s="702" t="str">
        <f t="array" ref="AC376">IF($S376="","",IF($S376="Lớp 5",INDEX('Lớp 5 - Phân công'!$AV$14:$AV$262,$T376),IF($S376="Lớp 4",INDEX('Lớp 4 - Danh mục'!$AU$14:$AU$132,$T376),INDEX('Lớp 3 - Công việc chính'!$AR$14:$AR$73,$T376))))</f>
        <v>#REF!</v>
      </c>
    </row>
    <row r="377" ht="15.75" customHeight="1">
      <c r="A377" s="690" t="str">
        <f t="shared" si="1"/>
        <v>#REF!</v>
      </c>
      <c r="B377" s="690" t="str">
        <f t="array" ref="B377">IF($S377="","",IF($S377="Lớp 5",INDEX('Lớp 5 - Phân công'!$I$14:$I$262,$T377),IF($S377="Lớp 4",INDEX('Lớp 4 - Danh mục'!$I$14:$I$132,$T377),INDEX('Lớp 3 - Công việc chính'!$I$14:$I$73,$T377))))</f>
        <v>#REF!</v>
      </c>
      <c r="C377" s="690" t="str">
        <f t="array" ref="C377">IF($S377="","",IF($S377="Lớp 5",INDEX('Lớp 5 - Phân công'!$K$14:$K$262,$T377),IF($S377="Lớp 4",INDEX('Lớp 4 - Danh mục'!$J$14:$J$132,$T377),INDEX('Lớp 3 - Công việc chính'!$I$14:$I$73,$T377))))</f>
        <v>#REF!</v>
      </c>
      <c r="D377" s="690" t="str">
        <f t="array" ref="D377">IF($S377="","",IF($S377="Lớp 5",INDEX('Lớp 5 - Phân công'!$J$14:$J$262,$T377),IF($S377="Lớp 4",INDEX('Lớp 4 - Danh mục'!$I$14:$I$132,$T377),"")))</f>
        <v>#REF!</v>
      </c>
      <c r="E377" s="690" t="str">
        <f t="array" ref="E377">IF($S377="","",IF($S377="Lớp 5",INDEX('Lớp 5 - Phân công'!$L$14:$L$262,$T377),IF($S377="Lớp 4",INDEX('Lớp 4 - Danh mục'!$K$14:$K$132,$T377),INDEX('Lớp 3 - Công việc chính'!$J$14:$J$73,$T377))))</f>
        <v>#REF!</v>
      </c>
      <c r="F377" s="690" t="str">
        <f t="array" ref="F377">IF($S377="","",IF($S377="Lớp 5",INDEX('Lớp 5 - Phân công'!$M$14:$M$262,$T377),IF($S377="Lớp 4",INDEX('Lớp 4 - Danh mục'!$L$14:$L$132,$T377),INDEX('Lớp 3 - Công việc chính'!$K$14:$K$73,$T377))))</f>
        <v>#REF!</v>
      </c>
      <c r="G377" s="691" t="str">
        <f t="array" ref="G377">IF($S377="","",IF($S377="Lớp 5",INDEX('Lớp 5 - Phân công'!$N$14:$N$262,$T377),IF($S377="Lớp 4",INDEX('Lớp 4 - Danh mục'!$M$14:$M$132,$T377),INDEX('Lớp 3 - Công việc chính'!$L$14:$L$73,$T377))))</f>
        <v>#REF!</v>
      </c>
      <c r="H377" s="692" t="str">
        <f t="array" ref="H377">IF($S377="","",IF($S377="Lớp 5",INDEX('Lớp 5 - Phân công'!$O$14:$O$262,$T377),IF($S377="Lớp 4",INDEX('Lớp 4 - Danh mục'!$N$14:$N$132,$T377),INDEX('Lớp 3 - Công việc chính'!$M$14:$M$73,$T377))))</f>
        <v>#REF!</v>
      </c>
      <c r="I377" s="692" t="str">
        <f t="array" ref="I377">IF($S377="","",IF($S377="Lớp 5",INDEX('Lớp 5 - Phân công'!$P$14:$P$262,$T377),IF($S377="Lớp 4",INDEX('Lớp 4 - Danh mục'!$O$14:$O$132,$T377),"")))</f>
        <v>#REF!</v>
      </c>
      <c r="J377" s="693" t="str">
        <f t="array" ref="J377">IF($S377="","",IF($S377="Lớp 5",INDEX('Lớp 5 - Phân công'!$Q$14:$Q$262,$T377),""))</f>
        <v>#REF!</v>
      </c>
      <c r="K377" s="690" t="str">
        <f t="array" ref="K377">IF($S377="","",IF($S377="Lớp 5",INDEX('Lớp 5 - Phân công'!$AA$14:$AA$262,$T377),IF($S377="Lớp 4",INDEX('Lớp 4 - Danh mục'!$Y$14:$Y$132,$T377),INDEX('Lớp 3 - Công việc chính'!$U$14:$U$73,$T377))))</f>
        <v>#REF!</v>
      </c>
      <c r="L377" s="691" t="str">
        <f t="array" ref="L377">IF($S377="","",IF($S377="Lớp 5",INDEX('Lớp 5 - Phân công'!$Z$14:$Z$262,$T377),IF($S377="Lớp 4",INDEX('Lớp 4 - Danh mục'!$X$14:$X$132,$T377),INDEX('Lớp 3 - Công việc chính'!$W$14:$W$73,$T377))))</f>
        <v>#REF!</v>
      </c>
      <c r="M377" s="694" t="str">
        <f t="array" ref="M377">IF($S377="","",IF($S377="Lớp 5",INDEX('Lớp 5 - Phân công'!$AD$14:$AD$262,$T377),IF($S377="Lớp 4",INDEX('Lớp 4 - Danh mục'!$AC$14:$AC$132,$T377),INDEX('Lớp 3 - Công việc chính'!$Z$14:$Z$73,$T377))))</f>
        <v>#REF!</v>
      </c>
      <c r="N377" s="695" t="str">
        <f t="array" ref="N377">IF($S377="","",IF($S377="Lớp 5",INDEX('Lớp 5 - Phân công'!$AE$14:$AE$262,$T377),IF($S377="Lớp 4",INDEX('Lớp 4 - Danh mục'!$AD$14:$AD$132,$T377),INDEX('Lớp 3 - Công việc chính'!$AA$14:$AA$73,$T377))))</f>
        <v>#REF!</v>
      </c>
      <c r="O377" s="690" t="str">
        <f t="array" ref="O377">IF($S377="","",IF($S377="Lớp 5",INDEX('Lớp 5 - Phân công'!$AB$14:$AB$262,$T377),IF($S377="Lớp 4",INDEX('Lớp 4 - Danh mục'!$AA$14:$AA$132,$T377),INDEX('Lớp 3 - Công việc chính'!$X$14:$X$73,$T377))))</f>
        <v>#REF!</v>
      </c>
      <c r="P377" s="703" t="str">
        <f t="array" ref="P377">IF($S377="","",IF($S377="Lớp 5",INDEX('Lớp 5 - Phân công'!$AC$14:$AC$262,$T377),IF($S377="Lớp 4",INDEX('Lớp 4 - Danh mục'!$AB$14:$AB$132,$T377),INDEX('Lớp 3 - Công việc chính'!$Y$14:$Y$73,$T377))))</f>
        <v>#REF!</v>
      </c>
      <c r="Q377" s="697" t="str">
        <f t="array" ref="Q377">IF($S377="","",IF($S377="Lớp 5",INDEX('Lớp 5 - Phân công'!$AG$14:$AG$262,$T377),IF($S377="Lớp 4",INDEX('Lớp 4 - Danh mục'!$AF$14:$AF$132,$T377),INDEX('Lớp 3 - Công việc chính'!$AC$14:$AC$73,$T377))))</f>
        <v>#REF!</v>
      </c>
      <c r="R377" s="698" t="str">
        <f t="array" ref="R377">IF($S377="","",IF($S377="Lớp 5",INDEX('Lớp 5 - Phân công'!$X$14:$X$262,$T377),IF($S377="Lớp 4",INDEX('Lớp 4 - Danh mục'!$V$14:$V$132,$T377),INDEX('Lớp 3 - Công việc chính'!$T$14:$T$73,$T377))))</f>
        <v>#REF!</v>
      </c>
      <c r="S377" s="699" t="str">
        <f>IF(ROWS($S$14:S377)&lt;=COUNTIF('Lớp 5 - Phân công'!$I$14:$I$262,"&lt;&gt;"),"Lớp 5",IF(ROWS($S$14:S377)&lt;=COUNTIF('Lớp 5 - Phân công'!$I$14:$I$262,"&lt;&gt;")+SUMPRODUCT(--('Lớp 4 - Danh mục'!$I$14:$I$132&lt;&gt;""),--(COUNTIF('Lớp 5 - Phân công'!$J$14:$J$262,'Lớp 4 - Danh mục'!$I$14:$I$132)=0)),"Lớp 4",IF(ROWS($S$14:S377)&lt;=COUNTIF('Lớp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7" s="699" t="str">
        <f t="array" ref="T377">IF(S377="","",IF(S377="Lớp 5",IF(S376&lt;&gt;"Lớp 5",MATCH("*",'Lớp 5 - Phân công'!$I$14:$I$262,0),T376+MATCH("*",INDEX('Lớp 5 - Phân công'!$I$14:$I$262,T376+1):'Lớp 5 - Phân công'!$I$262,0)),IF(S377="Lớp 4",IF(S376&lt;&gt;"Lớp 4",MATCH(1,INDEX(('Lớp 4 - Danh mục'!$I$14:$I$132&lt;&gt;"")*(COUNTIF('Lớp 5 - Phân công'!$J$14:$J$262,'Lớp 4 - Danh mục'!$I$14:$I$132)=0),0),0),T376+MATCH(1,INDEX((INDEX('Lớp 4 - Danh mục'!$I$14:$I$132,T376+1):'Lớp 4 - Danh mục'!$I$132&lt;&gt;"")*(COUNTIF('Lớp 5 - Phân công'!$J$14:$J$262,INDEX('Lớp 4 - Danh mục'!$I$14:$I$132,T376+1):'Lớp 4 - Danh mục'!$I$132)=0),0),0)),IF(S376&lt;&gt;"Lớp 3",MATCH(1,INDEX(('Lớp 3 - Công việc chính'!$I$14:$I$73&lt;&gt;"")*(COUNTIF('Lớp 4 - Danh mục'!$J$14:$J$132,'Lớp 3 - Công việc chính'!$I$14:$I$73)=0),0),0),T376+MATCH(1,INDEX((INDEX('Lớp 3 - Công việc chính'!$I$14:$I$73,T376+1):'Lớp 3 - Công việc chính'!$I$73&lt;&gt;"")*(COUNTIF('Lớp 4 - Danh mục'!$J$14:$J$132,INDEX('Lớp 3 - Công việc chính'!$I$14:$I$73,T376+1):'Lớp 3 - Công việc chính'!$I$73)=0),0),0)))))</f>
        <v>#REF!</v>
      </c>
      <c r="Z377" s="700" t="str">
        <f t="array" ref="Z377">IF($S377="","",IF($S377="Lớp 5",INDEX('Lớp 5 - Phân công'!$AS$14:$AS$262,$T377),IF($S377="Lớp 4",INDEX('Lớp 4 - Danh mục'!$AR$14:$AR$132,$T377),INDEX('Lớp 3 - Công việc chính'!$AO$14:$AO$73,$T377))))</f>
        <v>#REF!</v>
      </c>
      <c r="AA377" s="701" t="str">
        <f t="array" ref="AA377">IF($S377="","",IF($S377="Lớp 5",INDEX('Lớp 5 - Phân công'!$AT$14:$AT$262,$T377),IF($S377="Lớp 4",INDEX('Lớp 4 - Danh mục'!$AS$14:$AS$132,$T377),INDEX('Lớp 3 - Công việc chính'!$AP$14:$AP$73,$T377))))</f>
        <v>#REF!</v>
      </c>
      <c r="AB377" s="701" t="str">
        <f t="array" ref="AB377">IF($S377="","",IF($S377="Lớp 5",INDEX('Lớp 5 - Phân công'!$AJ$14:$AJ$262,$T377),IF($S377="Lớp 4",INDEX('Lớp 4 - Danh mục'!$AI$14:$AI$132,$T377),INDEX('Lớp 3 - Công việc chính'!$AF$14:$AF$73,$T377))))</f>
        <v>#REF!</v>
      </c>
      <c r="AC377" s="702" t="str">
        <f t="array" ref="AC377">IF($S377="","",IF($S377="Lớp 5",INDEX('Lớp 5 - Phân công'!$AV$14:$AV$262,$T377),IF($S377="Lớp 4",INDEX('Lớp 4 - Danh mục'!$AU$14:$AU$132,$T377),INDEX('Lớp 3 - Công việc chính'!$AR$14:$AR$73,$T377))))</f>
        <v>#REF!</v>
      </c>
    </row>
    <row r="378" ht="15.75" customHeight="1">
      <c r="A378" s="690" t="str">
        <f t="shared" si="1"/>
        <v>#REF!</v>
      </c>
      <c r="B378" s="690" t="str">
        <f t="array" ref="B378">IF($S378="","",IF($S378="Lớp 5",INDEX('Lớp 5 - Phân công'!$I$14:$I$262,$T378),IF($S378="Lớp 4",INDEX('Lớp 4 - Danh mục'!$I$14:$I$132,$T378),INDEX('Lớp 3 - Công việc chính'!$I$14:$I$73,$T378))))</f>
        <v>#REF!</v>
      </c>
      <c r="C378" s="690" t="str">
        <f t="array" ref="C378">IF($S378="","",IF($S378="Lớp 5",INDEX('Lớp 5 - Phân công'!$K$14:$K$262,$T378),IF($S378="Lớp 4",INDEX('Lớp 4 - Danh mục'!$J$14:$J$132,$T378),INDEX('Lớp 3 - Công việc chính'!$I$14:$I$73,$T378))))</f>
        <v>#REF!</v>
      </c>
      <c r="D378" s="690" t="str">
        <f t="array" ref="D378">IF($S378="","",IF($S378="Lớp 5",INDEX('Lớp 5 - Phân công'!$J$14:$J$262,$T378),IF($S378="Lớp 4",INDEX('Lớp 4 - Danh mục'!$I$14:$I$132,$T378),"")))</f>
        <v>#REF!</v>
      </c>
      <c r="E378" s="690" t="str">
        <f t="array" ref="E378">IF($S378="","",IF($S378="Lớp 5",INDEX('Lớp 5 - Phân công'!$L$14:$L$262,$T378),IF($S378="Lớp 4",INDEX('Lớp 4 - Danh mục'!$K$14:$K$132,$T378),INDEX('Lớp 3 - Công việc chính'!$J$14:$J$73,$T378))))</f>
        <v>#REF!</v>
      </c>
      <c r="F378" s="690" t="str">
        <f t="array" ref="F378">IF($S378="","",IF($S378="Lớp 5",INDEX('Lớp 5 - Phân công'!$M$14:$M$262,$T378),IF($S378="Lớp 4",INDEX('Lớp 4 - Danh mục'!$L$14:$L$132,$T378),INDEX('Lớp 3 - Công việc chính'!$K$14:$K$73,$T378))))</f>
        <v>#REF!</v>
      </c>
      <c r="G378" s="691" t="str">
        <f t="array" ref="G378">IF($S378="","",IF($S378="Lớp 5",INDEX('Lớp 5 - Phân công'!$N$14:$N$262,$T378),IF($S378="Lớp 4",INDEX('Lớp 4 - Danh mục'!$M$14:$M$132,$T378),INDEX('Lớp 3 - Công việc chính'!$L$14:$L$73,$T378))))</f>
        <v>#REF!</v>
      </c>
      <c r="H378" s="692" t="str">
        <f t="array" ref="H378">IF($S378="","",IF($S378="Lớp 5",INDEX('Lớp 5 - Phân công'!$O$14:$O$262,$T378),IF($S378="Lớp 4",INDEX('Lớp 4 - Danh mục'!$N$14:$N$132,$T378),INDEX('Lớp 3 - Công việc chính'!$M$14:$M$73,$T378))))</f>
        <v>#REF!</v>
      </c>
      <c r="I378" s="692" t="str">
        <f t="array" ref="I378">IF($S378="","",IF($S378="Lớp 5",INDEX('Lớp 5 - Phân công'!$P$14:$P$262,$T378),IF($S378="Lớp 4",INDEX('Lớp 4 - Danh mục'!$O$14:$O$132,$T378),"")))</f>
        <v>#REF!</v>
      </c>
      <c r="J378" s="693" t="str">
        <f t="array" ref="J378">IF($S378="","",IF($S378="Lớp 5",INDEX('Lớp 5 - Phân công'!$Q$14:$Q$262,$T378),""))</f>
        <v>#REF!</v>
      </c>
      <c r="K378" s="690" t="str">
        <f t="array" ref="K378">IF($S378="","",IF($S378="Lớp 5",INDEX('Lớp 5 - Phân công'!$AA$14:$AA$262,$T378),IF($S378="Lớp 4",INDEX('Lớp 4 - Danh mục'!$Y$14:$Y$132,$T378),INDEX('Lớp 3 - Công việc chính'!$U$14:$U$73,$T378))))</f>
        <v>#REF!</v>
      </c>
      <c r="L378" s="691" t="str">
        <f t="array" ref="L378">IF($S378="","",IF($S378="Lớp 5",INDEX('Lớp 5 - Phân công'!$Z$14:$Z$262,$T378),IF($S378="Lớp 4",INDEX('Lớp 4 - Danh mục'!$X$14:$X$132,$T378),INDEX('Lớp 3 - Công việc chính'!$W$14:$W$73,$T378))))</f>
        <v>#REF!</v>
      </c>
      <c r="M378" s="694" t="str">
        <f t="array" ref="M378">IF($S378="","",IF($S378="Lớp 5",INDEX('Lớp 5 - Phân công'!$AD$14:$AD$262,$T378),IF($S378="Lớp 4",INDEX('Lớp 4 - Danh mục'!$AC$14:$AC$132,$T378),INDEX('Lớp 3 - Công việc chính'!$Z$14:$Z$73,$T378))))</f>
        <v>#REF!</v>
      </c>
      <c r="N378" s="695" t="str">
        <f t="array" ref="N378">IF($S378="","",IF($S378="Lớp 5",INDEX('Lớp 5 - Phân công'!$AE$14:$AE$262,$T378),IF($S378="Lớp 4",INDEX('Lớp 4 - Danh mục'!$AD$14:$AD$132,$T378),INDEX('Lớp 3 - Công việc chính'!$AA$14:$AA$73,$T378))))</f>
        <v>#REF!</v>
      </c>
      <c r="O378" s="690" t="str">
        <f t="array" ref="O378">IF($S378="","",IF($S378="Lớp 5",INDEX('Lớp 5 - Phân công'!$AB$14:$AB$262,$T378),IF($S378="Lớp 4",INDEX('Lớp 4 - Danh mục'!$AA$14:$AA$132,$T378),INDEX('Lớp 3 - Công việc chính'!$X$14:$X$73,$T378))))</f>
        <v>#REF!</v>
      </c>
      <c r="P378" s="703" t="str">
        <f t="array" ref="P378">IF($S378="","",IF($S378="Lớp 5",INDEX('Lớp 5 - Phân công'!$AC$14:$AC$262,$T378),IF($S378="Lớp 4",INDEX('Lớp 4 - Danh mục'!$AB$14:$AB$132,$T378),INDEX('Lớp 3 - Công việc chính'!$Y$14:$Y$73,$T378))))</f>
        <v>#REF!</v>
      </c>
      <c r="Q378" s="697" t="str">
        <f t="array" ref="Q378">IF($S378="","",IF($S378="Lớp 5",INDEX('Lớp 5 - Phân công'!$AG$14:$AG$262,$T378),IF($S378="Lớp 4",INDEX('Lớp 4 - Danh mục'!$AF$14:$AF$132,$T378),INDEX('Lớp 3 - Công việc chính'!$AC$14:$AC$73,$T378))))</f>
        <v>#REF!</v>
      </c>
      <c r="R378" s="698" t="str">
        <f t="array" ref="R378">IF($S378="","",IF($S378="Lớp 5",INDEX('Lớp 5 - Phân công'!$X$14:$X$262,$T378),IF($S378="Lớp 4",INDEX('Lớp 4 - Danh mục'!$V$14:$V$132,$T378),INDEX('Lớp 3 - Công việc chính'!$T$14:$T$73,$T378))))</f>
        <v>#REF!</v>
      </c>
      <c r="S378" s="699" t="str">
        <f>IF(ROWS($S$14:S378)&lt;=COUNTIF('Lớp 5 - Phân công'!$I$14:$I$262,"&lt;&gt;"),"Lớp 5",IF(ROWS($S$14:S378)&lt;=COUNTIF('Lớp 5 - Phân công'!$I$14:$I$262,"&lt;&gt;")+SUMPRODUCT(--('Lớp 4 - Danh mục'!$I$14:$I$132&lt;&gt;""),--(COUNTIF('Lớp 5 - Phân công'!$J$14:$J$262,'Lớp 4 - Danh mục'!$I$14:$I$132)=0)),"Lớp 4",IF(ROWS($S$14:S378)&lt;=COUNTIF('Lớp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8" s="699" t="str">
        <f t="array" ref="T378">IF(S378="","",IF(S378="Lớp 5",IF(S377&lt;&gt;"Lớp 5",MATCH("*",'Lớp 5 - Phân công'!$I$14:$I$262,0),T377+MATCH("*",INDEX('Lớp 5 - Phân công'!$I$14:$I$262,T377+1):'Lớp 5 - Phân công'!$I$262,0)),IF(S378="Lớp 4",IF(S377&lt;&gt;"Lớp 4",MATCH(1,INDEX(('Lớp 4 - Danh mục'!$I$14:$I$132&lt;&gt;"")*(COUNTIF('Lớp 5 - Phân công'!$J$14:$J$262,'Lớp 4 - Danh mục'!$I$14:$I$132)=0),0),0),T377+MATCH(1,INDEX((INDEX('Lớp 4 - Danh mục'!$I$14:$I$132,T377+1):'Lớp 4 - Danh mục'!$I$132&lt;&gt;"")*(COUNTIF('Lớp 5 - Phân công'!$J$14:$J$262,INDEX('Lớp 4 - Danh mục'!$I$14:$I$132,T377+1):'Lớp 4 - Danh mục'!$I$132)=0),0),0)),IF(S377&lt;&gt;"Lớp 3",MATCH(1,INDEX(('Lớp 3 - Công việc chính'!$I$14:$I$73&lt;&gt;"")*(COUNTIF('Lớp 4 - Danh mục'!$J$14:$J$132,'Lớp 3 - Công việc chính'!$I$14:$I$73)=0),0),0),T377+MATCH(1,INDEX((INDEX('Lớp 3 - Công việc chính'!$I$14:$I$73,T377+1):'Lớp 3 - Công việc chính'!$I$73&lt;&gt;"")*(COUNTIF('Lớp 4 - Danh mục'!$J$14:$J$132,INDEX('Lớp 3 - Công việc chính'!$I$14:$I$73,T377+1):'Lớp 3 - Công việc chính'!$I$73)=0),0),0)))))</f>
        <v>#REF!</v>
      </c>
      <c r="Z378" s="700" t="str">
        <f t="array" ref="Z378">IF($S378="","",IF($S378="Lớp 5",INDEX('Lớp 5 - Phân công'!$AS$14:$AS$262,$T378),IF($S378="Lớp 4",INDEX('Lớp 4 - Danh mục'!$AR$14:$AR$132,$T378),INDEX('Lớp 3 - Công việc chính'!$AO$14:$AO$73,$T378))))</f>
        <v>#REF!</v>
      </c>
      <c r="AA378" s="701" t="str">
        <f t="array" ref="AA378">IF($S378="","",IF($S378="Lớp 5",INDEX('Lớp 5 - Phân công'!$AT$14:$AT$262,$T378),IF($S378="Lớp 4",INDEX('Lớp 4 - Danh mục'!$AS$14:$AS$132,$T378),INDEX('Lớp 3 - Công việc chính'!$AP$14:$AP$73,$T378))))</f>
        <v>#REF!</v>
      </c>
      <c r="AB378" s="701" t="str">
        <f t="array" ref="AB378">IF($S378="","",IF($S378="Lớp 5",INDEX('Lớp 5 - Phân công'!$AJ$14:$AJ$262,$T378),IF($S378="Lớp 4",INDEX('Lớp 4 - Danh mục'!$AI$14:$AI$132,$T378),INDEX('Lớp 3 - Công việc chính'!$AF$14:$AF$73,$T378))))</f>
        <v>#REF!</v>
      </c>
      <c r="AC378" s="702" t="str">
        <f t="array" ref="AC378">IF($S378="","",IF($S378="Lớp 5",INDEX('Lớp 5 - Phân công'!$AV$14:$AV$262,$T378),IF($S378="Lớp 4",INDEX('Lớp 4 - Danh mục'!$AU$14:$AU$132,$T378),INDEX('Lớp 3 - Công việc chính'!$AR$14:$AR$73,$T378))))</f>
        <v>#REF!</v>
      </c>
    </row>
    <row r="379" ht="15.75" customHeight="1">
      <c r="A379" s="690" t="str">
        <f t="shared" si="1"/>
        <v>#REF!</v>
      </c>
      <c r="B379" s="690" t="str">
        <f t="array" ref="B379">IF($S379="","",IF($S379="Lớp 5",INDEX('Lớp 5 - Phân công'!$I$14:$I$262,$T379),IF($S379="Lớp 4",INDEX('Lớp 4 - Danh mục'!$I$14:$I$132,$T379),INDEX('Lớp 3 - Công việc chính'!$I$14:$I$73,$T379))))</f>
        <v>#REF!</v>
      </c>
      <c r="C379" s="690" t="str">
        <f t="array" ref="C379">IF($S379="","",IF($S379="Lớp 5",INDEX('Lớp 5 - Phân công'!$K$14:$K$262,$T379),IF($S379="Lớp 4",INDEX('Lớp 4 - Danh mục'!$J$14:$J$132,$T379),INDEX('Lớp 3 - Công việc chính'!$I$14:$I$73,$T379))))</f>
        <v>#REF!</v>
      </c>
      <c r="D379" s="690" t="str">
        <f t="array" ref="D379">IF($S379="","",IF($S379="Lớp 5",INDEX('Lớp 5 - Phân công'!$J$14:$J$262,$T379),IF($S379="Lớp 4",INDEX('Lớp 4 - Danh mục'!$I$14:$I$132,$T379),"")))</f>
        <v>#REF!</v>
      </c>
      <c r="E379" s="690" t="str">
        <f t="array" ref="E379">IF($S379="","",IF($S379="Lớp 5",INDEX('Lớp 5 - Phân công'!$L$14:$L$262,$T379),IF($S379="Lớp 4",INDEX('Lớp 4 - Danh mục'!$K$14:$K$132,$T379),INDEX('Lớp 3 - Công việc chính'!$J$14:$J$73,$T379))))</f>
        <v>#REF!</v>
      </c>
      <c r="F379" s="690" t="str">
        <f t="array" ref="F379">IF($S379="","",IF($S379="Lớp 5",INDEX('Lớp 5 - Phân công'!$M$14:$M$262,$T379),IF($S379="Lớp 4",INDEX('Lớp 4 - Danh mục'!$L$14:$L$132,$T379),INDEX('Lớp 3 - Công việc chính'!$K$14:$K$73,$T379))))</f>
        <v>#REF!</v>
      </c>
      <c r="G379" s="691" t="str">
        <f t="array" ref="G379">IF($S379="","",IF($S379="Lớp 5",INDEX('Lớp 5 - Phân công'!$N$14:$N$262,$T379),IF($S379="Lớp 4",INDEX('Lớp 4 - Danh mục'!$M$14:$M$132,$T379),INDEX('Lớp 3 - Công việc chính'!$L$14:$L$73,$T379))))</f>
        <v>#REF!</v>
      </c>
      <c r="H379" s="692" t="str">
        <f t="array" ref="H379">IF($S379="","",IF($S379="Lớp 5",INDEX('Lớp 5 - Phân công'!$O$14:$O$262,$T379),IF($S379="Lớp 4",INDEX('Lớp 4 - Danh mục'!$N$14:$N$132,$T379),INDEX('Lớp 3 - Công việc chính'!$M$14:$M$73,$T379))))</f>
        <v>#REF!</v>
      </c>
      <c r="I379" s="692" t="str">
        <f t="array" ref="I379">IF($S379="","",IF($S379="Lớp 5",INDEX('Lớp 5 - Phân công'!$P$14:$P$262,$T379),IF($S379="Lớp 4",INDEX('Lớp 4 - Danh mục'!$O$14:$O$132,$T379),"")))</f>
        <v>#REF!</v>
      </c>
      <c r="J379" s="693" t="str">
        <f t="array" ref="J379">IF($S379="","",IF($S379="Lớp 5",INDEX('Lớp 5 - Phân công'!$Q$14:$Q$262,$T379),""))</f>
        <v>#REF!</v>
      </c>
      <c r="K379" s="690" t="str">
        <f t="array" ref="K379">IF($S379="","",IF($S379="Lớp 5",INDEX('Lớp 5 - Phân công'!$AA$14:$AA$262,$T379),IF($S379="Lớp 4",INDEX('Lớp 4 - Danh mục'!$Y$14:$Y$132,$T379),INDEX('Lớp 3 - Công việc chính'!$U$14:$U$73,$T379))))</f>
        <v>#REF!</v>
      </c>
      <c r="L379" s="691" t="str">
        <f t="array" ref="L379">IF($S379="","",IF($S379="Lớp 5",INDEX('Lớp 5 - Phân công'!$Z$14:$Z$262,$T379),IF($S379="Lớp 4",INDEX('Lớp 4 - Danh mục'!$X$14:$X$132,$T379),INDEX('Lớp 3 - Công việc chính'!$W$14:$W$73,$T379))))</f>
        <v>#REF!</v>
      </c>
      <c r="M379" s="694" t="str">
        <f t="array" ref="M379">IF($S379="","",IF($S379="Lớp 5",INDEX('Lớp 5 - Phân công'!$AD$14:$AD$262,$T379),IF($S379="Lớp 4",INDEX('Lớp 4 - Danh mục'!$AC$14:$AC$132,$T379),INDEX('Lớp 3 - Công việc chính'!$Z$14:$Z$73,$T379))))</f>
        <v>#REF!</v>
      </c>
      <c r="N379" s="695" t="str">
        <f t="array" ref="N379">IF($S379="","",IF($S379="Lớp 5",INDEX('Lớp 5 - Phân công'!$AE$14:$AE$262,$T379),IF($S379="Lớp 4",INDEX('Lớp 4 - Danh mục'!$AD$14:$AD$132,$T379),INDEX('Lớp 3 - Công việc chính'!$AA$14:$AA$73,$T379))))</f>
        <v>#REF!</v>
      </c>
      <c r="O379" s="690" t="str">
        <f t="array" ref="O379">IF($S379="","",IF($S379="Lớp 5",INDEX('Lớp 5 - Phân công'!$AB$14:$AB$262,$T379),IF($S379="Lớp 4",INDEX('Lớp 4 - Danh mục'!$AA$14:$AA$132,$T379),INDEX('Lớp 3 - Công việc chính'!$X$14:$X$73,$T379))))</f>
        <v>#REF!</v>
      </c>
      <c r="P379" s="703" t="str">
        <f t="array" ref="P379">IF($S379="","",IF($S379="Lớp 5",INDEX('Lớp 5 - Phân công'!$AC$14:$AC$262,$T379),IF($S379="Lớp 4",INDEX('Lớp 4 - Danh mục'!$AB$14:$AB$132,$T379),INDEX('Lớp 3 - Công việc chính'!$Y$14:$Y$73,$T379))))</f>
        <v>#REF!</v>
      </c>
      <c r="Q379" s="697" t="str">
        <f t="array" ref="Q379">IF($S379="","",IF($S379="Lớp 5",INDEX('Lớp 5 - Phân công'!$AG$14:$AG$262,$T379),IF($S379="Lớp 4",INDEX('Lớp 4 - Danh mục'!$AF$14:$AF$132,$T379),INDEX('Lớp 3 - Công việc chính'!$AC$14:$AC$73,$T379))))</f>
        <v>#REF!</v>
      </c>
      <c r="R379" s="698" t="str">
        <f t="array" ref="R379">IF($S379="","",IF($S379="Lớp 5",INDEX('Lớp 5 - Phân công'!$X$14:$X$262,$T379),IF($S379="Lớp 4",INDEX('Lớp 4 - Danh mục'!$V$14:$V$132,$T379),INDEX('Lớp 3 - Công việc chính'!$T$14:$T$73,$T379))))</f>
        <v>#REF!</v>
      </c>
      <c r="S379" s="699" t="str">
        <f>IF(ROWS($S$14:S379)&lt;=COUNTIF('Lớp 5 - Phân công'!$I$14:$I$262,"&lt;&gt;"),"Lớp 5",IF(ROWS($S$14:S379)&lt;=COUNTIF('Lớp 5 - Phân công'!$I$14:$I$262,"&lt;&gt;")+SUMPRODUCT(--('Lớp 4 - Danh mục'!$I$14:$I$132&lt;&gt;""),--(COUNTIF('Lớp 5 - Phân công'!$J$14:$J$262,'Lớp 4 - Danh mục'!$I$14:$I$132)=0)),"Lớp 4",IF(ROWS($S$14:S379)&lt;=COUNTIF('Lớp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79" s="699" t="str">
        <f t="array" ref="T379">IF(S379="","",IF(S379="Lớp 5",IF(S378&lt;&gt;"Lớp 5",MATCH("*",'Lớp 5 - Phân công'!$I$14:$I$262,0),T378+MATCH("*",INDEX('Lớp 5 - Phân công'!$I$14:$I$262,T378+1):'Lớp 5 - Phân công'!$I$262,0)),IF(S379="Lớp 4",IF(S378&lt;&gt;"Lớp 4",MATCH(1,INDEX(('Lớp 4 - Danh mục'!$I$14:$I$132&lt;&gt;"")*(COUNTIF('Lớp 5 - Phân công'!$J$14:$J$262,'Lớp 4 - Danh mục'!$I$14:$I$132)=0),0),0),T378+MATCH(1,INDEX((INDEX('Lớp 4 - Danh mục'!$I$14:$I$132,T378+1):'Lớp 4 - Danh mục'!$I$132&lt;&gt;"")*(COUNTIF('Lớp 5 - Phân công'!$J$14:$J$262,INDEX('Lớp 4 - Danh mục'!$I$14:$I$132,T378+1):'Lớp 4 - Danh mục'!$I$132)=0),0),0)),IF(S378&lt;&gt;"Lớp 3",MATCH(1,INDEX(('Lớp 3 - Công việc chính'!$I$14:$I$73&lt;&gt;"")*(COUNTIF('Lớp 4 - Danh mục'!$J$14:$J$132,'Lớp 3 - Công việc chính'!$I$14:$I$73)=0),0),0),T378+MATCH(1,INDEX((INDEX('Lớp 3 - Công việc chính'!$I$14:$I$73,T378+1):'Lớp 3 - Công việc chính'!$I$73&lt;&gt;"")*(COUNTIF('Lớp 4 - Danh mục'!$J$14:$J$132,INDEX('Lớp 3 - Công việc chính'!$I$14:$I$73,T378+1):'Lớp 3 - Công việc chính'!$I$73)=0),0),0)))))</f>
        <v>#REF!</v>
      </c>
      <c r="Z379" s="700" t="str">
        <f t="array" ref="Z379">IF($S379="","",IF($S379="Lớp 5",INDEX('Lớp 5 - Phân công'!$AS$14:$AS$262,$T379),IF($S379="Lớp 4",INDEX('Lớp 4 - Danh mục'!$AR$14:$AR$132,$T379),INDEX('Lớp 3 - Công việc chính'!$AO$14:$AO$73,$T379))))</f>
        <v>#REF!</v>
      </c>
      <c r="AA379" s="701" t="str">
        <f t="array" ref="AA379">IF($S379="","",IF($S379="Lớp 5",INDEX('Lớp 5 - Phân công'!$AT$14:$AT$262,$T379),IF($S379="Lớp 4",INDEX('Lớp 4 - Danh mục'!$AS$14:$AS$132,$T379),INDEX('Lớp 3 - Công việc chính'!$AP$14:$AP$73,$T379))))</f>
        <v>#REF!</v>
      </c>
      <c r="AB379" s="701" t="str">
        <f t="array" ref="AB379">IF($S379="","",IF($S379="Lớp 5",INDEX('Lớp 5 - Phân công'!$AJ$14:$AJ$262,$T379),IF($S379="Lớp 4",INDEX('Lớp 4 - Danh mục'!$AI$14:$AI$132,$T379),INDEX('Lớp 3 - Công việc chính'!$AF$14:$AF$73,$T379))))</f>
        <v>#REF!</v>
      </c>
      <c r="AC379" s="702" t="str">
        <f t="array" ref="AC379">IF($S379="","",IF($S379="Lớp 5",INDEX('Lớp 5 - Phân công'!$AV$14:$AV$262,$T379),IF($S379="Lớp 4",INDEX('Lớp 4 - Danh mục'!$AU$14:$AU$132,$T379),INDEX('Lớp 3 - Công việc chính'!$AR$14:$AR$73,$T379))))</f>
        <v>#REF!</v>
      </c>
    </row>
    <row r="380" ht="15.75" customHeight="1">
      <c r="A380" s="690" t="str">
        <f t="shared" si="1"/>
        <v>#REF!</v>
      </c>
      <c r="B380" s="690" t="str">
        <f t="array" ref="B380">IF($S380="","",IF($S380="Lớp 5",INDEX('Lớp 5 - Phân công'!$I$14:$I$262,$T380),IF($S380="Lớp 4",INDEX('Lớp 4 - Danh mục'!$I$14:$I$132,$T380),INDEX('Lớp 3 - Công việc chính'!$I$14:$I$73,$T380))))</f>
        <v>#REF!</v>
      </c>
      <c r="C380" s="690" t="str">
        <f t="array" ref="C380">IF($S380="","",IF($S380="Lớp 5",INDEX('Lớp 5 - Phân công'!$K$14:$K$262,$T380),IF($S380="Lớp 4",INDEX('Lớp 4 - Danh mục'!$J$14:$J$132,$T380),INDEX('Lớp 3 - Công việc chính'!$I$14:$I$73,$T380))))</f>
        <v>#REF!</v>
      </c>
      <c r="D380" s="690" t="str">
        <f t="array" ref="D380">IF($S380="","",IF($S380="Lớp 5",INDEX('Lớp 5 - Phân công'!$J$14:$J$262,$T380),IF($S380="Lớp 4",INDEX('Lớp 4 - Danh mục'!$I$14:$I$132,$T380),"")))</f>
        <v>#REF!</v>
      </c>
      <c r="E380" s="690" t="str">
        <f t="array" ref="E380">IF($S380="","",IF($S380="Lớp 5",INDEX('Lớp 5 - Phân công'!$L$14:$L$262,$T380),IF($S380="Lớp 4",INDEX('Lớp 4 - Danh mục'!$K$14:$K$132,$T380),INDEX('Lớp 3 - Công việc chính'!$J$14:$J$73,$T380))))</f>
        <v>#REF!</v>
      </c>
      <c r="F380" s="690" t="str">
        <f t="array" ref="F380">IF($S380="","",IF($S380="Lớp 5",INDEX('Lớp 5 - Phân công'!$M$14:$M$262,$T380),IF($S380="Lớp 4",INDEX('Lớp 4 - Danh mục'!$L$14:$L$132,$T380),INDEX('Lớp 3 - Công việc chính'!$K$14:$K$73,$T380))))</f>
        <v>#REF!</v>
      </c>
      <c r="G380" s="691" t="str">
        <f t="array" ref="G380">IF($S380="","",IF($S380="Lớp 5",INDEX('Lớp 5 - Phân công'!$N$14:$N$262,$T380),IF($S380="Lớp 4",INDEX('Lớp 4 - Danh mục'!$M$14:$M$132,$T380),INDEX('Lớp 3 - Công việc chính'!$L$14:$L$73,$T380))))</f>
        <v>#REF!</v>
      </c>
      <c r="H380" s="692" t="str">
        <f t="array" ref="H380">IF($S380="","",IF($S380="Lớp 5",INDEX('Lớp 5 - Phân công'!$O$14:$O$262,$T380),IF($S380="Lớp 4",INDEX('Lớp 4 - Danh mục'!$N$14:$N$132,$T380),INDEX('Lớp 3 - Công việc chính'!$M$14:$M$73,$T380))))</f>
        <v>#REF!</v>
      </c>
      <c r="I380" s="692" t="str">
        <f t="array" ref="I380">IF($S380="","",IF($S380="Lớp 5",INDEX('Lớp 5 - Phân công'!$P$14:$P$262,$T380),IF($S380="Lớp 4",INDEX('Lớp 4 - Danh mục'!$O$14:$O$132,$T380),"")))</f>
        <v>#REF!</v>
      </c>
      <c r="J380" s="693" t="str">
        <f t="array" ref="J380">IF($S380="","",IF($S380="Lớp 5",INDEX('Lớp 5 - Phân công'!$Q$14:$Q$262,$T380),""))</f>
        <v>#REF!</v>
      </c>
      <c r="K380" s="690" t="str">
        <f t="array" ref="K380">IF($S380="","",IF($S380="Lớp 5",INDEX('Lớp 5 - Phân công'!$AA$14:$AA$262,$T380),IF($S380="Lớp 4",INDEX('Lớp 4 - Danh mục'!$Y$14:$Y$132,$T380),INDEX('Lớp 3 - Công việc chính'!$U$14:$U$73,$T380))))</f>
        <v>#REF!</v>
      </c>
      <c r="L380" s="691" t="str">
        <f t="array" ref="L380">IF($S380="","",IF($S380="Lớp 5",INDEX('Lớp 5 - Phân công'!$Z$14:$Z$262,$T380),IF($S380="Lớp 4",INDEX('Lớp 4 - Danh mục'!$X$14:$X$132,$T380),INDEX('Lớp 3 - Công việc chính'!$W$14:$W$73,$T380))))</f>
        <v>#REF!</v>
      </c>
      <c r="M380" s="694" t="str">
        <f t="array" ref="M380">IF($S380="","",IF($S380="Lớp 5",INDEX('Lớp 5 - Phân công'!$AD$14:$AD$262,$T380),IF($S380="Lớp 4",INDEX('Lớp 4 - Danh mục'!$AC$14:$AC$132,$T380),INDEX('Lớp 3 - Công việc chính'!$Z$14:$Z$73,$T380))))</f>
        <v>#REF!</v>
      </c>
      <c r="N380" s="695" t="str">
        <f t="array" ref="N380">IF($S380="","",IF($S380="Lớp 5",INDEX('Lớp 5 - Phân công'!$AE$14:$AE$262,$T380),IF($S380="Lớp 4",INDEX('Lớp 4 - Danh mục'!$AD$14:$AD$132,$T380),INDEX('Lớp 3 - Công việc chính'!$AA$14:$AA$73,$T380))))</f>
        <v>#REF!</v>
      </c>
      <c r="O380" s="690" t="str">
        <f t="array" ref="O380">IF($S380="","",IF($S380="Lớp 5",INDEX('Lớp 5 - Phân công'!$AB$14:$AB$262,$T380),IF($S380="Lớp 4",INDEX('Lớp 4 - Danh mục'!$AA$14:$AA$132,$T380),INDEX('Lớp 3 - Công việc chính'!$X$14:$X$73,$T380))))</f>
        <v>#REF!</v>
      </c>
      <c r="P380" s="703" t="str">
        <f t="array" ref="P380">IF($S380="","",IF($S380="Lớp 5",INDEX('Lớp 5 - Phân công'!$AC$14:$AC$262,$T380),IF($S380="Lớp 4",INDEX('Lớp 4 - Danh mục'!$AB$14:$AB$132,$T380),INDEX('Lớp 3 - Công việc chính'!$Y$14:$Y$73,$T380))))</f>
        <v>#REF!</v>
      </c>
      <c r="Q380" s="697" t="str">
        <f t="array" ref="Q380">IF($S380="","",IF($S380="Lớp 5",INDEX('Lớp 5 - Phân công'!$AG$14:$AG$262,$T380),IF($S380="Lớp 4",INDEX('Lớp 4 - Danh mục'!$AF$14:$AF$132,$T380),INDEX('Lớp 3 - Công việc chính'!$AC$14:$AC$73,$T380))))</f>
        <v>#REF!</v>
      </c>
      <c r="R380" s="698" t="str">
        <f t="array" ref="R380">IF($S380="","",IF($S380="Lớp 5",INDEX('Lớp 5 - Phân công'!$X$14:$X$262,$T380),IF($S380="Lớp 4",INDEX('Lớp 4 - Danh mục'!$V$14:$V$132,$T380),INDEX('Lớp 3 - Công việc chính'!$T$14:$T$73,$T380))))</f>
        <v>#REF!</v>
      </c>
      <c r="S380" s="699" t="str">
        <f>IF(ROWS($S$14:S380)&lt;=COUNTIF('Lớp 5 - Phân công'!$I$14:$I$262,"&lt;&gt;"),"Lớp 5",IF(ROWS($S$14:S380)&lt;=COUNTIF('Lớp 5 - Phân công'!$I$14:$I$262,"&lt;&gt;")+SUMPRODUCT(--('Lớp 4 - Danh mục'!$I$14:$I$132&lt;&gt;""),--(COUNTIF('Lớp 5 - Phân công'!$J$14:$J$262,'Lớp 4 - Danh mục'!$I$14:$I$132)=0)),"Lớp 4",IF(ROWS($S$14:S380)&lt;=COUNTIF('Lớp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0" s="699" t="str">
        <f t="array" ref="T380">IF(S380="","",IF(S380="Lớp 5",IF(S379&lt;&gt;"Lớp 5",MATCH("*",'Lớp 5 - Phân công'!$I$14:$I$262,0),T379+MATCH("*",INDEX('Lớp 5 - Phân công'!$I$14:$I$262,T379+1):'Lớp 5 - Phân công'!$I$262,0)),IF(S380="Lớp 4",IF(S379&lt;&gt;"Lớp 4",MATCH(1,INDEX(('Lớp 4 - Danh mục'!$I$14:$I$132&lt;&gt;"")*(COUNTIF('Lớp 5 - Phân công'!$J$14:$J$262,'Lớp 4 - Danh mục'!$I$14:$I$132)=0),0),0),T379+MATCH(1,INDEX((INDEX('Lớp 4 - Danh mục'!$I$14:$I$132,T379+1):'Lớp 4 - Danh mục'!$I$132&lt;&gt;"")*(COUNTIF('Lớp 5 - Phân công'!$J$14:$J$262,INDEX('Lớp 4 - Danh mục'!$I$14:$I$132,T379+1):'Lớp 4 - Danh mục'!$I$132)=0),0),0)),IF(S379&lt;&gt;"Lớp 3",MATCH(1,INDEX(('Lớp 3 - Công việc chính'!$I$14:$I$73&lt;&gt;"")*(COUNTIF('Lớp 4 - Danh mục'!$J$14:$J$132,'Lớp 3 - Công việc chính'!$I$14:$I$73)=0),0),0),T379+MATCH(1,INDEX((INDEX('Lớp 3 - Công việc chính'!$I$14:$I$73,T379+1):'Lớp 3 - Công việc chính'!$I$73&lt;&gt;"")*(COUNTIF('Lớp 4 - Danh mục'!$J$14:$J$132,INDEX('Lớp 3 - Công việc chính'!$I$14:$I$73,T379+1):'Lớp 3 - Công việc chính'!$I$73)=0),0),0)))))</f>
        <v>#REF!</v>
      </c>
      <c r="Z380" s="700" t="str">
        <f t="array" ref="Z380">IF($S380="","",IF($S380="Lớp 5",INDEX('Lớp 5 - Phân công'!$AS$14:$AS$262,$T380),IF($S380="Lớp 4",INDEX('Lớp 4 - Danh mục'!$AR$14:$AR$132,$T380),INDEX('Lớp 3 - Công việc chính'!$AO$14:$AO$73,$T380))))</f>
        <v>#REF!</v>
      </c>
      <c r="AA380" s="701" t="str">
        <f t="array" ref="AA380">IF($S380="","",IF($S380="Lớp 5",INDEX('Lớp 5 - Phân công'!$AT$14:$AT$262,$T380),IF($S380="Lớp 4",INDEX('Lớp 4 - Danh mục'!$AS$14:$AS$132,$T380),INDEX('Lớp 3 - Công việc chính'!$AP$14:$AP$73,$T380))))</f>
        <v>#REF!</v>
      </c>
      <c r="AB380" s="701" t="str">
        <f t="array" ref="AB380">IF($S380="","",IF($S380="Lớp 5",INDEX('Lớp 5 - Phân công'!$AJ$14:$AJ$262,$T380),IF($S380="Lớp 4",INDEX('Lớp 4 - Danh mục'!$AI$14:$AI$132,$T380),INDEX('Lớp 3 - Công việc chính'!$AF$14:$AF$73,$T380))))</f>
        <v>#REF!</v>
      </c>
      <c r="AC380" s="702" t="str">
        <f t="array" ref="AC380">IF($S380="","",IF($S380="Lớp 5",INDEX('Lớp 5 - Phân công'!$AV$14:$AV$262,$T380),IF($S380="Lớp 4",INDEX('Lớp 4 - Danh mục'!$AU$14:$AU$132,$T380),INDEX('Lớp 3 - Công việc chính'!$AR$14:$AR$73,$T380))))</f>
        <v>#REF!</v>
      </c>
    </row>
    <row r="381" ht="15.75" customHeight="1">
      <c r="A381" s="690" t="str">
        <f t="shared" si="1"/>
        <v>#REF!</v>
      </c>
      <c r="B381" s="690" t="str">
        <f t="array" ref="B381">IF($S381="","",IF($S381="Lớp 5",INDEX('Lớp 5 - Phân công'!$I$14:$I$262,$T381),IF($S381="Lớp 4",INDEX('Lớp 4 - Danh mục'!$I$14:$I$132,$T381),INDEX('Lớp 3 - Công việc chính'!$I$14:$I$73,$T381))))</f>
        <v>#REF!</v>
      </c>
      <c r="C381" s="690" t="str">
        <f t="array" ref="C381">IF($S381="","",IF($S381="Lớp 5",INDEX('Lớp 5 - Phân công'!$K$14:$K$262,$T381),IF($S381="Lớp 4",INDEX('Lớp 4 - Danh mục'!$J$14:$J$132,$T381),INDEX('Lớp 3 - Công việc chính'!$I$14:$I$73,$T381))))</f>
        <v>#REF!</v>
      </c>
      <c r="D381" s="690" t="str">
        <f t="array" ref="D381">IF($S381="","",IF($S381="Lớp 5",INDEX('Lớp 5 - Phân công'!$J$14:$J$262,$T381),IF($S381="Lớp 4",INDEX('Lớp 4 - Danh mục'!$I$14:$I$132,$T381),"")))</f>
        <v>#REF!</v>
      </c>
      <c r="E381" s="690" t="str">
        <f t="array" ref="E381">IF($S381="","",IF($S381="Lớp 5",INDEX('Lớp 5 - Phân công'!$L$14:$L$262,$T381),IF($S381="Lớp 4",INDEX('Lớp 4 - Danh mục'!$K$14:$K$132,$T381),INDEX('Lớp 3 - Công việc chính'!$J$14:$J$73,$T381))))</f>
        <v>#REF!</v>
      </c>
      <c r="F381" s="690" t="str">
        <f t="array" ref="F381">IF($S381="","",IF($S381="Lớp 5",INDEX('Lớp 5 - Phân công'!$M$14:$M$262,$T381),IF($S381="Lớp 4",INDEX('Lớp 4 - Danh mục'!$L$14:$L$132,$T381),INDEX('Lớp 3 - Công việc chính'!$K$14:$K$73,$T381))))</f>
        <v>#REF!</v>
      </c>
      <c r="G381" s="691" t="str">
        <f t="array" ref="G381">IF($S381="","",IF($S381="Lớp 5",INDEX('Lớp 5 - Phân công'!$N$14:$N$262,$T381),IF($S381="Lớp 4",INDEX('Lớp 4 - Danh mục'!$M$14:$M$132,$T381),INDEX('Lớp 3 - Công việc chính'!$L$14:$L$73,$T381))))</f>
        <v>#REF!</v>
      </c>
      <c r="H381" s="692" t="str">
        <f t="array" ref="H381">IF($S381="","",IF($S381="Lớp 5",INDEX('Lớp 5 - Phân công'!$O$14:$O$262,$T381),IF($S381="Lớp 4",INDEX('Lớp 4 - Danh mục'!$N$14:$N$132,$T381),INDEX('Lớp 3 - Công việc chính'!$M$14:$M$73,$T381))))</f>
        <v>#REF!</v>
      </c>
      <c r="I381" s="692" t="str">
        <f t="array" ref="I381">IF($S381="","",IF($S381="Lớp 5",INDEX('Lớp 5 - Phân công'!$P$14:$P$262,$T381),IF($S381="Lớp 4",INDEX('Lớp 4 - Danh mục'!$O$14:$O$132,$T381),"")))</f>
        <v>#REF!</v>
      </c>
      <c r="J381" s="693" t="str">
        <f t="array" ref="J381">IF($S381="","",IF($S381="Lớp 5",INDEX('Lớp 5 - Phân công'!$Q$14:$Q$262,$T381),""))</f>
        <v>#REF!</v>
      </c>
      <c r="K381" s="690" t="str">
        <f t="array" ref="K381">IF($S381="","",IF($S381="Lớp 5",INDEX('Lớp 5 - Phân công'!$AA$14:$AA$262,$T381),IF($S381="Lớp 4",INDEX('Lớp 4 - Danh mục'!$Y$14:$Y$132,$T381),INDEX('Lớp 3 - Công việc chính'!$U$14:$U$73,$T381))))</f>
        <v>#REF!</v>
      </c>
      <c r="L381" s="691" t="str">
        <f t="array" ref="L381">IF($S381="","",IF($S381="Lớp 5",INDEX('Lớp 5 - Phân công'!$Z$14:$Z$262,$T381),IF($S381="Lớp 4",INDEX('Lớp 4 - Danh mục'!$X$14:$X$132,$T381),INDEX('Lớp 3 - Công việc chính'!$W$14:$W$73,$T381))))</f>
        <v>#REF!</v>
      </c>
      <c r="M381" s="694" t="str">
        <f t="array" ref="M381">IF($S381="","",IF($S381="Lớp 5",INDEX('Lớp 5 - Phân công'!$AD$14:$AD$262,$T381),IF($S381="Lớp 4",INDEX('Lớp 4 - Danh mục'!$AC$14:$AC$132,$T381),INDEX('Lớp 3 - Công việc chính'!$Z$14:$Z$73,$T381))))</f>
        <v>#REF!</v>
      </c>
      <c r="N381" s="695" t="str">
        <f t="array" ref="N381">IF($S381="","",IF($S381="Lớp 5",INDEX('Lớp 5 - Phân công'!$AE$14:$AE$262,$T381),IF($S381="Lớp 4",INDEX('Lớp 4 - Danh mục'!$AD$14:$AD$132,$T381),INDEX('Lớp 3 - Công việc chính'!$AA$14:$AA$73,$T381))))</f>
        <v>#REF!</v>
      </c>
      <c r="O381" s="690" t="str">
        <f t="array" ref="O381">IF($S381="","",IF($S381="Lớp 5",INDEX('Lớp 5 - Phân công'!$AB$14:$AB$262,$T381),IF($S381="Lớp 4",INDEX('Lớp 4 - Danh mục'!$AA$14:$AA$132,$T381),INDEX('Lớp 3 - Công việc chính'!$X$14:$X$73,$T381))))</f>
        <v>#REF!</v>
      </c>
      <c r="P381" s="703" t="str">
        <f t="array" ref="P381">IF($S381="","",IF($S381="Lớp 5",INDEX('Lớp 5 - Phân công'!$AC$14:$AC$262,$T381),IF($S381="Lớp 4",INDEX('Lớp 4 - Danh mục'!$AB$14:$AB$132,$T381),INDEX('Lớp 3 - Công việc chính'!$Y$14:$Y$73,$T381))))</f>
        <v>#REF!</v>
      </c>
      <c r="Q381" s="697" t="str">
        <f t="array" ref="Q381">IF($S381="","",IF($S381="Lớp 5",INDEX('Lớp 5 - Phân công'!$AG$14:$AG$262,$T381),IF($S381="Lớp 4",INDEX('Lớp 4 - Danh mục'!$AF$14:$AF$132,$T381),INDEX('Lớp 3 - Công việc chính'!$AC$14:$AC$73,$T381))))</f>
        <v>#REF!</v>
      </c>
      <c r="R381" s="698" t="str">
        <f t="array" ref="R381">IF($S381="","",IF($S381="Lớp 5",INDEX('Lớp 5 - Phân công'!$X$14:$X$262,$T381),IF($S381="Lớp 4",INDEX('Lớp 4 - Danh mục'!$V$14:$V$132,$T381),INDEX('Lớp 3 - Công việc chính'!$T$14:$T$73,$T381))))</f>
        <v>#REF!</v>
      </c>
      <c r="S381" s="699" t="str">
        <f>IF(ROWS($S$14:S381)&lt;=COUNTIF('Lớp 5 - Phân công'!$I$14:$I$262,"&lt;&gt;"),"Lớp 5",IF(ROWS($S$14:S381)&lt;=COUNTIF('Lớp 5 - Phân công'!$I$14:$I$262,"&lt;&gt;")+SUMPRODUCT(--('Lớp 4 - Danh mục'!$I$14:$I$132&lt;&gt;""),--(COUNTIF('Lớp 5 - Phân công'!$J$14:$J$262,'Lớp 4 - Danh mục'!$I$14:$I$132)=0)),"Lớp 4",IF(ROWS($S$14:S381)&lt;=COUNTIF('Lớp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1" s="699" t="str">
        <f t="array" ref="T381">IF(S381="","",IF(S381="Lớp 5",IF(S380&lt;&gt;"Lớp 5",MATCH("*",'Lớp 5 - Phân công'!$I$14:$I$262,0),T380+MATCH("*",INDEX('Lớp 5 - Phân công'!$I$14:$I$262,T380+1):'Lớp 5 - Phân công'!$I$262,0)),IF(S381="Lớp 4",IF(S380&lt;&gt;"Lớp 4",MATCH(1,INDEX(('Lớp 4 - Danh mục'!$I$14:$I$132&lt;&gt;"")*(COUNTIF('Lớp 5 - Phân công'!$J$14:$J$262,'Lớp 4 - Danh mục'!$I$14:$I$132)=0),0),0),T380+MATCH(1,INDEX((INDEX('Lớp 4 - Danh mục'!$I$14:$I$132,T380+1):'Lớp 4 - Danh mục'!$I$132&lt;&gt;"")*(COUNTIF('Lớp 5 - Phân công'!$J$14:$J$262,INDEX('Lớp 4 - Danh mục'!$I$14:$I$132,T380+1):'Lớp 4 - Danh mục'!$I$132)=0),0),0)),IF(S380&lt;&gt;"Lớp 3",MATCH(1,INDEX(('Lớp 3 - Công việc chính'!$I$14:$I$73&lt;&gt;"")*(COUNTIF('Lớp 4 - Danh mục'!$J$14:$J$132,'Lớp 3 - Công việc chính'!$I$14:$I$73)=0),0),0),T380+MATCH(1,INDEX((INDEX('Lớp 3 - Công việc chính'!$I$14:$I$73,T380+1):'Lớp 3 - Công việc chính'!$I$73&lt;&gt;"")*(COUNTIF('Lớp 4 - Danh mục'!$J$14:$J$132,INDEX('Lớp 3 - Công việc chính'!$I$14:$I$73,T380+1):'Lớp 3 - Công việc chính'!$I$73)=0),0),0)))))</f>
        <v>#REF!</v>
      </c>
      <c r="Z381" s="700" t="str">
        <f t="array" ref="Z381">IF($S381="","",IF($S381="Lớp 5",INDEX('Lớp 5 - Phân công'!$AS$14:$AS$262,$T381),IF($S381="Lớp 4",INDEX('Lớp 4 - Danh mục'!$AR$14:$AR$132,$T381),INDEX('Lớp 3 - Công việc chính'!$AO$14:$AO$73,$T381))))</f>
        <v>#REF!</v>
      </c>
      <c r="AA381" s="701" t="str">
        <f t="array" ref="AA381">IF($S381="","",IF($S381="Lớp 5",INDEX('Lớp 5 - Phân công'!$AT$14:$AT$262,$T381),IF($S381="Lớp 4",INDEX('Lớp 4 - Danh mục'!$AS$14:$AS$132,$T381),INDEX('Lớp 3 - Công việc chính'!$AP$14:$AP$73,$T381))))</f>
        <v>#REF!</v>
      </c>
      <c r="AB381" s="701" t="str">
        <f t="array" ref="AB381">IF($S381="","",IF($S381="Lớp 5",INDEX('Lớp 5 - Phân công'!$AJ$14:$AJ$262,$T381),IF($S381="Lớp 4",INDEX('Lớp 4 - Danh mục'!$AI$14:$AI$132,$T381),INDEX('Lớp 3 - Công việc chính'!$AF$14:$AF$73,$T381))))</f>
        <v>#REF!</v>
      </c>
      <c r="AC381" s="702" t="str">
        <f t="array" ref="AC381">IF($S381="","",IF($S381="Lớp 5",INDEX('Lớp 5 - Phân công'!$AV$14:$AV$262,$T381),IF($S381="Lớp 4",INDEX('Lớp 4 - Danh mục'!$AU$14:$AU$132,$T381),INDEX('Lớp 3 - Công việc chính'!$AR$14:$AR$73,$T381))))</f>
        <v>#REF!</v>
      </c>
    </row>
    <row r="382" ht="15.75" customHeight="1">
      <c r="A382" s="690" t="str">
        <f t="shared" si="1"/>
        <v>#REF!</v>
      </c>
      <c r="B382" s="690" t="str">
        <f t="array" ref="B382">IF($S382="","",IF($S382="Lớp 5",INDEX('Lớp 5 - Phân công'!$I$14:$I$262,$T382),IF($S382="Lớp 4",INDEX('Lớp 4 - Danh mục'!$I$14:$I$132,$T382),INDEX('Lớp 3 - Công việc chính'!$I$14:$I$73,$T382))))</f>
        <v>#REF!</v>
      </c>
      <c r="C382" s="690" t="str">
        <f t="array" ref="C382">IF($S382="","",IF($S382="Lớp 5",INDEX('Lớp 5 - Phân công'!$K$14:$K$262,$T382),IF($S382="Lớp 4",INDEX('Lớp 4 - Danh mục'!$J$14:$J$132,$T382),INDEX('Lớp 3 - Công việc chính'!$I$14:$I$73,$T382))))</f>
        <v>#REF!</v>
      </c>
      <c r="D382" s="690" t="str">
        <f t="array" ref="D382">IF($S382="","",IF($S382="Lớp 5",INDEX('Lớp 5 - Phân công'!$J$14:$J$262,$T382),IF($S382="Lớp 4",INDEX('Lớp 4 - Danh mục'!$I$14:$I$132,$T382),"")))</f>
        <v>#REF!</v>
      </c>
      <c r="E382" s="690" t="str">
        <f t="array" ref="E382">IF($S382="","",IF($S382="Lớp 5",INDEX('Lớp 5 - Phân công'!$L$14:$L$262,$T382),IF($S382="Lớp 4",INDEX('Lớp 4 - Danh mục'!$K$14:$K$132,$T382),INDEX('Lớp 3 - Công việc chính'!$J$14:$J$73,$T382))))</f>
        <v>#REF!</v>
      </c>
      <c r="F382" s="690" t="str">
        <f t="array" ref="F382">IF($S382="","",IF($S382="Lớp 5",INDEX('Lớp 5 - Phân công'!$M$14:$M$262,$T382),IF($S382="Lớp 4",INDEX('Lớp 4 - Danh mục'!$L$14:$L$132,$T382),INDEX('Lớp 3 - Công việc chính'!$K$14:$K$73,$T382))))</f>
        <v>#REF!</v>
      </c>
      <c r="G382" s="691" t="str">
        <f t="array" ref="G382">IF($S382="","",IF($S382="Lớp 5",INDEX('Lớp 5 - Phân công'!$N$14:$N$262,$T382),IF($S382="Lớp 4",INDEX('Lớp 4 - Danh mục'!$M$14:$M$132,$T382),INDEX('Lớp 3 - Công việc chính'!$L$14:$L$73,$T382))))</f>
        <v>#REF!</v>
      </c>
      <c r="H382" s="692" t="str">
        <f t="array" ref="H382">IF($S382="","",IF($S382="Lớp 5",INDEX('Lớp 5 - Phân công'!$O$14:$O$262,$T382),IF($S382="Lớp 4",INDEX('Lớp 4 - Danh mục'!$N$14:$N$132,$T382),INDEX('Lớp 3 - Công việc chính'!$M$14:$M$73,$T382))))</f>
        <v>#REF!</v>
      </c>
      <c r="I382" s="692" t="str">
        <f t="array" ref="I382">IF($S382="","",IF($S382="Lớp 5",INDEX('Lớp 5 - Phân công'!$P$14:$P$262,$T382),IF($S382="Lớp 4",INDEX('Lớp 4 - Danh mục'!$O$14:$O$132,$T382),"")))</f>
        <v>#REF!</v>
      </c>
      <c r="J382" s="693" t="str">
        <f t="array" ref="J382">IF($S382="","",IF($S382="Lớp 5",INDEX('Lớp 5 - Phân công'!$Q$14:$Q$262,$T382),""))</f>
        <v>#REF!</v>
      </c>
      <c r="K382" s="690" t="str">
        <f t="array" ref="K382">IF($S382="","",IF($S382="Lớp 5",INDEX('Lớp 5 - Phân công'!$AA$14:$AA$262,$T382),IF($S382="Lớp 4",INDEX('Lớp 4 - Danh mục'!$Y$14:$Y$132,$T382),INDEX('Lớp 3 - Công việc chính'!$U$14:$U$73,$T382))))</f>
        <v>#REF!</v>
      </c>
      <c r="L382" s="691" t="str">
        <f t="array" ref="L382">IF($S382="","",IF($S382="Lớp 5",INDEX('Lớp 5 - Phân công'!$Z$14:$Z$262,$T382),IF($S382="Lớp 4",INDEX('Lớp 4 - Danh mục'!$X$14:$X$132,$T382),INDEX('Lớp 3 - Công việc chính'!$W$14:$W$73,$T382))))</f>
        <v>#REF!</v>
      </c>
      <c r="M382" s="694" t="str">
        <f t="array" ref="M382">IF($S382="","",IF($S382="Lớp 5",INDEX('Lớp 5 - Phân công'!$AD$14:$AD$262,$T382),IF($S382="Lớp 4",INDEX('Lớp 4 - Danh mục'!$AC$14:$AC$132,$T382),INDEX('Lớp 3 - Công việc chính'!$Z$14:$Z$73,$T382))))</f>
        <v>#REF!</v>
      </c>
      <c r="N382" s="695" t="str">
        <f t="array" ref="N382">IF($S382="","",IF($S382="Lớp 5",INDEX('Lớp 5 - Phân công'!$AE$14:$AE$262,$T382),IF($S382="Lớp 4",INDEX('Lớp 4 - Danh mục'!$AD$14:$AD$132,$T382),INDEX('Lớp 3 - Công việc chính'!$AA$14:$AA$73,$T382))))</f>
        <v>#REF!</v>
      </c>
      <c r="O382" s="690" t="str">
        <f t="array" ref="O382">IF($S382="","",IF($S382="Lớp 5",INDEX('Lớp 5 - Phân công'!$AB$14:$AB$262,$T382),IF($S382="Lớp 4",INDEX('Lớp 4 - Danh mục'!$AA$14:$AA$132,$T382),INDEX('Lớp 3 - Công việc chính'!$X$14:$X$73,$T382))))</f>
        <v>#REF!</v>
      </c>
      <c r="P382" s="703" t="str">
        <f t="array" ref="P382">IF($S382="","",IF($S382="Lớp 5",INDEX('Lớp 5 - Phân công'!$AC$14:$AC$262,$T382),IF($S382="Lớp 4",INDEX('Lớp 4 - Danh mục'!$AB$14:$AB$132,$T382),INDEX('Lớp 3 - Công việc chính'!$Y$14:$Y$73,$T382))))</f>
        <v>#REF!</v>
      </c>
      <c r="Q382" s="697" t="str">
        <f t="array" ref="Q382">IF($S382="","",IF($S382="Lớp 5",INDEX('Lớp 5 - Phân công'!$AG$14:$AG$262,$T382),IF($S382="Lớp 4",INDEX('Lớp 4 - Danh mục'!$AF$14:$AF$132,$T382),INDEX('Lớp 3 - Công việc chính'!$AC$14:$AC$73,$T382))))</f>
        <v>#REF!</v>
      </c>
      <c r="R382" s="698" t="str">
        <f t="array" ref="R382">IF($S382="","",IF($S382="Lớp 5",INDEX('Lớp 5 - Phân công'!$X$14:$X$262,$T382),IF($S382="Lớp 4",INDEX('Lớp 4 - Danh mục'!$V$14:$V$132,$T382),INDEX('Lớp 3 - Công việc chính'!$T$14:$T$73,$T382))))</f>
        <v>#REF!</v>
      </c>
      <c r="S382" s="699" t="str">
        <f>IF(ROWS($S$14:S382)&lt;=COUNTIF('Lớp 5 - Phân công'!$I$14:$I$262,"&lt;&gt;"),"Lớp 5",IF(ROWS($S$14:S382)&lt;=COUNTIF('Lớp 5 - Phân công'!$I$14:$I$262,"&lt;&gt;")+SUMPRODUCT(--('Lớp 4 - Danh mục'!$I$14:$I$132&lt;&gt;""),--(COUNTIF('Lớp 5 - Phân công'!$J$14:$J$262,'Lớp 4 - Danh mục'!$I$14:$I$132)=0)),"Lớp 4",IF(ROWS($S$14:S382)&lt;=COUNTIF('Lớp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2" s="699" t="str">
        <f t="array" ref="T382">IF(S382="","",IF(S382="Lớp 5",IF(S381&lt;&gt;"Lớp 5",MATCH("*",'Lớp 5 - Phân công'!$I$14:$I$262,0),T381+MATCH("*",INDEX('Lớp 5 - Phân công'!$I$14:$I$262,T381+1):'Lớp 5 - Phân công'!$I$262,0)),IF(S382="Lớp 4",IF(S381&lt;&gt;"Lớp 4",MATCH(1,INDEX(('Lớp 4 - Danh mục'!$I$14:$I$132&lt;&gt;"")*(COUNTIF('Lớp 5 - Phân công'!$J$14:$J$262,'Lớp 4 - Danh mục'!$I$14:$I$132)=0),0),0),T381+MATCH(1,INDEX((INDEX('Lớp 4 - Danh mục'!$I$14:$I$132,T381+1):'Lớp 4 - Danh mục'!$I$132&lt;&gt;"")*(COUNTIF('Lớp 5 - Phân công'!$J$14:$J$262,INDEX('Lớp 4 - Danh mục'!$I$14:$I$132,T381+1):'Lớp 4 - Danh mục'!$I$132)=0),0),0)),IF(S381&lt;&gt;"Lớp 3",MATCH(1,INDEX(('Lớp 3 - Công việc chính'!$I$14:$I$73&lt;&gt;"")*(COUNTIF('Lớp 4 - Danh mục'!$J$14:$J$132,'Lớp 3 - Công việc chính'!$I$14:$I$73)=0),0),0),T381+MATCH(1,INDEX((INDEX('Lớp 3 - Công việc chính'!$I$14:$I$73,T381+1):'Lớp 3 - Công việc chính'!$I$73&lt;&gt;"")*(COUNTIF('Lớp 4 - Danh mục'!$J$14:$J$132,INDEX('Lớp 3 - Công việc chính'!$I$14:$I$73,T381+1):'Lớp 3 - Công việc chính'!$I$73)=0),0),0)))))</f>
        <v>#REF!</v>
      </c>
      <c r="Z382" s="700" t="str">
        <f t="array" ref="Z382">IF($S382="","",IF($S382="Lớp 5",INDEX('Lớp 5 - Phân công'!$AS$14:$AS$262,$T382),IF($S382="Lớp 4",INDEX('Lớp 4 - Danh mục'!$AR$14:$AR$132,$T382),INDEX('Lớp 3 - Công việc chính'!$AO$14:$AO$73,$T382))))</f>
        <v>#REF!</v>
      </c>
      <c r="AA382" s="701" t="str">
        <f t="array" ref="AA382">IF($S382="","",IF($S382="Lớp 5",INDEX('Lớp 5 - Phân công'!$AT$14:$AT$262,$T382),IF($S382="Lớp 4",INDEX('Lớp 4 - Danh mục'!$AS$14:$AS$132,$T382),INDEX('Lớp 3 - Công việc chính'!$AP$14:$AP$73,$T382))))</f>
        <v>#REF!</v>
      </c>
      <c r="AB382" s="701" t="str">
        <f t="array" ref="AB382">IF($S382="","",IF($S382="Lớp 5",INDEX('Lớp 5 - Phân công'!$AJ$14:$AJ$262,$T382),IF($S382="Lớp 4",INDEX('Lớp 4 - Danh mục'!$AI$14:$AI$132,$T382),INDEX('Lớp 3 - Công việc chính'!$AF$14:$AF$73,$T382))))</f>
        <v>#REF!</v>
      </c>
      <c r="AC382" s="702" t="str">
        <f t="array" ref="AC382">IF($S382="","",IF($S382="Lớp 5",INDEX('Lớp 5 - Phân công'!$AV$14:$AV$262,$T382),IF($S382="Lớp 4",INDEX('Lớp 4 - Danh mục'!$AU$14:$AU$132,$T382),INDEX('Lớp 3 - Công việc chính'!$AR$14:$AR$73,$T382))))</f>
        <v>#REF!</v>
      </c>
    </row>
    <row r="383" ht="15.75" customHeight="1">
      <c r="A383" s="690" t="str">
        <f t="shared" si="1"/>
        <v>#REF!</v>
      </c>
      <c r="B383" s="690" t="str">
        <f t="array" ref="B383">IF($S383="","",IF($S383="Lớp 5",INDEX('Lớp 5 - Phân công'!$I$14:$I$262,$T383),IF($S383="Lớp 4",INDEX('Lớp 4 - Danh mục'!$I$14:$I$132,$T383),INDEX('Lớp 3 - Công việc chính'!$I$14:$I$73,$T383))))</f>
        <v>#REF!</v>
      </c>
      <c r="C383" s="690" t="str">
        <f t="array" ref="C383">IF($S383="","",IF($S383="Lớp 5",INDEX('Lớp 5 - Phân công'!$K$14:$K$262,$T383),IF($S383="Lớp 4",INDEX('Lớp 4 - Danh mục'!$J$14:$J$132,$T383),INDEX('Lớp 3 - Công việc chính'!$I$14:$I$73,$T383))))</f>
        <v>#REF!</v>
      </c>
      <c r="D383" s="690" t="str">
        <f t="array" ref="D383">IF($S383="","",IF($S383="Lớp 5",INDEX('Lớp 5 - Phân công'!$J$14:$J$262,$T383),IF($S383="Lớp 4",INDEX('Lớp 4 - Danh mục'!$I$14:$I$132,$T383),"")))</f>
        <v>#REF!</v>
      </c>
      <c r="E383" s="690" t="str">
        <f t="array" ref="E383">IF($S383="","",IF($S383="Lớp 5",INDEX('Lớp 5 - Phân công'!$L$14:$L$262,$T383),IF($S383="Lớp 4",INDEX('Lớp 4 - Danh mục'!$K$14:$K$132,$T383),INDEX('Lớp 3 - Công việc chính'!$J$14:$J$73,$T383))))</f>
        <v>#REF!</v>
      </c>
      <c r="F383" s="690" t="str">
        <f t="array" ref="F383">IF($S383="","",IF($S383="Lớp 5",INDEX('Lớp 5 - Phân công'!$M$14:$M$262,$T383),IF($S383="Lớp 4",INDEX('Lớp 4 - Danh mục'!$L$14:$L$132,$T383),INDEX('Lớp 3 - Công việc chính'!$K$14:$K$73,$T383))))</f>
        <v>#REF!</v>
      </c>
      <c r="G383" s="691" t="str">
        <f t="array" ref="G383">IF($S383="","",IF($S383="Lớp 5",INDEX('Lớp 5 - Phân công'!$N$14:$N$262,$T383),IF($S383="Lớp 4",INDEX('Lớp 4 - Danh mục'!$M$14:$M$132,$T383),INDEX('Lớp 3 - Công việc chính'!$L$14:$L$73,$T383))))</f>
        <v>#REF!</v>
      </c>
      <c r="H383" s="692" t="str">
        <f t="array" ref="H383">IF($S383="","",IF($S383="Lớp 5",INDEX('Lớp 5 - Phân công'!$O$14:$O$262,$T383),IF($S383="Lớp 4",INDEX('Lớp 4 - Danh mục'!$N$14:$N$132,$T383),INDEX('Lớp 3 - Công việc chính'!$M$14:$M$73,$T383))))</f>
        <v>#REF!</v>
      </c>
      <c r="I383" s="692" t="str">
        <f t="array" ref="I383">IF($S383="","",IF($S383="Lớp 5",INDEX('Lớp 5 - Phân công'!$P$14:$P$262,$T383),IF($S383="Lớp 4",INDEX('Lớp 4 - Danh mục'!$O$14:$O$132,$T383),"")))</f>
        <v>#REF!</v>
      </c>
      <c r="J383" s="693" t="str">
        <f t="array" ref="J383">IF($S383="","",IF($S383="Lớp 5",INDEX('Lớp 5 - Phân công'!$Q$14:$Q$262,$T383),""))</f>
        <v>#REF!</v>
      </c>
      <c r="K383" s="690" t="str">
        <f t="array" ref="K383">IF($S383="","",IF($S383="Lớp 5",INDEX('Lớp 5 - Phân công'!$AA$14:$AA$262,$T383),IF($S383="Lớp 4",INDEX('Lớp 4 - Danh mục'!$Y$14:$Y$132,$T383),INDEX('Lớp 3 - Công việc chính'!$U$14:$U$73,$T383))))</f>
        <v>#REF!</v>
      </c>
      <c r="L383" s="691" t="str">
        <f t="array" ref="L383">IF($S383="","",IF($S383="Lớp 5",INDEX('Lớp 5 - Phân công'!$Z$14:$Z$262,$T383),IF($S383="Lớp 4",INDEX('Lớp 4 - Danh mục'!$X$14:$X$132,$T383),INDEX('Lớp 3 - Công việc chính'!$W$14:$W$73,$T383))))</f>
        <v>#REF!</v>
      </c>
      <c r="M383" s="694" t="str">
        <f t="array" ref="M383">IF($S383="","",IF($S383="Lớp 5",INDEX('Lớp 5 - Phân công'!$AD$14:$AD$262,$T383),IF($S383="Lớp 4",INDEX('Lớp 4 - Danh mục'!$AC$14:$AC$132,$T383),INDEX('Lớp 3 - Công việc chính'!$Z$14:$Z$73,$T383))))</f>
        <v>#REF!</v>
      </c>
      <c r="N383" s="695" t="str">
        <f t="array" ref="N383">IF($S383="","",IF($S383="Lớp 5",INDEX('Lớp 5 - Phân công'!$AE$14:$AE$262,$T383),IF($S383="Lớp 4",INDEX('Lớp 4 - Danh mục'!$AD$14:$AD$132,$T383),INDEX('Lớp 3 - Công việc chính'!$AA$14:$AA$73,$T383))))</f>
        <v>#REF!</v>
      </c>
      <c r="O383" s="690" t="str">
        <f t="array" ref="O383">IF($S383="","",IF($S383="Lớp 5",INDEX('Lớp 5 - Phân công'!$AB$14:$AB$262,$T383),IF($S383="Lớp 4",INDEX('Lớp 4 - Danh mục'!$AA$14:$AA$132,$T383),INDEX('Lớp 3 - Công việc chính'!$X$14:$X$73,$T383))))</f>
        <v>#REF!</v>
      </c>
      <c r="P383" s="703" t="str">
        <f t="array" ref="P383">IF($S383="","",IF($S383="Lớp 5",INDEX('Lớp 5 - Phân công'!$AC$14:$AC$262,$T383),IF($S383="Lớp 4",INDEX('Lớp 4 - Danh mục'!$AB$14:$AB$132,$T383),INDEX('Lớp 3 - Công việc chính'!$Y$14:$Y$73,$T383))))</f>
        <v>#REF!</v>
      </c>
      <c r="Q383" s="697" t="str">
        <f t="array" ref="Q383">IF($S383="","",IF($S383="Lớp 5",INDEX('Lớp 5 - Phân công'!$AG$14:$AG$262,$T383),IF($S383="Lớp 4",INDEX('Lớp 4 - Danh mục'!$AF$14:$AF$132,$T383),INDEX('Lớp 3 - Công việc chính'!$AC$14:$AC$73,$T383))))</f>
        <v>#REF!</v>
      </c>
      <c r="R383" s="698" t="str">
        <f t="array" ref="R383">IF($S383="","",IF($S383="Lớp 5",INDEX('Lớp 5 - Phân công'!$X$14:$X$262,$T383),IF($S383="Lớp 4",INDEX('Lớp 4 - Danh mục'!$V$14:$V$132,$T383),INDEX('Lớp 3 - Công việc chính'!$T$14:$T$73,$T383))))</f>
        <v>#REF!</v>
      </c>
      <c r="S383" s="699" t="str">
        <f>IF(ROWS($S$14:S383)&lt;=COUNTIF('Lớp 5 - Phân công'!$I$14:$I$262,"&lt;&gt;"),"Lớp 5",IF(ROWS($S$14:S383)&lt;=COUNTIF('Lớp 5 - Phân công'!$I$14:$I$262,"&lt;&gt;")+SUMPRODUCT(--('Lớp 4 - Danh mục'!$I$14:$I$132&lt;&gt;""),--(COUNTIF('Lớp 5 - Phân công'!$J$14:$J$262,'Lớp 4 - Danh mục'!$I$14:$I$132)=0)),"Lớp 4",IF(ROWS($S$14:S383)&lt;=COUNTIF('Lớp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3" s="699" t="str">
        <f t="array" ref="T383">IF(S383="","",IF(S383="Lớp 5",IF(S382&lt;&gt;"Lớp 5",MATCH("*",'Lớp 5 - Phân công'!$I$14:$I$262,0),T382+MATCH("*",INDEX('Lớp 5 - Phân công'!$I$14:$I$262,T382+1):'Lớp 5 - Phân công'!$I$262,0)),IF(S383="Lớp 4",IF(S382&lt;&gt;"Lớp 4",MATCH(1,INDEX(('Lớp 4 - Danh mục'!$I$14:$I$132&lt;&gt;"")*(COUNTIF('Lớp 5 - Phân công'!$J$14:$J$262,'Lớp 4 - Danh mục'!$I$14:$I$132)=0),0),0),T382+MATCH(1,INDEX((INDEX('Lớp 4 - Danh mục'!$I$14:$I$132,T382+1):'Lớp 4 - Danh mục'!$I$132&lt;&gt;"")*(COUNTIF('Lớp 5 - Phân công'!$J$14:$J$262,INDEX('Lớp 4 - Danh mục'!$I$14:$I$132,T382+1):'Lớp 4 - Danh mục'!$I$132)=0),0),0)),IF(S382&lt;&gt;"Lớp 3",MATCH(1,INDEX(('Lớp 3 - Công việc chính'!$I$14:$I$73&lt;&gt;"")*(COUNTIF('Lớp 4 - Danh mục'!$J$14:$J$132,'Lớp 3 - Công việc chính'!$I$14:$I$73)=0),0),0),T382+MATCH(1,INDEX((INDEX('Lớp 3 - Công việc chính'!$I$14:$I$73,T382+1):'Lớp 3 - Công việc chính'!$I$73&lt;&gt;"")*(COUNTIF('Lớp 4 - Danh mục'!$J$14:$J$132,INDEX('Lớp 3 - Công việc chính'!$I$14:$I$73,T382+1):'Lớp 3 - Công việc chính'!$I$73)=0),0),0)))))</f>
        <v>#REF!</v>
      </c>
      <c r="Z383" s="700" t="str">
        <f t="array" ref="Z383">IF($S383="","",IF($S383="Lớp 5",INDEX('Lớp 5 - Phân công'!$AS$14:$AS$262,$T383),IF($S383="Lớp 4",INDEX('Lớp 4 - Danh mục'!$AR$14:$AR$132,$T383),INDEX('Lớp 3 - Công việc chính'!$AO$14:$AO$73,$T383))))</f>
        <v>#REF!</v>
      </c>
      <c r="AA383" s="701" t="str">
        <f t="array" ref="AA383">IF($S383="","",IF($S383="Lớp 5",INDEX('Lớp 5 - Phân công'!$AT$14:$AT$262,$T383),IF($S383="Lớp 4",INDEX('Lớp 4 - Danh mục'!$AS$14:$AS$132,$T383),INDEX('Lớp 3 - Công việc chính'!$AP$14:$AP$73,$T383))))</f>
        <v>#REF!</v>
      </c>
      <c r="AB383" s="701" t="str">
        <f t="array" ref="AB383">IF($S383="","",IF($S383="Lớp 5",INDEX('Lớp 5 - Phân công'!$AJ$14:$AJ$262,$T383),IF($S383="Lớp 4",INDEX('Lớp 4 - Danh mục'!$AI$14:$AI$132,$T383),INDEX('Lớp 3 - Công việc chính'!$AF$14:$AF$73,$T383))))</f>
        <v>#REF!</v>
      </c>
      <c r="AC383" s="702" t="str">
        <f t="array" ref="AC383">IF($S383="","",IF($S383="Lớp 5",INDEX('Lớp 5 - Phân công'!$AV$14:$AV$262,$T383),IF($S383="Lớp 4",INDEX('Lớp 4 - Danh mục'!$AU$14:$AU$132,$T383),INDEX('Lớp 3 - Công việc chính'!$AR$14:$AR$73,$T383))))</f>
        <v>#REF!</v>
      </c>
    </row>
    <row r="384" ht="15.75" customHeight="1">
      <c r="A384" s="690" t="str">
        <f t="shared" si="1"/>
        <v>#REF!</v>
      </c>
      <c r="B384" s="690" t="str">
        <f t="array" ref="B384">IF($S384="","",IF($S384="Lớp 5",INDEX('Lớp 5 - Phân công'!$I$14:$I$262,$T384),IF($S384="Lớp 4",INDEX('Lớp 4 - Danh mục'!$I$14:$I$132,$T384),INDEX('Lớp 3 - Công việc chính'!$I$14:$I$73,$T384))))</f>
        <v>#REF!</v>
      </c>
      <c r="C384" s="690" t="str">
        <f t="array" ref="C384">IF($S384="","",IF($S384="Lớp 5",INDEX('Lớp 5 - Phân công'!$K$14:$K$262,$T384),IF($S384="Lớp 4",INDEX('Lớp 4 - Danh mục'!$J$14:$J$132,$T384),INDEX('Lớp 3 - Công việc chính'!$I$14:$I$73,$T384))))</f>
        <v>#REF!</v>
      </c>
      <c r="D384" s="690" t="str">
        <f t="array" ref="D384">IF($S384="","",IF($S384="Lớp 5",INDEX('Lớp 5 - Phân công'!$J$14:$J$262,$T384),IF($S384="Lớp 4",INDEX('Lớp 4 - Danh mục'!$I$14:$I$132,$T384),"")))</f>
        <v>#REF!</v>
      </c>
      <c r="E384" s="690" t="str">
        <f t="array" ref="E384">IF($S384="","",IF($S384="Lớp 5",INDEX('Lớp 5 - Phân công'!$L$14:$L$262,$T384),IF($S384="Lớp 4",INDEX('Lớp 4 - Danh mục'!$K$14:$K$132,$T384),INDEX('Lớp 3 - Công việc chính'!$J$14:$J$73,$T384))))</f>
        <v>#REF!</v>
      </c>
      <c r="F384" s="690" t="str">
        <f t="array" ref="F384">IF($S384="","",IF($S384="Lớp 5",INDEX('Lớp 5 - Phân công'!$M$14:$M$262,$T384),IF($S384="Lớp 4",INDEX('Lớp 4 - Danh mục'!$L$14:$L$132,$T384),INDEX('Lớp 3 - Công việc chính'!$K$14:$K$73,$T384))))</f>
        <v>#REF!</v>
      </c>
      <c r="G384" s="691" t="str">
        <f t="array" ref="G384">IF($S384="","",IF($S384="Lớp 5",INDEX('Lớp 5 - Phân công'!$N$14:$N$262,$T384),IF($S384="Lớp 4",INDEX('Lớp 4 - Danh mục'!$M$14:$M$132,$T384),INDEX('Lớp 3 - Công việc chính'!$L$14:$L$73,$T384))))</f>
        <v>#REF!</v>
      </c>
      <c r="H384" s="692" t="str">
        <f t="array" ref="H384">IF($S384="","",IF($S384="Lớp 5",INDEX('Lớp 5 - Phân công'!$O$14:$O$262,$T384),IF($S384="Lớp 4",INDEX('Lớp 4 - Danh mục'!$N$14:$N$132,$T384),INDEX('Lớp 3 - Công việc chính'!$M$14:$M$73,$T384))))</f>
        <v>#REF!</v>
      </c>
      <c r="I384" s="692" t="str">
        <f t="array" ref="I384">IF($S384="","",IF($S384="Lớp 5",INDEX('Lớp 5 - Phân công'!$P$14:$P$262,$T384),IF($S384="Lớp 4",INDEX('Lớp 4 - Danh mục'!$O$14:$O$132,$T384),"")))</f>
        <v>#REF!</v>
      </c>
      <c r="J384" s="693" t="str">
        <f t="array" ref="J384">IF($S384="","",IF($S384="Lớp 5",INDEX('Lớp 5 - Phân công'!$Q$14:$Q$262,$T384),""))</f>
        <v>#REF!</v>
      </c>
      <c r="K384" s="690" t="str">
        <f t="array" ref="K384">IF($S384="","",IF($S384="Lớp 5",INDEX('Lớp 5 - Phân công'!$AA$14:$AA$262,$T384),IF($S384="Lớp 4",INDEX('Lớp 4 - Danh mục'!$Y$14:$Y$132,$T384),INDEX('Lớp 3 - Công việc chính'!$U$14:$U$73,$T384))))</f>
        <v>#REF!</v>
      </c>
      <c r="L384" s="691" t="str">
        <f t="array" ref="L384">IF($S384="","",IF($S384="Lớp 5",INDEX('Lớp 5 - Phân công'!$Z$14:$Z$262,$T384),IF($S384="Lớp 4",INDEX('Lớp 4 - Danh mục'!$X$14:$X$132,$T384),INDEX('Lớp 3 - Công việc chính'!$W$14:$W$73,$T384))))</f>
        <v>#REF!</v>
      </c>
      <c r="M384" s="694" t="str">
        <f t="array" ref="M384">IF($S384="","",IF($S384="Lớp 5",INDEX('Lớp 5 - Phân công'!$AD$14:$AD$262,$T384),IF($S384="Lớp 4",INDEX('Lớp 4 - Danh mục'!$AC$14:$AC$132,$T384),INDEX('Lớp 3 - Công việc chính'!$Z$14:$Z$73,$T384))))</f>
        <v>#REF!</v>
      </c>
      <c r="N384" s="695" t="str">
        <f t="array" ref="N384">IF($S384="","",IF($S384="Lớp 5",INDEX('Lớp 5 - Phân công'!$AE$14:$AE$262,$T384),IF($S384="Lớp 4",INDEX('Lớp 4 - Danh mục'!$AD$14:$AD$132,$T384),INDEX('Lớp 3 - Công việc chính'!$AA$14:$AA$73,$T384))))</f>
        <v>#REF!</v>
      </c>
      <c r="O384" s="690" t="str">
        <f t="array" ref="O384">IF($S384="","",IF($S384="Lớp 5",INDEX('Lớp 5 - Phân công'!$AB$14:$AB$262,$T384),IF($S384="Lớp 4",INDEX('Lớp 4 - Danh mục'!$AA$14:$AA$132,$T384),INDEX('Lớp 3 - Công việc chính'!$X$14:$X$73,$T384))))</f>
        <v>#REF!</v>
      </c>
      <c r="P384" s="703" t="str">
        <f t="array" ref="P384">IF($S384="","",IF($S384="Lớp 5",INDEX('Lớp 5 - Phân công'!$AC$14:$AC$262,$T384),IF($S384="Lớp 4",INDEX('Lớp 4 - Danh mục'!$AB$14:$AB$132,$T384),INDEX('Lớp 3 - Công việc chính'!$Y$14:$Y$73,$T384))))</f>
        <v>#REF!</v>
      </c>
      <c r="Q384" s="697" t="str">
        <f t="array" ref="Q384">IF($S384="","",IF($S384="Lớp 5",INDEX('Lớp 5 - Phân công'!$AG$14:$AG$262,$T384),IF($S384="Lớp 4",INDEX('Lớp 4 - Danh mục'!$AF$14:$AF$132,$T384),INDEX('Lớp 3 - Công việc chính'!$AC$14:$AC$73,$T384))))</f>
        <v>#REF!</v>
      </c>
      <c r="R384" s="698" t="str">
        <f t="array" ref="R384">IF($S384="","",IF($S384="Lớp 5",INDEX('Lớp 5 - Phân công'!$X$14:$X$262,$T384),IF($S384="Lớp 4",INDEX('Lớp 4 - Danh mục'!$V$14:$V$132,$T384),INDEX('Lớp 3 - Công việc chính'!$T$14:$T$73,$T384))))</f>
        <v>#REF!</v>
      </c>
      <c r="S384" s="699" t="str">
        <f>IF(ROWS($S$14:S384)&lt;=COUNTIF('Lớp 5 - Phân công'!$I$14:$I$262,"&lt;&gt;"),"Lớp 5",IF(ROWS($S$14:S384)&lt;=COUNTIF('Lớp 5 - Phân công'!$I$14:$I$262,"&lt;&gt;")+SUMPRODUCT(--('Lớp 4 - Danh mục'!$I$14:$I$132&lt;&gt;""),--(COUNTIF('Lớp 5 - Phân công'!$J$14:$J$262,'Lớp 4 - Danh mục'!$I$14:$I$132)=0)),"Lớp 4",IF(ROWS($S$14:S384)&lt;=COUNTIF('Lớp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4" s="699" t="str">
        <f t="array" ref="T384">IF(S384="","",IF(S384="Lớp 5",IF(S383&lt;&gt;"Lớp 5",MATCH("*",'Lớp 5 - Phân công'!$I$14:$I$262,0),T383+MATCH("*",INDEX('Lớp 5 - Phân công'!$I$14:$I$262,T383+1):'Lớp 5 - Phân công'!$I$262,0)),IF(S384="Lớp 4",IF(S383&lt;&gt;"Lớp 4",MATCH(1,INDEX(('Lớp 4 - Danh mục'!$I$14:$I$132&lt;&gt;"")*(COUNTIF('Lớp 5 - Phân công'!$J$14:$J$262,'Lớp 4 - Danh mục'!$I$14:$I$132)=0),0),0),T383+MATCH(1,INDEX((INDEX('Lớp 4 - Danh mục'!$I$14:$I$132,T383+1):'Lớp 4 - Danh mục'!$I$132&lt;&gt;"")*(COUNTIF('Lớp 5 - Phân công'!$J$14:$J$262,INDEX('Lớp 4 - Danh mục'!$I$14:$I$132,T383+1):'Lớp 4 - Danh mục'!$I$132)=0),0),0)),IF(S383&lt;&gt;"Lớp 3",MATCH(1,INDEX(('Lớp 3 - Công việc chính'!$I$14:$I$73&lt;&gt;"")*(COUNTIF('Lớp 4 - Danh mục'!$J$14:$J$132,'Lớp 3 - Công việc chính'!$I$14:$I$73)=0),0),0),T383+MATCH(1,INDEX((INDEX('Lớp 3 - Công việc chính'!$I$14:$I$73,T383+1):'Lớp 3 - Công việc chính'!$I$73&lt;&gt;"")*(COUNTIF('Lớp 4 - Danh mục'!$J$14:$J$132,INDEX('Lớp 3 - Công việc chính'!$I$14:$I$73,T383+1):'Lớp 3 - Công việc chính'!$I$73)=0),0),0)))))</f>
        <v>#REF!</v>
      </c>
      <c r="Z384" s="700" t="str">
        <f t="array" ref="Z384">IF($S384="","",IF($S384="Lớp 5",INDEX('Lớp 5 - Phân công'!$AS$14:$AS$262,$T384),IF($S384="Lớp 4",INDEX('Lớp 4 - Danh mục'!$AR$14:$AR$132,$T384),INDEX('Lớp 3 - Công việc chính'!$AO$14:$AO$73,$T384))))</f>
        <v>#REF!</v>
      </c>
      <c r="AA384" s="701" t="str">
        <f t="array" ref="AA384">IF($S384="","",IF($S384="Lớp 5",INDEX('Lớp 5 - Phân công'!$AT$14:$AT$262,$T384),IF($S384="Lớp 4",INDEX('Lớp 4 - Danh mục'!$AS$14:$AS$132,$T384),INDEX('Lớp 3 - Công việc chính'!$AP$14:$AP$73,$T384))))</f>
        <v>#REF!</v>
      </c>
      <c r="AB384" s="701" t="str">
        <f t="array" ref="AB384">IF($S384="","",IF($S384="Lớp 5",INDEX('Lớp 5 - Phân công'!$AJ$14:$AJ$262,$T384),IF($S384="Lớp 4",INDEX('Lớp 4 - Danh mục'!$AI$14:$AI$132,$T384),INDEX('Lớp 3 - Công việc chính'!$AF$14:$AF$73,$T384))))</f>
        <v>#REF!</v>
      </c>
      <c r="AC384" s="702" t="str">
        <f t="array" ref="AC384">IF($S384="","",IF($S384="Lớp 5",INDEX('Lớp 5 - Phân công'!$AV$14:$AV$262,$T384),IF($S384="Lớp 4",INDEX('Lớp 4 - Danh mục'!$AU$14:$AU$132,$T384),INDEX('Lớp 3 - Công việc chính'!$AR$14:$AR$73,$T384))))</f>
        <v>#REF!</v>
      </c>
    </row>
    <row r="385" ht="15.75" customHeight="1">
      <c r="A385" s="690" t="str">
        <f t="shared" si="1"/>
        <v>#REF!</v>
      </c>
      <c r="B385" s="690" t="str">
        <f t="array" ref="B385">IF($S385="","",IF($S385="Lớp 5",INDEX('Lớp 5 - Phân công'!$I$14:$I$262,$T385),IF($S385="Lớp 4",INDEX('Lớp 4 - Danh mục'!$I$14:$I$132,$T385),INDEX('Lớp 3 - Công việc chính'!$I$14:$I$73,$T385))))</f>
        <v>#REF!</v>
      </c>
      <c r="C385" s="690" t="str">
        <f t="array" ref="C385">IF($S385="","",IF($S385="Lớp 5",INDEX('Lớp 5 - Phân công'!$K$14:$K$262,$T385),IF($S385="Lớp 4",INDEX('Lớp 4 - Danh mục'!$J$14:$J$132,$T385),INDEX('Lớp 3 - Công việc chính'!$I$14:$I$73,$T385))))</f>
        <v>#REF!</v>
      </c>
      <c r="D385" s="690" t="str">
        <f t="array" ref="D385">IF($S385="","",IF($S385="Lớp 5",INDEX('Lớp 5 - Phân công'!$J$14:$J$262,$T385),IF($S385="Lớp 4",INDEX('Lớp 4 - Danh mục'!$I$14:$I$132,$T385),"")))</f>
        <v>#REF!</v>
      </c>
      <c r="E385" s="690" t="str">
        <f t="array" ref="E385">IF($S385="","",IF($S385="Lớp 5",INDEX('Lớp 5 - Phân công'!$L$14:$L$262,$T385),IF($S385="Lớp 4",INDEX('Lớp 4 - Danh mục'!$K$14:$K$132,$T385),INDEX('Lớp 3 - Công việc chính'!$J$14:$J$73,$T385))))</f>
        <v>#REF!</v>
      </c>
      <c r="F385" s="690" t="str">
        <f t="array" ref="F385">IF($S385="","",IF($S385="Lớp 5",INDEX('Lớp 5 - Phân công'!$M$14:$M$262,$T385),IF($S385="Lớp 4",INDEX('Lớp 4 - Danh mục'!$L$14:$L$132,$T385),INDEX('Lớp 3 - Công việc chính'!$K$14:$K$73,$T385))))</f>
        <v>#REF!</v>
      </c>
      <c r="G385" s="691" t="str">
        <f t="array" ref="G385">IF($S385="","",IF($S385="Lớp 5",INDEX('Lớp 5 - Phân công'!$N$14:$N$262,$T385),IF($S385="Lớp 4",INDEX('Lớp 4 - Danh mục'!$M$14:$M$132,$T385),INDEX('Lớp 3 - Công việc chính'!$L$14:$L$73,$T385))))</f>
        <v>#REF!</v>
      </c>
      <c r="H385" s="692" t="str">
        <f t="array" ref="H385">IF($S385="","",IF($S385="Lớp 5",INDEX('Lớp 5 - Phân công'!$O$14:$O$262,$T385),IF($S385="Lớp 4",INDEX('Lớp 4 - Danh mục'!$N$14:$N$132,$T385),INDEX('Lớp 3 - Công việc chính'!$M$14:$M$73,$T385))))</f>
        <v>#REF!</v>
      </c>
      <c r="I385" s="692" t="str">
        <f t="array" ref="I385">IF($S385="","",IF($S385="Lớp 5",INDEX('Lớp 5 - Phân công'!$P$14:$P$262,$T385),IF($S385="Lớp 4",INDEX('Lớp 4 - Danh mục'!$O$14:$O$132,$T385),"")))</f>
        <v>#REF!</v>
      </c>
      <c r="J385" s="693" t="str">
        <f t="array" ref="J385">IF($S385="","",IF($S385="Lớp 5",INDEX('Lớp 5 - Phân công'!$Q$14:$Q$262,$T385),""))</f>
        <v>#REF!</v>
      </c>
      <c r="K385" s="690" t="str">
        <f t="array" ref="K385">IF($S385="","",IF($S385="Lớp 5",INDEX('Lớp 5 - Phân công'!$AA$14:$AA$262,$T385),IF($S385="Lớp 4",INDEX('Lớp 4 - Danh mục'!$Y$14:$Y$132,$T385),INDEX('Lớp 3 - Công việc chính'!$U$14:$U$73,$T385))))</f>
        <v>#REF!</v>
      </c>
      <c r="L385" s="691" t="str">
        <f t="array" ref="L385">IF($S385="","",IF($S385="Lớp 5",INDEX('Lớp 5 - Phân công'!$Z$14:$Z$262,$T385),IF($S385="Lớp 4",INDEX('Lớp 4 - Danh mục'!$X$14:$X$132,$T385),INDEX('Lớp 3 - Công việc chính'!$W$14:$W$73,$T385))))</f>
        <v>#REF!</v>
      </c>
      <c r="M385" s="694" t="str">
        <f t="array" ref="M385">IF($S385="","",IF($S385="Lớp 5",INDEX('Lớp 5 - Phân công'!$AD$14:$AD$262,$T385),IF($S385="Lớp 4",INDEX('Lớp 4 - Danh mục'!$AC$14:$AC$132,$T385),INDEX('Lớp 3 - Công việc chính'!$Z$14:$Z$73,$T385))))</f>
        <v>#REF!</v>
      </c>
      <c r="N385" s="695" t="str">
        <f t="array" ref="N385">IF($S385="","",IF($S385="Lớp 5",INDEX('Lớp 5 - Phân công'!$AE$14:$AE$262,$T385),IF($S385="Lớp 4",INDEX('Lớp 4 - Danh mục'!$AD$14:$AD$132,$T385),INDEX('Lớp 3 - Công việc chính'!$AA$14:$AA$73,$T385))))</f>
        <v>#REF!</v>
      </c>
      <c r="O385" s="690" t="str">
        <f t="array" ref="O385">IF($S385="","",IF($S385="Lớp 5",INDEX('Lớp 5 - Phân công'!$AB$14:$AB$262,$T385),IF($S385="Lớp 4",INDEX('Lớp 4 - Danh mục'!$AA$14:$AA$132,$T385),INDEX('Lớp 3 - Công việc chính'!$X$14:$X$73,$T385))))</f>
        <v>#REF!</v>
      </c>
      <c r="P385" s="703" t="str">
        <f t="array" ref="P385">IF($S385="","",IF($S385="Lớp 5",INDEX('Lớp 5 - Phân công'!$AC$14:$AC$262,$T385),IF($S385="Lớp 4",INDEX('Lớp 4 - Danh mục'!$AB$14:$AB$132,$T385),INDEX('Lớp 3 - Công việc chính'!$Y$14:$Y$73,$T385))))</f>
        <v>#REF!</v>
      </c>
      <c r="Q385" s="697" t="str">
        <f t="array" ref="Q385">IF($S385="","",IF($S385="Lớp 5",INDEX('Lớp 5 - Phân công'!$AG$14:$AG$262,$T385),IF($S385="Lớp 4",INDEX('Lớp 4 - Danh mục'!$AF$14:$AF$132,$T385),INDEX('Lớp 3 - Công việc chính'!$AC$14:$AC$73,$T385))))</f>
        <v>#REF!</v>
      </c>
      <c r="R385" s="698" t="str">
        <f t="array" ref="R385">IF($S385="","",IF($S385="Lớp 5",INDEX('Lớp 5 - Phân công'!$X$14:$X$262,$T385),IF($S385="Lớp 4",INDEX('Lớp 4 - Danh mục'!$V$14:$V$132,$T385),INDEX('Lớp 3 - Công việc chính'!$T$14:$T$73,$T385))))</f>
        <v>#REF!</v>
      </c>
      <c r="S385" s="699" t="str">
        <f>IF(ROWS($S$14:S385)&lt;=COUNTIF('Lớp 5 - Phân công'!$I$14:$I$262,"&lt;&gt;"),"Lớp 5",IF(ROWS($S$14:S385)&lt;=COUNTIF('Lớp 5 - Phân công'!$I$14:$I$262,"&lt;&gt;")+SUMPRODUCT(--('Lớp 4 - Danh mục'!$I$14:$I$132&lt;&gt;""),--(COUNTIF('Lớp 5 - Phân công'!$J$14:$J$262,'Lớp 4 - Danh mục'!$I$14:$I$132)=0)),"Lớp 4",IF(ROWS($S$14:S385)&lt;=COUNTIF('Lớp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5" s="699" t="str">
        <f t="array" ref="T385">IF(S385="","",IF(S385="Lớp 5",IF(S384&lt;&gt;"Lớp 5",MATCH("*",'Lớp 5 - Phân công'!$I$14:$I$262,0),T384+MATCH("*",INDEX('Lớp 5 - Phân công'!$I$14:$I$262,T384+1):'Lớp 5 - Phân công'!$I$262,0)),IF(S385="Lớp 4",IF(S384&lt;&gt;"Lớp 4",MATCH(1,INDEX(('Lớp 4 - Danh mục'!$I$14:$I$132&lt;&gt;"")*(COUNTIF('Lớp 5 - Phân công'!$J$14:$J$262,'Lớp 4 - Danh mục'!$I$14:$I$132)=0),0),0),T384+MATCH(1,INDEX((INDEX('Lớp 4 - Danh mục'!$I$14:$I$132,T384+1):'Lớp 4 - Danh mục'!$I$132&lt;&gt;"")*(COUNTIF('Lớp 5 - Phân công'!$J$14:$J$262,INDEX('Lớp 4 - Danh mục'!$I$14:$I$132,T384+1):'Lớp 4 - Danh mục'!$I$132)=0),0),0)),IF(S384&lt;&gt;"Lớp 3",MATCH(1,INDEX(('Lớp 3 - Công việc chính'!$I$14:$I$73&lt;&gt;"")*(COUNTIF('Lớp 4 - Danh mục'!$J$14:$J$132,'Lớp 3 - Công việc chính'!$I$14:$I$73)=0),0),0),T384+MATCH(1,INDEX((INDEX('Lớp 3 - Công việc chính'!$I$14:$I$73,T384+1):'Lớp 3 - Công việc chính'!$I$73&lt;&gt;"")*(COUNTIF('Lớp 4 - Danh mục'!$J$14:$J$132,INDEX('Lớp 3 - Công việc chính'!$I$14:$I$73,T384+1):'Lớp 3 - Công việc chính'!$I$73)=0),0),0)))))</f>
        <v>#REF!</v>
      </c>
      <c r="Z385" s="700" t="str">
        <f t="array" ref="Z385">IF($S385="","",IF($S385="Lớp 5",INDEX('Lớp 5 - Phân công'!$AS$14:$AS$262,$T385),IF($S385="Lớp 4",INDEX('Lớp 4 - Danh mục'!$AR$14:$AR$132,$T385),INDEX('Lớp 3 - Công việc chính'!$AO$14:$AO$73,$T385))))</f>
        <v>#REF!</v>
      </c>
      <c r="AA385" s="701" t="str">
        <f t="array" ref="AA385">IF($S385="","",IF($S385="Lớp 5",INDEX('Lớp 5 - Phân công'!$AT$14:$AT$262,$T385),IF($S385="Lớp 4",INDEX('Lớp 4 - Danh mục'!$AS$14:$AS$132,$T385),INDEX('Lớp 3 - Công việc chính'!$AP$14:$AP$73,$T385))))</f>
        <v>#REF!</v>
      </c>
      <c r="AB385" s="701" t="str">
        <f t="array" ref="AB385">IF($S385="","",IF($S385="Lớp 5",INDEX('Lớp 5 - Phân công'!$AJ$14:$AJ$262,$T385),IF($S385="Lớp 4",INDEX('Lớp 4 - Danh mục'!$AI$14:$AI$132,$T385),INDEX('Lớp 3 - Công việc chính'!$AF$14:$AF$73,$T385))))</f>
        <v>#REF!</v>
      </c>
      <c r="AC385" s="702" t="str">
        <f t="array" ref="AC385">IF($S385="","",IF($S385="Lớp 5",INDEX('Lớp 5 - Phân công'!$AV$14:$AV$262,$T385),IF($S385="Lớp 4",INDEX('Lớp 4 - Danh mục'!$AU$14:$AU$132,$T385),INDEX('Lớp 3 - Công việc chính'!$AR$14:$AR$73,$T385))))</f>
        <v>#REF!</v>
      </c>
    </row>
    <row r="386" ht="15.75" customHeight="1">
      <c r="A386" s="690" t="str">
        <f t="shared" si="1"/>
        <v>#REF!</v>
      </c>
      <c r="B386" s="690" t="str">
        <f t="array" ref="B386">IF($S386="","",IF($S386="Lớp 5",INDEX('Lớp 5 - Phân công'!$I$14:$I$262,$T386),IF($S386="Lớp 4",INDEX('Lớp 4 - Danh mục'!$I$14:$I$132,$T386),INDEX('Lớp 3 - Công việc chính'!$I$14:$I$73,$T386))))</f>
        <v>#REF!</v>
      </c>
      <c r="C386" s="690" t="str">
        <f t="array" ref="C386">IF($S386="","",IF($S386="Lớp 5",INDEX('Lớp 5 - Phân công'!$K$14:$K$262,$T386),IF($S386="Lớp 4",INDEX('Lớp 4 - Danh mục'!$J$14:$J$132,$T386),INDEX('Lớp 3 - Công việc chính'!$I$14:$I$73,$T386))))</f>
        <v>#REF!</v>
      </c>
      <c r="D386" s="690" t="str">
        <f t="array" ref="D386">IF($S386="","",IF($S386="Lớp 5",INDEX('Lớp 5 - Phân công'!$J$14:$J$262,$T386),IF($S386="Lớp 4",INDEX('Lớp 4 - Danh mục'!$I$14:$I$132,$T386),"")))</f>
        <v>#REF!</v>
      </c>
      <c r="E386" s="690" t="str">
        <f t="array" ref="E386">IF($S386="","",IF($S386="Lớp 5",INDEX('Lớp 5 - Phân công'!$L$14:$L$262,$T386),IF($S386="Lớp 4",INDEX('Lớp 4 - Danh mục'!$K$14:$K$132,$T386),INDEX('Lớp 3 - Công việc chính'!$J$14:$J$73,$T386))))</f>
        <v>#REF!</v>
      </c>
      <c r="F386" s="690" t="str">
        <f t="array" ref="F386">IF($S386="","",IF($S386="Lớp 5",INDEX('Lớp 5 - Phân công'!$M$14:$M$262,$T386),IF($S386="Lớp 4",INDEX('Lớp 4 - Danh mục'!$L$14:$L$132,$T386),INDEX('Lớp 3 - Công việc chính'!$K$14:$K$73,$T386))))</f>
        <v>#REF!</v>
      </c>
      <c r="G386" s="691" t="str">
        <f t="array" ref="G386">IF($S386="","",IF($S386="Lớp 5",INDEX('Lớp 5 - Phân công'!$N$14:$N$262,$T386),IF($S386="Lớp 4",INDEX('Lớp 4 - Danh mục'!$M$14:$M$132,$T386),INDEX('Lớp 3 - Công việc chính'!$L$14:$L$73,$T386))))</f>
        <v>#REF!</v>
      </c>
      <c r="H386" s="692" t="str">
        <f t="array" ref="H386">IF($S386="","",IF($S386="Lớp 5",INDEX('Lớp 5 - Phân công'!$O$14:$O$262,$T386),IF($S386="Lớp 4",INDEX('Lớp 4 - Danh mục'!$N$14:$N$132,$T386),INDEX('Lớp 3 - Công việc chính'!$M$14:$M$73,$T386))))</f>
        <v>#REF!</v>
      </c>
      <c r="I386" s="692" t="str">
        <f t="array" ref="I386">IF($S386="","",IF($S386="Lớp 5",INDEX('Lớp 5 - Phân công'!$P$14:$P$262,$T386),IF($S386="Lớp 4",INDEX('Lớp 4 - Danh mục'!$O$14:$O$132,$T386),"")))</f>
        <v>#REF!</v>
      </c>
      <c r="J386" s="693" t="str">
        <f t="array" ref="J386">IF($S386="","",IF($S386="Lớp 5",INDEX('Lớp 5 - Phân công'!$Q$14:$Q$262,$T386),""))</f>
        <v>#REF!</v>
      </c>
      <c r="K386" s="690" t="str">
        <f t="array" ref="K386">IF($S386="","",IF($S386="Lớp 5",INDEX('Lớp 5 - Phân công'!$AA$14:$AA$262,$T386),IF($S386="Lớp 4",INDEX('Lớp 4 - Danh mục'!$Y$14:$Y$132,$T386),INDEX('Lớp 3 - Công việc chính'!$U$14:$U$73,$T386))))</f>
        <v>#REF!</v>
      </c>
      <c r="L386" s="691" t="str">
        <f t="array" ref="L386">IF($S386="","",IF($S386="Lớp 5",INDEX('Lớp 5 - Phân công'!$Z$14:$Z$262,$T386),IF($S386="Lớp 4",INDEX('Lớp 4 - Danh mục'!$X$14:$X$132,$T386),INDEX('Lớp 3 - Công việc chính'!$W$14:$W$73,$T386))))</f>
        <v>#REF!</v>
      </c>
      <c r="M386" s="694" t="str">
        <f t="array" ref="M386">IF($S386="","",IF($S386="Lớp 5",INDEX('Lớp 5 - Phân công'!$AD$14:$AD$262,$T386),IF($S386="Lớp 4",INDEX('Lớp 4 - Danh mục'!$AC$14:$AC$132,$T386),INDEX('Lớp 3 - Công việc chính'!$Z$14:$Z$73,$T386))))</f>
        <v>#REF!</v>
      </c>
      <c r="N386" s="695" t="str">
        <f t="array" ref="N386">IF($S386="","",IF($S386="Lớp 5",INDEX('Lớp 5 - Phân công'!$AE$14:$AE$262,$T386),IF($S386="Lớp 4",INDEX('Lớp 4 - Danh mục'!$AD$14:$AD$132,$T386),INDEX('Lớp 3 - Công việc chính'!$AA$14:$AA$73,$T386))))</f>
        <v>#REF!</v>
      </c>
      <c r="O386" s="690" t="str">
        <f t="array" ref="O386">IF($S386="","",IF($S386="Lớp 5",INDEX('Lớp 5 - Phân công'!$AB$14:$AB$262,$T386),IF($S386="Lớp 4",INDEX('Lớp 4 - Danh mục'!$AA$14:$AA$132,$T386),INDEX('Lớp 3 - Công việc chính'!$X$14:$X$73,$T386))))</f>
        <v>#REF!</v>
      </c>
      <c r="P386" s="703" t="str">
        <f t="array" ref="P386">IF($S386="","",IF($S386="Lớp 5",INDEX('Lớp 5 - Phân công'!$AC$14:$AC$262,$T386),IF($S386="Lớp 4",INDEX('Lớp 4 - Danh mục'!$AB$14:$AB$132,$T386),INDEX('Lớp 3 - Công việc chính'!$Y$14:$Y$73,$T386))))</f>
        <v>#REF!</v>
      </c>
      <c r="Q386" s="697" t="str">
        <f t="array" ref="Q386">IF($S386="","",IF($S386="Lớp 5",INDEX('Lớp 5 - Phân công'!$AG$14:$AG$262,$T386),IF($S386="Lớp 4",INDEX('Lớp 4 - Danh mục'!$AF$14:$AF$132,$T386),INDEX('Lớp 3 - Công việc chính'!$AC$14:$AC$73,$T386))))</f>
        <v>#REF!</v>
      </c>
      <c r="R386" s="698" t="str">
        <f t="array" ref="R386">IF($S386="","",IF($S386="Lớp 5",INDEX('Lớp 5 - Phân công'!$X$14:$X$262,$T386),IF($S386="Lớp 4",INDEX('Lớp 4 - Danh mục'!$V$14:$V$132,$T386),INDEX('Lớp 3 - Công việc chính'!$T$14:$T$73,$T386))))</f>
        <v>#REF!</v>
      </c>
      <c r="S386" s="699" t="str">
        <f>IF(ROWS($S$14:S386)&lt;=COUNTIF('Lớp 5 - Phân công'!$I$14:$I$262,"&lt;&gt;"),"Lớp 5",IF(ROWS($S$14:S386)&lt;=COUNTIF('Lớp 5 - Phân công'!$I$14:$I$262,"&lt;&gt;")+SUMPRODUCT(--('Lớp 4 - Danh mục'!$I$14:$I$132&lt;&gt;""),--(COUNTIF('Lớp 5 - Phân công'!$J$14:$J$262,'Lớp 4 - Danh mục'!$I$14:$I$132)=0)),"Lớp 4",IF(ROWS($S$14:S386)&lt;=COUNTIF('Lớp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6" s="699" t="str">
        <f t="array" ref="T386">IF(S386="","",IF(S386="Lớp 5",IF(S385&lt;&gt;"Lớp 5",MATCH("*",'Lớp 5 - Phân công'!$I$14:$I$262,0),T385+MATCH("*",INDEX('Lớp 5 - Phân công'!$I$14:$I$262,T385+1):'Lớp 5 - Phân công'!$I$262,0)),IF(S386="Lớp 4",IF(S385&lt;&gt;"Lớp 4",MATCH(1,INDEX(('Lớp 4 - Danh mục'!$I$14:$I$132&lt;&gt;"")*(COUNTIF('Lớp 5 - Phân công'!$J$14:$J$262,'Lớp 4 - Danh mục'!$I$14:$I$132)=0),0),0),T385+MATCH(1,INDEX((INDEX('Lớp 4 - Danh mục'!$I$14:$I$132,T385+1):'Lớp 4 - Danh mục'!$I$132&lt;&gt;"")*(COUNTIF('Lớp 5 - Phân công'!$J$14:$J$262,INDEX('Lớp 4 - Danh mục'!$I$14:$I$132,T385+1):'Lớp 4 - Danh mục'!$I$132)=0),0),0)),IF(S385&lt;&gt;"Lớp 3",MATCH(1,INDEX(('Lớp 3 - Công việc chính'!$I$14:$I$73&lt;&gt;"")*(COUNTIF('Lớp 4 - Danh mục'!$J$14:$J$132,'Lớp 3 - Công việc chính'!$I$14:$I$73)=0),0),0),T385+MATCH(1,INDEX((INDEX('Lớp 3 - Công việc chính'!$I$14:$I$73,T385+1):'Lớp 3 - Công việc chính'!$I$73&lt;&gt;"")*(COUNTIF('Lớp 4 - Danh mục'!$J$14:$J$132,INDEX('Lớp 3 - Công việc chính'!$I$14:$I$73,T385+1):'Lớp 3 - Công việc chính'!$I$73)=0),0),0)))))</f>
        <v>#REF!</v>
      </c>
      <c r="Z386" s="700" t="str">
        <f t="array" ref="Z386">IF($S386="","",IF($S386="Lớp 5",INDEX('Lớp 5 - Phân công'!$AS$14:$AS$262,$T386),IF($S386="Lớp 4",INDEX('Lớp 4 - Danh mục'!$AR$14:$AR$132,$T386),INDEX('Lớp 3 - Công việc chính'!$AO$14:$AO$73,$T386))))</f>
        <v>#REF!</v>
      </c>
      <c r="AA386" s="701" t="str">
        <f t="array" ref="AA386">IF($S386="","",IF($S386="Lớp 5",INDEX('Lớp 5 - Phân công'!$AT$14:$AT$262,$T386),IF($S386="Lớp 4",INDEX('Lớp 4 - Danh mục'!$AS$14:$AS$132,$T386),INDEX('Lớp 3 - Công việc chính'!$AP$14:$AP$73,$T386))))</f>
        <v>#REF!</v>
      </c>
      <c r="AB386" s="701" t="str">
        <f t="array" ref="AB386">IF($S386="","",IF($S386="Lớp 5",INDEX('Lớp 5 - Phân công'!$AJ$14:$AJ$262,$T386),IF($S386="Lớp 4",INDEX('Lớp 4 - Danh mục'!$AI$14:$AI$132,$T386),INDEX('Lớp 3 - Công việc chính'!$AF$14:$AF$73,$T386))))</f>
        <v>#REF!</v>
      </c>
      <c r="AC386" s="702" t="str">
        <f t="array" ref="AC386">IF($S386="","",IF($S386="Lớp 5",INDEX('Lớp 5 - Phân công'!$AV$14:$AV$262,$T386),IF($S386="Lớp 4",INDEX('Lớp 4 - Danh mục'!$AU$14:$AU$132,$T386),INDEX('Lớp 3 - Công việc chính'!$AR$14:$AR$73,$T386))))</f>
        <v>#REF!</v>
      </c>
    </row>
    <row r="387" ht="15.75" customHeight="1">
      <c r="A387" s="690" t="str">
        <f t="shared" si="1"/>
        <v>#REF!</v>
      </c>
      <c r="B387" s="690" t="str">
        <f t="array" ref="B387">IF($S387="","",IF($S387="Lớp 5",INDEX('Lớp 5 - Phân công'!$I$14:$I$262,$T387),IF($S387="Lớp 4",INDEX('Lớp 4 - Danh mục'!$I$14:$I$132,$T387),INDEX('Lớp 3 - Công việc chính'!$I$14:$I$73,$T387))))</f>
        <v>#REF!</v>
      </c>
      <c r="C387" s="690" t="str">
        <f t="array" ref="C387">IF($S387="","",IF($S387="Lớp 5",INDEX('Lớp 5 - Phân công'!$K$14:$K$262,$T387),IF($S387="Lớp 4",INDEX('Lớp 4 - Danh mục'!$J$14:$J$132,$T387),INDEX('Lớp 3 - Công việc chính'!$I$14:$I$73,$T387))))</f>
        <v>#REF!</v>
      </c>
      <c r="D387" s="690" t="str">
        <f t="array" ref="D387">IF($S387="","",IF($S387="Lớp 5",INDEX('Lớp 5 - Phân công'!$J$14:$J$262,$T387),IF($S387="Lớp 4",INDEX('Lớp 4 - Danh mục'!$I$14:$I$132,$T387),"")))</f>
        <v>#REF!</v>
      </c>
      <c r="E387" s="690" t="str">
        <f t="array" ref="E387">IF($S387="","",IF($S387="Lớp 5",INDEX('Lớp 5 - Phân công'!$L$14:$L$262,$T387),IF($S387="Lớp 4",INDEX('Lớp 4 - Danh mục'!$K$14:$K$132,$T387),INDEX('Lớp 3 - Công việc chính'!$J$14:$J$73,$T387))))</f>
        <v>#REF!</v>
      </c>
      <c r="F387" s="690" t="str">
        <f t="array" ref="F387">IF($S387="","",IF($S387="Lớp 5",INDEX('Lớp 5 - Phân công'!$M$14:$M$262,$T387),IF($S387="Lớp 4",INDEX('Lớp 4 - Danh mục'!$L$14:$L$132,$T387),INDEX('Lớp 3 - Công việc chính'!$K$14:$K$73,$T387))))</f>
        <v>#REF!</v>
      </c>
      <c r="G387" s="691" t="str">
        <f t="array" ref="G387">IF($S387="","",IF($S387="Lớp 5",INDEX('Lớp 5 - Phân công'!$N$14:$N$262,$T387),IF($S387="Lớp 4",INDEX('Lớp 4 - Danh mục'!$M$14:$M$132,$T387),INDEX('Lớp 3 - Công việc chính'!$L$14:$L$73,$T387))))</f>
        <v>#REF!</v>
      </c>
      <c r="H387" s="692" t="str">
        <f t="array" ref="H387">IF($S387="","",IF($S387="Lớp 5",INDEX('Lớp 5 - Phân công'!$O$14:$O$262,$T387),IF($S387="Lớp 4",INDEX('Lớp 4 - Danh mục'!$N$14:$N$132,$T387),INDEX('Lớp 3 - Công việc chính'!$M$14:$M$73,$T387))))</f>
        <v>#REF!</v>
      </c>
      <c r="I387" s="692" t="str">
        <f t="array" ref="I387">IF($S387="","",IF($S387="Lớp 5",INDEX('Lớp 5 - Phân công'!$P$14:$P$262,$T387),IF($S387="Lớp 4",INDEX('Lớp 4 - Danh mục'!$O$14:$O$132,$T387),"")))</f>
        <v>#REF!</v>
      </c>
      <c r="J387" s="693" t="str">
        <f t="array" ref="J387">IF($S387="","",IF($S387="Lớp 5",INDEX('Lớp 5 - Phân công'!$Q$14:$Q$262,$T387),""))</f>
        <v>#REF!</v>
      </c>
      <c r="K387" s="690" t="str">
        <f t="array" ref="K387">IF($S387="","",IF($S387="Lớp 5",INDEX('Lớp 5 - Phân công'!$AA$14:$AA$262,$T387),IF($S387="Lớp 4",INDEX('Lớp 4 - Danh mục'!$Y$14:$Y$132,$T387),INDEX('Lớp 3 - Công việc chính'!$U$14:$U$73,$T387))))</f>
        <v>#REF!</v>
      </c>
      <c r="L387" s="691" t="str">
        <f t="array" ref="L387">IF($S387="","",IF($S387="Lớp 5",INDEX('Lớp 5 - Phân công'!$Z$14:$Z$262,$T387),IF($S387="Lớp 4",INDEX('Lớp 4 - Danh mục'!$X$14:$X$132,$T387),INDEX('Lớp 3 - Công việc chính'!$W$14:$W$73,$T387))))</f>
        <v>#REF!</v>
      </c>
      <c r="M387" s="694" t="str">
        <f t="array" ref="M387">IF($S387="","",IF($S387="Lớp 5",INDEX('Lớp 5 - Phân công'!$AD$14:$AD$262,$T387),IF($S387="Lớp 4",INDEX('Lớp 4 - Danh mục'!$AC$14:$AC$132,$T387),INDEX('Lớp 3 - Công việc chính'!$Z$14:$Z$73,$T387))))</f>
        <v>#REF!</v>
      </c>
      <c r="N387" s="695" t="str">
        <f t="array" ref="N387">IF($S387="","",IF($S387="Lớp 5",INDEX('Lớp 5 - Phân công'!$AE$14:$AE$262,$T387),IF($S387="Lớp 4",INDEX('Lớp 4 - Danh mục'!$AD$14:$AD$132,$T387),INDEX('Lớp 3 - Công việc chính'!$AA$14:$AA$73,$T387))))</f>
        <v>#REF!</v>
      </c>
      <c r="O387" s="690" t="str">
        <f t="array" ref="O387">IF($S387="","",IF($S387="Lớp 5",INDEX('Lớp 5 - Phân công'!$AB$14:$AB$262,$T387),IF($S387="Lớp 4",INDEX('Lớp 4 - Danh mục'!$AA$14:$AA$132,$T387),INDEX('Lớp 3 - Công việc chính'!$X$14:$X$73,$T387))))</f>
        <v>#REF!</v>
      </c>
      <c r="P387" s="703" t="str">
        <f t="array" ref="P387">IF($S387="","",IF($S387="Lớp 5",INDEX('Lớp 5 - Phân công'!$AC$14:$AC$262,$T387),IF($S387="Lớp 4",INDEX('Lớp 4 - Danh mục'!$AB$14:$AB$132,$T387),INDEX('Lớp 3 - Công việc chính'!$Y$14:$Y$73,$T387))))</f>
        <v>#REF!</v>
      </c>
      <c r="Q387" s="697" t="str">
        <f t="array" ref="Q387">IF($S387="","",IF($S387="Lớp 5",INDEX('Lớp 5 - Phân công'!$AG$14:$AG$262,$T387),IF($S387="Lớp 4",INDEX('Lớp 4 - Danh mục'!$AF$14:$AF$132,$T387),INDEX('Lớp 3 - Công việc chính'!$AC$14:$AC$73,$T387))))</f>
        <v>#REF!</v>
      </c>
      <c r="R387" s="698" t="str">
        <f t="array" ref="R387">IF($S387="","",IF($S387="Lớp 5",INDEX('Lớp 5 - Phân công'!$X$14:$X$262,$T387),IF($S387="Lớp 4",INDEX('Lớp 4 - Danh mục'!$V$14:$V$132,$T387),INDEX('Lớp 3 - Công việc chính'!$T$14:$T$73,$T387))))</f>
        <v>#REF!</v>
      </c>
      <c r="S387" s="699" t="str">
        <f>IF(ROWS($S$14:S387)&lt;=COUNTIF('Lớp 5 - Phân công'!$I$14:$I$262,"&lt;&gt;"),"Lớp 5",IF(ROWS($S$14:S387)&lt;=COUNTIF('Lớp 5 - Phân công'!$I$14:$I$262,"&lt;&gt;")+SUMPRODUCT(--('Lớp 4 - Danh mục'!$I$14:$I$132&lt;&gt;""),--(COUNTIF('Lớp 5 - Phân công'!$J$14:$J$262,'Lớp 4 - Danh mục'!$I$14:$I$132)=0)),"Lớp 4",IF(ROWS($S$14:S387)&lt;=COUNTIF('Lớp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7" s="699" t="str">
        <f t="array" ref="T387">IF(S387="","",IF(S387="Lớp 5",IF(S386&lt;&gt;"Lớp 5",MATCH("*",'Lớp 5 - Phân công'!$I$14:$I$262,0),T386+MATCH("*",INDEX('Lớp 5 - Phân công'!$I$14:$I$262,T386+1):'Lớp 5 - Phân công'!$I$262,0)),IF(S387="Lớp 4",IF(S386&lt;&gt;"Lớp 4",MATCH(1,INDEX(('Lớp 4 - Danh mục'!$I$14:$I$132&lt;&gt;"")*(COUNTIF('Lớp 5 - Phân công'!$J$14:$J$262,'Lớp 4 - Danh mục'!$I$14:$I$132)=0),0),0),T386+MATCH(1,INDEX((INDEX('Lớp 4 - Danh mục'!$I$14:$I$132,T386+1):'Lớp 4 - Danh mục'!$I$132&lt;&gt;"")*(COUNTIF('Lớp 5 - Phân công'!$J$14:$J$262,INDEX('Lớp 4 - Danh mục'!$I$14:$I$132,T386+1):'Lớp 4 - Danh mục'!$I$132)=0),0),0)),IF(S386&lt;&gt;"Lớp 3",MATCH(1,INDEX(('Lớp 3 - Công việc chính'!$I$14:$I$73&lt;&gt;"")*(COUNTIF('Lớp 4 - Danh mục'!$J$14:$J$132,'Lớp 3 - Công việc chính'!$I$14:$I$73)=0),0),0),T386+MATCH(1,INDEX((INDEX('Lớp 3 - Công việc chính'!$I$14:$I$73,T386+1):'Lớp 3 - Công việc chính'!$I$73&lt;&gt;"")*(COUNTIF('Lớp 4 - Danh mục'!$J$14:$J$132,INDEX('Lớp 3 - Công việc chính'!$I$14:$I$73,T386+1):'Lớp 3 - Công việc chính'!$I$73)=0),0),0)))))</f>
        <v>#REF!</v>
      </c>
      <c r="Z387" s="700" t="str">
        <f t="array" ref="Z387">IF($S387="","",IF($S387="Lớp 5",INDEX('Lớp 5 - Phân công'!$AS$14:$AS$262,$T387),IF($S387="Lớp 4",INDEX('Lớp 4 - Danh mục'!$AR$14:$AR$132,$T387),INDEX('Lớp 3 - Công việc chính'!$AO$14:$AO$73,$T387))))</f>
        <v>#REF!</v>
      </c>
      <c r="AA387" s="701" t="str">
        <f t="array" ref="AA387">IF($S387="","",IF($S387="Lớp 5",INDEX('Lớp 5 - Phân công'!$AT$14:$AT$262,$T387),IF($S387="Lớp 4",INDEX('Lớp 4 - Danh mục'!$AS$14:$AS$132,$T387),INDEX('Lớp 3 - Công việc chính'!$AP$14:$AP$73,$T387))))</f>
        <v>#REF!</v>
      </c>
      <c r="AB387" s="701" t="str">
        <f t="array" ref="AB387">IF($S387="","",IF($S387="Lớp 5",INDEX('Lớp 5 - Phân công'!$AJ$14:$AJ$262,$T387),IF($S387="Lớp 4",INDEX('Lớp 4 - Danh mục'!$AI$14:$AI$132,$T387),INDEX('Lớp 3 - Công việc chính'!$AF$14:$AF$73,$T387))))</f>
        <v>#REF!</v>
      </c>
      <c r="AC387" s="702" t="str">
        <f t="array" ref="AC387">IF($S387="","",IF($S387="Lớp 5",INDEX('Lớp 5 - Phân công'!$AV$14:$AV$262,$T387),IF($S387="Lớp 4",INDEX('Lớp 4 - Danh mục'!$AU$14:$AU$132,$T387),INDEX('Lớp 3 - Công việc chính'!$AR$14:$AR$73,$T387))))</f>
        <v>#REF!</v>
      </c>
    </row>
    <row r="388" ht="15.75" customHeight="1">
      <c r="A388" s="690" t="str">
        <f t="shared" si="1"/>
        <v>#REF!</v>
      </c>
      <c r="B388" s="690" t="str">
        <f t="array" ref="B388">IF($S388="","",IF($S388="Lớp 5",INDEX('Lớp 5 - Phân công'!$I$14:$I$262,$T388),IF($S388="Lớp 4",INDEX('Lớp 4 - Danh mục'!$I$14:$I$132,$T388),INDEX('Lớp 3 - Công việc chính'!$I$14:$I$73,$T388))))</f>
        <v>#REF!</v>
      </c>
      <c r="C388" s="690" t="str">
        <f t="array" ref="C388">IF($S388="","",IF($S388="Lớp 5",INDEX('Lớp 5 - Phân công'!$K$14:$K$262,$T388),IF($S388="Lớp 4",INDEX('Lớp 4 - Danh mục'!$J$14:$J$132,$T388),INDEX('Lớp 3 - Công việc chính'!$I$14:$I$73,$T388))))</f>
        <v>#REF!</v>
      </c>
      <c r="D388" s="690" t="str">
        <f t="array" ref="D388">IF($S388="","",IF($S388="Lớp 5",INDEX('Lớp 5 - Phân công'!$J$14:$J$262,$T388),IF($S388="Lớp 4",INDEX('Lớp 4 - Danh mục'!$I$14:$I$132,$T388),"")))</f>
        <v>#REF!</v>
      </c>
      <c r="E388" s="690" t="str">
        <f t="array" ref="E388">IF($S388="","",IF($S388="Lớp 5",INDEX('Lớp 5 - Phân công'!$L$14:$L$262,$T388),IF($S388="Lớp 4",INDEX('Lớp 4 - Danh mục'!$K$14:$K$132,$T388),INDEX('Lớp 3 - Công việc chính'!$J$14:$J$73,$T388))))</f>
        <v>#REF!</v>
      </c>
      <c r="F388" s="690" t="str">
        <f t="array" ref="F388">IF($S388="","",IF($S388="Lớp 5",INDEX('Lớp 5 - Phân công'!$M$14:$M$262,$T388),IF($S388="Lớp 4",INDEX('Lớp 4 - Danh mục'!$L$14:$L$132,$T388),INDEX('Lớp 3 - Công việc chính'!$K$14:$K$73,$T388))))</f>
        <v>#REF!</v>
      </c>
      <c r="G388" s="691" t="str">
        <f t="array" ref="G388">IF($S388="","",IF($S388="Lớp 5",INDEX('Lớp 5 - Phân công'!$N$14:$N$262,$T388),IF($S388="Lớp 4",INDEX('Lớp 4 - Danh mục'!$M$14:$M$132,$T388),INDEX('Lớp 3 - Công việc chính'!$L$14:$L$73,$T388))))</f>
        <v>#REF!</v>
      </c>
      <c r="H388" s="692" t="str">
        <f t="array" ref="H388">IF($S388="","",IF($S388="Lớp 5",INDEX('Lớp 5 - Phân công'!$O$14:$O$262,$T388),IF($S388="Lớp 4",INDEX('Lớp 4 - Danh mục'!$N$14:$N$132,$T388),INDEX('Lớp 3 - Công việc chính'!$M$14:$M$73,$T388))))</f>
        <v>#REF!</v>
      </c>
      <c r="I388" s="692" t="str">
        <f t="array" ref="I388">IF($S388="","",IF($S388="Lớp 5",INDEX('Lớp 5 - Phân công'!$P$14:$P$262,$T388),IF($S388="Lớp 4",INDEX('Lớp 4 - Danh mục'!$O$14:$O$132,$T388),"")))</f>
        <v>#REF!</v>
      </c>
      <c r="J388" s="693" t="str">
        <f t="array" ref="J388">IF($S388="","",IF($S388="Lớp 5",INDEX('Lớp 5 - Phân công'!$Q$14:$Q$262,$T388),""))</f>
        <v>#REF!</v>
      </c>
      <c r="K388" s="690" t="str">
        <f t="array" ref="K388">IF($S388="","",IF($S388="Lớp 5",INDEX('Lớp 5 - Phân công'!$AA$14:$AA$262,$T388),IF($S388="Lớp 4",INDEX('Lớp 4 - Danh mục'!$Y$14:$Y$132,$T388),INDEX('Lớp 3 - Công việc chính'!$U$14:$U$73,$T388))))</f>
        <v>#REF!</v>
      </c>
      <c r="L388" s="691" t="str">
        <f t="array" ref="L388">IF($S388="","",IF($S388="Lớp 5",INDEX('Lớp 5 - Phân công'!$Z$14:$Z$262,$T388),IF($S388="Lớp 4",INDEX('Lớp 4 - Danh mục'!$X$14:$X$132,$T388),INDEX('Lớp 3 - Công việc chính'!$W$14:$W$73,$T388))))</f>
        <v>#REF!</v>
      </c>
      <c r="M388" s="694" t="str">
        <f t="array" ref="M388">IF($S388="","",IF($S388="Lớp 5",INDEX('Lớp 5 - Phân công'!$AD$14:$AD$262,$T388),IF($S388="Lớp 4",INDEX('Lớp 4 - Danh mục'!$AC$14:$AC$132,$T388),INDEX('Lớp 3 - Công việc chính'!$Z$14:$Z$73,$T388))))</f>
        <v>#REF!</v>
      </c>
      <c r="N388" s="695" t="str">
        <f t="array" ref="N388">IF($S388="","",IF($S388="Lớp 5",INDEX('Lớp 5 - Phân công'!$AE$14:$AE$262,$T388),IF($S388="Lớp 4",INDEX('Lớp 4 - Danh mục'!$AD$14:$AD$132,$T388),INDEX('Lớp 3 - Công việc chính'!$AA$14:$AA$73,$T388))))</f>
        <v>#REF!</v>
      </c>
      <c r="O388" s="690" t="str">
        <f t="array" ref="O388">IF($S388="","",IF($S388="Lớp 5",INDEX('Lớp 5 - Phân công'!$AB$14:$AB$262,$T388),IF($S388="Lớp 4",INDEX('Lớp 4 - Danh mục'!$AA$14:$AA$132,$T388),INDEX('Lớp 3 - Công việc chính'!$X$14:$X$73,$T388))))</f>
        <v>#REF!</v>
      </c>
      <c r="P388" s="703" t="str">
        <f t="array" ref="P388">IF($S388="","",IF($S388="Lớp 5",INDEX('Lớp 5 - Phân công'!$AC$14:$AC$262,$T388),IF($S388="Lớp 4",INDEX('Lớp 4 - Danh mục'!$AB$14:$AB$132,$T388),INDEX('Lớp 3 - Công việc chính'!$Y$14:$Y$73,$T388))))</f>
        <v>#REF!</v>
      </c>
      <c r="Q388" s="697" t="str">
        <f t="array" ref="Q388">IF($S388="","",IF($S388="Lớp 5",INDEX('Lớp 5 - Phân công'!$AG$14:$AG$262,$T388),IF($S388="Lớp 4",INDEX('Lớp 4 - Danh mục'!$AF$14:$AF$132,$T388),INDEX('Lớp 3 - Công việc chính'!$AC$14:$AC$73,$T388))))</f>
        <v>#REF!</v>
      </c>
      <c r="R388" s="698" t="str">
        <f t="array" ref="R388">IF($S388="","",IF($S388="Lớp 5",INDEX('Lớp 5 - Phân công'!$X$14:$X$262,$T388),IF($S388="Lớp 4",INDEX('Lớp 4 - Danh mục'!$V$14:$V$132,$T388),INDEX('Lớp 3 - Công việc chính'!$T$14:$T$73,$T388))))</f>
        <v>#REF!</v>
      </c>
      <c r="S388" s="699" t="str">
        <f>IF(ROWS($S$14:S388)&lt;=COUNTIF('Lớp 5 - Phân công'!$I$14:$I$262,"&lt;&gt;"),"Lớp 5",IF(ROWS($S$14:S388)&lt;=COUNTIF('Lớp 5 - Phân công'!$I$14:$I$262,"&lt;&gt;")+SUMPRODUCT(--('Lớp 4 - Danh mục'!$I$14:$I$132&lt;&gt;""),--(COUNTIF('Lớp 5 - Phân công'!$J$14:$J$262,'Lớp 4 - Danh mục'!$I$14:$I$132)=0)),"Lớp 4",IF(ROWS($S$14:S388)&lt;=COUNTIF('Lớp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8" s="699" t="str">
        <f t="array" ref="T388">IF(S388="","",IF(S388="Lớp 5",IF(S387&lt;&gt;"Lớp 5",MATCH("*",'Lớp 5 - Phân công'!$I$14:$I$262,0),T387+MATCH("*",INDEX('Lớp 5 - Phân công'!$I$14:$I$262,T387+1):'Lớp 5 - Phân công'!$I$262,0)),IF(S388="Lớp 4",IF(S387&lt;&gt;"Lớp 4",MATCH(1,INDEX(('Lớp 4 - Danh mục'!$I$14:$I$132&lt;&gt;"")*(COUNTIF('Lớp 5 - Phân công'!$J$14:$J$262,'Lớp 4 - Danh mục'!$I$14:$I$132)=0),0),0),T387+MATCH(1,INDEX((INDEX('Lớp 4 - Danh mục'!$I$14:$I$132,T387+1):'Lớp 4 - Danh mục'!$I$132&lt;&gt;"")*(COUNTIF('Lớp 5 - Phân công'!$J$14:$J$262,INDEX('Lớp 4 - Danh mục'!$I$14:$I$132,T387+1):'Lớp 4 - Danh mục'!$I$132)=0),0),0)),IF(S387&lt;&gt;"Lớp 3",MATCH(1,INDEX(('Lớp 3 - Công việc chính'!$I$14:$I$73&lt;&gt;"")*(COUNTIF('Lớp 4 - Danh mục'!$J$14:$J$132,'Lớp 3 - Công việc chính'!$I$14:$I$73)=0),0),0),T387+MATCH(1,INDEX((INDEX('Lớp 3 - Công việc chính'!$I$14:$I$73,T387+1):'Lớp 3 - Công việc chính'!$I$73&lt;&gt;"")*(COUNTIF('Lớp 4 - Danh mục'!$J$14:$J$132,INDEX('Lớp 3 - Công việc chính'!$I$14:$I$73,T387+1):'Lớp 3 - Công việc chính'!$I$73)=0),0),0)))))</f>
        <v>#REF!</v>
      </c>
      <c r="Z388" s="700" t="str">
        <f t="array" ref="Z388">IF($S388="","",IF($S388="Lớp 5",INDEX('Lớp 5 - Phân công'!$AS$14:$AS$262,$T388),IF($S388="Lớp 4",INDEX('Lớp 4 - Danh mục'!$AR$14:$AR$132,$T388),INDEX('Lớp 3 - Công việc chính'!$AO$14:$AO$73,$T388))))</f>
        <v>#REF!</v>
      </c>
      <c r="AA388" s="701" t="str">
        <f t="array" ref="AA388">IF($S388="","",IF($S388="Lớp 5",INDEX('Lớp 5 - Phân công'!$AT$14:$AT$262,$T388),IF($S388="Lớp 4",INDEX('Lớp 4 - Danh mục'!$AS$14:$AS$132,$T388),INDEX('Lớp 3 - Công việc chính'!$AP$14:$AP$73,$T388))))</f>
        <v>#REF!</v>
      </c>
      <c r="AB388" s="701" t="str">
        <f t="array" ref="AB388">IF($S388="","",IF($S388="Lớp 5",INDEX('Lớp 5 - Phân công'!$AJ$14:$AJ$262,$T388),IF($S388="Lớp 4",INDEX('Lớp 4 - Danh mục'!$AI$14:$AI$132,$T388),INDEX('Lớp 3 - Công việc chính'!$AF$14:$AF$73,$T388))))</f>
        <v>#REF!</v>
      </c>
      <c r="AC388" s="702" t="str">
        <f t="array" ref="AC388">IF($S388="","",IF($S388="Lớp 5",INDEX('Lớp 5 - Phân công'!$AV$14:$AV$262,$T388),IF($S388="Lớp 4",INDEX('Lớp 4 - Danh mục'!$AU$14:$AU$132,$T388),INDEX('Lớp 3 - Công việc chính'!$AR$14:$AR$73,$T388))))</f>
        <v>#REF!</v>
      </c>
    </row>
    <row r="389" ht="15.75" customHeight="1">
      <c r="A389" s="690" t="str">
        <f t="shared" si="1"/>
        <v>#REF!</v>
      </c>
      <c r="B389" s="690" t="str">
        <f t="array" ref="B389">IF($S389="","",IF($S389="Lớp 5",INDEX('Lớp 5 - Phân công'!$I$14:$I$262,$T389),IF($S389="Lớp 4",INDEX('Lớp 4 - Danh mục'!$I$14:$I$132,$T389),INDEX('Lớp 3 - Công việc chính'!$I$14:$I$73,$T389))))</f>
        <v>#REF!</v>
      </c>
      <c r="C389" s="690" t="str">
        <f t="array" ref="C389">IF($S389="","",IF($S389="Lớp 5",INDEX('Lớp 5 - Phân công'!$K$14:$K$262,$T389),IF($S389="Lớp 4",INDEX('Lớp 4 - Danh mục'!$J$14:$J$132,$T389),INDEX('Lớp 3 - Công việc chính'!$I$14:$I$73,$T389))))</f>
        <v>#REF!</v>
      </c>
      <c r="D389" s="690" t="str">
        <f t="array" ref="D389">IF($S389="","",IF($S389="Lớp 5",INDEX('Lớp 5 - Phân công'!$J$14:$J$262,$T389),IF($S389="Lớp 4",INDEX('Lớp 4 - Danh mục'!$I$14:$I$132,$T389),"")))</f>
        <v>#REF!</v>
      </c>
      <c r="E389" s="690" t="str">
        <f t="array" ref="E389">IF($S389="","",IF($S389="Lớp 5",INDEX('Lớp 5 - Phân công'!$L$14:$L$262,$T389),IF($S389="Lớp 4",INDEX('Lớp 4 - Danh mục'!$K$14:$K$132,$T389),INDEX('Lớp 3 - Công việc chính'!$J$14:$J$73,$T389))))</f>
        <v>#REF!</v>
      </c>
      <c r="F389" s="690" t="str">
        <f t="array" ref="F389">IF($S389="","",IF($S389="Lớp 5",INDEX('Lớp 5 - Phân công'!$M$14:$M$262,$T389),IF($S389="Lớp 4",INDEX('Lớp 4 - Danh mục'!$L$14:$L$132,$T389),INDEX('Lớp 3 - Công việc chính'!$K$14:$K$73,$T389))))</f>
        <v>#REF!</v>
      </c>
      <c r="G389" s="691" t="str">
        <f t="array" ref="G389">IF($S389="","",IF($S389="Lớp 5",INDEX('Lớp 5 - Phân công'!$N$14:$N$262,$T389),IF($S389="Lớp 4",INDEX('Lớp 4 - Danh mục'!$M$14:$M$132,$T389),INDEX('Lớp 3 - Công việc chính'!$L$14:$L$73,$T389))))</f>
        <v>#REF!</v>
      </c>
      <c r="H389" s="692" t="str">
        <f t="array" ref="H389">IF($S389="","",IF($S389="Lớp 5",INDEX('Lớp 5 - Phân công'!$O$14:$O$262,$T389),IF($S389="Lớp 4",INDEX('Lớp 4 - Danh mục'!$N$14:$N$132,$T389),INDEX('Lớp 3 - Công việc chính'!$M$14:$M$73,$T389))))</f>
        <v>#REF!</v>
      </c>
      <c r="I389" s="692" t="str">
        <f t="array" ref="I389">IF($S389="","",IF($S389="Lớp 5",INDEX('Lớp 5 - Phân công'!$P$14:$P$262,$T389),IF($S389="Lớp 4",INDEX('Lớp 4 - Danh mục'!$O$14:$O$132,$T389),"")))</f>
        <v>#REF!</v>
      </c>
      <c r="J389" s="693" t="str">
        <f t="array" ref="J389">IF($S389="","",IF($S389="Lớp 5",INDEX('Lớp 5 - Phân công'!$Q$14:$Q$262,$T389),""))</f>
        <v>#REF!</v>
      </c>
      <c r="K389" s="690" t="str">
        <f t="array" ref="K389">IF($S389="","",IF($S389="Lớp 5",INDEX('Lớp 5 - Phân công'!$AA$14:$AA$262,$T389),IF($S389="Lớp 4",INDEX('Lớp 4 - Danh mục'!$Y$14:$Y$132,$T389),INDEX('Lớp 3 - Công việc chính'!$U$14:$U$73,$T389))))</f>
        <v>#REF!</v>
      </c>
      <c r="L389" s="691" t="str">
        <f t="array" ref="L389">IF($S389="","",IF($S389="Lớp 5",INDEX('Lớp 5 - Phân công'!$Z$14:$Z$262,$T389),IF($S389="Lớp 4",INDEX('Lớp 4 - Danh mục'!$X$14:$X$132,$T389),INDEX('Lớp 3 - Công việc chính'!$W$14:$W$73,$T389))))</f>
        <v>#REF!</v>
      </c>
      <c r="M389" s="694" t="str">
        <f t="array" ref="M389">IF($S389="","",IF($S389="Lớp 5",INDEX('Lớp 5 - Phân công'!$AD$14:$AD$262,$T389),IF($S389="Lớp 4",INDEX('Lớp 4 - Danh mục'!$AC$14:$AC$132,$T389),INDEX('Lớp 3 - Công việc chính'!$Z$14:$Z$73,$T389))))</f>
        <v>#REF!</v>
      </c>
      <c r="N389" s="695" t="str">
        <f t="array" ref="N389">IF($S389="","",IF($S389="Lớp 5",INDEX('Lớp 5 - Phân công'!$AE$14:$AE$262,$T389),IF($S389="Lớp 4",INDEX('Lớp 4 - Danh mục'!$AD$14:$AD$132,$T389),INDEX('Lớp 3 - Công việc chính'!$AA$14:$AA$73,$T389))))</f>
        <v>#REF!</v>
      </c>
      <c r="O389" s="690" t="str">
        <f t="array" ref="O389">IF($S389="","",IF($S389="Lớp 5",INDEX('Lớp 5 - Phân công'!$AB$14:$AB$262,$T389),IF($S389="Lớp 4",INDEX('Lớp 4 - Danh mục'!$AA$14:$AA$132,$T389),INDEX('Lớp 3 - Công việc chính'!$X$14:$X$73,$T389))))</f>
        <v>#REF!</v>
      </c>
      <c r="P389" s="703" t="str">
        <f t="array" ref="P389">IF($S389="","",IF($S389="Lớp 5",INDEX('Lớp 5 - Phân công'!$AC$14:$AC$262,$T389),IF($S389="Lớp 4",INDEX('Lớp 4 - Danh mục'!$AB$14:$AB$132,$T389),INDEX('Lớp 3 - Công việc chính'!$Y$14:$Y$73,$T389))))</f>
        <v>#REF!</v>
      </c>
      <c r="Q389" s="697" t="str">
        <f t="array" ref="Q389">IF($S389="","",IF($S389="Lớp 5",INDEX('Lớp 5 - Phân công'!$AG$14:$AG$262,$T389),IF($S389="Lớp 4",INDEX('Lớp 4 - Danh mục'!$AF$14:$AF$132,$T389),INDEX('Lớp 3 - Công việc chính'!$AC$14:$AC$73,$T389))))</f>
        <v>#REF!</v>
      </c>
      <c r="R389" s="698" t="str">
        <f t="array" ref="R389">IF($S389="","",IF($S389="Lớp 5",INDEX('Lớp 5 - Phân công'!$X$14:$X$262,$T389),IF($S389="Lớp 4",INDEX('Lớp 4 - Danh mục'!$V$14:$V$132,$T389),INDEX('Lớp 3 - Công việc chính'!$T$14:$T$73,$T389))))</f>
        <v>#REF!</v>
      </c>
      <c r="S389" s="699" t="str">
        <f>IF(ROWS($S$14:S389)&lt;=COUNTIF('Lớp 5 - Phân công'!$I$14:$I$262,"&lt;&gt;"),"Lớp 5",IF(ROWS($S$14:S389)&lt;=COUNTIF('Lớp 5 - Phân công'!$I$14:$I$262,"&lt;&gt;")+SUMPRODUCT(--('Lớp 4 - Danh mục'!$I$14:$I$132&lt;&gt;""),--(COUNTIF('Lớp 5 - Phân công'!$J$14:$J$262,'Lớp 4 - Danh mục'!$I$14:$I$132)=0)),"Lớp 4",IF(ROWS($S$14:S389)&lt;=COUNTIF('Lớp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89" s="699" t="str">
        <f t="array" ref="T389">IF(S389="","",IF(S389="Lớp 5",IF(S388&lt;&gt;"Lớp 5",MATCH("*",'Lớp 5 - Phân công'!$I$14:$I$262,0),T388+MATCH("*",INDEX('Lớp 5 - Phân công'!$I$14:$I$262,T388+1):'Lớp 5 - Phân công'!$I$262,0)),IF(S389="Lớp 4",IF(S388&lt;&gt;"Lớp 4",MATCH(1,INDEX(('Lớp 4 - Danh mục'!$I$14:$I$132&lt;&gt;"")*(COUNTIF('Lớp 5 - Phân công'!$J$14:$J$262,'Lớp 4 - Danh mục'!$I$14:$I$132)=0),0),0),T388+MATCH(1,INDEX((INDEX('Lớp 4 - Danh mục'!$I$14:$I$132,T388+1):'Lớp 4 - Danh mục'!$I$132&lt;&gt;"")*(COUNTIF('Lớp 5 - Phân công'!$J$14:$J$262,INDEX('Lớp 4 - Danh mục'!$I$14:$I$132,T388+1):'Lớp 4 - Danh mục'!$I$132)=0),0),0)),IF(S388&lt;&gt;"Lớp 3",MATCH(1,INDEX(('Lớp 3 - Công việc chính'!$I$14:$I$73&lt;&gt;"")*(COUNTIF('Lớp 4 - Danh mục'!$J$14:$J$132,'Lớp 3 - Công việc chính'!$I$14:$I$73)=0),0),0),T388+MATCH(1,INDEX((INDEX('Lớp 3 - Công việc chính'!$I$14:$I$73,T388+1):'Lớp 3 - Công việc chính'!$I$73&lt;&gt;"")*(COUNTIF('Lớp 4 - Danh mục'!$J$14:$J$132,INDEX('Lớp 3 - Công việc chính'!$I$14:$I$73,T388+1):'Lớp 3 - Công việc chính'!$I$73)=0),0),0)))))</f>
        <v>#REF!</v>
      </c>
      <c r="Z389" s="700" t="str">
        <f t="array" ref="Z389">IF($S389="","",IF($S389="Lớp 5",INDEX('Lớp 5 - Phân công'!$AS$14:$AS$262,$T389),IF($S389="Lớp 4",INDEX('Lớp 4 - Danh mục'!$AR$14:$AR$132,$T389),INDEX('Lớp 3 - Công việc chính'!$AO$14:$AO$73,$T389))))</f>
        <v>#REF!</v>
      </c>
      <c r="AA389" s="701" t="str">
        <f t="array" ref="AA389">IF($S389="","",IF($S389="Lớp 5",INDEX('Lớp 5 - Phân công'!$AT$14:$AT$262,$T389),IF($S389="Lớp 4",INDEX('Lớp 4 - Danh mục'!$AS$14:$AS$132,$T389),INDEX('Lớp 3 - Công việc chính'!$AP$14:$AP$73,$T389))))</f>
        <v>#REF!</v>
      </c>
      <c r="AB389" s="701" t="str">
        <f t="array" ref="AB389">IF($S389="","",IF($S389="Lớp 5",INDEX('Lớp 5 - Phân công'!$AJ$14:$AJ$262,$T389),IF($S389="Lớp 4",INDEX('Lớp 4 - Danh mục'!$AI$14:$AI$132,$T389),INDEX('Lớp 3 - Công việc chính'!$AF$14:$AF$73,$T389))))</f>
        <v>#REF!</v>
      </c>
      <c r="AC389" s="702" t="str">
        <f t="array" ref="AC389">IF($S389="","",IF($S389="Lớp 5",INDEX('Lớp 5 - Phân công'!$AV$14:$AV$262,$T389),IF($S389="Lớp 4",INDEX('Lớp 4 - Danh mục'!$AU$14:$AU$132,$T389),INDEX('Lớp 3 - Công việc chính'!$AR$14:$AR$73,$T389))))</f>
        <v>#REF!</v>
      </c>
    </row>
    <row r="390" ht="15.75" customHeight="1">
      <c r="A390" s="690" t="str">
        <f t="shared" si="1"/>
        <v>#REF!</v>
      </c>
      <c r="B390" s="690" t="str">
        <f t="array" ref="B390">IF($S390="","",IF($S390="Lớp 5",INDEX('Lớp 5 - Phân công'!$I$14:$I$262,$T390),IF($S390="Lớp 4",INDEX('Lớp 4 - Danh mục'!$I$14:$I$132,$T390),INDEX('Lớp 3 - Công việc chính'!$I$14:$I$73,$T390))))</f>
        <v>#REF!</v>
      </c>
      <c r="C390" s="690" t="str">
        <f t="array" ref="C390">IF($S390="","",IF($S390="Lớp 5",INDEX('Lớp 5 - Phân công'!$K$14:$K$262,$T390),IF($S390="Lớp 4",INDEX('Lớp 4 - Danh mục'!$J$14:$J$132,$T390),INDEX('Lớp 3 - Công việc chính'!$I$14:$I$73,$T390))))</f>
        <v>#REF!</v>
      </c>
      <c r="D390" s="690" t="str">
        <f t="array" ref="D390">IF($S390="","",IF($S390="Lớp 5",INDEX('Lớp 5 - Phân công'!$J$14:$J$262,$T390),IF($S390="Lớp 4",INDEX('Lớp 4 - Danh mục'!$I$14:$I$132,$T390),"")))</f>
        <v>#REF!</v>
      </c>
      <c r="E390" s="690" t="str">
        <f t="array" ref="E390">IF($S390="","",IF($S390="Lớp 5",INDEX('Lớp 5 - Phân công'!$L$14:$L$262,$T390),IF($S390="Lớp 4",INDEX('Lớp 4 - Danh mục'!$K$14:$K$132,$T390),INDEX('Lớp 3 - Công việc chính'!$J$14:$J$73,$T390))))</f>
        <v>#REF!</v>
      </c>
      <c r="F390" s="690" t="str">
        <f t="array" ref="F390">IF($S390="","",IF($S390="Lớp 5",INDEX('Lớp 5 - Phân công'!$M$14:$M$262,$T390),IF($S390="Lớp 4",INDEX('Lớp 4 - Danh mục'!$L$14:$L$132,$T390),INDEX('Lớp 3 - Công việc chính'!$K$14:$K$73,$T390))))</f>
        <v>#REF!</v>
      </c>
      <c r="G390" s="691" t="str">
        <f t="array" ref="G390">IF($S390="","",IF($S390="Lớp 5",INDEX('Lớp 5 - Phân công'!$N$14:$N$262,$T390),IF($S390="Lớp 4",INDEX('Lớp 4 - Danh mục'!$M$14:$M$132,$T390),INDEX('Lớp 3 - Công việc chính'!$L$14:$L$73,$T390))))</f>
        <v>#REF!</v>
      </c>
      <c r="H390" s="692" t="str">
        <f t="array" ref="H390">IF($S390="","",IF($S390="Lớp 5",INDEX('Lớp 5 - Phân công'!$O$14:$O$262,$T390),IF($S390="Lớp 4",INDEX('Lớp 4 - Danh mục'!$N$14:$N$132,$T390),INDEX('Lớp 3 - Công việc chính'!$M$14:$M$73,$T390))))</f>
        <v>#REF!</v>
      </c>
      <c r="I390" s="692" t="str">
        <f t="array" ref="I390">IF($S390="","",IF($S390="Lớp 5",INDEX('Lớp 5 - Phân công'!$P$14:$P$262,$T390),IF($S390="Lớp 4",INDEX('Lớp 4 - Danh mục'!$O$14:$O$132,$T390),"")))</f>
        <v>#REF!</v>
      </c>
      <c r="J390" s="693" t="str">
        <f t="array" ref="J390">IF($S390="","",IF($S390="Lớp 5",INDEX('Lớp 5 - Phân công'!$Q$14:$Q$262,$T390),""))</f>
        <v>#REF!</v>
      </c>
      <c r="K390" s="690" t="str">
        <f t="array" ref="K390">IF($S390="","",IF($S390="Lớp 5",INDEX('Lớp 5 - Phân công'!$AA$14:$AA$262,$T390),IF($S390="Lớp 4",INDEX('Lớp 4 - Danh mục'!$Y$14:$Y$132,$T390),INDEX('Lớp 3 - Công việc chính'!$U$14:$U$73,$T390))))</f>
        <v>#REF!</v>
      </c>
      <c r="L390" s="691" t="str">
        <f t="array" ref="L390">IF($S390="","",IF($S390="Lớp 5",INDEX('Lớp 5 - Phân công'!$Z$14:$Z$262,$T390),IF($S390="Lớp 4",INDEX('Lớp 4 - Danh mục'!$X$14:$X$132,$T390),INDEX('Lớp 3 - Công việc chính'!$W$14:$W$73,$T390))))</f>
        <v>#REF!</v>
      </c>
      <c r="M390" s="694" t="str">
        <f t="array" ref="M390">IF($S390="","",IF($S390="Lớp 5",INDEX('Lớp 5 - Phân công'!$AD$14:$AD$262,$T390),IF($S390="Lớp 4",INDEX('Lớp 4 - Danh mục'!$AC$14:$AC$132,$T390),INDEX('Lớp 3 - Công việc chính'!$Z$14:$Z$73,$T390))))</f>
        <v>#REF!</v>
      </c>
      <c r="N390" s="695" t="str">
        <f t="array" ref="N390">IF($S390="","",IF($S390="Lớp 5",INDEX('Lớp 5 - Phân công'!$AE$14:$AE$262,$T390),IF($S390="Lớp 4",INDEX('Lớp 4 - Danh mục'!$AD$14:$AD$132,$T390),INDEX('Lớp 3 - Công việc chính'!$AA$14:$AA$73,$T390))))</f>
        <v>#REF!</v>
      </c>
      <c r="O390" s="690" t="str">
        <f t="array" ref="O390">IF($S390="","",IF($S390="Lớp 5",INDEX('Lớp 5 - Phân công'!$AB$14:$AB$262,$T390),IF($S390="Lớp 4",INDEX('Lớp 4 - Danh mục'!$AA$14:$AA$132,$T390),INDEX('Lớp 3 - Công việc chính'!$X$14:$X$73,$T390))))</f>
        <v>#REF!</v>
      </c>
      <c r="P390" s="703" t="str">
        <f t="array" ref="P390">IF($S390="","",IF($S390="Lớp 5",INDEX('Lớp 5 - Phân công'!$AC$14:$AC$262,$T390),IF($S390="Lớp 4",INDEX('Lớp 4 - Danh mục'!$AB$14:$AB$132,$T390),INDEX('Lớp 3 - Công việc chính'!$Y$14:$Y$73,$T390))))</f>
        <v>#REF!</v>
      </c>
      <c r="Q390" s="697" t="str">
        <f t="array" ref="Q390">IF($S390="","",IF($S390="Lớp 5",INDEX('Lớp 5 - Phân công'!$AG$14:$AG$262,$T390),IF($S390="Lớp 4",INDEX('Lớp 4 - Danh mục'!$AF$14:$AF$132,$T390),INDEX('Lớp 3 - Công việc chính'!$AC$14:$AC$73,$T390))))</f>
        <v>#REF!</v>
      </c>
      <c r="R390" s="698" t="str">
        <f t="array" ref="R390">IF($S390="","",IF($S390="Lớp 5",INDEX('Lớp 5 - Phân công'!$X$14:$X$262,$T390),IF($S390="Lớp 4",INDEX('Lớp 4 - Danh mục'!$V$14:$V$132,$T390),INDEX('Lớp 3 - Công việc chính'!$T$14:$T$73,$T390))))</f>
        <v>#REF!</v>
      </c>
      <c r="S390" s="699" t="str">
        <f>IF(ROWS($S$14:S390)&lt;=COUNTIF('Lớp 5 - Phân công'!$I$14:$I$262,"&lt;&gt;"),"Lớp 5",IF(ROWS($S$14:S390)&lt;=COUNTIF('Lớp 5 - Phân công'!$I$14:$I$262,"&lt;&gt;")+SUMPRODUCT(--('Lớp 4 - Danh mục'!$I$14:$I$132&lt;&gt;""),--(COUNTIF('Lớp 5 - Phân công'!$J$14:$J$262,'Lớp 4 - Danh mục'!$I$14:$I$132)=0)),"Lớp 4",IF(ROWS($S$14:S390)&lt;=COUNTIF('Lớp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0" s="699" t="str">
        <f t="array" ref="T390">IF(S390="","",IF(S390="Lớp 5",IF(S389&lt;&gt;"Lớp 5",MATCH("*",'Lớp 5 - Phân công'!$I$14:$I$262,0),T389+MATCH("*",INDEX('Lớp 5 - Phân công'!$I$14:$I$262,T389+1):'Lớp 5 - Phân công'!$I$262,0)),IF(S390="Lớp 4",IF(S389&lt;&gt;"Lớp 4",MATCH(1,INDEX(('Lớp 4 - Danh mục'!$I$14:$I$132&lt;&gt;"")*(COUNTIF('Lớp 5 - Phân công'!$J$14:$J$262,'Lớp 4 - Danh mục'!$I$14:$I$132)=0),0),0),T389+MATCH(1,INDEX((INDEX('Lớp 4 - Danh mục'!$I$14:$I$132,T389+1):'Lớp 4 - Danh mục'!$I$132&lt;&gt;"")*(COUNTIF('Lớp 5 - Phân công'!$J$14:$J$262,INDEX('Lớp 4 - Danh mục'!$I$14:$I$132,T389+1):'Lớp 4 - Danh mục'!$I$132)=0),0),0)),IF(S389&lt;&gt;"Lớp 3",MATCH(1,INDEX(('Lớp 3 - Công việc chính'!$I$14:$I$73&lt;&gt;"")*(COUNTIF('Lớp 4 - Danh mục'!$J$14:$J$132,'Lớp 3 - Công việc chính'!$I$14:$I$73)=0),0),0),T389+MATCH(1,INDEX((INDEX('Lớp 3 - Công việc chính'!$I$14:$I$73,T389+1):'Lớp 3 - Công việc chính'!$I$73&lt;&gt;"")*(COUNTIF('Lớp 4 - Danh mục'!$J$14:$J$132,INDEX('Lớp 3 - Công việc chính'!$I$14:$I$73,T389+1):'Lớp 3 - Công việc chính'!$I$73)=0),0),0)))))</f>
        <v>#REF!</v>
      </c>
      <c r="Z390" s="700" t="str">
        <f t="array" ref="Z390">IF($S390="","",IF($S390="Lớp 5",INDEX('Lớp 5 - Phân công'!$AS$14:$AS$262,$T390),IF($S390="Lớp 4",INDEX('Lớp 4 - Danh mục'!$AR$14:$AR$132,$T390),INDEX('Lớp 3 - Công việc chính'!$AO$14:$AO$73,$T390))))</f>
        <v>#REF!</v>
      </c>
      <c r="AA390" s="701" t="str">
        <f t="array" ref="AA390">IF($S390="","",IF($S390="Lớp 5",INDEX('Lớp 5 - Phân công'!$AT$14:$AT$262,$T390),IF($S390="Lớp 4",INDEX('Lớp 4 - Danh mục'!$AS$14:$AS$132,$T390),INDEX('Lớp 3 - Công việc chính'!$AP$14:$AP$73,$T390))))</f>
        <v>#REF!</v>
      </c>
      <c r="AB390" s="701" t="str">
        <f t="array" ref="AB390">IF($S390="","",IF($S390="Lớp 5",INDEX('Lớp 5 - Phân công'!$AJ$14:$AJ$262,$T390),IF($S390="Lớp 4",INDEX('Lớp 4 - Danh mục'!$AI$14:$AI$132,$T390),INDEX('Lớp 3 - Công việc chính'!$AF$14:$AF$73,$T390))))</f>
        <v>#REF!</v>
      </c>
      <c r="AC390" s="702" t="str">
        <f t="array" ref="AC390">IF($S390="","",IF($S390="Lớp 5",INDEX('Lớp 5 - Phân công'!$AV$14:$AV$262,$T390),IF($S390="Lớp 4",INDEX('Lớp 4 - Danh mục'!$AU$14:$AU$132,$T390),INDEX('Lớp 3 - Công việc chính'!$AR$14:$AR$73,$T390))))</f>
        <v>#REF!</v>
      </c>
    </row>
    <row r="391" ht="15.75" customHeight="1">
      <c r="A391" s="690" t="str">
        <f t="shared" si="1"/>
        <v>#REF!</v>
      </c>
      <c r="B391" s="690" t="str">
        <f t="array" ref="B391">IF($S391="","",IF($S391="Lớp 5",INDEX('Lớp 5 - Phân công'!$I$14:$I$262,$T391),IF($S391="Lớp 4",INDEX('Lớp 4 - Danh mục'!$I$14:$I$132,$T391),INDEX('Lớp 3 - Công việc chính'!$I$14:$I$73,$T391))))</f>
        <v>#REF!</v>
      </c>
      <c r="C391" s="690" t="str">
        <f t="array" ref="C391">IF($S391="","",IF($S391="Lớp 5",INDEX('Lớp 5 - Phân công'!$K$14:$K$262,$T391),IF($S391="Lớp 4",INDEX('Lớp 4 - Danh mục'!$J$14:$J$132,$T391),INDEX('Lớp 3 - Công việc chính'!$I$14:$I$73,$T391))))</f>
        <v>#REF!</v>
      </c>
      <c r="D391" s="690" t="str">
        <f t="array" ref="D391">IF($S391="","",IF($S391="Lớp 5",INDEX('Lớp 5 - Phân công'!$J$14:$J$262,$T391),IF($S391="Lớp 4",INDEX('Lớp 4 - Danh mục'!$I$14:$I$132,$T391),"")))</f>
        <v>#REF!</v>
      </c>
      <c r="E391" s="690" t="str">
        <f t="array" ref="E391">IF($S391="","",IF($S391="Lớp 5",INDEX('Lớp 5 - Phân công'!$L$14:$L$262,$T391),IF($S391="Lớp 4",INDEX('Lớp 4 - Danh mục'!$K$14:$K$132,$T391),INDEX('Lớp 3 - Công việc chính'!$J$14:$J$73,$T391))))</f>
        <v>#REF!</v>
      </c>
      <c r="F391" s="690" t="str">
        <f t="array" ref="F391">IF($S391="","",IF($S391="Lớp 5",INDEX('Lớp 5 - Phân công'!$M$14:$M$262,$T391),IF($S391="Lớp 4",INDEX('Lớp 4 - Danh mục'!$L$14:$L$132,$T391),INDEX('Lớp 3 - Công việc chính'!$K$14:$K$73,$T391))))</f>
        <v>#REF!</v>
      </c>
      <c r="G391" s="691" t="str">
        <f t="array" ref="G391">IF($S391="","",IF($S391="Lớp 5",INDEX('Lớp 5 - Phân công'!$N$14:$N$262,$T391),IF($S391="Lớp 4",INDEX('Lớp 4 - Danh mục'!$M$14:$M$132,$T391),INDEX('Lớp 3 - Công việc chính'!$L$14:$L$73,$T391))))</f>
        <v>#REF!</v>
      </c>
      <c r="H391" s="692" t="str">
        <f t="array" ref="H391">IF($S391="","",IF($S391="Lớp 5",INDEX('Lớp 5 - Phân công'!$O$14:$O$262,$T391),IF($S391="Lớp 4",INDEX('Lớp 4 - Danh mục'!$N$14:$N$132,$T391),INDEX('Lớp 3 - Công việc chính'!$M$14:$M$73,$T391))))</f>
        <v>#REF!</v>
      </c>
      <c r="I391" s="692" t="str">
        <f t="array" ref="I391">IF($S391="","",IF($S391="Lớp 5",INDEX('Lớp 5 - Phân công'!$P$14:$P$262,$T391),IF($S391="Lớp 4",INDEX('Lớp 4 - Danh mục'!$O$14:$O$132,$T391),"")))</f>
        <v>#REF!</v>
      </c>
      <c r="J391" s="693" t="str">
        <f t="array" ref="J391">IF($S391="","",IF($S391="Lớp 5",INDEX('Lớp 5 - Phân công'!$Q$14:$Q$262,$T391),""))</f>
        <v>#REF!</v>
      </c>
      <c r="K391" s="690" t="str">
        <f t="array" ref="K391">IF($S391="","",IF($S391="Lớp 5",INDEX('Lớp 5 - Phân công'!$AA$14:$AA$262,$T391),IF($S391="Lớp 4",INDEX('Lớp 4 - Danh mục'!$Y$14:$Y$132,$T391),INDEX('Lớp 3 - Công việc chính'!$U$14:$U$73,$T391))))</f>
        <v>#REF!</v>
      </c>
      <c r="L391" s="691" t="str">
        <f t="array" ref="L391">IF($S391="","",IF($S391="Lớp 5",INDEX('Lớp 5 - Phân công'!$Z$14:$Z$262,$T391),IF($S391="Lớp 4",INDEX('Lớp 4 - Danh mục'!$X$14:$X$132,$T391),INDEX('Lớp 3 - Công việc chính'!$W$14:$W$73,$T391))))</f>
        <v>#REF!</v>
      </c>
      <c r="M391" s="694" t="str">
        <f t="array" ref="M391">IF($S391="","",IF($S391="Lớp 5",INDEX('Lớp 5 - Phân công'!$AD$14:$AD$262,$T391),IF($S391="Lớp 4",INDEX('Lớp 4 - Danh mục'!$AC$14:$AC$132,$T391),INDEX('Lớp 3 - Công việc chính'!$Z$14:$Z$73,$T391))))</f>
        <v>#REF!</v>
      </c>
      <c r="N391" s="695" t="str">
        <f t="array" ref="N391">IF($S391="","",IF($S391="Lớp 5",INDEX('Lớp 5 - Phân công'!$AE$14:$AE$262,$T391),IF($S391="Lớp 4",INDEX('Lớp 4 - Danh mục'!$AD$14:$AD$132,$T391),INDEX('Lớp 3 - Công việc chính'!$AA$14:$AA$73,$T391))))</f>
        <v>#REF!</v>
      </c>
      <c r="O391" s="690" t="str">
        <f t="array" ref="O391">IF($S391="","",IF($S391="Lớp 5",INDEX('Lớp 5 - Phân công'!$AB$14:$AB$262,$T391),IF($S391="Lớp 4",INDEX('Lớp 4 - Danh mục'!$AA$14:$AA$132,$T391),INDEX('Lớp 3 - Công việc chính'!$X$14:$X$73,$T391))))</f>
        <v>#REF!</v>
      </c>
      <c r="P391" s="703" t="str">
        <f t="array" ref="P391">IF($S391="","",IF($S391="Lớp 5",INDEX('Lớp 5 - Phân công'!$AC$14:$AC$262,$T391),IF($S391="Lớp 4",INDEX('Lớp 4 - Danh mục'!$AB$14:$AB$132,$T391),INDEX('Lớp 3 - Công việc chính'!$Y$14:$Y$73,$T391))))</f>
        <v>#REF!</v>
      </c>
      <c r="Q391" s="697" t="str">
        <f t="array" ref="Q391">IF($S391="","",IF($S391="Lớp 5",INDEX('Lớp 5 - Phân công'!$AG$14:$AG$262,$T391),IF($S391="Lớp 4",INDEX('Lớp 4 - Danh mục'!$AF$14:$AF$132,$T391),INDEX('Lớp 3 - Công việc chính'!$AC$14:$AC$73,$T391))))</f>
        <v>#REF!</v>
      </c>
      <c r="R391" s="698" t="str">
        <f t="array" ref="R391">IF($S391="","",IF($S391="Lớp 5",INDEX('Lớp 5 - Phân công'!$X$14:$X$262,$T391),IF($S391="Lớp 4",INDEX('Lớp 4 - Danh mục'!$V$14:$V$132,$T391),INDEX('Lớp 3 - Công việc chính'!$T$14:$T$73,$T391))))</f>
        <v>#REF!</v>
      </c>
      <c r="S391" s="699" t="str">
        <f>IF(ROWS($S$14:S391)&lt;=COUNTIF('Lớp 5 - Phân công'!$I$14:$I$262,"&lt;&gt;"),"Lớp 5",IF(ROWS($S$14:S391)&lt;=COUNTIF('Lớp 5 - Phân công'!$I$14:$I$262,"&lt;&gt;")+SUMPRODUCT(--('Lớp 4 - Danh mục'!$I$14:$I$132&lt;&gt;""),--(COUNTIF('Lớp 5 - Phân công'!$J$14:$J$262,'Lớp 4 - Danh mục'!$I$14:$I$132)=0)),"Lớp 4",IF(ROWS($S$14:S391)&lt;=COUNTIF('Lớp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1" s="699" t="str">
        <f t="array" ref="T391">IF(S391="","",IF(S391="Lớp 5",IF(S390&lt;&gt;"Lớp 5",MATCH("*",'Lớp 5 - Phân công'!$I$14:$I$262,0),T390+MATCH("*",INDEX('Lớp 5 - Phân công'!$I$14:$I$262,T390+1):'Lớp 5 - Phân công'!$I$262,0)),IF(S391="Lớp 4",IF(S390&lt;&gt;"Lớp 4",MATCH(1,INDEX(('Lớp 4 - Danh mục'!$I$14:$I$132&lt;&gt;"")*(COUNTIF('Lớp 5 - Phân công'!$J$14:$J$262,'Lớp 4 - Danh mục'!$I$14:$I$132)=0),0),0),T390+MATCH(1,INDEX((INDEX('Lớp 4 - Danh mục'!$I$14:$I$132,T390+1):'Lớp 4 - Danh mục'!$I$132&lt;&gt;"")*(COUNTIF('Lớp 5 - Phân công'!$J$14:$J$262,INDEX('Lớp 4 - Danh mục'!$I$14:$I$132,T390+1):'Lớp 4 - Danh mục'!$I$132)=0),0),0)),IF(S390&lt;&gt;"Lớp 3",MATCH(1,INDEX(('Lớp 3 - Công việc chính'!$I$14:$I$73&lt;&gt;"")*(COUNTIF('Lớp 4 - Danh mục'!$J$14:$J$132,'Lớp 3 - Công việc chính'!$I$14:$I$73)=0),0),0),T390+MATCH(1,INDEX((INDEX('Lớp 3 - Công việc chính'!$I$14:$I$73,T390+1):'Lớp 3 - Công việc chính'!$I$73&lt;&gt;"")*(COUNTIF('Lớp 4 - Danh mục'!$J$14:$J$132,INDEX('Lớp 3 - Công việc chính'!$I$14:$I$73,T390+1):'Lớp 3 - Công việc chính'!$I$73)=0),0),0)))))</f>
        <v>#REF!</v>
      </c>
      <c r="Z391" s="700" t="str">
        <f t="array" ref="Z391">IF($S391="","",IF($S391="Lớp 5",INDEX('Lớp 5 - Phân công'!$AS$14:$AS$262,$T391),IF($S391="Lớp 4",INDEX('Lớp 4 - Danh mục'!$AR$14:$AR$132,$T391),INDEX('Lớp 3 - Công việc chính'!$AO$14:$AO$73,$T391))))</f>
        <v>#REF!</v>
      </c>
      <c r="AA391" s="701" t="str">
        <f t="array" ref="AA391">IF($S391="","",IF($S391="Lớp 5",INDEX('Lớp 5 - Phân công'!$AT$14:$AT$262,$T391),IF($S391="Lớp 4",INDEX('Lớp 4 - Danh mục'!$AS$14:$AS$132,$T391),INDEX('Lớp 3 - Công việc chính'!$AP$14:$AP$73,$T391))))</f>
        <v>#REF!</v>
      </c>
      <c r="AB391" s="701" t="str">
        <f t="array" ref="AB391">IF($S391="","",IF($S391="Lớp 5",INDEX('Lớp 5 - Phân công'!$AJ$14:$AJ$262,$T391),IF($S391="Lớp 4",INDEX('Lớp 4 - Danh mục'!$AI$14:$AI$132,$T391),INDEX('Lớp 3 - Công việc chính'!$AF$14:$AF$73,$T391))))</f>
        <v>#REF!</v>
      </c>
      <c r="AC391" s="702" t="str">
        <f t="array" ref="AC391">IF($S391="","",IF($S391="Lớp 5",INDEX('Lớp 5 - Phân công'!$AV$14:$AV$262,$T391),IF($S391="Lớp 4",INDEX('Lớp 4 - Danh mục'!$AU$14:$AU$132,$T391),INDEX('Lớp 3 - Công việc chính'!$AR$14:$AR$73,$T391))))</f>
        <v>#REF!</v>
      </c>
    </row>
    <row r="392" ht="15.75" customHeight="1">
      <c r="A392" s="690" t="str">
        <f t="shared" si="1"/>
        <v>#REF!</v>
      </c>
      <c r="B392" s="690" t="str">
        <f t="array" ref="B392">IF($S392="","",IF($S392="Lớp 5",INDEX('Lớp 5 - Phân công'!$I$14:$I$262,$T392),IF($S392="Lớp 4",INDEX('Lớp 4 - Danh mục'!$I$14:$I$132,$T392),INDEX('Lớp 3 - Công việc chính'!$I$14:$I$73,$T392))))</f>
        <v>#REF!</v>
      </c>
      <c r="C392" s="690" t="str">
        <f t="array" ref="C392">IF($S392="","",IF($S392="Lớp 5",INDEX('Lớp 5 - Phân công'!$K$14:$K$262,$T392),IF($S392="Lớp 4",INDEX('Lớp 4 - Danh mục'!$J$14:$J$132,$T392),INDEX('Lớp 3 - Công việc chính'!$I$14:$I$73,$T392))))</f>
        <v>#REF!</v>
      </c>
      <c r="D392" s="690" t="str">
        <f t="array" ref="D392">IF($S392="","",IF($S392="Lớp 5",INDEX('Lớp 5 - Phân công'!$J$14:$J$262,$T392),IF($S392="Lớp 4",INDEX('Lớp 4 - Danh mục'!$I$14:$I$132,$T392),"")))</f>
        <v>#REF!</v>
      </c>
      <c r="E392" s="690" t="str">
        <f t="array" ref="E392">IF($S392="","",IF($S392="Lớp 5",INDEX('Lớp 5 - Phân công'!$L$14:$L$262,$T392),IF($S392="Lớp 4",INDEX('Lớp 4 - Danh mục'!$K$14:$K$132,$T392),INDEX('Lớp 3 - Công việc chính'!$J$14:$J$73,$T392))))</f>
        <v>#REF!</v>
      </c>
      <c r="F392" s="690" t="str">
        <f t="array" ref="F392">IF($S392="","",IF($S392="Lớp 5",INDEX('Lớp 5 - Phân công'!$M$14:$M$262,$T392),IF($S392="Lớp 4",INDEX('Lớp 4 - Danh mục'!$L$14:$L$132,$T392),INDEX('Lớp 3 - Công việc chính'!$K$14:$K$73,$T392))))</f>
        <v>#REF!</v>
      </c>
      <c r="G392" s="691" t="str">
        <f t="array" ref="G392">IF($S392="","",IF($S392="Lớp 5",INDEX('Lớp 5 - Phân công'!$N$14:$N$262,$T392),IF($S392="Lớp 4",INDEX('Lớp 4 - Danh mục'!$M$14:$M$132,$T392),INDEX('Lớp 3 - Công việc chính'!$L$14:$L$73,$T392))))</f>
        <v>#REF!</v>
      </c>
      <c r="H392" s="692" t="str">
        <f t="array" ref="H392">IF($S392="","",IF($S392="Lớp 5",INDEX('Lớp 5 - Phân công'!$O$14:$O$262,$T392),IF($S392="Lớp 4",INDEX('Lớp 4 - Danh mục'!$N$14:$N$132,$T392),INDEX('Lớp 3 - Công việc chính'!$M$14:$M$73,$T392))))</f>
        <v>#REF!</v>
      </c>
      <c r="I392" s="692" t="str">
        <f t="array" ref="I392">IF($S392="","",IF($S392="Lớp 5",INDEX('Lớp 5 - Phân công'!$P$14:$P$262,$T392),IF($S392="Lớp 4",INDEX('Lớp 4 - Danh mục'!$O$14:$O$132,$T392),"")))</f>
        <v>#REF!</v>
      </c>
      <c r="J392" s="693" t="str">
        <f t="array" ref="J392">IF($S392="","",IF($S392="Lớp 5",INDEX('Lớp 5 - Phân công'!$Q$14:$Q$262,$T392),""))</f>
        <v>#REF!</v>
      </c>
      <c r="K392" s="690" t="str">
        <f t="array" ref="K392">IF($S392="","",IF($S392="Lớp 5",INDEX('Lớp 5 - Phân công'!$AA$14:$AA$262,$T392),IF($S392="Lớp 4",INDEX('Lớp 4 - Danh mục'!$Y$14:$Y$132,$T392),INDEX('Lớp 3 - Công việc chính'!$U$14:$U$73,$T392))))</f>
        <v>#REF!</v>
      </c>
      <c r="L392" s="691" t="str">
        <f t="array" ref="L392">IF($S392="","",IF($S392="Lớp 5",INDEX('Lớp 5 - Phân công'!$Z$14:$Z$262,$T392),IF($S392="Lớp 4",INDEX('Lớp 4 - Danh mục'!$X$14:$X$132,$T392),INDEX('Lớp 3 - Công việc chính'!$W$14:$W$73,$T392))))</f>
        <v>#REF!</v>
      </c>
      <c r="M392" s="694" t="str">
        <f t="array" ref="M392">IF($S392="","",IF($S392="Lớp 5",INDEX('Lớp 5 - Phân công'!$AD$14:$AD$262,$T392),IF($S392="Lớp 4",INDEX('Lớp 4 - Danh mục'!$AC$14:$AC$132,$T392),INDEX('Lớp 3 - Công việc chính'!$Z$14:$Z$73,$T392))))</f>
        <v>#REF!</v>
      </c>
      <c r="N392" s="695" t="str">
        <f t="array" ref="N392">IF($S392="","",IF($S392="Lớp 5",INDEX('Lớp 5 - Phân công'!$AE$14:$AE$262,$T392),IF($S392="Lớp 4",INDEX('Lớp 4 - Danh mục'!$AD$14:$AD$132,$T392),INDEX('Lớp 3 - Công việc chính'!$AA$14:$AA$73,$T392))))</f>
        <v>#REF!</v>
      </c>
      <c r="O392" s="690" t="str">
        <f t="array" ref="O392">IF($S392="","",IF($S392="Lớp 5",INDEX('Lớp 5 - Phân công'!$AB$14:$AB$262,$T392),IF($S392="Lớp 4",INDEX('Lớp 4 - Danh mục'!$AA$14:$AA$132,$T392),INDEX('Lớp 3 - Công việc chính'!$X$14:$X$73,$T392))))</f>
        <v>#REF!</v>
      </c>
      <c r="P392" s="703" t="str">
        <f t="array" ref="P392">IF($S392="","",IF($S392="Lớp 5",INDEX('Lớp 5 - Phân công'!$AC$14:$AC$262,$T392),IF($S392="Lớp 4",INDEX('Lớp 4 - Danh mục'!$AB$14:$AB$132,$T392),INDEX('Lớp 3 - Công việc chính'!$Y$14:$Y$73,$T392))))</f>
        <v>#REF!</v>
      </c>
      <c r="Q392" s="697" t="str">
        <f t="array" ref="Q392">IF($S392="","",IF($S392="Lớp 5",INDEX('Lớp 5 - Phân công'!$AG$14:$AG$262,$T392),IF($S392="Lớp 4",INDEX('Lớp 4 - Danh mục'!$AF$14:$AF$132,$T392),INDEX('Lớp 3 - Công việc chính'!$AC$14:$AC$73,$T392))))</f>
        <v>#REF!</v>
      </c>
      <c r="R392" s="698" t="str">
        <f t="array" ref="R392">IF($S392="","",IF($S392="Lớp 5",INDEX('Lớp 5 - Phân công'!$X$14:$X$262,$T392),IF($S392="Lớp 4",INDEX('Lớp 4 - Danh mục'!$V$14:$V$132,$T392),INDEX('Lớp 3 - Công việc chính'!$T$14:$T$73,$T392))))</f>
        <v>#REF!</v>
      </c>
      <c r="S392" s="699" t="str">
        <f>IF(ROWS($S$14:S392)&lt;=COUNTIF('Lớp 5 - Phân công'!$I$14:$I$262,"&lt;&gt;"),"Lớp 5",IF(ROWS($S$14:S392)&lt;=COUNTIF('Lớp 5 - Phân công'!$I$14:$I$262,"&lt;&gt;")+SUMPRODUCT(--('Lớp 4 - Danh mục'!$I$14:$I$132&lt;&gt;""),--(COUNTIF('Lớp 5 - Phân công'!$J$14:$J$262,'Lớp 4 - Danh mục'!$I$14:$I$132)=0)),"Lớp 4",IF(ROWS($S$14:S392)&lt;=COUNTIF('Lớp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2" s="699" t="str">
        <f t="array" ref="T392">IF(S392="","",IF(S392="Lớp 5",IF(S391&lt;&gt;"Lớp 5",MATCH("*",'Lớp 5 - Phân công'!$I$14:$I$262,0),T391+MATCH("*",INDEX('Lớp 5 - Phân công'!$I$14:$I$262,T391+1):'Lớp 5 - Phân công'!$I$262,0)),IF(S392="Lớp 4",IF(S391&lt;&gt;"Lớp 4",MATCH(1,INDEX(('Lớp 4 - Danh mục'!$I$14:$I$132&lt;&gt;"")*(COUNTIF('Lớp 5 - Phân công'!$J$14:$J$262,'Lớp 4 - Danh mục'!$I$14:$I$132)=0),0),0),T391+MATCH(1,INDEX((INDEX('Lớp 4 - Danh mục'!$I$14:$I$132,T391+1):'Lớp 4 - Danh mục'!$I$132&lt;&gt;"")*(COUNTIF('Lớp 5 - Phân công'!$J$14:$J$262,INDEX('Lớp 4 - Danh mục'!$I$14:$I$132,T391+1):'Lớp 4 - Danh mục'!$I$132)=0),0),0)),IF(S391&lt;&gt;"Lớp 3",MATCH(1,INDEX(('Lớp 3 - Công việc chính'!$I$14:$I$73&lt;&gt;"")*(COUNTIF('Lớp 4 - Danh mục'!$J$14:$J$132,'Lớp 3 - Công việc chính'!$I$14:$I$73)=0),0),0),T391+MATCH(1,INDEX((INDEX('Lớp 3 - Công việc chính'!$I$14:$I$73,T391+1):'Lớp 3 - Công việc chính'!$I$73&lt;&gt;"")*(COUNTIF('Lớp 4 - Danh mục'!$J$14:$J$132,INDEX('Lớp 3 - Công việc chính'!$I$14:$I$73,T391+1):'Lớp 3 - Công việc chính'!$I$73)=0),0),0)))))</f>
        <v>#REF!</v>
      </c>
      <c r="Z392" s="700" t="str">
        <f t="array" ref="Z392">IF($S392="","",IF($S392="Lớp 5",INDEX('Lớp 5 - Phân công'!$AS$14:$AS$262,$T392),IF($S392="Lớp 4",INDEX('Lớp 4 - Danh mục'!$AR$14:$AR$132,$T392),INDEX('Lớp 3 - Công việc chính'!$AO$14:$AO$73,$T392))))</f>
        <v>#REF!</v>
      </c>
      <c r="AA392" s="701" t="str">
        <f t="array" ref="AA392">IF($S392="","",IF($S392="Lớp 5",INDEX('Lớp 5 - Phân công'!$AT$14:$AT$262,$T392),IF($S392="Lớp 4",INDEX('Lớp 4 - Danh mục'!$AS$14:$AS$132,$T392),INDEX('Lớp 3 - Công việc chính'!$AP$14:$AP$73,$T392))))</f>
        <v>#REF!</v>
      </c>
      <c r="AB392" s="701" t="str">
        <f t="array" ref="AB392">IF($S392="","",IF($S392="Lớp 5",INDEX('Lớp 5 - Phân công'!$AJ$14:$AJ$262,$T392),IF($S392="Lớp 4",INDEX('Lớp 4 - Danh mục'!$AI$14:$AI$132,$T392),INDEX('Lớp 3 - Công việc chính'!$AF$14:$AF$73,$T392))))</f>
        <v>#REF!</v>
      </c>
      <c r="AC392" s="702" t="str">
        <f t="array" ref="AC392">IF($S392="","",IF($S392="Lớp 5",INDEX('Lớp 5 - Phân công'!$AV$14:$AV$262,$T392),IF($S392="Lớp 4",INDEX('Lớp 4 - Danh mục'!$AU$14:$AU$132,$T392),INDEX('Lớp 3 - Công việc chính'!$AR$14:$AR$73,$T392))))</f>
        <v>#REF!</v>
      </c>
    </row>
    <row r="393" ht="15.75" customHeight="1">
      <c r="A393" s="690" t="str">
        <f t="shared" si="1"/>
        <v>#REF!</v>
      </c>
      <c r="B393" s="690" t="str">
        <f t="array" ref="B393">IF($S393="","",IF($S393="Lớp 5",INDEX('Lớp 5 - Phân công'!$I$14:$I$262,$T393),IF($S393="Lớp 4",INDEX('Lớp 4 - Danh mục'!$I$14:$I$132,$T393),INDEX('Lớp 3 - Công việc chính'!$I$14:$I$73,$T393))))</f>
        <v>#REF!</v>
      </c>
      <c r="C393" s="690" t="str">
        <f t="array" ref="C393">IF($S393="","",IF($S393="Lớp 5",INDEX('Lớp 5 - Phân công'!$K$14:$K$262,$T393),IF($S393="Lớp 4",INDEX('Lớp 4 - Danh mục'!$J$14:$J$132,$T393),INDEX('Lớp 3 - Công việc chính'!$I$14:$I$73,$T393))))</f>
        <v>#REF!</v>
      </c>
      <c r="D393" s="690" t="str">
        <f t="array" ref="D393">IF($S393="","",IF($S393="Lớp 5",INDEX('Lớp 5 - Phân công'!$J$14:$J$262,$T393),IF($S393="Lớp 4",INDEX('Lớp 4 - Danh mục'!$I$14:$I$132,$T393),"")))</f>
        <v>#REF!</v>
      </c>
      <c r="E393" s="690" t="str">
        <f t="array" ref="E393">IF($S393="","",IF($S393="Lớp 5",INDEX('Lớp 5 - Phân công'!$L$14:$L$262,$T393),IF($S393="Lớp 4",INDEX('Lớp 4 - Danh mục'!$K$14:$K$132,$T393),INDEX('Lớp 3 - Công việc chính'!$J$14:$J$73,$T393))))</f>
        <v>#REF!</v>
      </c>
      <c r="F393" s="690" t="str">
        <f t="array" ref="F393">IF($S393="","",IF($S393="Lớp 5",INDEX('Lớp 5 - Phân công'!$M$14:$M$262,$T393),IF($S393="Lớp 4",INDEX('Lớp 4 - Danh mục'!$L$14:$L$132,$T393),INDEX('Lớp 3 - Công việc chính'!$K$14:$K$73,$T393))))</f>
        <v>#REF!</v>
      </c>
      <c r="G393" s="691" t="str">
        <f t="array" ref="G393">IF($S393="","",IF($S393="Lớp 5",INDEX('Lớp 5 - Phân công'!$N$14:$N$262,$T393),IF($S393="Lớp 4",INDEX('Lớp 4 - Danh mục'!$M$14:$M$132,$T393),INDEX('Lớp 3 - Công việc chính'!$L$14:$L$73,$T393))))</f>
        <v>#REF!</v>
      </c>
      <c r="H393" s="692" t="str">
        <f t="array" ref="H393">IF($S393="","",IF($S393="Lớp 5",INDEX('Lớp 5 - Phân công'!$O$14:$O$262,$T393),IF($S393="Lớp 4",INDEX('Lớp 4 - Danh mục'!$N$14:$N$132,$T393),INDEX('Lớp 3 - Công việc chính'!$M$14:$M$73,$T393))))</f>
        <v>#REF!</v>
      </c>
      <c r="I393" s="692" t="str">
        <f t="array" ref="I393">IF($S393="","",IF($S393="Lớp 5",INDEX('Lớp 5 - Phân công'!$P$14:$P$262,$T393),IF($S393="Lớp 4",INDEX('Lớp 4 - Danh mục'!$O$14:$O$132,$T393),"")))</f>
        <v>#REF!</v>
      </c>
      <c r="J393" s="693" t="str">
        <f t="array" ref="J393">IF($S393="","",IF($S393="Lớp 5",INDEX('Lớp 5 - Phân công'!$Q$14:$Q$262,$T393),""))</f>
        <v>#REF!</v>
      </c>
      <c r="K393" s="690" t="str">
        <f t="array" ref="K393">IF($S393="","",IF($S393="Lớp 5",INDEX('Lớp 5 - Phân công'!$AA$14:$AA$262,$T393),IF($S393="Lớp 4",INDEX('Lớp 4 - Danh mục'!$Y$14:$Y$132,$T393),INDEX('Lớp 3 - Công việc chính'!$U$14:$U$73,$T393))))</f>
        <v>#REF!</v>
      </c>
      <c r="L393" s="691" t="str">
        <f t="array" ref="L393">IF($S393="","",IF($S393="Lớp 5",INDEX('Lớp 5 - Phân công'!$Z$14:$Z$262,$T393),IF($S393="Lớp 4",INDEX('Lớp 4 - Danh mục'!$X$14:$X$132,$T393),INDEX('Lớp 3 - Công việc chính'!$W$14:$W$73,$T393))))</f>
        <v>#REF!</v>
      </c>
      <c r="M393" s="694" t="str">
        <f t="array" ref="M393">IF($S393="","",IF($S393="Lớp 5",INDEX('Lớp 5 - Phân công'!$AD$14:$AD$262,$T393),IF($S393="Lớp 4",INDEX('Lớp 4 - Danh mục'!$AC$14:$AC$132,$T393),INDEX('Lớp 3 - Công việc chính'!$Z$14:$Z$73,$T393))))</f>
        <v>#REF!</v>
      </c>
      <c r="N393" s="695" t="str">
        <f t="array" ref="N393">IF($S393="","",IF($S393="Lớp 5",INDEX('Lớp 5 - Phân công'!$AE$14:$AE$262,$T393),IF($S393="Lớp 4",INDEX('Lớp 4 - Danh mục'!$AD$14:$AD$132,$T393),INDEX('Lớp 3 - Công việc chính'!$AA$14:$AA$73,$T393))))</f>
        <v>#REF!</v>
      </c>
      <c r="O393" s="690" t="str">
        <f t="array" ref="O393">IF($S393="","",IF($S393="Lớp 5",INDEX('Lớp 5 - Phân công'!$AB$14:$AB$262,$T393),IF($S393="Lớp 4",INDEX('Lớp 4 - Danh mục'!$AA$14:$AA$132,$T393),INDEX('Lớp 3 - Công việc chính'!$X$14:$X$73,$T393))))</f>
        <v>#REF!</v>
      </c>
      <c r="P393" s="703" t="str">
        <f t="array" ref="P393">IF($S393="","",IF($S393="Lớp 5",INDEX('Lớp 5 - Phân công'!$AC$14:$AC$262,$T393),IF($S393="Lớp 4",INDEX('Lớp 4 - Danh mục'!$AB$14:$AB$132,$T393),INDEX('Lớp 3 - Công việc chính'!$Y$14:$Y$73,$T393))))</f>
        <v>#REF!</v>
      </c>
      <c r="Q393" s="697" t="str">
        <f t="array" ref="Q393">IF($S393="","",IF($S393="Lớp 5",INDEX('Lớp 5 - Phân công'!$AG$14:$AG$262,$T393),IF($S393="Lớp 4",INDEX('Lớp 4 - Danh mục'!$AF$14:$AF$132,$T393),INDEX('Lớp 3 - Công việc chính'!$AC$14:$AC$73,$T393))))</f>
        <v>#REF!</v>
      </c>
      <c r="R393" s="698" t="str">
        <f t="array" ref="R393">IF($S393="","",IF($S393="Lớp 5",INDEX('Lớp 5 - Phân công'!$X$14:$X$262,$T393),IF($S393="Lớp 4",INDEX('Lớp 4 - Danh mục'!$V$14:$V$132,$T393),INDEX('Lớp 3 - Công việc chính'!$T$14:$T$73,$T393))))</f>
        <v>#REF!</v>
      </c>
      <c r="S393" s="699" t="str">
        <f>IF(ROWS($S$14:S393)&lt;=COUNTIF('Lớp 5 - Phân công'!$I$14:$I$262,"&lt;&gt;"),"Lớp 5",IF(ROWS($S$14:S393)&lt;=COUNTIF('Lớp 5 - Phân công'!$I$14:$I$262,"&lt;&gt;")+SUMPRODUCT(--('Lớp 4 - Danh mục'!$I$14:$I$132&lt;&gt;""),--(COUNTIF('Lớp 5 - Phân công'!$J$14:$J$262,'Lớp 4 - Danh mục'!$I$14:$I$132)=0)),"Lớp 4",IF(ROWS($S$14:S393)&lt;=COUNTIF('Lớp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3" s="699" t="str">
        <f t="array" ref="T393">IF(S393="","",IF(S393="Lớp 5",IF(S392&lt;&gt;"Lớp 5",MATCH("*",'Lớp 5 - Phân công'!$I$14:$I$262,0),T392+MATCH("*",INDEX('Lớp 5 - Phân công'!$I$14:$I$262,T392+1):'Lớp 5 - Phân công'!$I$262,0)),IF(S393="Lớp 4",IF(S392&lt;&gt;"Lớp 4",MATCH(1,INDEX(('Lớp 4 - Danh mục'!$I$14:$I$132&lt;&gt;"")*(COUNTIF('Lớp 5 - Phân công'!$J$14:$J$262,'Lớp 4 - Danh mục'!$I$14:$I$132)=0),0),0),T392+MATCH(1,INDEX((INDEX('Lớp 4 - Danh mục'!$I$14:$I$132,T392+1):'Lớp 4 - Danh mục'!$I$132&lt;&gt;"")*(COUNTIF('Lớp 5 - Phân công'!$J$14:$J$262,INDEX('Lớp 4 - Danh mục'!$I$14:$I$132,T392+1):'Lớp 4 - Danh mục'!$I$132)=0),0),0)),IF(S392&lt;&gt;"Lớp 3",MATCH(1,INDEX(('Lớp 3 - Công việc chính'!$I$14:$I$73&lt;&gt;"")*(COUNTIF('Lớp 4 - Danh mục'!$J$14:$J$132,'Lớp 3 - Công việc chính'!$I$14:$I$73)=0),0),0),T392+MATCH(1,INDEX((INDEX('Lớp 3 - Công việc chính'!$I$14:$I$73,T392+1):'Lớp 3 - Công việc chính'!$I$73&lt;&gt;"")*(COUNTIF('Lớp 4 - Danh mục'!$J$14:$J$132,INDEX('Lớp 3 - Công việc chính'!$I$14:$I$73,T392+1):'Lớp 3 - Công việc chính'!$I$73)=0),0),0)))))</f>
        <v>#REF!</v>
      </c>
      <c r="Z393" s="700" t="str">
        <f t="array" ref="Z393">IF($S393="","",IF($S393="Lớp 5",INDEX('Lớp 5 - Phân công'!$AS$14:$AS$262,$T393),IF($S393="Lớp 4",INDEX('Lớp 4 - Danh mục'!$AR$14:$AR$132,$T393),INDEX('Lớp 3 - Công việc chính'!$AO$14:$AO$73,$T393))))</f>
        <v>#REF!</v>
      </c>
      <c r="AA393" s="701" t="str">
        <f t="array" ref="AA393">IF($S393="","",IF($S393="Lớp 5",INDEX('Lớp 5 - Phân công'!$AT$14:$AT$262,$T393),IF($S393="Lớp 4",INDEX('Lớp 4 - Danh mục'!$AS$14:$AS$132,$T393),INDEX('Lớp 3 - Công việc chính'!$AP$14:$AP$73,$T393))))</f>
        <v>#REF!</v>
      </c>
      <c r="AB393" s="701" t="str">
        <f t="array" ref="AB393">IF($S393="","",IF($S393="Lớp 5",INDEX('Lớp 5 - Phân công'!$AJ$14:$AJ$262,$T393),IF($S393="Lớp 4",INDEX('Lớp 4 - Danh mục'!$AI$14:$AI$132,$T393),INDEX('Lớp 3 - Công việc chính'!$AF$14:$AF$73,$T393))))</f>
        <v>#REF!</v>
      </c>
      <c r="AC393" s="702" t="str">
        <f t="array" ref="AC393">IF($S393="","",IF($S393="Lớp 5",INDEX('Lớp 5 - Phân công'!$AV$14:$AV$262,$T393),IF($S393="Lớp 4",INDEX('Lớp 4 - Danh mục'!$AU$14:$AU$132,$T393),INDEX('Lớp 3 - Công việc chính'!$AR$14:$AR$73,$T393))))</f>
        <v>#REF!</v>
      </c>
    </row>
    <row r="394" ht="15.75" customHeight="1">
      <c r="A394" s="690" t="str">
        <f t="shared" si="1"/>
        <v>#REF!</v>
      </c>
      <c r="B394" s="690" t="str">
        <f t="array" ref="B394">IF($S394="","",IF($S394="Lớp 5",INDEX('Lớp 5 - Phân công'!$I$14:$I$262,$T394),IF($S394="Lớp 4",INDEX('Lớp 4 - Danh mục'!$I$14:$I$132,$T394),INDEX('Lớp 3 - Công việc chính'!$I$14:$I$73,$T394))))</f>
        <v>#REF!</v>
      </c>
      <c r="C394" s="690" t="str">
        <f t="array" ref="C394">IF($S394="","",IF($S394="Lớp 5",INDEX('Lớp 5 - Phân công'!$K$14:$K$262,$T394),IF($S394="Lớp 4",INDEX('Lớp 4 - Danh mục'!$J$14:$J$132,$T394),INDEX('Lớp 3 - Công việc chính'!$I$14:$I$73,$T394))))</f>
        <v>#REF!</v>
      </c>
      <c r="D394" s="690" t="str">
        <f t="array" ref="D394">IF($S394="","",IF($S394="Lớp 5",INDEX('Lớp 5 - Phân công'!$J$14:$J$262,$T394),IF($S394="Lớp 4",INDEX('Lớp 4 - Danh mục'!$I$14:$I$132,$T394),"")))</f>
        <v>#REF!</v>
      </c>
      <c r="E394" s="690" t="str">
        <f t="array" ref="E394">IF($S394="","",IF($S394="Lớp 5",INDEX('Lớp 5 - Phân công'!$L$14:$L$262,$T394),IF($S394="Lớp 4",INDEX('Lớp 4 - Danh mục'!$K$14:$K$132,$T394),INDEX('Lớp 3 - Công việc chính'!$J$14:$J$73,$T394))))</f>
        <v>#REF!</v>
      </c>
      <c r="F394" s="690" t="str">
        <f t="array" ref="F394">IF($S394="","",IF($S394="Lớp 5",INDEX('Lớp 5 - Phân công'!$M$14:$M$262,$T394),IF($S394="Lớp 4",INDEX('Lớp 4 - Danh mục'!$L$14:$L$132,$T394),INDEX('Lớp 3 - Công việc chính'!$K$14:$K$73,$T394))))</f>
        <v>#REF!</v>
      </c>
      <c r="G394" s="691" t="str">
        <f t="array" ref="G394">IF($S394="","",IF($S394="Lớp 5",INDEX('Lớp 5 - Phân công'!$N$14:$N$262,$T394),IF($S394="Lớp 4",INDEX('Lớp 4 - Danh mục'!$M$14:$M$132,$T394),INDEX('Lớp 3 - Công việc chính'!$L$14:$L$73,$T394))))</f>
        <v>#REF!</v>
      </c>
      <c r="H394" s="692" t="str">
        <f t="array" ref="H394">IF($S394="","",IF($S394="Lớp 5",INDEX('Lớp 5 - Phân công'!$O$14:$O$262,$T394),IF($S394="Lớp 4",INDEX('Lớp 4 - Danh mục'!$N$14:$N$132,$T394),INDEX('Lớp 3 - Công việc chính'!$M$14:$M$73,$T394))))</f>
        <v>#REF!</v>
      </c>
      <c r="I394" s="692" t="str">
        <f t="array" ref="I394">IF($S394="","",IF($S394="Lớp 5",INDEX('Lớp 5 - Phân công'!$P$14:$P$262,$T394),IF($S394="Lớp 4",INDEX('Lớp 4 - Danh mục'!$O$14:$O$132,$T394),"")))</f>
        <v>#REF!</v>
      </c>
      <c r="J394" s="693" t="str">
        <f t="array" ref="J394">IF($S394="","",IF($S394="Lớp 5",INDEX('Lớp 5 - Phân công'!$Q$14:$Q$262,$T394),""))</f>
        <v>#REF!</v>
      </c>
      <c r="K394" s="690" t="str">
        <f t="array" ref="K394">IF($S394="","",IF($S394="Lớp 5",INDEX('Lớp 5 - Phân công'!$AA$14:$AA$262,$T394),IF($S394="Lớp 4",INDEX('Lớp 4 - Danh mục'!$Y$14:$Y$132,$T394),INDEX('Lớp 3 - Công việc chính'!$U$14:$U$73,$T394))))</f>
        <v>#REF!</v>
      </c>
      <c r="L394" s="691" t="str">
        <f t="array" ref="L394">IF($S394="","",IF($S394="Lớp 5",INDEX('Lớp 5 - Phân công'!$Z$14:$Z$262,$T394),IF($S394="Lớp 4",INDEX('Lớp 4 - Danh mục'!$X$14:$X$132,$T394),INDEX('Lớp 3 - Công việc chính'!$W$14:$W$73,$T394))))</f>
        <v>#REF!</v>
      </c>
      <c r="M394" s="694" t="str">
        <f t="array" ref="M394">IF($S394="","",IF($S394="Lớp 5",INDEX('Lớp 5 - Phân công'!$AD$14:$AD$262,$T394),IF($S394="Lớp 4",INDEX('Lớp 4 - Danh mục'!$AC$14:$AC$132,$T394),INDEX('Lớp 3 - Công việc chính'!$Z$14:$Z$73,$T394))))</f>
        <v>#REF!</v>
      </c>
      <c r="N394" s="695" t="str">
        <f t="array" ref="N394">IF($S394="","",IF($S394="Lớp 5",INDEX('Lớp 5 - Phân công'!$AE$14:$AE$262,$T394),IF($S394="Lớp 4",INDEX('Lớp 4 - Danh mục'!$AD$14:$AD$132,$T394),INDEX('Lớp 3 - Công việc chính'!$AA$14:$AA$73,$T394))))</f>
        <v>#REF!</v>
      </c>
      <c r="O394" s="690" t="str">
        <f t="array" ref="O394">IF($S394="","",IF($S394="Lớp 5",INDEX('Lớp 5 - Phân công'!$AB$14:$AB$262,$T394),IF($S394="Lớp 4",INDEX('Lớp 4 - Danh mục'!$AA$14:$AA$132,$T394),INDEX('Lớp 3 - Công việc chính'!$X$14:$X$73,$T394))))</f>
        <v>#REF!</v>
      </c>
      <c r="P394" s="703" t="str">
        <f t="array" ref="P394">IF($S394="","",IF($S394="Lớp 5",INDEX('Lớp 5 - Phân công'!$AC$14:$AC$262,$T394),IF($S394="Lớp 4",INDEX('Lớp 4 - Danh mục'!$AB$14:$AB$132,$T394),INDEX('Lớp 3 - Công việc chính'!$Y$14:$Y$73,$T394))))</f>
        <v>#REF!</v>
      </c>
      <c r="Q394" s="697" t="str">
        <f t="array" ref="Q394">IF($S394="","",IF($S394="Lớp 5",INDEX('Lớp 5 - Phân công'!$AG$14:$AG$262,$T394),IF($S394="Lớp 4",INDEX('Lớp 4 - Danh mục'!$AF$14:$AF$132,$T394),INDEX('Lớp 3 - Công việc chính'!$AC$14:$AC$73,$T394))))</f>
        <v>#REF!</v>
      </c>
      <c r="R394" s="698" t="str">
        <f t="array" ref="R394">IF($S394="","",IF($S394="Lớp 5",INDEX('Lớp 5 - Phân công'!$X$14:$X$262,$T394),IF($S394="Lớp 4",INDEX('Lớp 4 - Danh mục'!$V$14:$V$132,$T394),INDEX('Lớp 3 - Công việc chính'!$T$14:$T$73,$T394))))</f>
        <v>#REF!</v>
      </c>
      <c r="S394" s="699" t="str">
        <f>IF(ROWS($S$14:S394)&lt;=COUNTIF('Lớp 5 - Phân công'!$I$14:$I$262,"&lt;&gt;"),"Lớp 5",IF(ROWS($S$14:S394)&lt;=COUNTIF('Lớp 5 - Phân công'!$I$14:$I$262,"&lt;&gt;")+SUMPRODUCT(--('Lớp 4 - Danh mục'!$I$14:$I$132&lt;&gt;""),--(COUNTIF('Lớp 5 - Phân công'!$J$14:$J$262,'Lớp 4 - Danh mục'!$I$14:$I$132)=0)),"Lớp 4",IF(ROWS($S$14:S394)&lt;=COUNTIF('Lớp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4" s="699" t="str">
        <f t="array" ref="T394">IF(S394="","",IF(S394="Lớp 5",IF(S393&lt;&gt;"Lớp 5",MATCH("*",'Lớp 5 - Phân công'!$I$14:$I$262,0),T393+MATCH("*",INDEX('Lớp 5 - Phân công'!$I$14:$I$262,T393+1):'Lớp 5 - Phân công'!$I$262,0)),IF(S394="Lớp 4",IF(S393&lt;&gt;"Lớp 4",MATCH(1,INDEX(('Lớp 4 - Danh mục'!$I$14:$I$132&lt;&gt;"")*(COUNTIF('Lớp 5 - Phân công'!$J$14:$J$262,'Lớp 4 - Danh mục'!$I$14:$I$132)=0),0),0),T393+MATCH(1,INDEX((INDEX('Lớp 4 - Danh mục'!$I$14:$I$132,T393+1):'Lớp 4 - Danh mục'!$I$132&lt;&gt;"")*(COUNTIF('Lớp 5 - Phân công'!$J$14:$J$262,INDEX('Lớp 4 - Danh mục'!$I$14:$I$132,T393+1):'Lớp 4 - Danh mục'!$I$132)=0),0),0)),IF(S393&lt;&gt;"Lớp 3",MATCH(1,INDEX(('Lớp 3 - Công việc chính'!$I$14:$I$73&lt;&gt;"")*(COUNTIF('Lớp 4 - Danh mục'!$J$14:$J$132,'Lớp 3 - Công việc chính'!$I$14:$I$73)=0),0),0),T393+MATCH(1,INDEX((INDEX('Lớp 3 - Công việc chính'!$I$14:$I$73,T393+1):'Lớp 3 - Công việc chính'!$I$73&lt;&gt;"")*(COUNTIF('Lớp 4 - Danh mục'!$J$14:$J$132,INDEX('Lớp 3 - Công việc chính'!$I$14:$I$73,T393+1):'Lớp 3 - Công việc chính'!$I$73)=0),0),0)))))</f>
        <v>#REF!</v>
      </c>
      <c r="Z394" s="700" t="str">
        <f t="array" ref="Z394">IF($S394="","",IF($S394="Lớp 5",INDEX('Lớp 5 - Phân công'!$AS$14:$AS$262,$T394),IF($S394="Lớp 4",INDEX('Lớp 4 - Danh mục'!$AR$14:$AR$132,$T394),INDEX('Lớp 3 - Công việc chính'!$AO$14:$AO$73,$T394))))</f>
        <v>#REF!</v>
      </c>
      <c r="AA394" s="701" t="str">
        <f t="array" ref="AA394">IF($S394="","",IF($S394="Lớp 5",INDEX('Lớp 5 - Phân công'!$AT$14:$AT$262,$T394),IF($S394="Lớp 4",INDEX('Lớp 4 - Danh mục'!$AS$14:$AS$132,$T394),INDEX('Lớp 3 - Công việc chính'!$AP$14:$AP$73,$T394))))</f>
        <v>#REF!</v>
      </c>
      <c r="AB394" s="701" t="str">
        <f t="array" ref="AB394">IF($S394="","",IF($S394="Lớp 5",INDEX('Lớp 5 - Phân công'!$AJ$14:$AJ$262,$T394),IF($S394="Lớp 4",INDEX('Lớp 4 - Danh mục'!$AI$14:$AI$132,$T394),INDEX('Lớp 3 - Công việc chính'!$AF$14:$AF$73,$T394))))</f>
        <v>#REF!</v>
      </c>
      <c r="AC394" s="702" t="str">
        <f t="array" ref="AC394">IF($S394="","",IF($S394="Lớp 5",INDEX('Lớp 5 - Phân công'!$AV$14:$AV$262,$T394),IF($S394="Lớp 4",INDEX('Lớp 4 - Danh mục'!$AU$14:$AU$132,$T394),INDEX('Lớp 3 - Công việc chính'!$AR$14:$AR$73,$T394))))</f>
        <v>#REF!</v>
      </c>
    </row>
    <row r="395" ht="15.75" customHeight="1">
      <c r="A395" s="690" t="str">
        <f t="shared" si="1"/>
        <v>#REF!</v>
      </c>
      <c r="B395" s="690" t="str">
        <f t="array" ref="B395">IF($S395="","",IF($S395="Lớp 5",INDEX('Lớp 5 - Phân công'!$I$14:$I$262,$T395),IF($S395="Lớp 4",INDEX('Lớp 4 - Danh mục'!$I$14:$I$132,$T395),INDEX('Lớp 3 - Công việc chính'!$I$14:$I$73,$T395))))</f>
        <v>#REF!</v>
      </c>
      <c r="C395" s="690" t="str">
        <f t="array" ref="C395">IF($S395="","",IF($S395="Lớp 5",INDEX('Lớp 5 - Phân công'!$K$14:$K$262,$T395),IF($S395="Lớp 4",INDEX('Lớp 4 - Danh mục'!$J$14:$J$132,$T395),INDEX('Lớp 3 - Công việc chính'!$I$14:$I$73,$T395))))</f>
        <v>#REF!</v>
      </c>
      <c r="D395" s="690" t="str">
        <f t="array" ref="D395">IF($S395="","",IF($S395="Lớp 5",INDEX('Lớp 5 - Phân công'!$J$14:$J$262,$T395),IF($S395="Lớp 4",INDEX('Lớp 4 - Danh mục'!$I$14:$I$132,$T395),"")))</f>
        <v>#REF!</v>
      </c>
      <c r="E395" s="690" t="str">
        <f t="array" ref="E395">IF($S395="","",IF($S395="Lớp 5",INDEX('Lớp 5 - Phân công'!$L$14:$L$262,$T395),IF($S395="Lớp 4",INDEX('Lớp 4 - Danh mục'!$K$14:$K$132,$T395),INDEX('Lớp 3 - Công việc chính'!$J$14:$J$73,$T395))))</f>
        <v>#REF!</v>
      </c>
      <c r="F395" s="690" t="str">
        <f t="array" ref="F395">IF($S395="","",IF($S395="Lớp 5",INDEX('Lớp 5 - Phân công'!$M$14:$M$262,$T395),IF($S395="Lớp 4",INDEX('Lớp 4 - Danh mục'!$L$14:$L$132,$T395),INDEX('Lớp 3 - Công việc chính'!$K$14:$K$73,$T395))))</f>
        <v>#REF!</v>
      </c>
      <c r="G395" s="691" t="str">
        <f t="array" ref="G395">IF($S395="","",IF($S395="Lớp 5",INDEX('Lớp 5 - Phân công'!$N$14:$N$262,$T395),IF($S395="Lớp 4",INDEX('Lớp 4 - Danh mục'!$M$14:$M$132,$T395),INDEX('Lớp 3 - Công việc chính'!$L$14:$L$73,$T395))))</f>
        <v>#REF!</v>
      </c>
      <c r="H395" s="692" t="str">
        <f t="array" ref="H395">IF($S395="","",IF($S395="Lớp 5",INDEX('Lớp 5 - Phân công'!$O$14:$O$262,$T395),IF($S395="Lớp 4",INDEX('Lớp 4 - Danh mục'!$N$14:$N$132,$T395),INDEX('Lớp 3 - Công việc chính'!$M$14:$M$73,$T395))))</f>
        <v>#REF!</v>
      </c>
      <c r="I395" s="692" t="str">
        <f t="array" ref="I395">IF($S395="","",IF($S395="Lớp 5",INDEX('Lớp 5 - Phân công'!$P$14:$P$262,$T395),IF($S395="Lớp 4",INDEX('Lớp 4 - Danh mục'!$O$14:$O$132,$T395),"")))</f>
        <v>#REF!</v>
      </c>
      <c r="J395" s="693" t="str">
        <f t="array" ref="J395">IF($S395="","",IF($S395="Lớp 5",INDEX('Lớp 5 - Phân công'!$Q$14:$Q$262,$T395),""))</f>
        <v>#REF!</v>
      </c>
      <c r="K395" s="690" t="str">
        <f t="array" ref="K395">IF($S395="","",IF($S395="Lớp 5",INDEX('Lớp 5 - Phân công'!$AA$14:$AA$262,$T395),IF($S395="Lớp 4",INDEX('Lớp 4 - Danh mục'!$Y$14:$Y$132,$T395),INDEX('Lớp 3 - Công việc chính'!$U$14:$U$73,$T395))))</f>
        <v>#REF!</v>
      </c>
      <c r="L395" s="691" t="str">
        <f t="array" ref="L395">IF($S395="","",IF($S395="Lớp 5",INDEX('Lớp 5 - Phân công'!$Z$14:$Z$262,$T395),IF($S395="Lớp 4",INDEX('Lớp 4 - Danh mục'!$X$14:$X$132,$T395),INDEX('Lớp 3 - Công việc chính'!$W$14:$W$73,$T395))))</f>
        <v>#REF!</v>
      </c>
      <c r="M395" s="694" t="str">
        <f t="array" ref="M395">IF($S395="","",IF($S395="Lớp 5",INDEX('Lớp 5 - Phân công'!$AD$14:$AD$262,$T395),IF($S395="Lớp 4",INDEX('Lớp 4 - Danh mục'!$AC$14:$AC$132,$T395),INDEX('Lớp 3 - Công việc chính'!$Z$14:$Z$73,$T395))))</f>
        <v>#REF!</v>
      </c>
      <c r="N395" s="695" t="str">
        <f t="array" ref="N395">IF($S395="","",IF($S395="Lớp 5",INDEX('Lớp 5 - Phân công'!$AE$14:$AE$262,$T395),IF($S395="Lớp 4",INDEX('Lớp 4 - Danh mục'!$AD$14:$AD$132,$T395),INDEX('Lớp 3 - Công việc chính'!$AA$14:$AA$73,$T395))))</f>
        <v>#REF!</v>
      </c>
      <c r="O395" s="690" t="str">
        <f t="array" ref="O395">IF($S395="","",IF($S395="Lớp 5",INDEX('Lớp 5 - Phân công'!$AB$14:$AB$262,$T395),IF($S395="Lớp 4",INDEX('Lớp 4 - Danh mục'!$AA$14:$AA$132,$T395),INDEX('Lớp 3 - Công việc chính'!$X$14:$X$73,$T395))))</f>
        <v>#REF!</v>
      </c>
      <c r="P395" s="703" t="str">
        <f t="array" ref="P395">IF($S395="","",IF($S395="Lớp 5",INDEX('Lớp 5 - Phân công'!$AC$14:$AC$262,$T395),IF($S395="Lớp 4",INDEX('Lớp 4 - Danh mục'!$AB$14:$AB$132,$T395),INDEX('Lớp 3 - Công việc chính'!$Y$14:$Y$73,$T395))))</f>
        <v>#REF!</v>
      </c>
      <c r="Q395" s="697" t="str">
        <f t="array" ref="Q395">IF($S395="","",IF($S395="Lớp 5",INDEX('Lớp 5 - Phân công'!$AG$14:$AG$262,$T395),IF($S395="Lớp 4",INDEX('Lớp 4 - Danh mục'!$AF$14:$AF$132,$T395),INDEX('Lớp 3 - Công việc chính'!$AC$14:$AC$73,$T395))))</f>
        <v>#REF!</v>
      </c>
      <c r="R395" s="698" t="str">
        <f t="array" ref="R395">IF($S395="","",IF($S395="Lớp 5",INDEX('Lớp 5 - Phân công'!$X$14:$X$262,$T395),IF($S395="Lớp 4",INDEX('Lớp 4 - Danh mục'!$V$14:$V$132,$T395),INDEX('Lớp 3 - Công việc chính'!$T$14:$T$73,$T395))))</f>
        <v>#REF!</v>
      </c>
      <c r="S395" s="699" t="str">
        <f>IF(ROWS($S$14:S395)&lt;=COUNTIF('Lớp 5 - Phân công'!$I$14:$I$262,"&lt;&gt;"),"Lớp 5",IF(ROWS($S$14:S395)&lt;=COUNTIF('Lớp 5 - Phân công'!$I$14:$I$262,"&lt;&gt;")+SUMPRODUCT(--('Lớp 4 - Danh mục'!$I$14:$I$132&lt;&gt;""),--(COUNTIF('Lớp 5 - Phân công'!$J$14:$J$262,'Lớp 4 - Danh mục'!$I$14:$I$132)=0)),"Lớp 4",IF(ROWS($S$14:S395)&lt;=COUNTIF('Lớp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5" s="699" t="str">
        <f t="array" ref="T395">IF(S395="","",IF(S395="Lớp 5",IF(S394&lt;&gt;"Lớp 5",MATCH("*",'Lớp 5 - Phân công'!$I$14:$I$262,0),T394+MATCH("*",INDEX('Lớp 5 - Phân công'!$I$14:$I$262,T394+1):'Lớp 5 - Phân công'!$I$262,0)),IF(S395="Lớp 4",IF(S394&lt;&gt;"Lớp 4",MATCH(1,INDEX(('Lớp 4 - Danh mục'!$I$14:$I$132&lt;&gt;"")*(COUNTIF('Lớp 5 - Phân công'!$J$14:$J$262,'Lớp 4 - Danh mục'!$I$14:$I$132)=0),0),0),T394+MATCH(1,INDEX((INDEX('Lớp 4 - Danh mục'!$I$14:$I$132,T394+1):'Lớp 4 - Danh mục'!$I$132&lt;&gt;"")*(COUNTIF('Lớp 5 - Phân công'!$J$14:$J$262,INDEX('Lớp 4 - Danh mục'!$I$14:$I$132,T394+1):'Lớp 4 - Danh mục'!$I$132)=0),0),0)),IF(S394&lt;&gt;"Lớp 3",MATCH(1,INDEX(('Lớp 3 - Công việc chính'!$I$14:$I$73&lt;&gt;"")*(COUNTIF('Lớp 4 - Danh mục'!$J$14:$J$132,'Lớp 3 - Công việc chính'!$I$14:$I$73)=0),0),0),T394+MATCH(1,INDEX((INDEX('Lớp 3 - Công việc chính'!$I$14:$I$73,T394+1):'Lớp 3 - Công việc chính'!$I$73&lt;&gt;"")*(COUNTIF('Lớp 4 - Danh mục'!$J$14:$J$132,INDEX('Lớp 3 - Công việc chính'!$I$14:$I$73,T394+1):'Lớp 3 - Công việc chính'!$I$73)=0),0),0)))))</f>
        <v>#REF!</v>
      </c>
      <c r="Z395" s="700" t="str">
        <f t="array" ref="Z395">IF($S395="","",IF($S395="Lớp 5",INDEX('Lớp 5 - Phân công'!$AS$14:$AS$262,$T395),IF($S395="Lớp 4",INDEX('Lớp 4 - Danh mục'!$AR$14:$AR$132,$T395),INDEX('Lớp 3 - Công việc chính'!$AO$14:$AO$73,$T395))))</f>
        <v>#REF!</v>
      </c>
      <c r="AA395" s="701" t="str">
        <f t="array" ref="AA395">IF($S395="","",IF($S395="Lớp 5",INDEX('Lớp 5 - Phân công'!$AT$14:$AT$262,$T395),IF($S395="Lớp 4",INDEX('Lớp 4 - Danh mục'!$AS$14:$AS$132,$T395),INDEX('Lớp 3 - Công việc chính'!$AP$14:$AP$73,$T395))))</f>
        <v>#REF!</v>
      </c>
      <c r="AB395" s="701" t="str">
        <f t="array" ref="AB395">IF($S395="","",IF($S395="Lớp 5",INDEX('Lớp 5 - Phân công'!$AJ$14:$AJ$262,$T395),IF($S395="Lớp 4",INDEX('Lớp 4 - Danh mục'!$AI$14:$AI$132,$T395),INDEX('Lớp 3 - Công việc chính'!$AF$14:$AF$73,$T395))))</f>
        <v>#REF!</v>
      </c>
      <c r="AC395" s="702" t="str">
        <f t="array" ref="AC395">IF($S395="","",IF($S395="Lớp 5",INDEX('Lớp 5 - Phân công'!$AV$14:$AV$262,$T395),IF($S395="Lớp 4",INDEX('Lớp 4 - Danh mục'!$AU$14:$AU$132,$T395),INDEX('Lớp 3 - Công việc chính'!$AR$14:$AR$73,$T395))))</f>
        <v>#REF!</v>
      </c>
    </row>
    <row r="396" ht="15.75" customHeight="1">
      <c r="A396" s="690" t="str">
        <f t="shared" si="1"/>
        <v>#REF!</v>
      </c>
      <c r="B396" s="690" t="str">
        <f t="array" ref="B396">IF($S396="","",IF($S396="Lớp 5",INDEX('Lớp 5 - Phân công'!$I$14:$I$262,$T396),IF($S396="Lớp 4",INDEX('Lớp 4 - Danh mục'!$I$14:$I$132,$T396),INDEX('Lớp 3 - Công việc chính'!$I$14:$I$73,$T396))))</f>
        <v>#REF!</v>
      </c>
      <c r="C396" s="690" t="str">
        <f t="array" ref="C396">IF($S396="","",IF($S396="Lớp 5",INDEX('Lớp 5 - Phân công'!$K$14:$K$262,$T396),IF($S396="Lớp 4",INDEX('Lớp 4 - Danh mục'!$J$14:$J$132,$T396),INDEX('Lớp 3 - Công việc chính'!$I$14:$I$73,$T396))))</f>
        <v>#REF!</v>
      </c>
      <c r="D396" s="690" t="str">
        <f t="array" ref="D396">IF($S396="","",IF($S396="Lớp 5",INDEX('Lớp 5 - Phân công'!$J$14:$J$262,$T396),IF($S396="Lớp 4",INDEX('Lớp 4 - Danh mục'!$I$14:$I$132,$T396),"")))</f>
        <v>#REF!</v>
      </c>
      <c r="E396" s="690" t="str">
        <f t="array" ref="E396">IF($S396="","",IF($S396="Lớp 5",INDEX('Lớp 5 - Phân công'!$L$14:$L$262,$T396),IF($S396="Lớp 4",INDEX('Lớp 4 - Danh mục'!$K$14:$K$132,$T396),INDEX('Lớp 3 - Công việc chính'!$J$14:$J$73,$T396))))</f>
        <v>#REF!</v>
      </c>
      <c r="F396" s="690" t="str">
        <f t="array" ref="F396">IF($S396="","",IF($S396="Lớp 5",INDEX('Lớp 5 - Phân công'!$M$14:$M$262,$T396),IF($S396="Lớp 4",INDEX('Lớp 4 - Danh mục'!$L$14:$L$132,$T396),INDEX('Lớp 3 - Công việc chính'!$K$14:$K$73,$T396))))</f>
        <v>#REF!</v>
      </c>
      <c r="G396" s="691" t="str">
        <f t="array" ref="G396">IF($S396="","",IF($S396="Lớp 5",INDEX('Lớp 5 - Phân công'!$N$14:$N$262,$T396),IF($S396="Lớp 4",INDEX('Lớp 4 - Danh mục'!$M$14:$M$132,$T396),INDEX('Lớp 3 - Công việc chính'!$L$14:$L$73,$T396))))</f>
        <v>#REF!</v>
      </c>
      <c r="H396" s="692" t="str">
        <f t="array" ref="H396">IF($S396="","",IF($S396="Lớp 5",INDEX('Lớp 5 - Phân công'!$O$14:$O$262,$T396),IF($S396="Lớp 4",INDEX('Lớp 4 - Danh mục'!$N$14:$N$132,$T396),INDEX('Lớp 3 - Công việc chính'!$M$14:$M$73,$T396))))</f>
        <v>#REF!</v>
      </c>
      <c r="I396" s="692" t="str">
        <f t="array" ref="I396">IF($S396="","",IF($S396="Lớp 5",INDEX('Lớp 5 - Phân công'!$P$14:$P$262,$T396),IF($S396="Lớp 4",INDEX('Lớp 4 - Danh mục'!$O$14:$O$132,$T396),"")))</f>
        <v>#REF!</v>
      </c>
      <c r="J396" s="693" t="str">
        <f t="array" ref="J396">IF($S396="","",IF($S396="Lớp 5",INDEX('Lớp 5 - Phân công'!$Q$14:$Q$262,$T396),""))</f>
        <v>#REF!</v>
      </c>
      <c r="K396" s="690" t="str">
        <f t="array" ref="K396">IF($S396="","",IF($S396="Lớp 5",INDEX('Lớp 5 - Phân công'!$AA$14:$AA$262,$T396),IF($S396="Lớp 4",INDEX('Lớp 4 - Danh mục'!$Y$14:$Y$132,$T396),INDEX('Lớp 3 - Công việc chính'!$U$14:$U$73,$T396))))</f>
        <v>#REF!</v>
      </c>
      <c r="L396" s="691" t="str">
        <f t="array" ref="L396">IF($S396="","",IF($S396="Lớp 5",INDEX('Lớp 5 - Phân công'!$Z$14:$Z$262,$T396),IF($S396="Lớp 4",INDEX('Lớp 4 - Danh mục'!$X$14:$X$132,$T396),INDEX('Lớp 3 - Công việc chính'!$W$14:$W$73,$T396))))</f>
        <v>#REF!</v>
      </c>
      <c r="M396" s="694" t="str">
        <f t="array" ref="M396">IF($S396="","",IF($S396="Lớp 5",INDEX('Lớp 5 - Phân công'!$AD$14:$AD$262,$T396),IF($S396="Lớp 4",INDEX('Lớp 4 - Danh mục'!$AC$14:$AC$132,$T396),INDEX('Lớp 3 - Công việc chính'!$Z$14:$Z$73,$T396))))</f>
        <v>#REF!</v>
      </c>
      <c r="N396" s="695" t="str">
        <f t="array" ref="N396">IF($S396="","",IF($S396="Lớp 5",INDEX('Lớp 5 - Phân công'!$AE$14:$AE$262,$T396),IF($S396="Lớp 4",INDEX('Lớp 4 - Danh mục'!$AD$14:$AD$132,$T396),INDEX('Lớp 3 - Công việc chính'!$AA$14:$AA$73,$T396))))</f>
        <v>#REF!</v>
      </c>
      <c r="O396" s="690" t="str">
        <f t="array" ref="O396">IF($S396="","",IF($S396="Lớp 5",INDEX('Lớp 5 - Phân công'!$AB$14:$AB$262,$T396),IF($S396="Lớp 4",INDEX('Lớp 4 - Danh mục'!$AA$14:$AA$132,$T396),INDEX('Lớp 3 - Công việc chính'!$X$14:$X$73,$T396))))</f>
        <v>#REF!</v>
      </c>
      <c r="P396" s="703" t="str">
        <f t="array" ref="P396">IF($S396="","",IF($S396="Lớp 5",INDEX('Lớp 5 - Phân công'!$AC$14:$AC$262,$T396),IF($S396="Lớp 4",INDEX('Lớp 4 - Danh mục'!$AB$14:$AB$132,$T396),INDEX('Lớp 3 - Công việc chính'!$Y$14:$Y$73,$T396))))</f>
        <v>#REF!</v>
      </c>
      <c r="Q396" s="697" t="str">
        <f t="array" ref="Q396">IF($S396="","",IF($S396="Lớp 5",INDEX('Lớp 5 - Phân công'!$AG$14:$AG$262,$T396),IF($S396="Lớp 4",INDEX('Lớp 4 - Danh mục'!$AF$14:$AF$132,$T396),INDEX('Lớp 3 - Công việc chính'!$AC$14:$AC$73,$T396))))</f>
        <v>#REF!</v>
      </c>
      <c r="R396" s="698" t="str">
        <f t="array" ref="R396">IF($S396="","",IF($S396="Lớp 5",INDEX('Lớp 5 - Phân công'!$X$14:$X$262,$T396),IF($S396="Lớp 4",INDEX('Lớp 4 - Danh mục'!$V$14:$V$132,$T396),INDEX('Lớp 3 - Công việc chính'!$T$14:$T$73,$T396))))</f>
        <v>#REF!</v>
      </c>
      <c r="S396" s="699" t="str">
        <f>IF(ROWS($S$14:S396)&lt;=COUNTIF('Lớp 5 - Phân công'!$I$14:$I$262,"&lt;&gt;"),"Lớp 5",IF(ROWS($S$14:S396)&lt;=COUNTIF('Lớp 5 - Phân công'!$I$14:$I$262,"&lt;&gt;")+SUMPRODUCT(--('Lớp 4 - Danh mục'!$I$14:$I$132&lt;&gt;""),--(COUNTIF('Lớp 5 - Phân công'!$J$14:$J$262,'Lớp 4 - Danh mục'!$I$14:$I$132)=0)),"Lớp 4",IF(ROWS($S$14:S396)&lt;=COUNTIF('Lớp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6" s="699" t="str">
        <f t="array" ref="T396">IF(S396="","",IF(S396="Lớp 5",IF(S395&lt;&gt;"Lớp 5",MATCH("*",'Lớp 5 - Phân công'!$I$14:$I$262,0),T395+MATCH("*",INDEX('Lớp 5 - Phân công'!$I$14:$I$262,T395+1):'Lớp 5 - Phân công'!$I$262,0)),IF(S396="Lớp 4",IF(S395&lt;&gt;"Lớp 4",MATCH(1,INDEX(('Lớp 4 - Danh mục'!$I$14:$I$132&lt;&gt;"")*(COUNTIF('Lớp 5 - Phân công'!$J$14:$J$262,'Lớp 4 - Danh mục'!$I$14:$I$132)=0),0),0),T395+MATCH(1,INDEX((INDEX('Lớp 4 - Danh mục'!$I$14:$I$132,T395+1):'Lớp 4 - Danh mục'!$I$132&lt;&gt;"")*(COUNTIF('Lớp 5 - Phân công'!$J$14:$J$262,INDEX('Lớp 4 - Danh mục'!$I$14:$I$132,T395+1):'Lớp 4 - Danh mục'!$I$132)=0),0),0)),IF(S395&lt;&gt;"Lớp 3",MATCH(1,INDEX(('Lớp 3 - Công việc chính'!$I$14:$I$73&lt;&gt;"")*(COUNTIF('Lớp 4 - Danh mục'!$J$14:$J$132,'Lớp 3 - Công việc chính'!$I$14:$I$73)=0),0),0),T395+MATCH(1,INDEX((INDEX('Lớp 3 - Công việc chính'!$I$14:$I$73,T395+1):'Lớp 3 - Công việc chính'!$I$73&lt;&gt;"")*(COUNTIF('Lớp 4 - Danh mục'!$J$14:$J$132,INDEX('Lớp 3 - Công việc chính'!$I$14:$I$73,T395+1):'Lớp 3 - Công việc chính'!$I$73)=0),0),0)))))</f>
        <v>#REF!</v>
      </c>
      <c r="Z396" s="700" t="str">
        <f t="array" ref="Z396">IF($S396="","",IF($S396="Lớp 5",INDEX('Lớp 5 - Phân công'!$AS$14:$AS$262,$T396),IF($S396="Lớp 4",INDEX('Lớp 4 - Danh mục'!$AR$14:$AR$132,$T396),INDEX('Lớp 3 - Công việc chính'!$AO$14:$AO$73,$T396))))</f>
        <v>#REF!</v>
      </c>
      <c r="AA396" s="701" t="str">
        <f t="array" ref="AA396">IF($S396="","",IF($S396="Lớp 5",INDEX('Lớp 5 - Phân công'!$AT$14:$AT$262,$T396),IF($S396="Lớp 4",INDEX('Lớp 4 - Danh mục'!$AS$14:$AS$132,$T396),INDEX('Lớp 3 - Công việc chính'!$AP$14:$AP$73,$T396))))</f>
        <v>#REF!</v>
      </c>
      <c r="AB396" s="701" t="str">
        <f t="array" ref="AB396">IF($S396="","",IF($S396="Lớp 5",INDEX('Lớp 5 - Phân công'!$AJ$14:$AJ$262,$T396),IF($S396="Lớp 4",INDEX('Lớp 4 - Danh mục'!$AI$14:$AI$132,$T396),INDEX('Lớp 3 - Công việc chính'!$AF$14:$AF$73,$T396))))</f>
        <v>#REF!</v>
      </c>
      <c r="AC396" s="702" t="str">
        <f t="array" ref="AC396">IF($S396="","",IF($S396="Lớp 5",INDEX('Lớp 5 - Phân công'!$AV$14:$AV$262,$T396),IF($S396="Lớp 4",INDEX('Lớp 4 - Danh mục'!$AU$14:$AU$132,$T396),INDEX('Lớp 3 - Công việc chính'!$AR$14:$AR$73,$T396))))</f>
        <v>#REF!</v>
      </c>
    </row>
    <row r="397" ht="15.75" customHeight="1">
      <c r="A397" s="690" t="str">
        <f t="shared" si="1"/>
        <v>#REF!</v>
      </c>
      <c r="B397" s="690" t="str">
        <f t="array" ref="B397">IF($S397="","",IF($S397="Lớp 5",INDEX('Lớp 5 - Phân công'!$I$14:$I$262,$T397),IF($S397="Lớp 4",INDEX('Lớp 4 - Danh mục'!$I$14:$I$132,$T397),INDEX('Lớp 3 - Công việc chính'!$I$14:$I$73,$T397))))</f>
        <v>#REF!</v>
      </c>
      <c r="C397" s="690" t="str">
        <f t="array" ref="C397">IF($S397="","",IF($S397="Lớp 5",INDEX('Lớp 5 - Phân công'!$K$14:$K$262,$T397),IF($S397="Lớp 4",INDEX('Lớp 4 - Danh mục'!$J$14:$J$132,$T397),INDEX('Lớp 3 - Công việc chính'!$I$14:$I$73,$T397))))</f>
        <v>#REF!</v>
      </c>
      <c r="D397" s="690" t="str">
        <f t="array" ref="D397">IF($S397="","",IF($S397="Lớp 5",INDEX('Lớp 5 - Phân công'!$J$14:$J$262,$T397),IF($S397="Lớp 4",INDEX('Lớp 4 - Danh mục'!$I$14:$I$132,$T397),"")))</f>
        <v>#REF!</v>
      </c>
      <c r="E397" s="690" t="str">
        <f t="array" ref="E397">IF($S397="","",IF($S397="Lớp 5",INDEX('Lớp 5 - Phân công'!$L$14:$L$262,$T397),IF($S397="Lớp 4",INDEX('Lớp 4 - Danh mục'!$K$14:$K$132,$T397),INDEX('Lớp 3 - Công việc chính'!$J$14:$J$73,$T397))))</f>
        <v>#REF!</v>
      </c>
      <c r="F397" s="690" t="str">
        <f t="array" ref="F397">IF($S397="","",IF($S397="Lớp 5",INDEX('Lớp 5 - Phân công'!$M$14:$M$262,$T397),IF($S397="Lớp 4",INDEX('Lớp 4 - Danh mục'!$L$14:$L$132,$T397),INDEX('Lớp 3 - Công việc chính'!$K$14:$K$73,$T397))))</f>
        <v>#REF!</v>
      </c>
      <c r="G397" s="691" t="str">
        <f t="array" ref="G397">IF($S397="","",IF($S397="Lớp 5",INDEX('Lớp 5 - Phân công'!$N$14:$N$262,$T397),IF($S397="Lớp 4",INDEX('Lớp 4 - Danh mục'!$M$14:$M$132,$T397),INDEX('Lớp 3 - Công việc chính'!$L$14:$L$73,$T397))))</f>
        <v>#REF!</v>
      </c>
      <c r="H397" s="692" t="str">
        <f t="array" ref="H397">IF($S397="","",IF($S397="Lớp 5",INDEX('Lớp 5 - Phân công'!$O$14:$O$262,$T397),IF($S397="Lớp 4",INDEX('Lớp 4 - Danh mục'!$N$14:$N$132,$T397),INDEX('Lớp 3 - Công việc chính'!$M$14:$M$73,$T397))))</f>
        <v>#REF!</v>
      </c>
      <c r="I397" s="692" t="str">
        <f t="array" ref="I397">IF($S397="","",IF($S397="Lớp 5",INDEX('Lớp 5 - Phân công'!$P$14:$P$262,$T397),IF($S397="Lớp 4",INDEX('Lớp 4 - Danh mục'!$O$14:$O$132,$T397),"")))</f>
        <v>#REF!</v>
      </c>
      <c r="J397" s="693" t="str">
        <f t="array" ref="J397">IF($S397="","",IF($S397="Lớp 5",INDEX('Lớp 5 - Phân công'!$Q$14:$Q$262,$T397),""))</f>
        <v>#REF!</v>
      </c>
      <c r="K397" s="690" t="str">
        <f t="array" ref="K397">IF($S397="","",IF($S397="Lớp 5",INDEX('Lớp 5 - Phân công'!$AA$14:$AA$262,$T397),IF($S397="Lớp 4",INDEX('Lớp 4 - Danh mục'!$Y$14:$Y$132,$T397),INDEX('Lớp 3 - Công việc chính'!$U$14:$U$73,$T397))))</f>
        <v>#REF!</v>
      </c>
      <c r="L397" s="691" t="str">
        <f t="array" ref="L397">IF($S397="","",IF($S397="Lớp 5",INDEX('Lớp 5 - Phân công'!$Z$14:$Z$262,$T397),IF($S397="Lớp 4",INDEX('Lớp 4 - Danh mục'!$X$14:$X$132,$T397),INDEX('Lớp 3 - Công việc chính'!$W$14:$W$73,$T397))))</f>
        <v>#REF!</v>
      </c>
      <c r="M397" s="694" t="str">
        <f t="array" ref="M397">IF($S397="","",IF($S397="Lớp 5",INDEX('Lớp 5 - Phân công'!$AD$14:$AD$262,$T397),IF($S397="Lớp 4",INDEX('Lớp 4 - Danh mục'!$AC$14:$AC$132,$T397),INDEX('Lớp 3 - Công việc chính'!$Z$14:$Z$73,$T397))))</f>
        <v>#REF!</v>
      </c>
      <c r="N397" s="695" t="str">
        <f t="array" ref="N397">IF($S397="","",IF($S397="Lớp 5",INDEX('Lớp 5 - Phân công'!$AE$14:$AE$262,$T397),IF($S397="Lớp 4",INDEX('Lớp 4 - Danh mục'!$AD$14:$AD$132,$T397),INDEX('Lớp 3 - Công việc chính'!$AA$14:$AA$73,$T397))))</f>
        <v>#REF!</v>
      </c>
      <c r="O397" s="690" t="str">
        <f t="array" ref="O397">IF($S397="","",IF($S397="Lớp 5",INDEX('Lớp 5 - Phân công'!$AB$14:$AB$262,$T397),IF($S397="Lớp 4",INDEX('Lớp 4 - Danh mục'!$AA$14:$AA$132,$T397),INDEX('Lớp 3 - Công việc chính'!$X$14:$X$73,$T397))))</f>
        <v>#REF!</v>
      </c>
      <c r="P397" s="703" t="str">
        <f t="array" ref="P397">IF($S397="","",IF($S397="Lớp 5",INDEX('Lớp 5 - Phân công'!$AC$14:$AC$262,$T397),IF($S397="Lớp 4",INDEX('Lớp 4 - Danh mục'!$AB$14:$AB$132,$T397),INDEX('Lớp 3 - Công việc chính'!$Y$14:$Y$73,$T397))))</f>
        <v>#REF!</v>
      </c>
      <c r="Q397" s="697" t="str">
        <f t="array" ref="Q397">IF($S397="","",IF($S397="Lớp 5",INDEX('Lớp 5 - Phân công'!$AG$14:$AG$262,$T397),IF($S397="Lớp 4",INDEX('Lớp 4 - Danh mục'!$AF$14:$AF$132,$T397),INDEX('Lớp 3 - Công việc chính'!$AC$14:$AC$73,$T397))))</f>
        <v>#REF!</v>
      </c>
      <c r="R397" s="698" t="str">
        <f t="array" ref="R397">IF($S397="","",IF($S397="Lớp 5",INDEX('Lớp 5 - Phân công'!$X$14:$X$262,$T397),IF($S397="Lớp 4",INDEX('Lớp 4 - Danh mục'!$V$14:$V$132,$T397),INDEX('Lớp 3 - Công việc chính'!$T$14:$T$73,$T397))))</f>
        <v>#REF!</v>
      </c>
      <c r="S397" s="699" t="str">
        <f>IF(ROWS($S$14:S397)&lt;=COUNTIF('Lớp 5 - Phân công'!$I$14:$I$262,"&lt;&gt;"),"Lớp 5",IF(ROWS($S$14:S397)&lt;=COUNTIF('Lớp 5 - Phân công'!$I$14:$I$262,"&lt;&gt;")+SUMPRODUCT(--('Lớp 4 - Danh mục'!$I$14:$I$132&lt;&gt;""),--(COUNTIF('Lớp 5 - Phân công'!$J$14:$J$262,'Lớp 4 - Danh mục'!$I$14:$I$132)=0)),"Lớp 4",IF(ROWS($S$14:S397)&lt;=COUNTIF('Lớp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7" s="699" t="str">
        <f t="array" ref="T397">IF(S397="","",IF(S397="Lớp 5",IF(S396&lt;&gt;"Lớp 5",MATCH("*",'Lớp 5 - Phân công'!$I$14:$I$262,0),T396+MATCH("*",INDEX('Lớp 5 - Phân công'!$I$14:$I$262,T396+1):'Lớp 5 - Phân công'!$I$262,0)),IF(S397="Lớp 4",IF(S396&lt;&gt;"Lớp 4",MATCH(1,INDEX(('Lớp 4 - Danh mục'!$I$14:$I$132&lt;&gt;"")*(COUNTIF('Lớp 5 - Phân công'!$J$14:$J$262,'Lớp 4 - Danh mục'!$I$14:$I$132)=0),0),0),T396+MATCH(1,INDEX((INDEX('Lớp 4 - Danh mục'!$I$14:$I$132,T396+1):'Lớp 4 - Danh mục'!$I$132&lt;&gt;"")*(COUNTIF('Lớp 5 - Phân công'!$J$14:$J$262,INDEX('Lớp 4 - Danh mục'!$I$14:$I$132,T396+1):'Lớp 4 - Danh mục'!$I$132)=0),0),0)),IF(S396&lt;&gt;"Lớp 3",MATCH(1,INDEX(('Lớp 3 - Công việc chính'!$I$14:$I$73&lt;&gt;"")*(COUNTIF('Lớp 4 - Danh mục'!$J$14:$J$132,'Lớp 3 - Công việc chính'!$I$14:$I$73)=0),0),0),T396+MATCH(1,INDEX((INDEX('Lớp 3 - Công việc chính'!$I$14:$I$73,T396+1):'Lớp 3 - Công việc chính'!$I$73&lt;&gt;"")*(COUNTIF('Lớp 4 - Danh mục'!$J$14:$J$132,INDEX('Lớp 3 - Công việc chính'!$I$14:$I$73,T396+1):'Lớp 3 - Công việc chính'!$I$73)=0),0),0)))))</f>
        <v>#REF!</v>
      </c>
      <c r="Z397" s="700" t="str">
        <f t="array" ref="Z397">IF($S397="","",IF($S397="Lớp 5",INDEX('Lớp 5 - Phân công'!$AS$14:$AS$262,$T397),IF($S397="Lớp 4",INDEX('Lớp 4 - Danh mục'!$AR$14:$AR$132,$T397),INDEX('Lớp 3 - Công việc chính'!$AO$14:$AO$73,$T397))))</f>
        <v>#REF!</v>
      </c>
      <c r="AA397" s="701" t="str">
        <f t="array" ref="AA397">IF($S397="","",IF($S397="Lớp 5",INDEX('Lớp 5 - Phân công'!$AT$14:$AT$262,$T397),IF($S397="Lớp 4",INDEX('Lớp 4 - Danh mục'!$AS$14:$AS$132,$T397),INDEX('Lớp 3 - Công việc chính'!$AP$14:$AP$73,$T397))))</f>
        <v>#REF!</v>
      </c>
      <c r="AB397" s="701" t="str">
        <f t="array" ref="AB397">IF($S397="","",IF($S397="Lớp 5",INDEX('Lớp 5 - Phân công'!$AJ$14:$AJ$262,$T397),IF($S397="Lớp 4",INDEX('Lớp 4 - Danh mục'!$AI$14:$AI$132,$T397),INDEX('Lớp 3 - Công việc chính'!$AF$14:$AF$73,$T397))))</f>
        <v>#REF!</v>
      </c>
      <c r="AC397" s="702" t="str">
        <f t="array" ref="AC397">IF($S397="","",IF($S397="Lớp 5",INDEX('Lớp 5 - Phân công'!$AV$14:$AV$262,$T397),IF($S397="Lớp 4",INDEX('Lớp 4 - Danh mục'!$AU$14:$AU$132,$T397),INDEX('Lớp 3 - Công việc chính'!$AR$14:$AR$73,$T397))))</f>
        <v>#REF!</v>
      </c>
    </row>
    <row r="398" ht="15.75" customHeight="1">
      <c r="A398" s="690" t="str">
        <f t="shared" si="1"/>
        <v>#REF!</v>
      </c>
      <c r="B398" s="690" t="str">
        <f t="array" ref="B398">IF($S398="","",IF($S398="Lớp 5",INDEX('Lớp 5 - Phân công'!$I$14:$I$262,$T398),IF($S398="Lớp 4",INDEX('Lớp 4 - Danh mục'!$I$14:$I$132,$T398),INDEX('Lớp 3 - Công việc chính'!$I$14:$I$73,$T398))))</f>
        <v>#REF!</v>
      </c>
      <c r="C398" s="690" t="str">
        <f t="array" ref="C398">IF($S398="","",IF($S398="Lớp 5",INDEX('Lớp 5 - Phân công'!$K$14:$K$262,$T398),IF($S398="Lớp 4",INDEX('Lớp 4 - Danh mục'!$J$14:$J$132,$T398),INDEX('Lớp 3 - Công việc chính'!$I$14:$I$73,$T398))))</f>
        <v>#REF!</v>
      </c>
      <c r="D398" s="690" t="str">
        <f t="array" ref="D398">IF($S398="","",IF($S398="Lớp 5",INDEX('Lớp 5 - Phân công'!$J$14:$J$262,$T398),IF($S398="Lớp 4",INDEX('Lớp 4 - Danh mục'!$I$14:$I$132,$T398),"")))</f>
        <v>#REF!</v>
      </c>
      <c r="E398" s="690" t="str">
        <f t="array" ref="E398">IF($S398="","",IF($S398="Lớp 5",INDEX('Lớp 5 - Phân công'!$L$14:$L$262,$T398),IF($S398="Lớp 4",INDEX('Lớp 4 - Danh mục'!$K$14:$K$132,$T398),INDEX('Lớp 3 - Công việc chính'!$J$14:$J$73,$T398))))</f>
        <v>#REF!</v>
      </c>
      <c r="F398" s="690" t="str">
        <f t="array" ref="F398">IF($S398="","",IF($S398="Lớp 5",INDEX('Lớp 5 - Phân công'!$M$14:$M$262,$T398),IF($S398="Lớp 4",INDEX('Lớp 4 - Danh mục'!$L$14:$L$132,$T398),INDEX('Lớp 3 - Công việc chính'!$K$14:$K$73,$T398))))</f>
        <v>#REF!</v>
      </c>
      <c r="G398" s="691" t="str">
        <f t="array" ref="G398">IF($S398="","",IF($S398="Lớp 5",INDEX('Lớp 5 - Phân công'!$N$14:$N$262,$T398),IF($S398="Lớp 4",INDEX('Lớp 4 - Danh mục'!$M$14:$M$132,$T398),INDEX('Lớp 3 - Công việc chính'!$L$14:$L$73,$T398))))</f>
        <v>#REF!</v>
      </c>
      <c r="H398" s="692" t="str">
        <f t="array" ref="H398">IF($S398="","",IF($S398="Lớp 5",INDEX('Lớp 5 - Phân công'!$O$14:$O$262,$T398),IF($S398="Lớp 4",INDEX('Lớp 4 - Danh mục'!$N$14:$N$132,$T398),INDEX('Lớp 3 - Công việc chính'!$M$14:$M$73,$T398))))</f>
        <v>#REF!</v>
      </c>
      <c r="I398" s="692" t="str">
        <f t="array" ref="I398">IF($S398="","",IF($S398="Lớp 5",INDEX('Lớp 5 - Phân công'!$P$14:$P$262,$T398),IF($S398="Lớp 4",INDEX('Lớp 4 - Danh mục'!$O$14:$O$132,$T398),"")))</f>
        <v>#REF!</v>
      </c>
      <c r="J398" s="693" t="str">
        <f t="array" ref="J398">IF($S398="","",IF($S398="Lớp 5",INDEX('Lớp 5 - Phân công'!$Q$14:$Q$262,$T398),""))</f>
        <v>#REF!</v>
      </c>
      <c r="K398" s="690" t="str">
        <f t="array" ref="K398">IF($S398="","",IF($S398="Lớp 5",INDEX('Lớp 5 - Phân công'!$AA$14:$AA$262,$T398),IF($S398="Lớp 4",INDEX('Lớp 4 - Danh mục'!$Y$14:$Y$132,$T398),INDEX('Lớp 3 - Công việc chính'!$U$14:$U$73,$T398))))</f>
        <v>#REF!</v>
      </c>
      <c r="L398" s="691" t="str">
        <f t="array" ref="L398">IF($S398="","",IF($S398="Lớp 5",INDEX('Lớp 5 - Phân công'!$Z$14:$Z$262,$T398),IF($S398="Lớp 4",INDEX('Lớp 4 - Danh mục'!$X$14:$X$132,$T398),INDEX('Lớp 3 - Công việc chính'!$W$14:$W$73,$T398))))</f>
        <v>#REF!</v>
      </c>
      <c r="M398" s="694" t="str">
        <f t="array" ref="M398">IF($S398="","",IF($S398="Lớp 5",INDEX('Lớp 5 - Phân công'!$AD$14:$AD$262,$T398),IF($S398="Lớp 4",INDEX('Lớp 4 - Danh mục'!$AC$14:$AC$132,$T398),INDEX('Lớp 3 - Công việc chính'!$Z$14:$Z$73,$T398))))</f>
        <v>#REF!</v>
      </c>
      <c r="N398" s="695" t="str">
        <f t="array" ref="N398">IF($S398="","",IF($S398="Lớp 5",INDEX('Lớp 5 - Phân công'!$AE$14:$AE$262,$T398),IF($S398="Lớp 4",INDEX('Lớp 4 - Danh mục'!$AD$14:$AD$132,$T398),INDEX('Lớp 3 - Công việc chính'!$AA$14:$AA$73,$T398))))</f>
        <v>#REF!</v>
      </c>
      <c r="O398" s="690" t="str">
        <f t="array" ref="O398">IF($S398="","",IF($S398="Lớp 5",INDEX('Lớp 5 - Phân công'!$AB$14:$AB$262,$T398),IF($S398="Lớp 4",INDEX('Lớp 4 - Danh mục'!$AA$14:$AA$132,$T398),INDEX('Lớp 3 - Công việc chính'!$X$14:$X$73,$T398))))</f>
        <v>#REF!</v>
      </c>
      <c r="P398" s="703" t="str">
        <f t="array" ref="P398">IF($S398="","",IF($S398="Lớp 5",INDEX('Lớp 5 - Phân công'!$AC$14:$AC$262,$T398),IF($S398="Lớp 4",INDEX('Lớp 4 - Danh mục'!$AB$14:$AB$132,$T398),INDEX('Lớp 3 - Công việc chính'!$Y$14:$Y$73,$T398))))</f>
        <v>#REF!</v>
      </c>
      <c r="Q398" s="697" t="str">
        <f t="array" ref="Q398">IF($S398="","",IF($S398="Lớp 5",INDEX('Lớp 5 - Phân công'!$AG$14:$AG$262,$T398),IF($S398="Lớp 4",INDEX('Lớp 4 - Danh mục'!$AF$14:$AF$132,$T398),INDEX('Lớp 3 - Công việc chính'!$AC$14:$AC$73,$T398))))</f>
        <v>#REF!</v>
      </c>
      <c r="R398" s="698" t="str">
        <f t="array" ref="R398">IF($S398="","",IF($S398="Lớp 5",INDEX('Lớp 5 - Phân công'!$X$14:$X$262,$T398),IF($S398="Lớp 4",INDEX('Lớp 4 - Danh mục'!$V$14:$V$132,$T398),INDEX('Lớp 3 - Công việc chính'!$T$14:$T$73,$T398))))</f>
        <v>#REF!</v>
      </c>
      <c r="S398" s="699" t="str">
        <f>IF(ROWS($S$14:S398)&lt;=COUNTIF('Lớp 5 - Phân công'!$I$14:$I$262,"&lt;&gt;"),"Lớp 5",IF(ROWS($S$14:S398)&lt;=COUNTIF('Lớp 5 - Phân công'!$I$14:$I$262,"&lt;&gt;")+SUMPRODUCT(--('Lớp 4 - Danh mục'!$I$14:$I$132&lt;&gt;""),--(COUNTIF('Lớp 5 - Phân công'!$J$14:$J$262,'Lớp 4 - Danh mục'!$I$14:$I$132)=0)),"Lớp 4",IF(ROWS($S$14:S398)&lt;=COUNTIF('Lớp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8" s="699" t="str">
        <f t="array" ref="T398">IF(S398="","",IF(S398="Lớp 5",IF(S397&lt;&gt;"Lớp 5",MATCH("*",'Lớp 5 - Phân công'!$I$14:$I$262,0),T397+MATCH("*",INDEX('Lớp 5 - Phân công'!$I$14:$I$262,T397+1):'Lớp 5 - Phân công'!$I$262,0)),IF(S398="Lớp 4",IF(S397&lt;&gt;"Lớp 4",MATCH(1,INDEX(('Lớp 4 - Danh mục'!$I$14:$I$132&lt;&gt;"")*(COUNTIF('Lớp 5 - Phân công'!$J$14:$J$262,'Lớp 4 - Danh mục'!$I$14:$I$132)=0),0),0),T397+MATCH(1,INDEX((INDEX('Lớp 4 - Danh mục'!$I$14:$I$132,T397+1):'Lớp 4 - Danh mục'!$I$132&lt;&gt;"")*(COUNTIF('Lớp 5 - Phân công'!$J$14:$J$262,INDEX('Lớp 4 - Danh mục'!$I$14:$I$132,T397+1):'Lớp 4 - Danh mục'!$I$132)=0),0),0)),IF(S397&lt;&gt;"Lớp 3",MATCH(1,INDEX(('Lớp 3 - Công việc chính'!$I$14:$I$73&lt;&gt;"")*(COUNTIF('Lớp 4 - Danh mục'!$J$14:$J$132,'Lớp 3 - Công việc chính'!$I$14:$I$73)=0),0),0),T397+MATCH(1,INDEX((INDEX('Lớp 3 - Công việc chính'!$I$14:$I$73,T397+1):'Lớp 3 - Công việc chính'!$I$73&lt;&gt;"")*(COUNTIF('Lớp 4 - Danh mục'!$J$14:$J$132,INDEX('Lớp 3 - Công việc chính'!$I$14:$I$73,T397+1):'Lớp 3 - Công việc chính'!$I$73)=0),0),0)))))</f>
        <v>#REF!</v>
      </c>
      <c r="Z398" s="700" t="str">
        <f t="array" ref="Z398">IF($S398="","",IF($S398="Lớp 5",INDEX('Lớp 5 - Phân công'!$AS$14:$AS$262,$T398),IF($S398="Lớp 4",INDEX('Lớp 4 - Danh mục'!$AR$14:$AR$132,$T398),INDEX('Lớp 3 - Công việc chính'!$AO$14:$AO$73,$T398))))</f>
        <v>#REF!</v>
      </c>
      <c r="AA398" s="701" t="str">
        <f t="array" ref="AA398">IF($S398="","",IF($S398="Lớp 5",INDEX('Lớp 5 - Phân công'!$AT$14:$AT$262,$T398),IF($S398="Lớp 4",INDEX('Lớp 4 - Danh mục'!$AS$14:$AS$132,$T398),INDEX('Lớp 3 - Công việc chính'!$AP$14:$AP$73,$T398))))</f>
        <v>#REF!</v>
      </c>
      <c r="AB398" s="701" t="str">
        <f t="array" ref="AB398">IF($S398="","",IF($S398="Lớp 5",INDEX('Lớp 5 - Phân công'!$AJ$14:$AJ$262,$T398),IF($S398="Lớp 4",INDEX('Lớp 4 - Danh mục'!$AI$14:$AI$132,$T398),INDEX('Lớp 3 - Công việc chính'!$AF$14:$AF$73,$T398))))</f>
        <v>#REF!</v>
      </c>
      <c r="AC398" s="702" t="str">
        <f t="array" ref="AC398">IF($S398="","",IF($S398="Lớp 5",INDEX('Lớp 5 - Phân công'!$AV$14:$AV$262,$T398),IF($S398="Lớp 4",INDEX('Lớp 4 - Danh mục'!$AU$14:$AU$132,$T398),INDEX('Lớp 3 - Công việc chính'!$AR$14:$AR$73,$T398))))</f>
        <v>#REF!</v>
      </c>
    </row>
    <row r="399" ht="15.75" customHeight="1">
      <c r="A399" s="690" t="str">
        <f t="shared" si="1"/>
        <v>#REF!</v>
      </c>
      <c r="B399" s="690" t="str">
        <f t="array" ref="B399">IF($S399="","",IF($S399="Lớp 5",INDEX('Lớp 5 - Phân công'!$I$14:$I$262,$T399),IF($S399="Lớp 4",INDEX('Lớp 4 - Danh mục'!$I$14:$I$132,$T399),INDEX('Lớp 3 - Công việc chính'!$I$14:$I$73,$T399))))</f>
        <v>#REF!</v>
      </c>
      <c r="C399" s="690" t="str">
        <f t="array" ref="C399">IF($S399="","",IF($S399="Lớp 5",INDEX('Lớp 5 - Phân công'!$K$14:$K$262,$T399),IF($S399="Lớp 4",INDEX('Lớp 4 - Danh mục'!$J$14:$J$132,$T399),INDEX('Lớp 3 - Công việc chính'!$I$14:$I$73,$T399))))</f>
        <v>#REF!</v>
      </c>
      <c r="D399" s="690" t="str">
        <f t="array" ref="D399">IF($S399="","",IF($S399="Lớp 5",INDEX('Lớp 5 - Phân công'!$J$14:$J$262,$T399),IF($S399="Lớp 4",INDEX('Lớp 4 - Danh mục'!$I$14:$I$132,$T399),"")))</f>
        <v>#REF!</v>
      </c>
      <c r="E399" s="690" t="str">
        <f t="array" ref="E399">IF($S399="","",IF($S399="Lớp 5",INDEX('Lớp 5 - Phân công'!$L$14:$L$262,$T399),IF($S399="Lớp 4",INDEX('Lớp 4 - Danh mục'!$K$14:$K$132,$T399),INDEX('Lớp 3 - Công việc chính'!$J$14:$J$73,$T399))))</f>
        <v>#REF!</v>
      </c>
      <c r="F399" s="690" t="str">
        <f t="array" ref="F399">IF($S399="","",IF($S399="Lớp 5",INDEX('Lớp 5 - Phân công'!$M$14:$M$262,$T399),IF($S399="Lớp 4",INDEX('Lớp 4 - Danh mục'!$L$14:$L$132,$T399),INDEX('Lớp 3 - Công việc chính'!$K$14:$K$73,$T399))))</f>
        <v>#REF!</v>
      </c>
      <c r="G399" s="691" t="str">
        <f t="array" ref="G399">IF($S399="","",IF($S399="Lớp 5",INDEX('Lớp 5 - Phân công'!$N$14:$N$262,$T399),IF($S399="Lớp 4",INDEX('Lớp 4 - Danh mục'!$M$14:$M$132,$T399),INDEX('Lớp 3 - Công việc chính'!$L$14:$L$73,$T399))))</f>
        <v>#REF!</v>
      </c>
      <c r="H399" s="692" t="str">
        <f t="array" ref="H399">IF($S399="","",IF($S399="Lớp 5",INDEX('Lớp 5 - Phân công'!$O$14:$O$262,$T399),IF($S399="Lớp 4",INDEX('Lớp 4 - Danh mục'!$N$14:$N$132,$T399),INDEX('Lớp 3 - Công việc chính'!$M$14:$M$73,$T399))))</f>
        <v>#REF!</v>
      </c>
      <c r="I399" s="692" t="str">
        <f t="array" ref="I399">IF($S399="","",IF($S399="Lớp 5",INDEX('Lớp 5 - Phân công'!$P$14:$P$262,$T399),IF($S399="Lớp 4",INDEX('Lớp 4 - Danh mục'!$O$14:$O$132,$T399),"")))</f>
        <v>#REF!</v>
      </c>
      <c r="J399" s="693" t="str">
        <f t="array" ref="J399">IF($S399="","",IF($S399="Lớp 5",INDEX('Lớp 5 - Phân công'!$Q$14:$Q$262,$T399),""))</f>
        <v>#REF!</v>
      </c>
      <c r="K399" s="690" t="str">
        <f t="array" ref="K399">IF($S399="","",IF($S399="Lớp 5",INDEX('Lớp 5 - Phân công'!$AA$14:$AA$262,$T399),IF($S399="Lớp 4",INDEX('Lớp 4 - Danh mục'!$Y$14:$Y$132,$T399),INDEX('Lớp 3 - Công việc chính'!$U$14:$U$73,$T399))))</f>
        <v>#REF!</v>
      </c>
      <c r="L399" s="691" t="str">
        <f t="array" ref="L399">IF($S399="","",IF($S399="Lớp 5",INDEX('Lớp 5 - Phân công'!$Z$14:$Z$262,$T399),IF($S399="Lớp 4",INDEX('Lớp 4 - Danh mục'!$X$14:$X$132,$T399),INDEX('Lớp 3 - Công việc chính'!$W$14:$W$73,$T399))))</f>
        <v>#REF!</v>
      </c>
      <c r="M399" s="694" t="str">
        <f t="array" ref="M399">IF($S399="","",IF($S399="Lớp 5",INDEX('Lớp 5 - Phân công'!$AD$14:$AD$262,$T399),IF($S399="Lớp 4",INDEX('Lớp 4 - Danh mục'!$AC$14:$AC$132,$T399),INDEX('Lớp 3 - Công việc chính'!$Z$14:$Z$73,$T399))))</f>
        <v>#REF!</v>
      </c>
      <c r="N399" s="695" t="str">
        <f t="array" ref="N399">IF($S399="","",IF($S399="Lớp 5",INDEX('Lớp 5 - Phân công'!$AE$14:$AE$262,$T399),IF($S399="Lớp 4",INDEX('Lớp 4 - Danh mục'!$AD$14:$AD$132,$T399),INDEX('Lớp 3 - Công việc chính'!$AA$14:$AA$73,$T399))))</f>
        <v>#REF!</v>
      </c>
      <c r="O399" s="690" t="str">
        <f t="array" ref="O399">IF($S399="","",IF($S399="Lớp 5",INDEX('Lớp 5 - Phân công'!$AB$14:$AB$262,$T399),IF($S399="Lớp 4",INDEX('Lớp 4 - Danh mục'!$AA$14:$AA$132,$T399),INDEX('Lớp 3 - Công việc chính'!$X$14:$X$73,$T399))))</f>
        <v>#REF!</v>
      </c>
      <c r="P399" s="703" t="str">
        <f t="array" ref="P399">IF($S399="","",IF($S399="Lớp 5",INDEX('Lớp 5 - Phân công'!$AC$14:$AC$262,$T399),IF($S399="Lớp 4",INDEX('Lớp 4 - Danh mục'!$AB$14:$AB$132,$T399),INDEX('Lớp 3 - Công việc chính'!$Y$14:$Y$73,$T399))))</f>
        <v>#REF!</v>
      </c>
      <c r="Q399" s="697" t="str">
        <f t="array" ref="Q399">IF($S399="","",IF($S399="Lớp 5",INDEX('Lớp 5 - Phân công'!$AG$14:$AG$262,$T399),IF($S399="Lớp 4",INDEX('Lớp 4 - Danh mục'!$AF$14:$AF$132,$T399),INDEX('Lớp 3 - Công việc chính'!$AC$14:$AC$73,$T399))))</f>
        <v>#REF!</v>
      </c>
      <c r="R399" s="698" t="str">
        <f t="array" ref="R399">IF($S399="","",IF($S399="Lớp 5",INDEX('Lớp 5 - Phân công'!$X$14:$X$262,$T399),IF($S399="Lớp 4",INDEX('Lớp 4 - Danh mục'!$V$14:$V$132,$T399),INDEX('Lớp 3 - Công việc chính'!$T$14:$T$73,$T399))))</f>
        <v>#REF!</v>
      </c>
      <c r="S399" s="699" t="str">
        <f>IF(ROWS($S$14:S399)&lt;=COUNTIF('Lớp 5 - Phân công'!$I$14:$I$262,"&lt;&gt;"),"Lớp 5",IF(ROWS($S$14:S399)&lt;=COUNTIF('Lớp 5 - Phân công'!$I$14:$I$262,"&lt;&gt;")+SUMPRODUCT(--('Lớp 4 - Danh mục'!$I$14:$I$132&lt;&gt;""),--(COUNTIF('Lớp 5 - Phân công'!$J$14:$J$262,'Lớp 4 - Danh mục'!$I$14:$I$132)=0)),"Lớp 4",IF(ROWS($S$14:S399)&lt;=COUNTIF('Lớp 5 - Phân công'!$I$14:$I$262,"&lt;&gt;")+SUMPRODUCT(--('Lớp 4 - Danh mục'!$I$14:$I$132&lt;&gt;""),--(COUNTIF('Lớp 5 - Phân công'!$J$14:$J$262,'Lớp 4 - Danh mục'!$I$14:$I$132)=0))+SUMPRODUCT(--('Lớp 3 - Công việc chính'!$I$14:$I$73&lt;&gt;""),--(COUNTIF('Lớp 4 - Danh mục'!$J$14:$J$132,'Lớp 3 - Công việc chính'!$I$14:$I$73)=0)),"Lớp 3","")))</f>
        <v>#REF!</v>
      </c>
      <c r="T399" s="699" t="str">
        <f t="array" ref="T399">IF(S399="","",IF(S399="Lớp 5",IF(S398&lt;&gt;"Lớp 5",MATCH("*",'Lớp 5 - Phân công'!$I$14:$I$262,0),T398+MATCH("*",INDEX('Lớp 5 - Phân công'!$I$14:$I$262,T398+1):'Lớp 5 - Phân công'!$I$262,0)),IF(S399="Lớp 4",IF(S398&lt;&gt;"Lớp 4",MATCH(1,INDEX(('Lớp 4 - Danh mục'!$I$14:$I$132&lt;&gt;"")*(COUNTIF('Lớp 5 - Phân công'!$J$14:$J$262,'Lớp 4 - Danh mục'!$I$14:$I$132)=0),0),0),T398+MATCH(1,INDEX((INDEX('Lớp 4 - Danh mục'!$I$14:$I$132,T398+1):'Lớp 4 - Danh mục'!$I$132&lt;&gt;"")*(COUNTIF('Lớp 5 - Phân công'!$J$14:$J$262,INDEX('Lớp 4 - Danh mục'!$I$14:$I$132,T398+1):'Lớp 4 - Danh mục'!$I$132)=0),0),0)),IF(S398&lt;&gt;"Lớp 3",MATCH(1,INDEX(('Lớp 3 - Công việc chính'!$I$14:$I$73&lt;&gt;"")*(COUNTIF('Lớp 4 - Danh mục'!$J$14:$J$132,'Lớp 3 - Công việc chính'!$I$14:$I$73)=0),0),0),T398+MATCH(1,INDEX((INDEX('Lớp 3 - Công việc chính'!$I$14:$I$73,T398+1):'Lớp 3 - Công việc chính'!$I$73&lt;&gt;"")*(COUNTIF('Lớp 4 - Danh mục'!$J$14:$J$132,INDEX('Lớp 3 - Công việc chính'!$I$14:$I$73,T398+1):'Lớp 3 - Công việc chính'!$I$73)=0),0),0)))))</f>
        <v>#REF!</v>
      </c>
      <c r="Z399" s="700" t="str">
        <f t="array" ref="Z399">IF($S399="","",IF($S399="Lớp 5",INDEX('Lớp 5 - Phân công'!$AS$14:$AS$262,$T399),IF($S399="Lớp 4",INDEX('Lớp 4 - Danh mục'!$AR$14:$AR$132,$T399),INDEX('Lớp 3 - Công việc chính'!$AO$14:$AO$73,$T399))))</f>
        <v>#REF!</v>
      </c>
      <c r="AA399" s="701" t="str">
        <f t="array" ref="AA399">IF($S399="","",IF($S399="Lớp 5",INDEX('Lớp 5 - Phân công'!$AT$14:$AT$262,$T399),IF($S399="Lớp 4",INDEX('Lớp 4 - Danh mục'!$AS$14:$AS$132,$T399),INDEX('Lớp 3 - Công việc chính'!$AP$14:$AP$73,$T399))))</f>
        <v>#REF!</v>
      </c>
      <c r="AB399" s="701" t="str">
        <f t="array" ref="AB399">IF($S399="","",IF($S399="Lớp 5",INDEX('Lớp 5 - Phân công'!$AJ$14:$AJ$262,$T399),IF($S399="Lớp 4",INDEX('Lớp 4 - Danh mục'!$AI$14:$AI$132,$T399),INDEX('Lớp 3 - Công việc chính'!$AF$14:$AF$73,$T399))))</f>
        <v>#REF!</v>
      </c>
      <c r="AC399" s="702" t="str">
        <f t="array" ref="AC399">IF($S399="","",IF($S399="Lớp 5",INDEX('Lớp 5 - Phân công'!$AV$14:$AV$262,$T399),IF($S399="Lớp 4",INDEX('Lớp 4 - Danh mục'!$AU$14:$AU$132,$T399),INDEX('Lớp 3 - Công việc chính'!$AR$14:$AR$73,$T399))))</f>
        <v>#REF!</v>
      </c>
    </row>
    <row r="400" ht="15.75" customHeight="1">
      <c r="A400" s="690" t="str">
        <f t="shared" si="1"/>
        <v>#REF!</v>
      </c>
      <c r="B400" s="690" t="str">
        <f t="array" ref="B400">IF($S400="","",IF($S400="Lớp 5",INDEX('Lớp 5 - Phân công'!$I$14:$I$262,$T400),IF($S400="Lớp 4",INDEX('Lớp 4 - Danh mục'!$I$14:$I$132,$T400),INDEX('Lớp 3 - Công việc chính'!$I$14:$I$73,$T400))))</f>
        <v>#REF!</v>
      </c>
      <c r="C400" s="690" t="str">
        <f t="array" ref="C400">IF($S400="","",IF($S400="Lớp 5",INDEX('Lớp 5 - Phân công'!$K$14:$K$262,$T400),IF($S400="Lớp 4",INDEX('Lớp 4 - Danh mục'!$J$14:$J$132,$T400),INDEX('Lớp 3 - Công việc chính'!$I$14:$I$73,$T400))))</f>
        <v>#REF!</v>
      </c>
      <c r="D400" s="690" t="str">
        <f t="array" ref="D400">IF($S400="","",IF($S400="Lớp 5",INDEX('Lớp 5 - Phân công'!$J$14:$J$262,$T400),IF($S400="Lớp 4",INDEX('Lớp 4 - Danh mục'!$I$14:$I$132,$T400),"")))</f>
        <v>#REF!</v>
      </c>
      <c r="E400" s="690" t="str">
        <f t="array" ref="E400">IF($S400="","",IF($S400="Lớp 5",INDEX('Lớp 5 - Phân công'!$L$14:$L$262,$T400),IF($S400="Lớp 4",INDEX('Lớp 4 - Danh mục'!$K$14:$K$132,$T400),INDEX('Lớp 3 - Công việc chính'!$J$14:$J$73,$T400))))</f>
        <v>#REF!</v>
      </c>
      <c r="F400" s="690" t="str">
        <f t="array" ref="F400">IF($S400="","",IF($S400="Lớp 5",INDEX('Lớp 5 - Phân công'!$M$14:$M$262,$T400),IF($S400="Lớp 4",INDEX('Lớp 4 - Danh mục'!$L$14:$L$132,$T400),INDEX('Lớp 3 - Công việc chính'!$K$14:$K$73,$T400))))</f>
        <v>#REF!</v>
      </c>
      <c r="G400" s="691" t="str">
        <f t="array" ref="G400">IF($S400="","",IF($S400="Lớp 5",INDEX('Lớp 5 - Phân công'!$N$14:$N$262,$T400),IF($S400="Lớp 4",INDEX('Lớp 4 - Danh mục'!$M$14:$M$132,$T400),INDEX('Lớp 3 - Công việc chính'!$L$14:$L$73,$T400))))</f>
        <v>#REF!</v>
      </c>
      <c r="H400" s="692" t="str">
        <f t="array" ref="H400">IF($S400="","",IF($S400="Lớp 5",INDEX('Lớp 5 - Phân công'!$O$14:$O$262,$T400),IF($S400="Lớp 4",INDEX('Lớp 4 - Danh mục'!$N$14:$N$132,$T400),INDEX('Lớp 3 - Công việc chính'!$M$14:$M$73,$T400))))</f>
        <v>#REF!</v>
      </c>
      <c r="I400" s="692" t="str">
        <f t="array" ref="I400">IF($S400="","",IF($S400="Lớp 5",INDEX('Lớp 5 - Phân công'!$P$14:$P$262,$T400),IF($S400="Lớp 4",INDEX('Lớp 4 - Danh mục'!$O$14:$O$132,$T400),"")))</f>
        <v>#REF!</v>
      </c>
      <c r="J400" s="693" t="str">
        <f t="array" ref="J400">IF($S400="","",IF($S400="Lớp 5",INDEX('Lớp 5 - Phân công'!$Q$14:$Q$262,$T400),""))</f>
        <v>#REF!</v>
      </c>
      <c r="K400" s="690" t="str">
        <f t="array" ref="K400">IF($S400="","",IF($S400="Lớp 5",INDEX('Lớp 5 - Phân công'!$AA$14:$AA$262,$T400),IF($S400="Lớp 4",INDEX('Lớp 4 - Danh mục'!$Y$14:$Y$132,$T400),INDEX('Lớp 3 - Công việc chính'!$U$14:$U$73,$T400))))</f>
        <v>#REF!</v>
      </c>
      <c r="L400" s="691" t="str">
        <f t="array" ref="L400">IF($S400="","",IF($S400="Lớp 5",INDEX('Lớp 5 - Phân công'!$Z$14:$Z$262,$T400),IF($S400="Lớp 4",INDEX('Lớp 4 - Danh mục'!$X$14:$X$132,$T400),INDEX('Lớp 3 - Công việc chính'!$W$14:$W$73,$T400))))</f>
        <v>#REF!</v>
      </c>
      <c r="M400" s="694" t="str">
        <f t="array" ref="M400">IF($S400="","",IF($S400="Lớp 5",INDEX('Lớp 5 - Phân công'!$AD$14:$AD$262,$T400),IF($S400="Lớp 4",INDEX('Lớp 4 - Danh mục'!$AC$14:$AC$132,$T400),INDEX('Lớp 3 - Công việc chính'!$Z$14:$Z$73,$T400))))</f>
        <v>#REF!</v>
      </c>
      <c r="N400" s="695" t="str">
        <f t="array" ref="N400">IF($S400="","",IF($S400="Lớp 5",INDEX('Lớp 5 - Phân công'!$AE$14:$AE$262,$T400),IF($S400="Lớp 4",INDEX('Lớp 4 - Danh mục'!$AD$14:$AD$132,$T400),INDEX('Lớp 3 - Công việc chính'!$AA$14:$AA$73,$T400))))</f>
        <v>#REF!</v>
      </c>
      <c r="O400" s="690" t="str">
        <f t="array" ref="O400">IF($S400="","",IF($S400="Lớp 5",INDEX('Lớp 5 - Phân công'!$AB$14:$AB$262,$T400),IF($S400="Lớp 4",INDEX('Lớp 4 - Danh mục'!$AA$14:$AA$132,$T400),INDEX('Lớp 3 - Công việc chính'!$X$14:$X$73,$T400))))</f>
        <v>#REF!</v>
      </c>
      <c r="P400" s="703" t="str">
        <f t="array" ref="P400">IF($S400="","",IF($S400="Lớp 5",INDEX('Lớp 5 - Phân công'!$AC$14:$AC$262,$T400),IF($S400="Lớp 4",INDEX('Lớp 4 - Danh mục'!$AB$14:$AB$132,$T400),INDEX('Lớp 3 - Công việc chính'!$Y$14:$Y$73,$T400))))</f>
        <v>#REF!</v>
      </c>
      <c r="Q400" s="697" t="str">
        <f t="array" ref="Q400">IF($S400="","",IF($S400="Lớp 5",INDEX('Lớp 5 - Phân công'!$AG$14:$AG$262,$T400),IF($S400="Lớp 4",INDEX('Lớp 4 - Danh mục'!$AF$14:$AF$132,$T400),INDEX('Lớp 3 - Công việc chính'!$AC$14:$AC$73,$T400))))</f>
        <v>#REF!</v>
      </c>
      <c r="R400" s="698" t="str">
        <f t="array" ref="R400">IF($S400="","",IF($S400="Lớp 5",INDEX('Lớp 5 - Phân công'!$X$14:$X$262,$T400),IF($S400="Lớp 4",INDEX('Lớp 4 - Danh mục'!$V$14:$V$132,$T400),INDEX('Lớp 3 - Công việc chính'!$T$14:$T$73,$T400))))</f>
        <v>#REF!</v>
      </c>
      <c r="S400" s="699" t="str">
        <f>IF(ROWS($S$14:S400)&lt;=COUNTIF('Lớp 5 - Phân công'!$I$14:$I$262,"&lt;&gt;"),"Lớp 5",IF(ROWS($S$14:S400)&lt;=COUNTIF('Lớp 5 - Phân công'!$I$14:$I$262,"&lt;&gt;")+SUMPRODUCT(--('Lớp 4 - Danh mục'!$I$14:$I$132&lt;&gt;""),--(COUNTIF('Lớp 5 - Phân công'!$J$14:$J$262,'Lớp 4 - Danh mục'!$I$14:$I$132)=0)),"Lớp 4",IF(ROWS($S$14:S400)&lt;=COUNTIF('Lớp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0" s="699" t="str">
        <f t="array" ref="T400">IF(S400="","",IF(S400="Lớp 5",IF(S399&lt;&gt;"Lớp 5",MATCH("*",'Lớp 5 - Phân công'!$I$14:$I$262,0),T399+MATCH("*",INDEX('Lớp 5 - Phân công'!$I$14:$I$262,T399+1):'Lớp 5 - Phân công'!$I$262,0)),IF(S400="Lớp 4",IF(S399&lt;&gt;"Lớp 4",MATCH(1,INDEX(('Lớp 4 - Danh mục'!$I$14:$I$132&lt;&gt;"")*(COUNTIF('Lớp 5 - Phân công'!$J$14:$J$262,'Lớp 4 - Danh mục'!$I$14:$I$132)=0),0),0),T399+MATCH(1,INDEX((INDEX('Lớp 4 - Danh mục'!$I$14:$I$132,T399+1):'Lớp 4 - Danh mục'!$I$132&lt;&gt;"")*(COUNTIF('Lớp 5 - Phân công'!$J$14:$J$262,INDEX('Lớp 4 - Danh mục'!$I$14:$I$132,T399+1):'Lớp 4 - Danh mục'!$I$132)=0),0),0)),IF(S399&lt;&gt;"Lớp 3",MATCH(1,INDEX(('Lớp 3 - Công việc chính'!$I$14:$I$73&lt;&gt;"")*(COUNTIF('Lớp 4 - Danh mục'!$J$14:$J$132,'Lớp 3 - Công việc chính'!$I$14:$I$73)=0),0),0),T399+MATCH(1,INDEX((INDEX('Lớp 3 - Công việc chính'!$I$14:$I$73,T399+1):'Lớp 3 - Công việc chính'!$I$73&lt;&gt;"")*(COUNTIF('Lớp 4 - Danh mục'!$J$14:$J$132,INDEX('Lớp 3 - Công việc chính'!$I$14:$I$73,T399+1):'Lớp 3 - Công việc chính'!$I$73)=0),0),0)))))</f>
        <v>#REF!</v>
      </c>
      <c r="Z400" s="700" t="str">
        <f t="array" ref="Z400">IF($S400="","",IF($S400="Lớp 5",INDEX('Lớp 5 - Phân công'!$AS$14:$AS$262,$T400),IF($S400="Lớp 4",INDEX('Lớp 4 - Danh mục'!$AR$14:$AR$132,$T400),INDEX('Lớp 3 - Công việc chính'!$AO$14:$AO$73,$T400))))</f>
        <v>#REF!</v>
      </c>
      <c r="AA400" s="701" t="str">
        <f t="array" ref="AA400">IF($S400="","",IF($S400="Lớp 5",INDEX('Lớp 5 - Phân công'!$AT$14:$AT$262,$T400),IF($S400="Lớp 4",INDEX('Lớp 4 - Danh mục'!$AS$14:$AS$132,$T400),INDEX('Lớp 3 - Công việc chính'!$AP$14:$AP$73,$T400))))</f>
        <v>#REF!</v>
      </c>
      <c r="AB400" s="701" t="str">
        <f t="array" ref="AB400">IF($S400="","",IF($S400="Lớp 5",INDEX('Lớp 5 - Phân công'!$AJ$14:$AJ$262,$T400),IF($S400="Lớp 4",INDEX('Lớp 4 - Danh mục'!$AI$14:$AI$132,$T400),INDEX('Lớp 3 - Công việc chính'!$AF$14:$AF$73,$T400))))</f>
        <v>#REF!</v>
      </c>
      <c r="AC400" s="702" t="str">
        <f t="array" ref="AC400">IF($S400="","",IF($S400="Lớp 5",INDEX('Lớp 5 - Phân công'!$AV$14:$AV$262,$T400),IF($S400="Lớp 4",INDEX('Lớp 4 - Danh mục'!$AU$14:$AU$132,$T400),INDEX('Lớp 3 - Công việc chính'!$AR$14:$AR$73,$T400))))</f>
        <v>#REF!</v>
      </c>
    </row>
    <row r="401" ht="15.75" customHeight="1">
      <c r="A401" s="690" t="str">
        <f t="shared" si="1"/>
        <v>#REF!</v>
      </c>
      <c r="B401" s="690" t="str">
        <f t="array" ref="B401">IF($S401="","",IF($S401="Lớp 5",INDEX('Lớp 5 - Phân công'!$I$14:$I$262,$T401),IF($S401="Lớp 4",INDEX('Lớp 4 - Danh mục'!$I$14:$I$132,$T401),INDEX('Lớp 3 - Công việc chính'!$I$14:$I$73,$T401))))</f>
        <v>#REF!</v>
      </c>
      <c r="C401" s="690" t="str">
        <f t="array" ref="C401">IF($S401="","",IF($S401="Lớp 5",INDEX('Lớp 5 - Phân công'!$K$14:$K$262,$T401),IF($S401="Lớp 4",INDEX('Lớp 4 - Danh mục'!$J$14:$J$132,$T401),INDEX('Lớp 3 - Công việc chính'!$I$14:$I$73,$T401))))</f>
        <v>#REF!</v>
      </c>
      <c r="D401" s="690" t="str">
        <f t="array" ref="D401">IF($S401="","",IF($S401="Lớp 5",INDEX('Lớp 5 - Phân công'!$J$14:$J$262,$T401),IF($S401="Lớp 4",INDEX('Lớp 4 - Danh mục'!$I$14:$I$132,$T401),"")))</f>
        <v>#REF!</v>
      </c>
      <c r="E401" s="690" t="str">
        <f t="array" ref="E401">IF($S401="","",IF($S401="Lớp 5",INDEX('Lớp 5 - Phân công'!$L$14:$L$262,$T401),IF($S401="Lớp 4",INDEX('Lớp 4 - Danh mục'!$K$14:$K$132,$T401),INDEX('Lớp 3 - Công việc chính'!$J$14:$J$73,$T401))))</f>
        <v>#REF!</v>
      </c>
      <c r="F401" s="690" t="str">
        <f t="array" ref="F401">IF($S401="","",IF($S401="Lớp 5",INDEX('Lớp 5 - Phân công'!$M$14:$M$262,$T401),IF($S401="Lớp 4",INDEX('Lớp 4 - Danh mục'!$L$14:$L$132,$T401),INDEX('Lớp 3 - Công việc chính'!$K$14:$K$73,$T401))))</f>
        <v>#REF!</v>
      </c>
      <c r="G401" s="691" t="str">
        <f t="array" ref="G401">IF($S401="","",IF($S401="Lớp 5",INDEX('Lớp 5 - Phân công'!$N$14:$N$262,$T401),IF($S401="Lớp 4",INDEX('Lớp 4 - Danh mục'!$M$14:$M$132,$T401),INDEX('Lớp 3 - Công việc chính'!$L$14:$L$73,$T401))))</f>
        <v>#REF!</v>
      </c>
      <c r="H401" s="692" t="str">
        <f t="array" ref="H401">IF($S401="","",IF($S401="Lớp 5",INDEX('Lớp 5 - Phân công'!$O$14:$O$262,$T401),IF($S401="Lớp 4",INDEX('Lớp 4 - Danh mục'!$N$14:$N$132,$T401),INDEX('Lớp 3 - Công việc chính'!$M$14:$M$73,$T401))))</f>
        <v>#REF!</v>
      </c>
      <c r="I401" s="692" t="str">
        <f t="array" ref="I401">IF($S401="","",IF($S401="Lớp 5",INDEX('Lớp 5 - Phân công'!$P$14:$P$262,$T401),IF($S401="Lớp 4",INDEX('Lớp 4 - Danh mục'!$O$14:$O$132,$T401),"")))</f>
        <v>#REF!</v>
      </c>
      <c r="J401" s="693" t="str">
        <f t="array" ref="J401">IF($S401="","",IF($S401="Lớp 5",INDEX('Lớp 5 - Phân công'!$Q$14:$Q$262,$T401),""))</f>
        <v>#REF!</v>
      </c>
      <c r="K401" s="690" t="str">
        <f t="array" ref="K401">IF($S401="","",IF($S401="Lớp 5",INDEX('Lớp 5 - Phân công'!$AA$14:$AA$262,$T401),IF($S401="Lớp 4",INDEX('Lớp 4 - Danh mục'!$Y$14:$Y$132,$T401),INDEX('Lớp 3 - Công việc chính'!$U$14:$U$73,$T401))))</f>
        <v>#REF!</v>
      </c>
      <c r="L401" s="691" t="str">
        <f t="array" ref="L401">IF($S401="","",IF($S401="Lớp 5",INDEX('Lớp 5 - Phân công'!$Z$14:$Z$262,$T401),IF($S401="Lớp 4",INDEX('Lớp 4 - Danh mục'!$X$14:$X$132,$T401),INDEX('Lớp 3 - Công việc chính'!$W$14:$W$73,$T401))))</f>
        <v>#REF!</v>
      </c>
      <c r="M401" s="694" t="str">
        <f t="array" ref="M401">IF($S401="","",IF($S401="Lớp 5",INDEX('Lớp 5 - Phân công'!$AD$14:$AD$262,$T401),IF($S401="Lớp 4",INDEX('Lớp 4 - Danh mục'!$AC$14:$AC$132,$T401),INDEX('Lớp 3 - Công việc chính'!$Z$14:$Z$73,$T401))))</f>
        <v>#REF!</v>
      </c>
      <c r="N401" s="695" t="str">
        <f t="array" ref="N401">IF($S401="","",IF($S401="Lớp 5",INDEX('Lớp 5 - Phân công'!$AE$14:$AE$262,$T401),IF($S401="Lớp 4",INDEX('Lớp 4 - Danh mục'!$AD$14:$AD$132,$T401),INDEX('Lớp 3 - Công việc chính'!$AA$14:$AA$73,$T401))))</f>
        <v>#REF!</v>
      </c>
      <c r="O401" s="690" t="str">
        <f t="array" ref="O401">IF($S401="","",IF($S401="Lớp 5",INDEX('Lớp 5 - Phân công'!$AB$14:$AB$262,$T401),IF($S401="Lớp 4",INDEX('Lớp 4 - Danh mục'!$AA$14:$AA$132,$T401),INDEX('Lớp 3 - Công việc chính'!$X$14:$X$73,$T401))))</f>
        <v>#REF!</v>
      </c>
      <c r="P401" s="703" t="str">
        <f t="array" ref="P401">IF($S401="","",IF($S401="Lớp 5",INDEX('Lớp 5 - Phân công'!$AC$14:$AC$262,$T401),IF($S401="Lớp 4",INDEX('Lớp 4 - Danh mục'!$AB$14:$AB$132,$T401),INDEX('Lớp 3 - Công việc chính'!$Y$14:$Y$73,$T401))))</f>
        <v>#REF!</v>
      </c>
      <c r="Q401" s="697" t="str">
        <f t="array" ref="Q401">IF($S401="","",IF($S401="Lớp 5",INDEX('Lớp 5 - Phân công'!$AG$14:$AG$262,$T401),IF($S401="Lớp 4",INDEX('Lớp 4 - Danh mục'!$AF$14:$AF$132,$T401),INDEX('Lớp 3 - Công việc chính'!$AC$14:$AC$73,$T401))))</f>
        <v>#REF!</v>
      </c>
      <c r="R401" s="698" t="str">
        <f t="array" ref="R401">IF($S401="","",IF($S401="Lớp 5",INDEX('Lớp 5 - Phân công'!$X$14:$X$262,$T401),IF($S401="Lớp 4",INDEX('Lớp 4 - Danh mục'!$V$14:$V$132,$T401),INDEX('Lớp 3 - Công việc chính'!$T$14:$T$73,$T401))))</f>
        <v>#REF!</v>
      </c>
      <c r="S401" s="699" t="str">
        <f>IF(ROWS($S$14:S401)&lt;=COUNTIF('Lớp 5 - Phân công'!$I$14:$I$262,"&lt;&gt;"),"Lớp 5",IF(ROWS($S$14:S401)&lt;=COUNTIF('Lớp 5 - Phân công'!$I$14:$I$262,"&lt;&gt;")+SUMPRODUCT(--('Lớp 4 - Danh mục'!$I$14:$I$132&lt;&gt;""),--(COUNTIF('Lớp 5 - Phân công'!$J$14:$J$262,'Lớp 4 - Danh mục'!$I$14:$I$132)=0)),"Lớp 4",IF(ROWS($S$14:S401)&lt;=COUNTIF('Lớp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1" s="699" t="str">
        <f t="array" ref="T401">IF(S401="","",IF(S401="Lớp 5",IF(S400&lt;&gt;"Lớp 5",MATCH("*",'Lớp 5 - Phân công'!$I$14:$I$262,0),T400+MATCH("*",INDEX('Lớp 5 - Phân công'!$I$14:$I$262,T400+1):'Lớp 5 - Phân công'!$I$262,0)),IF(S401="Lớp 4",IF(S400&lt;&gt;"Lớp 4",MATCH(1,INDEX(('Lớp 4 - Danh mục'!$I$14:$I$132&lt;&gt;"")*(COUNTIF('Lớp 5 - Phân công'!$J$14:$J$262,'Lớp 4 - Danh mục'!$I$14:$I$132)=0),0),0),T400+MATCH(1,INDEX((INDEX('Lớp 4 - Danh mục'!$I$14:$I$132,T400+1):'Lớp 4 - Danh mục'!$I$132&lt;&gt;"")*(COUNTIF('Lớp 5 - Phân công'!$J$14:$J$262,INDEX('Lớp 4 - Danh mục'!$I$14:$I$132,T400+1):'Lớp 4 - Danh mục'!$I$132)=0),0),0)),IF(S400&lt;&gt;"Lớp 3",MATCH(1,INDEX(('Lớp 3 - Công việc chính'!$I$14:$I$73&lt;&gt;"")*(COUNTIF('Lớp 4 - Danh mục'!$J$14:$J$132,'Lớp 3 - Công việc chính'!$I$14:$I$73)=0),0),0),T400+MATCH(1,INDEX((INDEX('Lớp 3 - Công việc chính'!$I$14:$I$73,T400+1):'Lớp 3 - Công việc chính'!$I$73&lt;&gt;"")*(COUNTIF('Lớp 4 - Danh mục'!$J$14:$J$132,INDEX('Lớp 3 - Công việc chính'!$I$14:$I$73,T400+1):'Lớp 3 - Công việc chính'!$I$73)=0),0),0)))))</f>
        <v>#REF!</v>
      </c>
      <c r="Z401" s="700" t="str">
        <f t="array" ref="Z401">IF($S401="","",IF($S401="Lớp 5",INDEX('Lớp 5 - Phân công'!$AS$14:$AS$262,$T401),IF($S401="Lớp 4",INDEX('Lớp 4 - Danh mục'!$AR$14:$AR$132,$T401),INDEX('Lớp 3 - Công việc chính'!$AO$14:$AO$73,$T401))))</f>
        <v>#REF!</v>
      </c>
      <c r="AA401" s="701" t="str">
        <f t="array" ref="AA401">IF($S401="","",IF($S401="Lớp 5",INDEX('Lớp 5 - Phân công'!$AT$14:$AT$262,$T401),IF($S401="Lớp 4",INDEX('Lớp 4 - Danh mục'!$AS$14:$AS$132,$T401),INDEX('Lớp 3 - Công việc chính'!$AP$14:$AP$73,$T401))))</f>
        <v>#REF!</v>
      </c>
      <c r="AB401" s="701" t="str">
        <f t="array" ref="AB401">IF($S401="","",IF($S401="Lớp 5",INDEX('Lớp 5 - Phân công'!$AJ$14:$AJ$262,$T401),IF($S401="Lớp 4",INDEX('Lớp 4 - Danh mục'!$AI$14:$AI$132,$T401),INDEX('Lớp 3 - Công việc chính'!$AF$14:$AF$73,$T401))))</f>
        <v>#REF!</v>
      </c>
      <c r="AC401" s="702" t="str">
        <f t="array" ref="AC401">IF($S401="","",IF($S401="Lớp 5",INDEX('Lớp 5 - Phân công'!$AV$14:$AV$262,$T401),IF($S401="Lớp 4",INDEX('Lớp 4 - Danh mục'!$AU$14:$AU$132,$T401),INDEX('Lớp 3 - Công việc chính'!$AR$14:$AR$73,$T401))))</f>
        <v>#REF!</v>
      </c>
    </row>
    <row r="402" ht="15.75" customHeight="1">
      <c r="A402" s="690" t="str">
        <f t="shared" si="1"/>
        <v>#REF!</v>
      </c>
      <c r="B402" s="690" t="str">
        <f t="array" ref="B402">IF($S402="","",IF($S402="Lớp 5",INDEX('Lớp 5 - Phân công'!$I$14:$I$262,$T402),IF($S402="Lớp 4",INDEX('Lớp 4 - Danh mục'!$I$14:$I$132,$T402),INDEX('Lớp 3 - Công việc chính'!$I$14:$I$73,$T402))))</f>
        <v>#REF!</v>
      </c>
      <c r="C402" s="690" t="str">
        <f t="array" ref="C402">IF($S402="","",IF($S402="Lớp 5",INDEX('Lớp 5 - Phân công'!$K$14:$K$262,$T402),IF($S402="Lớp 4",INDEX('Lớp 4 - Danh mục'!$J$14:$J$132,$T402),INDEX('Lớp 3 - Công việc chính'!$I$14:$I$73,$T402))))</f>
        <v>#REF!</v>
      </c>
      <c r="D402" s="690" t="str">
        <f t="array" ref="D402">IF($S402="","",IF($S402="Lớp 5",INDEX('Lớp 5 - Phân công'!$J$14:$J$262,$T402),IF($S402="Lớp 4",INDEX('Lớp 4 - Danh mục'!$I$14:$I$132,$T402),"")))</f>
        <v>#REF!</v>
      </c>
      <c r="E402" s="690" t="str">
        <f t="array" ref="E402">IF($S402="","",IF($S402="Lớp 5",INDEX('Lớp 5 - Phân công'!$L$14:$L$262,$T402),IF($S402="Lớp 4",INDEX('Lớp 4 - Danh mục'!$K$14:$K$132,$T402),INDEX('Lớp 3 - Công việc chính'!$J$14:$J$73,$T402))))</f>
        <v>#REF!</v>
      </c>
      <c r="F402" s="690" t="str">
        <f t="array" ref="F402">IF($S402="","",IF($S402="Lớp 5",INDEX('Lớp 5 - Phân công'!$M$14:$M$262,$T402),IF($S402="Lớp 4",INDEX('Lớp 4 - Danh mục'!$L$14:$L$132,$T402),INDEX('Lớp 3 - Công việc chính'!$K$14:$K$73,$T402))))</f>
        <v>#REF!</v>
      </c>
      <c r="G402" s="691" t="str">
        <f t="array" ref="G402">IF($S402="","",IF($S402="Lớp 5",INDEX('Lớp 5 - Phân công'!$N$14:$N$262,$T402),IF($S402="Lớp 4",INDEX('Lớp 4 - Danh mục'!$M$14:$M$132,$T402),INDEX('Lớp 3 - Công việc chính'!$L$14:$L$73,$T402))))</f>
        <v>#REF!</v>
      </c>
      <c r="H402" s="692" t="str">
        <f t="array" ref="H402">IF($S402="","",IF($S402="Lớp 5",INDEX('Lớp 5 - Phân công'!$O$14:$O$262,$T402),IF($S402="Lớp 4",INDEX('Lớp 4 - Danh mục'!$N$14:$N$132,$T402),INDEX('Lớp 3 - Công việc chính'!$M$14:$M$73,$T402))))</f>
        <v>#REF!</v>
      </c>
      <c r="I402" s="692" t="str">
        <f t="array" ref="I402">IF($S402="","",IF($S402="Lớp 5",INDEX('Lớp 5 - Phân công'!$P$14:$P$262,$T402),IF($S402="Lớp 4",INDEX('Lớp 4 - Danh mục'!$O$14:$O$132,$T402),"")))</f>
        <v>#REF!</v>
      </c>
      <c r="J402" s="693" t="str">
        <f t="array" ref="J402">IF($S402="","",IF($S402="Lớp 5",INDEX('Lớp 5 - Phân công'!$Q$14:$Q$262,$T402),""))</f>
        <v>#REF!</v>
      </c>
      <c r="K402" s="690" t="str">
        <f t="array" ref="K402">IF($S402="","",IF($S402="Lớp 5",INDEX('Lớp 5 - Phân công'!$AA$14:$AA$262,$T402),IF($S402="Lớp 4",INDEX('Lớp 4 - Danh mục'!$Y$14:$Y$132,$T402),INDEX('Lớp 3 - Công việc chính'!$U$14:$U$73,$T402))))</f>
        <v>#REF!</v>
      </c>
      <c r="L402" s="691" t="str">
        <f t="array" ref="L402">IF($S402="","",IF($S402="Lớp 5",INDEX('Lớp 5 - Phân công'!$Z$14:$Z$262,$T402),IF($S402="Lớp 4",INDEX('Lớp 4 - Danh mục'!$X$14:$X$132,$T402),INDEX('Lớp 3 - Công việc chính'!$W$14:$W$73,$T402))))</f>
        <v>#REF!</v>
      </c>
      <c r="M402" s="694" t="str">
        <f t="array" ref="M402">IF($S402="","",IF($S402="Lớp 5",INDEX('Lớp 5 - Phân công'!$AD$14:$AD$262,$T402),IF($S402="Lớp 4",INDEX('Lớp 4 - Danh mục'!$AC$14:$AC$132,$T402),INDEX('Lớp 3 - Công việc chính'!$Z$14:$Z$73,$T402))))</f>
        <v>#REF!</v>
      </c>
      <c r="N402" s="695" t="str">
        <f t="array" ref="N402">IF($S402="","",IF($S402="Lớp 5",INDEX('Lớp 5 - Phân công'!$AE$14:$AE$262,$T402),IF($S402="Lớp 4",INDEX('Lớp 4 - Danh mục'!$AD$14:$AD$132,$T402),INDEX('Lớp 3 - Công việc chính'!$AA$14:$AA$73,$T402))))</f>
        <v>#REF!</v>
      </c>
      <c r="O402" s="690" t="str">
        <f t="array" ref="O402">IF($S402="","",IF($S402="Lớp 5",INDEX('Lớp 5 - Phân công'!$AB$14:$AB$262,$T402),IF($S402="Lớp 4",INDEX('Lớp 4 - Danh mục'!$AA$14:$AA$132,$T402),INDEX('Lớp 3 - Công việc chính'!$X$14:$X$73,$T402))))</f>
        <v>#REF!</v>
      </c>
      <c r="P402" s="703" t="str">
        <f t="array" ref="P402">IF($S402="","",IF($S402="Lớp 5",INDEX('Lớp 5 - Phân công'!$AC$14:$AC$262,$T402),IF($S402="Lớp 4",INDEX('Lớp 4 - Danh mục'!$AB$14:$AB$132,$T402),INDEX('Lớp 3 - Công việc chính'!$Y$14:$Y$73,$T402))))</f>
        <v>#REF!</v>
      </c>
      <c r="Q402" s="697" t="str">
        <f t="array" ref="Q402">IF($S402="","",IF($S402="Lớp 5",INDEX('Lớp 5 - Phân công'!$AG$14:$AG$262,$T402),IF($S402="Lớp 4",INDEX('Lớp 4 - Danh mục'!$AF$14:$AF$132,$T402),INDEX('Lớp 3 - Công việc chính'!$AC$14:$AC$73,$T402))))</f>
        <v>#REF!</v>
      </c>
      <c r="R402" s="698" t="str">
        <f t="array" ref="R402">IF($S402="","",IF($S402="Lớp 5",INDEX('Lớp 5 - Phân công'!$X$14:$X$262,$T402),IF($S402="Lớp 4",INDEX('Lớp 4 - Danh mục'!$V$14:$V$132,$T402),INDEX('Lớp 3 - Công việc chính'!$T$14:$T$73,$T402))))</f>
        <v>#REF!</v>
      </c>
      <c r="S402" s="699" t="str">
        <f>IF(ROWS($S$14:S402)&lt;=COUNTIF('Lớp 5 - Phân công'!$I$14:$I$262,"&lt;&gt;"),"Lớp 5",IF(ROWS($S$14:S402)&lt;=COUNTIF('Lớp 5 - Phân công'!$I$14:$I$262,"&lt;&gt;")+SUMPRODUCT(--('Lớp 4 - Danh mục'!$I$14:$I$132&lt;&gt;""),--(COUNTIF('Lớp 5 - Phân công'!$J$14:$J$262,'Lớp 4 - Danh mục'!$I$14:$I$132)=0)),"Lớp 4",IF(ROWS($S$14:S402)&lt;=COUNTIF('Lớp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2" s="699" t="str">
        <f t="array" ref="T402">IF(S402="","",IF(S402="Lớp 5",IF(S401&lt;&gt;"Lớp 5",MATCH("*",'Lớp 5 - Phân công'!$I$14:$I$262,0),T401+MATCH("*",INDEX('Lớp 5 - Phân công'!$I$14:$I$262,T401+1):'Lớp 5 - Phân công'!$I$262,0)),IF(S402="Lớp 4",IF(S401&lt;&gt;"Lớp 4",MATCH(1,INDEX(('Lớp 4 - Danh mục'!$I$14:$I$132&lt;&gt;"")*(COUNTIF('Lớp 5 - Phân công'!$J$14:$J$262,'Lớp 4 - Danh mục'!$I$14:$I$132)=0),0),0),T401+MATCH(1,INDEX((INDEX('Lớp 4 - Danh mục'!$I$14:$I$132,T401+1):'Lớp 4 - Danh mục'!$I$132&lt;&gt;"")*(COUNTIF('Lớp 5 - Phân công'!$J$14:$J$262,INDEX('Lớp 4 - Danh mục'!$I$14:$I$132,T401+1):'Lớp 4 - Danh mục'!$I$132)=0),0),0)),IF(S401&lt;&gt;"Lớp 3",MATCH(1,INDEX(('Lớp 3 - Công việc chính'!$I$14:$I$73&lt;&gt;"")*(COUNTIF('Lớp 4 - Danh mục'!$J$14:$J$132,'Lớp 3 - Công việc chính'!$I$14:$I$73)=0),0),0),T401+MATCH(1,INDEX((INDEX('Lớp 3 - Công việc chính'!$I$14:$I$73,T401+1):'Lớp 3 - Công việc chính'!$I$73&lt;&gt;"")*(COUNTIF('Lớp 4 - Danh mục'!$J$14:$J$132,INDEX('Lớp 3 - Công việc chính'!$I$14:$I$73,T401+1):'Lớp 3 - Công việc chính'!$I$73)=0),0),0)))))</f>
        <v>#REF!</v>
      </c>
      <c r="Z402" s="700" t="str">
        <f t="array" ref="Z402">IF($S402="","",IF($S402="Lớp 5",INDEX('Lớp 5 - Phân công'!$AS$14:$AS$262,$T402),IF($S402="Lớp 4",INDEX('Lớp 4 - Danh mục'!$AR$14:$AR$132,$T402),INDEX('Lớp 3 - Công việc chính'!$AO$14:$AO$73,$T402))))</f>
        <v>#REF!</v>
      </c>
      <c r="AA402" s="701" t="str">
        <f t="array" ref="AA402">IF($S402="","",IF($S402="Lớp 5",INDEX('Lớp 5 - Phân công'!$AT$14:$AT$262,$T402),IF($S402="Lớp 4",INDEX('Lớp 4 - Danh mục'!$AS$14:$AS$132,$T402),INDEX('Lớp 3 - Công việc chính'!$AP$14:$AP$73,$T402))))</f>
        <v>#REF!</v>
      </c>
      <c r="AB402" s="701" t="str">
        <f t="array" ref="AB402">IF($S402="","",IF($S402="Lớp 5",INDEX('Lớp 5 - Phân công'!$AJ$14:$AJ$262,$T402),IF($S402="Lớp 4",INDEX('Lớp 4 - Danh mục'!$AI$14:$AI$132,$T402),INDEX('Lớp 3 - Công việc chính'!$AF$14:$AF$73,$T402))))</f>
        <v>#REF!</v>
      </c>
      <c r="AC402" s="702" t="str">
        <f t="array" ref="AC402">IF($S402="","",IF($S402="Lớp 5",INDEX('Lớp 5 - Phân công'!$AV$14:$AV$262,$T402),IF($S402="Lớp 4",INDEX('Lớp 4 - Danh mục'!$AU$14:$AU$132,$T402),INDEX('Lớp 3 - Công việc chính'!$AR$14:$AR$73,$T402))))</f>
        <v>#REF!</v>
      </c>
    </row>
    <row r="403" ht="15.75" customHeight="1">
      <c r="A403" s="690" t="str">
        <f t="shared" si="1"/>
        <v>#REF!</v>
      </c>
      <c r="B403" s="690" t="str">
        <f t="array" ref="B403">IF($S403="","",IF($S403="Lớp 5",INDEX('Lớp 5 - Phân công'!$I$14:$I$262,$T403),IF($S403="Lớp 4",INDEX('Lớp 4 - Danh mục'!$I$14:$I$132,$T403),INDEX('Lớp 3 - Công việc chính'!$I$14:$I$73,$T403))))</f>
        <v>#REF!</v>
      </c>
      <c r="C403" s="690" t="str">
        <f t="array" ref="C403">IF($S403="","",IF($S403="Lớp 5",INDEX('Lớp 5 - Phân công'!$K$14:$K$262,$T403),IF($S403="Lớp 4",INDEX('Lớp 4 - Danh mục'!$J$14:$J$132,$T403),INDEX('Lớp 3 - Công việc chính'!$I$14:$I$73,$T403))))</f>
        <v>#REF!</v>
      </c>
      <c r="D403" s="690" t="str">
        <f t="array" ref="D403">IF($S403="","",IF($S403="Lớp 5",INDEX('Lớp 5 - Phân công'!$J$14:$J$262,$T403),IF($S403="Lớp 4",INDEX('Lớp 4 - Danh mục'!$I$14:$I$132,$T403),"")))</f>
        <v>#REF!</v>
      </c>
      <c r="E403" s="690" t="str">
        <f t="array" ref="E403">IF($S403="","",IF($S403="Lớp 5",INDEX('Lớp 5 - Phân công'!$L$14:$L$262,$T403),IF($S403="Lớp 4",INDEX('Lớp 4 - Danh mục'!$K$14:$K$132,$T403),INDEX('Lớp 3 - Công việc chính'!$J$14:$J$73,$T403))))</f>
        <v>#REF!</v>
      </c>
      <c r="F403" s="690" t="str">
        <f t="array" ref="F403">IF($S403="","",IF($S403="Lớp 5",INDEX('Lớp 5 - Phân công'!$M$14:$M$262,$T403),IF($S403="Lớp 4",INDEX('Lớp 4 - Danh mục'!$L$14:$L$132,$T403),INDEX('Lớp 3 - Công việc chính'!$K$14:$K$73,$T403))))</f>
        <v>#REF!</v>
      </c>
      <c r="G403" s="691" t="str">
        <f t="array" ref="G403">IF($S403="","",IF($S403="Lớp 5",INDEX('Lớp 5 - Phân công'!$N$14:$N$262,$T403),IF($S403="Lớp 4",INDEX('Lớp 4 - Danh mục'!$M$14:$M$132,$T403),INDEX('Lớp 3 - Công việc chính'!$L$14:$L$73,$T403))))</f>
        <v>#REF!</v>
      </c>
      <c r="H403" s="692" t="str">
        <f t="array" ref="H403">IF($S403="","",IF($S403="Lớp 5",INDEX('Lớp 5 - Phân công'!$O$14:$O$262,$T403),IF($S403="Lớp 4",INDEX('Lớp 4 - Danh mục'!$N$14:$N$132,$T403),INDEX('Lớp 3 - Công việc chính'!$M$14:$M$73,$T403))))</f>
        <v>#REF!</v>
      </c>
      <c r="I403" s="692" t="str">
        <f t="array" ref="I403">IF($S403="","",IF($S403="Lớp 5",INDEX('Lớp 5 - Phân công'!$P$14:$P$262,$T403),IF($S403="Lớp 4",INDEX('Lớp 4 - Danh mục'!$O$14:$O$132,$T403),"")))</f>
        <v>#REF!</v>
      </c>
      <c r="J403" s="693" t="str">
        <f t="array" ref="J403">IF($S403="","",IF($S403="Lớp 5",INDEX('Lớp 5 - Phân công'!$Q$14:$Q$262,$T403),""))</f>
        <v>#REF!</v>
      </c>
      <c r="K403" s="690" t="str">
        <f t="array" ref="K403">IF($S403="","",IF($S403="Lớp 5",INDEX('Lớp 5 - Phân công'!$AA$14:$AA$262,$T403),IF($S403="Lớp 4",INDEX('Lớp 4 - Danh mục'!$Y$14:$Y$132,$T403),INDEX('Lớp 3 - Công việc chính'!$U$14:$U$73,$T403))))</f>
        <v>#REF!</v>
      </c>
      <c r="L403" s="691" t="str">
        <f t="array" ref="L403">IF($S403="","",IF($S403="Lớp 5",INDEX('Lớp 5 - Phân công'!$Z$14:$Z$262,$T403),IF($S403="Lớp 4",INDEX('Lớp 4 - Danh mục'!$X$14:$X$132,$T403),INDEX('Lớp 3 - Công việc chính'!$W$14:$W$73,$T403))))</f>
        <v>#REF!</v>
      </c>
      <c r="M403" s="694" t="str">
        <f t="array" ref="M403">IF($S403="","",IF($S403="Lớp 5",INDEX('Lớp 5 - Phân công'!$AD$14:$AD$262,$T403),IF($S403="Lớp 4",INDEX('Lớp 4 - Danh mục'!$AC$14:$AC$132,$T403),INDEX('Lớp 3 - Công việc chính'!$Z$14:$Z$73,$T403))))</f>
        <v>#REF!</v>
      </c>
      <c r="N403" s="695" t="str">
        <f t="array" ref="N403">IF($S403="","",IF($S403="Lớp 5",INDEX('Lớp 5 - Phân công'!$AE$14:$AE$262,$T403),IF($S403="Lớp 4",INDEX('Lớp 4 - Danh mục'!$AD$14:$AD$132,$T403),INDEX('Lớp 3 - Công việc chính'!$AA$14:$AA$73,$T403))))</f>
        <v>#REF!</v>
      </c>
      <c r="O403" s="690" t="str">
        <f t="array" ref="O403">IF($S403="","",IF($S403="Lớp 5",INDEX('Lớp 5 - Phân công'!$AB$14:$AB$262,$T403),IF($S403="Lớp 4",INDEX('Lớp 4 - Danh mục'!$AA$14:$AA$132,$T403),INDEX('Lớp 3 - Công việc chính'!$X$14:$X$73,$T403))))</f>
        <v>#REF!</v>
      </c>
      <c r="P403" s="703" t="str">
        <f t="array" ref="P403">IF($S403="","",IF($S403="Lớp 5",INDEX('Lớp 5 - Phân công'!$AC$14:$AC$262,$T403),IF($S403="Lớp 4",INDEX('Lớp 4 - Danh mục'!$AB$14:$AB$132,$T403),INDEX('Lớp 3 - Công việc chính'!$Y$14:$Y$73,$T403))))</f>
        <v>#REF!</v>
      </c>
      <c r="Q403" s="697" t="str">
        <f t="array" ref="Q403">IF($S403="","",IF($S403="Lớp 5",INDEX('Lớp 5 - Phân công'!$AG$14:$AG$262,$T403),IF($S403="Lớp 4",INDEX('Lớp 4 - Danh mục'!$AF$14:$AF$132,$T403),INDEX('Lớp 3 - Công việc chính'!$AC$14:$AC$73,$T403))))</f>
        <v>#REF!</v>
      </c>
      <c r="R403" s="698" t="str">
        <f t="array" ref="R403">IF($S403="","",IF($S403="Lớp 5",INDEX('Lớp 5 - Phân công'!$X$14:$X$262,$T403),IF($S403="Lớp 4",INDEX('Lớp 4 - Danh mục'!$V$14:$V$132,$T403),INDEX('Lớp 3 - Công việc chính'!$T$14:$T$73,$T403))))</f>
        <v>#REF!</v>
      </c>
      <c r="S403" s="699" t="str">
        <f>IF(ROWS($S$14:S403)&lt;=COUNTIF('Lớp 5 - Phân công'!$I$14:$I$262,"&lt;&gt;"),"Lớp 5",IF(ROWS($S$14:S403)&lt;=COUNTIF('Lớp 5 - Phân công'!$I$14:$I$262,"&lt;&gt;")+SUMPRODUCT(--('Lớp 4 - Danh mục'!$I$14:$I$132&lt;&gt;""),--(COUNTIF('Lớp 5 - Phân công'!$J$14:$J$262,'Lớp 4 - Danh mục'!$I$14:$I$132)=0)),"Lớp 4",IF(ROWS($S$14:S403)&lt;=COUNTIF('Lớp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3" s="699" t="str">
        <f t="array" ref="T403">IF(S403="","",IF(S403="Lớp 5",IF(S402&lt;&gt;"Lớp 5",MATCH("*",'Lớp 5 - Phân công'!$I$14:$I$262,0),T402+MATCH("*",INDEX('Lớp 5 - Phân công'!$I$14:$I$262,T402+1):'Lớp 5 - Phân công'!$I$262,0)),IF(S403="Lớp 4",IF(S402&lt;&gt;"Lớp 4",MATCH(1,INDEX(('Lớp 4 - Danh mục'!$I$14:$I$132&lt;&gt;"")*(COUNTIF('Lớp 5 - Phân công'!$J$14:$J$262,'Lớp 4 - Danh mục'!$I$14:$I$132)=0),0),0),T402+MATCH(1,INDEX((INDEX('Lớp 4 - Danh mục'!$I$14:$I$132,T402+1):'Lớp 4 - Danh mục'!$I$132&lt;&gt;"")*(COUNTIF('Lớp 5 - Phân công'!$J$14:$J$262,INDEX('Lớp 4 - Danh mục'!$I$14:$I$132,T402+1):'Lớp 4 - Danh mục'!$I$132)=0),0),0)),IF(S402&lt;&gt;"Lớp 3",MATCH(1,INDEX(('Lớp 3 - Công việc chính'!$I$14:$I$73&lt;&gt;"")*(COUNTIF('Lớp 4 - Danh mục'!$J$14:$J$132,'Lớp 3 - Công việc chính'!$I$14:$I$73)=0),0),0),T402+MATCH(1,INDEX((INDEX('Lớp 3 - Công việc chính'!$I$14:$I$73,T402+1):'Lớp 3 - Công việc chính'!$I$73&lt;&gt;"")*(COUNTIF('Lớp 4 - Danh mục'!$J$14:$J$132,INDEX('Lớp 3 - Công việc chính'!$I$14:$I$73,T402+1):'Lớp 3 - Công việc chính'!$I$73)=0),0),0)))))</f>
        <v>#REF!</v>
      </c>
      <c r="Z403" s="700" t="str">
        <f t="array" ref="Z403">IF($S403="","",IF($S403="Lớp 5",INDEX('Lớp 5 - Phân công'!$AS$14:$AS$262,$T403),IF($S403="Lớp 4",INDEX('Lớp 4 - Danh mục'!$AR$14:$AR$132,$T403),INDEX('Lớp 3 - Công việc chính'!$AO$14:$AO$73,$T403))))</f>
        <v>#REF!</v>
      </c>
      <c r="AA403" s="701" t="str">
        <f t="array" ref="AA403">IF($S403="","",IF($S403="Lớp 5",INDEX('Lớp 5 - Phân công'!$AT$14:$AT$262,$T403),IF($S403="Lớp 4",INDEX('Lớp 4 - Danh mục'!$AS$14:$AS$132,$T403),INDEX('Lớp 3 - Công việc chính'!$AP$14:$AP$73,$T403))))</f>
        <v>#REF!</v>
      </c>
      <c r="AB403" s="701" t="str">
        <f t="array" ref="AB403">IF($S403="","",IF($S403="Lớp 5",INDEX('Lớp 5 - Phân công'!$AJ$14:$AJ$262,$T403),IF($S403="Lớp 4",INDEX('Lớp 4 - Danh mục'!$AI$14:$AI$132,$T403),INDEX('Lớp 3 - Công việc chính'!$AF$14:$AF$73,$T403))))</f>
        <v>#REF!</v>
      </c>
      <c r="AC403" s="702" t="str">
        <f t="array" ref="AC403">IF($S403="","",IF($S403="Lớp 5",INDEX('Lớp 5 - Phân công'!$AV$14:$AV$262,$T403),IF($S403="Lớp 4",INDEX('Lớp 4 - Danh mục'!$AU$14:$AU$132,$T403),INDEX('Lớp 3 - Công việc chính'!$AR$14:$AR$73,$T403))))</f>
        <v>#REF!</v>
      </c>
    </row>
    <row r="404" ht="15.75" customHeight="1">
      <c r="A404" s="690" t="str">
        <f t="shared" si="1"/>
        <v>#REF!</v>
      </c>
      <c r="B404" s="690" t="str">
        <f t="array" ref="B404">IF($S404="","",IF($S404="Lớp 5",INDEX('Lớp 5 - Phân công'!$I$14:$I$262,$T404),IF($S404="Lớp 4",INDEX('Lớp 4 - Danh mục'!$I$14:$I$132,$T404),INDEX('Lớp 3 - Công việc chính'!$I$14:$I$73,$T404))))</f>
        <v>#REF!</v>
      </c>
      <c r="C404" s="690" t="str">
        <f t="array" ref="C404">IF($S404="","",IF($S404="Lớp 5",INDEX('Lớp 5 - Phân công'!$K$14:$K$262,$T404),IF($S404="Lớp 4",INDEX('Lớp 4 - Danh mục'!$J$14:$J$132,$T404),INDEX('Lớp 3 - Công việc chính'!$I$14:$I$73,$T404))))</f>
        <v>#REF!</v>
      </c>
      <c r="D404" s="690" t="str">
        <f t="array" ref="D404">IF($S404="","",IF($S404="Lớp 5",INDEX('Lớp 5 - Phân công'!$J$14:$J$262,$T404),IF($S404="Lớp 4",INDEX('Lớp 4 - Danh mục'!$I$14:$I$132,$T404),"")))</f>
        <v>#REF!</v>
      </c>
      <c r="E404" s="690" t="str">
        <f t="array" ref="E404">IF($S404="","",IF($S404="Lớp 5",INDEX('Lớp 5 - Phân công'!$L$14:$L$262,$T404),IF($S404="Lớp 4",INDEX('Lớp 4 - Danh mục'!$K$14:$K$132,$T404),INDEX('Lớp 3 - Công việc chính'!$J$14:$J$73,$T404))))</f>
        <v>#REF!</v>
      </c>
      <c r="F404" s="690" t="str">
        <f t="array" ref="F404">IF($S404="","",IF($S404="Lớp 5",INDEX('Lớp 5 - Phân công'!$M$14:$M$262,$T404),IF($S404="Lớp 4",INDEX('Lớp 4 - Danh mục'!$L$14:$L$132,$T404),INDEX('Lớp 3 - Công việc chính'!$K$14:$K$73,$T404))))</f>
        <v>#REF!</v>
      </c>
      <c r="G404" s="691" t="str">
        <f t="array" ref="G404">IF($S404="","",IF($S404="Lớp 5",INDEX('Lớp 5 - Phân công'!$N$14:$N$262,$T404),IF($S404="Lớp 4",INDEX('Lớp 4 - Danh mục'!$M$14:$M$132,$T404),INDEX('Lớp 3 - Công việc chính'!$L$14:$L$73,$T404))))</f>
        <v>#REF!</v>
      </c>
      <c r="H404" s="692" t="str">
        <f t="array" ref="H404">IF($S404="","",IF($S404="Lớp 5",INDEX('Lớp 5 - Phân công'!$O$14:$O$262,$T404),IF($S404="Lớp 4",INDEX('Lớp 4 - Danh mục'!$N$14:$N$132,$T404),INDEX('Lớp 3 - Công việc chính'!$M$14:$M$73,$T404))))</f>
        <v>#REF!</v>
      </c>
      <c r="I404" s="692" t="str">
        <f t="array" ref="I404">IF($S404="","",IF($S404="Lớp 5",INDEX('Lớp 5 - Phân công'!$P$14:$P$262,$T404),IF($S404="Lớp 4",INDEX('Lớp 4 - Danh mục'!$O$14:$O$132,$T404),"")))</f>
        <v>#REF!</v>
      </c>
      <c r="J404" s="693" t="str">
        <f t="array" ref="J404">IF($S404="","",IF($S404="Lớp 5",INDEX('Lớp 5 - Phân công'!$Q$14:$Q$262,$T404),""))</f>
        <v>#REF!</v>
      </c>
      <c r="K404" s="690" t="str">
        <f t="array" ref="K404">IF($S404="","",IF($S404="Lớp 5",INDEX('Lớp 5 - Phân công'!$AA$14:$AA$262,$T404),IF($S404="Lớp 4",INDEX('Lớp 4 - Danh mục'!$Y$14:$Y$132,$T404),INDEX('Lớp 3 - Công việc chính'!$U$14:$U$73,$T404))))</f>
        <v>#REF!</v>
      </c>
      <c r="L404" s="691" t="str">
        <f t="array" ref="L404">IF($S404="","",IF($S404="Lớp 5",INDEX('Lớp 5 - Phân công'!$Z$14:$Z$262,$T404),IF($S404="Lớp 4",INDEX('Lớp 4 - Danh mục'!$X$14:$X$132,$T404),INDEX('Lớp 3 - Công việc chính'!$W$14:$W$73,$T404))))</f>
        <v>#REF!</v>
      </c>
      <c r="M404" s="694" t="str">
        <f t="array" ref="M404">IF($S404="","",IF($S404="Lớp 5",INDEX('Lớp 5 - Phân công'!$AD$14:$AD$262,$T404),IF($S404="Lớp 4",INDEX('Lớp 4 - Danh mục'!$AC$14:$AC$132,$T404),INDEX('Lớp 3 - Công việc chính'!$Z$14:$Z$73,$T404))))</f>
        <v>#REF!</v>
      </c>
      <c r="N404" s="695" t="str">
        <f t="array" ref="N404">IF($S404="","",IF($S404="Lớp 5",INDEX('Lớp 5 - Phân công'!$AE$14:$AE$262,$T404),IF($S404="Lớp 4",INDEX('Lớp 4 - Danh mục'!$AD$14:$AD$132,$T404),INDEX('Lớp 3 - Công việc chính'!$AA$14:$AA$73,$T404))))</f>
        <v>#REF!</v>
      </c>
      <c r="O404" s="690" t="str">
        <f t="array" ref="O404">IF($S404="","",IF($S404="Lớp 5",INDEX('Lớp 5 - Phân công'!$AB$14:$AB$262,$T404),IF($S404="Lớp 4",INDEX('Lớp 4 - Danh mục'!$AA$14:$AA$132,$T404),INDEX('Lớp 3 - Công việc chính'!$X$14:$X$73,$T404))))</f>
        <v>#REF!</v>
      </c>
      <c r="P404" s="703" t="str">
        <f t="array" ref="P404">IF($S404="","",IF($S404="Lớp 5",INDEX('Lớp 5 - Phân công'!$AC$14:$AC$262,$T404),IF($S404="Lớp 4",INDEX('Lớp 4 - Danh mục'!$AB$14:$AB$132,$T404),INDEX('Lớp 3 - Công việc chính'!$Y$14:$Y$73,$T404))))</f>
        <v>#REF!</v>
      </c>
      <c r="Q404" s="697" t="str">
        <f t="array" ref="Q404">IF($S404="","",IF($S404="Lớp 5",INDEX('Lớp 5 - Phân công'!$AG$14:$AG$262,$T404),IF($S404="Lớp 4",INDEX('Lớp 4 - Danh mục'!$AF$14:$AF$132,$T404),INDEX('Lớp 3 - Công việc chính'!$AC$14:$AC$73,$T404))))</f>
        <v>#REF!</v>
      </c>
      <c r="R404" s="698" t="str">
        <f t="array" ref="R404">IF($S404="","",IF($S404="Lớp 5",INDEX('Lớp 5 - Phân công'!$X$14:$X$262,$T404),IF($S404="Lớp 4",INDEX('Lớp 4 - Danh mục'!$V$14:$V$132,$T404),INDEX('Lớp 3 - Công việc chính'!$T$14:$T$73,$T404))))</f>
        <v>#REF!</v>
      </c>
      <c r="S404" s="699" t="str">
        <f>IF(ROWS($S$14:S404)&lt;=COUNTIF('Lớp 5 - Phân công'!$I$14:$I$262,"&lt;&gt;"),"Lớp 5",IF(ROWS($S$14:S404)&lt;=COUNTIF('Lớp 5 - Phân công'!$I$14:$I$262,"&lt;&gt;")+SUMPRODUCT(--('Lớp 4 - Danh mục'!$I$14:$I$132&lt;&gt;""),--(COUNTIF('Lớp 5 - Phân công'!$J$14:$J$262,'Lớp 4 - Danh mục'!$I$14:$I$132)=0)),"Lớp 4",IF(ROWS($S$14:S404)&lt;=COUNTIF('Lớp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4" s="699" t="str">
        <f t="array" ref="T404">IF(S404="","",IF(S404="Lớp 5",IF(S403&lt;&gt;"Lớp 5",MATCH("*",'Lớp 5 - Phân công'!$I$14:$I$262,0),T403+MATCH("*",INDEX('Lớp 5 - Phân công'!$I$14:$I$262,T403+1):'Lớp 5 - Phân công'!$I$262,0)),IF(S404="Lớp 4",IF(S403&lt;&gt;"Lớp 4",MATCH(1,INDEX(('Lớp 4 - Danh mục'!$I$14:$I$132&lt;&gt;"")*(COUNTIF('Lớp 5 - Phân công'!$J$14:$J$262,'Lớp 4 - Danh mục'!$I$14:$I$132)=0),0),0),T403+MATCH(1,INDEX((INDEX('Lớp 4 - Danh mục'!$I$14:$I$132,T403+1):'Lớp 4 - Danh mục'!$I$132&lt;&gt;"")*(COUNTIF('Lớp 5 - Phân công'!$J$14:$J$262,INDEX('Lớp 4 - Danh mục'!$I$14:$I$132,T403+1):'Lớp 4 - Danh mục'!$I$132)=0),0),0)),IF(S403&lt;&gt;"Lớp 3",MATCH(1,INDEX(('Lớp 3 - Công việc chính'!$I$14:$I$73&lt;&gt;"")*(COUNTIF('Lớp 4 - Danh mục'!$J$14:$J$132,'Lớp 3 - Công việc chính'!$I$14:$I$73)=0),0),0),T403+MATCH(1,INDEX((INDEX('Lớp 3 - Công việc chính'!$I$14:$I$73,T403+1):'Lớp 3 - Công việc chính'!$I$73&lt;&gt;"")*(COUNTIF('Lớp 4 - Danh mục'!$J$14:$J$132,INDEX('Lớp 3 - Công việc chính'!$I$14:$I$73,T403+1):'Lớp 3 - Công việc chính'!$I$73)=0),0),0)))))</f>
        <v>#REF!</v>
      </c>
      <c r="Z404" s="700" t="str">
        <f t="array" ref="Z404">IF($S404="","",IF($S404="Lớp 5",INDEX('Lớp 5 - Phân công'!$AS$14:$AS$262,$T404),IF($S404="Lớp 4",INDEX('Lớp 4 - Danh mục'!$AR$14:$AR$132,$T404),INDEX('Lớp 3 - Công việc chính'!$AO$14:$AO$73,$T404))))</f>
        <v>#REF!</v>
      </c>
      <c r="AA404" s="701" t="str">
        <f t="array" ref="AA404">IF($S404="","",IF($S404="Lớp 5",INDEX('Lớp 5 - Phân công'!$AT$14:$AT$262,$T404),IF($S404="Lớp 4",INDEX('Lớp 4 - Danh mục'!$AS$14:$AS$132,$T404),INDEX('Lớp 3 - Công việc chính'!$AP$14:$AP$73,$T404))))</f>
        <v>#REF!</v>
      </c>
      <c r="AB404" s="701" t="str">
        <f t="array" ref="AB404">IF($S404="","",IF($S404="Lớp 5",INDEX('Lớp 5 - Phân công'!$AJ$14:$AJ$262,$T404),IF($S404="Lớp 4",INDEX('Lớp 4 - Danh mục'!$AI$14:$AI$132,$T404),INDEX('Lớp 3 - Công việc chính'!$AF$14:$AF$73,$T404))))</f>
        <v>#REF!</v>
      </c>
      <c r="AC404" s="702" t="str">
        <f t="array" ref="AC404">IF($S404="","",IF($S404="Lớp 5",INDEX('Lớp 5 - Phân công'!$AV$14:$AV$262,$T404),IF($S404="Lớp 4",INDEX('Lớp 4 - Danh mục'!$AU$14:$AU$132,$T404),INDEX('Lớp 3 - Công việc chính'!$AR$14:$AR$73,$T404))))</f>
        <v>#REF!</v>
      </c>
    </row>
    <row r="405" ht="15.75" customHeight="1">
      <c r="A405" s="690" t="str">
        <f t="shared" si="1"/>
        <v>#REF!</v>
      </c>
      <c r="B405" s="690" t="str">
        <f t="array" ref="B405">IF($S405="","",IF($S405="Lớp 5",INDEX('Lớp 5 - Phân công'!$I$14:$I$262,$T405),IF($S405="Lớp 4",INDEX('Lớp 4 - Danh mục'!$I$14:$I$132,$T405),INDEX('Lớp 3 - Công việc chính'!$I$14:$I$73,$T405))))</f>
        <v>#REF!</v>
      </c>
      <c r="C405" s="690" t="str">
        <f t="array" ref="C405">IF($S405="","",IF($S405="Lớp 5",INDEX('Lớp 5 - Phân công'!$K$14:$K$262,$T405),IF($S405="Lớp 4",INDEX('Lớp 4 - Danh mục'!$J$14:$J$132,$T405),INDEX('Lớp 3 - Công việc chính'!$I$14:$I$73,$T405))))</f>
        <v>#REF!</v>
      </c>
      <c r="D405" s="690" t="str">
        <f t="array" ref="D405">IF($S405="","",IF($S405="Lớp 5",INDEX('Lớp 5 - Phân công'!$J$14:$J$262,$T405),IF($S405="Lớp 4",INDEX('Lớp 4 - Danh mục'!$I$14:$I$132,$T405),"")))</f>
        <v>#REF!</v>
      </c>
      <c r="E405" s="690" t="str">
        <f t="array" ref="E405">IF($S405="","",IF($S405="Lớp 5",INDEX('Lớp 5 - Phân công'!$L$14:$L$262,$T405),IF($S405="Lớp 4",INDEX('Lớp 4 - Danh mục'!$K$14:$K$132,$T405),INDEX('Lớp 3 - Công việc chính'!$J$14:$J$73,$T405))))</f>
        <v>#REF!</v>
      </c>
      <c r="F405" s="690" t="str">
        <f t="array" ref="F405">IF($S405="","",IF($S405="Lớp 5",INDEX('Lớp 5 - Phân công'!$M$14:$M$262,$T405),IF($S405="Lớp 4",INDEX('Lớp 4 - Danh mục'!$L$14:$L$132,$T405),INDEX('Lớp 3 - Công việc chính'!$K$14:$K$73,$T405))))</f>
        <v>#REF!</v>
      </c>
      <c r="G405" s="691" t="str">
        <f t="array" ref="G405">IF($S405="","",IF($S405="Lớp 5",INDEX('Lớp 5 - Phân công'!$N$14:$N$262,$T405),IF($S405="Lớp 4",INDEX('Lớp 4 - Danh mục'!$M$14:$M$132,$T405),INDEX('Lớp 3 - Công việc chính'!$L$14:$L$73,$T405))))</f>
        <v>#REF!</v>
      </c>
      <c r="H405" s="692" t="str">
        <f t="array" ref="H405">IF($S405="","",IF($S405="Lớp 5",INDEX('Lớp 5 - Phân công'!$O$14:$O$262,$T405),IF($S405="Lớp 4",INDEX('Lớp 4 - Danh mục'!$N$14:$N$132,$T405),INDEX('Lớp 3 - Công việc chính'!$M$14:$M$73,$T405))))</f>
        <v>#REF!</v>
      </c>
      <c r="I405" s="692" t="str">
        <f t="array" ref="I405">IF($S405="","",IF($S405="Lớp 5",INDEX('Lớp 5 - Phân công'!$P$14:$P$262,$T405),IF($S405="Lớp 4",INDEX('Lớp 4 - Danh mục'!$O$14:$O$132,$T405),"")))</f>
        <v>#REF!</v>
      </c>
      <c r="J405" s="693" t="str">
        <f t="array" ref="J405">IF($S405="","",IF($S405="Lớp 5",INDEX('Lớp 5 - Phân công'!$Q$14:$Q$262,$T405),""))</f>
        <v>#REF!</v>
      </c>
      <c r="K405" s="690" t="str">
        <f t="array" ref="K405">IF($S405="","",IF($S405="Lớp 5",INDEX('Lớp 5 - Phân công'!$AA$14:$AA$262,$T405),IF($S405="Lớp 4",INDEX('Lớp 4 - Danh mục'!$Y$14:$Y$132,$T405),INDEX('Lớp 3 - Công việc chính'!$U$14:$U$73,$T405))))</f>
        <v>#REF!</v>
      </c>
      <c r="L405" s="691" t="str">
        <f t="array" ref="L405">IF($S405="","",IF($S405="Lớp 5",INDEX('Lớp 5 - Phân công'!$Z$14:$Z$262,$T405),IF($S405="Lớp 4",INDEX('Lớp 4 - Danh mục'!$X$14:$X$132,$T405),INDEX('Lớp 3 - Công việc chính'!$W$14:$W$73,$T405))))</f>
        <v>#REF!</v>
      </c>
      <c r="M405" s="694" t="str">
        <f t="array" ref="M405">IF($S405="","",IF($S405="Lớp 5",INDEX('Lớp 5 - Phân công'!$AD$14:$AD$262,$T405),IF($S405="Lớp 4",INDEX('Lớp 4 - Danh mục'!$AC$14:$AC$132,$T405),INDEX('Lớp 3 - Công việc chính'!$Z$14:$Z$73,$T405))))</f>
        <v>#REF!</v>
      </c>
      <c r="N405" s="695" t="str">
        <f t="array" ref="N405">IF($S405="","",IF($S405="Lớp 5",INDEX('Lớp 5 - Phân công'!$AE$14:$AE$262,$T405),IF($S405="Lớp 4",INDEX('Lớp 4 - Danh mục'!$AD$14:$AD$132,$T405),INDEX('Lớp 3 - Công việc chính'!$AA$14:$AA$73,$T405))))</f>
        <v>#REF!</v>
      </c>
      <c r="O405" s="690" t="str">
        <f t="array" ref="O405">IF($S405="","",IF($S405="Lớp 5",INDEX('Lớp 5 - Phân công'!$AB$14:$AB$262,$T405),IF($S405="Lớp 4",INDEX('Lớp 4 - Danh mục'!$AA$14:$AA$132,$T405),INDEX('Lớp 3 - Công việc chính'!$X$14:$X$73,$T405))))</f>
        <v>#REF!</v>
      </c>
      <c r="P405" s="703" t="str">
        <f t="array" ref="P405">IF($S405="","",IF($S405="Lớp 5",INDEX('Lớp 5 - Phân công'!$AC$14:$AC$262,$T405),IF($S405="Lớp 4",INDEX('Lớp 4 - Danh mục'!$AB$14:$AB$132,$T405),INDEX('Lớp 3 - Công việc chính'!$Y$14:$Y$73,$T405))))</f>
        <v>#REF!</v>
      </c>
      <c r="Q405" s="697" t="str">
        <f t="array" ref="Q405">IF($S405="","",IF($S405="Lớp 5",INDEX('Lớp 5 - Phân công'!$AG$14:$AG$262,$T405),IF($S405="Lớp 4",INDEX('Lớp 4 - Danh mục'!$AF$14:$AF$132,$T405),INDEX('Lớp 3 - Công việc chính'!$AC$14:$AC$73,$T405))))</f>
        <v>#REF!</v>
      </c>
      <c r="R405" s="698" t="str">
        <f t="array" ref="R405">IF($S405="","",IF($S405="Lớp 5",INDEX('Lớp 5 - Phân công'!$X$14:$X$262,$T405),IF($S405="Lớp 4",INDEX('Lớp 4 - Danh mục'!$V$14:$V$132,$T405),INDEX('Lớp 3 - Công việc chính'!$T$14:$T$73,$T405))))</f>
        <v>#REF!</v>
      </c>
      <c r="S405" s="699" t="str">
        <f>IF(ROWS($S$14:S405)&lt;=COUNTIF('Lớp 5 - Phân công'!$I$14:$I$262,"&lt;&gt;"),"Lớp 5",IF(ROWS($S$14:S405)&lt;=COUNTIF('Lớp 5 - Phân công'!$I$14:$I$262,"&lt;&gt;")+SUMPRODUCT(--('Lớp 4 - Danh mục'!$I$14:$I$132&lt;&gt;""),--(COUNTIF('Lớp 5 - Phân công'!$J$14:$J$262,'Lớp 4 - Danh mục'!$I$14:$I$132)=0)),"Lớp 4",IF(ROWS($S$14:S405)&lt;=COUNTIF('Lớp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5" s="699" t="str">
        <f t="array" ref="T405">IF(S405="","",IF(S405="Lớp 5",IF(S404&lt;&gt;"Lớp 5",MATCH("*",'Lớp 5 - Phân công'!$I$14:$I$262,0),T404+MATCH("*",INDEX('Lớp 5 - Phân công'!$I$14:$I$262,T404+1):'Lớp 5 - Phân công'!$I$262,0)),IF(S405="Lớp 4",IF(S404&lt;&gt;"Lớp 4",MATCH(1,INDEX(('Lớp 4 - Danh mục'!$I$14:$I$132&lt;&gt;"")*(COUNTIF('Lớp 5 - Phân công'!$J$14:$J$262,'Lớp 4 - Danh mục'!$I$14:$I$132)=0),0),0),T404+MATCH(1,INDEX((INDEX('Lớp 4 - Danh mục'!$I$14:$I$132,T404+1):'Lớp 4 - Danh mục'!$I$132&lt;&gt;"")*(COUNTIF('Lớp 5 - Phân công'!$J$14:$J$262,INDEX('Lớp 4 - Danh mục'!$I$14:$I$132,T404+1):'Lớp 4 - Danh mục'!$I$132)=0),0),0)),IF(S404&lt;&gt;"Lớp 3",MATCH(1,INDEX(('Lớp 3 - Công việc chính'!$I$14:$I$73&lt;&gt;"")*(COUNTIF('Lớp 4 - Danh mục'!$J$14:$J$132,'Lớp 3 - Công việc chính'!$I$14:$I$73)=0),0),0),T404+MATCH(1,INDEX((INDEX('Lớp 3 - Công việc chính'!$I$14:$I$73,T404+1):'Lớp 3 - Công việc chính'!$I$73&lt;&gt;"")*(COUNTIF('Lớp 4 - Danh mục'!$J$14:$J$132,INDEX('Lớp 3 - Công việc chính'!$I$14:$I$73,T404+1):'Lớp 3 - Công việc chính'!$I$73)=0),0),0)))))</f>
        <v>#REF!</v>
      </c>
      <c r="Z405" s="700" t="str">
        <f t="array" ref="Z405">IF($S405="","",IF($S405="Lớp 5",INDEX('Lớp 5 - Phân công'!$AS$14:$AS$262,$T405),IF($S405="Lớp 4",INDEX('Lớp 4 - Danh mục'!$AR$14:$AR$132,$T405),INDEX('Lớp 3 - Công việc chính'!$AO$14:$AO$73,$T405))))</f>
        <v>#REF!</v>
      </c>
      <c r="AA405" s="701" t="str">
        <f t="array" ref="AA405">IF($S405="","",IF($S405="Lớp 5",INDEX('Lớp 5 - Phân công'!$AT$14:$AT$262,$T405),IF($S405="Lớp 4",INDEX('Lớp 4 - Danh mục'!$AS$14:$AS$132,$T405),INDEX('Lớp 3 - Công việc chính'!$AP$14:$AP$73,$T405))))</f>
        <v>#REF!</v>
      </c>
      <c r="AB405" s="701" t="str">
        <f t="array" ref="AB405">IF($S405="","",IF($S405="Lớp 5",INDEX('Lớp 5 - Phân công'!$AJ$14:$AJ$262,$T405),IF($S405="Lớp 4",INDEX('Lớp 4 - Danh mục'!$AI$14:$AI$132,$T405),INDEX('Lớp 3 - Công việc chính'!$AF$14:$AF$73,$T405))))</f>
        <v>#REF!</v>
      </c>
      <c r="AC405" s="702" t="str">
        <f t="array" ref="AC405">IF($S405="","",IF($S405="Lớp 5",INDEX('Lớp 5 - Phân công'!$AV$14:$AV$262,$T405),IF($S405="Lớp 4",INDEX('Lớp 4 - Danh mục'!$AU$14:$AU$132,$T405),INDEX('Lớp 3 - Công việc chính'!$AR$14:$AR$73,$T405))))</f>
        <v>#REF!</v>
      </c>
    </row>
    <row r="406" ht="15.75" customHeight="1">
      <c r="A406" s="690" t="str">
        <f t="shared" si="1"/>
        <v>#REF!</v>
      </c>
      <c r="B406" s="690" t="str">
        <f t="array" ref="B406">IF($S406="","",IF($S406="Lớp 5",INDEX('Lớp 5 - Phân công'!$I$14:$I$262,$T406),IF($S406="Lớp 4",INDEX('Lớp 4 - Danh mục'!$I$14:$I$132,$T406),INDEX('Lớp 3 - Công việc chính'!$I$14:$I$73,$T406))))</f>
        <v>#REF!</v>
      </c>
      <c r="C406" s="690" t="str">
        <f t="array" ref="C406">IF($S406="","",IF($S406="Lớp 5",INDEX('Lớp 5 - Phân công'!$K$14:$K$262,$T406),IF($S406="Lớp 4",INDEX('Lớp 4 - Danh mục'!$J$14:$J$132,$T406),INDEX('Lớp 3 - Công việc chính'!$I$14:$I$73,$T406))))</f>
        <v>#REF!</v>
      </c>
      <c r="D406" s="690" t="str">
        <f t="array" ref="D406">IF($S406="","",IF($S406="Lớp 5",INDEX('Lớp 5 - Phân công'!$J$14:$J$262,$T406),IF($S406="Lớp 4",INDEX('Lớp 4 - Danh mục'!$I$14:$I$132,$T406),"")))</f>
        <v>#REF!</v>
      </c>
      <c r="E406" s="690" t="str">
        <f t="array" ref="E406">IF($S406="","",IF($S406="Lớp 5",INDEX('Lớp 5 - Phân công'!$L$14:$L$262,$T406),IF($S406="Lớp 4",INDEX('Lớp 4 - Danh mục'!$K$14:$K$132,$T406),INDEX('Lớp 3 - Công việc chính'!$J$14:$J$73,$T406))))</f>
        <v>#REF!</v>
      </c>
      <c r="F406" s="690" t="str">
        <f t="array" ref="F406">IF($S406="","",IF($S406="Lớp 5",INDEX('Lớp 5 - Phân công'!$M$14:$M$262,$T406),IF($S406="Lớp 4",INDEX('Lớp 4 - Danh mục'!$L$14:$L$132,$T406),INDEX('Lớp 3 - Công việc chính'!$K$14:$K$73,$T406))))</f>
        <v>#REF!</v>
      </c>
      <c r="G406" s="691" t="str">
        <f t="array" ref="G406">IF($S406="","",IF($S406="Lớp 5",INDEX('Lớp 5 - Phân công'!$N$14:$N$262,$T406),IF($S406="Lớp 4",INDEX('Lớp 4 - Danh mục'!$M$14:$M$132,$T406),INDEX('Lớp 3 - Công việc chính'!$L$14:$L$73,$T406))))</f>
        <v>#REF!</v>
      </c>
      <c r="H406" s="692" t="str">
        <f t="array" ref="H406">IF($S406="","",IF($S406="Lớp 5",INDEX('Lớp 5 - Phân công'!$O$14:$O$262,$T406),IF($S406="Lớp 4",INDEX('Lớp 4 - Danh mục'!$N$14:$N$132,$T406),INDEX('Lớp 3 - Công việc chính'!$M$14:$M$73,$T406))))</f>
        <v>#REF!</v>
      </c>
      <c r="I406" s="692" t="str">
        <f t="array" ref="I406">IF($S406="","",IF($S406="Lớp 5",INDEX('Lớp 5 - Phân công'!$P$14:$P$262,$T406),IF($S406="Lớp 4",INDEX('Lớp 4 - Danh mục'!$O$14:$O$132,$T406),"")))</f>
        <v>#REF!</v>
      </c>
      <c r="J406" s="693" t="str">
        <f t="array" ref="J406">IF($S406="","",IF($S406="Lớp 5",INDEX('Lớp 5 - Phân công'!$Q$14:$Q$262,$T406),""))</f>
        <v>#REF!</v>
      </c>
      <c r="K406" s="690" t="str">
        <f t="array" ref="K406">IF($S406="","",IF($S406="Lớp 5",INDEX('Lớp 5 - Phân công'!$AA$14:$AA$262,$T406),IF($S406="Lớp 4",INDEX('Lớp 4 - Danh mục'!$Y$14:$Y$132,$T406),INDEX('Lớp 3 - Công việc chính'!$U$14:$U$73,$T406))))</f>
        <v>#REF!</v>
      </c>
      <c r="L406" s="691" t="str">
        <f t="array" ref="L406">IF($S406="","",IF($S406="Lớp 5",INDEX('Lớp 5 - Phân công'!$Z$14:$Z$262,$T406),IF($S406="Lớp 4",INDEX('Lớp 4 - Danh mục'!$X$14:$X$132,$T406),INDEX('Lớp 3 - Công việc chính'!$W$14:$W$73,$T406))))</f>
        <v>#REF!</v>
      </c>
      <c r="M406" s="694" t="str">
        <f t="array" ref="M406">IF($S406="","",IF($S406="Lớp 5",INDEX('Lớp 5 - Phân công'!$AD$14:$AD$262,$T406),IF($S406="Lớp 4",INDEX('Lớp 4 - Danh mục'!$AC$14:$AC$132,$T406),INDEX('Lớp 3 - Công việc chính'!$Z$14:$Z$73,$T406))))</f>
        <v>#REF!</v>
      </c>
      <c r="N406" s="695" t="str">
        <f t="array" ref="N406">IF($S406="","",IF($S406="Lớp 5",INDEX('Lớp 5 - Phân công'!$AE$14:$AE$262,$T406),IF($S406="Lớp 4",INDEX('Lớp 4 - Danh mục'!$AD$14:$AD$132,$T406),INDEX('Lớp 3 - Công việc chính'!$AA$14:$AA$73,$T406))))</f>
        <v>#REF!</v>
      </c>
      <c r="O406" s="690" t="str">
        <f t="array" ref="O406">IF($S406="","",IF($S406="Lớp 5",INDEX('Lớp 5 - Phân công'!$AB$14:$AB$262,$T406),IF($S406="Lớp 4",INDEX('Lớp 4 - Danh mục'!$AA$14:$AA$132,$T406),INDEX('Lớp 3 - Công việc chính'!$X$14:$X$73,$T406))))</f>
        <v>#REF!</v>
      </c>
      <c r="P406" s="703" t="str">
        <f t="array" ref="P406">IF($S406="","",IF($S406="Lớp 5",INDEX('Lớp 5 - Phân công'!$AC$14:$AC$262,$T406),IF($S406="Lớp 4",INDEX('Lớp 4 - Danh mục'!$AB$14:$AB$132,$T406),INDEX('Lớp 3 - Công việc chính'!$Y$14:$Y$73,$T406))))</f>
        <v>#REF!</v>
      </c>
      <c r="Q406" s="697" t="str">
        <f t="array" ref="Q406">IF($S406="","",IF($S406="Lớp 5",INDEX('Lớp 5 - Phân công'!$AG$14:$AG$262,$T406),IF($S406="Lớp 4",INDEX('Lớp 4 - Danh mục'!$AF$14:$AF$132,$T406),INDEX('Lớp 3 - Công việc chính'!$AC$14:$AC$73,$T406))))</f>
        <v>#REF!</v>
      </c>
      <c r="R406" s="698" t="str">
        <f t="array" ref="R406">IF($S406="","",IF($S406="Lớp 5",INDEX('Lớp 5 - Phân công'!$X$14:$X$262,$T406),IF($S406="Lớp 4",INDEX('Lớp 4 - Danh mục'!$V$14:$V$132,$T406),INDEX('Lớp 3 - Công việc chính'!$T$14:$T$73,$T406))))</f>
        <v>#REF!</v>
      </c>
      <c r="S406" s="699" t="str">
        <f>IF(ROWS($S$14:S406)&lt;=COUNTIF('Lớp 5 - Phân công'!$I$14:$I$262,"&lt;&gt;"),"Lớp 5",IF(ROWS($S$14:S406)&lt;=COUNTIF('Lớp 5 - Phân công'!$I$14:$I$262,"&lt;&gt;")+SUMPRODUCT(--('Lớp 4 - Danh mục'!$I$14:$I$132&lt;&gt;""),--(COUNTIF('Lớp 5 - Phân công'!$J$14:$J$262,'Lớp 4 - Danh mục'!$I$14:$I$132)=0)),"Lớp 4",IF(ROWS($S$14:S406)&lt;=COUNTIF('Lớp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6" s="699" t="str">
        <f t="array" ref="T406">IF(S406="","",IF(S406="Lớp 5",IF(S405&lt;&gt;"Lớp 5",MATCH("*",'Lớp 5 - Phân công'!$I$14:$I$262,0),T405+MATCH("*",INDEX('Lớp 5 - Phân công'!$I$14:$I$262,T405+1):'Lớp 5 - Phân công'!$I$262,0)),IF(S406="Lớp 4",IF(S405&lt;&gt;"Lớp 4",MATCH(1,INDEX(('Lớp 4 - Danh mục'!$I$14:$I$132&lt;&gt;"")*(COUNTIF('Lớp 5 - Phân công'!$J$14:$J$262,'Lớp 4 - Danh mục'!$I$14:$I$132)=0),0),0),T405+MATCH(1,INDEX((INDEX('Lớp 4 - Danh mục'!$I$14:$I$132,T405+1):'Lớp 4 - Danh mục'!$I$132&lt;&gt;"")*(COUNTIF('Lớp 5 - Phân công'!$J$14:$J$262,INDEX('Lớp 4 - Danh mục'!$I$14:$I$132,T405+1):'Lớp 4 - Danh mục'!$I$132)=0),0),0)),IF(S405&lt;&gt;"Lớp 3",MATCH(1,INDEX(('Lớp 3 - Công việc chính'!$I$14:$I$73&lt;&gt;"")*(COUNTIF('Lớp 4 - Danh mục'!$J$14:$J$132,'Lớp 3 - Công việc chính'!$I$14:$I$73)=0),0),0),T405+MATCH(1,INDEX((INDEX('Lớp 3 - Công việc chính'!$I$14:$I$73,T405+1):'Lớp 3 - Công việc chính'!$I$73&lt;&gt;"")*(COUNTIF('Lớp 4 - Danh mục'!$J$14:$J$132,INDEX('Lớp 3 - Công việc chính'!$I$14:$I$73,T405+1):'Lớp 3 - Công việc chính'!$I$73)=0),0),0)))))</f>
        <v>#REF!</v>
      </c>
      <c r="Z406" s="700" t="str">
        <f t="array" ref="Z406">IF($S406="","",IF($S406="Lớp 5",INDEX('Lớp 5 - Phân công'!$AS$14:$AS$262,$T406),IF($S406="Lớp 4",INDEX('Lớp 4 - Danh mục'!$AR$14:$AR$132,$T406),INDEX('Lớp 3 - Công việc chính'!$AO$14:$AO$73,$T406))))</f>
        <v>#REF!</v>
      </c>
      <c r="AA406" s="701" t="str">
        <f t="array" ref="AA406">IF($S406="","",IF($S406="Lớp 5",INDEX('Lớp 5 - Phân công'!$AT$14:$AT$262,$T406),IF($S406="Lớp 4",INDEX('Lớp 4 - Danh mục'!$AS$14:$AS$132,$T406),INDEX('Lớp 3 - Công việc chính'!$AP$14:$AP$73,$T406))))</f>
        <v>#REF!</v>
      </c>
      <c r="AB406" s="701" t="str">
        <f t="array" ref="AB406">IF($S406="","",IF($S406="Lớp 5",INDEX('Lớp 5 - Phân công'!$AJ$14:$AJ$262,$T406),IF($S406="Lớp 4",INDEX('Lớp 4 - Danh mục'!$AI$14:$AI$132,$T406),INDEX('Lớp 3 - Công việc chính'!$AF$14:$AF$73,$T406))))</f>
        <v>#REF!</v>
      </c>
      <c r="AC406" s="702" t="str">
        <f t="array" ref="AC406">IF($S406="","",IF($S406="Lớp 5",INDEX('Lớp 5 - Phân công'!$AV$14:$AV$262,$T406),IF($S406="Lớp 4",INDEX('Lớp 4 - Danh mục'!$AU$14:$AU$132,$T406),INDEX('Lớp 3 - Công việc chính'!$AR$14:$AR$73,$T406))))</f>
        <v>#REF!</v>
      </c>
    </row>
    <row r="407" ht="15.75" customHeight="1">
      <c r="A407" s="690" t="str">
        <f t="shared" si="1"/>
        <v>#REF!</v>
      </c>
      <c r="B407" s="690" t="str">
        <f t="array" ref="B407">IF($S407="","",IF($S407="Lớp 5",INDEX('Lớp 5 - Phân công'!$I$14:$I$262,$T407),IF($S407="Lớp 4",INDEX('Lớp 4 - Danh mục'!$I$14:$I$132,$T407),INDEX('Lớp 3 - Công việc chính'!$I$14:$I$73,$T407))))</f>
        <v>#REF!</v>
      </c>
      <c r="C407" s="690" t="str">
        <f t="array" ref="C407">IF($S407="","",IF($S407="Lớp 5",INDEX('Lớp 5 - Phân công'!$K$14:$K$262,$T407),IF($S407="Lớp 4",INDEX('Lớp 4 - Danh mục'!$J$14:$J$132,$T407),INDEX('Lớp 3 - Công việc chính'!$I$14:$I$73,$T407))))</f>
        <v>#REF!</v>
      </c>
      <c r="D407" s="690" t="str">
        <f t="array" ref="D407">IF($S407="","",IF($S407="Lớp 5",INDEX('Lớp 5 - Phân công'!$J$14:$J$262,$T407),IF($S407="Lớp 4",INDEX('Lớp 4 - Danh mục'!$I$14:$I$132,$T407),"")))</f>
        <v>#REF!</v>
      </c>
      <c r="E407" s="690" t="str">
        <f t="array" ref="E407">IF($S407="","",IF($S407="Lớp 5",INDEX('Lớp 5 - Phân công'!$L$14:$L$262,$T407),IF($S407="Lớp 4",INDEX('Lớp 4 - Danh mục'!$K$14:$K$132,$T407),INDEX('Lớp 3 - Công việc chính'!$J$14:$J$73,$T407))))</f>
        <v>#REF!</v>
      </c>
      <c r="F407" s="690" t="str">
        <f t="array" ref="F407">IF($S407="","",IF($S407="Lớp 5",INDEX('Lớp 5 - Phân công'!$M$14:$M$262,$T407),IF($S407="Lớp 4",INDEX('Lớp 4 - Danh mục'!$L$14:$L$132,$T407),INDEX('Lớp 3 - Công việc chính'!$K$14:$K$73,$T407))))</f>
        <v>#REF!</v>
      </c>
      <c r="G407" s="691" t="str">
        <f t="array" ref="G407">IF($S407="","",IF($S407="Lớp 5",INDEX('Lớp 5 - Phân công'!$N$14:$N$262,$T407),IF($S407="Lớp 4",INDEX('Lớp 4 - Danh mục'!$M$14:$M$132,$T407),INDEX('Lớp 3 - Công việc chính'!$L$14:$L$73,$T407))))</f>
        <v>#REF!</v>
      </c>
      <c r="H407" s="692" t="str">
        <f t="array" ref="H407">IF($S407="","",IF($S407="Lớp 5",INDEX('Lớp 5 - Phân công'!$O$14:$O$262,$T407),IF($S407="Lớp 4",INDEX('Lớp 4 - Danh mục'!$N$14:$N$132,$T407),INDEX('Lớp 3 - Công việc chính'!$M$14:$M$73,$T407))))</f>
        <v>#REF!</v>
      </c>
      <c r="I407" s="692" t="str">
        <f t="array" ref="I407">IF($S407="","",IF($S407="Lớp 5",INDEX('Lớp 5 - Phân công'!$P$14:$P$262,$T407),IF($S407="Lớp 4",INDEX('Lớp 4 - Danh mục'!$O$14:$O$132,$T407),"")))</f>
        <v>#REF!</v>
      </c>
      <c r="J407" s="693" t="str">
        <f t="array" ref="J407">IF($S407="","",IF($S407="Lớp 5",INDEX('Lớp 5 - Phân công'!$Q$14:$Q$262,$T407),""))</f>
        <v>#REF!</v>
      </c>
      <c r="K407" s="690" t="str">
        <f t="array" ref="K407">IF($S407="","",IF($S407="Lớp 5",INDEX('Lớp 5 - Phân công'!$AA$14:$AA$262,$T407),IF($S407="Lớp 4",INDEX('Lớp 4 - Danh mục'!$Y$14:$Y$132,$T407),INDEX('Lớp 3 - Công việc chính'!$U$14:$U$73,$T407))))</f>
        <v>#REF!</v>
      </c>
      <c r="L407" s="691" t="str">
        <f t="array" ref="L407">IF($S407="","",IF($S407="Lớp 5",INDEX('Lớp 5 - Phân công'!$Z$14:$Z$262,$T407),IF($S407="Lớp 4",INDEX('Lớp 4 - Danh mục'!$X$14:$X$132,$T407),INDEX('Lớp 3 - Công việc chính'!$W$14:$W$73,$T407))))</f>
        <v>#REF!</v>
      </c>
      <c r="M407" s="694" t="str">
        <f t="array" ref="M407">IF($S407="","",IF($S407="Lớp 5",INDEX('Lớp 5 - Phân công'!$AD$14:$AD$262,$T407),IF($S407="Lớp 4",INDEX('Lớp 4 - Danh mục'!$AC$14:$AC$132,$T407),INDEX('Lớp 3 - Công việc chính'!$Z$14:$Z$73,$T407))))</f>
        <v>#REF!</v>
      </c>
      <c r="N407" s="695" t="str">
        <f t="array" ref="N407">IF($S407="","",IF($S407="Lớp 5",INDEX('Lớp 5 - Phân công'!$AE$14:$AE$262,$T407),IF($S407="Lớp 4",INDEX('Lớp 4 - Danh mục'!$AD$14:$AD$132,$T407),INDEX('Lớp 3 - Công việc chính'!$AA$14:$AA$73,$T407))))</f>
        <v>#REF!</v>
      </c>
      <c r="O407" s="690" t="str">
        <f t="array" ref="O407">IF($S407="","",IF($S407="Lớp 5",INDEX('Lớp 5 - Phân công'!$AB$14:$AB$262,$T407),IF($S407="Lớp 4",INDEX('Lớp 4 - Danh mục'!$AA$14:$AA$132,$T407),INDEX('Lớp 3 - Công việc chính'!$X$14:$X$73,$T407))))</f>
        <v>#REF!</v>
      </c>
      <c r="P407" s="703" t="str">
        <f t="array" ref="P407">IF($S407="","",IF($S407="Lớp 5",INDEX('Lớp 5 - Phân công'!$AC$14:$AC$262,$T407),IF($S407="Lớp 4",INDEX('Lớp 4 - Danh mục'!$AB$14:$AB$132,$T407),INDEX('Lớp 3 - Công việc chính'!$Y$14:$Y$73,$T407))))</f>
        <v>#REF!</v>
      </c>
      <c r="Q407" s="697" t="str">
        <f t="array" ref="Q407">IF($S407="","",IF($S407="Lớp 5",INDEX('Lớp 5 - Phân công'!$AG$14:$AG$262,$T407),IF($S407="Lớp 4",INDEX('Lớp 4 - Danh mục'!$AF$14:$AF$132,$T407),INDEX('Lớp 3 - Công việc chính'!$AC$14:$AC$73,$T407))))</f>
        <v>#REF!</v>
      </c>
      <c r="R407" s="698" t="str">
        <f t="array" ref="R407">IF($S407="","",IF($S407="Lớp 5",INDEX('Lớp 5 - Phân công'!$X$14:$X$262,$T407),IF($S407="Lớp 4",INDEX('Lớp 4 - Danh mục'!$V$14:$V$132,$T407),INDEX('Lớp 3 - Công việc chính'!$T$14:$T$73,$T407))))</f>
        <v>#REF!</v>
      </c>
      <c r="S407" s="699" t="str">
        <f>IF(ROWS($S$14:S407)&lt;=COUNTIF('Lớp 5 - Phân công'!$I$14:$I$262,"&lt;&gt;"),"Lớp 5",IF(ROWS($S$14:S407)&lt;=COUNTIF('Lớp 5 - Phân công'!$I$14:$I$262,"&lt;&gt;")+SUMPRODUCT(--('Lớp 4 - Danh mục'!$I$14:$I$132&lt;&gt;""),--(COUNTIF('Lớp 5 - Phân công'!$J$14:$J$262,'Lớp 4 - Danh mục'!$I$14:$I$132)=0)),"Lớp 4",IF(ROWS($S$14:S407)&lt;=COUNTIF('Lớp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7" s="699" t="str">
        <f t="array" ref="T407">IF(S407="","",IF(S407="Lớp 5",IF(S406&lt;&gt;"Lớp 5",MATCH("*",'Lớp 5 - Phân công'!$I$14:$I$262,0),T406+MATCH("*",INDEX('Lớp 5 - Phân công'!$I$14:$I$262,T406+1):'Lớp 5 - Phân công'!$I$262,0)),IF(S407="Lớp 4",IF(S406&lt;&gt;"Lớp 4",MATCH(1,INDEX(('Lớp 4 - Danh mục'!$I$14:$I$132&lt;&gt;"")*(COUNTIF('Lớp 5 - Phân công'!$J$14:$J$262,'Lớp 4 - Danh mục'!$I$14:$I$132)=0),0),0),T406+MATCH(1,INDEX((INDEX('Lớp 4 - Danh mục'!$I$14:$I$132,T406+1):'Lớp 4 - Danh mục'!$I$132&lt;&gt;"")*(COUNTIF('Lớp 5 - Phân công'!$J$14:$J$262,INDEX('Lớp 4 - Danh mục'!$I$14:$I$132,T406+1):'Lớp 4 - Danh mục'!$I$132)=0),0),0)),IF(S406&lt;&gt;"Lớp 3",MATCH(1,INDEX(('Lớp 3 - Công việc chính'!$I$14:$I$73&lt;&gt;"")*(COUNTIF('Lớp 4 - Danh mục'!$J$14:$J$132,'Lớp 3 - Công việc chính'!$I$14:$I$73)=0),0),0),T406+MATCH(1,INDEX((INDEX('Lớp 3 - Công việc chính'!$I$14:$I$73,T406+1):'Lớp 3 - Công việc chính'!$I$73&lt;&gt;"")*(COUNTIF('Lớp 4 - Danh mục'!$J$14:$J$132,INDEX('Lớp 3 - Công việc chính'!$I$14:$I$73,T406+1):'Lớp 3 - Công việc chính'!$I$73)=0),0),0)))))</f>
        <v>#REF!</v>
      </c>
      <c r="Z407" s="700" t="str">
        <f t="array" ref="Z407">IF($S407="","",IF($S407="Lớp 5",INDEX('Lớp 5 - Phân công'!$AS$14:$AS$262,$T407),IF($S407="Lớp 4",INDEX('Lớp 4 - Danh mục'!$AR$14:$AR$132,$T407),INDEX('Lớp 3 - Công việc chính'!$AO$14:$AO$73,$T407))))</f>
        <v>#REF!</v>
      </c>
      <c r="AA407" s="701" t="str">
        <f t="array" ref="AA407">IF($S407="","",IF($S407="Lớp 5",INDEX('Lớp 5 - Phân công'!$AT$14:$AT$262,$T407),IF($S407="Lớp 4",INDEX('Lớp 4 - Danh mục'!$AS$14:$AS$132,$T407),INDEX('Lớp 3 - Công việc chính'!$AP$14:$AP$73,$T407))))</f>
        <v>#REF!</v>
      </c>
      <c r="AB407" s="701" t="str">
        <f t="array" ref="AB407">IF($S407="","",IF($S407="Lớp 5",INDEX('Lớp 5 - Phân công'!$AJ$14:$AJ$262,$T407),IF($S407="Lớp 4",INDEX('Lớp 4 - Danh mục'!$AI$14:$AI$132,$T407),INDEX('Lớp 3 - Công việc chính'!$AF$14:$AF$73,$T407))))</f>
        <v>#REF!</v>
      </c>
      <c r="AC407" s="702" t="str">
        <f t="array" ref="AC407">IF($S407="","",IF($S407="Lớp 5",INDEX('Lớp 5 - Phân công'!$AV$14:$AV$262,$T407),IF($S407="Lớp 4",INDEX('Lớp 4 - Danh mục'!$AU$14:$AU$132,$T407),INDEX('Lớp 3 - Công việc chính'!$AR$14:$AR$73,$T407))))</f>
        <v>#REF!</v>
      </c>
    </row>
    <row r="408" ht="15.75" customHeight="1">
      <c r="A408" s="690" t="str">
        <f t="shared" si="1"/>
        <v>#REF!</v>
      </c>
      <c r="B408" s="690" t="str">
        <f t="array" ref="B408">IF($S408="","",IF($S408="Lớp 5",INDEX('Lớp 5 - Phân công'!$I$14:$I$262,$T408),IF($S408="Lớp 4",INDEX('Lớp 4 - Danh mục'!$I$14:$I$132,$T408),INDEX('Lớp 3 - Công việc chính'!$I$14:$I$73,$T408))))</f>
        <v>#REF!</v>
      </c>
      <c r="C408" s="690" t="str">
        <f t="array" ref="C408">IF($S408="","",IF($S408="Lớp 5",INDEX('Lớp 5 - Phân công'!$K$14:$K$262,$T408),IF($S408="Lớp 4",INDEX('Lớp 4 - Danh mục'!$J$14:$J$132,$T408),INDEX('Lớp 3 - Công việc chính'!$I$14:$I$73,$T408))))</f>
        <v>#REF!</v>
      </c>
      <c r="D408" s="690" t="str">
        <f t="array" ref="D408">IF($S408="","",IF($S408="Lớp 5",INDEX('Lớp 5 - Phân công'!$J$14:$J$262,$T408),IF($S408="Lớp 4",INDEX('Lớp 4 - Danh mục'!$I$14:$I$132,$T408),"")))</f>
        <v>#REF!</v>
      </c>
      <c r="E408" s="690" t="str">
        <f t="array" ref="E408">IF($S408="","",IF($S408="Lớp 5",INDEX('Lớp 5 - Phân công'!$L$14:$L$262,$T408),IF($S408="Lớp 4",INDEX('Lớp 4 - Danh mục'!$K$14:$K$132,$T408),INDEX('Lớp 3 - Công việc chính'!$J$14:$J$73,$T408))))</f>
        <v>#REF!</v>
      </c>
      <c r="F408" s="690" t="str">
        <f t="array" ref="F408">IF($S408="","",IF($S408="Lớp 5",INDEX('Lớp 5 - Phân công'!$M$14:$M$262,$T408),IF($S408="Lớp 4",INDEX('Lớp 4 - Danh mục'!$L$14:$L$132,$T408),INDEX('Lớp 3 - Công việc chính'!$K$14:$K$73,$T408))))</f>
        <v>#REF!</v>
      </c>
      <c r="G408" s="691" t="str">
        <f t="array" ref="G408">IF($S408="","",IF($S408="Lớp 5",INDEX('Lớp 5 - Phân công'!$N$14:$N$262,$T408),IF($S408="Lớp 4",INDEX('Lớp 4 - Danh mục'!$M$14:$M$132,$T408),INDEX('Lớp 3 - Công việc chính'!$L$14:$L$73,$T408))))</f>
        <v>#REF!</v>
      </c>
      <c r="H408" s="692" t="str">
        <f t="array" ref="H408">IF($S408="","",IF($S408="Lớp 5",INDEX('Lớp 5 - Phân công'!$O$14:$O$262,$T408),IF($S408="Lớp 4",INDEX('Lớp 4 - Danh mục'!$N$14:$N$132,$T408),INDEX('Lớp 3 - Công việc chính'!$M$14:$M$73,$T408))))</f>
        <v>#REF!</v>
      </c>
      <c r="I408" s="692" t="str">
        <f t="array" ref="I408">IF($S408="","",IF($S408="Lớp 5",INDEX('Lớp 5 - Phân công'!$P$14:$P$262,$T408),IF($S408="Lớp 4",INDEX('Lớp 4 - Danh mục'!$O$14:$O$132,$T408),"")))</f>
        <v>#REF!</v>
      </c>
      <c r="J408" s="693" t="str">
        <f t="array" ref="J408">IF($S408="","",IF($S408="Lớp 5",INDEX('Lớp 5 - Phân công'!$Q$14:$Q$262,$T408),""))</f>
        <v>#REF!</v>
      </c>
      <c r="K408" s="690" t="str">
        <f t="array" ref="K408">IF($S408="","",IF($S408="Lớp 5",INDEX('Lớp 5 - Phân công'!$AA$14:$AA$262,$T408),IF($S408="Lớp 4",INDEX('Lớp 4 - Danh mục'!$Y$14:$Y$132,$T408),INDEX('Lớp 3 - Công việc chính'!$U$14:$U$73,$T408))))</f>
        <v>#REF!</v>
      </c>
      <c r="L408" s="691" t="str">
        <f t="array" ref="L408">IF($S408="","",IF($S408="Lớp 5",INDEX('Lớp 5 - Phân công'!$Z$14:$Z$262,$T408),IF($S408="Lớp 4",INDEX('Lớp 4 - Danh mục'!$X$14:$X$132,$T408),INDEX('Lớp 3 - Công việc chính'!$W$14:$W$73,$T408))))</f>
        <v>#REF!</v>
      </c>
      <c r="M408" s="694" t="str">
        <f t="array" ref="M408">IF($S408="","",IF($S408="Lớp 5",INDEX('Lớp 5 - Phân công'!$AD$14:$AD$262,$T408),IF($S408="Lớp 4",INDEX('Lớp 4 - Danh mục'!$AC$14:$AC$132,$T408),INDEX('Lớp 3 - Công việc chính'!$Z$14:$Z$73,$T408))))</f>
        <v>#REF!</v>
      </c>
      <c r="N408" s="695" t="str">
        <f t="array" ref="N408">IF($S408="","",IF($S408="Lớp 5",INDEX('Lớp 5 - Phân công'!$AE$14:$AE$262,$T408),IF($S408="Lớp 4",INDEX('Lớp 4 - Danh mục'!$AD$14:$AD$132,$T408),INDEX('Lớp 3 - Công việc chính'!$AA$14:$AA$73,$T408))))</f>
        <v>#REF!</v>
      </c>
      <c r="O408" s="690" t="str">
        <f t="array" ref="O408">IF($S408="","",IF($S408="Lớp 5",INDEX('Lớp 5 - Phân công'!$AB$14:$AB$262,$T408),IF($S408="Lớp 4",INDEX('Lớp 4 - Danh mục'!$AA$14:$AA$132,$T408),INDEX('Lớp 3 - Công việc chính'!$X$14:$X$73,$T408))))</f>
        <v>#REF!</v>
      </c>
      <c r="P408" s="703" t="str">
        <f t="array" ref="P408">IF($S408="","",IF($S408="Lớp 5",INDEX('Lớp 5 - Phân công'!$AC$14:$AC$262,$T408),IF($S408="Lớp 4",INDEX('Lớp 4 - Danh mục'!$AB$14:$AB$132,$T408),INDEX('Lớp 3 - Công việc chính'!$Y$14:$Y$73,$T408))))</f>
        <v>#REF!</v>
      </c>
      <c r="Q408" s="697" t="str">
        <f t="array" ref="Q408">IF($S408="","",IF($S408="Lớp 5",INDEX('Lớp 5 - Phân công'!$AG$14:$AG$262,$T408),IF($S408="Lớp 4",INDEX('Lớp 4 - Danh mục'!$AF$14:$AF$132,$T408),INDEX('Lớp 3 - Công việc chính'!$AC$14:$AC$73,$T408))))</f>
        <v>#REF!</v>
      </c>
      <c r="R408" s="698" t="str">
        <f t="array" ref="R408">IF($S408="","",IF($S408="Lớp 5",INDEX('Lớp 5 - Phân công'!$X$14:$X$262,$T408),IF($S408="Lớp 4",INDEX('Lớp 4 - Danh mục'!$V$14:$V$132,$T408),INDEX('Lớp 3 - Công việc chính'!$T$14:$T$73,$T408))))</f>
        <v>#REF!</v>
      </c>
      <c r="S408" s="699" t="str">
        <f>IF(ROWS($S$14:S408)&lt;=COUNTIF('Lớp 5 - Phân công'!$I$14:$I$262,"&lt;&gt;"),"Lớp 5",IF(ROWS($S$14:S408)&lt;=COUNTIF('Lớp 5 - Phân công'!$I$14:$I$262,"&lt;&gt;")+SUMPRODUCT(--('Lớp 4 - Danh mục'!$I$14:$I$132&lt;&gt;""),--(COUNTIF('Lớp 5 - Phân công'!$J$14:$J$262,'Lớp 4 - Danh mục'!$I$14:$I$132)=0)),"Lớp 4",IF(ROWS($S$14:S408)&lt;=COUNTIF('Lớp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8" s="699" t="str">
        <f t="array" ref="T408">IF(S408="","",IF(S408="Lớp 5",IF(S407&lt;&gt;"Lớp 5",MATCH("*",'Lớp 5 - Phân công'!$I$14:$I$262,0),T407+MATCH("*",INDEX('Lớp 5 - Phân công'!$I$14:$I$262,T407+1):'Lớp 5 - Phân công'!$I$262,0)),IF(S408="Lớp 4",IF(S407&lt;&gt;"Lớp 4",MATCH(1,INDEX(('Lớp 4 - Danh mục'!$I$14:$I$132&lt;&gt;"")*(COUNTIF('Lớp 5 - Phân công'!$J$14:$J$262,'Lớp 4 - Danh mục'!$I$14:$I$132)=0),0),0),T407+MATCH(1,INDEX((INDEX('Lớp 4 - Danh mục'!$I$14:$I$132,T407+1):'Lớp 4 - Danh mục'!$I$132&lt;&gt;"")*(COUNTIF('Lớp 5 - Phân công'!$J$14:$J$262,INDEX('Lớp 4 - Danh mục'!$I$14:$I$132,T407+1):'Lớp 4 - Danh mục'!$I$132)=0),0),0)),IF(S407&lt;&gt;"Lớp 3",MATCH(1,INDEX(('Lớp 3 - Công việc chính'!$I$14:$I$73&lt;&gt;"")*(COUNTIF('Lớp 4 - Danh mục'!$J$14:$J$132,'Lớp 3 - Công việc chính'!$I$14:$I$73)=0),0),0),T407+MATCH(1,INDEX((INDEX('Lớp 3 - Công việc chính'!$I$14:$I$73,T407+1):'Lớp 3 - Công việc chính'!$I$73&lt;&gt;"")*(COUNTIF('Lớp 4 - Danh mục'!$J$14:$J$132,INDEX('Lớp 3 - Công việc chính'!$I$14:$I$73,T407+1):'Lớp 3 - Công việc chính'!$I$73)=0),0),0)))))</f>
        <v>#REF!</v>
      </c>
      <c r="Z408" s="700" t="str">
        <f t="array" ref="Z408">IF($S408="","",IF($S408="Lớp 5",INDEX('Lớp 5 - Phân công'!$AS$14:$AS$262,$T408),IF($S408="Lớp 4",INDEX('Lớp 4 - Danh mục'!$AR$14:$AR$132,$T408),INDEX('Lớp 3 - Công việc chính'!$AO$14:$AO$73,$T408))))</f>
        <v>#REF!</v>
      </c>
      <c r="AA408" s="701" t="str">
        <f t="array" ref="AA408">IF($S408="","",IF($S408="Lớp 5",INDEX('Lớp 5 - Phân công'!$AT$14:$AT$262,$T408),IF($S408="Lớp 4",INDEX('Lớp 4 - Danh mục'!$AS$14:$AS$132,$T408),INDEX('Lớp 3 - Công việc chính'!$AP$14:$AP$73,$T408))))</f>
        <v>#REF!</v>
      </c>
      <c r="AB408" s="701" t="str">
        <f t="array" ref="AB408">IF($S408="","",IF($S408="Lớp 5",INDEX('Lớp 5 - Phân công'!$AJ$14:$AJ$262,$T408),IF($S408="Lớp 4",INDEX('Lớp 4 - Danh mục'!$AI$14:$AI$132,$T408),INDEX('Lớp 3 - Công việc chính'!$AF$14:$AF$73,$T408))))</f>
        <v>#REF!</v>
      </c>
      <c r="AC408" s="702" t="str">
        <f t="array" ref="AC408">IF($S408="","",IF($S408="Lớp 5",INDEX('Lớp 5 - Phân công'!$AV$14:$AV$262,$T408),IF($S408="Lớp 4",INDEX('Lớp 4 - Danh mục'!$AU$14:$AU$132,$T408),INDEX('Lớp 3 - Công việc chính'!$AR$14:$AR$73,$T408))))</f>
        <v>#REF!</v>
      </c>
    </row>
    <row r="409" ht="15.75" customHeight="1">
      <c r="A409" s="690" t="str">
        <f t="shared" si="1"/>
        <v>#REF!</v>
      </c>
      <c r="B409" s="690" t="str">
        <f t="array" ref="B409">IF($S409="","",IF($S409="Lớp 5",INDEX('Lớp 5 - Phân công'!$I$14:$I$262,$T409),IF($S409="Lớp 4",INDEX('Lớp 4 - Danh mục'!$I$14:$I$132,$T409),INDEX('Lớp 3 - Công việc chính'!$I$14:$I$73,$T409))))</f>
        <v>#REF!</v>
      </c>
      <c r="C409" s="690" t="str">
        <f t="array" ref="C409">IF($S409="","",IF($S409="Lớp 5",INDEX('Lớp 5 - Phân công'!$K$14:$K$262,$T409),IF($S409="Lớp 4",INDEX('Lớp 4 - Danh mục'!$J$14:$J$132,$T409),INDEX('Lớp 3 - Công việc chính'!$I$14:$I$73,$T409))))</f>
        <v>#REF!</v>
      </c>
      <c r="D409" s="690" t="str">
        <f t="array" ref="D409">IF($S409="","",IF($S409="Lớp 5",INDEX('Lớp 5 - Phân công'!$J$14:$J$262,$T409),IF($S409="Lớp 4",INDEX('Lớp 4 - Danh mục'!$I$14:$I$132,$T409),"")))</f>
        <v>#REF!</v>
      </c>
      <c r="E409" s="690" t="str">
        <f t="array" ref="E409">IF($S409="","",IF($S409="Lớp 5",INDEX('Lớp 5 - Phân công'!$L$14:$L$262,$T409),IF($S409="Lớp 4",INDEX('Lớp 4 - Danh mục'!$K$14:$K$132,$T409),INDEX('Lớp 3 - Công việc chính'!$J$14:$J$73,$T409))))</f>
        <v>#REF!</v>
      </c>
      <c r="F409" s="690" t="str">
        <f t="array" ref="F409">IF($S409="","",IF($S409="Lớp 5",INDEX('Lớp 5 - Phân công'!$M$14:$M$262,$T409),IF($S409="Lớp 4",INDEX('Lớp 4 - Danh mục'!$L$14:$L$132,$T409),INDEX('Lớp 3 - Công việc chính'!$K$14:$K$73,$T409))))</f>
        <v>#REF!</v>
      </c>
      <c r="G409" s="691" t="str">
        <f t="array" ref="G409">IF($S409="","",IF($S409="Lớp 5",INDEX('Lớp 5 - Phân công'!$N$14:$N$262,$T409),IF($S409="Lớp 4",INDEX('Lớp 4 - Danh mục'!$M$14:$M$132,$T409),INDEX('Lớp 3 - Công việc chính'!$L$14:$L$73,$T409))))</f>
        <v>#REF!</v>
      </c>
      <c r="H409" s="692" t="str">
        <f t="array" ref="H409">IF($S409="","",IF($S409="Lớp 5",INDEX('Lớp 5 - Phân công'!$O$14:$O$262,$T409),IF($S409="Lớp 4",INDEX('Lớp 4 - Danh mục'!$N$14:$N$132,$T409),INDEX('Lớp 3 - Công việc chính'!$M$14:$M$73,$T409))))</f>
        <v>#REF!</v>
      </c>
      <c r="I409" s="692" t="str">
        <f t="array" ref="I409">IF($S409="","",IF($S409="Lớp 5",INDEX('Lớp 5 - Phân công'!$P$14:$P$262,$T409),IF($S409="Lớp 4",INDEX('Lớp 4 - Danh mục'!$O$14:$O$132,$T409),"")))</f>
        <v>#REF!</v>
      </c>
      <c r="J409" s="693" t="str">
        <f t="array" ref="J409">IF($S409="","",IF($S409="Lớp 5",INDEX('Lớp 5 - Phân công'!$Q$14:$Q$262,$T409),""))</f>
        <v>#REF!</v>
      </c>
      <c r="K409" s="690" t="str">
        <f t="array" ref="K409">IF($S409="","",IF($S409="Lớp 5",INDEX('Lớp 5 - Phân công'!$AA$14:$AA$262,$T409),IF($S409="Lớp 4",INDEX('Lớp 4 - Danh mục'!$Y$14:$Y$132,$T409),INDEX('Lớp 3 - Công việc chính'!$U$14:$U$73,$T409))))</f>
        <v>#REF!</v>
      </c>
      <c r="L409" s="691" t="str">
        <f t="array" ref="L409">IF($S409="","",IF($S409="Lớp 5",INDEX('Lớp 5 - Phân công'!$Z$14:$Z$262,$T409),IF($S409="Lớp 4",INDEX('Lớp 4 - Danh mục'!$X$14:$X$132,$T409),INDEX('Lớp 3 - Công việc chính'!$W$14:$W$73,$T409))))</f>
        <v>#REF!</v>
      </c>
      <c r="M409" s="694" t="str">
        <f t="array" ref="M409">IF($S409="","",IF($S409="Lớp 5",INDEX('Lớp 5 - Phân công'!$AD$14:$AD$262,$T409),IF($S409="Lớp 4",INDEX('Lớp 4 - Danh mục'!$AC$14:$AC$132,$T409),INDEX('Lớp 3 - Công việc chính'!$Z$14:$Z$73,$T409))))</f>
        <v>#REF!</v>
      </c>
      <c r="N409" s="695" t="str">
        <f t="array" ref="N409">IF($S409="","",IF($S409="Lớp 5",INDEX('Lớp 5 - Phân công'!$AE$14:$AE$262,$T409),IF($S409="Lớp 4",INDEX('Lớp 4 - Danh mục'!$AD$14:$AD$132,$T409),INDEX('Lớp 3 - Công việc chính'!$AA$14:$AA$73,$T409))))</f>
        <v>#REF!</v>
      </c>
      <c r="O409" s="690" t="str">
        <f t="array" ref="O409">IF($S409="","",IF($S409="Lớp 5",INDEX('Lớp 5 - Phân công'!$AB$14:$AB$262,$T409),IF($S409="Lớp 4",INDEX('Lớp 4 - Danh mục'!$AA$14:$AA$132,$T409),INDEX('Lớp 3 - Công việc chính'!$X$14:$X$73,$T409))))</f>
        <v>#REF!</v>
      </c>
      <c r="P409" s="703" t="str">
        <f t="array" ref="P409">IF($S409="","",IF($S409="Lớp 5",INDEX('Lớp 5 - Phân công'!$AC$14:$AC$262,$T409),IF($S409="Lớp 4",INDEX('Lớp 4 - Danh mục'!$AB$14:$AB$132,$T409),INDEX('Lớp 3 - Công việc chính'!$Y$14:$Y$73,$T409))))</f>
        <v>#REF!</v>
      </c>
      <c r="Q409" s="697" t="str">
        <f t="array" ref="Q409">IF($S409="","",IF($S409="Lớp 5",INDEX('Lớp 5 - Phân công'!$AG$14:$AG$262,$T409),IF($S409="Lớp 4",INDEX('Lớp 4 - Danh mục'!$AF$14:$AF$132,$T409),INDEX('Lớp 3 - Công việc chính'!$AC$14:$AC$73,$T409))))</f>
        <v>#REF!</v>
      </c>
      <c r="R409" s="698" t="str">
        <f t="array" ref="R409">IF($S409="","",IF($S409="Lớp 5",INDEX('Lớp 5 - Phân công'!$X$14:$X$262,$T409),IF($S409="Lớp 4",INDEX('Lớp 4 - Danh mục'!$V$14:$V$132,$T409),INDEX('Lớp 3 - Công việc chính'!$T$14:$T$73,$T409))))</f>
        <v>#REF!</v>
      </c>
      <c r="S409" s="699" t="str">
        <f>IF(ROWS($S$14:S409)&lt;=COUNTIF('Lớp 5 - Phân công'!$I$14:$I$262,"&lt;&gt;"),"Lớp 5",IF(ROWS($S$14:S409)&lt;=COUNTIF('Lớp 5 - Phân công'!$I$14:$I$262,"&lt;&gt;")+SUMPRODUCT(--('Lớp 4 - Danh mục'!$I$14:$I$132&lt;&gt;""),--(COUNTIF('Lớp 5 - Phân công'!$J$14:$J$262,'Lớp 4 - Danh mục'!$I$14:$I$132)=0)),"Lớp 4",IF(ROWS($S$14:S409)&lt;=COUNTIF('Lớp 5 - Phân công'!$I$14:$I$262,"&lt;&gt;")+SUMPRODUCT(--('Lớp 4 - Danh mục'!$I$14:$I$132&lt;&gt;""),--(COUNTIF('Lớp 5 - Phân công'!$J$14:$J$262,'Lớp 4 - Danh mục'!$I$14:$I$132)=0))+SUMPRODUCT(--('Lớp 3 - Công việc chính'!$I$14:$I$73&lt;&gt;""),--(COUNTIF('Lớp 4 - Danh mục'!$J$14:$J$132,'Lớp 3 - Công việc chính'!$I$14:$I$73)=0)),"Lớp 3","")))</f>
        <v>#REF!</v>
      </c>
      <c r="T409" s="699" t="str">
        <f t="array" ref="T409">IF(S409="","",IF(S409="Lớp 5",IF(S408&lt;&gt;"Lớp 5",MATCH("*",'Lớp 5 - Phân công'!$I$14:$I$262,0),T408+MATCH("*",INDEX('Lớp 5 - Phân công'!$I$14:$I$262,T408+1):'Lớp 5 - Phân công'!$I$262,0)),IF(S409="Lớp 4",IF(S408&lt;&gt;"Lớp 4",MATCH(1,INDEX(('Lớp 4 - Danh mục'!$I$14:$I$132&lt;&gt;"")*(COUNTIF('Lớp 5 - Phân công'!$J$14:$J$262,'Lớp 4 - Danh mục'!$I$14:$I$132)=0),0),0),T408+MATCH(1,INDEX((INDEX('Lớp 4 - Danh mục'!$I$14:$I$132,T408+1):'Lớp 4 - Danh mục'!$I$132&lt;&gt;"")*(COUNTIF('Lớp 5 - Phân công'!$J$14:$J$262,INDEX('Lớp 4 - Danh mục'!$I$14:$I$132,T408+1):'Lớp 4 - Danh mục'!$I$132)=0),0),0)),IF(S408&lt;&gt;"Lớp 3",MATCH(1,INDEX(('Lớp 3 - Công việc chính'!$I$14:$I$73&lt;&gt;"")*(COUNTIF('Lớp 4 - Danh mục'!$J$14:$J$132,'Lớp 3 - Công việc chính'!$I$14:$I$73)=0),0),0),T408+MATCH(1,INDEX((INDEX('Lớp 3 - Công việc chính'!$I$14:$I$73,T408+1):'Lớp 3 - Công việc chính'!$I$73&lt;&gt;"")*(COUNTIF('Lớp 4 - Danh mục'!$J$14:$J$132,INDEX('Lớp 3 - Công việc chính'!$I$14:$I$73,T408+1):'Lớp 3 - Công việc chính'!$I$73)=0),0),0)))))</f>
        <v>#REF!</v>
      </c>
      <c r="Z409" s="700" t="str">
        <f t="array" ref="Z409">IF($S409="","",IF($S409="Lớp 5",INDEX('Lớp 5 - Phân công'!$AS$14:$AS$262,$T409),IF($S409="Lớp 4",INDEX('Lớp 4 - Danh mục'!$AR$14:$AR$132,$T409),INDEX('Lớp 3 - Công việc chính'!$AO$14:$AO$73,$T409))))</f>
        <v>#REF!</v>
      </c>
      <c r="AA409" s="701" t="str">
        <f t="array" ref="AA409">IF($S409="","",IF($S409="Lớp 5",INDEX('Lớp 5 - Phân công'!$AT$14:$AT$262,$T409),IF($S409="Lớp 4",INDEX('Lớp 4 - Danh mục'!$AS$14:$AS$132,$T409),INDEX('Lớp 3 - Công việc chính'!$AP$14:$AP$73,$T409))))</f>
        <v>#REF!</v>
      </c>
      <c r="AB409" s="701" t="str">
        <f t="array" ref="AB409">IF($S409="","",IF($S409="Lớp 5",INDEX('Lớp 5 - Phân công'!$AJ$14:$AJ$262,$T409),IF($S409="Lớp 4",INDEX('Lớp 4 - Danh mục'!$AI$14:$AI$132,$T409),INDEX('Lớp 3 - Công việc chính'!$AF$14:$AF$73,$T409))))</f>
        <v>#REF!</v>
      </c>
      <c r="AC409" s="702" t="str">
        <f t="array" ref="AC409">IF($S409="","",IF($S409="Lớp 5",INDEX('Lớp 5 - Phân công'!$AV$14:$AV$262,$T409),IF($S409="Lớp 4",INDEX('Lớp 4 - Danh mục'!$AU$14:$AU$132,$T409),INDEX('Lớp 3 - Công việc chính'!$AR$14:$AR$73,$T409))))</f>
        <v>#REF!</v>
      </c>
    </row>
    <row r="410" ht="15.75" customHeight="1">
      <c r="A410" s="690" t="str">
        <f t="shared" si="1"/>
        <v>#REF!</v>
      </c>
      <c r="B410" s="690" t="str">
        <f t="array" ref="B410">IF($S410="","",IF($S410="Lớp 5",INDEX('Lớp 5 - Phân công'!$I$14:$I$262,$T410),IF($S410="Lớp 4",INDEX('Lớp 4 - Danh mục'!$I$14:$I$132,$T410),INDEX('Lớp 3 - Công việc chính'!$I$14:$I$73,$T410))))</f>
        <v>#REF!</v>
      </c>
      <c r="C410" s="690" t="str">
        <f t="array" ref="C410">IF($S410="","",IF($S410="Lớp 5",INDEX('Lớp 5 - Phân công'!$K$14:$K$262,$T410),IF($S410="Lớp 4",INDEX('Lớp 4 - Danh mục'!$J$14:$J$132,$T410),INDEX('Lớp 3 - Công việc chính'!$I$14:$I$73,$T410))))</f>
        <v>#REF!</v>
      </c>
      <c r="D410" s="690" t="str">
        <f t="array" ref="D410">IF($S410="","",IF($S410="Lớp 5",INDEX('Lớp 5 - Phân công'!$J$14:$J$262,$T410),IF($S410="Lớp 4",INDEX('Lớp 4 - Danh mục'!$I$14:$I$132,$T410),"")))</f>
        <v>#REF!</v>
      </c>
      <c r="E410" s="690" t="str">
        <f t="array" ref="E410">IF($S410="","",IF($S410="Lớp 5",INDEX('Lớp 5 - Phân công'!$L$14:$L$262,$T410),IF($S410="Lớp 4",INDEX('Lớp 4 - Danh mục'!$K$14:$K$132,$T410),INDEX('Lớp 3 - Công việc chính'!$J$14:$J$73,$T410))))</f>
        <v>#REF!</v>
      </c>
      <c r="F410" s="690" t="str">
        <f t="array" ref="F410">IF($S410="","",IF($S410="Lớp 5",INDEX('Lớp 5 - Phân công'!$M$14:$M$262,$T410),IF($S410="Lớp 4",INDEX('Lớp 4 - Danh mục'!$L$14:$L$132,$T410),INDEX('Lớp 3 - Công việc chính'!$K$14:$K$73,$T410))))</f>
        <v>#REF!</v>
      </c>
      <c r="G410" s="691" t="str">
        <f t="array" ref="G410">IF($S410="","",IF($S410="Lớp 5",INDEX('Lớp 5 - Phân công'!$N$14:$N$262,$T410),IF($S410="Lớp 4",INDEX('Lớp 4 - Danh mục'!$M$14:$M$132,$T410),INDEX('Lớp 3 - Công việc chính'!$L$14:$L$73,$T410))))</f>
        <v>#REF!</v>
      </c>
      <c r="H410" s="692" t="str">
        <f t="array" ref="H410">IF($S410="","",IF($S410="Lớp 5",INDEX('Lớp 5 - Phân công'!$O$14:$O$262,$T410),IF($S410="Lớp 4",INDEX('Lớp 4 - Danh mục'!$N$14:$N$132,$T410),INDEX('Lớp 3 - Công việc chính'!$M$14:$M$73,$T410))))</f>
        <v>#REF!</v>
      </c>
      <c r="I410" s="692" t="str">
        <f t="array" ref="I410">IF($S410="","",IF($S410="Lớp 5",INDEX('Lớp 5 - Phân công'!$P$14:$P$262,$T410),IF($S410="Lớp 4",INDEX('Lớp 4 - Danh mục'!$O$14:$O$132,$T410),"")))</f>
        <v>#REF!</v>
      </c>
      <c r="J410" s="693" t="str">
        <f t="array" ref="J410">IF($S410="","",IF($S410="Lớp 5",INDEX('Lớp 5 - Phân công'!$Q$14:$Q$262,$T410),""))</f>
        <v>#REF!</v>
      </c>
      <c r="K410" s="690" t="str">
        <f t="array" ref="K410">IF($S410="","",IF($S410="Lớp 5",INDEX('Lớp 5 - Phân công'!$AA$14:$AA$262,$T410),IF($S410="Lớp 4",INDEX('Lớp 4 - Danh mục'!$Y$14:$Y$132,$T410),INDEX('Lớp 3 - Công việc chính'!$U$14:$U$73,$T410))))</f>
        <v>#REF!</v>
      </c>
      <c r="L410" s="691" t="str">
        <f t="array" ref="L410">IF($S410="","",IF($S410="Lớp 5",INDEX('Lớp 5 - Phân công'!$Z$14:$Z$262,$T410),IF($S410="Lớp 4",INDEX('Lớp 4 - Danh mục'!$X$14:$X$132,$T410),INDEX('Lớp 3 - Công việc chính'!$W$14:$W$73,$T410))))</f>
        <v>#REF!</v>
      </c>
      <c r="M410" s="694" t="str">
        <f t="array" ref="M410">IF($S410="","",IF($S410="Lớp 5",INDEX('Lớp 5 - Phân công'!$AD$14:$AD$262,$T410),IF($S410="Lớp 4",INDEX('Lớp 4 - Danh mục'!$AC$14:$AC$132,$T410),INDEX('Lớp 3 - Công việc chính'!$Z$14:$Z$73,$T410))))</f>
        <v>#REF!</v>
      </c>
      <c r="N410" s="695" t="str">
        <f t="array" ref="N410">IF($S410="","",IF($S410="Lớp 5",INDEX('Lớp 5 - Phân công'!$AE$14:$AE$262,$T410),IF($S410="Lớp 4",INDEX('Lớp 4 - Danh mục'!$AD$14:$AD$132,$T410),INDEX('Lớp 3 - Công việc chính'!$AA$14:$AA$73,$T410))))</f>
        <v>#REF!</v>
      </c>
      <c r="O410" s="690" t="str">
        <f t="array" ref="O410">IF($S410="","",IF($S410="Lớp 5",INDEX('Lớp 5 - Phân công'!$AB$14:$AB$262,$T410),IF($S410="Lớp 4",INDEX('Lớp 4 - Danh mục'!$AA$14:$AA$132,$T410),INDEX('Lớp 3 - Công việc chính'!$X$14:$X$73,$T410))))</f>
        <v>#REF!</v>
      </c>
      <c r="P410" s="703" t="str">
        <f t="array" ref="P410">IF($S410="","",IF($S410="Lớp 5",INDEX('Lớp 5 - Phân công'!$AC$14:$AC$262,$T410),IF($S410="Lớp 4",INDEX('Lớp 4 - Danh mục'!$AB$14:$AB$132,$T410),INDEX('Lớp 3 - Công việc chính'!$Y$14:$Y$73,$T410))))</f>
        <v>#REF!</v>
      </c>
      <c r="Q410" s="697" t="str">
        <f t="array" ref="Q410">IF($S410="","",IF($S410="Lớp 5",INDEX('Lớp 5 - Phân công'!$AG$14:$AG$262,$T410),IF($S410="Lớp 4",INDEX('Lớp 4 - Danh mục'!$AF$14:$AF$132,$T410),INDEX('Lớp 3 - Công việc chính'!$AC$14:$AC$73,$T410))))</f>
        <v>#REF!</v>
      </c>
      <c r="R410" s="698" t="str">
        <f t="array" ref="R410">IF($S410="","",IF($S410="Lớp 5",INDEX('Lớp 5 - Phân công'!$X$14:$X$262,$T410),IF($S410="Lớp 4",INDEX('Lớp 4 - Danh mục'!$V$14:$V$132,$T410),INDEX('Lớp 3 - Công việc chính'!$T$14:$T$73,$T410))))</f>
        <v>#REF!</v>
      </c>
      <c r="S410" s="699" t="str">
        <f>IF(ROWS($S$14:S410)&lt;=COUNTIF('Lớp 5 - Phân công'!$I$14:$I$262,"&lt;&gt;"),"Lớp 5",IF(ROWS($S$14:S410)&lt;=COUNTIF('Lớp 5 - Phân công'!$I$14:$I$262,"&lt;&gt;")+SUMPRODUCT(--('Lớp 4 - Danh mục'!$I$14:$I$132&lt;&gt;""),--(COUNTIF('Lớp 5 - Phân công'!$J$14:$J$262,'Lớp 4 - Danh mục'!$I$14:$I$132)=0)),"Lớp 4",IF(ROWS($S$14:S410)&lt;=COUNTIF('Lớp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0" s="699" t="str">
        <f t="array" ref="T410">IF(S410="","",IF(S410="Lớp 5",IF(S409&lt;&gt;"Lớp 5",MATCH("*",'Lớp 5 - Phân công'!$I$14:$I$262,0),T409+MATCH("*",INDEX('Lớp 5 - Phân công'!$I$14:$I$262,T409+1):'Lớp 5 - Phân công'!$I$262,0)),IF(S410="Lớp 4",IF(S409&lt;&gt;"Lớp 4",MATCH(1,INDEX(('Lớp 4 - Danh mục'!$I$14:$I$132&lt;&gt;"")*(COUNTIF('Lớp 5 - Phân công'!$J$14:$J$262,'Lớp 4 - Danh mục'!$I$14:$I$132)=0),0),0),T409+MATCH(1,INDEX((INDEX('Lớp 4 - Danh mục'!$I$14:$I$132,T409+1):'Lớp 4 - Danh mục'!$I$132&lt;&gt;"")*(COUNTIF('Lớp 5 - Phân công'!$J$14:$J$262,INDEX('Lớp 4 - Danh mục'!$I$14:$I$132,T409+1):'Lớp 4 - Danh mục'!$I$132)=0),0),0)),IF(S409&lt;&gt;"Lớp 3",MATCH(1,INDEX(('Lớp 3 - Công việc chính'!$I$14:$I$73&lt;&gt;"")*(COUNTIF('Lớp 4 - Danh mục'!$J$14:$J$132,'Lớp 3 - Công việc chính'!$I$14:$I$73)=0),0),0),T409+MATCH(1,INDEX((INDEX('Lớp 3 - Công việc chính'!$I$14:$I$73,T409+1):'Lớp 3 - Công việc chính'!$I$73&lt;&gt;"")*(COUNTIF('Lớp 4 - Danh mục'!$J$14:$J$132,INDEX('Lớp 3 - Công việc chính'!$I$14:$I$73,T409+1):'Lớp 3 - Công việc chính'!$I$73)=0),0),0)))))</f>
        <v>#REF!</v>
      </c>
      <c r="Z410" s="700" t="str">
        <f t="array" ref="Z410">IF($S410="","",IF($S410="Lớp 5",INDEX('Lớp 5 - Phân công'!$AS$14:$AS$262,$T410),IF($S410="Lớp 4",INDEX('Lớp 4 - Danh mục'!$AR$14:$AR$132,$T410),INDEX('Lớp 3 - Công việc chính'!$AO$14:$AO$73,$T410))))</f>
        <v>#REF!</v>
      </c>
      <c r="AA410" s="701" t="str">
        <f t="array" ref="AA410">IF($S410="","",IF($S410="Lớp 5",INDEX('Lớp 5 - Phân công'!$AT$14:$AT$262,$T410),IF($S410="Lớp 4",INDEX('Lớp 4 - Danh mục'!$AS$14:$AS$132,$T410),INDEX('Lớp 3 - Công việc chính'!$AP$14:$AP$73,$T410))))</f>
        <v>#REF!</v>
      </c>
      <c r="AB410" s="701" t="str">
        <f t="array" ref="AB410">IF($S410="","",IF($S410="Lớp 5",INDEX('Lớp 5 - Phân công'!$AJ$14:$AJ$262,$T410),IF($S410="Lớp 4",INDEX('Lớp 4 - Danh mục'!$AI$14:$AI$132,$T410),INDEX('Lớp 3 - Công việc chính'!$AF$14:$AF$73,$T410))))</f>
        <v>#REF!</v>
      </c>
      <c r="AC410" s="702" t="str">
        <f t="array" ref="AC410">IF($S410="","",IF($S410="Lớp 5",INDEX('Lớp 5 - Phân công'!$AV$14:$AV$262,$T410),IF($S410="Lớp 4",INDEX('Lớp 4 - Danh mục'!$AU$14:$AU$132,$T410),INDEX('Lớp 3 - Công việc chính'!$AR$14:$AR$73,$T410))))</f>
        <v>#REF!</v>
      </c>
    </row>
    <row r="411" ht="15.75" customHeight="1">
      <c r="A411" s="690" t="str">
        <f t="shared" si="1"/>
        <v>#REF!</v>
      </c>
      <c r="B411" s="690" t="str">
        <f t="array" ref="B411">IF($S411="","",IF($S411="Lớp 5",INDEX('Lớp 5 - Phân công'!$I$14:$I$262,$T411),IF($S411="Lớp 4",INDEX('Lớp 4 - Danh mục'!$I$14:$I$132,$T411),INDEX('Lớp 3 - Công việc chính'!$I$14:$I$73,$T411))))</f>
        <v>#REF!</v>
      </c>
      <c r="C411" s="690" t="str">
        <f t="array" ref="C411">IF($S411="","",IF($S411="Lớp 5",INDEX('Lớp 5 - Phân công'!$K$14:$K$262,$T411),IF($S411="Lớp 4",INDEX('Lớp 4 - Danh mục'!$J$14:$J$132,$T411),INDEX('Lớp 3 - Công việc chính'!$I$14:$I$73,$T411))))</f>
        <v>#REF!</v>
      </c>
      <c r="D411" s="690" t="str">
        <f t="array" ref="D411">IF($S411="","",IF($S411="Lớp 5",INDEX('Lớp 5 - Phân công'!$J$14:$J$262,$T411),IF($S411="Lớp 4",INDEX('Lớp 4 - Danh mục'!$I$14:$I$132,$T411),"")))</f>
        <v>#REF!</v>
      </c>
      <c r="E411" s="690" t="str">
        <f t="array" ref="E411">IF($S411="","",IF($S411="Lớp 5",INDEX('Lớp 5 - Phân công'!$L$14:$L$262,$T411),IF($S411="Lớp 4",INDEX('Lớp 4 - Danh mục'!$K$14:$K$132,$T411),INDEX('Lớp 3 - Công việc chính'!$J$14:$J$73,$T411))))</f>
        <v>#REF!</v>
      </c>
      <c r="F411" s="690" t="str">
        <f t="array" ref="F411">IF($S411="","",IF($S411="Lớp 5",INDEX('Lớp 5 - Phân công'!$M$14:$M$262,$T411),IF($S411="Lớp 4",INDEX('Lớp 4 - Danh mục'!$L$14:$L$132,$T411),INDEX('Lớp 3 - Công việc chính'!$K$14:$K$73,$T411))))</f>
        <v>#REF!</v>
      </c>
      <c r="G411" s="691" t="str">
        <f t="array" ref="G411">IF($S411="","",IF($S411="Lớp 5",INDEX('Lớp 5 - Phân công'!$N$14:$N$262,$T411),IF($S411="Lớp 4",INDEX('Lớp 4 - Danh mục'!$M$14:$M$132,$T411),INDEX('Lớp 3 - Công việc chính'!$L$14:$L$73,$T411))))</f>
        <v>#REF!</v>
      </c>
      <c r="H411" s="692" t="str">
        <f t="array" ref="H411">IF($S411="","",IF($S411="Lớp 5",INDEX('Lớp 5 - Phân công'!$O$14:$O$262,$T411),IF($S411="Lớp 4",INDEX('Lớp 4 - Danh mục'!$N$14:$N$132,$T411),INDEX('Lớp 3 - Công việc chính'!$M$14:$M$73,$T411))))</f>
        <v>#REF!</v>
      </c>
      <c r="I411" s="692" t="str">
        <f t="array" ref="I411">IF($S411="","",IF($S411="Lớp 5",INDEX('Lớp 5 - Phân công'!$P$14:$P$262,$T411),IF($S411="Lớp 4",INDEX('Lớp 4 - Danh mục'!$O$14:$O$132,$T411),"")))</f>
        <v>#REF!</v>
      </c>
      <c r="J411" s="693" t="str">
        <f t="array" ref="J411">IF($S411="","",IF($S411="Lớp 5",INDEX('Lớp 5 - Phân công'!$Q$14:$Q$262,$T411),""))</f>
        <v>#REF!</v>
      </c>
      <c r="K411" s="690" t="str">
        <f t="array" ref="K411">IF($S411="","",IF($S411="Lớp 5",INDEX('Lớp 5 - Phân công'!$AA$14:$AA$262,$T411),IF($S411="Lớp 4",INDEX('Lớp 4 - Danh mục'!$Y$14:$Y$132,$T411),INDEX('Lớp 3 - Công việc chính'!$U$14:$U$73,$T411))))</f>
        <v>#REF!</v>
      </c>
      <c r="L411" s="691" t="str">
        <f t="array" ref="L411">IF($S411="","",IF($S411="Lớp 5",INDEX('Lớp 5 - Phân công'!$Z$14:$Z$262,$T411),IF($S411="Lớp 4",INDEX('Lớp 4 - Danh mục'!$X$14:$X$132,$T411),INDEX('Lớp 3 - Công việc chính'!$W$14:$W$73,$T411))))</f>
        <v>#REF!</v>
      </c>
      <c r="M411" s="694" t="str">
        <f t="array" ref="M411">IF($S411="","",IF($S411="Lớp 5",INDEX('Lớp 5 - Phân công'!$AD$14:$AD$262,$T411),IF($S411="Lớp 4",INDEX('Lớp 4 - Danh mục'!$AC$14:$AC$132,$T411),INDEX('Lớp 3 - Công việc chính'!$Z$14:$Z$73,$T411))))</f>
        <v>#REF!</v>
      </c>
      <c r="N411" s="695" t="str">
        <f t="array" ref="N411">IF($S411="","",IF($S411="Lớp 5",INDEX('Lớp 5 - Phân công'!$AE$14:$AE$262,$T411),IF($S411="Lớp 4",INDEX('Lớp 4 - Danh mục'!$AD$14:$AD$132,$T411),INDEX('Lớp 3 - Công việc chính'!$AA$14:$AA$73,$T411))))</f>
        <v>#REF!</v>
      </c>
      <c r="O411" s="690" t="str">
        <f t="array" ref="O411">IF($S411="","",IF($S411="Lớp 5",INDEX('Lớp 5 - Phân công'!$AB$14:$AB$262,$T411),IF($S411="Lớp 4",INDEX('Lớp 4 - Danh mục'!$AA$14:$AA$132,$T411),INDEX('Lớp 3 - Công việc chính'!$X$14:$X$73,$T411))))</f>
        <v>#REF!</v>
      </c>
      <c r="P411" s="703" t="str">
        <f t="array" ref="P411">IF($S411="","",IF($S411="Lớp 5",INDEX('Lớp 5 - Phân công'!$AC$14:$AC$262,$T411),IF($S411="Lớp 4",INDEX('Lớp 4 - Danh mục'!$AB$14:$AB$132,$T411),INDEX('Lớp 3 - Công việc chính'!$Y$14:$Y$73,$T411))))</f>
        <v>#REF!</v>
      </c>
      <c r="Q411" s="697" t="str">
        <f t="array" ref="Q411">IF($S411="","",IF($S411="Lớp 5",INDEX('Lớp 5 - Phân công'!$AG$14:$AG$262,$T411),IF($S411="Lớp 4",INDEX('Lớp 4 - Danh mục'!$AF$14:$AF$132,$T411),INDEX('Lớp 3 - Công việc chính'!$AC$14:$AC$73,$T411))))</f>
        <v>#REF!</v>
      </c>
      <c r="R411" s="698" t="str">
        <f t="array" ref="R411">IF($S411="","",IF($S411="Lớp 5",INDEX('Lớp 5 - Phân công'!$X$14:$X$262,$T411),IF($S411="Lớp 4",INDEX('Lớp 4 - Danh mục'!$V$14:$V$132,$T411),INDEX('Lớp 3 - Công việc chính'!$T$14:$T$73,$T411))))</f>
        <v>#REF!</v>
      </c>
      <c r="S411" s="699" t="str">
        <f>IF(ROWS($S$14:S411)&lt;=COUNTIF('Lớp 5 - Phân công'!$I$14:$I$262,"&lt;&gt;"),"Lớp 5",IF(ROWS($S$14:S411)&lt;=COUNTIF('Lớp 5 - Phân công'!$I$14:$I$262,"&lt;&gt;")+SUMPRODUCT(--('Lớp 4 - Danh mục'!$I$14:$I$132&lt;&gt;""),--(COUNTIF('Lớp 5 - Phân công'!$J$14:$J$262,'Lớp 4 - Danh mục'!$I$14:$I$132)=0)),"Lớp 4",IF(ROWS($S$14:S411)&lt;=COUNTIF('Lớp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1" s="699" t="str">
        <f t="array" ref="T411">IF(S411="","",IF(S411="Lớp 5",IF(S410&lt;&gt;"Lớp 5",MATCH("*",'Lớp 5 - Phân công'!$I$14:$I$262,0),T410+MATCH("*",INDEX('Lớp 5 - Phân công'!$I$14:$I$262,T410+1):'Lớp 5 - Phân công'!$I$262,0)),IF(S411="Lớp 4",IF(S410&lt;&gt;"Lớp 4",MATCH(1,INDEX(('Lớp 4 - Danh mục'!$I$14:$I$132&lt;&gt;"")*(COUNTIF('Lớp 5 - Phân công'!$J$14:$J$262,'Lớp 4 - Danh mục'!$I$14:$I$132)=0),0),0),T410+MATCH(1,INDEX((INDEX('Lớp 4 - Danh mục'!$I$14:$I$132,T410+1):'Lớp 4 - Danh mục'!$I$132&lt;&gt;"")*(COUNTIF('Lớp 5 - Phân công'!$J$14:$J$262,INDEX('Lớp 4 - Danh mục'!$I$14:$I$132,T410+1):'Lớp 4 - Danh mục'!$I$132)=0),0),0)),IF(S410&lt;&gt;"Lớp 3",MATCH(1,INDEX(('Lớp 3 - Công việc chính'!$I$14:$I$73&lt;&gt;"")*(COUNTIF('Lớp 4 - Danh mục'!$J$14:$J$132,'Lớp 3 - Công việc chính'!$I$14:$I$73)=0),0),0),T410+MATCH(1,INDEX((INDEX('Lớp 3 - Công việc chính'!$I$14:$I$73,T410+1):'Lớp 3 - Công việc chính'!$I$73&lt;&gt;"")*(COUNTIF('Lớp 4 - Danh mục'!$J$14:$J$132,INDEX('Lớp 3 - Công việc chính'!$I$14:$I$73,T410+1):'Lớp 3 - Công việc chính'!$I$73)=0),0),0)))))</f>
        <v>#REF!</v>
      </c>
      <c r="Z411" s="700" t="str">
        <f t="array" ref="Z411">IF($S411="","",IF($S411="Lớp 5",INDEX('Lớp 5 - Phân công'!$AS$14:$AS$262,$T411),IF($S411="Lớp 4",INDEX('Lớp 4 - Danh mục'!$AR$14:$AR$132,$T411),INDEX('Lớp 3 - Công việc chính'!$AO$14:$AO$73,$T411))))</f>
        <v>#REF!</v>
      </c>
      <c r="AA411" s="701" t="str">
        <f t="array" ref="AA411">IF($S411="","",IF($S411="Lớp 5",INDEX('Lớp 5 - Phân công'!$AT$14:$AT$262,$T411),IF($S411="Lớp 4",INDEX('Lớp 4 - Danh mục'!$AS$14:$AS$132,$T411),INDEX('Lớp 3 - Công việc chính'!$AP$14:$AP$73,$T411))))</f>
        <v>#REF!</v>
      </c>
      <c r="AB411" s="701" t="str">
        <f t="array" ref="AB411">IF($S411="","",IF($S411="Lớp 5",INDEX('Lớp 5 - Phân công'!$AJ$14:$AJ$262,$T411),IF($S411="Lớp 4",INDEX('Lớp 4 - Danh mục'!$AI$14:$AI$132,$T411),INDEX('Lớp 3 - Công việc chính'!$AF$14:$AF$73,$T411))))</f>
        <v>#REF!</v>
      </c>
      <c r="AC411" s="702" t="str">
        <f t="array" ref="AC411">IF($S411="","",IF($S411="Lớp 5",INDEX('Lớp 5 - Phân công'!$AV$14:$AV$262,$T411),IF($S411="Lớp 4",INDEX('Lớp 4 - Danh mục'!$AU$14:$AU$132,$T411),INDEX('Lớp 3 - Công việc chính'!$AR$14:$AR$73,$T411))))</f>
        <v>#REF!</v>
      </c>
    </row>
    <row r="412" ht="15.75" customHeight="1">
      <c r="A412" s="690" t="str">
        <f t="shared" si="1"/>
        <v>#REF!</v>
      </c>
      <c r="B412" s="690" t="str">
        <f t="array" ref="B412">IF($S412="","",IF($S412="Lớp 5",INDEX('Lớp 5 - Phân công'!$I$14:$I$262,$T412),IF($S412="Lớp 4",INDEX('Lớp 4 - Danh mục'!$I$14:$I$132,$T412),INDEX('Lớp 3 - Công việc chính'!$I$14:$I$73,$T412))))</f>
        <v>#REF!</v>
      </c>
      <c r="C412" s="690" t="str">
        <f t="array" ref="C412">IF($S412="","",IF($S412="Lớp 5",INDEX('Lớp 5 - Phân công'!$K$14:$K$262,$T412),IF($S412="Lớp 4",INDEX('Lớp 4 - Danh mục'!$J$14:$J$132,$T412),INDEX('Lớp 3 - Công việc chính'!$I$14:$I$73,$T412))))</f>
        <v>#REF!</v>
      </c>
      <c r="D412" s="690" t="str">
        <f t="array" ref="D412">IF($S412="","",IF($S412="Lớp 5",INDEX('Lớp 5 - Phân công'!$J$14:$J$262,$T412),IF($S412="Lớp 4",INDEX('Lớp 4 - Danh mục'!$I$14:$I$132,$T412),"")))</f>
        <v>#REF!</v>
      </c>
      <c r="E412" s="690" t="str">
        <f t="array" ref="E412">IF($S412="","",IF($S412="Lớp 5",INDEX('Lớp 5 - Phân công'!$L$14:$L$262,$T412),IF($S412="Lớp 4",INDEX('Lớp 4 - Danh mục'!$K$14:$K$132,$T412),INDEX('Lớp 3 - Công việc chính'!$J$14:$J$73,$T412))))</f>
        <v>#REF!</v>
      </c>
      <c r="F412" s="690" t="str">
        <f t="array" ref="F412">IF($S412="","",IF($S412="Lớp 5",INDEX('Lớp 5 - Phân công'!$M$14:$M$262,$T412),IF($S412="Lớp 4",INDEX('Lớp 4 - Danh mục'!$L$14:$L$132,$T412),INDEX('Lớp 3 - Công việc chính'!$K$14:$K$73,$T412))))</f>
        <v>#REF!</v>
      </c>
      <c r="G412" s="691" t="str">
        <f t="array" ref="G412">IF($S412="","",IF($S412="Lớp 5",INDEX('Lớp 5 - Phân công'!$N$14:$N$262,$T412),IF($S412="Lớp 4",INDEX('Lớp 4 - Danh mục'!$M$14:$M$132,$T412),INDEX('Lớp 3 - Công việc chính'!$L$14:$L$73,$T412))))</f>
        <v>#REF!</v>
      </c>
      <c r="H412" s="692" t="str">
        <f t="array" ref="H412">IF($S412="","",IF($S412="Lớp 5",INDEX('Lớp 5 - Phân công'!$O$14:$O$262,$T412),IF($S412="Lớp 4",INDEX('Lớp 4 - Danh mục'!$N$14:$N$132,$T412),INDEX('Lớp 3 - Công việc chính'!$M$14:$M$73,$T412))))</f>
        <v>#REF!</v>
      </c>
      <c r="I412" s="692" t="str">
        <f t="array" ref="I412">IF($S412="","",IF($S412="Lớp 5",INDEX('Lớp 5 - Phân công'!$P$14:$P$262,$T412),IF($S412="Lớp 4",INDEX('Lớp 4 - Danh mục'!$O$14:$O$132,$T412),"")))</f>
        <v>#REF!</v>
      </c>
      <c r="J412" s="693" t="str">
        <f t="array" ref="J412">IF($S412="","",IF($S412="Lớp 5",INDEX('Lớp 5 - Phân công'!$Q$14:$Q$262,$T412),""))</f>
        <v>#REF!</v>
      </c>
      <c r="K412" s="690" t="str">
        <f t="array" ref="K412">IF($S412="","",IF($S412="Lớp 5",INDEX('Lớp 5 - Phân công'!$AA$14:$AA$262,$T412),IF($S412="Lớp 4",INDEX('Lớp 4 - Danh mục'!$Y$14:$Y$132,$T412),INDEX('Lớp 3 - Công việc chính'!$U$14:$U$73,$T412))))</f>
        <v>#REF!</v>
      </c>
      <c r="L412" s="691" t="str">
        <f t="array" ref="L412">IF($S412="","",IF($S412="Lớp 5",INDEX('Lớp 5 - Phân công'!$Z$14:$Z$262,$T412),IF($S412="Lớp 4",INDEX('Lớp 4 - Danh mục'!$X$14:$X$132,$T412),INDEX('Lớp 3 - Công việc chính'!$W$14:$W$73,$T412))))</f>
        <v>#REF!</v>
      </c>
      <c r="M412" s="694" t="str">
        <f t="array" ref="M412">IF($S412="","",IF($S412="Lớp 5",INDEX('Lớp 5 - Phân công'!$AD$14:$AD$262,$T412),IF($S412="Lớp 4",INDEX('Lớp 4 - Danh mục'!$AC$14:$AC$132,$T412),INDEX('Lớp 3 - Công việc chính'!$Z$14:$Z$73,$T412))))</f>
        <v>#REF!</v>
      </c>
      <c r="N412" s="695" t="str">
        <f t="array" ref="N412">IF($S412="","",IF($S412="Lớp 5",INDEX('Lớp 5 - Phân công'!$AE$14:$AE$262,$T412),IF($S412="Lớp 4",INDEX('Lớp 4 - Danh mục'!$AD$14:$AD$132,$T412),INDEX('Lớp 3 - Công việc chính'!$AA$14:$AA$73,$T412))))</f>
        <v>#REF!</v>
      </c>
      <c r="O412" s="690" t="str">
        <f t="array" ref="O412">IF($S412="","",IF($S412="Lớp 5",INDEX('Lớp 5 - Phân công'!$AB$14:$AB$262,$T412),IF($S412="Lớp 4",INDEX('Lớp 4 - Danh mục'!$AA$14:$AA$132,$T412),INDEX('Lớp 3 - Công việc chính'!$X$14:$X$73,$T412))))</f>
        <v>#REF!</v>
      </c>
      <c r="P412" s="703" t="str">
        <f t="array" ref="P412">IF($S412="","",IF($S412="Lớp 5",INDEX('Lớp 5 - Phân công'!$AC$14:$AC$262,$T412),IF($S412="Lớp 4",INDEX('Lớp 4 - Danh mục'!$AB$14:$AB$132,$T412),INDEX('Lớp 3 - Công việc chính'!$Y$14:$Y$73,$T412))))</f>
        <v>#REF!</v>
      </c>
      <c r="Q412" s="697" t="str">
        <f t="array" ref="Q412">IF($S412="","",IF($S412="Lớp 5",INDEX('Lớp 5 - Phân công'!$AG$14:$AG$262,$T412),IF($S412="Lớp 4",INDEX('Lớp 4 - Danh mục'!$AF$14:$AF$132,$T412),INDEX('Lớp 3 - Công việc chính'!$AC$14:$AC$73,$T412))))</f>
        <v>#REF!</v>
      </c>
      <c r="R412" s="698" t="str">
        <f t="array" ref="R412">IF($S412="","",IF($S412="Lớp 5",INDEX('Lớp 5 - Phân công'!$X$14:$X$262,$T412),IF($S412="Lớp 4",INDEX('Lớp 4 - Danh mục'!$V$14:$V$132,$T412),INDEX('Lớp 3 - Công việc chính'!$T$14:$T$73,$T412))))</f>
        <v>#REF!</v>
      </c>
      <c r="S412" s="699" t="str">
        <f>IF(ROWS($S$14:S412)&lt;=COUNTIF('Lớp 5 - Phân công'!$I$14:$I$262,"&lt;&gt;"),"Lớp 5",IF(ROWS($S$14:S412)&lt;=COUNTIF('Lớp 5 - Phân công'!$I$14:$I$262,"&lt;&gt;")+SUMPRODUCT(--('Lớp 4 - Danh mục'!$I$14:$I$132&lt;&gt;""),--(COUNTIF('Lớp 5 - Phân công'!$J$14:$J$262,'Lớp 4 - Danh mục'!$I$14:$I$132)=0)),"Lớp 4",IF(ROWS($S$14:S412)&lt;=COUNTIF('Lớp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2" s="699" t="str">
        <f t="array" ref="T412">IF(S412="","",IF(S412="Lớp 5",IF(S411&lt;&gt;"Lớp 5",MATCH("*",'Lớp 5 - Phân công'!$I$14:$I$262,0),T411+MATCH("*",INDEX('Lớp 5 - Phân công'!$I$14:$I$262,T411+1):'Lớp 5 - Phân công'!$I$262,0)),IF(S412="Lớp 4",IF(S411&lt;&gt;"Lớp 4",MATCH(1,INDEX(('Lớp 4 - Danh mục'!$I$14:$I$132&lt;&gt;"")*(COUNTIF('Lớp 5 - Phân công'!$J$14:$J$262,'Lớp 4 - Danh mục'!$I$14:$I$132)=0),0),0),T411+MATCH(1,INDEX((INDEX('Lớp 4 - Danh mục'!$I$14:$I$132,T411+1):'Lớp 4 - Danh mục'!$I$132&lt;&gt;"")*(COUNTIF('Lớp 5 - Phân công'!$J$14:$J$262,INDEX('Lớp 4 - Danh mục'!$I$14:$I$132,T411+1):'Lớp 4 - Danh mục'!$I$132)=0),0),0)),IF(S411&lt;&gt;"Lớp 3",MATCH(1,INDEX(('Lớp 3 - Công việc chính'!$I$14:$I$73&lt;&gt;"")*(COUNTIF('Lớp 4 - Danh mục'!$J$14:$J$132,'Lớp 3 - Công việc chính'!$I$14:$I$73)=0),0),0),T411+MATCH(1,INDEX((INDEX('Lớp 3 - Công việc chính'!$I$14:$I$73,T411+1):'Lớp 3 - Công việc chính'!$I$73&lt;&gt;"")*(COUNTIF('Lớp 4 - Danh mục'!$J$14:$J$132,INDEX('Lớp 3 - Công việc chính'!$I$14:$I$73,T411+1):'Lớp 3 - Công việc chính'!$I$73)=0),0),0)))))</f>
        <v>#REF!</v>
      </c>
      <c r="Z412" s="700" t="str">
        <f t="array" ref="Z412">IF($S412="","",IF($S412="Lớp 5",INDEX('Lớp 5 - Phân công'!$AS$14:$AS$262,$T412),IF($S412="Lớp 4",INDEX('Lớp 4 - Danh mục'!$AR$14:$AR$132,$T412),INDEX('Lớp 3 - Công việc chính'!$AO$14:$AO$73,$T412))))</f>
        <v>#REF!</v>
      </c>
      <c r="AA412" s="701" t="str">
        <f t="array" ref="AA412">IF($S412="","",IF($S412="Lớp 5",INDEX('Lớp 5 - Phân công'!$AT$14:$AT$262,$T412),IF($S412="Lớp 4",INDEX('Lớp 4 - Danh mục'!$AS$14:$AS$132,$T412),INDEX('Lớp 3 - Công việc chính'!$AP$14:$AP$73,$T412))))</f>
        <v>#REF!</v>
      </c>
      <c r="AB412" s="701" t="str">
        <f t="array" ref="AB412">IF($S412="","",IF($S412="Lớp 5",INDEX('Lớp 5 - Phân công'!$AJ$14:$AJ$262,$T412),IF($S412="Lớp 4",INDEX('Lớp 4 - Danh mục'!$AI$14:$AI$132,$T412),INDEX('Lớp 3 - Công việc chính'!$AF$14:$AF$73,$T412))))</f>
        <v>#REF!</v>
      </c>
      <c r="AC412" s="702" t="str">
        <f t="array" ref="AC412">IF($S412="","",IF($S412="Lớp 5",INDEX('Lớp 5 - Phân công'!$AV$14:$AV$262,$T412),IF($S412="Lớp 4",INDEX('Lớp 4 - Danh mục'!$AU$14:$AU$132,$T412),INDEX('Lớp 3 - Công việc chính'!$AR$14:$AR$73,$T412))))</f>
        <v>#REF!</v>
      </c>
    </row>
    <row r="413" ht="15.75" customHeight="1">
      <c r="A413" s="690" t="str">
        <f t="shared" si="1"/>
        <v>#REF!</v>
      </c>
      <c r="B413" s="690" t="str">
        <f t="array" ref="B413">IF($S413="","",IF($S413="Lớp 5",INDEX('Lớp 5 - Phân công'!$I$14:$I$262,$T413),IF($S413="Lớp 4",INDEX('Lớp 4 - Danh mục'!$I$14:$I$132,$T413),INDEX('Lớp 3 - Công việc chính'!$I$14:$I$73,$T413))))</f>
        <v>#REF!</v>
      </c>
      <c r="C413" s="690" t="str">
        <f t="array" ref="C413">IF($S413="","",IF($S413="Lớp 5",INDEX('Lớp 5 - Phân công'!$K$14:$K$262,$T413),IF($S413="Lớp 4",INDEX('Lớp 4 - Danh mục'!$J$14:$J$132,$T413),INDEX('Lớp 3 - Công việc chính'!$I$14:$I$73,$T413))))</f>
        <v>#REF!</v>
      </c>
      <c r="D413" s="690" t="str">
        <f t="array" ref="D413">IF($S413="","",IF($S413="Lớp 5",INDEX('Lớp 5 - Phân công'!$J$14:$J$262,$T413),IF($S413="Lớp 4",INDEX('Lớp 4 - Danh mục'!$I$14:$I$132,$T413),"")))</f>
        <v>#REF!</v>
      </c>
      <c r="E413" s="690" t="str">
        <f t="array" ref="E413">IF($S413="","",IF($S413="Lớp 5",INDEX('Lớp 5 - Phân công'!$L$14:$L$262,$T413),IF($S413="Lớp 4",INDEX('Lớp 4 - Danh mục'!$K$14:$K$132,$T413),INDEX('Lớp 3 - Công việc chính'!$J$14:$J$73,$T413))))</f>
        <v>#REF!</v>
      </c>
      <c r="F413" s="690" t="str">
        <f t="array" ref="F413">IF($S413="","",IF($S413="Lớp 5",INDEX('Lớp 5 - Phân công'!$M$14:$M$262,$T413),IF($S413="Lớp 4",INDEX('Lớp 4 - Danh mục'!$L$14:$L$132,$T413),INDEX('Lớp 3 - Công việc chính'!$K$14:$K$73,$T413))))</f>
        <v>#REF!</v>
      </c>
      <c r="G413" s="691" t="str">
        <f t="array" ref="G413">IF($S413="","",IF($S413="Lớp 5",INDEX('Lớp 5 - Phân công'!$N$14:$N$262,$T413),IF($S413="Lớp 4",INDEX('Lớp 4 - Danh mục'!$M$14:$M$132,$T413),INDEX('Lớp 3 - Công việc chính'!$L$14:$L$73,$T413))))</f>
        <v>#REF!</v>
      </c>
      <c r="H413" s="692" t="str">
        <f t="array" ref="H413">IF($S413="","",IF($S413="Lớp 5",INDEX('Lớp 5 - Phân công'!$O$14:$O$262,$T413),IF($S413="Lớp 4",INDEX('Lớp 4 - Danh mục'!$N$14:$N$132,$T413),INDEX('Lớp 3 - Công việc chính'!$M$14:$M$73,$T413))))</f>
        <v>#REF!</v>
      </c>
      <c r="I413" s="692" t="str">
        <f t="array" ref="I413">IF($S413="","",IF($S413="Lớp 5",INDEX('Lớp 5 - Phân công'!$P$14:$P$262,$T413),IF($S413="Lớp 4",INDEX('Lớp 4 - Danh mục'!$O$14:$O$132,$T413),"")))</f>
        <v>#REF!</v>
      </c>
      <c r="J413" s="693" t="str">
        <f t="array" ref="J413">IF($S413="","",IF($S413="Lớp 5",INDEX('Lớp 5 - Phân công'!$Q$14:$Q$262,$T413),""))</f>
        <v>#REF!</v>
      </c>
      <c r="K413" s="690" t="str">
        <f t="array" ref="K413">IF($S413="","",IF($S413="Lớp 5",INDEX('Lớp 5 - Phân công'!$AA$14:$AA$262,$T413),IF($S413="Lớp 4",INDEX('Lớp 4 - Danh mục'!$Y$14:$Y$132,$T413),INDEX('Lớp 3 - Công việc chính'!$U$14:$U$73,$T413))))</f>
        <v>#REF!</v>
      </c>
      <c r="L413" s="691" t="str">
        <f t="array" ref="L413">IF($S413="","",IF($S413="Lớp 5",INDEX('Lớp 5 - Phân công'!$Z$14:$Z$262,$T413),IF($S413="Lớp 4",INDEX('Lớp 4 - Danh mục'!$X$14:$X$132,$T413),INDEX('Lớp 3 - Công việc chính'!$W$14:$W$73,$T413))))</f>
        <v>#REF!</v>
      </c>
      <c r="M413" s="694" t="str">
        <f t="array" ref="M413">IF($S413="","",IF($S413="Lớp 5",INDEX('Lớp 5 - Phân công'!$AD$14:$AD$262,$T413),IF($S413="Lớp 4",INDEX('Lớp 4 - Danh mục'!$AC$14:$AC$132,$T413),INDEX('Lớp 3 - Công việc chính'!$Z$14:$Z$73,$T413))))</f>
        <v>#REF!</v>
      </c>
      <c r="N413" s="695" t="str">
        <f t="array" ref="N413">IF($S413="","",IF($S413="Lớp 5",INDEX('Lớp 5 - Phân công'!$AE$14:$AE$262,$T413),IF($S413="Lớp 4",INDEX('Lớp 4 - Danh mục'!$AD$14:$AD$132,$T413),INDEX('Lớp 3 - Công việc chính'!$AA$14:$AA$73,$T413))))</f>
        <v>#REF!</v>
      </c>
      <c r="O413" s="690" t="str">
        <f t="array" ref="O413">IF($S413="","",IF($S413="Lớp 5",INDEX('Lớp 5 - Phân công'!$AB$14:$AB$262,$T413),IF($S413="Lớp 4",INDEX('Lớp 4 - Danh mục'!$AA$14:$AA$132,$T413),INDEX('Lớp 3 - Công việc chính'!$X$14:$X$73,$T413))))</f>
        <v>#REF!</v>
      </c>
      <c r="P413" s="703" t="str">
        <f t="array" ref="P413">IF($S413="","",IF($S413="Lớp 5",INDEX('Lớp 5 - Phân công'!$AC$14:$AC$262,$T413),IF($S413="Lớp 4",INDEX('Lớp 4 - Danh mục'!$AB$14:$AB$132,$T413),INDEX('Lớp 3 - Công việc chính'!$Y$14:$Y$73,$T413))))</f>
        <v>#REF!</v>
      </c>
      <c r="Q413" s="697" t="str">
        <f t="array" ref="Q413">IF($S413="","",IF($S413="Lớp 5",INDEX('Lớp 5 - Phân công'!$AG$14:$AG$262,$T413),IF($S413="Lớp 4",INDEX('Lớp 4 - Danh mục'!$AF$14:$AF$132,$T413),INDEX('Lớp 3 - Công việc chính'!$AC$14:$AC$73,$T413))))</f>
        <v>#REF!</v>
      </c>
      <c r="R413" s="698" t="str">
        <f t="array" ref="R413">IF($S413="","",IF($S413="Lớp 5",INDEX('Lớp 5 - Phân công'!$X$14:$X$262,$T413),IF($S413="Lớp 4",INDEX('Lớp 4 - Danh mục'!$V$14:$V$132,$T413),INDEX('Lớp 3 - Công việc chính'!$T$14:$T$73,$T413))))</f>
        <v>#REF!</v>
      </c>
      <c r="S413" s="699" t="str">
        <f>IF(ROWS($S$14:S413)&lt;=COUNTIF('Lớp 5 - Phân công'!$I$14:$I$262,"&lt;&gt;"),"Lớp 5",IF(ROWS($S$14:S413)&lt;=COUNTIF('Lớp 5 - Phân công'!$I$14:$I$262,"&lt;&gt;")+SUMPRODUCT(--('Lớp 4 - Danh mục'!$I$14:$I$132&lt;&gt;""),--(COUNTIF('Lớp 5 - Phân công'!$J$14:$J$262,'Lớp 4 - Danh mục'!$I$14:$I$132)=0)),"Lớp 4",IF(ROWS($S$14:S413)&lt;=COUNTIF('Lớp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3" s="699" t="str">
        <f t="array" ref="T413">IF(S413="","",IF(S413="Lớp 5",IF(S412&lt;&gt;"Lớp 5",MATCH("*",'Lớp 5 - Phân công'!$I$14:$I$262,0),T412+MATCH("*",INDEX('Lớp 5 - Phân công'!$I$14:$I$262,T412+1):'Lớp 5 - Phân công'!$I$262,0)),IF(S413="Lớp 4",IF(S412&lt;&gt;"Lớp 4",MATCH(1,INDEX(('Lớp 4 - Danh mục'!$I$14:$I$132&lt;&gt;"")*(COUNTIF('Lớp 5 - Phân công'!$J$14:$J$262,'Lớp 4 - Danh mục'!$I$14:$I$132)=0),0),0),T412+MATCH(1,INDEX((INDEX('Lớp 4 - Danh mục'!$I$14:$I$132,T412+1):'Lớp 4 - Danh mục'!$I$132&lt;&gt;"")*(COUNTIF('Lớp 5 - Phân công'!$J$14:$J$262,INDEX('Lớp 4 - Danh mục'!$I$14:$I$132,T412+1):'Lớp 4 - Danh mục'!$I$132)=0),0),0)),IF(S412&lt;&gt;"Lớp 3",MATCH(1,INDEX(('Lớp 3 - Công việc chính'!$I$14:$I$73&lt;&gt;"")*(COUNTIF('Lớp 4 - Danh mục'!$J$14:$J$132,'Lớp 3 - Công việc chính'!$I$14:$I$73)=0),0),0),T412+MATCH(1,INDEX((INDEX('Lớp 3 - Công việc chính'!$I$14:$I$73,T412+1):'Lớp 3 - Công việc chính'!$I$73&lt;&gt;"")*(COUNTIF('Lớp 4 - Danh mục'!$J$14:$J$132,INDEX('Lớp 3 - Công việc chính'!$I$14:$I$73,T412+1):'Lớp 3 - Công việc chính'!$I$73)=0),0),0)))))</f>
        <v>#REF!</v>
      </c>
      <c r="Z413" s="700" t="str">
        <f t="array" ref="Z413">IF($S413="","",IF($S413="Lớp 5",INDEX('Lớp 5 - Phân công'!$AS$14:$AS$262,$T413),IF($S413="Lớp 4",INDEX('Lớp 4 - Danh mục'!$AR$14:$AR$132,$T413),INDEX('Lớp 3 - Công việc chính'!$AO$14:$AO$73,$T413))))</f>
        <v>#REF!</v>
      </c>
      <c r="AA413" s="701" t="str">
        <f t="array" ref="AA413">IF($S413="","",IF($S413="Lớp 5",INDEX('Lớp 5 - Phân công'!$AT$14:$AT$262,$T413),IF($S413="Lớp 4",INDEX('Lớp 4 - Danh mục'!$AS$14:$AS$132,$T413),INDEX('Lớp 3 - Công việc chính'!$AP$14:$AP$73,$T413))))</f>
        <v>#REF!</v>
      </c>
      <c r="AB413" s="701" t="str">
        <f t="array" ref="AB413">IF($S413="","",IF($S413="Lớp 5",INDEX('Lớp 5 - Phân công'!$AJ$14:$AJ$262,$T413),IF($S413="Lớp 4",INDEX('Lớp 4 - Danh mục'!$AI$14:$AI$132,$T413),INDEX('Lớp 3 - Công việc chính'!$AF$14:$AF$73,$T413))))</f>
        <v>#REF!</v>
      </c>
      <c r="AC413" s="702" t="str">
        <f t="array" ref="AC413">IF($S413="","",IF($S413="Lớp 5",INDEX('Lớp 5 - Phân công'!$AV$14:$AV$262,$T413),IF($S413="Lớp 4",INDEX('Lớp 4 - Danh mục'!$AU$14:$AU$132,$T413),INDEX('Lớp 3 - Công việc chính'!$AR$14:$AR$73,$T413))))</f>
        <v>#REF!</v>
      </c>
    </row>
    <row r="414" ht="15.75" customHeight="1">
      <c r="A414" s="690" t="str">
        <f t="shared" si="1"/>
        <v>#REF!</v>
      </c>
      <c r="B414" s="690" t="str">
        <f t="array" ref="B414">IF($S414="","",IF($S414="Lớp 5",INDEX('Lớp 5 - Phân công'!$I$14:$I$262,$T414),IF($S414="Lớp 4",INDEX('Lớp 4 - Danh mục'!$I$14:$I$132,$T414),INDEX('Lớp 3 - Công việc chính'!$I$14:$I$73,$T414))))</f>
        <v>#REF!</v>
      </c>
      <c r="C414" s="690" t="str">
        <f t="array" ref="C414">IF($S414="","",IF($S414="Lớp 5",INDEX('Lớp 5 - Phân công'!$K$14:$K$262,$T414),IF($S414="Lớp 4",INDEX('Lớp 4 - Danh mục'!$J$14:$J$132,$T414),INDEX('Lớp 3 - Công việc chính'!$I$14:$I$73,$T414))))</f>
        <v>#REF!</v>
      </c>
      <c r="D414" s="690" t="str">
        <f t="array" ref="D414">IF($S414="","",IF($S414="Lớp 5",INDEX('Lớp 5 - Phân công'!$J$14:$J$262,$T414),IF($S414="Lớp 4",INDEX('Lớp 4 - Danh mục'!$I$14:$I$132,$T414),"")))</f>
        <v>#REF!</v>
      </c>
      <c r="E414" s="690" t="str">
        <f t="array" ref="E414">IF($S414="","",IF($S414="Lớp 5",INDEX('Lớp 5 - Phân công'!$L$14:$L$262,$T414),IF($S414="Lớp 4",INDEX('Lớp 4 - Danh mục'!$K$14:$K$132,$T414),INDEX('Lớp 3 - Công việc chính'!$J$14:$J$73,$T414))))</f>
        <v>#REF!</v>
      </c>
      <c r="F414" s="690" t="str">
        <f t="array" ref="F414">IF($S414="","",IF($S414="Lớp 5",INDEX('Lớp 5 - Phân công'!$M$14:$M$262,$T414),IF($S414="Lớp 4",INDEX('Lớp 4 - Danh mục'!$L$14:$L$132,$T414),INDEX('Lớp 3 - Công việc chính'!$K$14:$K$73,$T414))))</f>
        <v>#REF!</v>
      </c>
      <c r="G414" s="691" t="str">
        <f t="array" ref="G414">IF($S414="","",IF($S414="Lớp 5",INDEX('Lớp 5 - Phân công'!$N$14:$N$262,$T414),IF($S414="Lớp 4",INDEX('Lớp 4 - Danh mục'!$M$14:$M$132,$T414),INDEX('Lớp 3 - Công việc chính'!$L$14:$L$73,$T414))))</f>
        <v>#REF!</v>
      </c>
      <c r="H414" s="692" t="str">
        <f t="array" ref="H414">IF($S414="","",IF($S414="Lớp 5",INDEX('Lớp 5 - Phân công'!$O$14:$O$262,$T414),IF($S414="Lớp 4",INDEX('Lớp 4 - Danh mục'!$N$14:$N$132,$T414),INDEX('Lớp 3 - Công việc chính'!$M$14:$M$73,$T414))))</f>
        <v>#REF!</v>
      </c>
      <c r="I414" s="692" t="str">
        <f t="array" ref="I414">IF($S414="","",IF($S414="Lớp 5",INDEX('Lớp 5 - Phân công'!$P$14:$P$262,$T414),IF($S414="Lớp 4",INDEX('Lớp 4 - Danh mục'!$O$14:$O$132,$T414),"")))</f>
        <v>#REF!</v>
      </c>
      <c r="J414" s="693" t="str">
        <f t="array" ref="J414">IF($S414="","",IF($S414="Lớp 5",INDEX('Lớp 5 - Phân công'!$Q$14:$Q$262,$T414),""))</f>
        <v>#REF!</v>
      </c>
      <c r="K414" s="690" t="str">
        <f t="array" ref="K414">IF($S414="","",IF($S414="Lớp 5",INDEX('Lớp 5 - Phân công'!$AA$14:$AA$262,$T414),IF($S414="Lớp 4",INDEX('Lớp 4 - Danh mục'!$Y$14:$Y$132,$T414),INDEX('Lớp 3 - Công việc chính'!$U$14:$U$73,$T414))))</f>
        <v>#REF!</v>
      </c>
      <c r="L414" s="691" t="str">
        <f t="array" ref="L414">IF($S414="","",IF($S414="Lớp 5",INDEX('Lớp 5 - Phân công'!$Z$14:$Z$262,$T414),IF($S414="Lớp 4",INDEX('Lớp 4 - Danh mục'!$X$14:$X$132,$T414),INDEX('Lớp 3 - Công việc chính'!$W$14:$W$73,$T414))))</f>
        <v>#REF!</v>
      </c>
      <c r="M414" s="694" t="str">
        <f t="array" ref="M414">IF($S414="","",IF($S414="Lớp 5",INDEX('Lớp 5 - Phân công'!$AD$14:$AD$262,$T414),IF($S414="Lớp 4",INDEX('Lớp 4 - Danh mục'!$AC$14:$AC$132,$T414),INDEX('Lớp 3 - Công việc chính'!$Z$14:$Z$73,$T414))))</f>
        <v>#REF!</v>
      </c>
      <c r="N414" s="695" t="str">
        <f t="array" ref="N414">IF($S414="","",IF($S414="Lớp 5",INDEX('Lớp 5 - Phân công'!$AE$14:$AE$262,$T414),IF($S414="Lớp 4",INDEX('Lớp 4 - Danh mục'!$AD$14:$AD$132,$T414),INDEX('Lớp 3 - Công việc chính'!$AA$14:$AA$73,$T414))))</f>
        <v>#REF!</v>
      </c>
      <c r="O414" s="690" t="str">
        <f t="array" ref="O414">IF($S414="","",IF($S414="Lớp 5",INDEX('Lớp 5 - Phân công'!$AB$14:$AB$262,$T414),IF($S414="Lớp 4",INDEX('Lớp 4 - Danh mục'!$AA$14:$AA$132,$T414),INDEX('Lớp 3 - Công việc chính'!$X$14:$X$73,$T414))))</f>
        <v>#REF!</v>
      </c>
      <c r="P414" s="703" t="str">
        <f t="array" ref="P414">IF($S414="","",IF($S414="Lớp 5",INDEX('Lớp 5 - Phân công'!$AC$14:$AC$262,$T414),IF($S414="Lớp 4",INDEX('Lớp 4 - Danh mục'!$AB$14:$AB$132,$T414),INDEX('Lớp 3 - Công việc chính'!$Y$14:$Y$73,$T414))))</f>
        <v>#REF!</v>
      </c>
      <c r="Q414" s="697" t="str">
        <f t="array" ref="Q414">IF($S414="","",IF($S414="Lớp 5",INDEX('Lớp 5 - Phân công'!$AG$14:$AG$262,$T414),IF($S414="Lớp 4",INDEX('Lớp 4 - Danh mục'!$AF$14:$AF$132,$T414),INDEX('Lớp 3 - Công việc chính'!$AC$14:$AC$73,$T414))))</f>
        <v>#REF!</v>
      </c>
      <c r="R414" s="698" t="str">
        <f t="array" ref="R414">IF($S414="","",IF($S414="Lớp 5",INDEX('Lớp 5 - Phân công'!$X$14:$X$262,$T414),IF($S414="Lớp 4",INDEX('Lớp 4 - Danh mục'!$V$14:$V$132,$T414),INDEX('Lớp 3 - Công việc chính'!$T$14:$T$73,$T414))))</f>
        <v>#REF!</v>
      </c>
      <c r="S414" s="699" t="str">
        <f>IF(ROWS($S$14:S414)&lt;=COUNTIF('Lớp 5 - Phân công'!$I$14:$I$262,"&lt;&gt;"),"Lớp 5",IF(ROWS($S$14:S414)&lt;=COUNTIF('Lớp 5 - Phân công'!$I$14:$I$262,"&lt;&gt;")+SUMPRODUCT(--('Lớp 4 - Danh mục'!$I$14:$I$132&lt;&gt;""),--(COUNTIF('Lớp 5 - Phân công'!$J$14:$J$262,'Lớp 4 - Danh mục'!$I$14:$I$132)=0)),"Lớp 4",IF(ROWS($S$14:S414)&lt;=COUNTIF('Lớp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4" s="699" t="str">
        <f t="array" ref="T414">IF(S414="","",IF(S414="Lớp 5",IF(S413&lt;&gt;"Lớp 5",MATCH("*",'Lớp 5 - Phân công'!$I$14:$I$262,0),T413+MATCH("*",INDEX('Lớp 5 - Phân công'!$I$14:$I$262,T413+1):'Lớp 5 - Phân công'!$I$262,0)),IF(S414="Lớp 4",IF(S413&lt;&gt;"Lớp 4",MATCH(1,INDEX(('Lớp 4 - Danh mục'!$I$14:$I$132&lt;&gt;"")*(COUNTIF('Lớp 5 - Phân công'!$J$14:$J$262,'Lớp 4 - Danh mục'!$I$14:$I$132)=0),0),0),T413+MATCH(1,INDEX((INDEX('Lớp 4 - Danh mục'!$I$14:$I$132,T413+1):'Lớp 4 - Danh mục'!$I$132&lt;&gt;"")*(COUNTIF('Lớp 5 - Phân công'!$J$14:$J$262,INDEX('Lớp 4 - Danh mục'!$I$14:$I$132,T413+1):'Lớp 4 - Danh mục'!$I$132)=0),0),0)),IF(S413&lt;&gt;"Lớp 3",MATCH(1,INDEX(('Lớp 3 - Công việc chính'!$I$14:$I$73&lt;&gt;"")*(COUNTIF('Lớp 4 - Danh mục'!$J$14:$J$132,'Lớp 3 - Công việc chính'!$I$14:$I$73)=0),0),0),T413+MATCH(1,INDEX((INDEX('Lớp 3 - Công việc chính'!$I$14:$I$73,T413+1):'Lớp 3 - Công việc chính'!$I$73&lt;&gt;"")*(COUNTIF('Lớp 4 - Danh mục'!$J$14:$J$132,INDEX('Lớp 3 - Công việc chính'!$I$14:$I$73,T413+1):'Lớp 3 - Công việc chính'!$I$73)=0),0),0)))))</f>
        <v>#REF!</v>
      </c>
      <c r="Z414" s="700" t="str">
        <f t="array" ref="Z414">IF($S414="","",IF($S414="Lớp 5",INDEX('Lớp 5 - Phân công'!$AS$14:$AS$262,$T414),IF($S414="Lớp 4",INDEX('Lớp 4 - Danh mục'!$AR$14:$AR$132,$T414),INDEX('Lớp 3 - Công việc chính'!$AO$14:$AO$73,$T414))))</f>
        <v>#REF!</v>
      </c>
      <c r="AA414" s="701" t="str">
        <f t="array" ref="AA414">IF($S414="","",IF($S414="Lớp 5",INDEX('Lớp 5 - Phân công'!$AT$14:$AT$262,$T414),IF($S414="Lớp 4",INDEX('Lớp 4 - Danh mục'!$AS$14:$AS$132,$T414),INDEX('Lớp 3 - Công việc chính'!$AP$14:$AP$73,$T414))))</f>
        <v>#REF!</v>
      </c>
      <c r="AB414" s="701" t="str">
        <f t="array" ref="AB414">IF($S414="","",IF($S414="Lớp 5",INDEX('Lớp 5 - Phân công'!$AJ$14:$AJ$262,$T414),IF($S414="Lớp 4",INDEX('Lớp 4 - Danh mục'!$AI$14:$AI$132,$T414),INDEX('Lớp 3 - Công việc chính'!$AF$14:$AF$73,$T414))))</f>
        <v>#REF!</v>
      </c>
      <c r="AC414" s="702" t="str">
        <f t="array" ref="AC414">IF($S414="","",IF($S414="Lớp 5",INDEX('Lớp 5 - Phân công'!$AV$14:$AV$262,$T414),IF($S414="Lớp 4",INDEX('Lớp 4 - Danh mục'!$AU$14:$AU$132,$T414),INDEX('Lớp 3 - Công việc chính'!$AR$14:$AR$73,$T414))))</f>
        <v>#REF!</v>
      </c>
    </row>
    <row r="415" ht="15.75" customHeight="1">
      <c r="A415" s="690" t="str">
        <f t="shared" si="1"/>
        <v>#REF!</v>
      </c>
      <c r="B415" s="690" t="str">
        <f t="array" ref="B415">IF($S415="","",IF($S415="Lớp 5",INDEX('Lớp 5 - Phân công'!$I$14:$I$262,$T415),IF($S415="Lớp 4",INDEX('Lớp 4 - Danh mục'!$I$14:$I$132,$T415),INDEX('Lớp 3 - Công việc chính'!$I$14:$I$73,$T415))))</f>
        <v>#REF!</v>
      </c>
      <c r="C415" s="690" t="str">
        <f t="array" ref="C415">IF($S415="","",IF($S415="Lớp 5",INDEX('Lớp 5 - Phân công'!$K$14:$K$262,$T415),IF($S415="Lớp 4",INDEX('Lớp 4 - Danh mục'!$J$14:$J$132,$T415),INDEX('Lớp 3 - Công việc chính'!$I$14:$I$73,$T415))))</f>
        <v>#REF!</v>
      </c>
      <c r="D415" s="690" t="str">
        <f t="array" ref="D415">IF($S415="","",IF($S415="Lớp 5",INDEX('Lớp 5 - Phân công'!$J$14:$J$262,$T415),IF($S415="Lớp 4",INDEX('Lớp 4 - Danh mục'!$I$14:$I$132,$T415),"")))</f>
        <v>#REF!</v>
      </c>
      <c r="E415" s="690" t="str">
        <f t="array" ref="E415">IF($S415="","",IF($S415="Lớp 5",INDEX('Lớp 5 - Phân công'!$L$14:$L$262,$T415),IF($S415="Lớp 4",INDEX('Lớp 4 - Danh mục'!$K$14:$K$132,$T415),INDEX('Lớp 3 - Công việc chính'!$J$14:$J$73,$T415))))</f>
        <v>#REF!</v>
      </c>
      <c r="F415" s="690" t="str">
        <f t="array" ref="F415">IF($S415="","",IF($S415="Lớp 5",INDEX('Lớp 5 - Phân công'!$M$14:$M$262,$T415),IF($S415="Lớp 4",INDEX('Lớp 4 - Danh mục'!$L$14:$L$132,$T415),INDEX('Lớp 3 - Công việc chính'!$K$14:$K$73,$T415))))</f>
        <v>#REF!</v>
      </c>
      <c r="G415" s="691" t="str">
        <f t="array" ref="G415">IF($S415="","",IF($S415="Lớp 5",INDEX('Lớp 5 - Phân công'!$N$14:$N$262,$T415),IF($S415="Lớp 4",INDEX('Lớp 4 - Danh mục'!$M$14:$M$132,$T415),INDEX('Lớp 3 - Công việc chính'!$L$14:$L$73,$T415))))</f>
        <v>#REF!</v>
      </c>
      <c r="H415" s="692" t="str">
        <f t="array" ref="H415">IF($S415="","",IF($S415="Lớp 5",INDEX('Lớp 5 - Phân công'!$O$14:$O$262,$T415),IF($S415="Lớp 4",INDEX('Lớp 4 - Danh mục'!$N$14:$N$132,$T415),INDEX('Lớp 3 - Công việc chính'!$M$14:$M$73,$T415))))</f>
        <v>#REF!</v>
      </c>
      <c r="I415" s="692" t="str">
        <f t="array" ref="I415">IF($S415="","",IF($S415="Lớp 5",INDEX('Lớp 5 - Phân công'!$P$14:$P$262,$T415),IF($S415="Lớp 4",INDEX('Lớp 4 - Danh mục'!$O$14:$O$132,$T415),"")))</f>
        <v>#REF!</v>
      </c>
      <c r="J415" s="693" t="str">
        <f t="array" ref="J415">IF($S415="","",IF($S415="Lớp 5",INDEX('Lớp 5 - Phân công'!$Q$14:$Q$262,$T415),""))</f>
        <v>#REF!</v>
      </c>
      <c r="K415" s="690" t="str">
        <f t="array" ref="K415">IF($S415="","",IF($S415="Lớp 5",INDEX('Lớp 5 - Phân công'!$AA$14:$AA$262,$T415),IF($S415="Lớp 4",INDEX('Lớp 4 - Danh mục'!$Y$14:$Y$132,$T415),INDEX('Lớp 3 - Công việc chính'!$U$14:$U$73,$T415))))</f>
        <v>#REF!</v>
      </c>
      <c r="L415" s="691" t="str">
        <f t="array" ref="L415">IF($S415="","",IF($S415="Lớp 5",INDEX('Lớp 5 - Phân công'!$Z$14:$Z$262,$T415),IF($S415="Lớp 4",INDEX('Lớp 4 - Danh mục'!$X$14:$X$132,$T415),INDEX('Lớp 3 - Công việc chính'!$W$14:$W$73,$T415))))</f>
        <v>#REF!</v>
      </c>
      <c r="M415" s="694" t="str">
        <f t="array" ref="M415">IF($S415="","",IF($S415="Lớp 5",INDEX('Lớp 5 - Phân công'!$AD$14:$AD$262,$T415),IF($S415="Lớp 4",INDEX('Lớp 4 - Danh mục'!$AC$14:$AC$132,$T415),INDEX('Lớp 3 - Công việc chính'!$Z$14:$Z$73,$T415))))</f>
        <v>#REF!</v>
      </c>
      <c r="N415" s="695" t="str">
        <f t="array" ref="N415">IF($S415="","",IF($S415="Lớp 5",INDEX('Lớp 5 - Phân công'!$AE$14:$AE$262,$T415),IF($S415="Lớp 4",INDEX('Lớp 4 - Danh mục'!$AD$14:$AD$132,$T415),INDEX('Lớp 3 - Công việc chính'!$AA$14:$AA$73,$T415))))</f>
        <v>#REF!</v>
      </c>
      <c r="O415" s="690" t="str">
        <f t="array" ref="O415">IF($S415="","",IF($S415="Lớp 5",INDEX('Lớp 5 - Phân công'!$AB$14:$AB$262,$T415),IF($S415="Lớp 4",INDEX('Lớp 4 - Danh mục'!$AA$14:$AA$132,$T415),INDEX('Lớp 3 - Công việc chính'!$X$14:$X$73,$T415))))</f>
        <v>#REF!</v>
      </c>
      <c r="P415" s="703" t="str">
        <f t="array" ref="P415">IF($S415="","",IF($S415="Lớp 5",INDEX('Lớp 5 - Phân công'!$AC$14:$AC$262,$T415),IF($S415="Lớp 4",INDEX('Lớp 4 - Danh mục'!$AB$14:$AB$132,$T415),INDEX('Lớp 3 - Công việc chính'!$Y$14:$Y$73,$T415))))</f>
        <v>#REF!</v>
      </c>
      <c r="Q415" s="697" t="str">
        <f t="array" ref="Q415">IF($S415="","",IF($S415="Lớp 5",INDEX('Lớp 5 - Phân công'!$AG$14:$AG$262,$T415),IF($S415="Lớp 4",INDEX('Lớp 4 - Danh mục'!$AF$14:$AF$132,$T415),INDEX('Lớp 3 - Công việc chính'!$AC$14:$AC$73,$T415))))</f>
        <v>#REF!</v>
      </c>
      <c r="R415" s="698" t="str">
        <f t="array" ref="R415">IF($S415="","",IF($S415="Lớp 5",INDEX('Lớp 5 - Phân công'!$X$14:$X$262,$T415),IF($S415="Lớp 4",INDEX('Lớp 4 - Danh mục'!$V$14:$V$132,$T415),INDEX('Lớp 3 - Công việc chính'!$T$14:$T$73,$T415))))</f>
        <v>#REF!</v>
      </c>
      <c r="S415" s="699" t="str">
        <f>IF(ROWS($S$14:S415)&lt;=COUNTIF('Lớp 5 - Phân công'!$I$14:$I$262,"&lt;&gt;"),"Lớp 5",IF(ROWS($S$14:S415)&lt;=COUNTIF('Lớp 5 - Phân công'!$I$14:$I$262,"&lt;&gt;")+SUMPRODUCT(--('Lớp 4 - Danh mục'!$I$14:$I$132&lt;&gt;""),--(COUNTIF('Lớp 5 - Phân công'!$J$14:$J$262,'Lớp 4 - Danh mục'!$I$14:$I$132)=0)),"Lớp 4",IF(ROWS($S$14:S415)&lt;=COUNTIF('Lớp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5" s="699" t="str">
        <f t="array" ref="T415">IF(S415="","",IF(S415="Lớp 5",IF(S414&lt;&gt;"Lớp 5",MATCH("*",'Lớp 5 - Phân công'!$I$14:$I$262,0),T414+MATCH("*",INDEX('Lớp 5 - Phân công'!$I$14:$I$262,T414+1):'Lớp 5 - Phân công'!$I$262,0)),IF(S415="Lớp 4",IF(S414&lt;&gt;"Lớp 4",MATCH(1,INDEX(('Lớp 4 - Danh mục'!$I$14:$I$132&lt;&gt;"")*(COUNTIF('Lớp 5 - Phân công'!$J$14:$J$262,'Lớp 4 - Danh mục'!$I$14:$I$132)=0),0),0),T414+MATCH(1,INDEX((INDEX('Lớp 4 - Danh mục'!$I$14:$I$132,T414+1):'Lớp 4 - Danh mục'!$I$132&lt;&gt;"")*(COUNTIF('Lớp 5 - Phân công'!$J$14:$J$262,INDEX('Lớp 4 - Danh mục'!$I$14:$I$132,T414+1):'Lớp 4 - Danh mục'!$I$132)=0),0),0)),IF(S414&lt;&gt;"Lớp 3",MATCH(1,INDEX(('Lớp 3 - Công việc chính'!$I$14:$I$73&lt;&gt;"")*(COUNTIF('Lớp 4 - Danh mục'!$J$14:$J$132,'Lớp 3 - Công việc chính'!$I$14:$I$73)=0),0),0),T414+MATCH(1,INDEX((INDEX('Lớp 3 - Công việc chính'!$I$14:$I$73,T414+1):'Lớp 3 - Công việc chính'!$I$73&lt;&gt;"")*(COUNTIF('Lớp 4 - Danh mục'!$J$14:$J$132,INDEX('Lớp 3 - Công việc chính'!$I$14:$I$73,T414+1):'Lớp 3 - Công việc chính'!$I$73)=0),0),0)))))</f>
        <v>#REF!</v>
      </c>
      <c r="Z415" s="700" t="str">
        <f t="array" ref="Z415">IF($S415="","",IF($S415="Lớp 5",INDEX('Lớp 5 - Phân công'!$AS$14:$AS$262,$T415),IF($S415="Lớp 4",INDEX('Lớp 4 - Danh mục'!$AR$14:$AR$132,$T415),INDEX('Lớp 3 - Công việc chính'!$AO$14:$AO$73,$T415))))</f>
        <v>#REF!</v>
      </c>
      <c r="AA415" s="701" t="str">
        <f t="array" ref="AA415">IF($S415="","",IF($S415="Lớp 5",INDEX('Lớp 5 - Phân công'!$AT$14:$AT$262,$T415),IF($S415="Lớp 4",INDEX('Lớp 4 - Danh mục'!$AS$14:$AS$132,$T415),INDEX('Lớp 3 - Công việc chính'!$AP$14:$AP$73,$T415))))</f>
        <v>#REF!</v>
      </c>
      <c r="AB415" s="701" t="str">
        <f t="array" ref="AB415">IF($S415="","",IF($S415="Lớp 5",INDEX('Lớp 5 - Phân công'!$AJ$14:$AJ$262,$T415),IF($S415="Lớp 4",INDEX('Lớp 4 - Danh mục'!$AI$14:$AI$132,$T415),INDEX('Lớp 3 - Công việc chính'!$AF$14:$AF$73,$T415))))</f>
        <v>#REF!</v>
      </c>
      <c r="AC415" s="702" t="str">
        <f t="array" ref="AC415">IF($S415="","",IF($S415="Lớp 5",INDEX('Lớp 5 - Phân công'!$AV$14:$AV$262,$T415),IF($S415="Lớp 4",INDEX('Lớp 4 - Danh mục'!$AU$14:$AU$132,$T415),INDEX('Lớp 3 - Công việc chính'!$AR$14:$AR$73,$T415))))</f>
        <v>#REF!</v>
      </c>
    </row>
    <row r="416" ht="15.75" customHeight="1">
      <c r="A416" s="690" t="str">
        <f t="shared" si="1"/>
        <v>#REF!</v>
      </c>
      <c r="B416" s="690" t="str">
        <f t="array" ref="B416">IF($S416="","",IF($S416="Lớp 5",INDEX('Lớp 5 - Phân công'!$I$14:$I$262,$T416),IF($S416="Lớp 4",INDEX('Lớp 4 - Danh mục'!$I$14:$I$132,$T416),INDEX('Lớp 3 - Công việc chính'!$I$14:$I$73,$T416))))</f>
        <v>#REF!</v>
      </c>
      <c r="C416" s="690" t="str">
        <f t="array" ref="C416">IF($S416="","",IF($S416="Lớp 5",INDEX('Lớp 5 - Phân công'!$K$14:$K$262,$T416),IF($S416="Lớp 4",INDEX('Lớp 4 - Danh mục'!$J$14:$J$132,$T416),INDEX('Lớp 3 - Công việc chính'!$I$14:$I$73,$T416))))</f>
        <v>#REF!</v>
      </c>
      <c r="D416" s="690" t="str">
        <f t="array" ref="D416">IF($S416="","",IF($S416="Lớp 5",INDEX('Lớp 5 - Phân công'!$J$14:$J$262,$T416),IF($S416="Lớp 4",INDEX('Lớp 4 - Danh mục'!$I$14:$I$132,$T416),"")))</f>
        <v>#REF!</v>
      </c>
      <c r="E416" s="690" t="str">
        <f t="array" ref="E416">IF($S416="","",IF($S416="Lớp 5",INDEX('Lớp 5 - Phân công'!$L$14:$L$262,$T416),IF($S416="Lớp 4",INDEX('Lớp 4 - Danh mục'!$K$14:$K$132,$T416),INDEX('Lớp 3 - Công việc chính'!$J$14:$J$73,$T416))))</f>
        <v>#REF!</v>
      </c>
      <c r="F416" s="690" t="str">
        <f t="array" ref="F416">IF($S416="","",IF($S416="Lớp 5",INDEX('Lớp 5 - Phân công'!$M$14:$M$262,$T416),IF($S416="Lớp 4",INDEX('Lớp 4 - Danh mục'!$L$14:$L$132,$T416),INDEX('Lớp 3 - Công việc chính'!$K$14:$K$73,$T416))))</f>
        <v>#REF!</v>
      </c>
      <c r="G416" s="691" t="str">
        <f t="array" ref="G416">IF($S416="","",IF($S416="Lớp 5",INDEX('Lớp 5 - Phân công'!$N$14:$N$262,$T416),IF($S416="Lớp 4",INDEX('Lớp 4 - Danh mục'!$M$14:$M$132,$T416),INDEX('Lớp 3 - Công việc chính'!$L$14:$L$73,$T416))))</f>
        <v>#REF!</v>
      </c>
      <c r="H416" s="692" t="str">
        <f t="array" ref="H416">IF($S416="","",IF($S416="Lớp 5",INDEX('Lớp 5 - Phân công'!$O$14:$O$262,$T416),IF($S416="Lớp 4",INDEX('Lớp 4 - Danh mục'!$N$14:$N$132,$T416),INDEX('Lớp 3 - Công việc chính'!$M$14:$M$73,$T416))))</f>
        <v>#REF!</v>
      </c>
      <c r="I416" s="692" t="str">
        <f t="array" ref="I416">IF($S416="","",IF($S416="Lớp 5",INDEX('Lớp 5 - Phân công'!$P$14:$P$262,$T416),IF($S416="Lớp 4",INDEX('Lớp 4 - Danh mục'!$O$14:$O$132,$T416),"")))</f>
        <v>#REF!</v>
      </c>
      <c r="J416" s="693" t="str">
        <f t="array" ref="J416">IF($S416="","",IF($S416="Lớp 5",INDEX('Lớp 5 - Phân công'!$Q$14:$Q$262,$T416),""))</f>
        <v>#REF!</v>
      </c>
      <c r="K416" s="690" t="str">
        <f t="array" ref="K416">IF($S416="","",IF($S416="Lớp 5",INDEX('Lớp 5 - Phân công'!$AA$14:$AA$262,$T416),IF($S416="Lớp 4",INDEX('Lớp 4 - Danh mục'!$Y$14:$Y$132,$T416),INDEX('Lớp 3 - Công việc chính'!$U$14:$U$73,$T416))))</f>
        <v>#REF!</v>
      </c>
      <c r="L416" s="691" t="str">
        <f t="array" ref="L416">IF($S416="","",IF($S416="Lớp 5",INDEX('Lớp 5 - Phân công'!$Z$14:$Z$262,$T416),IF($S416="Lớp 4",INDEX('Lớp 4 - Danh mục'!$X$14:$X$132,$T416),INDEX('Lớp 3 - Công việc chính'!$W$14:$W$73,$T416))))</f>
        <v>#REF!</v>
      </c>
      <c r="M416" s="694" t="str">
        <f t="array" ref="M416">IF($S416="","",IF($S416="Lớp 5",INDEX('Lớp 5 - Phân công'!$AD$14:$AD$262,$T416),IF($S416="Lớp 4",INDEX('Lớp 4 - Danh mục'!$AC$14:$AC$132,$T416),INDEX('Lớp 3 - Công việc chính'!$Z$14:$Z$73,$T416))))</f>
        <v>#REF!</v>
      </c>
      <c r="N416" s="695" t="str">
        <f t="array" ref="N416">IF($S416="","",IF($S416="Lớp 5",INDEX('Lớp 5 - Phân công'!$AE$14:$AE$262,$T416),IF($S416="Lớp 4",INDEX('Lớp 4 - Danh mục'!$AD$14:$AD$132,$T416),INDEX('Lớp 3 - Công việc chính'!$AA$14:$AA$73,$T416))))</f>
        <v>#REF!</v>
      </c>
      <c r="O416" s="690" t="str">
        <f t="array" ref="O416">IF($S416="","",IF($S416="Lớp 5",INDEX('Lớp 5 - Phân công'!$AB$14:$AB$262,$T416),IF($S416="Lớp 4",INDEX('Lớp 4 - Danh mục'!$AA$14:$AA$132,$T416),INDEX('Lớp 3 - Công việc chính'!$X$14:$X$73,$T416))))</f>
        <v>#REF!</v>
      </c>
      <c r="P416" s="703" t="str">
        <f t="array" ref="P416">IF($S416="","",IF($S416="Lớp 5",INDEX('Lớp 5 - Phân công'!$AC$14:$AC$262,$T416),IF($S416="Lớp 4",INDEX('Lớp 4 - Danh mục'!$AB$14:$AB$132,$T416),INDEX('Lớp 3 - Công việc chính'!$Y$14:$Y$73,$T416))))</f>
        <v>#REF!</v>
      </c>
      <c r="Q416" s="697" t="str">
        <f t="array" ref="Q416">IF($S416="","",IF($S416="Lớp 5",INDEX('Lớp 5 - Phân công'!$AG$14:$AG$262,$T416),IF($S416="Lớp 4",INDEX('Lớp 4 - Danh mục'!$AF$14:$AF$132,$T416),INDEX('Lớp 3 - Công việc chính'!$AC$14:$AC$73,$T416))))</f>
        <v>#REF!</v>
      </c>
      <c r="R416" s="698" t="str">
        <f t="array" ref="R416">IF($S416="","",IF($S416="Lớp 5",INDEX('Lớp 5 - Phân công'!$X$14:$X$262,$T416),IF($S416="Lớp 4",INDEX('Lớp 4 - Danh mục'!$V$14:$V$132,$T416),INDEX('Lớp 3 - Công việc chính'!$T$14:$T$73,$T416))))</f>
        <v>#REF!</v>
      </c>
      <c r="S416" s="699" t="str">
        <f>IF(ROWS($S$14:S416)&lt;=COUNTIF('Lớp 5 - Phân công'!$I$14:$I$262,"&lt;&gt;"),"Lớp 5",IF(ROWS($S$14:S416)&lt;=COUNTIF('Lớp 5 - Phân công'!$I$14:$I$262,"&lt;&gt;")+SUMPRODUCT(--('Lớp 4 - Danh mục'!$I$14:$I$132&lt;&gt;""),--(COUNTIF('Lớp 5 - Phân công'!$J$14:$J$262,'Lớp 4 - Danh mục'!$I$14:$I$132)=0)),"Lớp 4",IF(ROWS($S$14:S416)&lt;=COUNTIF('Lớp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6" s="699" t="str">
        <f t="array" ref="T416">IF(S416="","",IF(S416="Lớp 5",IF(S415&lt;&gt;"Lớp 5",MATCH("*",'Lớp 5 - Phân công'!$I$14:$I$262,0),T415+MATCH("*",INDEX('Lớp 5 - Phân công'!$I$14:$I$262,T415+1):'Lớp 5 - Phân công'!$I$262,0)),IF(S416="Lớp 4",IF(S415&lt;&gt;"Lớp 4",MATCH(1,INDEX(('Lớp 4 - Danh mục'!$I$14:$I$132&lt;&gt;"")*(COUNTIF('Lớp 5 - Phân công'!$J$14:$J$262,'Lớp 4 - Danh mục'!$I$14:$I$132)=0),0),0),T415+MATCH(1,INDEX((INDEX('Lớp 4 - Danh mục'!$I$14:$I$132,T415+1):'Lớp 4 - Danh mục'!$I$132&lt;&gt;"")*(COUNTIF('Lớp 5 - Phân công'!$J$14:$J$262,INDEX('Lớp 4 - Danh mục'!$I$14:$I$132,T415+1):'Lớp 4 - Danh mục'!$I$132)=0),0),0)),IF(S415&lt;&gt;"Lớp 3",MATCH(1,INDEX(('Lớp 3 - Công việc chính'!$I$14:$I$73&lt;&gt;"")*(COUNTIF('Lớp 4 - Danh mục'!$J$14:$J$132,'Lớp 3 - Công việc chính'!$I$14:$I$73)=0),0),0),T415+MATCH(1,INDEX((INDEX('Lớp 3 - Công việc chính'!$I$14:$I$73,T415+1):'Lớp 3 - Công việc chính'!$I$73&lt;&gt;"")*(COUNTIF('Lớp 4 - Danh mục'!$J$14:$J$132,INDEX('Lớp 3 - Công việc chính'!$I$14:$I$73,T415+1):'Lớp 3 - Công việc chính'!$I$73)=0),0),0)))))</f>
        <v>#REF!</v>
      </c>
      <c r="Z416" s="700" t="str">
        <f t="array" ref="Z416">IF($S416="","",IF($S416="Lớp 5",INDEX('Lớp 5 - Phân công'!$AS$14:$AS$262,$T416),IF($S416="Lớp 4",INDEX('Lớp 4 - Danh mục'!$AR$14:$AR$132,$T416),INDEX('Lớp 3 - Công việc chính'!$AO$14:$AO$73,$T416))))</f>
        <v>#REF!</v>
      </c>
      <c r="AA416" s="701" t="str">
        <f t="array" ref="AA416">IF($S416="","",IF($S416="Lớp 5",INDEX('Lớp 5 - Phân công'!$AT$14:$AT$262,$T416),IF($S416="Lớp 4",INDEX('Lớp 4 - Danh mục'!$AS$14:$AS$132,$T416),INDEX('Lớp 3 - Công việc chính'!$AP$14:$AP$73,$T416))))</f>
        <v>#REF!</v>
      </c>
      <c r="AB416" s="701" t="str">
        <f t="array" ref="AB416">IF($S416="","",IF($S416="Lớp 5",INDEX('Lớp 5 - Phân công'!$AJ$14:$AJ$262,$T416),IF($S416="Lớp 4",INDEX('Lớp 4 - Danh mục'!$AI$14:$AI$132,$T416),INDEX('Lớp 3 - Công việc chính'!$AF$14:$AF$73,$T416))))</f>
        <v>#REF!</v>
      </c>
      <c r="AC416" s="702" t="str">
        <f t="array" ref="AC416">IF($S416="","",IF($S416="Lớp 5",INDEX('Lớp 5 - Phân công'!$AV$14:$AV$262,$T416),IF($S416="Lớp 4",INDEX('Lớp 4 - Danh mục'!$AU$14:$AU$132,$T416),INDEX('Lớp 3 - Công việc chính'!$AR$14:$AR$73,$T416))))</f>
        <v>#REF!</v>
      </c>
    </row>
    <row r="417" ht="15.75" customHeight="1">
      <c r="A417" s="690" t="str">
        <f t="shared" si="1"/>
        <v>#REF!</v>
      </c>
      <c r="B417" s="690" t="str">
        <f t="array" ref="B417">IF($S417="","",IF($S417="Lớp 5",INDEX('Lớp 5 - Phân công'!$I$14:$I$262,$T417),IF($S417="Lớp 4",INDEX('Lớp 4 - Danh mục'!$I$14:$I$132,$T417),INDEX('Lớp 3 - Công việc chính'!$I$14:$I$73,$T417))))</f>
        <v>#REF!</v>
      </c>
      <c r="C417" s="690" t="str">
        <f t="array" ref="C417">IF($S417="","",IF($S417="Lớp 5",INDEX('Lớp 5 - Phân công'!$K$14:$K$262,$T417),IF($S417="Lớp 4",INDEX('Lớp 4 - Danh mục'!$J$14:$J$132,$T417),INDEX('Lớp 3 - Công việc chính'!$I$14:$I$73,$T417))))</f>
        <v>#REF!</v>
      </c>
      <c r="D417" s="690" t="str">
        <f t="array" ref="D417">IF($S417="","",IF($S417="Lớp 5",INDEX('Lớp 5 - Phân công'!$J$14:$J$262,$T417),IF($S417="Lớp 4",INDEX('Lớp 4 - Danh mục'!$I$14:$I$132,$T417),"")))</f>
        <v>#REF!</v>
      </c>
      <c r="E417" s="690" t="str">
        <f t="array" ref="E417">IF($S417="","",IF($S417="Lớp 5",INDEX('Lớp 5 - Phân công'!$L$14:$L$262,$T417),IF($S417="Lớp 4",INDEX('Lớp 4 - Danh mục'!$K$14:$K$132,$T417),INDEX('Lớp 3 - Công việc chính'!$J$14:$J$73,$T417))))</f>
        <v>#REF!</v>
      </c>
      <c r="F417" s="690" t="str">
        <f t="array" ref="F417">IF($S417="","",IF($S417="Lớp 5",INDEX('Lớp 5 - Phân công'!$M$14:$M$262,$T417),IF($S417="Lớp 4",INDEX('Lớp 4 - Danh mục'!$L$14:$L$132,$T417),INDEX('Lớp 3 - Công việc chính'!$K$14:$K$73,$T417))))</f>
        <v>#REF!</v>
      </c>
      <c r="G417" s="691" t="str">
        <f t="array" ref="G417">IF($S417="","",IF($S417="Lớp 5",INDEX('Lớp 5 - Phân công'!$N$14:$N$262,$T417),IF($S417="Lớp 4",INDEX('Lớp 4 - Danh mục'!$M$14:$M$132,$T417),INDEX('Lớp 3 - Công việc chính'!$L$14:$L$73,$T417))))</f>
        <v>#REF!</v>
      </c>
      <c r="H417" s="692" t="str">
        <f t="array" ref="H417">IF($S417="","",IF($S417="Lớp 5",INDEX('Lớp 5 - Phân công'!$O$14:$O$262,$T417),IF($S417="Lớp 4",INDEX('Lớp 4 - Danh mục'!$N$14:$N$132,$T417),INDEX('Lớp 3 - Công việc chính'!$M$14:$M$73,$T417))))</f>
        <v>#REF!</v>
      </c>
      <c r="I417" s="692" t="str">
        <f t="array" ref="I417">IF($S417="","",IF($S417="Lớp 5",INDEX('Lớp 5 - Phân công'!$P$14:$P$262,$T417),IF($S417="Lớp 4",INDEX('Lớp 4 - Danh mục'!$O$14:$O$132,$T417),"")))</f>
        <v>#REF!</v>
      </c>
      <c r="J417" s="693" t="str">
        <f t="array" ref="J417">IF($S417="","",IF($S417="Lớp 5",INDEX('Lớp 5 - Phân công'!$Q$14:$Q$262,$T417),""))</f>
        <v>#REF!</v>
      </c>
      <c r="K417" s="690" t="str">
        <f t="array" ref="K417">IF($S417="","",IF($S417="Lớp 5",INDEX('Lớp 5 - Phân công'!$AA$14:$AA$262,$T417),IF($S417="Lớp 4",INDEX('Lớp 4 - Danh mục'!$Y$14:$Y$132,$T417),INDEX('Lớp 3 - Công việc chính'!$U$14:$U$73,$T417))))</f>
        <v>#REF!</v>
      </c>
      <c r="L417" s="691" t="str">
        <f t="array" ref="L417">IF($S417="","",IF($S417="Lớp 5",INDEX('Lớp 5 - Phân công'!$Z$14:$Z$262,$T417),IF($S417="Lớp 4",INDEX('Lớp 4 - Danh mục'!$X$14:$X$132,$T417),INDEX('Lớp 3 - Công việc chính'!$W$14:$W$73,$T417))))</f>
        <v>#REF!</v>
      </c>
      <c r="M417" s="694" t="str">
        <f t="array" ref="M417">IF($S417="","",IF($S417="Lớp 5",INDEX('Lớp 5 - Phân công'!$AD$14:$AD$262,$T417),IF($S417="Lớp 4",INDEX('Lớp 4 - Danh mục'!$AC$14:$AC$132,$T417),INDEX('Lớp 3 - Công việc chính'!$Z$14:$Z$73,$T417))))</f>
        <v>#REF!</v>
      </c>
      <c r="N417" s="695" t="str">
        <f t="array" ref="N417">IF($S417="","",IF($S417="Lớp 5",INDEX('Lớp 5 - Phân công'!$AE$14:$AE$262,$T417),IF($S417="Lớp 4",INDEX('Lớp 4 - Danh mục'!$AD$14:$AD$132,$T417),INDEX('Lớp 3 - Công việc chính'!$AA$14:$AA$73,$T417))))</f>
        <v>#REF!</v>
      </c>
      <c r="O417" s="690" t="str">
        <f t="array" ref="O417">IF($S417="","",IF($S417="Lớp 5",INDEX('Lớp 5 - Phân công'!$AB$14:$AB$262,$T417),IF($S417="Lớp 4",INDEX('Lớp 4 - Danh mục'!$AA$14:$AA$132,$T417),INDEX('Lớp 3 - Công việc chính'!$X$14:$X$73,$T417))))</f>
        <v>#REF!</v>
      </c>
      <c r="P417" s="703" t="str">
        <f t="array" ref="P417">IF($S417="","",IF($S417="Lớp 5",INDEX('Lớp 5 - Phân công'!$AC$14:$AC$262,$T417),IF($S417="Lớp 4",INDEX('Lớp 4 - Danh mục'!$AB$14:$AB$132,$T417),INDEX('Lớp 3 - Công việc chính'!$Y$14:$Y$73,$T417))))</f>
        <v>#REF!</v>
      </c>
      <c r="Q417" s="697" t="str">
        <f t="array" ref="Q417">IF($S417="","",IF($S417="Lớp 5",INDEX('Lớp 5 - Phân công'!$AG$14:$AG$262,$T417),IF($S417="Lớp 4",INDEX('Lớp 4 - Danh mục'!$AF$14:$AF$132,$T417),INDEX('Lớp 3 - Công việc chính'!$AC$14:$AC$73,$T417))))</f>
        <v>#REF!</v>
      </c>
      <c r="R417" s="698" t="str">
        <f t="array" ref="R417">IF($S417="","",IF($S417="Lớp 5",INDEX('Lớp 5 - Phân công'!$X$14:$X$262,$T417),IF($S417="Lớp 4",INDEX('Lớp 4 - Danh mục'!$V$14:$V$132,$T417),INDEX('Lớp 3 - Công việc chính'!$T$14:$T$73,$T417))))</f>
        <v>#REF!</v>
      </c>
      <c r="S417" s="699" t="str">
        <f>IF(ROWS($S$14:S417)&lt;=COUNTIF('Lớp 5 - Phân công'!$I$14:$I$262,"&lt;&gt;"),"Lớp 5",IF(ROWS($S$14:S417)&lt;=COUNTIF('Lớp 5 - Phân công'!$I$14:$I$262,"&lt;&gt;")+SUMPRODUCT(--('Lớp 4 - Danh mục'!$I$14:$I$132&lt;&gt;""),--(COUNTIF('Lớp 5 - Phân công'!$J$14:$J$262,'Lớp 4 - Danh mục'!$I$14:$I$132)=0)),"Lớp 4",IF(ROWS($S$14:S417)&lt;=COUNTIF('Lớp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7" s="699" t="str">
        <f t="array" ref="T417">IF(S417="","",IF(S417="Lớp 5",IF(S416&lt;&gt;"Lớp 5",MATCH("*",'Lớp 5 - Phân công'!$I$14:$I$262,0),T416+MATCH("*",INDEX('Lớp 5 - Phân công'!$I$14:$I$262,T416+1):'Lớp 5 - Phân công'!$I$262,0)),IF(S417="Lớp 4",IF(S416&lt;&gt;"Lớp 4",MATCH(1,INDEX(('Lớp 4 - Danh mục'!$I$14:$I$132&lt;&gt;"")*(COUNTIF('Lớp 5 - Phân công'!$J$14:$J$262,'Lớp 4 - Danh mục'!$I$14:$I$132)=0),0),0),T416+MATCH(1,INDEX((INDEX('Lớp 4 - Danh mục'!$I$14:$I$132,T416+1):'Lớp 4 - Danh mục'!$I$132&lt;&gt;"")*(COUNTIF('Lớp 5 - Phân công'!$J$14:$J$262,INDEX('Lớp 4 - Danh mục'!$I$14:$I$132,T416+1):'Lớp 4 - Danh mục'!$I$132)=0),0),0)),IF(S416&lt;&gt;"Lớp 3",MATCH(1,INDEX(('Lớp 3 - Công việc chính'!$I$14:$I$73&lt;&gt;"")*(COUNTIF('Lớp 4 - Danh mục'!$J$14:$J$132,'Lớp 3 - Công việc chính'!$I$14:$I$73)=0),0),0),T416+MATCH(1,INDEX((INDEX('Lớp 3 - Công việc chính'!$I$14:$I$73,T416+1):'Lớp 3 - Công việc chính'!$I$73&lt;&gt;"")*(COUNTIF('Lớp 4 - Danh mục'!$J$14:$J$132,INDEX('Lớp 3 - Công việc chính'!$I$14:$I$73,T416+1):'Lớp 3 - Công việc chính'!$I$73)=0),0),0)))))</f>
        <v>#REF!</v>
      </c>
      <c r="Z417" s="700" t="str">
        <f t="array" ref="Z417">IF($S417="","",IF($S417="Lớp 5",INDEX('Lớp 5 - Phân công'!$AS$14:$AS$262,$T417),IF($S417="Lớp 4",INDEX('Lớp 4 - Danh mục'!$AR$14:$AR$132,$T417),INDEX('Lớp 3 - Công việc chính'!$AO$14:$AO$73,$T417))))</f>
        <v>#REF!</v>
      </c>
      <c r="AA417" s="701" t="str">
        <f t="array" ref="AA417">IF($S417="","",IF($S417="Lớp 5",INDEX('Lớp 5 - Phân công'!$AT$14:$AT$262,$T417),IF($S417="Lớp 4",INDEX('Lớp 4 - Danh mục'!$AS$14:$AS$132,$T417),INDEX('Lớp 3 - Công việc chính'!$AP$14:$AP$73,$T417))))</f>
        <v>#REF!</v>
      </c>
      <c r="AB417" s="701" t="str">
        <f t="array" ref="AB417">IF($S417="","",IF($S417="Lớp 5",INDEX('Lớp 5 - Phân công'!$AJ$14:$AJ$262,$T417),IF($S417="Lớp 4",INDEX('Lớp 4 - Danh mục'!$AI$14:$AI$132,$T417),INDEX('Lớp 3 - Công việc chính'!$AF$14:$AF$73,$T417))))</f>
        <v>#REF!</v>
      </c>
      <c r="AC417" s="702" t="str">
        <f t="array" ref="AC417">IF($S417="","",IF($S417="Lớp 5",INDEX('Lớp 5 - Phân công'!$AV$14:$AV$262,$T417),IF($S417="Lớp 4",INDEX('Lớp 4 - Danh mục'!$AU$14:$AU$132,$T417),INDEX('Lớp 3 - Công việc chính'!$AR$14:$AR$73,$T417))))</f>
        <v>#REF!</v>
      </c>
    </row>
    <row r="418" ht="15.75" customHeight="1">
      <c r="A418" s="690" t="str">
        <f t="shared" si="1"/>
        <v>#REF!</v>
      </c>
      <c r="B418" s="690" t="str">
        <f t="array" ref="B418">IF($S418="","",IF($S418="Lớp 5",INDEX('Lớp 5 - Phân công'!$I$14:$I$262,$T418),IF($S418="Lớp 4",INDEX('Lớp 4 - Danh mục'!$I$14:$I$132,$T418),INDEX('Lớp 3 - Công việc chính'!$I$14:$I$73,$T418))))</f>
        <v>#REF!</v>
      </c>
      <c r="C418" s="690" t="str">
        <f t="array" ref="C418">IF($S418="","",IF($S418="Lớp 5",INDEX('Lớp 5 - Phân công'!$K$14:$K$262,$T418),IF($S418="Lớp 4",INDEX('Lớp 4 - Danh mục'!$J$14:$J$132,$T418),INDEX('Lớp 3 - Công việc chính'!$I$14:$I$73,$T418))))</f>
        <v>#REF!</v>
      </c>
      <c r="D418" s="690" t="str">
        <f t="array" ref="D418">IF($S418="","",IF($S418="Lớp 5",INDEX('Lớp 5 - Phân công'!$J$14:$J$262,$T418),IF($S418="Lớp 4",INDEX('Lớp 4 - Danh mục'!$I$14:$I$132,$T418),"")))</f>
        <v>#REF!</v>
      </c>
      <c r="E418" s="690" t="str">
        <f t="array" ref="E418">IF($S418="","",IF($S418="Lớp 5",INDEX('Lớp 5 - Phân công'!$L$14:$L$262,$T418),IF($S418="Lớp 4",INDEX('Lớp 4 - Danh mục'!$K$14:$K$132,$T418),INDEX('Lớp 3 - Công việc chính'!$J$14:$J$73,$T418))))</f>
        <v>#REF!</v>
      </c>
      <c r="F418" s="690" t="str">
        <f t="array" ref="F418">IF($S418="","",IF($S418="Lớp 5",INDEX('Lớp 5 - Phân công'!$M$14:$M$262,$T418),IF($S418="Lớp 4",INDEX('Lớp 4 - Danh mục'!$L$14:$L$132,$T418),INDEX('Lớp 3 - Công việc chính'!$K$14:$K$73,$T418))))</f>
        <v>#REF!</v>
      </c>
      <c r="G418" s="691" t="str">
        <f t="array" ref="G418">IF($S418="","",IF($S418="Lớp 5",INDEX('Lớp 5 - Phân công'!$N$14:$N$262,$T418),IF($S418="Lớp 4",INDEX('Lớp 4 - Danh mục'!$M$14:$M$132,$T418),INDEX('Lớp 3 - Công việc chính'!$L$14:$L$73,$T418))))</f>
        <v>#REF!</v>
      </c>
      <c r="H418" s="692" t="str">
        <f t="array" ref="H418">IF($S418="","",IF($S418="Lớp 5",INDEX('Lớp 5 - Phân công'!$O$14:$O$262,$T418),IF($S418="Lớp 4",INDEX('Lớp 4 - Danh mục'!$N$14:$N$132,$T418),INDEX('Lớp 3 - Công việc chính'!$M$14:$M$73,$T418))))</f>
        <v>#REF!</v>
      </c>
      <c r="I418" s="692" t="str">
        <f t="array" ref="I418">IF($S418="","",IF($S418="Lớp 5",INDEX('Lớp 5 - Phân công'!$P$14:$P$262,$T418),IF($S418="Lớp 4",INDEX('Lớp 4 - Danh mục'!$O$14:$O$132,$T418),"")))</f>
        <v>#REF!</v>
      </c>
      <c r="J418" s="693" t="str">
        <f t="array" ref="J418">IF($S418="","",IF($S418="Lớp 5",INDEX('Lớp 5 - Phân công'!$Q$14:$Q$262,$T418),""))</f>
        <v>#REF!</v>
      </c>
      <c r="K418" s="690" t="str">
        <f t="array" ref="K418">IF($S418="","",IF($S418="Lớp 5",INDEX('Lớp 5 - Phân công'!$AA$14:$AA$262,$T418),IF($S418="Lớp 4",INDEX('Lớp 4 - Danh mục'!$Y$14:$Y$132,$T418),INDEX('Lớp 3 - Công việc chính'!$U$14:$U$73,$T418))))</f>
        <v>#REF!</v>
      </c>
      <c r="L418" s="691" t="str">
        <f t="array" ref="L418">IF($S418="","",IF($S418="Lớp 5",INDEX('Lớp 5 - Phân công'!$Z$14:$Z$262,$T418),IF($S418="Lớp 4",INDEX('Lớp 4 - Danh mục'!$X$14:$X$132,$T418),INDEX('Lớp 3 - Công việc chính'!$W$14:$W$73,$T418))))</f>
        <v>#REF!</v>
      </c>
      <c r="M418" s="694" t="str">
        <f t="array" ref="M418">IF($S418="","",IF($S418="Lớp 5",INDEX('Lớp 5 - Phân công'!$AD$14:$AD$262,$T418),IF($S418="Lớp 4",INDEX('Lớp 4 - Danh mục'!$AC$14:$AC$132,$T418),INDEX('Lớp 3 - Công việc chính'!$Z$14:$Z$73,$T418))))</f>
        <v>#REF!</v>
      </c>
      <c r="N418" s="695" t="str">
        <f t="array" ref="N418">IF($S418="","",IF($S418="Lớp 5",INDEX('Lớp 5 - Phân công'!$AE$14:$AE$262,$T418),IF($S418="Lớp 4",INDEX('Lớp 4 - Danh mục'!$AD$14:$AD$132,$T418),INDEX('Lớp 3 - Công việc chính'!$AA$14:$AA$73,$T418))))</f>
        <v>#REF!</v>
      </c>
      <c r="O418" s="690" t="str">
        <f t="array" ref="O418">IF($S418="","",IF($S418="Lớp 5",INDEX('Lớp 5 - Phân công'!$AB$14:$AB$262,$T418),IF($S418="Lớp 4",INDEX('Lớp 4 - Danh mục'!$AA$14:$AA$132,$T418),INDEX('Lớp 3 - Công việc chính'!$X$14:$X$73,$T418))))</f>
        <v>#REF!</v>
      </c>
      <c r="P418" s="703" t="str">
        <f t="array" ref="P418">IF($S418="","",IF($S418="Lớp 5",INDEX('Lớp 5 - Phân công'!$AC$14:$AC$262,$T418),IF($S418="Lớp 4",INDEX('Lớp 4 - Danh mục'!$AB$14:$AB$132,$T418),INDEX('Lớp 3 - Công việc chính'!$Y$14:$Y$73,$T418))))</f>
        <v>#REF!</v>
      </c>
      <c r="Q418" s="697" t="str">
        <f t="array" ref="Q418">IF($S418="","",IF($S418="Lớp 5",INDEX('Lớp 5 - Phân công'!$AG$14:$AG$262,$T418),IF($S418="Lớp 4",INDEX('Lớp 4 - Danh mục'!$AF$14:$AF$132,$T418),INDEX('Lớp 3 - Công việc chính'!$AC$14:$AC$73,$T418))))</f>
        <v>#REF!</v>
      </c>
      <c r="R418" s="698" t="str">
        <f t="array" ref="R418">IF($S418="","",IF($S418="Lớp 5",INDEX('Lớp 5 - Phân công'!$X$14:$X$262,$T418),IF($S418="Lớp 4",INDEX('Lớp 4 - Danh mục'!$V$14:$V$132,$T418),INDEX('Lớp 3 - Công việc chính'!$T$14:$T$73,$T418))))</f>
        <v>#REF!</v>
      </c>
      <c r="S418" s="699" t="str">
        <f>IF(ROWS($S$14:S418)&lt;=COUNTIF('Lớp 5 - Phân công'!$I$14:$I$262,"&lt;&gt;"),"Lớp 5",IF(ROWS($S$14:S418)&lt;=COUNTIF('Lớp 5 - Phân công'!$I$14:$I$262,"&lt;&gt;")+SUMPRODUCT(--('Lớp 4 - Danh mục'!$I$14:$I$132&lt;&gt;""),--(COUNTIF('Lớp 5 - Phân công'!$J$14:$J$262,'Lớp 4 - Danh mục'!$I$14:$I$132)=0)),"Lớp 4",IF(ROWS($S$14:S418)&lt;=COUNTIF('Lớp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8" s="699" t="str">
        <f t="array" ref="T418">IF(S418="","",IF(S418="Lớp 5",IF(S417&lt;&gt;"Lớp 5",MATCH("*",'Lớp 5 - Phân công'!$I$14:$I$262,0),T417+MATCH("*",INDEX('Lớp 5 - Phân công'!$I$14:$I$262,T417+1):'Lớp 5 - Phân công'!$I$262,0)),IF(S418="Lớp 4",IF(S417&lt;&gt;"Lớp 4",MATCH(1,INDEX(('Lớp 4 - Danh mục'!$I$14:$I$132&lt;&gt;"")*(COUNTIF('Lớp 5 - Phân công'!$J$14:$J$262,'Lớp 4 - Danh mục'!$I$14:$I$132)=0),0),0),T417+MATCH(1,INDEX((INDEX('Lớp 4 - Danh mục'!$I$14:$I$132,T417+1):'Lớp 4 - Danh mục'!$I$132&lt;&gt;"")*(COUNTIF('Lớp 5 - Phân công'!$J$14:$J$262,INDEX('Lớp 4 - Danh mục'!$I$14:$I$132,T417+1):'Lớp 4 - Danh mục'!$I$132)=0),0),0)),IF(S417&lt;&gt;"Lớp 3",MATCH(1,INDEX(('Lớp 3 - Công việc chính'!$I$14:$I$73&lt;&gt;"")*(COUNTIF('Lớp 4 - Danh mục'!$J$14:$J$132,'Lớp 3 - Công việc chính'!$I$14:$I$73)=0),0),0),T417+MATCH(1,INDEX((INDEX('Lớp 3 - Công việc chính'!$I$14:$I$73,T417+1):'Lớp 3 - Công việc chính'!$I$73&lt;&gt;"")*(COUNTIF('Lớp 4 - Danh mục'!$J$14:$J$132,INDEX('Lớp 3 - Công việc chính'!$I$14:$I$73,T417+1):'Lớp 3 - Công việc chính'!$I$73)=0),0),0)))))</f>
        <v>#REF!</v>
      </c>
      <c r="Z418" s="700" t="str">
        <f t="array" ref="Z418">IF($S418="","",IF($S418="Lớp 5",INDEX('Lớp 5 - Phân công'!$AS$14:$AS$262,$T418),IF($S418="Lớp 4",INDEX('Lớp 4 - Danh mục'!$AR$14:$AR$132,$T418),INDEX('Lớp 3 - Công việc chính'!$AO$14:$AO$73,$T418))))</f>
        <v>#REF!</v>
      </c>
      <c r="AA418" s="701" t="str">
        <f t="array" ref="AA418">IF($S418="","",IF($S418="Lớp 5",INDEX('Lớp 5 - Phân công'!$AT$14:$AT$262,$T418),IF($S418="Lớp 4",INDEX('Lớp 4 - Danh mục'!$AS$14:$AS$132,$T418),INDEX('Lớp 3 - Công việc chính'!$AP$14:$AP$73,$T418))))</f>
        <v>#REF!</v>
      </c>
      <c r="AB418" s="701" t="str">
        <f t="array" ref="AB418">IF($S418="","",IF($S418="Lớp 5",INDEX('Lớp 5 - Phân công'!$AJ$14:$AJ$262,$T418),IF($S418="Lớp 4",INDEX('Lớp 4 - Danh mục'!$AI$14:$AI$132,$T418),INDEX('Lớp 3 - Công việc chính'!$AF$14:$AF$73,$T418))))</f>
        <v>#REF!</v>
      </c>
      <c r="AC418" s="702" t="str">
        <f t="array" ref="AC418">IF($S418="","",IF($S418="Lớp 5",INDEX('Lớp 5 - Phân công'!$AV$14:$AV$262,$T418),IF($S418="Lớp 4",INDEX('Lớp 4 - Danh mục'!$AU$14:$AU$132,$T418),INDEX('Lớp 3 - Công việc chính'!$AR$14:$AR$73,$T418))))</f>
        <v>#REF!</v>
      </c>
    </row>
    <row r="419" ht="15.75" customHeight="1">
      <c r="A419" s="690" t="str">
        <f t="shared" si="1"/>
        <v>#REF!</v>
      </c>
      <c r="B419" s="690" t="str">
        <f t="array" ref="B419">IF($S419="","",IF($S419="Lớp 5",INDEX('Lớp 5 - Phân công'!$I$14:$I$262,$T419),IF($S419="Lớp 4",INDEX('Lớp 4 - Danh mục'!$I$14:$I$132,$T419),INDEX('Lớp 3 - Công việc chính'!$I$14:$I$73,$T419))))</f>
        <v>#REF!</v>
      </c>
      <c r="C419" s="690" t="str">
        <f t="array" ref="C419">IF($S419="","",IF($S419="Lớp 5",INDEX('Lớp 5 - Phân công'!$K$14:$K$262,$T419),IF($S419="Lớp 4",INDEX('Lớp 4 - Danh mục'!$J$14:$J$132,$T419),INDEX('Lớp 3 - Công việc chính'!$I$14:$I$73,$T419))))</f>
        <v>#REF!</v>
      </c>
      <c r="D419" s="690" t="str">
        <f t="array" ref="D419">IF($S419="","",IF($S419="Lớp 5",INDEX('Lớp 5 - Phân công'!$J$14:$J$262,$T419),IF($S419="Lớp 4",INDEX('Lớp 4 - Danh mục'!$I$14:$I$132,$T419),"")))</f>
        <v>#REF!</v>
      </c>
      <c r="E419" s="690" t="str">
        <f t="array" ref="E419">IF($S419="","",IF($S419="Lớp 5",INDEX('Lớp 5 - Phân công'!$L$14:$L$262,$T419),IF($S419="Lớp 4",INDEX('Lớp 4 - Danh mục'!$K$14:$K$132,$T419),INDEX('Lớp 3 - Công việc chính'!$J$14:$J$73,$T419))))</f>
        <v>#REF!</v>
      </c>
      <c r="F419" s="690" t="str">
        <f t="array" ref="F419">IF($S419="","",IF($S419="Lớp 5",INDEX('Lớp 5 - Phân công'!$M$14:$M$262,$T419),IF($S419="Lớp 4",INDEX('Lớp 4 - Danh mục'!$L$14:$L$132,$T419),INDEX('Lớp 3 - Công việc chính'!$K$14:$K$73,$T419))))</f>
        <v>#REF!</v>
      </c>
      <c r="G419" s="691" t="str">
        <f t="array" ref="G419">IF($S419="","",IF($S419="Lớp 5",INDEX('Lớp 5 - Phân công'!$N$14:$N$262,$T419),IF($S419="Lớp 4",INDEX('Lớp 4 - Danh mục'!$M$14:$M$132,$T419),INDEX('Lớp 3 - Công việc chính'!$L$14:$L$73,$T419))))</f>
        <v>#REF!</v>
      </c>
      <c r="H419" s="692" t="str">
        <f t="array" ref="H419">IF($S419="","",IF($S419="Lớp 5",INDEX('Lớp 5 - Phân công'!$O$14:$O$262,$T419),IF($S419="Lớp 4",INDEX('Lớp 4 - Danh mục'!$N$14:$N$132,$T419),INDEX('Lớp 3 - Công việc chính'!$M$14:$M$73,$T419))))</f>
        <v>#REF!</v>
      </c>
      <c r="I419" s="692" t="str">
        <f t="array" ref="I419">IF($S419="","",IF($S419="Lớp 5",INDEX('Lớp 5 - Phân công'!$P$14:$P$262,$T419),IF($S419="Lớp 4",INDEX('Lớp 4 - Danh mục'!$O$14:$O$132,$T419),"")))</f>
        <v>#REF!</v>
      </c>
      <c r="J419" s="693" t="str">
        <f t="array" ref="J419">IF($S419="","",IF($S419="Lớp 5",INDEX('Lớp 5 - Phân công'!$Q$14:$Q$262,$T419),""))</f>
        <v>#REF!</v>
      </c>
      <c r="K419" s="690" t="str">
        <f t="array" ref="K419">IF($S419="","",IF($S419="Lớp 5",INDEX('Lớp 5 - Phân công'!$AA$14:$AA$262,$T419),IF($S419="Lớp 4",INDEX('Lớp 4 - Danh mục'!$Y$14:$Y$132,$T419),INDEX('Lớp 3 - Công việc chính'!$U$14:$U$73,$T419))))</f>
        <v>#REF!</v>
      </c>
      <c r="L419" s="691" t="str">
        <f t="array" ref="L419">IF($S419="","",IF($S419="Lớp 5",INDEX('Lớp 5 - Phân công'!$Z$14:$Z$262,$T419),IF($S419="Lớp 4",INDEX('Lớp 4 - Danh mục'!$X$14:$X$132,$T419),INDEX('Lớp 3 - Công việc chính'!$W$14:$W$73,$T419))))</f>
        <v>#REF!</v>
      </c>
      <c r="M419" s="694" t="str">
        <f t="array" ref="M419">IF($S419="","",IF($S419="Lớp 5",INDEX('Lớp 5 - Phân công'!$AD$14:$AD$262,$T419),IF($S419="Lớp 4",INDEX('Lớp 4 - Danh mục'!$AC$14:$AC$132,$T419),INDEX('Lớp 3 - Công việc chính'!$Z$14:$Z$73,$T419))))</f>
        <v>#REF!</v>
      </c>
      <c r="N419" s="695" t="str">
        <f t="array" ref="N419">IF($S419="","",IF($S419="Lớp 5",INDEX('Lớp 5 - Phân công'!$AE$14:$AE$262,$T419),IF($S419="Lớp 4",INDEX('Lớp 4 - Danh mục'!$AD$14:$AD$132,$T419),INDEX('Lớp 3 - Công việc chính'!$AA$14:$AA$73,$T419))))</f>
        <v>#REF!</v>
      </c>
      <c r="O419" s="690" t="str">
        <f t="array" ref="O419">IF($S419="","",IF($S419="Lớp 5",INDEX('Lớp 5 - Phân công'!$AB$14:$AB$262,$T419),IF($S419="Lớp 4",INDEX('Lớp 4 - Danh mục'!$AA$14:$AA$132,$T419),INDEX('Lớp 3 - Công việc chính'!$X$14:$X$73,$T419))))</f>
        <v>#REF!</v>
      </c>
      <c r="P419" s="703" t="str">
        <f t="array" ref="P419">IF($S419="","",IF($S419="Lớp 5",INDEX('Lớp 5 - Phân công'!$AC$14:$AC$262,$T419),IF($S419="Lớp 4",INDEX('Lớp 4 - Danh mục'!$AB$14:$AB$132,$T419),INDEX('Lớp 3 - Công việc chính'!$Y$14:$Y$73,$T419))))</f>
        <v>#REF!</v>
      </c>
      <c r="Q419" s="697" t="str">
        <f t="array" ref="Q419">IF($S419="","",IF($S419="Lớp 5",INDEX('Lớp 5 - Phân công'!$AG$14:$AG$262,$T419),IF($S419="Lớp 4",INDEX('Lớp 4 - Danh mục'!$AF$14:$AF$132,$T419),INDEX('Lớp 3 - Công việc chính'!$AC$14:$AC$73,$T419))))</f>
        <v>#REF!</v>
      </c>
      <c r="R419" s="698" t="str">
        <f t="array" ref="R419">IF($S419="","",IF($S419="Lớp 5",INDEX('Lớp 5 - Phân công'!$X$14:$X$262,$T419),IF($S419="Lớp 4",INDEX('Lớp 4 - Danh mục'!$V$14:$V$132,$T419),INDEX('Lớp 3 - Công việc chính'!$T$14:$T$73,$T419))))</f>
        <v>#REF!</v>
      </c>
      <c r="S419" s="699" t="str">
        <f>IF(ROWS($S$14:S419)&lt;=COUNTIF('Lớp 5 - Phân công'!$I$14:$I$262,"&lt;&gt;"),"Lớp 5",IF(ROWS($S$14:S419)&lt;=COUNTIF('Lớp 5 - Phân công'!$I$14:$I$262,"&lt;&gt;")+SUMPRODUCT(--('Lớp 4 - Danh mục'!$I$14:$I$132&lt;&gt;""),--(COUNTIF('Lớp 5 - Phân công'!$J$14:$J$262,'Lớp 4 - Danh mục'!$I$14:$I$132)=0)),"Lớp 4",IF(ROWS($S$14:S419)&lt;=COUNTIF('Lớp 5 - Phân công'!$I$14:$I$262,"&lt;&gt;")+SUMPRODUCT(--('Lớp 4 - Danh mục'!$I$14:$I$132&lt;&gt;""),--(COUNTIF('Lớp 5 - Phân công'!$J$14:$J$262,'Lớp 4 - Danh mục'!$I$14:$I$132)=0))+SUMPRODUCT(--('Lớp 3 - Công việc chính'!$I$14:$I$73&lt;&gt;""),--(COUNTIF('Lớp 4 - Danh mục'!$J$14:$J$132,'Lớp 3 - Công việc chính'!$I$14:$I$73)=0)),"Lớp 3","")))</f>
        <v>#REF!</v>
      </c>
      <c r="T419" s="699" t="str">
        <f t="array" ref="T419">IF(S419="","",IF(S419="Lớp 5",IF(S418&lt;&gt;"Lớp 5",MATCH("*",'Lớp 5 - Phân công'!$I$14:$I$262,0),T418+MATCH("*",INDEX('Lớp 5 - Phân công'!$I$14:$I$262,T418+1):'Lớp 5 - Phân công'!$I$262,0)),IF(S419="Lớp 4",IF(S418&lt;&gt;"Lớp 4",MATCH(1,INDEX(('Lớp 4 - Danh mục'!$I$14:$I$132&lt;&gt;"")*(COUNTIF('Lớp 5 - Phân công'!$J$14:$J$262,'Lớp 4 - Danh mục'!$I$14:$I$132)=0),0),0),T418+MATCH(1,INDEX((INDEX('Lớp 4 - Danh mục'!$I$14:$I$132,T418+1):'Lớp 4 - Danh mục'!$I$132&lt;&gt;"")*(COUNTIF('Lớp 5 - Phân công'!$J$14:$J$262,INDEX('Lớp 4 - Danh mục'!$I$14:$I$132,T418+1):'Lớp 4 - Danh mục'!$I$132)=0),0),0)),IF(S418&lt;&gt;"Lớp 3",MATCH(1,INDEX(('Lớp 3 - Công việc chính'!$I$14:$I$73&lt;&gt;"")*(COUNTIF('Lớp 4 - Danh mục'!$J$14:$J$132,'Lớp 3 - Công việc chính'!$I$14:$I$73)=0),0),0),T418+MATCH(1,INDEX((INDEX('Lớp 3 - Công việc chính'!$I$14:$I$73,T418+1):'Lớp 3 - Công việc chính'!$I$73&lt;&gt;"")*(COUNTIF('Lớp 4 - Danh mục'!$J$14:$J$132,INDEX('Lớp 3 - Công việc chính'!$I$14:$I$73,T418+1):'Lớp 3 - Công việc chính'!$I$73)=0),0),0)))))</f>
        <v>#REF!</v>
      </c>
      <c r="Z419" s="700" t="str">
        <f t="array" ref="Z419">IF($S419="","",IF($S419="Lớp 5",INDEX('Lớp 5 - Phân công'!$AS$14:$AS$262,$T419),IF($S419="Lớp 4",INDEX('Lớp 4 - Danh mục'!$AR$14:$AR$132,$T419),INDEX('Lớp 3 - Công việc chính'!$AO$14:$AO$73,$T419))))</f>
        <v>#REF!</v>
      </c>
      <c r="AA419" s="701" t="str">
        <f t="array" ref="AA419">IF($S419="","",IF($S419="Lớp 5",INDEX('Lớp 5 - Phân công'!$AT$14:$AT$262,$T419),IF($S419="Lớp 4",INDEX('Lớp 4 - Danh mục'!$AS$14:$AS$132,$T419),INDEX('Lớp 3 - Công việc chính'!$AP$14:$AP$73,$T419))))</f>
        <v>#REF!</v>
      </c>
      <c r="AB419" s="701" t="str">
        <f t="array" ref="AB419">IF($S419="","",IF($S419="Lớp 5",INDEX('Lớp 5 - Phân công'!$AJ$14:$AJ$262,$T419),IF($S419="Lớp 4",INDEX('Lớp 4 - Danh mục'!$AI$14:$AI$132,$T419),INDEX('Lớp 3 - Công việc chính'!$AF$14:$AF$73,$T419))))</f>
        <v>#REF!</v>
      </c>
      <c r="AC419" s="702" t="str">
        <f t="array" ref="AC419">IF($S419="","",IF($S419="Lớp 5",INDEX('Lớp 5 - Phân công'!$AV$14:$AV$262,$T419),IF($S419="Lớp 4",INDEX('Lớp 4 - Danh mục'!$AU$14:$AU$132,$T419),INDEX('Lớp 3 - Công việc chính'!$AR$14:$AR$73,$T419))))</f>
        <v>#REF!</v>
      </c>
    </row>
    <row r="420" ht="15.75" customHeight="1">
      <c r="A420" s="690" t="str">
        <f t="shared" si="1"/>
        <v>#REF!</v>
      </c>
      <c r="B420" s="690" t="str">
        <f t="array" ref="B420">IF($S420="","",IF($S420="Lớp 5",INDEX('Lớp 5 - Phân công'!$I$14:$I$262,$T420),IF($S420="Lớp 4",INDEX('Lớp 4 - Danh mục'!$I$14:$I$132,$T420),INDEX('Lớp 3 - Công việc chính'!$I$14:$I$73,$T420))))</f>
        <v>#REF!</v>
      </c>
      <c r="C420" s="690" t="str">
        <f t="array" ref="C420">IF($S420="","",IF($S420="Lớp 5",INDEX('Lớp 5 - Phân công'!$K$14:$K$262,$T420),IF($S420="Lớp 4",INDEX('Lớp 4 - Danh mục'!$J$14:$J$132,$T420),INDEX('Lớp 3 - Công việc chính'!$I$14:$I$73,$T420))))</f>
        <v>#REF!</v>
      </c>
      <c r="D420" s="690" t="str">
        <f t="array" ref="D420">IF($S420="","",IF($S420="Lớp 5",INDEX('Lớp 5 - Phân công'!$J$14:$J$262,$T420),IF($S420="Lớp 4",INDEX('Lớp 4 - Danh mục'!$I$14:$I$132,$T420),"")))</f>
        <v>#REF!</v>
      </c>
      <c r="E420" s="690" t="str">
        <f t="array" ref="E420">IF($S420="","",IF($S420="Lớp 5",INDEX('Lớp 5 - Phân công'!$L$14:$L$262,$T420),IF($S420="Lớp 4",INDEX('Lớp 4 - Danh mục'!$K$14:$K$132,$T420),INDEX('Lớp 3 - Công việc chính'!$J$14:$J$73,$T420))))</f>
        <v>#REF!</v>
      </c>
      <c r="F420" s="690" t="str">
        <f t="array" ref="F420">IF($S420="","",IF($S420="Lớp 5",INDEX('Lớp 5 - Phân công'!$M$14:$M$262,$T420),IF($S420="Lớp 4",INDEX('Lớp 4 - Danh mục'!$L$14:$L$132,$T420),INDEX('Lớp 3 - Công việc chính'!$K$14:$K$73,$T420))))</f>
        <v>#REF!</v>
      </c>
      <c r="G420" s="691" t="str">
        <f t="array" ref="G420">IF($S420="","",IF($S420="Lớp 5",INDEX('Lớp 5 - Phân công'!$N$14:$N$262,$T420),IF($S420="Lớp 4",INDEX('Lớp 4 - Danh mục'!$M$14:$M$132,$T420),INDEX('Lớp 3 - Công việc chính'!$L$14:$L$73,$T420))))</f>
        <v>#REF!</v>
      </c>
      <c r="H420" s="692" t="str">
        <f t="array" ref="H420">IF($S420="","",IF($S420="Lớp 5",INDEX('Lớp 5 - Phân công'!$O$14:$O$262,$T420),IF($S420="Lớp 4",INDEX('Lớp 4 - Danh mục'!$N$14:$N$132,$T420),INDEX('Lớp 3 - Công việc chính'!$M$14:$M$73,$T420))))</f>
        <v>#REF!</v>
      </c>
      <c r="I420" s="692" t="str">
        <f t="array" ref="I420">IF($S420="","",IF($S420="Lớp 5",INDEX('Lớp 5 - Phân công'!$P$14:$P$262,$T420),IF($S420="Lớp 4",INDEX('Lớp 4 - Danh mục'!$O$14:$O$132,$T420),"")))</f>
        <v>#REF!</v>
      </c>
      <c r="J420" s="693" t="str">
        <f t="array" ref="J420">IF($S420="","",IF($S420="Lớp 5",INDEX('Lớp 5 - Phân công'!$Q$14:$Q$262,$T420),""))</f>
        <v>#REF!</v>
      </c>
      <c r="K420" s="690" t="str">
        <f t="array" ref="K420">IF($S420="","",IF($S420="Lớp 5",INDEX('Lớp 5 - Phân công'!$AA$14:$AA$262,$T420),IF($S420="Lớp 4",INDEX('Lớp 4 - Danh mục'!$Y$14:$Y$132,$T420),INDEX('Lớp 3 - Công việc chính'!$U$14:$U$73,$T420))))</f>
        <v>#REF!</v>
      </c>
      <c r="L420" s="691" t="str">
        <f t="array" ref="L420">IF($S420="","",IF($S420="Lớp 5",INDEX('Lớp 5 - Phân công'!$Z$14:$Z$262,$T420),IF($S420="Lớp 4",INDEX('Lớp 4 - Danh mục'!$X$14:$X$132,$T420),INDEX('Lớp 3 - Công việc chính'!$W$14:$W$73,$T420))))</f>
        <v>#REF!</v>
      </c>
      <c r="M420" s="694" t="str">
        <f t="array" ref="M420">IF($S420="","",IF($S420="Lớp 5",INDEX('Lớp 5 - Phân công'!$AD$14:$AD$262,$T420),IF($S420="Lớp 4",INDEX('Lớp 4 - Danh mục'!$AC$14:$AC$132,$T420),INDEX('Lớp 3 - Công việc chính'!$Z$14:$Z$73,$T420))))</f>
        <v>#REF!</v>
      </c>
      <c r="N420" s="695" t="str">
        <f t="array" ref="N420">IF($S420="","",IF($S420="Lớp 5",INDEX('Lớp 5 - Phân công'!$AE$14:$AE$262,$T420),IF($S420="Lớp 4",INDEX('Lớp 4 - Danh mục'!$AD$14:$AD$132,$T420),INDEX('Lớp 3 - Công việc chính'!$AA$14:$AA$73,$T420))))</f>
        <v>#REF!</v>
      </c>
      <c r="O420" s="690" t="str">
        <f t="array" ref="O420">IF($S420="","",IF($S420="Lớp 5",INDEX('Lớp 5 - Phân công'!$AB$14:$AB$262,$T420),IF($S420="Lớp 4",INDEX('Lớp 4 - Danh mục'!$AA$14:$AA$132,$T420),INDEX('Lớp 3 - Công việc chính'!$X$14:$X$73,$T420))))</f>
        <v>#REF!</v>
      </c>
      <c r="P420" s="703" t="str">
        <f t="array" ref="P420">IF($S420="","",IF($S420="Lớp 5",INDEX('Lớp 5 - Phân công'!$AC$14:$AC$262,$T420),IF($S420="Lớp 4",INDEX('Lớp 4 - Danh mục'!$AB$14:$AB$132,$T420),INDEX('Lớp 3 - Công việc chính'!$Y$14:$Y$73,$T420))))</f>
        <v>#REF!</v>
      </c>
      <c r="Q420" s="697" t="str">
        <f t="array" ref="Q420">IF($S420="","",IF($S420="Lớp 5",INDEX('Lớp 5 - Phân công'!$AG$14:$AG$262,$T420),IF($S420="Lớp 4",INDEX('Lớp 4 - Danh mục'!$AF$14:$AF$132,$T420),INDEX('Lớp 3 - Công việc chính'!$AC$14:$AC$73,$T420))))</f>
        <v>#REF!</v>
      </c>
      <c r="R420" s="698" t="str">
        <f t="array" ref="R420">IF($S420="","",IF($S420="Lớp 5",INDEX('Lớp 5 - Phân công'!$X$14:$X$262,$T420),IF($S420="Lớp 4",INDEX('Lớp 4 - Danh mục'!$V$14:$V$132,$T420),INDEX('Lớp 3 - Công việc chính'!$T$14:$T$73,$T420))))</f>
        <v>#REF!</v>
      </c>
      <c r="S420" s="699" t="str">
        <f>IF(ROWS($S$14:S420)&lt;=COUNTIF('Lớp 5 - Phân công'!$I$14:$I$262,"&lt;&gt;"),"Lớp 5",IF(ROWS($S$14:S420)&lt;=COUNTIF('Lớp 5 - Phân công'!$I$14:$I$262,"&lt;&gt;")+SUMPRODUCT(--('Lớp 4 - Danh mục'!$I$14:$I$132&lt;&gt;""),--(COUNTIF('Lớp 5 - Phân công'!$J$14:$J$262,'Lớp 4 - Danh mục'!$I$14:$I$132)=0)),"Lớp 4",IF(ROWS($S$14:S420)&lt;=COUNTIF('Lớp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0" s="699" t="str">
        <f t="array" ref="T420">IF(S420="","",IF(S420="Lớp 5",IF(S419&lt;&gt;"Lớp 5",MATCH("*",'Lớp 5 - Phân công'!$I$14:$I$262,0),T419+MATCH("*",INDEX('Lớp 5 - Phân công'!$I$14:$I$262,T419+1):'Lớp 5 - Phân công'!$I$262,0)),IF(S420="Lớp 4",IF(S419&lt;&gt;"Lớp 4",MATCH(1,INDEX(('Lớp 4 - Danh mục'!$I$14:$I$132&lt;&gt;"")*(COUNTIF('Lớp 5 - Phân công'!$J$14:$J$262,'Lớp 4 - Danh mục'!$I$14:$I$132)=0),0),0),T419+MATCH(1,INDEX((INDEX('Lớp 4 - Danh mục'!$I$14:$I$132,T419+1):'Lớp 4 - Danh mục'!$I$132&lt;&gt;"")*(COUNTIF('Lớp 5 - Phân công'!$J$14:$J$262,INDEX('Lớp 4 - Danh mục'!$I$14:$I$132,T419+1):'Lớp 4 - Danh mục'!$I$132)=0),0),0)),IF(S419&lt;&gt;"Lớp 3",MATCH(1,INDEX(('Lớp 3 - Công việc chính'!$I$14:$I$73&lt;&gt;"")*(COUNTIF('Lớp 4 - Danh mục'!$J$14:$J$132,'Lớp 3 - Công việc chính'!$I$14:$I$73)=0),0),0),T419+MATCH(1,INDEX((INDEX('Lớp 3 - Công việc chính'!$I$14:$I$73,T419+1):'Lớp 3 - Công việc chính'!$I$73&lt;&gt;"")*(COUNTIF('Lớp 4 - Danh mục'!$J$14:$J$132,INDEX('Lớp 3 - Công việc chính'!$I$14:$I$73,T419+1):'Lớp 3 - Công việc chính'!$I$73)=0),0),0)))))</f>
        <v>#REF!</v>
      </c>
      <c r="Z420" s="700" t="str">
        <f t="array" ref="Z420">IF($S420="","",IF($S420="Lớp 5",INDEX('Lớp 5 - Phân công'!$AS$14:$AS$262,$T420),IF($S420="Lớp 4",INDEX('Lớp 4 - Danh mục'!$AR$14:$AR$132,$T420),INDEX('Lớp 3 - Công việc chính'!$AO$14:$AO$73,$T420))))</f>
        <v>#REF!</v>
      </c>
      <c r="AA420" s="701" t="str">
        <f t="array" ref="AA420">IF($S420="","",IF($S420="Lớp 5",INDEX('Lớp 5 - Phân công'!$AT$14:$AT$262,$T420),IF($S420="Lớp 4",INDEX('Lớp 4 - Danh mục'!$AS$14:$AS$132,$T420),INDEX('Lớp 3 - Công việc chính'!$AP$14:$AP$73,$T420))))</f>
        <v>#REF!</v>
      </c>
      <c r="AB420" s="701" t="str">
        <f t="array" ref="AB420">IF($S420="","",IF($S420="Lớp 5",INDEX('Lớp 5 - Phân công'!$AJ$14:$AJ$262,$T420),IF($S420="Lớp 4",INDEX('Lớp 4 - Danh mục'!$AI$14:$AI$132,$T420),INDEX('Lớp 3 - Công việc chính'!$AF$14:$AF$73,$T420))))</f>
        <v>#REF!</v>
      </c>
      <c r="AC420" s="702" t="str">
        <f t="array" ref="AC420">IF($S420="","",IF($S420="Lớp 5",INDEX('Lớp 5 - Phân công'!$AV$14:$AV$262,$T420),IF($S420="Lớp 4",INDEX('Lớp 4 - Danh mục'!$AU$14:$AU$132,$T420),INDEX('Lớp 3 - Công việc chính'!$AR$14:$AR$73,$T420))))</f>
        <v>#REF!</v>
      </c>
    </row>
    <row r="421" ht="15.75" customHeight="1">
      <c r="A421" s="690" t="str">
        <f t="shared" si="1"/>
        <v>#REF!</v>
      </c>
      <c r="B421" s="690" t="str">
        <f t="array" ref="B421">IF($S421="","",IF($S421="Lớp 5",INDEX('Lớp 5 - Phân công'!$I$14:$I$262,$T421),IF($S421="Lớp 4",INDEX('Lớp 4 - Danh mục'!$I$14:$I$132,$T421),INDEX('Lớp 3 - Công việc chính'!$I$14:$I$73,$T421))))</f>
        <v>#REF!</v>
      </c>
      <c r="C421" s="690" t="str">
        <f t="array" ref="C421">IF($S421="","",IF($S421="Lớp 5",INDEX('Lớp 5 - Phân công'!$K$14:$K$262,$T421),IF($S421="Lớp 4",INDEX('Lớp 4 - Danh mục'!$J$14:$J$132,$T421),INDEX('Lớp 3 - Công việc chính'!$I$14:$I$73,$T421))))</f>
        <v>#REF!</v>
      </c>
      <c r="D421" s="690" t="str">
        <f t="array" ref="D421">IF($S421="","",IF($S421="Lớp 5",INDEX('Lớp 5 - Phân công'!$J$14:$J$262,$T421),IF($S421="Lớp 4",INDEX('Lớp 4 - Danh mục'!$I$14:$I$132,$T421),"")))</f>
        <v>#REF!</v>
      </c>
      <c r="E421" s="690" t="str">
        <f t="array" ref="E421">IF($S421="","",IF($S421="Lớp 5",INDEX('Lớp 5 - Phân công'!$L$14:$L$262,$T421),IF($S421="Lớp 4",INDEX('Lớp 4 - Danh mục'!$K$14:$K$132,$T421),INDEX('Lớp 3 - Công việc chính'!$J$14:$J$73,$T421))))</f>
        <v>#REF!</v>
      </c>
      <c r="F421" s="690" t="str">
        <f t="array" ref="F421">IF($S421="","",IF($S421="Lớp 5",INDEX('Lớp 5 - Phân công'!$M$14:$M$262,$T421),IF($S421="Lớp 4",INDEX('Lớp 4 - Danh mục'!$L$14:$L$132,$T421),INDEX('Lớp 3 - Công việc chính'!$K$14:$K$73,$T421))))</f>
        <v>#REF!</v>
      </c>
      <c r="G421" s="691" t="str">
        <f t="array" ref="G421">IF($S421="","",IF($S421="Lớp 5",INDEX('Lớp 5 - Phân công'!$N$14:$N$262,$T421),IF($S421="Lớp 4",INDEX('Lớp 4 - Danh mục'!$M$14:$M$132,$T421),INDEX('Lớp 3 - Công việc chính'!$L$14:$L$73,$T421))))</f>
        <v>#REF!</v>
      </c>
      <c r="H421" s="692" t="str">
        <f t="array" ref="H421">IF($S421="","",IF($S421="Lớp 5",INDEX('Lớp 5 - Phân công'!$O$14:$O$262,$T421),IF($S421="Lớp 4",INDEX('Lớp 4 - Danh mục'!$N$14:$N$132,$T421),INDEX('Lớp 3 - Công việc chính'!$M$14:$M$73,$T421))))</f>
        <v>#REF!</v>
      </c>
      <c r="I421" s="692" t="str">
        <f t="array" ref="I421">IF($S421="","",IF($S421="Lớp 5",INDEX('Lớp 5 - Phân công'!$P$14:$P$262,$T421),IF($S421="Lớp 4",INDEX('Lớp 4 - Danh mục'!$O$14:$O$132,$T421),"")))</f>
        <v>#REF!</v>
      </c>
      <c r="J421" s="693" t="str">
        <f t="array" ref="J421">IF($S421="","",IF($S421="Lớp 5",INDEX('Lớp 5 - Phân công'!$Q$14:$Q$262,$T421),""))</f>
        <v>#REF!</v>
      </c>
      <c r="K421" s="690" t="str">
        <f t="array" ref="K421">IF($S421="","",IF($S421="Lớp 5",INDEX('Lớp 5 - Phân công'!$AA$14:$AA$262,$T421),IF($S421="Lớp 4",INDEX('Lớp 4 - Danh mục'!$Y$14:$Y$132,$T421),INDEX('Lớp 3 - Công việc chính'!$U$14:$U$73,$T421))))</f>
        <v>#REF!</v>
      </c>
      <c r="L421" s="691" t="str">
        <f t="array" ref="L421">IF($S421="","",IF($S421="Lớp 5",INDEX('Lớp 5 - Phân công'!$Z$14:$Z$262,$T421),IF($S421="Lớp 4",INDEX('Lớp 4 - Danh mục'!$X$14:$X$132,$T421),INDEX('Lớp 3 - Công việc chính'!$W$14:$W$73,$T421))))</f>
        <v>#REF!</v>
      </c>
      <c r="M421" s="694" t="str">
        <f t="array" ref="M421">IF($S421="","",IF($S421="Lớp 5",INDEX('Lớp 5 - Phân công'!$AD$14:$AD$262,$T421),IF($S421="Lớp 4",INDEX('Lớp 4 - Danh mục'!$AC$14:$AC$132,$T421),INDEX('Lớp 3 - Công việc chính'!$Z$14:$Z$73,$T421))))</f>
        <v>#REF!</v>
      </c>
      <c r="N421" s="695" t="str">
        <f t="array" ref="N421">IF($S421="","",IF($S421="Lớp 5",INDEX('Lớp 5 - Phân công'!$AE$14:$AE$262,$T421),IF($S421="Lớp 4",INDEX('Lớp 4 - Danh mục'!$AD$14:$AD$132,$T421),INDEX('Lớp 3 - Công việc chính'!$AA$14:$AA$73,$T421))))</f>
        <v>#REF!</v>
      </c>
      <c r="O421" s="690" t="str">
        <f t="array" ref="O421">IF($S421="","",IF($S421="Lớp 5",INDEX('Lớp 5 - Phân công'!$AB$14:$AB$262,$T421),IF($S421="Lớp 4",INDEX('Lớp 4 - Danh mục'!$AA$14:$AA$132,$T421),INDEX('Lớp 3 - Công việc chính'!$X$14:$X$73,$T421))))</f>
        <v>#REF!</v>
      </c>
      <c r="P421" s="703" t="str">
        <f t="array" ref="P421">IF($S421="","",IF($S421="Lớp 5",INDEX('Lớp 5 - Phân công'!$AC$14:$AC$262,$T421),IF($S421="Lớp 4",INDEX('Lớp 4 - Danh mục'!$AB$14:$AB$132,$T421),INDEX('Lớp 3 - Công việc chính'!$Y$14:$Y$73,$T421))))</f>
        <v>#REF!</v>
      </c>
      <c r="Q421" s="697" t="str">
        <f t="array" ref="Q421">IF($S421="","",IF($S421="Lớp 5",INDEX('Lớp 5 - Phân công'!$AG$14:$AG$262,$T421),IF($S421="Lớp 4",INDEX('Lớp 4 - Danh mục'!$AF$14:$AF$132,$T421),INDEX('Lớp 3 - Công việc chính'!$AC$14:$AC$73,$T421))))</f>
        <v>#REF!</v>
      </c>
      <c r="R421" s="698" t="str">
        <f t="array" ref="R421">IF($S421="","",IF($S421="Lớp 5",INDEX('Lớp 5 - Phân công'!$X$14:$X$262,$T421),IF($S421="Lớp 4",INDEX('Lớp 4 - Danh mục'!$V$14:$V$132,$T421),INDEX('Lớp 3 - Công việc chính'!$T$14:$T$73,$T421))))</f>
        <v>#REF!</v>
      </c>
      <c r="S421" s="699" t="str">
        <f>IF(ROWS($S$14:S421)&lt;=COUNTIF('Lớp 5 - Phân công'!$I$14:$I$262,"&lt;&gt;"),"Lớp 5",IF(ROWS($S$14:S421)&lt;=COUNTIF('Lớp 5 - Phân công'!$I$14:$I$262,"&lt;&gt;")+SUMPRODUCT(--('Lớp 4 - Danh mục'!$I$14:$I$132&lt;&gt;""),--(COUNTIF('Lớp 5 - Phân công'!$J$14:$J$262,'Lớp 4 - Danh mục'!$I$14:$I$132)=0)),"Lớp 4",IF(ROWS($S$14:S421)&lt;=COUNTIF('Lớp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1" s="699" t="str">
        <f t="array" ref="T421">IF(S421="","",IF(S421="Lớp 5",IF(S420&lt;&gt;"Lớp 5",MATCH("*",'Lớp 5 - Phân công'!$I$14:$I$262,0),T420+MATCH("*",INDEX('Lớp 5 - Phân công'!$I$14:$I$262,T420+1):'Lớp 5 - Phân công'!$I$262,0)),IF(S421="Lớp 4",IF(S420&lt;&gt;"Lớp 4",MATCH(1,INDEX(('Lớp 4 - Danh mục'!$I$14:$I$132&lt;&gt;"")*(COUNTIF('Lớp 5 - Phân công'!$J$14:$J$262,'Lớp 4 - Danh mục'!$I$14:$I$132)=0),0),0),T420+MATCH(1,INDEX((INDEX('Lớp 4 - Danh mục'!$I$14:$I$132,T420+1):'Lớp 4 - Danh mục'!$I$132&lt;&gt;"")*(COUNTIF('Lớp 5 - Phân công'!$J$14:$J$262,INDEX('Lớp 4 - Danh mục'!$I$14:$I$132,T420+1):'Lớp 4 - Danh mục'!$I$132)=0),0),0)),IF(S420&lt;&gt;"Lớp 3",MATCH(1,INDEX(('Lớp 3 - Công việc chính'!$I$14:$I$73&lt;&gt;"")*(COUNTIF('Lớp 4 - Danh mục'!$J$14:$J$132,'Lớp 3 - Công việc chính'!$I$14:$I$73)=0),0),0),T420+MATCH(1,INDEX((INDEX('Lớp 3 - Công việc chính'!$I$14:$I$73,T420+1):'Lớp 3 - Công việc chính'!$I$73&lt;&gt;"")*(COUNTIF('Lớp 4 - Danh mục'!$J$14:$J$132,INDEX('Lớp 3 - Công việc chính'!$I$14:$I$73,T420+1):'Lớp 3 - Công việc chính'!$I$73)=0),0),0)))))</f>
        <v>#REF!</v>
      </c>
      <c r="Z421" s="700" t="str">
        <f t="array" ref="Z421">IF($S421="","",IF($S421="Lớp 5",INDEX('Lớp 5 - Phân công'!$AS$14:$AS$262,$T421),IF($S421="Lớp 4",INDEX('Lớp 4 - Danh mục'!$AR$14:$AR$132,$T421),INDEX('Lớp 3 - Công việc chính'!$AO$14:$AO$73,$T421))))</f>
        <v>#REF!</v>
      </c>
      <c r="AA421" s="701" t="str">
        <f t="array" ref="AA421">IF($S421="","",IF($S421="Lớp 5",INDEX('Lớp 5 - Phân công'!$AT$14:$AT$262,$T421),IF($S421="Lớp 4",INDEX('Lớp 4 - Danh mục'!$AS$14:$AS$132,$T421),INDEX('Lớp 3 - Công việc chính'!$AP$14:$AP$73,$T421))))</f>
        <v>#REF!</v>
      </c>
      <c r="AB421" s="701" t="str">
        <f t="array" ref="AB421">IF($S421="","",IF($S421="Lớp 5",INDEX('Lớp 5 - Phân công'!$AJ$14:$AJ$262,$T421),IF($S421="Lớp 4",INDEX('Lớp 4 - Danh mục'!$AI$14:$AI$132,$T421),INDEX('Lớp 3 - Công việc chính'!$AF$14:$AF$73,$T421))))</f>
        <v>#REF!</v>
      </c>
      <c r="AC421" s="702" t="str">
        <f t="array" ref="AC421">IF($S421="","",IF($S421="Lớp 5",INDEX('Lớp 5 - Phân công'!$AV$14:$AV$262,$T421),IF($S421="Lớp 4",INDEX('Lớp 4 - Danh mục'!$AU$14:$AU$132,$T421),INDEX('Lớp 3 - Công việc chính'!$AR$14:$AR$73,$T421))))</f>
        <v>#REF!</v>
      </c>
    </row>
    <row r="422" ht="15.75" customHeight="1">
      <c r="A422" s="690" t="str">
        <f t="shared" si="1"/>
        <v>#REF!</v>
      </c>
      <c r="B422" s="690" t="str">
        <f t="array" ref="B422">IF($S422="","",IF($S422="Lớp 5",INDEX('Lớp 5 - Phân công'!$I$14:$I$262,$T422),IF($S422="Lớp 4",INDEX('Lớp 4 - Danh mục'!$I$14:$I$132,$T422),INDEX('Lớp 3 - Công việc chính'!$I$14:$I$73,$T422))))</f>
        <v>#REF!</v>
      </c>
      <c r="C422" s="690" t="str">
        <f t="array" ref="C422">IF($S422="","",IF($S422="Lớp 5",INDEX('Lớp 5 - Phân công'!$K$14:$K$262,$T422),IF($S422="Lớp 4",INDEX('Lớp 4 - Danh mục'!$J$14:$J$132,$T422),INDEX('Lớp 3 - Công việc chính'!$I$14:$I$73,$T422))))</f>
        <v>#REF!</v>
      </c>
      <c r="D422" s="690" t="str">
        <f t="array" ref="D422">IF($S422="","",IF($S422="Lớp 5",INDEX('Lớp 5 - Phân công'!$J$14:$J$262,$T422),IF($S422="Lớp 4",INDEX('Lớp 4 - Danh mục'!$I$14:$I$132,$T422),"")))</f>
        <v>#REF!</v>
      </c>
      <c r="E422" s="690" t="str">
        <f t="array" ref="E422">IF($S422="","",IF($S422="Lớp 5",INDEX('Lớp 5 - Phân công'!$L$14:$L$262,$T422),IF($S422="Lớp 4",INDEX('Lớp 4 - Danh mục'!$K$14:$K$132,$T422),INDEX('Lớp 3 - Công việc chính'!$J$14:$J$73,$T422))))</f>
        <v>#REF!</v>
      </c>
      <c r="F422" s="690" t="str">
        <f t="array" ref="F422">IF($S422="","",IF($S422="Lớp 5",INDEX('Lớp 5 - Phân công'!$M$14:$M$262,$T422),IF($S422="Lớp 4",INDEX('Lớp 4 - Danh mục'!$L$14:$L$132,$T422),INDEX('Lớp 3 - Công việc chính'!$K$14:$K$73,$T422))))</f>
        <v>#REF!</v>
      </c>
      <c r="G422" s="691" t="str">
        <f t="array" ref="G422">IF($S422="","",IF($S422="Lớp 5",INDEX('Lớp 5 - Phân công'!$N$14:$N$262,$T422),IF($S422="Lớp 4",INDEX('Lớp 4 - Danh mục'!$M$14:$M$132,$T422),INDEX('Lớp 3 - Công việc chính'!$L$14:$L$73,$T422))))</f>
        <v>#REF!</v>
      </c>
      <c r="H422" s="692" t="str">
        <f t="array" ref="H422">IF($S422="","",IF($S422="Lớp 5",INDEX('Lớp 5 - Phân công'!$O$14:$O$262,$T422),IF($S422="Lớp 4",INDEX('Lớp 4 - Danh mục'!$N$14:$N$132,$T422),INDEX('Lớp 3 - Công việc chính'!$M$14:$M$73,$T422))))</f>
        <v>#REF!</v>
      </c>
      <c r="I422" s="692" t="str">
        <f t="array" ref="I422">IF($S422="","",IF($S422="Lớp 5",INDEX('Lớp 5 - Phân công'!$P$14:$P$262,$T422),IF($S422="Lớp 4",INDEX('Lớp 4 - Danh mục'!$O$14:$O$132,$T422),"")))</f>
        <v>#REF!</v>
      </c>
      <c r="J422" s="693" t="str">
        <f t="array" ref="J422">IF($S422="","",IF($S422="Lớp 5",INDEX('Lớp 5 - Phân công'!$Q$14:$Q$262,$T422),""))</f>
        <v>#REF!</v>
      </c>
      <c r="K422" s="690" t="str">
        <f t="array" ref="K422">IF($S422="","",IF($S422="Lớp 5",INDEX('Lớp 5 - Phân công'!$AA$14:$AA$262,$T422),IF($S422="Lớp 4",INDEX('Lớp 4 - Danh mục'!$Y$14:$Y$132,$T422),INDEX('Lớp 3 - Công việc chính'!$U$14:$U$73,$T422))))</f>
        <v>#REF!</v>
      </c>
      <c r="L422" s="691" t="str">
        <f t="array" ref="L422">IF($S422="","",IF($S422="Lớp 5",INDEX('Lớp 5 - Phân công'!$Z$14:$Z$262,$T422),IF($S422="Lớp 4",INDEX('Lớp 4 - Danh mục'!$X$14:$X$132,$T422),INDEX('Lớp 3 - Công việc chính'!$W$14:$W$73,$T422))))</f>
        <v>#REF!</v>
      </c>
      <c r="M422" s="694" t="str">
        <f t="array" ref="M422">IF($S422="","",IF($S422="Lớp 5",INDEX('Lớp 5 - Phân công'!$AD$14:$AD$262,$T422),IF($S422="Lớp 4",INDEX('Lớp 4 - Danh mục'!$AC$14:$AC$132,$T422),INDEX('Lớp 3 - Công việc chính'!$Z$14:$Z$73,$T422))))</f>
        <v>#REF!</v>
      </c>
      <c r="N422" s="695" t="str">
        <f t="array" ref="N422">IF($S422="","",IF($S422="Lớp 5",INDEX('Lớp 5 - Phân công'!$AE$14:$AE$262,$T422),IF($S422="Lớp 4",INDEX('Lớp 4 - Danh mục'!$AD$14:$AD$132,$T422),INDEX('Lớp 3 - Công việc chính'!$AA$14:$AA$73,$T422))))</f>
        <v>#REF!</v>
      </c>
      <c r="O422" s="690" t="str">
        <f t="array" ref="O422">IF($S422="","",IF($S422="Lớp 5",INDEX('Lớp 5 - Phân công'!$AB$14:$AB$262,$T422),IF($S422="Lớp 4",INDEX('Lớp 4 - Danh mục'!$AA$14:$AA$132,$T422),INDEX('Lớp 3 - Công việc chính'!$X$14:$X$73,$T422))))</f>
        <v>#REF!</v>
      </c>
      <c r="P422" s="703" t="str">
        <f t="array" ref="P422">IF($S422="","",IF($S422="Lớp 5",INDEX('Lớp 5 - Phân công'!$AC$14:$AC$262,$T422),IF($S422="Lớp 4",INDEX('Lớp 4 - Danh mục'!$AB$14:$AB$132,$T422),INDEX('Lớp 3 - Công việc chính'!$Y$14:$Y$73,$T422))))</f>
        <v>#REF!</v>
      </c>
      <c r="Q422" s="697" t="str">
        <f t="array" ref="Q422">IF($S422="","",IF($S422="Lớp 5",INDEX('Lớp 5 - Phân công'!$AG$14:$AG$262,$T422),IF($S422="Lớp 4",INDEX('Lớp 4 - Danh mục'!$AF$14:$AF$132,$T422),INDEX('Lớp 3 - Công việc chính'!$AC$14:$AC$73,$T422))))</f>
        <v>#REF!</v>
      </c>
      <c r="R422" s="698" t="str">
        <f t="array" ref="R422">IF($S422="","",IF($S422="Lớp 5",INDEX('Lớp 5 - Phân công'!$X$14:$X$262,$T422),IF($S422="Lớp 4",INDEX('Lớp 4 - Danh mục'!$V$14:$V$132,$T422),INDEX('Lớp 3 - Công việc chính'!$T$14:$T$73,$T422))))</f>
        <v>#REF!</v>
      </c>
      <c r="S422" s="699" t="str">
        <f>IF(ROWS($S$14:S422)&lt;=COUNTIF('Lớp 5 - Phân công'!$I$14:$I$262,"&lt;&gt;"),"Lớp 5",IF(ROWS($S$14:S422)&lt;=COUNTIF('Lớp 5 - Phân công'!$I$14:$I$262,"&lt;&gt;")+SUMPRODUCT(--('Lớp 4 - Danh mục'!$I$14:$I$132&lt;&gt;""),--(COUNTIF('Lớp 5 - Phân công'!$J$14:$J$262,'Lớp 4 - Danh mục'!$I$14:$I$132)=0)),"Lớp 4",IF(ROWS($S$14:S422)&lt;=COUNTIF('Lớp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2" s="699" t="str">
        <f t="array" ref="T422">IF(S422="","",IF(S422="Lớp 5",IF(S421&lt;&gt;"Lớp 5",MATCH("*",'Lớp 5 - Phân công'!$I$14:$I$262,0),T421+MATCH("*",INDEX('Lớp 5 - Phân công'!$I$14:$I$262,T421+1):'Lớp 5 - Phân công'!$I$262,0)),IF(S422="Lớp 4",IF(S421&lt;&gt;"Lớp 4",MATCH(1,INDEX(('Lớp 4 - Danh mục'!$I$14:$I$132&lt;&gt;"")*(COUNTIF('Lớp 5 - Phân công'!$J$14:$J$262,'Lớp 4 - Danh mục'!$I$14:$I$132)=0),0),0),T421+MATCH(1,INDEX((INDEX('Lớp 4 - Danh mục'!$I$14:$I$132,T421+1):'Lớp 4 - Danh mục'!$I$132&lt;&gt;"")*(COUNTIF('Lớp 5 - Phân công'!$J$14:$J$262,INDEX('Lớp 4 - Danh mục'!$I$14:$I$132,T421+1):'Lớp 4 - Danh mục'!$I$132)=0),0),0)),IF(S421&lt;&gt;"Lớp 3",MATCH(1,INDEX(('Lớp 3 - Công việc chính'!$I$14:$I$73&lt;&gt;"")*(COUNTIF('Lớp 4 - Danh mục'!$J$14:$J$132,'Lớp 3 - Công việc chính'!$I$14:$I$73)=0),0),0),T421+MATCH(1,INDEX((INDEX('Lớp 3 - Công việc chính'!$I$14:$I$73,T421+1):'Lớp 3 - Công việc chính'!$I$73&lt;&gt;"")*(COUNTIF('Lớp 4 - Danh mục'!$J$14:$J$132,INDEX('Lớp 3 - Công việc chính'!$I$14:$I$73,T421+1):'Lớp 3 - Công việc chính'!$I$73)=0),0),0)))))</f>
        <v>#REF!</v>
      </c>
      <c r="Z422" s="700" t="str">
        <f t="array" ref="Z422">IF($S422="","",IF($S422="Lớp 5",INDEX('Lớp 5 - Phân công'!$AS$14:$AS$262,$T422),IF($S422="Lớp 4",INDEX('Lớp 4 - Danh mục'!$AR$14:$AR$132,$T422),INDEX('Lớp 3 - Công việc chính'!$AO$14:$AO$73,$T422))))</f>
        <v>#REF!</v>
      </c>
      <c r="AA422" s="701" t="str">
        <f t="array" ref="AA422">IF($S422="","",IF($S422="Lớp 5",INDEX('Lớp 5 - Phân công'!$AT$14:$AT$262,$T422),IF($S422="Lớp 4",INDEX('Lớp 4 - Danh mục'!$AS$14:$AS$132,$T422),INDEX('Lớp 3 - Công việc chính'!$AP$14:$AP$73,$T422))))</f>
        <v>#REF!</v>
      </c>
      <c r="AB422" s="701" t="str">
        <f t="array" ref="AB422">IF($S422="","",IF($S422="Lớp 5",INDEX('Lớp 5 - Phân công'!$AJ$14:$AJ$262,$T422),IF($S422="Lớp 4",INDEX('Lớp 4 - Danh mục'!$AI$14:$AI$132,$T422),INDEX('Lớp 3 - Công việc chính'!$AF$14:$AF$73,$T422))))</f>
        <v>#REF!</v>
      </c>
      <c r="AC422" s="702" t="str">
        <f t="array" ref="AC422">IF($S422="","",IF($S422="Lớp 5",INDEX('Lớp 5 - Phân công'!$AV$14:$AV$262,$T422),IF($S422="Lớp 4",INDEX('Lớp 4 - Danh mục'!$AU$14:$AU$132,$T422),INDEX('Lớp 3 - Công việc chính'!$AR$14:$AR$73,$T422))))</f>
        <v>#REF!</v>
      </c>
    </row>
    <row r="423" ht="15.75" customHeight="1">
      <c r="A423" s="690" t="str">
        <f t="shared" si="1"/>
        <v>#REF!</v>
      </c>
      <c r="B423" s="690" t="str">
        <f t="array" ref="B423">IF($S423="","",IF($S423="Lớp 5",INDEX('Lớp 5 - Phân công'!$I$14:$I$262,$T423),IF($S423="Lớp 4",INDEX('Lớp 4 - Danh mục'!$I$14:$I$132,$T423),INDEX('Lớp 3 - Công việc chính'!$I$14:$I$73,$T423))))</f>
        <v>#REF!</v>
      </c>
      <c r="C423" s="690" t="str">
        <f t="array" ref="C423">IF($S423="","",IF($S423="Lớp 5",INDEX('Lớp 5 - Phân công'!$K$14:$K$262,$T423),IF($S423="Lớp 4",INDEX('Lớp 4 - Danh mục'!$J$14:$J$132,$T423),INDEX('Lớp 3 - Công việc chính'!$I$14:$I$73,$T423))))</f>
        <v>#REF!</v>
      </c>
      <c r="D423" s="690" t="str">
        <f t="array" ref="D423">IF($S423="","",IF($S423="Lớp 5",INDEX('Lớp 5 - Phân công'!$J$14:$J$262,$T423),IF($S423="Lớp 4",INDEX('Lớp 4 - Danh mục'!$I$14:$I$132,$T423),"")))</f>
        <v>#REF!</v>
      </c>
      <c r="E423" s="690" t="str">
        <f t="array" ref="E423">IF($S423="","",IF($S423="Lớp 5",INDEX('Lớp 5 - Phân công'!$L$14:$L$262,$T423),IF($S423="Lớp 4",INDEX('Lớp 4 - Danh mục'!$K$14:$K$132,$T423),INDEX('Lớp 3 - Công việc chính'!$J$14:$J$73,$T423))))</f>
        <v>#REF!</v>
      </c>
      <c r="F423" s="690" t="str">
        <f t="array" ref="F423">IF($S423="","",IF($S423="Lớp 5",INDEX('Lớp 5 - Phân công'!$M$14:$M$262,$T423),IF($S423="Lớp 4",INDEX('Lớp 4 - Danh mục'!$L$14:$L$132,$T423),INDEX('Lớp 3 - Công việc chính'!$K$14:$K$73,$T423))))</f>
        <v>#REF!</v>
      </c>
      <c r="G423" s="691" t="str">
        <f t="array" ref="G423">IF($S423="","",IF($S423="Lớp 5",INDEX('Lớp 5 - Phân công'!$N$14:$N$262,$T423),IF($S423="Lớp 4",INDEX('Lớp 4 - Danh mục'!$M$14:$M$132,$T423),INDEX('Lớp 3 - Công việc chính'!$L$14:$L$73,$T423))))</f>
        <v>#REF!</v>
      </c>
      <c r="H423" s="692" t="str">
        <f t="array" ref="H423">IF($S423="","",IF($S423="Lớp 5",INDEX('Lớp 5 - Phân công'!$O$14:$O$262,$T423),IF($S423="Lớp 4",INDEX('Lớp 4 - Danh mục'!$N$14:$N$132,$T423),INDEX('Lớp 3 - Công việc chính'!$M$14:$M$73,$T423))))</f>
        <v>#REF!</v>
      </c>
      <c r="I423" s="692" t="str">
        <f t="array" ref="I423">IF($S423="","",IF($S423="Lớp 5",INDEX('Lớp 5 - Phân công'!$P$14:$P$262,$T423),IF($S423="Lớp 4",INDEX('Lớp 4 - Danh mục'!$O$14:$O$132,$T423),"")))</f>
        <v>#REF!</v>
      </c>
      <c r="J423" s="693" t="str">
        <f t="array" ref="J423">IF($S423="","",IF($S423="Lớp 5",INDEX('Lớp 5 - Phân công'!$Q$14:$Q$262,$T423),""))</f>
        <v>#REF!</v>
      </c>
      <c r="K423" s="690" t="str">
        <f t="array" ref="K423">IF($S423="","",IF($S423="Lớp 5",INDEX('Lớp 5 - Phân công'!$AA$14:$AA$262,$T423),IF($S423="Lớp 4",INDEX('Lớp 4 - Danh mục'!$Y$14:$Y$132,$T423),INDEX('Lớp 3 - Công việc chính'!$U$14:$U$73,$T423))))</f>
        <v>#REF!</v>
      </c>
      <c r="L423" s="691" t="str">
        <f t="array" ref="L423">IF($S423="","",IF($S423="Lớp 5",INDEX('Lớp 5 - Phân công'!$Z$14:$Z$262,$T423),IF($S423="Lớp 4",INDEX('Lớp 4 - Danh mục'!$X$14:$X$132,$T423),INDEX('Lớp 3 - Công việc chính'!$W$14:$W$73,$T423))))</f>
        <v>#REF!</v>
      </c>
      <c r="M423" s="694" t="str">
        <f t="array" ref="M423">IF($S423="","",IF($S423="Lớp 5",INDEX('Lớp 5 - Phân công'!$AD$14:$AD$262,$T423),IF($S423="Lớp 4",INDEX('Lớp 4 - Danh mục'!$AC$14:$AC$132,$T423),INDEX('Lớp 3 - Công việc chính'!$Z$14:$Z$73,$T423))))</f>
        <v>#REF!</v>
      </c>
      <c r="N423" s="695" t="str">
        <f t="array" ref="N423">IF($S423="","",IF($S423="Lớp 5",INDEX('Lớp 5 - Phân công'!$AE$14:$AE$262,$T423),IF($S423="Lớp 4",INDEX('Lớp 4 - Danh mục'!$AD$14:$AD$132,$T423),INDEX('Lớp 3 - Công việc chính'!$AA$14:$AA$73,$T423))))</f>
        <v>#REF!</v>
      </c>
      <c r="O423" s="690" t="str">
        <f t="array" ref="O423">IF($S423="","",IF($S423="Lớp 5",INDEX('Lớp 5 - Phân công'!$AB$14:$AB$262,$T423),IF($S423="Lớp 4",INDEX('Lớp 4 - Danh mục'!$AA$14:$AA$132,$T423),INDEX('Lớp 3 - Công việc chính'!$X$14:$X$73,$T423))))</f>
        <v>#REF!</v>
      </c>
      <c r="P423" s="703" t="str">
        <f t="array" ref="P423">IF($S423="","",IF($S423="Lớp 5",INDEX('Lớp 5 - Phân công'!$AC$14:$AC$262,$T423),IF($S423="Lớp 4",INDEX('Lớp 4 - Danh mục'!$AB$14:$AB$132,$T423),INDEX('Lớp 3 - Công việc chính'!$Y$14:$Y$73,$T423))))</f>
        <v>#REF!</v>
      </c>
      <c r="Q423" s="697" t="str">
        <f t="array" ref="Q423">IF($S423="","",IF($S423="Lớp 5",INDEX('Lớp 5 - Phân công'!$AG$14:$AG$262,$T423),IF($S423="Lớp 4",INDEX('Lớp 4 - Danh mục'!$AF$14:$AF$132,$T423),INDEX('Lớp 3 - Công việc chính'!$AC$14:$AC$73,$T423))))</f>
        <v>#REF!</v>
      </c>
      <c r="R423" s="698" t="str">
        <f t="array" ref="R423">IF($S423="","",IF($S423="Lớp 5",INDEX('Lớp 5 - Phân công'!$X$14:$X$262,$T423),IF($S423="Lớp 4",INDEX('Lớp 4 - Danh mục'!$V$14:$V$132,$T423),INDEX('Lớp 3 - Công việc chính'!$T$14:$T$73,$T423))))</f>
        <v>#REF!</v>
      </c>
      <c r="S423" s="699" t="str">
        <f>IF(ROWS($S$14:S423)&lt;=COUNTIF('Lớp 5 - Phân công'!$I$14:$I$262,"&lt;&gt;"),"Lớp 5",IF(ROWS($S$14:S423)&lt;=COUNTIF('Lớp 5 - Phân công'!$I$14:$I$262,"&lt;&gt;")+SUMPRODUCT(--('Lớp 4 - Danh mục'!$I$14:$I$132&lt;&gt;""),--(COUNTIF('Lớp 5 - Phân công'!$J$14:$J$262,'Lớp 4 - Danh mục'!$I$14:$I$132)=0)),"Lớp 4",IF(ROWS($S$14:S423)&lt;=COUNTIF('Lớp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3" s="699" t="str">
        <f t="array" ref="T423">IF(S423="","",IF(S423="Lớp 5",IF(S422&lt;&gt;"Lớp 5",MATCH("*",'Lớp 5 - Phân công'!$I$14:$I$262,0),T422+MATCH("*",INDEX('Lớp 5 - Phân công'!$I$14:$I$262,T422+1):'Lớp 5 - Phân công'!$I$262,0)),IF(S423="Lớp 4",IF(S422&lt;&gt;"Lớp 4",MATCH(1,INDEX(('Lớp 4 - Danh mục'!$I$14:$I$132&lt;&gt;"")*(COUNTIF('Lớp 5 - Phân công'!$J$14:$J$262,'Lớp 4 - Danh mục'!$I$14:$I$132)=0),0),0),T422+MATCH(1,INDEX((INDEX('Lớp 4 - Danh mục'!$I$14:$I$132,T422+1):'Lớp 4 - Danh mục'!$I$132&lt;&gt;"")*(COUNTIF('Lớp 5 - Phân công'!$J$14:$J$262,INDEX('Lớp 4 - Danh mục'!$I$14:$I$132,T422+1):'Lớp 4 - Danh mục'!$I$132)=0),0),0)),IF(S422&lt;&gt;"Lớp 3",MATCH(1,INDEX(('Lớp 3 - Công việc chính'!$I$14:$I$73&lt;&gt;"")*(COUNTIF('Lớp 4 - Danh mục'!$J$14:$J$132,'Lớp 3 - Công việc chính'!$I$14:$I$73)=0),0),0),T422+MATCH(1,INDEX((INDEX('Lớp 3 - Công việc chính'!$I$14:$I$73,T422+1):'Lớp 3 - Công việc chính'!$I$73&lt;&gt;"")*(COUNTIF('Lớp 4 - Danh mục'!$J$14:$J$132,INDEX('Lớp 3 - Công việc chính'!$I$14:$I$73,T422+1):'Lớp 3 - Công việc chính'!$I$73)=0),0),0)))))</f>
        <v>#REF!</v>
      </c>
      <c r="Z423" s="700" t="str">
        <f t="array" ref="Z423">IF($S423="","",IF($S423="Lớp 5",INDEX('Lớp 5 - Phân công'!$AS$14:$AS$262,$T423),IF($S423="Lớp 4",INDEX('Lớp 4 - Danh mục'!$AR$14:$AR$132,$T423),INDEX('Lớp 3 - Công việc chính'!$AO$14:$AO$73,$T423))))</f>
        <v>#REF!</v>
      </c>
      <c r="AA423" s="701" t="str">
        <f t="array" ref="AA423">IF($S423="","",IF($S423="Lớp 5",INDEX('Lớp 5 - Phân công'!$AT$14:$AT$262,$T423),IF($S423="Lớp 4",INDEX('Lớp 4 - Danh mục'!$AS$14:$AS$132,$T423),INDEX('Lớp 3 - Công việc chính'!$AP$14:$AP$73,$T423))))</f>
        <v>#REF!</v>
      </c>
      <c r="AB423" s="701" t="str">
        <f t="array" ref="AB423">IF($S423="","",IF($S423="Lớp 5",INDEX('Lớp 5 - Phân công'!$AJ$14:$AJ$262,$T423),IF($S423="Lớp 4",INDEX('Lớp 4 - Danh mục'!$AI$14:$AI$132,$T423),INDEX('Lớp 3 - Công việc chính'!$AF$14:$AF$73,$T423))))</f>
        <v>#REF!</v>
      </c>
      <c r="AC423" s="702" t="str">
        <f t="array" ref="AC423">IF($S423="","",IF($S423="Lớp 5",INDEX('Lớp 5 - Phân công'!$AV$14:$AV$262,$T423),IF($S423="Lớp 4",INDEX('Lớp 4 - Danh mục'!$AU$14:$AU$132,$T423),INDEX('Lớp 3 - Công việc chính'!$AR$14:$AR$73,$T423))))</f>
        <v>#REF!</v>
      </c>
    </row>
    <row r="424" ht="15.75" customHeight="1">
      <c r="A424" s="690" t="str">
        <f t="shared" si="1"/>
        <v>#REF!</v>
      </c>
      <c r="B424" s="690" t="str">
        <f t="array" ref="B424">IF($S424="","",IF($S424="Lớp 5",INDEX('Lớp 5 - Phân công'!$I$14:$I$262,$T424),IF($S424="Lớp 4",INDEX('Lớp 4 - Danh mục'!$I$14:$I$132,$T424),INDEX('Lớp 3 - Công việc chính'!$I$14:$I$73,$T424))))</f>
        <v>#REF!</v>
      </c>
      <c r="C424" s="690" t="str">
        <f t="array" ref="C424">IF($S424="","",IF($S424="Lớp 5",INDEX('Lớp 5 - Phân công'!$K$14:$K$262,$T424),IF($S424="Lớp 4",INDEX('Lớp 4 - Danh mục'!$J$14:$J$132,$T424),INDEX('Lớp 3 - Công việc chính'!$I$14:$I$73,$T424))))</f>
        <v>#REF!</v>
      </c>
      <c r="D424" s="690" t="str">
        <f t="array" ref="D424">IF($S424="","",IF($S424="Lớp 5",INDEX('Lớp 5 - Phân công'!$J$14:$J$262,$T424),IF($S424="Lớp 4",INDEX('Lớp 4 - Danh mục'!$I$14:$I$132,$T424),"")))</f>
        <v>#REF!</v>
      </c>
      <c r="E424" s="690" t="str">
        <f t="array" ref="E424">IF($S424="","",IF($S424="Lớp 5",INDEX('Lớp 5 - Phân công'!$L$14:$L$262,$T424),IF($S424="Lớp 4",INDEX('Lớp 4 - Danh mục'!$K$14:$K$132,$T424),INDEX('Lớp 3 - Công việc chính'!$J$14:$J$73,$T424))))</f>
        <v>#REF!</v>
      </c>
      <c r="F424" s="690" t="str">
        <f t="array" ref="F424">IF($S424="","",IF($S424="Lớp 5",INDEX('Lớp 5 - Phân công'!$M$14:$M$262,$T424),IF($S424="Lớp 4",INDEX('Lớp 4 - Danh mục'!$L$14:$L$132,$T424),INDEX('Lớp 3 - Công việc chính'!$K$14:$K$73,$T424))))</f>
        <v>#REF!</v>
      </c>
      <c r="G424" s="691" t="str">
        <f t="array" ref="G424">IF($S424="","",IF($S424="Lớp 5",INDEX('Lớp 5 - Phân công'!$N$14:$N$262,$T424),IF($S424="Lớp 4",INDEX('Lớp 4 - Danh mục'!$M$14:$M$132,$T424),INDEX('Lớp 3 - Công việc chính'!$L$14:$L$73,$T424))))</f>
        <v>#REF!</v>
      </c>
      <c r="H424" s="692" t="str">
        <f t="array" ref="H424">IF($S424="","",IF($S424="Lớp 5",INDEX('Lớp 5 - Phân công'!$O$14:$O$262,$T424),IF($S424="Lớp 4",INDEX('Lớp 4 - Danh mục'!$N$14:$N$132,$T424),INDEX('Lớp 3 - Công việc chính'!$M$14:$M$73,$T424))))</f>
        <v>#REF!</v>
      </c>
      <c r="I424" s="692" t="str">
        <f t="array" ref="I424">IF($S424="","",IF($S424="Lớp 5",INDEX('Lớp 5 - Phân công'!$P$14:$P$262,$T424),IF($S424="Lớp 4",INDEX('Lớp 4 - Danh mục'!$O$14:$O$132,$T424),"")))</f>
        <v>#REF!</v>
      </c>
      <c r="J424" s="693" t="str">
        <f t="array" ref="J424">IF($S424="","",IF($S424="Lớp 5",INDEX('Lớp 5 - Phân công'!$Q$14:$Q$262,$T424),""))</f>
        <v>#REF!</v>
      </c>
      <c r="K424" s="690" t="str">
        <f t="array" ref="K424">IF($S424="","",IF($S424="Lớp 5",INDEX('Lớp 5 - Phân công'!$AA$14:$AA$262,$T424),IF($S424="Lớp 4",INDEX('Lớp 4 - Danh mục'!$Y$14:$Y$132,$T424),INDEX('Lớp 3 - Công việc chính'!$U$14:$U$73,$T424))))</f>
        <v>#REF!</v>
      </c>
      <c r="L424" s="691" t="str">
        <f t="array" ref="L424">IF($S424="","",IF($S424="Lớp 5",INDEX('Lớp 5 - Phân công'!$Z$14:$Z$262,$T424),IF($S424="Lớp 4",INDEX('Lớp 4 - Danh mục'!$X$14:$X$132,$T424),INDEX('Lớp 3 - Công việc chính'!$W$14:$W$73,$T424))))</f>
        <v>#REF!</v>
      </c>
      <c r="M424" s="694" t="str">
        <f t="array" ref="M424">IF($S424="","",IF($S424="Lớp 5",INDEX('Lớp 5 - Phân công'!$AD$14:$AD$262,$T424),IF($S424="Lớp 4",INDEX('Lớp 4 - Danh mục'!$AC$14:$AC$132,$T424),INDEX('Lớp 3 - Công việc chính'!$Z$14:$Z$73,$T424))))</f>
        <v>#REF!</v>
      </c>
      <c r="N424" s="695" t="str">
        <f t="array" ref="N424">IF($S424="","",IF($S424="Lớp 5",INDEX('Lớp 5 - Phân công'!$AE$14:$AE$262,$T424),IF($S424="Lớp 4",INDEX('Lớp 4 - Danh mục'!$AD$14:$AD$132,$T424),INDEX('Lớp 3 - Công việc chính'!$AA$14:$AA$73,$T424))))</f>
        <v>#REF!</v>
      </c>
      <c r="O424" s="690" t="str">
        <f t="array" ref="O424">IF($S424="","",IF($S424="Lớp 5",INDEX('Lớp 5 - Phân công'!$AB$14:$AB$262,$T424),IF($S424="Lớp 4",INDEX('Lớp 4 - Danh mục'!$AA$14:$AA$132,$T424),INDEX('Lớp 3 - Công việc chính'!$X$14:$X$73,$T424))))</f>
        <v>#REF!</v>
      </c>
      <c r="P424" s="703" t="str">
        <f t="array" ref="P424">IF($S424="","",IF($S424="Lớp 5",INDEX('Lớp 5 - Phân công'!$AC$14:$AC$262,$T424),IF($S424="Lớp 4",INDEX('Lớp 4 - Danh mục'!$AB$14:$AB$132,$T424),INDEX('Lớp 3 - Công việc chính'!$Y$14:$Y$73,$T424))))</f>
        <v>#REF!</v>
      </c>
      <c r="Q424" s="697" t="str">
        <f t="array" ref="Q424">IF($S424="","",IF($S424="Lớp 5",INDEX('Lớp 5 - Phân công'!$AG$14:$AG$262,$T424),IF($S424="Lớp 4",INDEX('Lớp 4 - Danh mục'!$AF$14:$AF$132,$T424),INDEX('Lớp 3 - Công việc chính'!$AC$14:$AC$73,$T424))))</f>
        <v>#REF!</v>
      </c>
      <c r="R424" s="698" t="str">
        <f t="array" ref="R424">IF($S424="","",IF($S424="Lớp 5",INDEX('Lớp 5 - Phân công'!$X$14:$X$262,$T424),IF($S424="Lớp 4",INDEX('Lớp 4 - Danh mục'!$V$14:$V$132,$T424),INDEX('Lớp 3 - Công việc chính'!$T$14:$T$73,$T424))))</f>
        <v>#REF!</v>
      </c>
      <c r="S424" s="699" t="str">
        <f>IF(ROWS($S$14:S424)&lt;=COUNTIF('Lớp 5 - Phân công'!$I$14:$I$262,"&lt;&gt;"),"Lớp 5",IF(ROWS($S$14:S424)&lt;=COUNTIF('Lớp 5 - Phân công'!$I$14:$I$262,"&lt;&gt;")+SUMPRODUCT(--('Lớp 4 - Danh mục'!$I$14:$I$132&lt;&gt;""),--(COUNTIF('Lớp 5 - Phân công'!$J$14:$J$262,'Lớp 4 - Danh mục'!$I$14:$I$132)=0)),"Lớp 4",IF(ROWS($S$14:S424)&lt;=COUNTIF('Lớp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4" s="699" t="str">
        <f t="array" ref="T424">IF(S424="","",IF(S424="Lớp 5",IF(S423&lt;&gt;"Lớp 5",MATCH("*",'Lớp 5 - Phân công'!$I$14:$I$262,0),T423+MATCH("*",INDEX('Lớp 5 - Phân công'!$I$14:$I$262,T423+1):'Lớp 5 - Phân công'!$I$262,0)),IF(S424="Lớp 4",IF(S423&lt;&gt;"Lớp 4",MATCH(1,INDEX(('Lớp 4 - Danh mục'!$I$14:$I$132&lt;&gt;"")*(COUNTIF('Lớp 5 - Phân công'!$J$14:$J$262,'Lớp 4 - Danh mục'!$I$14:$I$132)=0),0),0),T423+MATCH(1,INDEX((INDEX('Lớp 4 - Danh mục'!$I$14:$I$132,T423+1):'Lớp 4 - Danh mục'!$I$132&lt;&gt;"")*(COUNTIF('Lớp 5 - Phân công'!$J$14:$J$262,INDEX('Lớp 4 - Danh mục'!$I$14:$I$132,T423+1):'Lớp 4 - Danh mục'!$I$132)=0),0),0)),IF(S423&lt;&gt;"Lớp 3",MATCH(1,INDEX(('Lớp 3 - Công việc chính'!$I$14:$I$73&lt;&gt;"")*(COUNTIF('Lớp 4 - Danh mục'!$J$14:$J$132,'Lớp 3 - Công việc chính'!$I$14:$I$73)=0),0),0),T423+MATCH(1,INDEX((INDEX('Lớp 3 - Công việc chính'!$I$14:$I$73,T423+1):'Lớp 3 - Công việc chính'!$I$73&lt;&gt;"")*(COUNTIF('Lớp 4 - Danh mục'!$J$14:$J$132,INDEX('Lớp 3 - Công việc chính'!$I$14:$I$73,T423+1):'Lớp 3 - Công việc chính'!$I$73)=0),0),0)))))</f>
        <v>#REF!</v>
      </c>
      <c r="Z424" s="700" t="str">
        <f t="array" ref="Z424">IF($S424="","",IF($S424="Lớp 5",INDEX('Lớp 5 - Phân công'!$AS$14:$AS$262,$T424),IF($S424="Lớp 4",INDEX('Lớp 4 - Danh mục'!$AR$14:$AR$132,$T424),INDEX('Lớp 3 - Công việc chính'!$AO$14:$AO$73,$T424))))</f>
        <v>#REF!</v>
      </c>
      <c r="AA424" s="701" t="str">
        <f t="array" ref="AA424">IF($S424="","",IF($S424="Lớp 5",INDEX('Lớp 5 - Phân công'!$AT$14:$AT$262,$T424),IF($S424="Lớp 4",INDEX('Lớp 4 - Danh mục'!$AS$14:$AS$132,$T424),INDEX('Lớp 3 - Công việc chính'!$AP$14:$AP$73,$T424))))</f>
        <v>#REF!</v>
      </c>
      <c r="AB424" s="701" t="str">
        <f t="array" ref="AB424">IF($S424="","",IF($S424="Lớp 5",INDEX('Lớp 5 - Phân công'!$AJ$14:$AJ$262,$T424),IF($S424="Lớp 4",INDEX('Lớp 4 - Danh mục'!$AI$14:$AI$132,$T424),INDEX('Lớp 3 - Công việc chính'!$AF$14:$AF$73,$T424))))</f>
        <v>#REF!</v>
      </c>
      <c r="AC424" s="702" t="str">
        <f t="array" ref="AC424">IF($S424="","",IF($S424="Lớp 5",INDEX('Lớp 5 - Phân công'!$AV$14:$AV$262,$T424),IF($S424="Lớp 4",INDEX('Lớp 4 - Danh mục'!$AU$14:$AU$132,$T424),INDEX('Lớp 3 - Công việc chính'!$AR$14:$AR$73,$T424))))</f>
        <v>#REF!</v>
      </c>
    </row>
    <row r="425" ht="15.75" customHeight="1">
      <c r="A425" s="690" t="str">
        <f t="shared" si="1"/>
        <v>#REF!</v>
      </c>
      <c r="B425" s="690" t="str">
        <f t="array" ref="B425">IF($S425="","",IF($S425="Lớp 5",INDEX('Lớp 5 - Phân công'!$I$14:$I$262,$T425),IF($S425="Lớp 4",INDEX('Lớp 4 - Danh mục'!$I$14:$I$132,$T425),INDEX('Lớp 3 - Công việc chính'!$I$14:$I$73,$T425))))</f>
        <v>#REF!</v>
      </c>
      <c r="C425" s="690" t="str">
        <f t="array" ref="C425">IF($S425="","",IF($S425="Lớp 5",INDEX('Lớp 5 - Phân công'!$K$14:$K$262,$T425),IF($S425="Lớp 4",INDEX('Lớp 4 - Danh mục'!$J$14:$J$132,$T425),INDEX('Lớp 3 - Công việc chính'!$I$14:$I$73,$T425))))</f>
        <v>#REF!</v>
      </c>
      <c r="D425" s="690" t="str">
        <f t="array" ref="D425">IF($S425="","",IF($S425="Lớp 5",INDEX('Lớp 5 - Phân công'!$J$14:$J$262,$T425),IF($S425="Lớp 4",INDEX('Lớp 4 - Danh mục'!$I$14:$I$132,$T425),"")))</f>
        <v>#REF!</v>
      </c>
      <c r="E425" s="690" t="str">
        <f t="array" ref="E425">IF($S425="","",IF($S425="Lớp 5",INDEX('Lớp 5 - Phân công'!$L$14:$L$262,$T425),IF($S425="Lớp 4",INDEX('Lớp 4 - Danh mục'!$K$14:$K$132,$T425),INDEX('Lớp 3 - Công việc chính'!$J$14:$J$73,$T425))))</f>
        <v>#REF!</v>
      </c>
      <c r="F425" s="690" t="str">
        <f t="array" ref="F425">IF($S425="","",IF($S425="Lớp 5",INDEX('Lớp 5 - Phân công'!$M$14:$M$262,$T425),IF($S425="Lớp 4",INDEX('Lớp 4 - Danh mục'!$L$14:$L$132,$T425),INDEX('Lớp 3 - Công việc chính'!$K$14:$K$73,$T425))))</f>
        <v>#REF!</v>
      </c>
      <c r="G425" s="691" t="str">
        <f t="array" ref="G425">IF($S425="","",IF($S425="Lớp 5",INDEX('Lớp 5 - Phân công'!$N$14:$N$262,$T425),IF($S425="Lớp 4",INDEX('Lớp 4 - Danh mục'!$M$14:$M$132,$T425),INDEX('Lớp 3 - Công việc chính'!$L$14:$L$73,$T425))))</f>
        <v>#REF!</v>
      </c>
      <c r="H425" s="692" t="str">
        <f t="array" ref="H425">IF($S425="","",IF($S425="Lớp 5",INDEX('Lớp 5 - Phân công'!$O$14:$O$262,$T425),IF($S425="Lớp 4",INDEX('Lớp 4 - Danh mục'!$N$14:$N$132,$T425),INDEX('Lớp 3 - Công việc chính'!$M$14:$M$73,$T425))))</f>
        <v>#REF!</v>
      </c>
      <c r="I425" s="692" t="str">
        <f t="array" ref="I425">IF($S425="","",IF($S425="Lớp 5",INDEX('Lớp 5 - Phân công'!$P$14:$P$262,$T425),IF($S425="Lớp 4",INDEX('Lớp 4 - Danh mục'!$O$14:$O$132,$T425),"")))</f>
        <v>#REF!</v>
      </c>
      <c r="J425" s="693" t="str">
        <f t="array" ref="J425">IF($S425="","",IF($S425="Lớp 5",INDEX('Lớp 5 - Phân công'!$Q$14:$Q$262,$T425),""))</f>
        <v>#REF!</v>
      </c>
      <c r="K425" s="690" t="str">
        <f t="array" ref="K425">IF($S425="","",IF($S425="Lớp 5",INDEX('Lớp 5 - Phân công'!$AA$14:$AA$262,$T425),IF($S425="Lớp 4",INDEX('Lớp 4 - Danh mục'!$Y$14:$Y$132,$T425),INDEX('Lớp 3 - Công việc chính'!$U$14:$U$73,$T425))))</f>
        <v>#REF!</v>
      </c>
      <c r="L425" s="691" t="str">
        <f t="array" ref="L425">IF($S425="","",IF($S425="Lớp 5",INDEX('Lớp 5 - Phân công'!$Z$14:$Z$262,$T425),IF($S425="Lớp 4",INDEX('Lớp 4 - Danh mục'!$X$14:$X$132,$T425),INDEX('Lớp 3 - Công việc chính'!$W$14:$W$73,$T425))))</f>
        <v>#REF!</v>
      </c>
      <c r="M425" s="694" t="str">
        <f t="array" ref="M425">IF($S425="","",IF($S425="Lớp 5",INDEX('Lớp 5 - Phân công'!$AD$14:$AD$262,$T425),IF($S425="Lớp 4",INDEX('Lớp 4 - Danh mục'!$AC$14:$AC$132,$T425),INDEX('Lớp 3 - Công việc chính'!$Z$14:$Z$73,$T425))))</f>
        <v>#REF!</v>
      </c>
      <c r="N425" s="695" t="str">
        <f t="array" ref="N425">IF($S425="","",IF($S425="Lớp 5",INDEX('Lớp 5 - Phân công'!$AE$14:$AE$262,$T425),IF($S425="Lớp 4",INDEX('Lớp 4 - Danh mục'!$AD$14:$AD$132,$T425),INDEX('Lớp 3 - Công việc chính'!$AA$14:$AA$73,$T425))))</f>
        <v>#REF!</v>
      </c>
      <c r="O425" s="690" t="str">
        <f t="array" ref="O425">IF($S425="","",IF($S425="Lớp 5",INDEX('Lớp 5 - Phân công'!$AB$14:$AB$262,$T425),IF($S425="Lớp 4",INDEX('Lớp 4 - Danh mục'!$AA$14:$AA$132,$T425),INDEX('Lớp 3 - Công việc chính'!$X$14:$X$73,$T425))))</f>
        <v>#REF!</v>
      </c>
      <c r="P425" s="703" t="str">
        <f t="array" ref="P425">IF($S425="","",IF($S425="Lớp 5",INDEX('Lớp 5 - Phân công'!$AC$14:$AC$262,$T425),IF($S425="Lớp 4",INDEX('Lớp 4 - Danh mục'!$AB$14:$AB$132,$T425),INDEX('Lớp 3 - Công việc chính'!$Y$14:$Y$73,$T425))))</f>
        <v>#REF!</v>
      </c>
      <c r="Q425" s="697" t="str">
        <f t="array" ref="Q425">IF($S425="","",IF($S425="Lớp 5",INDEX('Lớp 5 - Phân công'!$AG$14:$AG$262,$T425),IF($S425="Lớp 4",INDEX('Lớp 4 - Danh mục'!$AF$14:$AF$132,$T425),INDEX('Lớp 3 - Công việc chính'!$AC$14:$AC$73,$T425))))</f>
        <v>#REF!</v>
      </c>
      <c r="R425" s="698" t="str">
        <f t="array" ref="R425">IF($S425="","",IF($S425="Lớp 5",INDEX('Lớp 5 - Phân công'!$X$14:$X$262,$T425),IF($S425="Lớp 4",INDEX('Lớp 4 - Danh mục'!$V$14:$V$132,$T425),INDEX('Lớp 3 - Công việc chính'!$T$14:$T$73,$T425))))</f>
        <v>#REF!</v>
      </c>
      <c r="S425" s="699" t="str">
        <f>IF(ROWS($S$14:S425)&lt;=COUNTIF('Lớp 5 - Phân công'!$I$14:$I$262,"&lt;&gt;"),"Lớp 5",IF(ROWS($S$14:S425)&lt;=COUNTIF('Lớp 5 - Phân công'!$I$14:$I$262,"&lt;&gt;")+SUMPRODUCT(--('Lớp 4 - Danh mục'!$I$14:$I$132&lt;&gt;""),--(COUNTIF('Lớp 5 - Phân công'!$J$14:$J$262,'Lớp 4 - Danh mục'!$I$14:$I$132)=0)),"Lớp 4",IF(ROWS($S$14:S425)&lt;=COUNTIF('Lớp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5" s="699" t="str">
        <f t="array" ref="T425">IF(S425="","",IF(S425="Lớp 5",IF(S424&lt;&gt;"Lớp 5",MATCH("*",'Lớp 5 - Phân công'!$I$14:$I$262,0),T424+MATCH("*",INDEX('Lớp 5 - Phân công'!$I$14:$I$262,T424+1):'Lớp 5 - Phân công'!$I$262,0)),IF(S425="Lớp 4",IF(S424&lt;&gt;"Lớp 4",MATCH(1,INDEX(('Lớp 4 - Danh mục'!$I$14:$I$132&lt;&gt;"")*(COUNTIF('Lớp 5 - Phân công'!$J$14:$J$262,'Lớp 4 - Danh mục'!$I$14:$I$132)=0),0),0),T424+MATCH(1,INDEX((INDEX('Lớp 4 - Danh mục'!$I$14:$I$132,T424+1):'Lớp 4 - Danh mục'!$I$132&lt;&gt;"")*(COUNTIF('Lớp 5 - Phân công'!$J$14:$J$262,INDEX('Lớp 4 - Danh mục'!$I$14:$I$132,T424+1):'Lớp 4 - Danh mục'!$I$132)=0),0),0)),IF(S424&lt;&gt;"Lớp 3",MATCH(1,INDEX(('Lớp 3 - Công việc chính'!$I$14:$I$73&lt;&gt;"")*(COUNTIF('Lớp 4 - Danh mục'!$J$14:$J$132,'Lớp 3 - Công việc chính'!$I$14:$I$73)=0),0),0),T424+MATCH(1,INDEX((INDEX('Lớp 3 - Công việc chính'!$I$14:$I$73,T424+1):'Lớp 3 - Công việc chính'!$I$73&lt;&gt;"")*(COUNTIF('Lớp 4 - Danh mục'!$J$14:$J$132,INDEX('Lớp 3 - Công việc chính'!$I$14:$I$73,T424+1):'Lớp 3 - Công việc chính'!$I$73)=0),0),0)))))</f>
        <v>#REF!</v>
      </c>
      <c r="Z425" s="700" t="str">
        <f t="array" ref="Z425">IF($S425="","",IF($S425="Lớp 5",INDEX('Lớp 5 - Phân công'!$AS$14:$AS$262,$T425),IF($S425="Lớp 4",INDEX('Lớp 4 - Danh mục'!$AR$14:$AR$132,$T425),INDEX('Lớp 3 - Công việc chính'!$AO$14:$AO$73,$T425))))</f>
        <v>#REF!</v>
      </c>
      <c r="AA425" s="701" t="str">
        <f t="array" ref="AA425">IF($S425="","",IF($S425="Lớp 5",INDEX('Lớp 5 - Phân công'!$AT$14:$AT$262,$T425),IF($S425="Lớp 4",INDEX('Lớp 4 - Danh mục'!$AS$14:$AS$132,$T425),INDEX('Lớp 3 - Công việc chính'!$AP$14:$AP$73,$T425))))</f>
        <v>#REF!</v>
      </c>
      <c r="AB425" s="701" t="str">
        <f t="array" ref="AB425">IF($S425="","",IF($S425="Lớp 5",INDEX('Lớp 5 - Phân công'!$AJ$14:$AJ$262,$T425),IF($S425="Lớp 4",INDEX('Lớp 4 - Danh mục'!$AI$14:$AI$132,$T425),INDEX('Lớp 3 - Công việc chính'!$AF$14:$AF$73,$T425))))</f>
        <v>#REF!</v>
      </c>
      <c r="AC425" s="702" t="str">
        <f t="array" ref="AC425">IF($S425="","",IF($S425="Lớp 5",INDEX('Lớp 5 - Phân công'!$AV$14:$AV$262,$T425),IF($S425="Lớp 4",INDEX('Lớp 4 - Danh mục'!$AU$14:$AU$132,$T425),INDEX('Lớp 3 - Công việc chính'!$AR$14:$AR$73,$T425))))</f>
        <v>#REF!</v>
      </c>
    </row>
    <row r="426" ht="15.75" customHeight="1">
      <c r="A426" s="690" t="str">
        <f t="shared" si="1"/>
        <v>#REF!</v>
      </c>
      <c r="B426" s="690" t="str">
        <f t="array" ref="B426">IF($S426="","",IF($S426="Lớp 5",INDEX('Lớp 5 - Phân công'!$I$14:$I$262,$T426),IF($S426="Lớp 4",INDEX('Lớp 4 - Danh mục'!$I$14:$I$132,$T426),INDEX('Lớp 3 - Công việc chính'!$I$14:$I$73,$T426))))</f>
        <v>#REF!</v>
      </c>
      <c r="C426" s="690" t="str">
        <f t="array" ref="C426">IF($S426="","",IF($S426="Lớp 5",INDEX('Lớp 5 - Phân công'!$K$14:$K$262,$T426),IF($S426="Lớp 4",INDEX('Lớp 4 - Danh mục'!$J$14:$J$132,$T426),INDEX('Lớp 3 - Công việc chính'!$I$14:$I$73,$T426))))</f>
        <v>#REF!</v>
      </c>
      <c r="D426" s="690" t="str">
        <f t="array" ref="D426">IF($S426="","",IF($S426="Lớp 5",INDEX('Lớp 5 - Phân công'!$J$14:$J$262,$T426),IF($S426="Lớp 4",INDEX('Lớp 4 - Danh mục'!$I$14:$I$132,$T426),"")))</f>
        <v>#REF!</v>
      </c>
      <c r="E426" s="690" t="str">
        <f t="array" ref="E426">IF($S426="","",IF($S426="Lớp 5",INDEX('Lớp 5 - Phân công'!$L$14:$L$262,$T426),IF($S426="Lớp 4",INDEX('Lớp 4 - Danh mục'!$K$14:$K$132,$T426),INDEX('Lớp 3 - Công việc chính'!$J$14:$J$73,$T426))))</f>
        <v>#REF!</v>
      </c>
      <c r="F426" s="690" t="str">
        <f t="array" ref="F426">IF($S426="","",IF($S426="Lớp 5",INDEX('Lớp 5 - Phân công'!$M$14:$M$262,$T426),IF($S426="Lớp 4",INDEX('Lớp 4 - Danh mục'!$L$14:$L$132,$T426),INDEX('Lớp 3 - Công việc chính'!$K$14:$K$73,$T426))))</f>
        <v>#REF!</v>
      </c>
      <c r="G426" s="691" t="str">
        <f t="array" ref="G426">IF($S426="","",IF($S426="Lớp 5",INDEX('Lớp 5 - Phân công'!$N$14:$N$262,$T426),IF($S426="Lớp 4",INDEX('Lớp 4 - Danh mục'!$M$14:$M$132,$T426),INDEX('Lớp 3 - Công việc chính'!$L$14:$L$73,$T426))))</f>
        <v>#REF!</v>
      </c>
      <c r="H426" s="692" t="str">
        <f t="array" ref="H426">IF($S426="","",IF($S426="Lớp 5",INDEX('Lớp 5 - Phân công'!$O$14:$O$262,$T426),IF($S426="Lớp 4",INDEX('Lớp 4 - Danh mục'!$N$14:$N$132,$T426),INDEX('Lớp 3 - Công việc chính'!$M$14:$M$73,$T426))))</f>
        <v>#REF!</v>
      </c>
      <c r="I426" s="692" t="str">
        <f t="array" ref="I426">IF($S426="","",IF($S426="Lớp 5",INDEX('Lớp 5 - Phân công'!$P$14:$P$262,$T426),IF($S426="Lớp 4",INDEX('Lớp 4 - Danh mục'!$O$14:$O$132,$T426),"")))</f>
        <v>#REF!</v>
      </c>
      <c r="J426" s="693" t="str">
        <f t="array" ref="J426">IF($S426="","",IF($S426="Lớp 5",INDEX('Lớp 5 - Phân công'!$Q$14:$Q$262,$T426),""))</f>
        <v>#REF!</v>
      </c>
      <c r="K426" s="690" t="str">
        <f t="array" ref="K426">IF($S426="","",IF($S426="Lớp 5",INDEX('Lớp 5 - Phân công'!$AA$14:$AA$262,$T426),IF($S426="Lớp 4",INDEX('Lớp 4 - Danh mục'!$Y$14:$Y$132,$T426),INDEX('Lớp 3 - Công việc chính'!$U$14:$U$73,$T426))))</f>
        <v>#REF!</v>
      </c>
      <c r="L426" s="691" t="str">
        <f t="array" ref="L426">IF($S426="","",IF($S426="Lớp 5",INDEX('Lớp 5 - Phân công'!$Z$14:$Z$262,$T426),IF($S426="Lớp 4",INDEX('Lớp 4 - Danh mục'!$X$14:$X$132,$T426),INDEX('Lớp 3 - Công việc chính'!$W$14:$W$73,$T426))))</f>
        <v>#REF!</v>
      </c>
      <c r="M426" s="694" t="str">
        <f t="array" ref="M426">IF($S426="","",IF($S426="Lớp 5",INDEX('Lớp 5 - Phân công'!$AD$14:$AD$262,$T426),IF($S426="Lớp 4",INDEX('Lớp 4 - Danh mục'!$AC$14:$AC$132,$T426),INDEX('Lớp 3 - Công việc chính'!$Z$14:$Z$73,$T426))))</f>
        <v>#REF!</v>
      </c>
      <c r="N426" s="695" t="str">
        <f t="array" ref="N426">IF($S426="","",IF($S426="Lớp 5",INDEX('Lớp 5 - Phân công'!$AE$14:$AE$262,$T426),IF($S426="Lớp 4",INDEX('Lớp 4 - Danh mục'!$AD$14:$AD$132,$T426),INDEX('Lớp 3 - Công việc chính'!$AA$14:$AA$73,$T426))))</f>
        <v>#REF!</v>
      </c>
      <c r="O426" s="690" t="str">
        <f t="array" ref="O426">IF($S426="","",IF($S426="Lớp 5",INDEX('Lớp 5 - Phân công'!$AB$14:$AB$262,$T426),IF($S426="Lớp 4",INDEX('Lớp 4 - Danh mục'!$AA$14:$AA$132,$T426),INDEX('Lớp 3 - Công việc chính'!$X$14:$X$73,$T426))))</f>
        <v>#REF!</v>
      </c>
      <c r="P426" s="703" t="str">
        <f t="array" ref="P426">IF($S426="","",IF($S426="Lớp 5",INDEX('Lớp 5 - Phân công'!$AC$14:$AC$262,$T426),IF($S426="Lớp 4",INDEX('Lớp 4 - Danh mục'!$AB$14:$AB$132,$T426),INDEX('Lớp 3 - Công việc chính'!$Y$14:$Y$73,$T426))))</f>
        <v>#REF!</v>
      </c>
      <c r="Q426" s="697" t="str">
        <f t="array" ref="Q426">IF($S426="","",IF($S426="Lớp 5",INDEX('Lớp 5 - Phân công'!$AG$14:$AG$262,$T426),IF($S426="Lớp 4",INDEX('Lớp 4 - Danh mục'!$AF$14:$AF$132,$T426),INDEX('Lớp 3 - Công việc chính'!$AC$14:$AC$73,$T426))))</f>
        <v>#REF!</v>
      </c>
      <c r="R426" s="698" t="str">
        <f t="array" ref="R426">IF($S426="","",IF($S426="Lớp 5",INDEX('Lớp 5 - Phân công'!$X$14:$X$262,$T426),IF($S426="Lớp 4",INDEX('Lớp 4 - Danh mục'!$V$14:$V$132,$T426),INDEX('Lớp 3 - Công việc chính'!$T$14:$T$73,$T426))))</f>
        <v>#REF!</v>
      </c>
      <c r="S426" s="699" t="str">
        <f>IF(ROWS($S$14:S426)&lt;=COUNTIF('Lớp 5 - Phân công'!$I$14:$I$262,"&lt;&gt;"),"Lớp 5",IF(ROWS($S$14:S426)&lt;=COUNTIF('Lớp 5 - Phân công'!$I$14:$I$262,"&lt;&gt;")+SUMPRODUCT(--('Lớp 4 - Danh mục'!$I$14:$I$132&lt;&gt;""),--(COUNTIF('Lớp 5 - Phân công'!$J$14:$J$262,'Lớp 4 - Danh mục'!$I$14:$I$132)=0)),"Lớp 4",IF(ROWS($S$14:S426)&lt;=COUNTIF('Lớp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6" s="699" t="str">
        <f t="array" ref="T426">IF(S426="","",IF(S426="Lớp 5",IF(S425&lt;&gt;"Lớp 5",MATCH("*",'Lớp 5 - Phân công'!$I$14:$I$262,0),T425+MATCH("*",INDEX('Lớp 5 - Phân công'!$I$14:$I$262,T425+1):'Lớp 5 - Phân công'!$I$262,0)),IF(S426="Lớp 4",IF(S425&lt;&gt;"Lớp 4",MATCH(1,INDEX(('Lớp 4 - Danh mục'!$I$14:$I$132&lt;&gt;"")*(COUNTIF('Lớp 5 - Phân công'!$J$14:$J$262,'Lớp 4 - Danh mục'!$I$14:$I$132)=0),0),0),T425+MATCH(1,INDEX((INDEX('Lớp 4 - Danh mục'!$I$14:$I$132,T425+1):'Lớp 4 - Danh mục'!$I$132&lt;&gt;"")*(COUNTIF('Lớp 5 - Phân công'!$J$14:$J$262,INDEX('Lớp 4 - Danh mục'!$I$14:$I$132,T425+1):'Lớp 4 - Danh mục'!$I$132)=0),0),0)),IF(S425&lt;&gt;"Lớp 3",MATCH(1,INDEX(('Lớp 3 - Công việc chính'!$I$14:$I$73&lt;&gt;"")*(COUNTIF('Lớp 4 - Danh mục'!$J$14:$J$132,'Lớp 3 - Công việc chính'!$I$14:$I$73)=0),0),0),T425+MATCH(1,INDEX((INDEX('Lớp 3 - Công việc chính'!$I$14:$I$73,T425+1):'Lớp 3 - Công việc chính'!$I$73&lt;&gt;"")*(COUNTIF('Lớp 4 - Danh mục'!$J$14:$J$132,INDEX('Lớp 3 - Công việc chính'!$I$14:$I$73,T425+1):'Lớp 3 - Công việc chính'!$I$73)=0),0),0)))))</f>
        <v>#REF!</v>
      </c>
      <c r="Z426" s="700" t="str">
        <f t="array" ref="Z426">IF($S426="","",IF($S426="Lớp 5",INDEX('Lớp 5 - Phân công'!$AS$14:$AS$262,$T426),IF($S426="Lớp 4",INDEX('Lớp 4 - Danh mục'!$AR$14:$AR$132,$T426),INDEX('Lớp 3 - Công việc chính'!$AO$14:$AO$73,$T426))))</f>
        <v>#REF!</v>
      </c>
      <c r="AA426" s="701" t="str">
        <f t="array" ref="AA426">IF($S426="","",IF($S426="Lớp 5",INDEX('Lớp 5 - Phân công'!$AT$14:$AT$262,$T426),IF($S426="Lớp 4",INDEX('Lớp 4 - Danh mục'!$AS$14:$AS$132,$T426),INDEX('Lớp 3 - Công việc chính'!$AP$14:$AP$73,$T426))))</f>
        <v>#REF!</v>
      </c>
      <c r="AB426" s="701" t="str">
        <f t="array" ref="AB426">IF($S426="","",IF($S426="Lớp 5",INDEX('Lớp 5 - Phân công'!$AJ$14:$AJ$262,$T426),IF($S426="Lớp 4",INDEX('Lớp 4 - Danh mục'!$AI$14:$AI$132,$T426),INDEX('Lớp 3 - Công việc chính'!$AF$14:$AF$73,$T426))))</f>
        <v>#REF!</v>
      </c>
      <c r="AC426" s="702" t="str">
        <f t="array" ref="AC426">IF($S426="","",IF($S426="Lớp 5",INDEX('Lớp 5 - Phân công'!$AV$14:$AV$262,$T426),IF($S426="Lớp 4",INDEX('Lớp 4 - Danh mục'!$AU$14:$AU$132,$T426),INDEX('Lớp 3 - Công việc chính'!$AR$14:$AR$73,$T426))))</f>
        <v>#REF!</v>
      </c>
    </row>
    <row r="427" ht="15.75" customHeight="1">
      <c r="A427" s="690" t="str">
        <f t="shared" si="1"/>
        <v>#REF!</v>
      </c>
      <c r="B427" s="690" t="str">
        <f t="array" ref="B427">IF($S427="","",IF($S427="Lớp 5",INDEX('Lớp 5 - Phân công'!$I$14:$I$262,$T427),IF($S427="Lớp 4",INDEX('Lớp 4 - Danh mục'!$I$14:$I$132,$T427),INDEX('Lớp 3 - Công việc chính'!$I$14:$I$73,$T427))))</f>
        <v>#REF!</v>
      </c>
      <c r="C427" s="690" t="str">
        <f t="array" ref="C427">IF($S427="","",IF($S427="Lớp 5",INDEX('Lớp 5 - Phân công'!$K$14:$K$262,$T427),IF($S427="Lớp 4",INDEX('Lớp 4 - Danh mục'!$J$14:$J$132,$T427),INDEX('Lớp 3 - Công việc chính'!$I$14:$I$73,$T427))))</f>
        <v>#REF!</v>
      </c>
      <c r="D427" s="690" t="str">
        <f t="array" ref="D427">IF($S427="","",IF($S427="Lớp 5",INDEX('Lớp 5 - Phân công'!$J$14:$J$262,$T427),IF($S427="Lớp 4",INDEX('Lớp 4 - Danh mục'!$I$14:$I$132,$T427),"")))</f>
        <v>#REF!</v>
      </c>
      <c r="E427" s="690" t="str">
        <f t="array" ref="E427">IF($S427="","",IF($S427="Lớp 5",INDEX('Lớp 5 - Phân công'!$L$14:$L$262,$T427),IF($S427="Lớp 4",INDEX('Lớp 4 - Danh mục'!$K$14:$K$132,$T427),INDEX('Lớp 3 - Công việc chính'!$J$14:$J$73,$T427))))</f>
        <v>#REF!</v>
      </c>
      <c r="F427" s="690" t="str">
        <f t="array" ref="F427">IF($S427="","",IF($S427="Lớp 5",INDEX('Lớp 5 - Phân công'!$M$14:$M$262,$T427),IF($S427="Lớp 4",INDEX('Lớp 4 - Danh mục'!$L$14:$L$132,$T427),INDEX('Lớp 3 - Công việc chính'!$K$14:$K$73,$T427))))</f>
        <v>#REF!</v>
      </c>
      <c r="G427" s="691" t="str">
        <f t="array" ref="G427">IF($S427="","",IF($S427="Lớp 5",INDEX('Lớp 5 - Phân công'!$N$14:$N$262,$T427),IF($S427="Lớp 4",INDEX('Lớp 4 - Danh mục'!$M$14:$M$132,$T427),INDEX('Lớp 3 - Công việc chính'!$L$14:$L$73,$T427))))</f>
        <v>#REF!</v>
      </c>
      <c r="H427" s="692" t="str">
        <f t="array" ref="H427">IF($S427="","",IF($S427="Lớp 5",INDEX('Lớp 5 - Phân công'!$O$14:$O$262,$T427),IF($S427="Lớp 4",INDEX('Lớp 4 - Danh mục'!$N$14:$N$132,$T427),INDEX('Lớp 3 - Công việc chính'!$M$14:$M$73,$T427))))</f>
        <v>#REF!</v>
      </c>
      <c r="I427" s="692" t="str">
        <f t="array" ref="I427">IF($S427="","",IF($S427="Lớp 5",INDEX('Lớp 5 - Phân công'!$P$14:$P$262,$T427),IF($S427="Lớp 4",INDEX('Lớp 4 - Danh mục'!$O$14:$O$132,$T427),"")))</f>
        <v>#REF!</v>
      </c>
      <c r="J427" s="693" t="str">
        <f t="array" ref="J427">IF($S427="","",IF($S427="Lớp 5",INDEX('Lớp 5 - Phân công'!$Q$14:$Q$262,$T427),""))</f>
        <v>#REF!</v>
      </c>
      <c r="K427" s="690" t="str">
        <f t="array" ref="K427">IF($S427="","",IF($S427="Lớp 5",INDEX('Lớp 5 - Phân công'!$AA$14:$AA$262,$T427),IF($S427="Lớp 4",INDEX('Lớp 4 - Danh mục'!$Y$14:$Y$132,$T427),INDEX('Lớp 3 - Công việc chính'!$U$14:$U$73,$T427))))</f>
        <v>#REF!</v>
      </c>
      <c r="L427" s="691" t="str">
        <f t="array" ref="L427">IF($S427="","",IF($S427="Lớp 5",INDEX('Lớp 5 - Phân công'!$Z$14:$Z$262,$T427),IF($S427="Lớp 4",INDEX('Lớp 4 - Danh mục'!$X$14:$X$132,$T427),INDEX('Lớp 3 - Công việc chính'!$W$14:$W$73,$T427))))</f>
        <v>#REF!</v>
      </c>
      <c r="M427" s="694" t="str">
        <f t="array" ref="M427">IF($S427="","",IF($S427="Lớp 5",INDEX('Lớp 5 - Phân công'!$AD$14:$AD$262,$T427),IF($S427="Lớp 4",INDEX('Lớp 4 - Danh mục'!$AC$14:$AC$132,$T427),INDEX('Lớp 3 - Công việc chính'!$Z$14:$Z$73,$T427))))</f>
        <v>#REF!</v>
      </c>
      <c r="N427" s="695" t="str">
        <f t="array" ref="N427">IF($S427="","",IF($S427="Lớp 5",INDEX('Lớp 5 - Phân công'!$AE$14:$AE$262,$T427),IF($S427="Lớp 4",INDEX('Lớp 4 - Danh mục'!$AD$14:$AD$132,$T427),INDEX('Lớp 3 - Công việc chính'!$AA$14:$AA$73,$T427))))</f>
        <v>#REF!</v>
      </c>
      <c r="O427" s="690" t="str">
        <f t="array" ref="O427">IF($S427="","",IF($S427="Lớp 5",INDEX('Lớp 5 - Phân công'!$AB$14:$AB$262,$T427),IF($S427="Lớp 4",INDEX('Lớp 4 - Danh mục'!$AA$14:$AA$132,$T427),INDEX('Lớp 3 - Công việc chính'!$X$14:$X$73,$T427))))</f>
        <v>#REF!</v>
      </c>
      <c r="P427" s="703" t="str">
        <f t="array" ref="P427">IF($S427="","",IF($S427="Lớp 5",INDEX('Lớp 5 - Phân công'!$AC$14:$AC$262,$T427),IF($S427="Lớp 4",INDEX('Lớp 4 - Danh mục'!$AB$14:$AB$132,$T427),INDEX('Lớp 3 - Công việc chính'!$Y$14:$Y$73,$T427))))</f>
        <v>#REF!</v>
      </c>
      <c r="Q427" s="697" t="str">
        <f t="array" ref="Q427">IF($S427="","",IF($S427="Lớp 5",INDEX('Lớp 5 - Phân công'!$AG$14:$AG$262,$T427),IF($S427="Lớp 4",INDEX('Lớp 4 - Danh mục'!$AF$14:$AF$132,$T427),INDEX('Lớp 3 - Công việc chính'!$AC$14:$AC$73,$T427))))</f>
        <v>#REF!</v>
      </c>
      <c r="R427" s="698" t="str">
        <f t="array" ref="R427">IF($S427="","",IF($S427="Lớp 5",INDEX('Lớp 5 - Phân công'!$X$14:$X$262,$T427),IF($S427="Lớp 4",INDEX('Lớp 4 - Danh mục'!$V$14:$V$132,$T427),INDEX('Lớp 3 - Công việc chính'!$T$14:$T$73,$T427))))</f>
        <v>#REF!</v>
      </c>
      <c r="S427" s="699" t="str">
        <f>IF(ROWS($S$14:S427)&lt;=COUNTIF('Lớp 5 - Phân công'!$I$14:$I$262,"&lt;&gt;"),"Lớp 5",IF(ROWS($S$14:S427)&lt;=COUNTIF('Lớp 5 - Phân công'!$I$14:$I$262,"&lt;&gt;")+SUMPRODUCT(--('Lớp 4 - Danh mục'!$I$14:$I$132&lt;&gt;""),--(COUNTIF('Lớp 5 - Phân công'!$J$14:$J$262,'Lớp 4 - Danh mục'!$I$14:$I$132)=0)),"Lớp 4",IF(ROWS($S$14:S427)&lt;=COUNTIF('Lớp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7" s="699" t="str">
        <f t="array" ref="T427">IF(S427="","",IF(S427="Lớp 5",IF(S426&lt;&gt;"Lớp 5",MATCH("*",'Lớp 5 - Phân công'!$I$14:$I$262,0),T426+MATCH("*",INDEX('Lớp 5 - Phân công'!$I$14:$I$262,T426+1):'Lớp 5 - Phân công'!$I$262,0)),IF(S427="Lớp 4",IF(S426&lt;&gt;"Lớp 4",MATCH(1,INDEX(('Lớp 4 - Danh mục'!$I$14:$I$132&lt;&gt;"")*(COUNTIF('Lớp 5 - Phân công'!$J$14:$J$262,'Lớp 4 - Danh mục'!$I$14:$I$132)=0),0),0),T426+MATCH(1,INDEX((INDEX('Lớp 4 - Danh mục'!$I$14:$I$132,T426+1):'Lớp 4 - Danh mục'!$I$132&lt;&gt;"")*(COUNTIF('Lớp 5 - Phân công'!$J$14:$J$262,INDEX('Lớp 4 - Danh mục'!$I$14:$I$132,T426+1):'Lớp 4 - Danh mục'!$I$132)=0),0),0)),IF(S426&lt;&gt;"Lớp 3",MATCH(1,INDEX(('Lớp 3 - Công việc chính'!$I$14:$I$73&lt;&gt;"")*(COUNTIF('Lớp 4 - Danh mục'!$J$14:$J$132,'Lớp 3 - Công việc chính'!$I$14:$I$73)=0),0),0),T426+MATCH(1,INDEX((INDEX('Lớp 3 - Công việc chính'!$I$14:$I$73,T426+1):'Lớp 3 - Công việc chính'!$I$73&lt;&gt;"")*(COUNTIF('Lớp 4 - Danh mục'!$J$14:$J$132,INDEX('Lớp 3 - Công việc chính'!$I$14:$I$73,T426+1):'Lớp 3 - Công việc chính'!$I$73)=0),0),0)))))</f>
        <v>#REF!</v>
      </c>
      <c r="Z427" s="700" t="str">
        <f t="array" ref="Z427">IF($S427="","",IF($S427="Lớp 5",INDEX('Lớp 5 - Phân công'!$AS$14:$AS$262,$T427),IF($S427="Lớp 4",INDEX('Lớp 4 - Danh mục'!$AR$14:$AR$132,$T427),INDEX('Lớp 3 - Công việc chính'!$AO$14:$AO$73,$T427))))</f>
        <v>#REF!</v>
      </c>
      <c r="AA427" s="701" t="str">
        <f t="array" ref="AA427">IF($S427="","",IF($S427="Lớp 5",INDEX('Lớp 5 - Phân công'!$AT$14:$AT$262,$T427),IF($S427="Lớp 4",INDEX('Lớp 4 - Danh mục'!$AS$14:$AS$132,$T427),INDEX('Lớp 3 - Công việc chính'!$AP$14:$AP$73,$T427))))</f>
        <v>#REF!</v>
      </c>
      <c r="AB427" s="701" t="str">
        <f t="array" ref="AB427">IF($S427="","",IF($S427="Lớp 5",INDEX('Lớp 5 - Phân công'!$AJ$14:$AJ$262,$T427),IF($S427="Lớp 4",INDEX('Lớp 4 - Danh mục'!$AI$14:$AI$132,$T427),INDEX('Lớp 3 - Công việc chính'!$AF$14:$AF$73,$T427))))</f>
        <v>#REF!</v>
      </c>
      <c r="AC427" s="702" t="str">
        <f t="array" ref="AC427">IF($S427="","",IF($S427="Lớp 5",INDEX('Lớp 5 - Phân công'!$AV$14:$AV$262,$T427),IF($S427="Lớp 4",INDEX('Lớp 4 - Danh mục'!$AU$14:$AU$132,$T427),INDEX('Lớp 3 - Công việc chính'!$AR$14:$AR$73,$T427))))</f>
        <v>#REF!</v>
      </c>
    </row>
    <row r="428" ht="15.75" customHeight="1">
      <c r="A428" s="690" t="str">
        <f t="shared" si="1"/>
        <v>#REF!</v>
      </c>
      <c r="B428" s="690" t="str">
        <f t="array" ref="B428">IF($S428="","",IF($S428="Lớp 5",INDEX('Lớp 5 - Phân công'!$I$14:$I$262,$T428),IF($S428="Lớp 4",INDEX('Lớp 4 - Danh mục'!$I$14:$I$132,$T428),INDEX('Lớp 3 - Công việc chính'!$I$14:$I$73,$T428))))</f>
        <v>#REF!</v>
      </c>
      <c r="C428" s="690" t="str">
        <f t="array" ref="C428">IF($S428="","",IF($S428="Lớp 5",INDEX('Lớp 5 - Phân công'!$K$14:$K$262,$T428),IF($S428="Lớp 4",INDEX('Lớp 4 - Danh mục'!$J$14:$J$132,$T428),INDEX('Lớp 3 - Công việc chính'!$I$14:$I$73,$T428))))</f>
        <v>#REF!</v>
      </c>
      <c r="D428" s="690" t="str">
        <f t="array" ref="D428">IF($S428="","",IF($S428="Lớp 5",INDEX('Lớp 5 - Phân công'!$J$14:$J$262,$T428),IF($S428="Lớp 4",INDEX('Lớp 4 - Danh mục'!$I$14:$I$132,$T428),"")))</f>
        <v>#REF!</v>
      </c>
      <c r="E428" s="690" t="str">
        <f t="array" ref="E428">IF($S428="","",IF($S428="Lớp 5",INDEX('Lớp 5 - Phân công'!$L$14:$L$262,$T428),IF($S428="Lớp 4",INDEX('Lớp 4 - Danh mục'!$K$14:$K$132,$T428),INDEX('Lớp 3 - Công việc chính'!$J$14:$J$73,$T428))))</f>
        <v>#REF!</v>
      </c>
      <c r="F428" s="690" t="str">
        <f t="array" ref="F428">IF($S428="","",IF($S428="Lớp 5",INDEX('Lớp 5 - Phân công'!$M$14:$M$262,$T428),IF($S428="Lớp 4",INDEX('Lớp 4 - Danh mục'!$L$14:$L$132,$T428),INDEX('Lớp 3 - Công việc chính'!$K$14:$K$73,$T428))))</f>
        <v>#REF!</v>
      </c>
      <c r="G428" s="691" t="str">
        <f t="array" ref="G428">IF($S428="","",IF($S428="Lớp 5",INDEX('Lớp 5 - Phân công'!$N$14:$N$262,$T428),IF($S428="Lớp 4",INDEX('Lớp 4 - Danh mục'!$M$14:$M$132,$T428),INDEX('Lớp 3 - Công việc chính'!$L$14:$L$73,$T428))))</f>
        <v>#REF!</v>
      </c>
      <c r="H428" s="692" t="str">
        <f t="array" ref="H428">IF($S428="","",IF($S428="Lớp 5",INDEX('Lớp 5 - Phân công'!$O$14:$O$262,$T428),IF($S428="Lớp 4",INDEX('Lớp 4 - Danh mục'!$N$14:$N$132,$T428),INDEX('Lớp 3 - Công việc chính'!$M$14:$M$73,$T428))))</f>
        <v>#REF!</v>
      </c>
      <c r="I428" s="692" t="str">
        <f t="array" ref="I428">IF($S428="","",IF($S428="Lớp 5",INDEX('Lớp 5 - Phân công'!$P$14:$P$262,$T428),IF($S428="Lớp 4",INDEX('Lớp 4 - Danh mục'!$O$14:$O$132,$T428),"")))</f>
        <v>#REF!</v>
      </c>
      <c r="J428" s="693" t="str">
        <f t="array" ref="J428">IF($S428="","",IF($S428="Lớp 5",INDEX('Lớp 5 - Phân công'!$Q$14:$Q$262,$T428),""))</f>
        <v>#REF!</v>
      </c>
      <c r="K428" s="690" t="str">
        <f t="array" ref="K428">IF($S428="","",IF($S428="Lớp 5",INDEX('Lớp 5 - Phân công'!$AA$14:$AA$262,$T428),IF($S428="Lớp 4",INDEX('Lớp 4 - Danh mục'!$Y$14:$Y$132,$T428),INDEX('Lớp 3 - Công việc chính'!$U$14:$U$73,$T428))))</f>
        <v>#REF!</v>
      </c>
      <c r="L428" s="691" t="str">
        <f t="array" ref="L428">IF($S428="","",IF($S428="Lớp 5",INDEX('Lớp 5 - Phân công'!$Z$14:$Z$262,$T428),IF($S428="Lớp 4",INDEX('Lớp 4 - Danh mục'!$X$14:$X$132,$T428),INDEX('Lớp 3 - Công việc chính'!$W$14:$W$73,$T428))))</f>
        <v>#REF!</v>
      </c>
      <c r="M428" s="694" t="str">
        <f t="array" ref="M428">IF($S428="","",IF($S428="Lớp 5",INDEX('Lớp 5 - Phân công'!$AD$14:$AD$262,$T428),IF($S428="Lớp 4",INDEX('Lớp 4 - Danh mục'!$AC$14:$AC$132,$T428),INDEX('Lớp 3 - Công việc chính'!$Z$14:$Z$73,$T428))))</f>
        <v>#REF!</v>
      </c>
      <c r="N428" s="695" t="str">
        <f t="array" ref="N428">IF($S428="","",IF($S428="Lớp 5",INDEX('Lớp 5 - Phân công'!$AE$14:$AE$262,$T428),IF($S428="Lớp 4",INDEX('Lớp 4 - Danh mục'!$AD$14:$AD$132,$T428),INDEX('Lớp 3 - Công việc chính'!$AA$14:$AA$73,$T428))))</f>
        <v>#REF!</v>
      </c>
      <c r="O428" s="690" t="str">
        <f t="array" ref="O428">IF($S428="","",IF($S428="Lớp 5",INDEX('Lớp 5 - Phân công'!$AB$14:$AB$262,$T428),IF($S428="Lớp 4",INDEX('Lớp 4 - Danh mục'!$AA$14:$AA$132,$T428),INDEX('Lớp 3 - Công việc chính'!$X$14:$X$73,$T428))))</f>
        <v>#REF!</v>
      </c>
      <c r="P428" s="703" t="str">
        <f t="array" ref="P428">IF($S428="","",IF($S428="Lớp 5",INDEX('Lớp 5 - Phân công'!$AC$14:$AC$262,$T428),IF($S428="Lớp 4",INDEX('Lớp 4 - Danh mục'!$AB$14:$AB$132,$T428),INDEX('Lớp 3 - Công việc chính'!$Y$14:$Y$73,$T428))))</f>
        <v>#REF!</v>
      </c>
      <c r="Q428" s="697" t="str">
        <f t="array" ref="Q428">IF($S428="","",IF($S428="Lớp 5",INDEX('Lớp 5 - Phân công'!$AG$14:$AG$262,$T428),IF($S428="Lớp 4",INDEX('Lớp 4 - Danh mục'!$AF$14:$AF$132,$T428),INDEX('Lớp 3 - Công việc chính'!$AC$14:$AC$73,$T428))))</f>
        <v>#REF!</v>
      </c>
      <c r="R428" s="698" t="str">
        <f t="array" ref="R428">IF($S428="","",IF($S428="Lớp 5",INDEX('Lớp 5 - Phân công'!$X$14:$X$262,$T428),IF($S428="Lớp 4",INDEX('Lớp 4 - Danh mục'!$V$14:$V$132,$T428),INDEX('Lớp 3 - Công việc chính'!$T$14:$T$73,$T428))))</f>
        <v>#REF!</v>
      </c>
      <c r="S428" s="699" t="str">
        <f>IF(ROWS($S$14:S428)&lt;=COUNTIF('Lớp 5 - Phân công'!$I$14:$I$262,"&lt;&gt;"),"Lớp 5",IF(ROWS($S$14:S428)&lt;=COUNTIF('Lớp 5 - Phân công'!$I$14:$I$262,"&lt;&gt;")+SUMPRODUCT(--('Lớp 4 - Danh mục'!$I$14:$I$132&lt;&gt;""),--(COUNTIF('Lớp 5 - Phân công'!$J$14:$J$262,'Lớp 4 - Danh mục'!$I$14:$I$132)=0)),"Lớp 4",IF(ROWS($S$14:S428)&lt;=COUNTIF('Lớp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8" s="699" t="str">
        <f t="array" ref="T428">IF(S428="","",IF(S428="Lớp 5",IF(S427&lt;&gt;"Lớp 5",MATCH("*",'Lớp 5 - Phân công'!$I$14:$I$262,0),T427+MATCH("*",INDEX('Lớp 5 - Phân công'!$I$14:$I$262,T427+1):'Lớp 5 - Phân công'!$I$262,0)),IF(S428="Lớp 4",IF(S427&lt;&gt;"Lớp 4",MATCH(1,INDEX(('Lớp 4 - Danh mục'!$I$14:$I$132&lt;&gt;"")*(COUNTIF('Lớp 5 - Phân công'!$J$14:$J$262,'Lớp 4 - Danh mục'!$I$14:$I$132)=0),0),0),T427+MATCH(1,INDEX((INDEX('Lớp 4 - Danh mục'!$I$14:$I$132,T427+1):'Lớp 4 - Danh mục'!$I$132&lt;&gt;"")*(COUNTIF('Lớp 5 - Phân công'!$J$14:$J$262,INDEX('Lớp 4 - Danh mục'!$I$14:$I$132,T427+1):'Lớp 4 - Danh mục'!$I$132)=0),0),0)),IF(S427&lt;&gt;"Lớp 3",MATCH(1,INDEX(('Lớp 3 - Công việc chính'!$I$14:$I$73&lt;&gt;"")*(COUNTIF('Lớp 4 - Danh mục'!$J$14:$J$132,'Lớp 3 - Công việc chính'!$I$14:$I$73)=0),0),0),T427+MATCH(1,INDEX((INDEX('Lớp 3 - Công việc chính'!$I$14:$I$73,T427+1):'Lớp 3 - Công việc chính'!$I$73&lt;&gt;"")*(COUNTIF('Lớp 4 - Danh mục'!$J$14:$J$132,INDEX('Lớp 3 - Công việc chính'!$I$14:$I$73,T427+1):'Lớp 3 - Công việc chính'!$I$73)=0),0),0)))))</f>
        <v>#REF!</v>
      </c>
      <c r="Z428" s="700" t="str">
        <f t="array" ref="Z428">IF($S428="","",IF($S428="Lớp 5",INDEX('Lớp 5 - Phân công'!$AS$14:$AS$262,$T428),IF($S428="Lớp 4",INDEX('Lớp 4 - Danh mục'!$AR$14:$AR$132,$T428),INDEX('Lớp 3 - Công việc chính'!$AO$14:$AO$73,$T428))))</f>
        <v>#REF!</v>
      </c>
      <c r="AA428" s="701" t="str">
        <f t="array" ref="AA428">IF($S428="","",IF($S428="Lớp 5",INDEX('Lớp 5 - Phân công'!$AT$14:$AT$262,$T428),IF($S428="Lớp 4",INDEX('Lớp 4 - Danh mục'!$AS$14:$AS$132,$T428),INDEX('Lớp 3 - Công việc chính'!$AP$14:$AP$73,$T428))))</f>
        <v>#REF!</v>
      </c>
      <c r="AB428" s="701" t="str">
        <f t="array" ref="AB428">IF($S428="","",IF($S428="Lớp 5",INDEX('Lớp 5 - Phân công'!$AJ$14:$AJ$262,$T428),IF($S428="Lớp 4",INDEX('Lớp 4 - Danh mục'!$AI$14:$AI$132,$T428),INDEX('Lớp 3 - Công việc chính'!$AF$14:$AF$73,$T428))))</f>
        <v>#REF!</v>
      </c>
      <c r="AC428" s="702" t="str">
        <f t="array" ref="AC428">IF($S428="","",IF($S428="Lớp 5",INDEX('Lớp 5 - Phân công'!$AV$14:$AV$262,$T428),IF($S428="Lớp 4",INDEX('Lớp 4 - Danh mục'!$AU$14:$AU$132,$T428),INDEX('Lớp 3 - Công việc chính'!$AR$14:$AR$73,$T428))))</f>
        <v>#REF!</v>
      </c>
    </row>
    <row r="429" ht="15.75" customHeight="1">
      <c r="A429" s="690" t="str">
        <f t="shared" si="1"/>
        <v>#REF!</v>
      </c>
      <c r="B429" s="690" t="str">
        <f t="array" ref="B429">IF($S429="","",IF($S429="Lớp 5",INDEX('Lớp 5 - Phân công'!$I$14:$I$262,$T429),IF($S429="Lớp 4",INDEX('Lớp 4 - Danh mục'!$I$14:$I$132,$T429),INDEX('Lớp 3 - Công việc chính'!$I$14:$I$73,$T429))))</f>
        <v>#REF!</v>
      </c>
      <c r="C429" s="690" t="str">
        <f t="array" ref="C429">IF($S429="","",IF($S429="Lớp 5",INDEX('Lớp 5 - Phân công'!$K$14:$K$262,$T429),IF($S429="Lớp 4",INDEX('Lớp 4 - Danh mục'!$J$14:$J$132,$T429),INDEX('Lớp 3 - Công việc chính'!$I$14:$I$73,$T429))))</f>
        <v>#REF!</v>
      </c>
      <c r="D429" s="690" t="str">
        <f t="array" ref="D429">IF($S429="","",IF($S429="Lớp 5",INDEX('Lớp 5 - Phân công'!$J$14:$J$262,$T429),IF($S429="Lớp 4",INDEX('Lớp 4 - Danh mục'!$I$14:$I$132,$T429),"")))</f>
        <v>#REF!</v>
      </c>
      <c r="E429" s="690" t="str">
        <f t="array" ref="E429">IF($S429="","",IF($S429="Lớp 5",INDEX('Lớp 5 - Phân công'!$L$14:$L$262,$T429),IF($S429="Lớp 4",INDEX('Lớp 4 - Danh mục'!$K$14:$K$132,$T429),INDEX('Lớp 3 - Công việc chính'!$J$14:$J$73,$T429))))</f>
        <v>#REF!</v>
      </c>
      <c r="F429" s="690" t="str">
        <f t="array" ref="F429">IF($S429="","",IF($S429="Lớp 5",INDEX('Lớp 5 - Phân công'!$M$14:$M$262,$T429),IF($S429="Lớp 4",INDEX('Lớp 4 - Danh mục'!$L$14:$L$132,$T429),INDEX('Lớp 3 - Công việc chính'!$K$14:$K$73,$T429))))</f>
        <v>#REF!</v>
      </c>
      <c r="G429" s="691" t="str">
        <f t="array" ref="G429">IF($S429="","",IF($S429="Lớp 5",INDEX('Lớp 5 - Phân công'!$N$14:$N$262,$T429),IF($S429="Lớp 4",INDEX('Lớp 4 - Danh mục'!$M$14:$M$132,$T429),INDEX('Lớp 3 - Công việc chính'!$L$14:$L$73,$T429))))</f>
        <v>#REF!</v>
      </c>
      <c r="H429" s="692" t="str">
        <f t="array" ref="H429">IF($S429="","",IF($S429="Lớp 5",INDEX('Lớp 5 - Phân công'!$O$14:$O$262,$T429),IF($S429="Lớp 4",INDEX('Lớp 4 - Danh mục'!$N$14:$N$132,$T429),INDEX('Lớp 3 - Công việc chính'!$M$14:$M$73,$T429))))</f>
        <v>#REF!</v>
      </c>
      <c r="I429" s="692" t="str">
        <f t="array" ref="I429">IF($S429="","",IF($S429="Lớp 5",INDEX('Lớp 5 - Phân công'!$P$14:$P$262,$T429),IF($S429="Lớp 4",INDEX('Lớp 4 - Danh mục'!$O$14:$O$132,$T429),"")))</f>
        <v>#REF!</v>
      </c>
      <c r="J429" s="693" t="str">
        <f t="array" ref="J429">IF($S429="","",IF($S429="Lớp 5",INDEX('Lớp 5 - Phân công'!$Q$14:$Q$262,$T429),""))</f>
        <v>#REF!</v>
      </c>
      <c r="K429" s="690" t="str">
        <f t="array" ref="K429">IF($S429="","",IF($S429="Lớp 5",INDEX('Lớp 5 - Phân công'!$AA$14:$AA$262,$T429),IF($S429="Lớp 4",INDEX('Lớp 4 - Danh mục'!$Y$14:$Y$132,$T429),INDEX('Lớp 3 - Công việc chính'!$U$14:$U$73,$T429))))</f>
        <v>#REF!</v>
      </c>
      <c r="L429" s="691" t="str">
        <f t="array" ref="L429">IF($S429="","",IF($S429="Lớp 5",INDEX('Lớp 5 - Phân công'!$Z$14:$Z$262,$T429),IF($S429="Lớp 4",INDEX('Lớp 4 - Danh mục'!$X$14:$X$132,$T429),INDEX('Lớp 3 - Công việc chính'!$W$14:$W$73,$T429))))</f>
        <v>#REF!</v>
      </c>
      <c r="M429" s="694" t="str">
        <f t="array" ref="M429">IF($S429="","",IF($S429="Lớp 5",INDEX('Lớp 5 - Phân công'!$AD$14:$AD$262,$T429),IF($S429="Lớp 4",INDEX('Lớp 4 - Danh mục'!$AC$14:$AC$132,$T429),INDEX('Lớp 3 - Công việc chính'!$Z$14:$Z$73,$T429))))</f>
        <v>#REF!</v>
      </c>
      <c r="N429" s="695" t="str">
        <f t="array" ref="N429">IF($S429="","",IF($S429="Lớp 5",INDEX('Lớp 5 - Phân công'!$AE$14:$AE$262,$T429),IF($S429="Lớp 4",INDEX('Lớp 4 - Danh mục'!$AD$14:$AD$132,$T429),INDEX('Lớp 3 - Công việc chính'!$AA$14:$AA$73,$T429))))</f>
        <v>#REF!</v>
      </c>
      <c r="O429" s="690" t="str">
        <f t="array" ref="O429">IF($S429="","",IF($S429="Lớp 5",INDEX('Lớp 5 - Phân công'!$AB$14:$AB$262,$T429),IF($S429="Lớp 4",INDEX('Lớp 4 - Danh mục'!$AA$14:$AA$132,$T429),INDEX('Lớp 3 - Công việc chính'!$X$14:$X$73,$T429))))</f>
        <v>#REF!</v>
      </c>
      <c r="P429" s="703" t="str">
        <f t="array" ref="P429">IF($S429="","",IF($S429="Lớp 5",INDEX('Lớp 5 - Phân công'!$AC$14:$AC$262,$T429),IF($S429="Lớp 4",INDEX('Lớp 4 - Danh mục'!$AB$14:$AB$132,$T429),INDEX('Lớp 3 - Công việc chính'!$Y$14:$Y$73,$T429))))</f>
        <v>#REF!</v>
      </c>
      <c r="Q429" s="697" t="str">
        <f t="array" ref="Q429">IF($S429="","",IF($S429="Lớp 5",INDEX('Lớp 5 - Phân công'!$AG$14:$AG$262,$T429),IF($S429="Lớp 4",INDEX('Lớp 4 - Danh mục'!$AF$14:$AF$132,$T429),INDEX('Lớp 3 - Công việc chính'!$AC$14:$AC$73,$T429))))</f>
        <v>#REF!</v>
      </c>
      <c r="R429" s="698" t="str">
        <f t="array" ref="R429">IF($S429="","",IF($S429="Lớp 5",INDEX('Lớp 5 - Phân công'!$X$14:$X$262,$T429),IF($S429="Lớp 4",INDEX('Lớp 4 - Danh mục'!$V$14:$V$132,$T429),INDEX('Lớp 3 - Công việc chính'!$T$14:$T$73,$T429))))</f>
        <v>#REF!</v>
      </c>
      <c r="S429" s="699" t="str">
        <f>IF(ROWS($S$14:S429)&lt;=COUNTIF('Lớp 5 - Phân công'!$I$14:$I$262,"&lt;&gt;"),"Lớp 5",IF(ROWS($S$14:S429)&lt;=COUNTIF('Lớp 5 - Phân công'!$I$14:$I$262,"&lt;&gt;")+SUMPRODUCT(--('Lớp 4 - Danh mục'!$I$14:$I$132&lt;&gt;""),--(COUNTIF('Lớp 5 - Phân công'!$J$14:$J$262,'Lớp 4 - Danh mục'!$I$14:$I$132)=0)),"Lớp 4",IF(ROWS($S$14:S429)&lt;=COUNTIF('Lớp 5 - Phân công'!$I$14:$I$262,"&lt;&gt;")+SUMPRODUCT(--('Lớp 4 - Danh mục'!$I$14:$I$132&lt;&gt;""),--(COUNTIF('Lớp 5 - Phân công'!$J$14:$J$262,'Lớp 4 - Danh mục'!$I$14:$I$132)=0))+SUMPRODUCT(--('Lớp 3 - Công việc chính'!$I$14:$I$73&lt;&gt;""),--(COUNTIF('Lớp 4 - Danh mục'!$J$14:$J$132,'Lớp 3 - Công việc chính'!$I$14:$I$73)=0)),"Lớp 3","")))</f>
        <v>#REF!</v>
      </c>
      <c r="T429" s="699" t="str">
        <f t="array" ref="T429">IF(S429="","",IF(S429="Lớp 5",IF(S428&lt;&gt;"Lớp 5",MATCH("*",'Lớp 5 - Phân công'!$I$14:$I$262,0),T428+MATCH("*",INDEX('Lớp 5 - Phân công'!$I$14:$I$262,T428+1):'Lớp 5 - Phân công'!$I$262,0)),IF(S429="Lớp 4",IF(S428&lt;&gt;"Lớp 4",MATCH(1,INDEX(('Lớp 4 - Danh mục'!$I$14:$I$132&lt;&gt;"")*(COUNTIF('Lớp 5 - Phân công'!$J$14:$J$262,'Lớp 4 - Danh mục'!$I$14:$I$132)=0),0),0),T428+MATCH(1,INDEX((INDEX('Lớp 4 - Danh mục'!$I$14:$I$132,T428+1):'Lớp 4 - Danh mục'!$I$132&lt;&gt;"")*(COUNTIF('Lớp 5 - Phân công'!$J$14:$J$262,INDEX('Lớp 4 - Danh mục'!$I$14:$I$132,T428+1):'Lớp 4 - Danh mục'!$I$132)=0),0),0)),IF(S428&lt;&gt;"Lớp 3",MATCH(1,INDEX(('Lớp 3 - Công việc chính'!$I$14:$I$73&lt;&gt;"")*(COUNTIF('Lớp 4 - Danh mục'!$J$14:$J$132,'Lớp 3 - Công việc chính'!$I$14:$I$73)=0),0),0),T428+MATCH(1,INDEX((INDEX('Lớp 3 - Công việc chính'!$I$14:$I$73,T428+1):'Lớp 3 - Công việc chính'!$I$73&lt;&gt;"")*(COUNTIF('Lớp 4 - Danh mục'!$J$14:$J$132,INDEX('Lớp 3 - Công việc chính'!$I$14:$I$73,T428+1):'Lớp 3 - Công việc chính'!$I$73)=0),0),0)))))</f>
        <v>#REF!</v>
      </c>
      <c r="Z429" s="700" t="str">
        <f t="array" ref="Z429">IF($S429="","",IF($S429="Lớp 5",INDEX('Lớp 5 - Phân công'!$AS$14:$AS$262,$T429),IF($S429="Lớp 4",INDEX('Lớp 4 - Danh mục'!$AR$14:$AR$132,$T429),INDEX('Lớp 3 - Công việc chính'!$AO$14:$AO$73,$T429))))</f>
        <v>#REF!</v>
      </c>
      <c r="AA429" s="701" t="str">
        <f t="array" ref="AA429">IF($S429="","",IF($S429="Lớp 5",INDEX('Lớp 5 - Phân công'!$AT$14:$AT$262,$T429),IF($S429="Lớp 4",INDEX('Lớp 4 - Danh mục'!$AS$14:$AS$132,$T429),INDEX('Lớp 3 - Công việc chính'!$AP$14:$AP$73,$T429))))</f>
        <v>#REF!</v>
      </c>
      <c r="AB429" s="701" t="str">
        <f t="array" ref="AB429">IF($S429="","",IF($S429="Lớp 5",INDEX('Lớp 5 - Phân công'!$AJ$14:$AJ$262,$T429),IF($S429="Lớp 4",INDEX('Lớp 4 - Danh mục'!$AI$14:$AI$132,$T429),INDEX('Lớp 3 - Công việc chính'!$AF$14:$AF$73,$T429))))</f>
        <v>#REF!</v>
      </c>
      <c r="AC429" s="702" t="str">
        <f t="array" ref="AC429">IF($S429="","",IF($S429="Lớp 5",INDEX('Lớp 5 - Phân công'!$AV$14:$AV$262,$T429),IF($S429="Lớp 4",INDEX('Lớp 4 - Danh mục'!$AU$14:$AU$132,$T429),INDEX('Lớp 3 - Công việc chính'!$AR$14:$AR$73,$T429))))</f>
        <v>#REF!</v>
      </c>
    </row>
    <row r="430" ht="15.75" customHeight="1">
      <c r="A430" s="690" t="str">
        <f t="shared" si="1"/>
        <v>#REF!</v>
      </c>
      <c r="B430" s="690" t="str">
        <f t="array" ref="B430">IF($S430="","",IF($S430="Lớp 5",INDEX('Lớp 5 - Phân công'!$I$14:$I$262,$T430),IF($S430="Lớp 4",INDEX('Lớp 4 - Danh mục'!$I$14:$I$132,$T430),INDEX('Lớp 3 - Công việc chính'!$I$14:$I$73,$T430))))</f>
        <v>#REF!</v>
      </c>
      <c r="C430" s="690" t="str">
        <f t="array" ref="C430">IF($S430="","",IF($S430="Lớp 5",INDEX('Lớp 5 - Phân công'!$K$14:$K$262,$T430),IF($S430="Lớp 4",INDEX('Lớp 4 - Danh mục'!$J$14:$J$132,$T430),INDEX('Lớp 3 - Công việc chính'!$I$14:$I$73,$T430))))</f>
        <v>#REF!</v>
      </c>
      <c r="D430" s="690" t="str">
        <f t="array" ref="D430">IF($S430="","",IF($S430="Lớp 5",INDEX('Lớp 5 - Phân công'!$J$14:$J$262,$T430),IF($S430="Lớp 4",INDEX('Lớp 4 - Danh mục'!$I$14:$I$132,$T430),"")))</f>
        <v>#REF!</v>
      </c>
      <c r="E430" s="690" t="str">
        <f t="array" ref="E430">IF($S430="","",IF($S430="Lớp 5",INDEX('Lớp 5 - Phân công'!$L$14:$L$262,$T430),IF($S430="Lớp 4",INDEX('Lớp 4 - Danh mục'!$K$14:$K$132,$T430),INDEX('Lớp 3 - Công việc chính'!$J$14:$J$73,$T430))))</f>
        <v>#REF!</v>
      </c>
      <c r="F430" s="690" t="str">
        <f t="array" ref="F430">IF($S430="","",IF($S430="Lớp 5",INDEX('Lớp 5 - Phân công'!$M$14:$M$262,$T430),IF($S430="Lớp 4",INDEX('Lớp 4 - Danh mục'!$L$14:$L$132,$T430),INDEX('Lớp 3 - Công việc chính'!$K$14:$K$73,$T430))))</f>
        <v>#REF!</v>
      </c>
      <c r="G430" s="691" t="str">
        <f t="array" ref="G430">IF($S430="","",IF($S430="Lớp 5",INDEX('Lớp 5 - Phân công'!$N$14:$N$262,$T430),IF($S430="Lớp 4",INDEX('Lớp 4 - Danh mục'!$M$14:$M$132,$T430),INDEX('Lớp 3 - Công việc chính'!$L$14:$L$73,$T430))))</f>
        <v>#REF!</v>
      </c>
      <c r="H430" s="692" t="str">
        <f t="array" ref="H430">IF($S430="","",IF($S430="Lớp 5",INDEX('Lớp 5 - Phân công'!$O$14:$O$262,$T430),IF($S430="Lớp 4",INDEX('Lớp 4 - Danh mục'!$N$14:$N$132,$T430),INDEX('Lớp 3 - Công việc chính'!$M$14:$M$73,$T430))))</f>
        <v>#REF!</v>
      </c>
      <c r="I430" s="692" t="str">
        <f t="array" ref="I430">IF($S430="","",IF($S430="Lớp 5",INDEX('Lớp 5 - Phân công'!$P$14:$P$262,$T430),IF($S430="Lớp 4",INDEX('Lớp 4 - Danh mục'!$O$14:$O$132,$T430),"")))</f>
        <v>#REF!</v>
      </c>
      <c r="J430" s="693" t="str">
        <f t="array" ref="J430">IF($S430="","",IF($S430="Lớp 5",INDEX('Lớp 5 - Phân công'!$Q$14:$Q$262,$T430),""))</f>
        <v>#REF!</v>
      </c>
      <c r="K430" s="690" t="str">
        <f t="array" ref="K430">IF($S430="","",IF($S430="Lớp 5",INDEX('Lớp 5 - Phân công'!$AA$14:$AA$262,$T430),IF($S430="Lớp 4",INDEX('Lớp 4 - Danh mục'!$Y$14:$Y$132,$T430),INDEX('Lớp 3 - Công việc chính'!$U$14:$U$73,$T430))))</f>
        <v>#REF!</v>
      </c>
      <c r="L430" s="691" t="str">
        <f t="array" ref="L430">IF($S430="","",IF($S430="Lớp 5",INDEX('Lớp 5 - Phân công'!$Z$14:$Z$262,$T430),IF($S430="Lớp 4",INDEX('Lớp 4 - Danh mục'!$X$14:$X$132,$T430),INDEX('Lớp 3 - Công việc chính'!$W$14:$W$73,$T430))))</f>
        <v>#REF!</v>
      </c>
      <c r="M430" s="694" t="str">
        <f t="array" ref="M430">IF($S430="","",IF($S430="Lớp 5",INDEX('Lớp 5 - Phân công'!$AD$14:$AD$262,$T430),IF($S430="Lớp 4",INDEX('Lớp 4 - Danh mục'!$AC$14:$AC$132,$T430),INDEX('Lớp 3 - Công việc chính'!$Z$14:$Z$73,$T430))))</f>
        <v>#REF!</v>
      </c>
      <c r="N430" s="695" t="str">
        <f t="array" ref="N430">IF($S430="","",IF($S430="Lớp 5",INDEX('Lớp 5 - Phân công'!$AE$14:$AE$262,$T430),IF($S430="Lớp 4",INDEX('Lớp 4 - Danh mục'!$AD$14:$AD$132,$T430),INDEX('Lớp 3 - Công việc chính'!$AA$14:$AA$73,$T430))))</f>
        <v>#REF!</v>
      </c>
      <c r="O430" s="690" t="str">
        <f t="array" ref="O430">IF($S430="","",IF($S430="Lớp 5",INDEX('Lớp 5 - Phân công'!$AB$14:$AB$262,$T430),IF($S430="Lớp 4",INDEX('Lớp 4 - Danh mục'!$AA$14:$AA$132,$T430),INDEX('Lớp 3 - Công việc chính'!$X$14:$X$73,$T430))))</f>
        <v>#REF!</v>
      </c>
      <c r="P430" s="703" t="str">
        <f t="array" ref="P430">IF($S430="","",IF($S430="Lớp 5",INDEX('Lớp 5 - Phân công'!$AC$14:$AC$262,$T430),IF($S430="Lớp 4",INDEX('Lớp 4 - Danh mục'!$AB$14:$AB$132,$T430),INDEX('Lớp 3 - Công việc chính'!$Y$14:$Y$73,$T430))))</f>
        <v>#REF!</v>
      </c>
      <c r="Q430" s="697" t="str">
        <f t="array" ref="Q430">IF($S430="","",IF($S430="Lớp 5",INDEX('Lớp 5 - Phân công'!$AG$14:$AG$262,$T430),IF($S430="Lớp 4",INDEX('Lớp 4 - Danh mục'!$AF$14:$AF$132,$T430),INDEX('Lớp 3 - Công việc chính'!$AC$14:$AC$73,$T430))))</f>
        <v>#REF!</v>
      </c>
      <c r="R430" s="698" t="str">
        <f t="array" ref="R430">IF($S430="","",IF($S430="Lớp 5",INDEX('Lớp 5 - Phân công'!$X$14:$X$262,$T430),IF($S430="Lớp 4",INDEX('Lớp 4 - Danh mục'!$V$14:$V$132,$T430),INDEX('Lớp 3 - Công việc chính'!$T$14:$T$73,$T430))))</f>
        <v>#REF!</v>
      </c>
      <c r="S430" s="699" t="str">
        <f>IF(ROWS($S$14:S430)&lt;=COUNTIF('Lớp 5 - Phân công'!$I$14:$I$262,"&lt;&gt;"),"Lớp 5",IF(ROWS($S$14:S430)&lt;=COUNTIF('Lớp 5 - Phân công'!$I$14:$I$262,"&lt;&gt;")+SUMPRODUCT(--('Lớp 4 - Danh mục'!$I$14:$I$132&lt;&gt;""),--(COUNTIF('Lớp 5 - Phân công'!$J$14:$J$262,'Lớp 4 - Danh mục'!$I$14:$I$132)=0)),"Lớp 4",IF(ROWS($S$14:S430)&lt;=COUNTIF('Lớp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0" s="699" t="str">
        <f t="array" ref="T430">IF(S430="","",IF(S430="Lớp 5",IF(S429&lt;&gt;"Lớp 5",MATCH("*",'Lớp 5 - Phân công'!$I$14:$I$262,0),T429+MATCH("*",INDEX('Lớp 5 - Phân công'!$I$14:$I$262,T429+1):'Lớp 5 - Phân công'!$I$262,0)),IF(S430="Lớp 4",IF(S429&lt;&gt;"Lớp 4",MATCH(1,INDEX(('Lớp 4 - Danh mục'!$I$14:$I$132&lt;&gt;"")*(COUNTIF('Lớp 5 - Phân công'!$J$14:$J$262,'Lớp 4 - Danh mục'!$I$14:$I$132)=0),0),0),T429+MATCH(1,INDEX((INDEX('Lớp 4 - Danh mục'!$I$14:$I$132,T429+1):'Lớp 4 - Danh mục'!$I$132&lt;&gt;"")*(COUNTIF('Lớp 5 - Phân công'!$J$14:$J$262,INDEX('Lớp 4 - Danh mục'!$I$14:$I$132,T429+1):'Lớp 4 - Danh mục'!$I$132)=0),0),0)),IF(S429&lt;&gt;"Lớp 3",MATCH(1,INDEX(('Lớp 3 - Công việc chính'!$I$14:$I$73&lt;&gt;"")*(COUNTIF('Lớp 4 - Danh mục'!$J$14:$J$132,'Lớp 3 - Công việc chính'!$I$14:$I$73)=0),0),0),T429+MATCH(1,INDEX((INDEX('Lớp 3 - Công việc chính'!$I$14:$I$73,T429+1):'Lớp 3 - Công việc chính'!$I$73&lt;&gt;"")*(COUNTIF('Lớp 4 - Danh mục'!$J$14:$J$132,INDEX('Lớp 3 - Công việc chính'!$I$14:$I$73,T429+1):'Lớp 3 - Công việc chính'!$I$73)=0),0),0)))))</f>
        <v>#REF!</v>
      </c>
      <c r="Z430" s="700" t="str">
        <f t="array" ref="Z430">IF($S430="","",IF($S430="Lớp 5",INDEX('Lớp 5 - Phân công'!$AS$14:$AS$262,$T430),IF($S430="Lớp 4",INDEX('Lớp 4 - Danh mục'!$AR$14:$AR$132,$T430),INDEX('Lớp 3 - Công việc chính'!$AO$14:$AO$73,$T430))))</f>
        <v>#REF!</v>
      </c>
      <c r="AA430" s="701" t="str">
        <f t="array" ref="AA430">IF($S430="","",IF($S430="Lớp 5",INDEX('Lớp 5 - Phân công'!$AT$14:$AT$262,$T430),IF($S430="Lớp 4",INDEX('Lớp 4 - Danh mục'!$AS$14:$AS$132,$T430),INDEX('Lớp 3 - Công việc chính'!$AP$14:$AP$73,$T430))))</f>
        <v>#REF!</v>
      </c>
      <c r="AB430" s="701" t="str">
        <f t="array" ref="AB430">IF($S430="","",IF($S430="Lớp 5",INDEX('Lớp 5 - Phân công'!$AJ$14:$AJ$262,$T430),IF($S430="Lớp 4",INDEX('Lớp 4 - Danh mục'!$AI$14:$AI$132,$T430),INDEX('Lớp 3 - Công việc chính'!$AF$14:$AF$73,$T430))))</f>
        <v>#REF!</v>
      </c>
      <c r="AC430" s="702" t="str">
        <f t="array" ref="AC430">IF($S430="","",IF($S430="Lớp 5",INDEX('Lớp 5 - Phân công'!$AV$14:$AV$262,$T430),IF($S430="Lớp 4",INDEX('Lớp 4 - Danh mục'!$AU$14:$AU$132,$T430),INDEX('Lớp 3 - Công việc chính'!$AR$14:$AR$73,$T430))))</f>
        <v>#REF!</v>
      </c>
    </row>
    <row r="431" ht="15.75" customHeight="1">
      <c r="A431" s="690" t="str">
        <f t="shared" si="1"/>
        <v>#REF!</v>
      </c>
      <c r="B431" s="690" t="str">
        <f t="array" ref="B431">IF($S431="","",IF($S431="Lớp 5",INDEX('Lớp 5 - Phân công'!$I$14:$I$262,$T431),IF($S431="Lớp 4",INDEX('Lớp 4 - Danh mục'!$I$14:$I$132,$T431),INDEX('Lớp 3 - Công việc chính'!$I$14:$I$73,$T431))))</f>
        <v>#REF!</v>
      </c>
      <c r="C431" s="690" t="str">
        <f t="array" ref="C431">IF($S431="","",IF($S431="Lớp 5",INDEX('Lớp 5 - Phân công'!$K$14:$K$262,$T431),IF($S431="Lớp 4",INDEX('Lớp 4 - Danh mục'!$J$14:$J$132,$T431),INDEX('Lớp 3 - Công việc chính'!$I$14:$I$73,$T431))))</f>
        <v>#REF!</v>
      </c>
      <c r="D431" s="690" t="str">
        <f t="array" ref="D431">IF($S431="","",IF($S431="Lớp 5",INDEX('Lớp 5 - Phân công'!$J$14:$J$262,$T431),IF($S431="Lớp 4",INDEX('Lớp 4 - Danh mục'!$I$14:$I$132,$T431),"")))</f>
        <v>#REF!</v>
      </c>
      <c r="E431" s="690" t="str">
        <f t="array" ref="E431">IF($S431="","",IF($S431="Lớp 5",INDEX('Lớp 5 - Phân công'!$L$14:$L$262,$T431),IF($S431="Lớp 4",INDEX('Lớp 4 - Danh mục'!$K$14:$K$132,$T431),INDEX('Lớp 3 - Công việc chính'!$J$14:$J$73,$T431))))</f>
        <v>#REF!</v>
      </c>
      <c r="F431" s="690" t="str">
        <f t="array" ref="F431">IF($S431="","",IF($S431="Lớp 5",INDEX('Lớp 5 - Phân công'!$M$14:$M$262,$T431),IF($S431="Lớp 4",INDEX('Lớp 4 - Danh mục'!$L$14:$L$132,$T431),INDEX('Lớp 3 - Công việc chính'!$K$14:$K$73,$T431))))</f>
        <v>#REF!</v>
      </c>
      <c r="G431" s="691" t="str">
        <f t="array" ref="G431">IF($S431="","",IF($S431="Lớp 5",INDEX('Lớp 5 - Phân công'!$N$14:$N$262,$T431),IF($S431="Lớp 4",INDEX('Lớp 4 - Danh mục'!$M$14:$M$132,$T431),INDEX('Lớp 3 - Công việc chính'!$L$14:$L$73,$T431))))</f>
        <v>#REF!</v>
      </c>
      <c r="H431" s="692" t="str">
        <f t="array" ref="H431">IF($S431="","",IF($S431="Lớp 5",INDEX('Lớp 5 - Phân công'!$O$14:$O$262,$T431),IF($S431="Lớp 4",INDEX('Lớp 4 - Danh mục'!$N$14:$N$132,$T431),INDEX('Lớp 3 - Công việc chính'!$M$14:$M$73,$T431))))</f>
        <v>#REF!</v>
      </c>
      <c r="I431" s="692" t="str">
        <f t="array" ref="I431">IF($S431="","",IF($S431="Lớp 5",INDEX('Lớp 5 - Phân công'!$P$14:$P$262,$T431),IF($S431="Lớp 4",INDEX('Lớp 4 - Danh mục'!$O$14:$O$132,$T431),"")))</f>
        <v>#REF!</v>
      </c>
      <c r="J431" s="693" t="str">
        <f t="array" ref="J431">IF($S431="","",IF($S431="Lớp 5",INDEX('Lớp 5 - Phân công'!$Q$14:$Q$262,$T431),""))</f>
        <v>#REF!</v>
      </c>
      <c r="K431" s="690" t="str">
        <f t="array" ref="K431">IF($S431="","",IF($S431="Lớp 5",INDEX('Lớp 5 - Phân công'!$AA$14:$AA$262,$T431),IF($S431="Lớp 4",INDEX('Lớp 4 - Danh mục'!$Y$14:$Y$132,$T431),INDEX('Lớp 3 - Công việc chính'!$U$14:$U$73,$T431))))</f>
        <v>#REF!</v>
      </c>
      <c r="L431" s="691" t="str">
        <f t="array" ref="L431">IF($S431="","",IF($S431="Lớp 5",INDEX('Lớp 5 - Phân công'!$Z$14:$Z$262,$T431),IF($S431="Lớp 4",INDEX('Lớp 4 - Danh mục'!$X$14:$X$132,$T431),INDEX('Lớp 3 - Công việc chính'!$W$14:$W$73,$T431))))</f>
        <v>#REF!</v>
      </c>
      <c r="M431" s="694" t="str">
        <f t="array" ref="M431">IF($S431="","",IF($S431="Lớp 5",INDEX('Lớp 5 - Phân công'!$AD$14:$AD$262,$T431),IF($S431="Lớp 4",INDEX('Lớp 4 - Danh mục'!$AC$14:$AC$132,$T431),INDEX('Lớp 3 - Công việc chính'!$Z$14:$Z$73,$T431))))</f>
        <v>#REF!</v>
      </c>
      <c r="N431" s="695" t="str">
        <f t="array" ref="N431">IF($S431="","",IF($S431="Lớp 5",INDEX('Lớp 5 - Phân công'!$AE$14:$AE$262,$T431),IF($S431="Lớp 4",INDEX('Lớp 4 - Danh mục'!$AD$14:$AD$132,$T431),INDEX('Lớp 3 - Công việc chính'!$AA$14:$AA$73,$T431))))</f>
        <v>#REF!</v>
      </c>
      <c r="O431" s="690" t="str">
        <f t="array" ref="O431">IF($S431="","",IF($S431="Lớp 5",INDEX('Lớp 5 - Phân công'!$AB$14:$AB$262,$T431),IF($S431="Lớp 4",INDEX('Lớp 4 - Danh mục'!$AA$14:$AA$132,$T431),INDEX('Lớp 3 - Công việc chính'!$X$14:$X$73,$T431))))</f>
        <v>#REF!</v>
      </c>
      <c r="P431" s="703" t="str">
        <f t="array" ref="P431">IF($S431="","",IF($S431="Lớp 5",INDEX('Lớp 5 - Phân công'!$AC$14:$AC$262,$T431),IF($S431="Lớp 4",INDEX('Lớp 4 - Danh mục'!$AB$14:$AB$132,$T431),INDEX('Lớp 3 - Công việc chính'!$Y$14:$Y$73,$T431))))</f>
        <v>#REF!</v>
      </c>
      <c r="Q431" s="697" t="str">
        <f t="array" ref="Q431">IF($S431="","",IF($S431="Lớp 5",INDEX('Lớp 5 - Phân công'!$AG$14:$AG$262,$T431),IF($S431="Lớp 4",INDEX('Lớp 4 - Danh mục'!$AF$14:$AF$132,$T431),INDEX('Lớp 3 - Công việc chính'!$AC$14:$AC$73,$T431))))</f>
        <v>#REF!</v>
      </c>
      <c r="R431" s="698" t="str">
        <f t="array" ref="R431">IF($S431="","",IF($S431="Lớp 5",INDEX('Lớp 5 - Phân công'!$X$14:$X$262,$T431),IF($S431="Lớp 4",INDEX('Lớp 4 - Danh mục'!$V$14:$V$132,$T431),INDEX('Lớp 3 - Công việc chính'!$T$14:$T$73,$T431))))</f>
        <v>#REF!</v>
      </c>
      <c r="S431" s="699" t="str">
        <f>IF(ROWS($S$14:S431)&lt;=COUNTIF('Lớp 5 - Phân công'!$I$14:$I$262,"&lt;&gt;"),"Lớp 5",IF(ROWS($S$14:S431)&lt;=COUNTIF('Lớp 5 - Phân công'!$I$14:$I$262,"&lt;&gt;")+SUMPRODUCT(--('Lớp 4 - Danh mục'!$I$14:$I$132&lt;&gt;""),--(COUNTIF('Lớp 5 - Phân công'!$J$14:$J$262,'Lớp 4 - Danh mục'!$I$14:$I$132)=0)),"Lớp 4",IF(ROWS($S$14:S431)&lt;=COUNTIF('Lớp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1" s="699" t="str">
        <f t="array" ref="T431">IF(S431="","",IF(S431="Lớp 5",IF(S430&lt;&gt;"Lớp 5",MATCH("*",'Lớp 5 - Phân công'!$I$14:$I$262,0),T430+MATCH("*",INDEX('Lớp 5 - Phân công'!$I$14:$I$262,T430+1):'Lớp 5 - Phân công'!$I$262,0)),IF(S431="Lớp 4",IF(S430&lt;&gt;"Lớp 4",MATCH(1,INDEX(('Lớp 4 - Danh mục'!$I$14:$I$132&lt;&gt;"")*(COUNTIF('Lớp 5 - Phân công'!$J$14:$J$262,'Lớp 4 - Danh mục'!$I$14:$I$132)=0),0),0),T430+MATCH(1,INDEX((INDEX('Lớp 4 - Danh mục'!$I$14:$I$132,T430+1):'Lớp 4 - Danh mục'!$I$132&lt;&gt;"")*(COUNTIF('Lớp 5 - Phân công'!$J$14:$J$262,INDEX('Lớp 4 - Danh mục'!$I$14:$I$132,T430+1):'Lớp 4 - Danh mục'!$I$132)=0),0),0)),IF(S430&lt;&gt;"Lớp 3",MATCH(1,INDEX(('Lớp 3 - Công việc chính'!$I$14:$I$73&lt;&gt;"")*(COUNTIF('Lớp 4 - Danh mục'!$J$14:$J$132,'Lớp 3 - Công việc chính'!$I$14:$I$73)=0),0),0),T430+MATCH(1,INDEX((INDEX('Lớp 3 - Công việc chính'!$I$14:$I$73,T430+1):'Lớp 3 - Công việc chính'!$I$73&lt;&gt;"")*(COUNTIF('Lớp 4 - Danh mục'!$J$14:$J$132,INDEX('Lớp 3 - Công việc chính'!$I$14:$I$73,T430+1):'Lớp 3 - Công việc chính'!$I$73)=0),0),0)))))</f>
        <v>#REF!</v>
      </c>
      <c r="Z431" s="700" t="str">
        <f t="array" ref="Z431">IF($S431="","",IF($S431="Lớp 5",INDEX('Lớp 5 - Phân công'!$AS$14:$AS$262,$T431),IF($S431="Lớp 4",INDEX('Lớp 4 - Danh mục'!$AR$14:$AR$132,$T431),INDEX('Lớp 3 - Công việc chính'!$AO$14:$AO$73,$T431))))</f>
        <v>#REF!</v>
      </c>
      <c r="AA431" s="701" t="str">
        <f t="array" ref="AA431">IF($S431="","",IF($S431="Lớp 5",INDEX('Lớp 5 - Phân công'!$AT$14:$AT$262,$T431),IF($S431="Lớp 4",INDEX('Lớp 4 - Danh mục'!$AS$14:$AS$132,$T431),INDEX('Lớp 3 - Công việc chính'!$AP$14:$AP$73,$T431))))</f>
        <v>#REF!</v>
      </c>
      <c r="AB431" s="701" t="str">
        <f t="array" ref="AB431">IF($S431="","",IF($S431="Lớp 5",INDEX('Lớp 5 - Phân công'!$AJ$14:$AJ$262,$T431),IF($S431="Lớp 4",INDEX('Lớp 4 - Danh mục'!$AI$14:$AI$132,$T431),INDEX('Lớp 3 - Công việc chính'!$AF$14:$AF$73,$T431))))</f>
        <v>#REF!</v>
      </c>
      <c r="AC431" s="702" t="str">
        <f t="array" ref="AC431">IF($S431="","",IF($S431="Lớp 5",INDEX('Lớp 5 - Phân công'!$AV$14:$AV$262,$T431),IF($S431="Lớp 4",INDEX('Lớp 4 - Danh mục'!$AU$14:$AU$132,$T431),INDEX('Lớp 3 - Công việc chính'!$AR$14:$AR$73,$T431))))</f>
        <v>#REF!</v>
      </c>
    </row>
    <row r="432" ht="15.75" customHeight="1">
      <c r="A432" s="690" t="str">
        <f t="shared" si="1"/>
        <v>#REF!</v>
      </c>
      <c r="B432" s="690" t="str">
        <f t="array" ref="B432">IF($S432="","",IF($S432="Lớp 5",INDEX('Lớp 5 - Phân công'!$I$14:$I$262,$T432),IF($S432="Lớp 4",INDEX('Lớp 4 - Danh mục'!$I$14:$I$132,$T432),INDEX('Lớp 3 - Công việc chính'!$I$14:$I$73,$T432))))</f>
        <v>#REF!</v>
      </c>
      <c r="C432" s="690" t="str">
        <f t="array" ref="C432">IF($S432="","",IF($S432="Lớp 5",INDEX('Lớp 5 - Phân công'!$K$14:$K$262,$T432),IF($S432="Lớp 4",INDEX('Lớp 4 - Danh mục'!$J$14:$J$132,$T432),INDEX('Lớp 3 - Công việc chính'!$I$14:$I$73,$T432))))</f>
        <v>#REF!</v>
      </c>
      <c r="D432" s="690" t="str">
        <f t="array" ref="D432">IF($S432="","",IF($S432="Lớp 5",INDEX('Lớp 5 - Phân công'!$J$14:$J$262,$T432),IF($S432="Lớp 4",INDEX('Lớp 4 - Danh mục'!$I$14:$I$132,$T432),"")))</f>
        <v>#REF!</v>
      </c>
      <c r="E432" s="690" t="str">
        <f t="array" ref="E432">IF($S432="","",IF($S432="Lớp 5",INDEX('Lớp 5 - Phân công'!$L$14:$L$262,$T432),IF($S432="Lớp 4",INDEX('Lớp 4 - Danh mục'!$K$14:$K$132,$T432),INDEX('Lớp 3 - Công việc chính'!$J$14:$J$73,$T432))))</f>
        <v>#REF!</v>
      </c>
      <c r="F432" s="690" t="str">
        <f t="array" ref="F432">IF($S432="","",IF($S432="Lớp 5",INDEX('Lớp 5 - Phân công'!$M$14:$M$262,$T432),IF($S432="Lớp 4",INDEX('Lớp 4 - Danh mục'!$L$14:$L$132,$T432),INDEX('Lớp 3 - Công việc chính'!$K$14:$K$73,$T432))))</f>
        <v>#REF!</v>
      </c>
      <c r="G432" s="691" t="str">
        <f t="array" ref="G432">IF($S432="","",IF($S432="Lớp 5",INDEX('Lớp 5 - Phân công'!$N$14:$N$262,$T432),IF($S432="Lớp 4",INDEX('Lớp 4 - Danh mục'!$M$14:$M$132,$T432),INDEX('Lớp 3 - Công việc chính'!$L$14:$L$73,$T432))))</f>
        <v>#REF!</v>
      </c>
      <c r="H432" s="692" t="str">
        <f t="array" ref="H432">IF($S432="","",IF($S432="Lớp 5",INDEX('Lớp 5 - Phân công'!$O$14:$O$262,$T432),IF($S432="Lớp 4",INDEX('Lớp 4 - Danh mục'!$N$14:$N$132,$T432),INDEX('Lớp 3 - Công việc chính'!$M$14:$M$73,$T432))))</f>
        <v>#REF!</v>
      </c>
      <c r="I432" s="692" t="str">
        <f t="array" ref="I432">IF($S432="","",IF($S432="Lớp 5",INDEX('Lớp 5 - Phân công'!$P$14:$P$262,$T432),IF($S432="Lớp 4",INDEX('Lớp 4 - Danh mục'!$O$14:$O$132,$T432),"")))</f>
        <v>#REF!</v>
      </c>
      <c r="J432" s="693" t="str">
        <f t="array" ref="J432">IF($S432="","",IF($S432="Lớp 5",INDEX('Lớp 5 - Phân công'!$Q$14:$Q$262,$T432),""))</f>
        <v>#REF!</v>
      </c>
      <c r="K432" s="690" t="str">
        <f t="array" ref="K432">IF($S432="","",IF($S432="Lớp 5",INDEX('Lớp 5 - Phân công'!$AA$14:$AA$262,$T432),IF($S432="Lớp 4",INDEX('Lớp 4 - Danh mục'!$Y$14:$Y$132,$T432),INDEX('Lớp 3 - Công việc chính'!$U$14:$U$73,$T432))))</f>
        <v>#REF!</v>
      </c>
      <c r="L432" s="691" t="str">
        <f t="array" ref="L432">IF($S432="","",IF($S432="Lớp 5",INDEX('Lớp 5 - Phân công'!$Z$14:$Z$262,$T432),IF($S432="Lớp 4",INDEX('Lớp 4 - Danh mục'!$X$14:$X$132,$T432),INDEX('Lớp 3 - Công việc chính'!$W$14:$W$73,$T432))))</f>
        <v>#REF!</v>
      </c>
      <c r="M432" s="694" t="str">
        <f t="array" ref="M432">IF($S432="","",IF($S432="Lớp 5",INDEX('Lớp 5 - Phân công'!$AD$14:$AD$262,$T432),IF($S432="Lớp 4",INDEX('Lớp 4 - Danh mục'!$AC$14:$AC$132,$T432),INDEX('Lớp 3 - Công việc chính'!$Z$14:$Z$73,$T432))))</f>
        <v>#REF!</v>
      </c>
      <c r="N432" s="695" t="str">
        <f t="array" ref="N432">IF($S432="","",IF($S432="Lớp 5",INDEX('Lớp 5 - Phân công'!$AE$14:$AE$262,$T432),IF($S432="Lớp 4",INDEX('Lớp 4 - Danh mục'!$AD$14:$AD$132,$T432),INDEX('Lớp 3 - Công việc chính'!$AA$14:$AA$73,$T432))))</f>
        <v>#REF!</v>
      </c>
      <c r="O432" s="690" t="str">
        <f t="array" ref="O432">IF($S432="","",IF($S432="Lớp 5",INDEX('Lớp 5 - Phân công'!$AB$14:$AB$262,$T432),IF($S432="Lớp 4",INDEX('Lớp 4 - Danh mục'!$AA$14:$AA$132,$T432),INDEX('Lớp 3 - Công việc chính'!$X$14:$X$73,$T432))))</f>
        <v>#REF!</v>
      </c>
      <c r="P432" s="703" t="str">
        <f t="array" ref="P432">IF($S432="","",IF($S432="Lớp 5",INDEX('Lớp 5 - Phân công'!$AC$14:$AC$262,$T432),IF($S432="Lớp 4",INDEX('Lớp 4 - Danh mục'!$AB$14:$AB$132,$T432),INDEX('Lớp 3 - Công việc chính'!$Y$14:$Y$73,$T432))))</f>
        <v>#REF!</v>
      </c>
      <c r="Q432" s="697" t="str">
        <f t="array" ref="Q432">IF($S432="","",IF($S432="Lớp 5",INDEX('Lớp 5 - Phân công'!$AG$14:$AG$262,$T432),IF($S432="Lớp 4",INDEX('Lớp 4 - Danh mục'!$AF$14:$AF$132,$T432),INDEX('Lớp 3 - Công việc chính'!$AC$14:$AC$73,$T432))))</f>
        <v>#REF!</v>
      </c>
      <c r="R432" s="698" t="str">
        <f t="array" ref="R432">IF($S432="","",IF($S432="Lớp 5",INDEX('Lớp 5 - Phân công'!$X$14:$X$262,$T432),IF($S432="Lớp 4",INDEX('Lớp 4 - Danh mục'!$V$14:$V$132,$T432),INDEX('Lớp 3 - Công việc chính'!$T$14:$T$73,$T432))))</f>
        <v>#REF!</v>
      </c>
      <c r="S432" s="699" t="str">
        <f>IF(ROWS($S$14:S432)&lt;=COUNTIF('Lớp 5 - Phân công'!$I$14:$I$262,"&lt;&gt;"),"Lớp 5",IF(ROWS($S$14:S432)&lt;=COUNTIF('Lớp 5 - Phân công'!$I$14:$I$262,"&lt;&gt;")+SUMPRODUCT(--('Lớp 4 - Danh mục'!$I$14:$I$132&lt;&gt;""),--(COUNTIF('Lớp 5 - Phân công'!$J$14:$J$262,'Lớp 4 - Danh mục'!$I$14:$I$132)=0)),"Lớp 4",IF(ROWS($S$14:S432)&lt;=COUNTIF('Lớp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2" s="699" t="str">
        <f t="array" ref="T432">IF(S432="","",IF(S432="Lớp 5",IF(S431&lt;&gt;"Lớp 5",MATCH("*",'Lớp 5 - Phân công'!$I$14:$I$262,0),T431+MATCH("*",INDEX('Lớp 5 - Phân công'!$I$14:$I$262,T431+1):'Lớp 5 - Phân công'!$I$262,0)),IF(S432="Lớp 4",IF(S431&lt;&gt;"Lớp 4",MATCH(1,INDEX(('Lớp 4 - Danh mục'!$I$14:$I$132&lt;&gt;"")*(COUNTIF('Lớp 5 - Phân công'!$J$14:$J$262,'Lớp 4 - Danh mục'!$I$14:$I$132)=0),0),0),T431+MATCH(1,INDEX((INDEX('Lớp 4 - Danh mục'!$I$14:$I$132,T431+1):'Lớp 4 - Danh mục'!$I$132&lt;&gt;"")*(COUNTIF('Lớp 5 - Phân công'!$J$14:$J$262,INDEX('Lớp 4 - Danh mục'!$I$14:$I$132,T431+1):'Lớp 4 - Danh mục'!$I$132)=0),0),0)),IF(S431&lt;&gt;"Lớp 3",MATCH(1,INDEX(('Lớp 3 - Công việc chính'!$I$14:$I$73&lt;&gt;"")*(COUNTIF('Lớp 4 - Danh mục'!$J$14:$J$132,'Lớp 3 - Công việc chính'!$I$14:$I$73)=0),0),0),T431+MATCH(1,INDEX((INDEX('Lớp 3 - Công việc chính'!$I$14:$I$73,T431+1):'Lớp 3 - Công việc chính'!$I$73&lt;&gt;"")*(COUNTIF('Lớp 4 - Danh mục'!$J$14:$J$132,INDEX('Lớp 3 - Công việc chính'!$I$14:$I$73,T431+1):'Lớp 3 - Công việc chính'!$I$73)=0),0),0)))))</f>
        <v>#REF!</v>
      </c>
      <c r="Z432" s="700" t="str">
        <f t="array" ref="Z432">IF($S432="","",IF($S432="Lớp 5",INDEX('Lớp 5 - Phân công'!$AS$14:$AS$262,$T432),IF($S432="Lớp 4",INDEX('Lớp 4 - Danh mục'!$AR$14:$AR$132,$T432),INDEX('Lớp 3 - Công việc chính'!$AO$14:$AO$73,$T432))))</f>
        <v>#REF!</v>
      </c>
      <c r="AA432" s="701" t="str">
        <f t="array" ref="AA432">IF($S432="","",IF($S432="Lớp 5",INDEX('Lớp 5 - Phân công'!$AT$14:$AT$262,$T432),IF($S432="Lớp 4",INDEX('Lớp 4 - Danh mục'!$AS$14:$AS$132,$T432),INDEX('Lớp 3 - Công việc chính'!$AP$14:$AP$73,$T432))))</f>
        <v>#REF!</v>
      </c>
      <c r="AB432" s="701" t="str">
        <f t="array" ref="AB432">IF($S432="","",IF($S432="Lớp 5",INDEX('Lớp 5 - Phân công'!$AJ$14:$AJ$262,$T432),IF($S432="Lớp 4",INDEX('Lớp 4 - Danh mục'!$AI$14:$AI$132,$T432),INDEX('Lớp 3 - Công việc chính'!$AF$14:$AF$73,$T432))))</f>
        <v>#REF!</v>
      </c>
      <c r="AC432" s="702" t="str">
        <f t="array" ref="AC432">IF($S432="","",IF($S432="Lớp 5",INDEX('Lớp 5 - Phân công'!$AV$14:$AV$262,$T432),IF($S432="Lớp 4",INDEX('Lớp 4 - Danh mục'!$AU$14:$AU$132,$T432),INDEX('Lớp 3 - Công việc chính'!$AR$14:$AR$73,$T432))))</f>
        <v>#REF!</v>
      </c>
    </row>
    <row r="433" ht="15.75" customHeight="1">
      <c r="A433" s="690" t="str">
        <f t="shared" si="1"/>
        <v>#REF!</v>
      </c>
      <c r="B433" s="690" t="str">
        <f t="array" ref="B433">IF($S433="","",IF($S433="Lớp 5",INDEX('Lớp 5 - Phân công'!$I$14:$I$262,$T433),IF($S433="Lớp 4",INDEX('Lớp 4 - Danh mục'!$I$14:$I$132,$T433),INDEX('Lớp 3 - Công việc chính'!$I$14:$I$73,$T433))))</f>
        <v>#REF!</v>
      </c>
      <c r="C433" s="690" t="str">
        <f t="array" ref="C433">IF($S433="","",IF($S433="Lớp 5",INDEX('Lớp 5 - Phân công'!$K$14:$K$262,$T433),IF($S433="Lớp 4",INDEX('Lớp 4 - Danh mục'!$J$14:$J$132,$T433),INDEX('Lớp 3 - Công việc chính'!$I$14:$I$73,$T433))))</f>
        <v>#REF!</v>
      </c>
      <c r="D433" s="690" t="str">
        <f t="array" ref="D433">IF($S433="","",IF($S433="Lớp 5",INDEX('Lớp 5 - Phân công'!$J$14:$J$262,$T433),IF($S433="Lớp 4",INDEX('Lớp 4 - Danh mục'!$I$14:$I$132,$T433),"")))</f>
        <v>#REF!</v>
      </c>
      <c r="E433" s="690" t="str">
        <f t="array" ref="E433">IF($S433="","",IF($S433="Lớp 5",INDEX('Lớp 5 - Phân công'!$L$14:$L$262,$T433),IF($S433="Lớp 4",INDEX('Lớp 4 - Danh mục'!$K$14:$K$132,$T433),INDEX('Lớp 3 - Công việc chính'!$J$14:$J$73,$T433))))</f>
        <v>#REF!</v>
      </c>
      <c r="F433" s="690" t="str">
        <f t="array" ref="F433">IF($S433="","",IF($S433="Lớp 5",INDEX('Lớp 5 - Phân công'!$M$14:$M$262,$T433),IF($S433="Lớp 4",INDEX('Lớp 4 - Danh mục'!$L$14:$L$132,$T433),INDEX('Lớp 3 - Công việc chính'!$K$14:$K$73,$T433))))</f>
        <v>#REF!</v>
      </c>
      <c r="G433" s="691" t="str">
        <f t="array" ref="G433">IF($S433="","",IF($S433="Lớp 5",INDEX('Lớp 5 - Phân công'!$N$14:$N$262,$T433),IF($S433="Lớp 4",INDEX('Lớp 4 - Danh mục'!$M$14:$M$132,$T433),INDEX('Lớp 3 - Công việc chính'!$L$14:$L$73,$T433))))</f>
        <v>#REF!</v>
      </c>
      <c r="H433" s="692" t="str">
        <f t="array" ref="H433">IF($S433="","",IF($S433="Lớp 5",INDEX('Lớp 5 - Phân công'!$O$14:$O$262,$T433),IF($S433="Lớp 4",INDEX('Lớp 4 - Danh mục'!$N$14:$N$132,$T433),INDEX('Lớp 3 - Công việc chính'!$M$14:$M$73,$T433))))</f>
        <v>#REF!</v>
      </c>
      <c r="I433" s="692" t="str">
        <f t="array" ref="I433">IF($S433="","",IF($S433="Lớp 5",INDEX('Lớp 5 - Phân công'!$P$14:$P$262,$T433),IF($S433="Lớp 4",INDEX('Lớp 4 - Danh mục'!$O$14:$O$132,$T433),"")))</f>
        <v>#REF!</v>
      </c>
      <c r="J433" s="693" t="str">
        <f t="array" ref="J433">IF($S433="","",IF($S433="Lớp 5",INDEX('Lớp 5 - Phân công'!$Q$14:$Q$262,$T433),""))</f>
        <v>#REF!</v>
      </c>
      <c r="K433" s="690" t="str">
        <f t="array" ref="K433">IF($S433="","",IF($S433="Lớp 5",INDEX('Lớp 5 - Phân công'!$AA$14:$AA$262,$T433),IF($S433="Lớp 4",INDEX('Lớp 4 - Danh mục'!$Y$14:$Y$132,$T433),INDEX('Lớp 3 - Công việc chính'!$U$14:$U$73,$T433))))</f>
        <v>#REF!</v>
      </c>
      <c r="L433" s="691" t="str">
        <f t="array" ref="L433">IF($S433="","",IF($S433="Lớp 5",INDEX('Lớp 5 - Phân công'!$Z$14:$Z$262,$T433),IF($S433="Lớp 4",INDEX('Lớp 4 - Danh mục'!$X$14:$X$132,$T433),INDEX('Lớp 3 - Công việc chính'!$W$14:$W$73,$T433))))</f>
        <v>#REF!</v>
      </c>
      <c r="M433" s="694" t="str">
        <f t="array" ref="M433">IF($S433="","",IF($S433="Lớp 5",INDEX('Lớp 5 - Phân công'!$AD$14:$AD$262,$T433),IF($S433="Lớp 4",INDEX('Lớp 4 - Danh mục'!$AC$14:$AC$132,$T433),INDEX('Lớp 3 - Công việc chính'!$Z$14:$Z$73,$T433))))</f>
        <v>#REF!</v>
      </c>
      <c r="N433" s="695" t="str">
        <f t="array" ref="N433">IF($S433="","",IF($S433="Lớp 5",INDEX('Lớp 5 - Phân công'!$AE$14:$AE$262,$T433),IF($S433="Lớp 4",INDEX('Lớp 4 - Danh mục'!$AD$14:$AD$132,$T433),INDEX('Lớp 3 - Công việc chính'!$AA$14:$AA$73,$T433))))</f>
        <v>#REF!</v>
      </c>
      <c r="O433" s="690" t="str">
        <f t="array" ref="O433">IF($S433="","",IF($S433="Lớp 5",INDEX('Lớp 5 - Phân công'!$AB$14:$AB$262,$T433),IF($S433="Lớp 4",INDEX('Lớp 4 - Danh mục'!$AA$14:$AA$132,$T433),INDEX('Lớp 3 - Công việc chính'!$X$14:$X$73,$T433))))</f>
        <v>#REF!</v>
      </c>
      <c r="P433" s="703" t="str">
        <f t="array" ref="P433">IF($S433="","",IF($S433="Lớp 5",INDEX('Lớp 5 - Phân công'!$AC$14:$AC$262,$T433),IF($S433="Lớp 4",INDEX('Lớp 4 - Danh mục'!$AB$14:$AB$132,$T433),INDEX('Lớp 3 - Công việc chính'!$Y$14:$Y$73,$T433))))</f>
        <v>#REF!</v>
      </c>
      <c r="Q433" s="697" t="str">
        <f t="array" ref="Q433">IF($S433="","",IF($S433="Lớp 5",INDEX('Lớp 5 - Phân công'!$AG$14:$AG$262,$T433),IF($S433="Lớp 4",INDEX('Lớp 4 - Danh mục'!$AF$14:$AF$132,$T433),INDEX('Lớp 3 - Công việc chính'!$AC$14:$AC$73,$T433))))</f>
        <v>#REF!</v>
      </c>
      <c r="R433" s="698" t="str">
        <f t="array" ref="R433">IF($S433="","",IF($S433="Lớp 5",INDEX('Lớp 5 - Phân công'!$X$14:$X$262,$T433),IF($S433="Lớp 4",INDEX('Lớp 4 - Danh mục'!$V$14:$V$132,$T433),INDEX('Lớp 3 - Công việc chính'!$T$14:$T$73,$T433))))</f>
        <v>#REF!</v>
      </c>
      <c r="S433" s="699" t="str">
        <f>IF(ROWS($S$14:S433)&lt;=COUNTIF('Lớp 5 - Phân công'!$I$14:$I$262,"&lt;&gt;"),"Lớp 5",IF(ROWS($S$14:S433)&lt;=COUNTIF('Lớp 5 - Phân công'!$I$14:$I$262,"&lt;&gt;")+SUMPRODUCT(--('Lớp 4 - Danh mục'!$I$14:$I$132&lt;&gt;""),--(COUNTIF('Lớp 5 - Phân công'!$J$14:$J$262,'Lớp 4 - Danh mục'!$I$14:$I$132)=0)),"Lớp 4",IF(ROWS($S$14:S433)&lt;=COUNTIF('Lớp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3" s="699" t="str">
        <f t="array" ref="T433">IF(S433="","",IF(S433="Lớp 5",IF(S432&lt;&gt;"Lớp 5",MATCH("*",'Lớp 5 - Phân công'!$I$14:$I$262,0),T432+MATCH("*",INDEX('Lớp 5 - Phân công'!$I$14:$I$262,T432+1):'Lớp 5 - Phân công'!$I$262,0)),IF(S433="Lớp 4",IF(S432&lt;&gt;"Lớp 4",MATCH(1,INDEX(('Lớp 4 - Danh mục'!$I$14:$I$132&lt;&gt;"")*(COUNTIF('Lớp 5 - Phân công'!$J$14:$J$262,'Lớp 4 - Danh mục'!$I$14:$I$132)=0),0),0),T432+MATCH(1,INDEX((INDEX('Lớp 4 - Danh mục'!$I$14:$I$132,T432+1):'Lớp 4 - Danh mục'!$I$132&lt;&gt;"")*(COUNTIF('Lớp 5 - Phân công'!$J$14:$J$262,INDEX('Lớp 4 - Danh mục'!$I$14:$I$132,T432+1):'Lớp 4 - Danh mục'!$I$132)=0),0),0)),IF(S432&lt;&gt;"Lớp 3",MATCH(1,INDEX(('Lớp 3 - Công việc chính'!$I$14:$I$73&lt;&gt;"")*(COUNTIF('Lớp 4 - Danh mục'!$J$14:$J$132,'Lớp 3 - Công việc chính'!$I$14:$I$73)=0),0),0),T432+MATCH(1,INDEX((INDEX('Lớp 3 - Công việc chính'!$I$14:$I$73,T432+1):'Lớp 3 - Công việc chính'!$I$73&lt;&gt;"")*(COUNTIF('Lớp 4 - Danh mục'!$J$14:$J$132,INDEX('Lớp 3 - Công việc chính'!$I$14:$I$73,T432+1):'Lớp 3 - Công việc chính'!$I$73)=0),0),0)))))</f>
        <v>#REF!</v>
      </c>
      <c r="Z433" s="700" t="str">
        <f t="array" ref="Z433">IF($S433="","",IF($S433="Lớp 5",INDEX('Lớp 5 - Phân công'!$AS$14:$AS$262,$T433),IF($S433="Lớp 4",INDEX('Lớp 4 - Danh mục'!$AR$14:$AR$132,$T433),INDEX('Lớp 3 - Công việc chính'!$AO$14:$AO$73,$T433))))</f>
        <v>#REF!</v>
      </c>
      <c r="AA433" s="701" t="str">
        <f t="array" ref="AA433">IF($S433="","",IF($S433="Lớp 5",INDEX('Lớp 5 - Phân công'!$AT$14:$AT$262,$T433),IF($S433="Lớp 4",INDEX('Lớp 4 - Danh mục'!$AS$14:$AS$132,$T433),INDEX('Lớp 3 - Công việc chính'!$AP$14:$AP$73,$T433))))</f>
        <v>#REF!</v>
      </c>
      <c r="AB433" s="701" t="str">
        <f t="array" ref="AB433">IF($S433="","",IF($S433="Lớp 5",INDEX('Lớp 5 - Phân công'!$AJ$14:$AJ$262,$T433),IF($S433="Lớp 4",INDEX('Lớp 4 - Danh mục'!$AI$14:$AI$132,$T433),INDEX('Lớp 3 - Công việc chính'!$AF$14:$AF$73,$T433))))</f>
        <v>#REF!</v>
      </c>
      <c r="AC433" s="702" t="str">
        <f t="array" ref="AC433">IF($S433="","",IF($S433="Lớp 5",INDEX('Lớp 5 - Phân công'!$AV$14:$AV$262,$T433),IF($S433="Lớp 4",INDEX('Lớp 4 - Danh mục'!$AU$14:$AU$132,$T433),INDEX('Lớp 3 - Công việc chính'!$AR$14:$AR$73,$T433))))</f>
        <v>#REF!</v>
      </c>
    </row>
    <row r="434" ht="15.75" customHeight="1">
      <c r="A434" s="690" t="str">
        <f t="shared" si="1"/>
        <v>#REF!</v>
      </c>
      <c r="B434" s="690" t="str">
        <f t="array" ref="B434">IF($S434="","",IF($S434="Lớp 5",INDEX('Lớp 5 - Phân công'!$I$14:$I$262,$T434),IF($S434="Lớp 4",INDEX('Lớp 4 - Danh mục'!$I$14:$I$132,$T434),INDEX('Lớp 3 - Công việc chính'!$I$14:$I$73,$T434))))</f>
        <v>#REF!</v>
      </c>
      <c r="C434" s="690" t="str">
        <f t="array" ref="C434">IF($S434="","",IF($S434="Lớp 5",INDEX('Lớp 5 - Phân công'!$K$14:$K$262,$T434),IF($S434="Lớp 4",INDEX('Lớp 4 - Danh mục'!$J$14:$J$132,$T434),INDEX('Lớp 3 - Công việc chính'!$I$14:$I$73,$T434))))</f>
        <v>#REF!</v>
      </c>
      <c r="D434" s="690" t="str">
        <f t="array" ref="D434">IF($S434="","",IF($S434="Lớp 5",INDEX('Lớp 5 - Phân công'!$J$14:$J$262,$T434),IF($S434="Lớp 4",INDEX('Lớp 4 - Danh mục'!$I$14:$I$132,$T434),"")))</f>
        <v>#REF!</v>
      </c>
      <c r="E434" s="690" t="str">
        <f t="array" ref="E434">IF($S434="","",IF($S434="Lớp 5",INDEX('Lớp 5 - Phân công'!$L$14:$L$262,$T434),IF($S434="Lớp 4",INDEX('Lớp 4 - Danh mục'!$K$14:$K$132,$T434),INDEX('Lớp 3 - Công việc chính'!$J$14:$J$73,$T434))))</f>
        <v>#REF!</v>
      </c>
      <c r="F434" s="690" t="str">
        <f t="array" ref="F434">IF($S434="","",IF($S434="Lớp 5",INDEX('Lớp 5 - Phân công'!$M$14:$M$262,$T434),IF($S434="Lớp 4",INDEX('Lớp 4 - Danh mục'!$L$14:$L$132,$T434),INDEX('Lớp 3 - Công việc chính'!$K$14:$K$73,$T434))))</f>
        <v>#REF!</v>
      </c>
      <c r="G434" s="691" t="str">
        <f t="array" ref="G434">IF($S434="","",IF($S434="Lớp 5",INDEX('Lớp 5 - Phân công'!$N$14:$N$262,$T434),IF($S434="Lớp 4",INDEX('Lớp 4 - Danh mục'!$M$14:$M$132,$T434),INDEX('Lớp 3 - Công việc chính'!$L$14:$L$73,$T434))))</f>
        <v>#REF!</v>
      </c>
      <c r="H434" s="692" t="str">
        <f t="array" ref="H434">IF($S434="","",IF($S434="Lớp 5",INDEX('Lớp 5 - Phân công'!$O$14:$O$262,$T434),IF($S434="Lớp 4",INDEX('Lớp 4 - Danh mục'!$N$14:$N$132,$T434),INDEX('Lớp 3 - Công việc chính'!$M$14:$M$73,$T434))))</f>
        <v>#REF!</v>
      </c>
      <c r="I434" s="692" t="str">
        <f t="array" ref="I434">IF($S434="","",IF($S434="Lớp 5",INDEX('Lớp 5 - Phân công'!$P$14:$P$262,$T434),IF($S434="Lớp 4",INDEX('Lớp 4 - Danh mục'!$O$14:$O$132,$T434),"")))</f>
        <v>#REF!</v>
      </c>
      <c r="J434" s="693" t="str">
        <f t="array" ref="J434">IF($S434="","",IF($S434="Lớp 5",INDEX('Lớp 5 - Phân công'!$Q$14:$Q$262,$T434),""))</f>
        <v>#REF!</v>
      </c>
      <c r="K434" s="690" t="str">
        <f t="array" ref="K434">IF($S434="","",IF($S434="Lớp 5",INDEX('Lớp 5 - Phân công'!$AA$14:$AA$262,$T434),IF($S434="Lớp 4",INDEX('Lớp 4 - Danh mục'!$Y$14:$Y$132,$T434),INDEX('Lớp 3 - Công việc chính'!$U$14:$U$73,$T434))))</f>
        <v>#REF!</v>
      </c>
      <c r="L434" s="691" t="str">
        <f t="array" ref="L434">IF($S434="","",IF($S434="Lớp 5",INDEX('Lớp 5 - Phân công'!$Z$14:$Z$262,$T434),IF($S434="Lớp 4",INDEX('Lớp 4 - Danh mục'!$X$14:$X$132,$T434),INDEX('Lớp 3 - Công việc chính'!$W$14:$W$73,$T434))))</f>
        <v>#REF!</v>
      </c>
      <c r="M434" s="694" t="str">
        <f t="array" ref="M434">IF($S434="","",IF($S434="Lớp 5",INDEX('Lớp 5 - Phân công'!$AD$14:$AD$262,$T434),IF($S434="Lớp 4",INDEX('Lớp 4 - Danh mục'!$AC$14:$AC$132,$T434),INDEX('Lớp 3 - Công việc chính'!$Z$14:$Z$73,$T434))))</f>
        <v>#REF!</v>
      </c>
      <c r="N434" s="695" t="str">
        <f t="array" ref="N434">IF($S434="","",IF($S434="Lớp 5",INDEX('Lớp 5 - Phân công'!$AE$14:$AE$262,$T434),IF($S434="Lớp 4",INDEX('Lớp 4 - Danh mục'!$AD$14:$AD$132,$T434),INDEX('Lớp 3 - Công việc chính'!$AA$14:$AA$73,$T434))))</f>
        <v>#REF!</v>
      </c>
      <c r="O434" s="690" t="str">
        <f t="array" ref="O434">IF($S434="","",IF($S434="Lớp 5",INDEX('Lớp 5 - Phân công'!$AB$14:$AB$262,$T434),IF($S434="Lớp 4",INDEX('Lớp 4 - Danh mục'!$AA$14:$AA$132,$T434),INDEX('Lớp 3 - Công việc chính'!$X$14:$X$73,$T434))))</f>
        <v>#REF!</v>
      </c>
      <c r="P434" s="703" t="str">
        <f t="array" ref="P434">IF($S434="","",IF($S434="Lớp 5",INDEX('Lớp 5 - Phân công'!$AC$14:$AC$262,$T434),IF($S434="Lớp 4",INDEX('Lớp 4 - Danh mục'!$AB$14:$AB$132,$T434),INDEX('Lớp 3 - Công việc chính'!$Y$14:$Y$73,$T434))))</f>
        <v>#REF!</v>
      </c>
      <c r="Q434" s="697" t="str">
        <f t="array" ref="Q434">IF($S434="","",IF($S434="Lớp 5",INDEX('Lớp 5 - Phân công'!$AG$14:$AG$262,$T434),IF($S434="Lớp 4",INDEX('Lớp 4 - Danh mục'!$AF$14:$AF$132,$T434),INDEX('Lớp 3 - Công việc chính'!$AC$14:$AC$73,$T434))))</f>
        <v>#REF!</v>
      </c>
      <c r="R434" s="698" t="str">
        <f t="array" ref="R434">IF($S434="","",IF($S434="Lớp 5",INDEX('Lớp 5 - Phân công'!$X$14:$X$262,$T434),IF($S434="Lớp 4",INDEX('Lớp 4 - Danh mục'!$V$14:$V$132,$T434),INDEX('Lớp 3 - Công việc chính'!$T$14:$T$73,$T434))))</f>
        <v>#REF!</v>
      </c>
      <c r="S434" s="699" t="str">
        <f>IF(ROWS($S$14:S434)&lt;=COUNTIF('Lớp 5 - Phân công'!$I$14:$I$262,"&lt;&gt;"),"Lớp 5",IF(ROWS($S$14:S434)&lt;=COUNTIF('Lớp 5 - Phân công'!$I$14:$I$262,"&lt;&gt;")+SUMPRODUCT(--('Lớp 4 - Danh mục'!$I$14:$I$132&lt;&gt;""),--(COUNTIF('Lớp 5 - Phân công'!$J$14:$J$262,'Lớp 4 - Danh mục'!$I$14:$I$132)=0)),"Lớp 4",IF(ROWS($S$14:S434)&lt;=COUNTIF('Lớp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4" s="699" t="str">
        <f t="array" ref="T434">IF(S434="","",IF(S434="Lớp 5",IF(S433&lt;&gt;"Lớp 5",MATCH("*",'Lớp 5 - Phân công'!$I$14:$I$262,0),T433+MATCH("*",INDEX('Lớp 5 - Phân công'!$I$14:$I$262,T433+1):'Lớp 5 - Phân công'!$I$262,0)),IF(S434="Lớp 4",IF(S433&lt;&gt;"Lớp 4",MATCH(1,INDEX(('Lớp 4 - Danh mục'!$I$14:$I$132&lt;&gt;"")*(COUNTIF('Lớp 5 - Phân công'!$J$14:$J$262,'Lớp 4 - Danh mục'!$I$14:$I$132)=0),0),0),T433+MATCH(1,INDEX((INDEX('Lớp 4 - Danh mục'!$I$14:$I$132,T433+1):'Lớp 4 - Danh mục'!$I$132&lt;&gt;"")*(COUNTIF('Lớp 5 - Phân công'!$J$14:$J$262,INDEX('Lớp 4 - Danh mục'!$I$14:$I$132,T433+1):'Lớp 4 - Danh mục'!$I$132)=0),0),0)),IF(S433&lt;&gt;"Lớp 3",MATCH(1,INDEX(('Lớp 3 - Công việc chính'!$I$14:$I$73&lt;&gt;"")*(COUNTIF('Lớp 4 - Danh mục'!$J$14:$J$132,'Lớp 3 - Công việc chính'!$I$14:$I$73)=0),0),0),T433+MATCH(1,INDEX((INDEX('Lớp 3 - Công việc chính'!$I$14:$I$73,T433+1):'Lớp 3 - Công việc chính'!$I$73&lt;&gt;"")*(COUNTIF('Lớp 4 - Danh mục'!$J$14:$J$132,INDEX('Lớp 3 - Công việc chính'!$I$14:$I$73,T433+1):'Lớp 3 - Công việc chính'!$I$73)=0),0),0)))))</f>
        <v>#REF!</v>
      </c>
      <c r="Z434" s="700" t="str">
        <f t="array" ref="Z434">IF($S434="","",IF($S434="Lớp 5",INDEX('Lớp 5 - Phân công'!$AS$14:$AS$262,$T434),IF($S434="Lớp 4",INDEX('Lớp 4 - Danh mục'!$AR$14:$AR$132,$T434),INDEX('Lớp 3 - Công việc chính'!$AO$14:$AO$73,$T434))))</f>
        <v>#REF!</v>
      </c>
      <c r="AA434" s="701" t="str">
        <f t="array" ref="AA434">IF($S434="","",IF($S434="Lớp 5",INDEX('Lớp 5 - Phân công'!$AT$14:$AT$262,$T434),IF($S434="Lớp 4",INDEX('Lớp 4 - Danh mục'!$AS$14:$AS$132,$T434),INDEX('Lớp 3 - Công việc chính'!$AP$14:$AP$73,$T434))))</f>
        <v>#REF!</v>
      </c>
      <c r="AB434" s="701" t="str">
        <f t="array" ref="AB434">IF($S434="","",IF($S434="Lớp 5",INDEX('Lớp 5 - Phân công'!$AJ$14:$AJ$262,$T434),IF($S434="Lớp 4",INDEX('Lớp 4 - Danh mục'!$AI$14:$AI$132,$T434),INDEX('Lớp 3 - Công việc chính'!$AF$14:$AF$73,$T434))))</f>
        <v>#REF!</v>
      </c>
      <c r="AC434" s="702" t="str">
        <f t="array" ref="AC434">IF($S434="","",IF($S434="Lớp 5",INDEX('Lớp 5 - Phân công'!$AV$14:$AV$262,$T434),IF($S434="Lớp 4",INDEX('Lớp 4 - Danh mục'!$AU$14:$AU$132,$T434),INDEX('Lớp 3 - Công việc chính'!$AR$14:$AR$73,$T434))))</f>
        <v>#REF!</v>
      </c>
    </row>
    <row r="435" ht="15.75" customHeight="1">
      <c r="A435" s="690" t="str">
        <f t="shared" si="1"/>
        <v>#REF!</v>
      </c>
      <c r="B435" s="690" t="str">
        <f t="array" ref="B435">IF($S435="","",IF($S435="Lớp 5",INDEX('Lớp 5 - Phân công'!$I$14:$I$262,$T435),IF($S435="Lớp 4",INDEX('Lớp 4 - Danh mục'!$I$14:$I$132,$T435),INDEX('Lớp 3 - Công việc chính'!$I$14:$I$73,$T435))))</f>
        <v>#REF!</v>
      </c>
      <c r="C435" s="690" t="str">
        <f t="array" ref="C435">IF($S435="","",IF($S435="Lớp 5",INDEX('Lớp 5 - Phân công'!$K$14:$K$262,$T435),IF($S435="Lớp 4",INDEX('Lớp 4 - Danh mục'!$J$14:$J$132,$T435),INDEX('Lớp 3 - Công việc chính'!$I$14:$I$73,$T435))))</f>
        <v>#REF!</v>
      </c>
      <c r="D435" s="690" t="str">
        <f t="array" ref="D435">IF($S435="","",IF($S435="Lớp 5",INDEX('Lớp 5 - Phân công'!$J$14:$J$262,$T435),IF($S435="Lớp 4",INDEX('Lớp 4 - Danh mục'!$I$14:$I$132,$T435),"")))</f>
        <v>#REF!</v>
      </c>
      <c r="E435" s="690" t="str">
        <f t="array" ref="E435">IF($S435="","",IF($S435="Lớp 5",INDEX('Lớp 5 - Phân công'!$L$14:$L$262,$T435),IF($S435="Lớp 4",INDEX('Lớp 4 - Danh mục'!$K$14:$K$132,$T435),INDEX('Lớp 3 - Công việc chính'!$J$14:$J$73,$T435))))</f>
        <v>#REF!</v>
      </c>
      <c r="F435" s="690" t="str">
        <f t="array" ref="F435">IF($S435="","",IF($S435="Lớp 5",INDEX('Lớp 5 - Phân công'!$M$14:$M$262,$T435),IF($S435="Lớp 4",INDEX('Lớp 4 - Danh mục'!$L$14:$L$132,$T435),INDEX('Lớp 3 - Công việc chính'!$K$14:$K$73,$T435))))</f>
        <v>#REF!</v>
      </c>
      <c r="G435" s="691" t="str">
        <f t="array" ref="G435">IF($S435="","",IF($S435="Lớp 5",INDEX('Lớp 5 - Phân công'!$N$14:$N$262,$T435),IF($S435="Lớp 4",INDEX('Lớp 4 - Danh mục'!$M$14:$M$132,$T435),INDEX('Lớp 3 - Công việc chính'!$L$14:$L$73,$T435))))</f>
        <v>#REF!</v>
      </c>
      <c r="H435" s="692" t="str">
        <f t="array" ref="H435">IF($S435="","",IF($S435="Lớp 5",INDEX('Lớp 5 - Phân công'!$O$14:$O$262,$T435),IF($S435="Lớp 4",INDEX('Lớp 4 - Danh mục'!$N$14:$N$132,$T435),INDEX('Lớp 3 - Công việc chính'!$M$14:$M$73,$T435))))</f>
        <v>#REF!</v>
      </c>
      <c r="I435" s="692" t="str">
        <f t="array" ref="I435">IF($S435="","",IF($S435="Lớp 5",INDEX('Lớp 5 - Phân công'!$P$14:$P$262,$T435),IF($S435="Lớp 4",INDEX('Lớp 4 - Danh mục'!$O$14:$O$132,$T435),"")))</f>
        <v>#REF!</v>
      </c>
      <c r="J435" s="693" t="str">
        <f t="array" ref="J435">IF($S435="","",IF($S435="Lớp 5",INDEX('Lớp 5 - Phân công'!$Q$14:$Q$262,$T435),""))</f>
        <v>#REF!</v>
      </c>
      <c r="K435" s="690" t="str">
        <f t="array" ref="K435">IF($S435="","",IF($S435="Lớp 5",INDEX('Lớp 5 - Phân công'!$AA$14:$AA$262,$T435),IF($S435="Lớp 4",INDEX('Lớp 4 - Danh mục'!$Y$14:$Y$132,$T435),INDEX('Lớp 3 - Công việc chính'!$U$14:$U$73,$T435))))</f>
        <v>#REF!</v>
      </c>
      <c r="L435" s="691" t="str">
        <f t="array" ref="L435">IF($S435="","",IF($S435="Lớp 5",INDEX('Lớp 5 - Phân công'!$Z$14:$Z$262,$T435),IF($S435="Lớp 4",INDEX('Lớp 4 - Danh mục'!$X$14:$X$132,$T435),INDEX('Lớp 3 - Công việc chính'!$W$14:$W$73,$T435))))</f>
        <v>#REF!</v>
      </c>
      <c r="M435" s="694" t="str">
        <f t="array" ref="M435">IF($S435="","",IF($S435="Lớp 5",INDEX('Lớp 5 - Phân công'!$AD$14:$AD$262,$T435),IF($S435="Lớp 4",INDEX('Lớp 4 - Danh mục'!$AC$14:$AC$132,$T435),INDEX('Lớp 3 - Công việc chính'!$Z$14:$Z$73,$T435))))</f>
        <v>#REF!</v>
      </c>
      <c r="N435" s="695" t="str">
        <f t="array" ref="N435">IF($S435="","",IF($S435="Lớp 5",INDEX('Lớp 5 - Phân công'!$AE$14:$AE$262,$T435),IF($S435="Lớp 4",INDEX('Lớp 4 - Danh mục'!$AD$14:$AD$132,$T435),INDEX('Lớp 3 - Công việc chính'!$AA$14:$AA$73,$T435))))</f>
        <v>#REF!</v>
      </c>
      <c r="O435" s="690" t="str">
        <f t="array" ref="O435">IF($S435="","",IF($S435="Lớp 5",INDEX('Lớp 5 - Phân công'!$AB$14:$AB$262,$T435),IF($S435="Lớp 4",INDEX('Lớp 4 - Danh mục'!$AA$14:$AA$132,$T435),INDEX('Lớp 3 - Công việc chính'!$X$14:$X$73,$T435))))</f>
        <v>#REF!</v>
      </c>
      <c r="P435" s="703" t="str">
        <f t="array" ref="P435">IF($S435="","",IF($S435="Lớp 5",INDEX('Lớp 5 - Phân công'!$AC$14:$AC$262,$T435),IF($S435="Lớp 4",INDEX('Lớp 4 - Danh mục'!$AB$14:$AB$132,$T435),INDEX('Lớp 3 - Công việc chính'!$Y$14:$Y$73,$T435))))</f>
        <v>#REF!</v>
      </c>
      <c r="Q435" s="697" t="str">
        <f t="array" ref="Q435">IF($S435="","",IF($S435="Lớp 5",INDEX('Lớp 5 - Phân công'!$AG$14:$AG$262,$T435),IF($S435="Lớp 4",INDEX('Lớp 4 - Danh mục'!$AF$14:$AF$132,$T435),INDEX('Lớp 3 - Công việc chính'!$AC$14:$AC$73,$T435))))</f>
        <v>#REF!</v>
      </c>
      <c r="R435" s="698" t="str">
        <f t="array" ref="R435">IF($S435="","",IF($S435="Lớp 5",INDEX('Lớp 5 - Phân công'!$X$14:$X$262,$T435),IF($S435="Lớp 4",INDEX('Lớp 4 - Danh mục'!$V$14:$V$132,$T435),INDEX('Lớp 3 - Công việc chính'!$T$14:$T$73,$T435))))</f>
        <v>#REF!</v>
      </c>
      <c r="S435" s="699" t="str">
        <f>IF(ROWS($S$14:S435)&lt;=COUNTIF('Lớp 5 - Phân công'!$I$14:$I$262,"&lt;&gt;"),"Lớp 5",IF(ROWS($S$14:S435)&lt;=COUNTIF('Lớp 5 - Phân công'!$I$14:$I$262,"&lt;&gt;")+SUMPRODUCT(--('Lớp 4 - Danh mục'!$I$14:$I$132&lt;&gt;""),--(COUNTIF('Lớp 5 - Phân công'!$J$14:$J$262,'Lớp 4 - Danh mục'!$I$14:$I$132)=0)),"Lớp 4",IF(ROWS($S$14:S435)&lt;=COUNTIF('Lớp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5" s="699" t="str">
        <f t="array" ref="T435">IF(S435="","",IF(S435="Lớp 5",IF(S434&lt;&gt;"Lớp 5",MATCH("*",'Lớp 5 - Phân công'!$I$14:$I$262,0),T434+MATCH("*",INDEX('Lớp 5 - Phân công'!$I$14:$I$262,T434+1):'Lớp 5 - Phân công'!$I$262,0)),IF(S435="Lớp 4",IF(S434&lt;&gt;"Lớp 4",MATCH(1,INDEX(('Lớp 4 - Danh mục'!$I$14:$I$132&lt;&gt;"")*(COUNTIF('Lớp 5 - Phân công'!$J$14:$J$262,'Lớp 4 - Danh mục'!$I$14:$I$132)=0),0),0),T434+MATCH(1,INDEX((INDEX('Lớp 4 - Danh mục'!$I$14:$I$132,T434+1):'Lớp 4 - Danh mục'!$I$132&lt;&gt;"")*(COUNTIF('Lớp 5 - Phân công'!$J$14:$J$262,INDEX('Lớp 4 - Danh mục'!$I$14:$I$132,T434+1):'Lớp 4 - Danh mục'!$I$132)=0),0),0)),IF(S434&lt;&gt;"Lớp 3",MATCH(1,INDEX(('Lớp 3 - Công việc chính'!$I$14:$I$73&lt;&gt;"")*(COUNTIF('Lớp 4 - Danh mục'!$J$14:$J$132,'Lớp 3 - Công việc chính'!$I$14:$I$73)=0),0),0),T434+MATCH(1,INDEX((INDEX('Lớp 3 - Công việc chính'!$I$14:$I$73,T434+1):'Lớp 3 - Công việc chính'!$I$73&lt;&gt;"")*(COUNTIF('Lớp 4 - Danh mục'!$J$14:$J$132,INDEX('Lớp 3 - Công việc chính'!$I$14:$I$73,T434+1):'Lớp 3 - Công việc chính'!$I$73)=0),0),0)))))</f>
        <v>#REF!</v>
      </c>
      <c r="Z435" s="700" t="str">
        <f t="array" ref="Z435">IF($S435="","",IF($S435="Lớp 5",INDEX('Lớp 5 - Phân công'!$AS$14:$AS$262,$T435),IF($S435="Lớp 4",INDEX('Lớp 4 - Danh mục'!$AR$14:$AR$132,$T435),INDEX('Lớp 3 - Công việc chính'!$AO$14:$AO$73,$T435))))</f>
        <v>#REF!</v>
      </c>
      <c r="AA435" s="701" t="str">
        <f t="array" ref="AA435">IF($S435="","",IF($S435="Lớp 5",INDEX('Lớp 5 - Phân công'!$AT$14:$AT$262,$T435),IF($S435="Lớp 4",INDEX('Lớp 4 - Danh mục'!$AS$14:$AS$132,$T435),INDEX('Lớp 3 - Công việc chính'!$AP$14:$AP$73,$T435))))</f>
        <v>#REF!</v>
      </c>
      <c r="AB435" s="701" t="str">
        <f t="array" ref="AB435">IF($S435="","",IF($S435="Lớp 5",INDEX('Lớp 5 - Phân công'!$AJ$14:$AJ$262,$T435),IF($S435="Lớp 4",INDEX('Lớp 4 - Danh mục'!$AI$14:$AI$132,$T435),INDEX('Lớp 3 - Công việc chính'!$AF$14:$AF$73,$T435))))</f>
        <v>#REF!</v>
      </c>
      <c r="AC435" s="702" t="str">
        <f t="array" ref="AC435">IF($S435="","",IF($S435="Lớp 5",INDEX('Lớp 5 - Phân công'!$AV$14:$AV$262,$T435),IF($S435="Lớp 4",INDEX('Lớp 4 - Danh mục'!$AU$14:$AU$132,$T435),INDEX('Lớp 3 - Công việc chính'!$AR$14:$AR$73,$T435))))</f>
        <v>#REF!</v>
      </c>
    </row>
    <row r="436" ht="15.75" customHeight="1">
      <c r="A436" s="690" t="str">
        <f t="shared" si="1"/>
        <v>#REF!</v>
      </c>
      <c r="B436" s="690" t="str">
        <f t="array" ref="B436">IF($S436="","",IF($S436="Lớp 5",INDEX('Lớp 5 - Phân công'!$I$14:$I$262,$T436),IF($S436="Lớp 4",INDEX('Lớp 4 - Danh mục'!$I$14:$I$132,$T436),INDEX('Lớp 3 - Công việc chính'!$I$14:$I$73,$T436))))</f>
        <v>#REF!</v>
      </c>
      <c r="C436" s="690" t="str">
        <f t="array" ref="C436">IF($S436="","",IF($S436="Lớp 5",INDEX('Lớp 5 - Phân công'!$K$14:$K$262,$T436),IF($S436="Lớp 4",INDEX('Lớp 4 - Danh mục'!$J$14:$J$132,$T436),INDEX('Lớp 3 - Công việc chính'!$I$14:$I$73,$T436))))</f>
        <v>#REF!</v>
      </c>
      <c r="D436" s="690" t="str">
        <f t="array" ref="D436">IF($S436="","",IF($S436="Lớp 5",INDEX('Lớp 5 - Phân công'!$J$14:$J$262,$T436),IF($S436="Lớp 4",INDEX('Lớp 4 - Danh mục'!$I$14:$I$132,$T436),"")))</f>
        <v>#REF!</v>
      </c>
      <c r="E436" s="690" t="str">
        <f t="array" ref="E436">IF($S436="","",IF($S436="Lớp 5",INDEX('Lớp 5 - Phân công'!$L$14:$L$262,$T436),IF($S436="Lớp 4",INDEX('Lớp 4 - Danh mục'!$K$14:$K$132,$T436),INDEX('Lớp 3 - Công việc chính'!$J$14:$J$73,$T436))))</f>
        <v>#REF!</v>
      </c>
      <c r="F436" s="690" t="str">
        <f t="array" ref="F436">IF($S436="","",IF($S436="Lớp 5",INDEX('Lớp 5 - Phân công'!$M$14:$M$262,$T436),IF($S436="Lớp 4",INDEX('Lớp 4 - Danh mục'!$L$14:$L$132,$T436),INDEX('Lớp 3 - Công việc chính'!$K$14:$K$73,$T436))))</f>
        <v>#REF!</v>
      </c>
      <c r="G436" s="691" t="str">
        <f t="array" ref="G436">IF($S436="","",IF($S436="Lớp 5",INDEX('Lớp 5 - Phân công'!$N$14:$N$262,$T436),IF($S436="Lớp 4",INDEX('Lớp 4 - Danh mục'!$M$14:$M$132,$T436),INDEX('Lớp 3 - Công việc chính'!$L$14:$L$73,$T436))))</f>
        <v>#REF!</v>
      </c>
      <c r="H436" s="692" t="str">
        <f t="array" ref="H436">IF($S436="","",IF($S436="Lớp 5",INDEX('Lớp 5 - Phân công'!$O$14:$O$262,$T436),IF($S436="Lớp 4",INDEX('Lớp 4 - Danh mục'!$N$14:$N$132,$T436),INDEX('Lớp 3 - Công việc chính'!$M$14:$M$73,$T436))))</f>
        <v>#REF!</v>
      </c>
      <c r="I436" s="692" t="str">
        <f t="array" ref="I436">IF($S436="","",IF($S436="Lớp 5",INDEX('Lớp 5 - Phân công'!$P$14:$P$262,$T436),IF($S436="Lớp 4",INDEX('Lớp 4 - Danh mục'!$O$14:$O$132,$T436),"")))</f>
        <v>#REF!</v>
      </c>
      <c r="J436" s="693" t="str">
        <f t="array" ref="J436">IF($S436="","",IF($S436="Lớp 5",INDEX('Lớp 5 - Phân công'!$Q$14:$Q$262,$T436),""))</f>
        <v>#REF!</v>
      </c>
      <c r="K436" s="690" t="str">
        <f t="array" ref="K436">IF($S436="","",IF($S436="Lớp 5",INDEX('Lớp 5 - Phân công'!$AA$14:$AA$262,$T436),IF($S436="Lớp 4",INDEX('Lớp 4 - Danh mục'!$Y$14:$Y$132,$T436),INDEX('Lớp 3 - Công việc chính'!$U$14:$U$73,$T436))))</f>
        <v>#REF!</v>
      </c>
      <c r="L436" s="691" t="str">
        <f t="array" ref="L436">IF($S436="","",IF($S436="Lớp 5",INDEX('Lớp 5 - Phân công'!$Z$14:$Z$262,$T436),IF($S436="Lớp 4",INDEX('Lớp 4 - Danh mục'!$X$14:$X$132,$T436),INDEX('Lớp 3 - Công việc chính'!$W$14:$W$73,$T436))))</f>
        <v>#REF!</v>
      </c>
      <c r="M436" s="694" t="str">
        <f t="array" ref="M436">IF($S436="","",IF($S436="Lớp 5",INDEX('Lớp 5 - Phân công'!$AD$14:$AD$262,$T436),IF($S436="Lớp 4",INDEX('Lớp 4 - Danh mục'!$AC$14:$AC$132,$T436),INDEX('Lớp 3 - Công việc chính'!$Z$14:$Z$73,$T436))))</f>
        <v>#REF!</v>
      </c>
      <c r="N436" s="695" t="str">
        <f t="array" ref="N436">IF($S436="","",IF($S436="Lớp 5",INDEX('Lớp 5 - Phân công'!$AE$14:$AE$262,$T436),IF($S436="Lớp 4",INDEX('Lớp 4 - Danh mục'!$AD$14:$AD$132,$T436),INDEX('Lớp 3 - Công việc chính'!$AA$14:$AA$73,$T436))))</f>
        <v>#REF!</v>
      </c>
      <c r="O436" s="690" t="str">
        <f t="array" ref="O436">IF($S436="","",IF($S436="Lớp 5",INDEX('Lớp 5 - Phân công'!$AB$14:$AB$262,$T436),IF($S436="Lớp 4",INDEX('Lớp 4 - Danh mục'!$AA$14:$AA$132,$T436),INDEX('Lớp 3 - Công việc chính'!$X$14:$X$73,$T436))))</f>
        <v>#REF!</v>
      </c>
      <c r="P436" s="703" t="str">
        <f t="array" ref="P436">IF($S436="","",IF($S436="Lớp 5",INDEX('Lớp 5 - Phân công'!$AC$14:$AC$262,$T436),IF($S436="Lớp 4",INDEX('Lớp 4 - Danh mục'!$AB$14:$AB$132,$T436),INDEX('Lớp 3 - Công việc chính'!$Y$14:$Y$73,$T436))))</f>
        <v>#REF!</v>
      </c>
      <c r="Q436" s="697" t="str">
        <f t="array" ref="Q436">IF($S436="","",IF($S436="Lớp 5",INDEX('Lớp 5 - Phân công'!$AG$14:$AG$262,$T436),IF($S436="Lớp 4",INDEX('Lớp 4 - Danh mục'!$AF$14:$AF$132,$T436),INDEX('Lớp 3 - Công việc chính'!$AC$14:$AC$73,$T436))))</f>
        <v>#REF!</v>
      </c>
      <c r="R436" s="698" t="str">
        <f t="array" ref="R436">IF($S436="","",IF($S436="Lớp 5",INDEX('Lớp 5 - Phân công'!$X$14:$X$262,$T436),IF($S436="Lớp 4",INDEX('Lớp 4 - Danh mục'!$V$14:$V$132,$T436),INDEX('Lớp 3 - Công việc chính'!$T$14:$T$73,$T436))))</f>
        <v>#REF!</v>
      </c>
      <c r="S436" s="699" t="str">
        <f>IF(ROWS($S$14:S436)&lt;=COUNTIF('Lớp 5 - Phân công'!$I$14:$I$262,"&lt;&gt;"),"Lớp 5",IF(ROWS($S$14:S436)&lt;=COUNTIF('Lớp 5 - Phân công'!$I$14:$I$262,"&lt;&gt;")+SUMPRODUCT(--('Lớp 4 - Danh mục'!$I$14:$I$132&lt;&gt;""),--(COUNTIF('Lớp 5 - Phân công'!$J$14:$J$262,'Lớp 4 - Danh mục'!$I$14:$I$132)=0)),"Lớp 4",IF(ROWS($S$14:S436)&lt;=COUNTIF('Lớp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6" s="699" t="str">
        <f t="array" ref="T436">IF(S436="","",IF(S436="Lớp 5",IF(S435&lt;&gt;"Lớp 5",MATCH("*",'Lớp 5 - Phân công'!$I$14:$I$262,0),T435+MATCH("*",INDEX('Lớp 5 - Phân công'!$I$14:$I$262,T435+1):'Lớp 5 - Phân công'!$I$262,0)),IF(S436="Lớp 4",IF(S435&lt;&gt;"Lớp 4",MATCH(1,INDEX(('Lớp 4 - Danh mục'!$I$14:$I$132&lt;&gt;"")*(COUNTIF('Lớp 5 - Phân công'!$J$14:$J$262,'Lớp 4 - Danh mục'!$I$14:$I$132)=0),0),0),T435+MATCH(1,INDEX((INDEX('Lớp 4 - Danh mục'!$I$14:$I$132,T435+1):'Lớp 4 - Danh mục'!$I$132&lt;&gt;"")*(COUNTIF('Lớp 5 - Phân công'!$J$14:$J$262,INDEX('Lớp 4 - Danh mục'!$I$14:$I$132,T435+1):'Lớp 4 - Danh mục'!$I$132)=0),0),0)),IF(S435&lt;&gt;"Lớp 3",MATCH(1,INDEX(('Lớp 3 - Công việc chính'!$I$14:$I$73&lt;&gt;"")*(COUNTIF('Lớp 4 - Danh mục'!$J$14:$J$132,'Lớp 3 - Công việc chính'!$I$14:$I$73)=0),0),0),T435+MATCH(1,INDEX((INDEX('Lớp 3 - Công việc chính'!$I$14:$I$73,T435+1):'Lớp 3 - Công việc chính'!$I$73&lt;&gt;"")*(COUNTIF('Lớp 4 - Danh mục'!$J$14:$J$132,INDEX('Lớp 3 - Công việc chính'!$I$14:$I$73,T435+1):'Lớp 3 - Công việc chính'!$I$73)=0),0),0)))))</f>
        <v>#REF!</v>
      </c>
      <c r="Z436" s="700" t="str">
        <f t="array" ref="Z436">IF($S436="","",IF($S436="Lớp 5",INDEX('Lớp 5 - Phân công'!$AS$14:$AS$262,$T436),IF($S436="Lớp 4",INDEX('Lớp 4 - Danh mục'!$AR$14:$AR$132,$T436),INDEX('Lớp 3 - Công việc chính'!$AO$14:$AO$73,$T436))))</f>
        <v>#REF!</v>
      </c>
      <c r="AA436" s="701" t="str">
        <f t="array" ref="AA436">IF($S436="","",IF($S436="Lớp 5",INDEX('Lớp 5 - Phân công'!$AT$14:$AT$262,$T436),IF($S436="Lớp 4",INDEX('Lớp 4 - Danh mục'!$AS$14:$AS$132,$T436),INDEX('Lớp 3 - Công việc chính'!$AP$14:$AP$73,$T436))))</f>
        <v>#REF!</v>
      </c>
      <c r="AB436" s="701" t="str">
        <f t="array" ref="AB436">IF($S436="","",IF($S436="Lớp 5",INDEX('Lớp 5 - Phân công'!$AJ$14:$AJ$262,$T436),IF($S436="Lớp 4",INDEX('Lớp 4 - Danh mục'!$AI$14:$AI$132,$T436),INDEX('Lớp 3 - Công việc chính'!$AF$14:$AF$73,$T436))))</f>
        <v>#REF!</v>
      </c>
      <c r="AC436" s="702" t="str">
        <f t="array" ref="AC436">IF($S436="","",IF($S436="Lớp 5",INDEX('Lớp 5 - Phân công'!$AV$14:$AV$262,$T436),IF($S436="Lớp 4",INDEX('Lớp 4 - Danh mục'!$AU$14:$AU$132,$T436),INDEX('Lớp 3 - Công việc chính'!$AR$14:$AR$73,$T436))))</f>
        <v>#REF!</v>
      </c>
    </row>
    <row r="437" ht="15.75" customHeight="1">
      <c r="A437" s="690" t="str">
        <f t="shared" si="1"/>
        <v>#REF!</v>
      </c>
      <c r="B437" s="690" t="str">
        <f t="array" ref="B437">IF($S437="","",IF($S437="Lớp 5",INDEX('Lớp 5 - Phân công'!$I$14:$I$262,$T437),IF($S437="Lớp 4",INDEX('Lớp 4 - Danh mục'!$I$14:$I$132,$T437),INDEX('Lớp 3 - Công việc chính'!$I$14:$I$73,$T437))))</f>
        <v>#REF!</v>
      </c>
      <c r="C437" s="690" t="str">
        <f t="array" ref="C437">IF($S437="","",IF($S437="Lớp 5",INDEX('Lớp 5 - Phân công'!$K$14:$K$262,$T437),IF($S437="Lớp 4",INDEX('Lớp 4 - Danh mục'!$J$14:$J$132,$T437),INDEX('Lớp 3 - Công việc chính'!$I$14:$I$73,$T437))))</f>
        <v>#REF!</v>
      </c>
      <c r="D437" s="690" t="str">
        <f t="array" ref="D437">IF($S437="","",IF($S437="Lớp 5",INDEX('Lớp 5 - Phân công'!$J$14:$J$262,$T437),IF($S437="Lớp 4",INDEX('Lớp 4 - Danh mục'!$I$14:$I$132,$T437),"")))</f>
        <v>#REF!</v>
      </c>
      <c r="E437" s="690" t="str">
        <f t="array" ref="E437">IF($S437="","",IF($S437="Lớp 5",INDEX('Lớp 5 - Phân công'!$L$14:$L$262,$T437),IF($S437="Lớp 4",INDEX('Lớp 4 - Danh mục'!$K$14:$K$132,$T437),INDEX('Lớp 3 - Công việc chính'!$J$14:$J$73,$T437))))</f>
        <v>#REF!</v>
      </c>
      <c r="F437" s="690" t="str">
        <f t="array" ref="F437">IF($S437="","",IF($S437="Lớp 5",INDEX('Lớp 5 - Phân công'!$M$14:$M$262,$T437),IF($S437="Lớp 4",INDEX('Lớp 4 - Danh mục'!$L$14:$L$132,$T437),INDEX('Lớp 3 - Công việc chính'!$K$14:$K$73,$T437))))</f>
        <v>#REF!</v>
      </c>
      <c r="G437" s="691" t="str">
        <f t="array" ref="G437">IF($S437="","",IF($S437="Lớp 5",INDEX('Lớp 5 - Phân công'!$N$14:$N$262,$T437),IF($S437="Lớp 4",INDEX('Lớp 4 - Danh mục'!$M$14:$M$132,$T437),INDEX('Lớp 3 - Công việc chính'!$L$14:$L$73,$T437))))</f>
        <v>#REF!</v>
      </c>
      <c r="H437" s="692" t="str">
        <f t="array" ref="H437">IF($S437="","",IF($S437="Lớp 5",INDEX('Lớp 5 - Phân công'!$O$14:$O$262,$T437),IF($S437="Lớp 4",INDEX('Lớp 4 - Danh mục'!$N$14:$N$132,$T437),INDEX('Lớp 3 - Công việc chính'!$M$14:$M$73,$T437))))</f>
        <v>#REF!</v>
      </c>
      <c r="I437" s="692" t="str">
        <f t="array" ref="I437">IF($S437="","",IF($S437="Lớp 5",INDEX('Lớp 5 - Phân công'!$P$14:$P$262,$T437),IF($S437="Lớp 4",INDEX('Lớp 4 - Danh mục'!$O$14:$O$132,$T437),"")))</f>
        <v>#REF!</v>
      </c>
      <c r="J437" s="693" t="str">
        <f t="array" ref="J437">IF($S437="","",IF($S437="Lớp 5",INDEX('Lớp 5 - Phân công'!$Q$14:$Q$262,$T437),""))</f>
        <v>#REF!</v>
      </c>
      <c r="K437" s="690" t="str">
        <f t="array" ref="K437">IF($S437="","",IF($S437="Lớp 5",INDEX('Lớp 5 - Phân công'!$AA$14:$AA$262,$T437),IF($S437="Lớp 4",INDEX('Lớp 4 - Danh mục'!$Y$14:$Y$132,$T437),INDEX('Lớp 3 - Công việc chính'!$U$14:$U$73,$T437))))</f>
        <v>#REF!</v>
      </c>
      <c r="L437" s="691" t="str">
        <f t="array" ref="L437">IF($S437="","",IF($S437="Lớp 5",INDEX('Lớp 5 - Phân công'!$Z$14:$Z$262,$T437),IF($S437="Lớp 4",INDEX('Lớp 4 - Danh mục'!$X$14:$X$132,$T437),INDEX('Lớp 3 - Công việc chính'!$W$14:$W$73,$T437))))</f>
        <v>#REF!</v>
      </c>
      <c r="M437" s="694" t="str">
        <f t="array" ref="M437">IF($S437="","",IF($S437="Lớp 5",INDEX('Lớp 5 - Phân công'!$AD$14:$AD$262,$T437),IF($S437="Lớp 4",INDEX('Lớp 4 - Danh mục'!$AC$14:$AC$132,$T437),INDEX('Lớp 3 - Công việc chính'!$Z$14:$Z$73,$T437))))</f>
        <v>#REF!</v>
      </c>
      <c r="N437" s="695" t="str">
        <f t="array" ref="N437">IF($S437="","",IF($S437="Lớp 5",INDEX('Lớp 5 - Phân công'!$AE$14:$AE$262,$T437),IF($S437="Lớp 4",INDEX('Lớp 4 - Danh mục'!$AD$14:$AD$132,$T437),INDEX('Lớp 3 - Công việc chính'!$AA$14:$AA$73,$T437))))</f>
        <v>#REF!</v>
      </c>
      <c r="O437" s="690" t="str">
        <f t="array" ref="O437">IF($S437="","",IF($S437="Lớp 5",INDEX('Lớp 5 - Phân công'!$AB$14:$AB$262,$T437),IF($S437="Lớp 4",INDEX('Lớp 4 - Danh mục'!$AA$14:$AA$132,$T437),INDEX('Lớp 3 - Công việc chính'!$X$14:$X$73,$T437))))</f>
        <v>#REF!</v>
      </c>
      <c r="P437" s="703" t="str">
        <f t="array" ref="P437">IF($S437="","",IF($S437="Lớp 5",INDEX('Lớp 5 - Phân công'!$AC$14:$AC$262,$T437),IF($S437="Lớp 4",INDEX('Lớp 4 - Danh mục'!$AB$14:$AB$132,$T437),INDEX('Lớp 3 - Công việc chính'!$Y$14:$Y$73,$T437))))</f>
        <v>#REF!</v>
      </c>
      <c r="Q437" s="697" t="str">
        <f t="array" ref="Q437">IF($S437="","",IF($S437="Lớp 5",INDEX('Lớp 5 - Phân công'!$AG$14:$AG$262,$T437),IF($S437="Lớp 4",INDEX('Lớp 4 - Danh mục'!$AF$14:$AF$132,$T437),INDEX('Lớp 3 - Công việc chính'!$AC$14:$AC$73,$T437))))</f>
        <v>#REF!</v>
      </c>
      <c r="R437" s="698" t="str">
        <f t="array" ref="R437">IF($S437="","",IF($S437="Lớp 5",INDEX('Lớp 5 - Phân công'!$X$14:$X$262,$T437),IF($S437="Lớp 4",INDEX('Lớp 4 - Danh mục'!$V$14:$V$132,$T437),INDEX('Lớp 3 - Công việc chính'!$T$14:$T$73,$T437))))</f>
        <v>#REF!</v>
      </c>
      <c r="S437" s="699" t="str">
        <f>IF(ROWS($S$14:S437)&lt;=COUNTIF('Lớp 5 - Phân công'!$I$14:$I$262,"&lt;&gt;"),"Lớp 5",IF(ROWS($S$14:S437)&lt;=COUNTIF('Lớp 5 - Phân công'!$I$14:$I$262,"&lt;&gt;")+SUMPRODUCT(--('Lớp 4 - Danh mục'!$I$14:$I$132&lt;&gt;""),--(COUNTIF('Lớp 5 - Phân công'!$J$14:$J$262,'Lớp 4 - Danh mục'!$I$14:$I$132)=0)),"Lớp 4",IF(ROWS($S$14:S437)&lt;=COUNTIF('Lớp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7" s="699" t="str">
        <f t="array" ref="T437">IF(S437="","",IF(S437="Lớp 5",IF(S436&lt;&gt;"Lớp 5",MATCH("*",'Lớp 5 - Phân công'!$I$14:$I$262,0),T436+MATCH("*",INDEX('Lớp 5 - Phân công'!$I$14:$I$262,T436+1):'Lớp 5 - Phân công'!$I$262,0)),IF(S437="Lớp 4",IF(S436&lt;&gt;"Lớp 4",MATCH(1,INDEX(('Lớp 4 - Danh mục'!$I$14:$I$132&lt;&gt;"")*(COUNTIF('Lớp 5 - Phân công'!$J$14:$J$262,'Lớp 4 - Danh mục'!$I$14:$I$132)=0),0),0),T436+MATCH(1,INDEX((INDEX('Lớp 4 - Danh mục'!$I$14:$I$132,T436+1):'Lớp 4 - Danh mục'!$I$132&lt;&gt;"")*(COUNTIF('Lớp 5 - Phân công'!$J$14:$J$262,INDEX('Lớp 4 - Danh mục'!$I$14:$I$132,T436+1):'Lớp 4 - Danh mục'!$I$132)=0),0),0)),IF(S436&lt;&gt;"Lớp 3",MATCH(1,INDEX(('Lớp 3 - Công việc chính'!$I$14:$I$73&lt;&gt;"")*(COUNTIF('Lớp 4 - Danh mục'!$J$14:$J$132,'Lớp 3 - Công việc chính'!$I$14:$I$73)=0),0),0),T436+MATCH(1,INDEX((INDEX('Lớp 3 - Công việc chính'!$I$14:$I$73,T436+1):'Lớp 3 - Công việc chính'!$I$73&lt;&gt;"")*(COUNTIF('Lớp 4 - Danh mục'!$J$14:$J$132,INDEX('Lớp 3 - Công việc chính'!$I$14:$I$73,T436+1):'Lớp 3 - Công việc chính'!$I$73)=0),0),0)))))</f>
        <v>#REF!</v>
      </c>
      <c r="Z437" s="700" t="str">
        <f t="array" ref="Z437">IF($S437="","",IF($S437="Lớp 5",INDEX('Lớp 5 - Phân công'!$AS$14:$AS$262,$T437),IF($S437="Lớp 4",INDEX('Lớp 4 - Danh mục'!$AR$14:$AR$132,$T437),INDEX('Lớp 3 - Công việc chính'!$AO$14:$AO$73,$T437))))</f>
        <v>#REF!</v>
      </c>
      <c r="AA437" s="701" t="str">
        <f t="array" ref="AA437">IF($S437="","",IF($S437="Lớp 5",INDEX('Lớp 5 - Phân công'!$AT$14:$AT$262,$T437),IF($S437="Lớp 4",INDEX('Lớp 4 - Danh mục'!$AS$14:$AS$132,$T437),INDEX('Lớp 3 - Công việc chính'!$AP$14:$AP$73,$T437))))</f>
        <v>#REF!</v>
      </c>
      <c r="AB437" s="701" t="str">
        <f t="array" ref="AB437">IF($S437="","",IF($S437="Lớp 5",INDEX('Lớp 5 - Phân công'!$AJ$14:$AJ$262,$T437),IF($S437="Lớp 4",INDEX('Lớp 4 - Danh mục'!$AI$14:$AI$132,$T437),INDEX('Lớp 3 - Công việc chính'!$AF$14:$AF$73,$T437))))</f>
        <v>#REF!</v>
      </c>
      <c r="AC437" s="702" t="str">
        <f t="array" ref="AC437">IF($S437="","",IF($S437="Lớp 5",INDEX('Lớp 5 - Phân công'!$AV$14:$AV$262,$T437),IF($S437="Lớp 4",INDEX('Lớp 4 - Danh mục'!$AU$14:$AU$132,$T437),INDEX('Lớp 3 - Công việc chính'!$AR$14:$AR$73,$T437))))</f>
        <v>#REF!</v>
      </c>
    </row>
    <row r="438" ht="15.75" customHeight="1">
      <c r="A438" s="690" t="str">
        <f t="shared" si="1"/>
        <v>#REF!</v>
      </c>
      <c r="B438" s="690" t="str">
        <f t="array" ref="B438">IF($S438="","",IF($S438="Lớp 5",INDEX('Lớp 5 - Phân công'!$I$14:$I$262,$T438),IF($S438="Lớp 4",INDEX('Lớp 4 - Danh mục'!$I$14:$I$132,$T438),INDEX('Lớp 3 - Công việc chính'!$I$14:$I$73,$T438))))</f>
        <v>#REF!</v>
      </c>
      <c r="C438" s="690" t="str">
        <f t="array" ref="C438">IF($S438="","",IF($S438="Lớp 5",INDEX('Lớp 5 - Phân công'!$K$14:$K$262,$T438),IF($S438="Lớp 4",INDEX('Lớp 4 - Danh mục'!$J$14:$J$132,$T438),INDEX('Lớp 3 - Công việc chính'!$I$14:$I$73,$T438))))</f>
        <v>#REF!</v>
      </c>
      <c r="D438" s="690" t="str">
        <f t="array" ref="D438">IF($S438="","",IF($S438="Lớp 5",INDEX('Lớp 5 - Phân công'!$J$14:$J$262,$T438),IF($S438="Lớp 4",INDEX('Lớp 4 - Danh mục'!$I$14:$I$132,$T438),"")))</f>
        <v>#REF!</v>
      </c>
      <c r="E438" s="690" t="str">
        <f t="array" ref="E438">IF($S438="","",IF($S438="Lớp 5",INDEX('Lớp 5 - Phân công'!$L$14:$L$262,$T438),IF($S438="Lớp 4",INDEX('Lớp 4 - Danh mục'!$K$14:$K$132,$T438),INDEX('Lớp 3 - Công việc chính'!$J$14:$J$73,$T438))))</f>
        <v>#REF!</v>
      </c>
      <c r="F438" s="690" t="str">
        <f t="array" ref="F438">IF($S438="","",IF($S438="Lớp 5",INDEX('Lớp 5 - Phân công'!$M$14:$M$262,$T438),IF($S438="Lớp 4",INDEX('Lớp 4 - Danh mục'!$L$14:$L$132,$T438),INDEX('Lớp 3 - Công việc chính'!$K$14:$K$73,$T438))))</f>
        <v>#REF!</v>
      </c>
      <c r="G438" s="691" t="str">
        <f t="array" ref="G438">IF($S438="","",IF($S438="Lớp 5",INDEX('Lớp 5 - Phân công'!$N$14:$N$262,$T438),IF($S438="Lớp 4",INDEX('Lớp 4 - Danh mục'!$M$14:$M$132,$T438),INDEX('Lớp 3 - Công việc chính'!$L$14:$L$73,$T438))))</f>
        <v>#REF!</v>
      </c>
      <c r="H438" s="692" t="str">
        <f t="array" ref="H438">IF($S438="","",IF($S438="Lớp 5",INDEX('Lớp 5 - Phân công'!$O$14:$O$262,$T438),IF($S438="Lớp 4",INDEX('Lớp 4 - Danh mục'!$N$14:$N$132,$T438),INDEX('Lớp 3 - Công việc chính'!$M$14:$M$73,$T438))))</f>
        <v>#REF!</v>
      </c>
      <c r="I438" s="692" t="str">
        <f t="array" ref="I438">IF($S438="","",IF($S438="Lớp 5",INDEX('Lớp 5 - Phân công'!$P$14:$P$262,$T438),IF($S438="Lớp 4",INDEX('Lớp 4 - Danh mục'!$O$14:$O$132,$T438),"")))</f>
        <v>#REF!</v>
      </c>
      <c r="J438" s="693" t="str">
        <f t="array" ref="J438">IF($S438="","",IF($S438="Lớp 5",INDEX('Lớp 5 - Phân công'!$Q$14:$Q$262,$T438),""))</f>
        <v>#REF!</v>
      </c>
      <c r="K438" s="690" t="str">
        <f t="array" ref="K438">IF($S438="","",IF($S438="Lớp 5",INDEX('Lớp 5 - Phân công'!$AA$14:$AA$262,$T438),IF($S438="Lớp 4",INDEX('Lớp 4 - Danh mục'!$Y$14:$Y$132,$T438),INDEX('Lớp 3 - Công việc chính'!$U$14:$U$73,$T438))))</f>
        <v>#REF!</v>
      </c>
      <c r="L438" s="691" t="str">
        <f t="array" ref="L438">IF($S438="","",IF($S438="Lớp 5",INDEX('Lớp 5 - Phân công'!$Z$14:$Z$262,$T438),IF($S438="Lớp 4",INDEX('Lớp 4 - Danh mục'!$X$14:$X$132,$T438),INDEX('Lớp 3 - Công việc chính'!$W$14:$W$73,$T438))))</f>
        <v>#REF!</v>
      </c>
      <c r="M438" s="694" t="str">
        <f t="array" ref="M438">IF($S438="","",IF($S438="Lớp 5",INDEX('Lớp 5 - Phân công'!$AD$14:$AD$262,$T438),IF($S438="Lớp 4",INDEX('Lớp 4 - Danh mục'!$AC$14:$AC$132,$T438),INDEX('Lớp 3 - Công việc chính'!$Z$14:$Z$73,$T438))))</f>
        <v>#REF!</v>
      </c>
      <c r="N438" s="695" t="str">
        <f t="array" ref="N438">IF($S438="","",IF($S438="Lớp 5",INDEX('Lớp 5 - Phân công'!$AE$14:$AE$262,$T438),IF($S438="Lớp 4",INDEX('Lớp 4 - Danh mục'!$AD$14:$AD$132,$T438),INDEX('Lớp 3 - Công việc chính'!$AA$14:$AA$73,$T438))))</f>
        <v>#REF!</v>
      </c>
      <c r="O438" s="690" t="str">
        <f t="array" ref="O438">IF($S438="","",IF($S438="Lớp 5",INDEX('Lớp 5 - Phân công'!$AB$14:$AB$262,$T438),IF($S438="Lớp 4",INDEX('Lớp 4 - Danh mục'!$AA$14:$AA$132,$T438),INDEX('Lớp 3 - Công việc chính'!$X$14:$X$73,$T438))))</f>
        <v>#REF!</v>
      </c>
      <c r="P438" s="703" t="str">
        <f t="array" ref="P438">IF($S438="","",IF($S438="Lớp 5",INDEX('Lớp 5 - Phân công'!$AC$14:$AC$262,$T438),IF($S438="Lớp 4",INDEX('Lớp 4 - Danh mục'!$AB$14:$AB$132,$T438),INDEX('Lớp 3 - Công việc chính'!$Y$14:$Y$73,$T438))))</f>
        <v>#REF!</v>
      </c>
      <c r="Q438" s="697" t="str">
        <f t="array" ref="Q438">IF($S438="","",IF($S438="Lớp 5",INDEX('Lớp 5 - Phân công'!$AG$14:$AG$262,$T438),IF($S438="Lớp 4",INDEX('Lớp 4 - Danh mục'!$AF$14:$AF$132,$T438),INDEX('Lớp 3 - Công việc chính'!$AC$14:$AC$73,$T438))))</f>
        <v>#REF!</v>
      </c>
      <c r="R438" s="698" t="str">
        <f t="array" ref="R438">IF($S438="","",IF($S438="Lớp 5",INDEX('Lớp 5 - Phân công'!$X$14:$X$262,$T438),IF($S438="Lớp 4",INDEX('Lớp 4 - Danh mục'!$V$14:$V$132,$T438),INDEX('Lớp 3 - Công việc chính'!$T$14:$T$73,$T438))))</f>
        <v>#REF!</v>
      </c>
      <c r="S438" s="699" t="str">
        <f>IF(ROWS($S$14:S438)&lt;=COUNTIF('Lớp 5 - Phân công'!$I$14:$I$262,"&lt;&gt;"),"Lớp 5",IF(ROWS($S$14:S438)&lt;=COUNTIF('Lớp 5 - Phân công'!$I$14:$I$262,"&lt;&gt;")+SUMPRODUCT(--('Lớp 4 - Danh mục'!$I$14:$I$132&lt;&gt;""),--(COUNTIF('Lớp 5 - Phân công'!$J$14:$J$262,'Lớp 4 - Danh mục'!$I$14:$I$132)=0)),"Lớp 4",IF(ROWS($S$14:S438)&lt;=COUNTIF('Lớp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8" s="699" t="str">
        <f t="array" ref="T438">IF(S438="","",IF(S438="Lớp 5",IF(S437&lt;&gt;"Lớp 5",MATCH("*",'Lớp 5 - Phân công'!$I$14:$I$262,0),T437+MATCH("*",INDEX('Lớp 5 - Phân công'!$I$14:$I$262,T437+1):'Lớp 5 - Phân công'!$I$262,0)),IF(S438="Lớp 4",IF(S437&lt;&gt;"Lớp 4",MATCH(1,INDEX(('Lớp 4 - Danh mục'!$I$14:$I$132&lt;&gt;"")*(COUNTIF('Lớp 5 - Phân công'!$J$14:$J$262,'Lớp 4 - Danh mục'!$I$14:$I$132)=0),0),0),T437+MATCH(1,INDEX((INDEX('Lớp 4 - Danh mục'!$I$14:$I$132,T437+1):'Lớp 4 - Danh mục'!$I$132&lt;&gt;"")*(COUNTIF('Lớp 5 - Phân công'!$J$14:$J$262,INDEX('Lớp 4 - Danh mục'!$I$14:$I$132,T437+1):'Lớp 4 - Danh mục'!$I$132)=0),0),0)),IF(S437&lt;&gt;"Lớp 3",MATCH(1,INDEX(('Lớp 3 - Công việc chính'!$I$14:$I$73&lt;&gt;"")*(COUNTIF('Lớp 4 - Danh mục'!$J$14:$J$132,'Lớp 3 - Công việc chính'!$I$14:$I$73)=0),0),0),T437+MATCH(1,INDEX((INDEX('Lớp 3 - Công việc chính'!$I$14:$I$73,T437+1):'Lớp 3 - Công việc chính'!$I$73&lt;&gt;"")*(COUNTIF('Lớp 4 - Danh mục'!$J$14:$J$132,INDEX('Lớp 3 - Công việc chính'!$I$14:$I$73,T437+1):'Lớp 3 - Công việc chính'!$I$73)=0),0),0)))))</f>
        <v>#REF!</v>
      </c>
      <c r="Z438" s="700" t="str">
        <f t="array" ref="Z438">IF($S438="","",IF($S438="Lớp 5",INDEX('Lớp 5 - Phân công'!$AS$14:$AS$262,$T438),IF($S438="Lớp 4",INDEX('Lớp 4 - Danh mục'!$AR$14:$AR$132,$T438),INDEX('Lớp 3 - Công việc chính'!$AO$14:$AO$73,$T438))))</f>
        <v>#REF!</v>
      </c>
      <c r="AA438" s="701" t="str">
        <f t="array" ref="AA438">IF($S438="","",IF($S438="Lớp 5",INDEX('Lớp 5 - Phân công'!$AT$14:$AT$262,$T438),IF($S438="Lớp 4",INDEX('Lớp 4 - Danh mục'!$AS$14:$AS$132,$T438),INDEX('Lớp 3 - Công việc chính'!$AP$14:$AP$73,$T438))))</f>
        <v>#REF!</v>
      </c>
      <c r="AB438" s="701" t="str">
        <f t="array" ref="AB438">IF($S438="","",IF($S438="Lớp 5",INDEX('Lớp 5 - Phân công'!$AJ$14:$AJ$262,$T438),IF($S438="Lớp 4",INDEX('Lớp 4 - Danh mục'!$AI$14:$AI$132,$T438),INDEX('Lớp 3 - Công việc chính'!$AF$14:$AF$73,$T438))))</f>
        <v>#REF!</v>
      </c>
      <c r="AC438" s="702" t="str">
        <f t="array" ref="AC438">IF($S438="","",IF($S438="Lớp 5",INDEX('Lớp 5 - Phân công'!$AV$14:$AV$262,$T438),IF($S438="Lớp 4",INDEX('Lớp 4 - Danh mục'!$AU$14:$AU$132,$T438),INDEX('Lớp 3 - Công việc chính'!$AR$14:$AR$73,$T438))))</f>
        <v>#REF!</v>
      </c>
    </row>
    <row r="439" ht="15.75" customHeight="1">
      <c r="A439" s="690" t="str">
        <f t="shared" si="1"/>
        <v>#REF!</v>
      </c>
      <c r="B439" s="690" t="str">
        <f t="array" ref="B439">IF($S439="","",IF($S439="Lớp 5",INDEX('Lớp 5 - Phân công'!$I$14:$I$262,$T439),IF($S439="Lớp 4",INDEX('Lớp 4 - Danh mục'!$I$14:$I$132,$T439),INDEX('Lớp 3 - Công việc chính'!$I$14:$I$73,$T439))))</f>
        <v>#REF!</v>
      </c>
      <c r="C439" s="690" t="str">
        <f t="array" ref="C439">IF($S439="","",IF($S439="Lớp 5",INDEX('Lớp 5 - Phân công'!$K$14:$K$262,$T439),IF($S439="Lớp 4",INDEX('Lớp 4 - Danh mục'!$J$14:$J$132,$T439),INDEX('Lớp 3 - Công việc chính'!$I$14:$I$73,$T439))))</f>
        <v>#REF!</v>
      </c>
      <c r="D439" s="690" t="str">
        <f t="array" ref="D439">IF($S439="","",IF($S439="Lớp 5",INDEX('Lớp 5 - Phân công'!$J$14:$J$262,$T439),IF($S439="Lớp 4",INDEX('Lớp 4 - Danh mục'!$I$14:$I$132,$T439),"")))</f>
        <v>#REF!</v>
      </c>
      <c r="E439" s="690" t="str">
        <f t="array" ref="E439">IF($S439="","",IF($S439="Lớp 5",INDEX('Lớp 5 - Phân công'!$L$14:$L$262,$T439),IF($S439="Lớp 4",INDEX('Lớp 4 - Danh mục'!$K$14:$K$132,$T439),INDEX('Lớp 3 - Công việc chính'!$J$14:$J$73,$T439))))</f>
        <v>#REF!</v>
      </c>
      <c r="F439" s="690" t="str">
        <f t="array" ref="F439">IF($S439="","",IF($S439="Lớp 5",INDEX('Lớp 5 - Phân công'!$M$14:$M$262,$T439),IF($S439="Lớp 4",INDEX('Lớp 4 - Danh mục'!$L$14:$L$132,$T439),INDEX('Lớp 3 - Công việc chính'!$K$14:$K$73,$T439))))</f>
        <v>#REF!</v>
      </c>
      <c r="G439" s="691" t="str">
        <f t="array" ref="G439">IF($S439="","",IF($S439="Lớp 5",INDEX('Lớp 5 - Phân công'!$N$14:$N$262,$T439),IF($S439="Lớp 4",INDEX('Lớp 4 - Danh mục'!$M$14:$M$132,$T439),INDEX('Lớp 3 - Công việc chính'!$L$14:$L$73,$T439))))</f>
        <v>#REF!</v>
      </c>
      <c r="H439" s="692" t="str">
        <f t="array" ref="H439">IF($S439="","",IF($S439="Lớp 5",INDEX('Lớp 5 - Phân công'!$O$14:$O$262,$T439),IF($S439="Lớp 4",INDEX('Lớp 4 - Danh mục'!$N$14:$N$132,$T439),INDEX('Lớp 3 - Công việc chính'!$M$14:$M$73,$T439))))</f>
        <v>#REF!</v>
      </c>
      <c r="I439" s="692" t="str">
        <f t="array" ref="I439">IF($S439="","",IF($S439="Lớp 5",INDEX('Lớp 5 - Phân công'!$P$14:$P$262,$T439),IF($S439="Lớp 4",INDEX('Lớp 4 - Danh mục'!$O$14:$O$132,$T439),"")))</f>
        <v>#REF!</v>
      </c>
      <c r="J439" s="693" t="str">
        <f t="array" ref="J439">IF($S439="","",IF($S439="Lớp 5",INDEX('Lớp 5 - Phân công'!$Q$14:$Q$262,$T439),""))</f>
        <v>#REF!</v>
      </c>
      <c r="K439" s="690" t="str">
        <f t="array" ref="K439">IF($S439="","",IF($S439="Lớp 5",INDEX('Lớp 5 - Phân công'!$AA$14:$AA$262,$T439),IF($S439="Lớp 4",INDEX('Lớp 4 - Danh mục'!$Y$14:$Y$132,$T439),INDEX('Lớp 3 - Công việc chính'!$U$14:$U$73,$T439))))</f>
        <v>#REF!</v>
      </c>
      <c r="L439" s="691" t="str">
        <f t="array" ref="L439">IF($S439="","",IF($S439="Lớp 5",INDEX('Lớp 5 - Phân công'!$Z$14:$Z$262,$T439),IF($S439="Lớp 4",INDEX('Lớp 4 - Danh mục'!$X$14:$X$132,$T439),INDEX('Lớp 3 - Công việc chính'!$W$14:$W$73,$T439))))</f>
        <v>#REF!</v>
      </c>
      <c r="M439" s="694" t="str">
        <f t="array" ref="M439">IF($S439="","",IF($S439="Lớp 5",INDEX('Lớp 5 - Phân công'!$AD$14:$AD$262,$T439),IF($S439="Lớp 4",INDEX('Lớp 4 - Danh mục'!$AC$14:$AC$132,$T439),INDEX('Lớp 3 - Công việc chính'!$Z$14:$Z$73,$T439))))</f>
        <v>#REF!</v>
      </c>
      <c r="N439" s="695" t="str">
        <f t="array" ref="N439">IF($S439="","",IF($S439="Lớp 5",INDEX('Lớp 5 - Phân công'!$AE$14:$AE$262,$T439),IF($S439="Lớp 4",INDEX('Lớp 4 - Danh mục'!$AD$14:$AD$132,$T439),INDEX('Lớp 3 - Công việc chính'!$AA$14:$AA$73,$T439))))</f>
        <v>#REF!</v>
      </c>
      <c r="O439" s="690" t="str">
        <f t="array" ref="O439">IF($S439="","",IF($S439="Lớp 5",INDEX('Lớp 5 - Phân công'!$AB$14:$AB$262,$T439),IF($S439="Lớp 4",INDEX('Lớp 4 - Danh mục'!$AA$14:$AA$132,$T439),INDEX('Lớp 3 - Công việc chính'!$X$14:$X$73,$T439))))</f>
        <v>#REF!</v>
      </c>
      <c r="P439" s="703" t="str">
        <f t="array" ref="P439">IF($S439="","",IF($S439="Lớp 5",INDEX('Lớp 5 - Phân công'!$AC$14:$AC$262,$T439),IF($S439="Lớp 4",INDEX('Lớp 4 - Danh mục'!$AB$14:$AB$132,$T439),INDEX('Lớp 3 - Công việc chính'!$Y$14:$Y$73,$T439))))</f>
        <v>#REF!</v>
      </c>
      <c r="Q439" s="697" t="str">
        <f t="array" ref="Q439">IF($S439="","",IF($S439="Lớp 5",INDEX('Lớp 5 - Phân công'!$AG$14:$AG$262,$T439),IF($S439="Lớp 4",INDEX('Lớp 4 - Danh mục'!$AF$14:$AF$132,$T439),INDEX('Lớp 3 - Công việc chính'!$AC$14:$AC$73,$T439))))</f>
        <v>#REF!</v>
      </c>
      <c r="R439" s="698" t="str">
        <f t="array" ref="R439">IF($S439="","",IF($S439="Lớp 5",INDEX('Lớp 5 - Phân công'!$X$14:$X$262,$T439),IF($S439="Lớp 4",INDEX('Lớp 4 - Danh mục'!$V$14:$V$132,$T439),INDEX('Lớp 3 - Công việc chính'!$T$14:$T$73,$T439))))</f>
        <v>#REF!</v>
      </c>
      <c r="S439" s="699" t="str">
        <f>IF(ROWS($S$14:S439)&lt;=COUNTIF('Lớp 5 - Phân công'!$I$14:$I$262,"&lt;&gt;"),"Lớp 5",IF(ROWS($S$14:S439)&lt;=COUNTIF('Lớp 5 - Phân công'!$I$14:$I$262,"&lt;&gt;")+SUMPRODUCT(--('Lớp 4 - Danh mục'!$I$14:$I$132&lt;&gt;""),--(COUNTIF('Lớp 5 - Phân công'!$J$14:$J$262,'Lớp 4 - Danh mục'!$I$14:$I$132)=0)),"Lớp 4",IF(ROWS($S$14:S439)&lt;=COUNTIF('Lớp 5 - Phân công'!$I$14:$I$262,"&lt;&gt;")+SUMPRODUCT(--('Lớp 4 - Danh mục'!$I$14:$I$132&lt;&gt;""),--(COUNTIF('Lớp 5 - Phân công'!$J$14:$J$262,'Lớp 4 - Danh mục'!$I$14:$I$132)=0))+SUMPRODUCT(--('Lớp 3 - Công việc chính'!$I$14:$I$73&lt;&gt;""),--(COUNTIF('Lớp 4 - Danh mục'!$J$14:$J$132,'Lớp 3 - Công việc chính'!$I$14:$I$73)=0)),"Lớp 3","")))</f>
        <v>#REF!</v>
      </c>
      <c r="T439" s="699" t="str">
        <f t="array" ref="T439">IF(S439="","",IF(S439="Lớp 5",IF(S438&lt;&gt;"Lớp 5",MATCH("*",'Lớp 5 - Phân công'!$I$14:$I$262,0),T438+MATCH("*",INDEX('Lớp 5 - Phân công'!$I$14:$I$262,T438+1):'Lớp 5 - Phân công'!$I$262,0)),IF(S439="Lớp 4",IF(S438&lt;&gt;"Lớp 4",MATCH(1,INDEX(('Lớp 4 - Danh mục'!$I$14:$I$132&lt;&gt;"")*(COUNTIF('Lớp 5 - Phân công'!$J$14:$J$262,'Lớp 4 - Danh mục'!$I$14:$I$132)=0),0),0),T438+MATCH(1,INDEX((INDEX('Lớp 4 - Danh mục'!$I$14:$I$132,T438+1):'Lớp 4 - Danh mục'!$I$132&lt;&gt;"")*(COUNTIF('Lớp 5 - Phân công'!$J$14:$J$262,INDEX('Lớp 4 - Danh mục'!$I$14:$I$132,T438+1):'Lớp 4 - Danh mục'!$I$132)=0),0),0)),IF(S438&lt;&gt;"Lớp 3",MATCH(1,INDEX(('Lớp 3 - Công việc chính'!$I$14:$I$73&lt;&gt;"")*(COUNTIF('Lớp 4 - Danh mục'!$J$14:$J$132,'Lớp 3 - Công việc chính'!$I$14:$I$73)=0),0),0),T438+MATCH(1,INDEX((INDEX('Lớp 3 - Công việc chính'!$I$14:$I$73,T438+1):'Lớp 3 - Công việc chính'!$I$73&lt;&gt;"")*(COUNTIF('Lớp 4 - Danh mục'!$J$14:$J$132,INDEX('Lớp 3 - Công việc chính'!$I$14:$I$73,T438+1):'Lớp 3 - Công việc chính'!$I$73)=0),0),0)))))</f>
        <v>#REF!</v>
      </c>
      <c r="Z439" s="700" t="str">
        <f t="array" ref="Z439">IF($S439="","",IF($S439="Lớp 5",INDEX('Lớp 5 - Phân công'!$AS$14:$AS$262,$T439),IF($S439="Lớp 4",INDEX('Lớp 4 - Danh mục'!$AR$14:$AR$132,$T439),INDEX('Lớp 3 - Công việc chính'!$AO$14:$AO$73,$T439))))</f>
        <v>#REF!</v>
      </c>
      <c r="AA439" s="701" t="str">
        <f t="array" ref="AA439">IF($S439="","",IF($S439="Lớp 5",INDEX('Lớp 5 - Phân công'!$AT$14:$AT$262,$T439),IF($S439="Lớp 4",INDEX('Lớp 4 - Danh mục'!$AS$14:$AS$132,$T439),INDEX('Lớp 3 - Công việc chính'!$AP$14:$AP$73,$T439))))</f>
        <v>#REF!</v>
      </c>
      <c r="AB439" s="701" t="str">
        <f t="array" ref="AB439">IF($S439="","",IF($S439="Lớp 5",INDEX('Lớp 5 - Phân công'!$AJ$14:$AJ$262,$T439),IF($S439="Lớp 4",INDEX('Lớp 4 - Danh mục'!$AI$14:$AI$132,$T439),INDEX('Lớp 3 - Công việc chính'!$AF$14:$AF$73,$T439))))</f>
        <v>#REF!</v>
      </c>
      <c r="AC439" s="702" t="str">
        <f t="array" ref="AC439">IF($S439="","",IF($S439="Lớp 5",INDEX('Lớp 5 - Phân công'!$AV$14:$AV$262,$T439),IF($S439="Lớp 4",INDEX('Lớp 4 - Danh mục'!$AU$14:$AU$132,$T439),INDEX('Lớp 3 - Công việc chính'!$AR$14:$AR$73,$T439))))</f>
        <v>#REF!</v>
      </c>
    </row>
    <row r="440" ht="15.75" customHeight="1">
      <c r="A440" s="690" t="str">
        <f t="shared" si="1"/>
        <v>#REF!</v>
      </c>
      <c r="B440" s="690" t="str">
        <f t="array" ref="B440">IF($S440="","",IF($S440="Lớp 5",INDEX('Lớp 5 - Phân công'!$I$14:$I$262,$T440),IF($S440="Lớp 4",INDEX('Lớp 4 - Danh mục'!$I$14:$I$132,$T440),INDEX('Lớp 3 - Công việc chính'!$I$14:$I$73,$T440))))</f>
        <v>#REF!</v>
      </c>
      <c r="C440" s="690" t="str">
        <f t="array" ref="C440">IF($S440="","",IF($S440="Lớp 5",INDEX('Lớp 5 - Phân công'!$K$14:$K$262,$T440),IF($S440="Lớp 4",INDEX('Lớp 4 - Danh mục'!$J$14:$J$132,$T440),INDEX('Lớp 3 - Công việc chính'!$I$14:$I$73,$T440))))</f>
        <v>#REF!</v>
      </c>
      <c r="D440" s="690" t="str">
        <f t="array" ref="D440">IF($S440="","",IF($S440="Lớp 5",INDEX('Lớp 5 - Phân công'!$J$14:$J$262,$T440),IF($S440="Lớp 4",INDEX('Lớp 4 - Danh mục'!$I$14:$I$132,$T440),"")))</f>
        <v>#REF!</v>
      </c>
      <c r="E440" s="690" t="str">
        <f t="array" ref="E440">IF($S440="","",IF($S440="Lớp 5",INDEX('Lớp 5 - Phân công'!$L$14:$L$262,$T440),IF($S440="Lớp 4",INDEX('Lớp 4 - Danh mục'!$K$14:$K$132,$T440),INDEX('Lớp 3 - Công việc chính'!$J$14:$J$73,$T440))))</f>
        <v>#REF!</v>
      </c>
      <c r="F440" s="690" t="str">
        <f t="array" ref="F440">IF($S440="","",IF($S440="Lớp 5",INDEX('Lớp 5 - Phân công'!$M$14:$M$262,$T440),IF($S440="Lớp 4",INDEX('Lớp 4 - Danh mục'!$L$14:$L$132,$T440),INDEX('Lớp 3 - Công việc chính'!$K$14:$K$73,$T440))))</f>
        <v>#REF!</v>
      </c>
      <c r="G440" s="691" t="str">
        <f t="array" ref="G440">IF($S440="","",IF($S440="Lớp 5",INDEX('Lớp 5 - Phân công'!$N$14:$N$262,$T440),IF($S440="Lớp 4",INDEX('Lớp 4 - Danh mục'!$M$14:$M$132,$T440),INDEX('Lớp 3 - Công việc chính'!$L$14:$L$73,$T440))))</f>
        <v>#REF!</v>
      </c>
      <c r="H440" s="692" t="str">
        <f t="array" ref="H440">IF($S440="","",IF($S440="Lớp 5",INDEX('Lớp 5 - Phân công'!$O$14:$O$262,$T440),IF($S440="Lớp 4",INDEX('Lớp 4 - Danh mục'!$N$14:$N$132,$T440),INDEX('Lớp 3 - Công việc chính'!$M$14:$M$73,$T440))))</f>
        <v>#REF!</v>
      </c>
      <c r="I440" s="692" t="str">
        <f t="array" ref="I440">IF($S440="","",IF($S440="Lớp 5",INDEX('Lớp 5 - Phân công'!$P$14:$P$262,$T440),IF($S440="Lớp 4",INDEX('Lớp 4 - Danh mục'!$O$14:$O$132,$T440),"")))</f>
        <v>#REF!</v>
      </c>
      <c r="J440" s="693" t="str">
        <f t="array" ref="J440">IF($S440="","",IF($S440="Lớp 5",INDEX('Lớp 5 - Phân công'!$Q$14:$Q$262,$T440),""))</f>
        <v>#REF!</v>
      </c>
      <c r="K440" s="690" t="str">
        <f t="array" ref="K440">IF($S440="","",IF($S440="Lớp 5",INDEX('Lớp 5 - Phân công'!$AA$14:$AA$262,$T440),IF($S440="Lớp 4",INDEX('Lớp 4 - Danh mục'!$Y$14:$Y$132,$T440),INDEX('Lớp 3 - Công việc chính'!$U$14:$U$73,$T440))))</f>
        <v>#REF!</v>
      </c>
      <c r="L440" s="691" t="str">
        <f t="array" ref="L440">IF($S440="","",IF($S440="Lớp 5",INDEX('Lớp 5 - Phân công'!$Z$14:$Z$262,$T440),IF($S440="Lớp 4",INDEX('Lớp 4 - Danh mục'!$X$14:$X$132,$T440),INDEX('Lớp 3 - Công việc chính'!$W$14:$W$73,$T440))))</f>
        <v>#REF!</v>
      </c>
      <c r="M440" s="694" t="str">
        <f t="array" ref="M440">IF($S440="","",IF($S440="Lớp 5",INDEX('Lớp 5 - Phân công'!$AD$14:$AD$262,$T440),IF($S440="Lớp 4",INDEX('Lớp 4 - Danh mục'!$AC$14:$AC$132,$T440),INDEX('Lớp 3 - Công việc chính'!$Z$14:$Z$73,$T440))))</f>
        <v>#REF!</v>
      </c>
      <c r="N440" s="695" t="str">
        <f t="array" ref="N440">IF($S440="","",IF($S440="Lớp 5",INDEX('Lớp 5 - Phân công'!$AE$14:$AE$262,$T440),IF($S440="Lớp 4",INDEX('Lớp 4 - Danh mục'!$AD$14:$AD$132,$T440),INDEX('Lớp 3 - Công việc chính'!$AA$14:$AA$73,$T440))))</f>
        <v>#REF!</v>
      </c>
      <c r="O440" s="690" t="str">
        <f t="array" ref="O440">IF($S440="","",IF($S440="Lớp 5",INDEX('Lớp 5 - Phân công'!$AB$14:$AB$262,$T440),IF($S440="Lớp 4",INDEX('Lớp 4 - Danh mục'!$AA$14:$AA$132,$T440),INDEX('Lớp 3 - Công việc chính'!$X$14:$X$73,$T440))))</f>
        <v>#REF!</v>
      </c>
      <c r="P440" s="703" t="str">
        <f t="array" ref="P440">IF($S440="","",IF($S440="Lớp 5",INDEX('Lớp 5 - Phân công'!$AC$14:$AC$262,$T440),IF($S440="Lớp 4",INDEX('Lớp 4 - Danh mục'!$AB$14:$AB$132,$T440),INDEX('Lớp 3 - Công việc chính'!$Y$14:$Y$73,$T440))))</f>
        <v>#REF!</v>
      </c>
      <c r="Q440" s="697" t="str">
        <f t="array" ref="Q440">IF($S440="","",IF($S440="Lớp 5",INDEX('Lớp 5 - Phân công'!$AG$14:$AG$262,$T440),IF($S440="Lớp 4",INDEX('Lớp 4 - Danh mục'!$AF$14:$AF$132,$T440),INDEX('Lớp 3 - Công việc chính'!$AC$14:$AC$73,$T440))))</f>
        <v>#REF!</v>
      </c>
      <c r="R440" s="698" t="str">
        <f t="array" ref="R440">IF($S440="","",IF($S440="Lớp 5",INDEX('Lớp 5 - Phân công'!$X$14:$X$262,$T440),IF($S440="Lớp 4",INDEX('Lớp 4 - Danh mục'!$V$14:$V$132,$T440),INDEX('Lớp 3 - Công việc chính'!$T$14:$T$73,$T440))))</f>
        <v>#REF!</v>
      </c>
      <c r="S440" s="699" t="str">
        <f>IF(ROWS($S$14:S440)&lt;=COUNTIF('Lớp 5 - Phân công'!$I$14:$I$262,"&lt;&gt;"),"Lớp 5",IF(ROWS($S$14:S440)&lt;=COUNTIF('Lớp 5 - Phân công'!$I$14:$I$262,"&lt;&gt;")+SUMPRODUCT(--('Lớp 4 - Danh mục'!$I$14:$I$132&lt;&gt;""),--(COUNTIF('Lớp 5 - Phân công'!$J$14:$J$262,'Lớp 4 - Danh mục'!$I$14:$I$132)=0)),"Lớp 4",IF(ROWS($S$14:S440)&lt;=COUNTIF('Lớp 5 - Phân công'!$I$14:$I$262,"&lt;&gt;")+SUMPRODUCT(--('Lớp 4 - Danh mục'!$I$14:$I$132&lt;&gt;""),--(COUNTIF('Lớp 5 - Phân công'!$J$14:$J$262,'Lớp 4 - Danh mục'!$I$14:$I$132)=0))+SUMPRODUCT(--('Lớp 3 - Công việc chính'!$I$14:$I$73&lt;&gt;""),--(COUNTIF('Lớp 4 - Danh mục'!$J$14:$J$132,'Lớp 3 - Công việc chính'!$I$14:$I$73)=0)),"Lớp 3","")))</f>
        <v>#REF!</v>
      </c>
      <c r="T440" s="699" t="str">
        <f t="array" ref="T440">IF(S440="","",IF(S440="Lớp 5",IF(S439&lt;&gt;"Lớp 5",MATCH("*",'Lớp 5 - Phân công'!$I$14:$I$262,0),T439+MATCH("*",INDEX('Lớp 5 - Phân công'!$I$14:$I$262,T439+1):'Lớp 5 - Phân công'!$I$262,0)),IF(S440="Lớp 4",IF(S439&lt;&gt;"Lớp 4",MATCH(1,INDEX(('Lớp 4 - Danh mục'!$I$14:$I$132&lt;&gt;"")*(COUNTIF('Lớp 5 - Phân công'!$J$14:$J$262,'Lớp 4 - Danh mục'!$I$14:$I$132)=0),0),0),T439+MATCH(1,INDEX((INDEX('Lớp 4 - Danh mục'!$I$14:$I$132,T439+1):'Lớp 4 - Danh mục'!$I$132&lt;&gt;"")*(COUNTIF('Lớp 5 - Phân công'!$J$14:$J$262,INDEX('Lớp 4 - Danh mục'!$I$14:$I$132,T439+1):'Lớp 4 - Danh mục'!$I$132)=0),0),0)),IF(S439&lt;&gt;"Lớp 3",MATCH(1,INDEX(('Lớp 3 - Công việc chính'!$I$14:$I$73&lt;&gt;"")*(COUNTIF('Lớp 4 - Danh mục'!$J$14:$J$132,'Lớp 3 - Công việc chính'!$I$14:$I$73)=0),0),0),T439+MATCH(1,INDEX((INDEX('Lớp 3 - Công việc chính'!$I$14:$I$73,T439+1):'Lớp 3 - Công việc chính'!$I$73&lt;&gt;"")*(COUNTIF('Lớp 4 - Danh mục'!$J$14:$J$132,INDEX('Lớp 3 - Công việc chính'!$I$14:$I$73,T439+1):'Lớp 3 - Công việc chính'!$I$73)=0),0),0)))))</f>
        <v>#REF!</v>
      </c>
      <c r="Z440" s="700" t="str">
        <f t="array" ref="Z440">IF($S440="","",IF($S440="Lớp 5",INDEX('Lớp 5 - Phân công'!$AS$14:$AS$262,$T440),IF($S440="Lớp 4",INDEX('Lớp 4 - Danh mục'!$AR$14:$AR$132,$T440),INDEX('Lớp 3 - Công việc chính'!$AO$14:$AO$73,$T440))))</f>
        <v>#REF!</v>
      </c>
      <c r="AA440" s="701" t="str">
        <f t="array" ref="AA440">IF($S440="","",IF($S440="Lớp 5",INDEX('Lớp 5 - Phân công'!$AT$14:$AT$262,$T440),IF($S440="Lớp 4",INDEX('Lớp 4 - Danh mục'!$AS$14:$AS$132,$T440),INDEX('Lớp 3 - Công việc chính'!$AP$14:$AP$73,$T440))))</f>
        <v>#REF!</v>
      </c>
      <c r="AB440" s="701" t="str">
        <f t="array" ref="AB440">IF($S440="","",IF($S440="Lớp 5",INDEX('Lớp 5 - Phân công'!$AJ$14:$AJ$262,$T440),IF($S440="Lớp 4",INDEX('Lớp 4 - Danh mục'!$AI$14:$AI$132,$T440),INDEX('Lớp 3 - Công việc chính'!$AF$14:$AF$73,$T440))))</f>
        <v>#REF!</v>
      </c>
      <c r="AC440" s="702" t="str">
        <f t="array" ref="AC440">IF($S440="","",IF($S440="Lớp 5",INDEX('Lớp 5 - Phân công'!$AV$14:$AV$262,$T440),IF($S440="Lớp 4",INDEX('Lớp 4 - Danh mục'!$AU$14:$AU$132,$T440),INDEX('Lớp 3 - Công việc chính'!$AR$14:$AR$73,$T440))))</f>
        <v>#REF!</v>
      </c>
    </row>
    <row r="441" ht="15.75" customHeight="1">
      <c r="A441" s="690" t="str">
        <f t="shared" si="1"/>
        <v>#REF!</v>
      </c>
      <c r="B441" s="690" t="str">
        <f t="array" ref="B441">IF($S441="","",IF($S441="Lớp 5",INDEX('Lớp 5 - Phân công'!$I$14:$I$262,$T441),IF($S441="Lớp 4",INDEX('Lớp 4 - Danh mục'!$I$14:$I$132,$T441),INDEX('Lớp 3 - Công việc chính'!$I$14:$I$73,$T441))))</f>
        <v>#REF!</v>
      </c>
      <c r="C441" s="690" t="str">
        <f t="array" ref="C441">IF($S441="","",IF($S441="Lớp 5",INDEX('Lớp 5 - Phân công'!$K$14:$K$262,$T441),IF($S441="Lớp 4",INDEX('Lớp 4 - Danh mục'!$J$14:$J$132,$T441),INDEX('Lớp 3 - Công việc chính'!$I$14:$I$73,$T441))))</f>
        <v>#REF!</v>
      </c>
      <c r="D441" s="690" t="str">
        <f t="array" ref="D441">IF($S441="","",IF($S441="Lớp 5",INDEX('Lớp 5 - Phân công'!$J$14:$J$262,$T441),IF($S441="Lớp 4",INDEX('Lớp 4 - Danh mục'!$I$14:$I$132,$T441),"")))</f>
        <v>#REF!</v>
      </c>
      <c r="E441" s="690" t="str">
        <f t="array" ref="E441">IF($S441="","",IF($S441="Lớp 5",INDEX('Lớp 5 - Phân công'!$L$14:$L$262,$T441),IF($S441="Lớp 4",INDEX('Lớp 4 - Danh mục'!$K$14:$K$132,$T441),INDEX('Lớp 3 - Công việc chính'!$J$14:$J$73,$T441))))</f>
        <v>#REF!</v>
      </c>
      <c r="F441" s="690" t="str">
        <f t="array" ref="F441">IF($S441="","",IF($S441="Lớp 5",INDEX('Lớp 5 - Phân công'!$M$14:$M$262,$T441),IF($S441="Lớp 4",INDEX('Lớp 4 - Danh mục'!$L$14:$L$132,$T441),INDEX('Lớp 3 - Công việc chính'!$K$14:$K$73,$T441))))</f>
        <v>#REF!</v>
      </c>
      <c r="G441" s="691" t="str">
        <f t="array" ref="G441">IF($S441="","",IF($S441="Lớp 5",INDEX('Lớp 5 - Phân công'!$N$14:$N$262,$T441),IF($S441="Lớp 4",INDEX('Lớp 4 - Danh mục'!$M$14:$M$132,$T441),INDEX('Lớp 3 - Công việc chính'!$L$14:$L$73,$T441))))</f>
        <v>#REF!</v>
      </c>
      <c r="H441" s="692" t="str">
        <f t="array" ref="H441">IF($S441="","",IF($S441="Lớp 5",INDEX('Lớp 5 - Phân công'!$O$14:$O$262,$T441),IF($S441="Lớp 4",INDEX('Lớp 4 - Danh mục'!$N$14:$N$132,$T441),INDEX('Lớp 3 - Công việc chính'!$M$14:$M$73,$T441))))</f>
        <v>#REF!</v>
      </c>
      <c r="I441" s="692" t="str">
        <f t="array" ref="I441">IF($S441="","",IF($S441="Lớp 5",INDEX('Lớp 5 - Phân công'!$P$14:$P$262,$T441),IF($S441="Lớp 4",INDEX('Lớp 4 - Danh mục'!$O$14:$O$132,$T441),"")))</f>
        <v>#REF!</v>
      </c>
      <c r="J441" s="693" t="str">
        <f t="array" ref="J441">IF($S441="","",IF($S441="Lớp 5",INDEX('Lớp 5 - Phân công'!$Q$14:$Q$262,$T441),""))</f>
        <v>#REF!</v>
      </c>
      <c r="K441" s="690" t="str">
        <f t="array" ref="K441">IF($S441="","",IF($S441="Lớp 5",INDEX('Lớp 5 - Phân công'!$AA$14:$AA$262,$T441),IF($S441="Lớp 4",INDEX('Lớp 4 - Danh mục'!$Y$14:$Y$132,$T441),INDEX('Lớp 3 - Công việc chính'!$U$14:$U$73,$T441))))</f>
        <v>#REF!</v>
      </c>
      <c r="L441" s="691" t="str">
        <f t="array" ref="L441">IF($S441="","",IF($S441="Lớp 5",INDEX('Lớp 5 - Phân công'!$Z$14:$Z$262,$T441),IF($S441="Lớp 4",INDEX('Lớp 4 - Danh mục'!$X$14:$X$132,$T441),INDEX('Lớp 3 - Công việc chính'!$W$14:$W$73,$T441))))</f>
        <v>#REF!</v>
      </c>
      <c r="M441" s="694" t="str">
        <f t="array" ref="M441">IF($S441="","",IF($S441="Lớp 5",INDEX('Lớp 5 - Phân công'!$AD$14:$AD$262,$T441),IF($S441="Lớp 4",INDEX('Lớp 4 - Danh mục'!$AC$14:$AC$132,$T441),INDEX('Lớp 3 - Công việc chính'!$Z$14:$Z$73,$T441))))</f>
        <v>#REF!</v>
      </c>
      <c r="N441" s="695" t="str">
        <f t="array" ref="N441">IF($S441="","",IF($S441="Lớp 5",INDEX('Lớp 5 - Phân công'!$AE$14:$AE$262,$T441),IF($S441="Lớp 4",INDEX('Lớp 4 - Danh mục'!$AD$14:$AD$132,$T441),INDEX('Lớp 3 - Công việc chính'!$AA$14:$AA$73,$T441))))</f>
        <v>#REF!</v>
      </c>
      <c r="O441" s="690" t="str">
        <f t="array" ref="O441">IF($S441="","",IF($S441="Lớp 5",INDEX('Lớp 5 - Phân công'!$AB$14:$AB$262,$T441),IF($S441="Lớp 4",INDEX('Lớp 4 - Danh mục'!$AA$14:$AA$132,$T441),INDEX('Lớp 3 - Công việc chính'!$X$14:$X$73,$T441))))</f>
        <v>#REF!</v>
      </c>
      <c r="P441" s="703" t="str">
        <f t="array" ref="P441">IF($S441="","",IF($S441="Lớp 5",INDEX('Lớp 5 - Phân công'!$AC$14:$AC$262,$T441),IF($S441="Lớp 4",INDEX('Lớp 4 - Danh mục'!$AB$14:$AB$132,$T441),INDEX('Lớp 3 - Công việc chính'!$Y$14:$Y$73,$T441))))</f>
        <v>#REF!</v>
      </c>
      <c r="Q441" s="697" t="str">
        <f t="array" ref="Q441">IF($S441="","",IF($S441="Lớp 5",INDEX('Lớp 5 - Phân công'!$AG$14:$AG$262,$T441),IF($S441="Lớp 4",INDEX('Lớp 4 - Danh mục'!$AF$14:$AF$132,$T441),INDEX('Lớp 3 - Công việc chính'!$AC$14:$AC$73,$T441))))</f>
        <v>#REF!</v>
      </c>
      <c r="R441" s="698" t="str">
        <f t="array" ref="R441">IF($S441="","",IF($S441="Lớp 5",INDEX('Lớp 5 - Phân công'!$X$14:$X$262,$T441),IF($S441="Lớp 4",INDEX('Lớp 4 - Danh mục'!$V$14:$V$132,$T441),INDEX('Lớp 3 - Công việc chính'!$T$14:$T$73,$T441))))</f>
        <v>#REF!</v>
      </c>
      <c r="S441" s="699" t="str">
        <f>IF(ROWS($S$14:S441)&lt;=COUNTIF('Lớp 5 - Phân công'!$I$14:$I$262,"&lt;&gt;"),"Lớp 5",IF(ROWS($S$14:S441)&lt;=COUNTIF('Lớp 5 - Phân công'!$I$14:$I$262,"&lt;&gt;")+SUMPRODUCT(--('Lớp 4 - Danh mục'!$I$14:$I$132&lt;&gt;""),--(COUNTIF('Lớp 5 - Phân công'!$J$14:$J$262,'Lớp 4 - Danh mục'!$I$14:$I$132)=0)),"Lớp 4",IF(ROWS($S$14:S441)&lt;=COUNTIF('Lớp 5 - Phân công'!$I$14:$I$262,"&lt;&gt;")+SUMPRODUCT(--('Lớp 4 - Danh mục'!$I$14:$I$132&lt;&gt;""),--(COUNTIF('Lớp 5 - Phân công'!$J$14:$J$262,'Lớp 4 - Danh mục'!$I$14:$I$132)=0))+SUMPRODUCT(--('Lớp 3 - Công việc chính'!$I$14:$I$73&lt;&gt;""),--(COUNTIF('Lớp 4 - Danh mục'!$J$14:$J$132,'Lớp 3 - Công việc chính'!$I$14:$I$73)=0)),"Lớp 3","")))</f>
        <v>#REF!</v>
      </c>
      <c r="T441" s="699" t="str">
        <f t="array" ref="T441">IF(S441="","",IF(S441="Lớp 5",IF(S440&lt;&gt;"Lớp 5",MATCH("*",'Lớp 5 - Phân công'!$I$14:$I$262,0),T440+MATCH("*",INDEX('Lớp 5 - Phân công'!$I$14:$I$262,T440+1):'Lớp 5 - Phân công'!$I$262,0)),IF(S441="Lớp 4",IF(S440&lt;&gt;"Lớp 4",MATCH(1,INDEX(('Lớp 4 - Danh mục'!$I$14:$I$132&lt;&gt;"")*(COUNTIF('Lớp 5 - Phân công'!$J$14:$J$262,'Lớp 4 - Danh mục'!$I$14:$I$132)=0),0),0),T440+MATCH(1,INDEX((INDEX('Lớp 4 - Danh mục'!$I$14:$I$132,T440+1):'Lớp 4 - Danh mục'!$I$132&lt;&gt;"")*(COUNTIF('Lớp 5 - Phân công'!$J$14:$J$262,INDEX('Lớp 4 - Danh mục'!$I$14:$I$132,T440+1):'Lớp 4 - Danh mục'!$I$132)=0),0),0)),IF(S440&lt;&gt;"Lớp 3",MATCH(1,INDEX(('Lớp 3 - Công việc chính'!$I$14:$I$73&lt;&gt;"")*(COUNTIF('Lớp 4 - Danh mục'!$J$14:$J$132,'Lớp 3 - Công việc chính'!$I$14:$I$73)=0),0),0),T440+MATCH(1,INDEX((INDEX('Lớp 3 - Công việc chính'!$I$14:$I$73,T440+1):'Lớp 3 - Công việc chính'!$I$73&lt;&gt;"")*(COUNTIF('Lớp 4 - Danh mục'!$J$14:$J$132,INDEX('Lớp 3 - Công việc chính'!$I$14:$I$73,T440+1):'Lớp 3 - Công việc chính'!$I$73)=0),0),0)))))</f>
        <v>#REF!</v>
      </c>
      <c r="Z441" s="700" t="str">
        <f t="array" ref="Z441">IF($S441="","",IF($S441="Lớp 5",INDEX('Lớp 5 - Phân công'!$AS$14:$AS$262,$T441),IF($S441="Lớp 4",INDEX('Lớp 4 - Danh mục'!$AR$14:$AR$132,$T441),INDEX('Lớp 3 - Công việc chính'!$AO$14:$AO$73,$T441))))</f>
        <v>#REF!</v>
      </c>
      <c r="AA441" s="701" t="str">
        <f t="array" ref="AA441">IF($S441="","",IF($S441="Lớp 5",INDEX('Lớp 5 - Phân công'!$AT$14:$AT$262,$T441),IF($S441="Lớp 4",INDEX('Lớp 4 - Danh mục'!$AS$14:$AS$132,$T441),INDEX('Lớp 3 - Công việc chính'!$AP$14:$AP$73,$T441))))</f>
        <v>#REF!</v>
      </c>
      <c r="AB441" s="701" t="str">
        <f t="array" ref="AB441">IF($S441="","",IF($S441="Lớp 5",INDEX('Lớp 5 - Phân công'!$AJ$14:$AJ$262,$T441),IF($S441="Lớp 4",INDEX('Lớp 4 - Danh mục'!$AI$14:$AI$132,$T441),INDEX('Lớp 3 - Công việc chính'!$AF$14:$AF$73,$T441))))</f>
        <v>#REF!</v>
      </c>
      <c r="AC441" s="702" t="str">
        <f t="array" ref="AC441">IF($S441="","",IF($S441="Lớp 5",INDEX('Lớp 5 - Phân công'!$AV$14:$AV$262,$T441),IF($S441="Lớp 4",INDEX('Lớp 4 - Danh mục'!$AU$14:$AU$132,$T441),INDEX('Lớp 3 - Công việc chính'!$AR$14:$AR$73,$T441))))</f>
        <v>#REF!</v>
      </c>
    </row>
    <row r="442" ht="15.75" hidden="1" customHeight="1">
      <c r="A442" s="829" t="str">
        <f>S442</f>
        <v>#REF!</v>
      </c>
      <c r="B442" s="829" t="str">
        <f t="array" ref="B442">IF($S442="","",IF($S442="Lớp 5",INDEX('Lớp 5 - Phân công'!$I$14:$I$262,$T442),IF($S442="Lớp 4",INDEX('Lớp 4 - Danh mục'!$I$14:$I$132,$T442),INDEX('Lớp 3 - Công việc chính'!$I$14:$I$73,$T442))))</f>
        <v>#REF!</v>
      </c>
      <c r="C442" s="829" t="str">
        <f t="array" ref="C442">IF($S442="","",IF($S442="Lớp 5",INDEX('Lớp 5 - Phân công'!$K$14:$K$262,$T442),IF($S442="Lớp 4",INDEX('Lớp 4 - Danh mục'!$J$14:$J$132,$T442),INDEX('Lớp 3 - Công việc chính'!$I$14:$I$73,$T442))))</f>
        <v>#REF!</v>
      </c>
      <c r="D442" s="829" t="str">
        <f t="array" ref="D442">IF($S442="","",IF($S442="Lớp 5",INDEX('Lớp 5 - Phân công'!$J$14:$J$262,$T442),IF($S442="Lớp 4",INDEX('Lớp 4 - Danh mục'!$I$14:$I$132,$T442),"")))</f>
        <v>#REF!</v>
      </c>
      <c r="E442" s="829" t="str">
        <f t="array" ref="E442">IF($S442="","",IF($S442="Lớp 5",INDEX('Lớp 5 - Phân công'!$L$14:$L$262,$T442),IF($S442="Lớp 4",INDEX('Lớp 4 - Danh mục'!$K$14:$K$132,$T442),INDEX('Lớp 3 - Công việc chính'!$J$14:$J$73,$T442))))</f>
        <v>#REF!</v>
      </c>
      <c r="F442" s="829" t="str">
        <f t="array" ref="F442">IF($S442="","",IF($S442="Lớp 5",INDEX('Lớp 5 - Phân công'!$M$14:$M$262,$T442),IF($S442="Lớp 4",INDEX('Lớp 4 - Danh mục'!$L$14:$L$132,$T442),INDEX('Lớp 3 - Công việc chính'!$K$14:$K$73,$T442))))</f>
        <v>#REF!</v>
      </c>
      <c r="G442" s="830" t="str">
        <f t="array" ref="G442">IF($S442="","",IF($S442="Lớp 5",INDEX('Lớp 5 - Phân công'!$N$14:$N$262,$T442),IF($S442="Lớp 4",INDEX('Lớp 4 - Danh mục'!$M$14:$M$132,$T442),INDEX('Lớp 3 - Công việc chính'!$L$14:$L$73,$T442))))</f>
        <v>#REF!</v>
      </c>
      <c r="H442" s="831" t="str">
        <f t="array" ref="H442">IF($S442="","",IF($S442="Lớp 5",INDEX('Lớp 5 - Phân công'!$O$14:$O$262,$T442),IF($S442="Lớp 4",INDEX('Lớp 4 - Danh mục'!$N$14:$N$132,$T442),INDEX('Lớp 3 - Công việc chính'!$M$14:$M$73,$T442))))</f>
        <v>#REF!</v>
      </c>
      <c r="I442" s="831" t="str">
        <f t="array" ref="I442">IF($S442="","",IF($S442="Lớp 5",INDEX('Lớp 5 - Phân công'!$P$14:$P$262,$T442),IF($S442="Lớp 4",INDEX('Lớp 4 - Danh mục'!$O$14:$O$132,$T442),"")))</f>
        <v>#REF!</v>
      </c>
      <c r="J442" s="832" t="str">
        <f t="array" ref="J442">IF($S442="","",IF($S442="Lớp 5",INDEX('Lớp 5 - Phân công'!$Q$14:$Q$262,$T442),""))</f>
        <v>#REF!</v>
      </c>
      <c r="K442" s="829" t="str">
        <f t="array" ref="K442">IF($S442="","",IF($S442="Lớp 5",INDEX('Lớp 5 - Phân công'!$AA$14:$AA$262,$T442),IF($S442="Lớp 4",INDEX('Lớp 4 - Danh mục'!$Y$14:$Y$132,$T442),INDEX('Lớp 3 - Công việc chính'!$U$14:$U$73,$T442))))</f>
        <v>#REF!</v>
      </c>
      <c r="L442" s="691" t="str">
        <f t="array" ref="L442">IF($S442="","",IF($S442="Lớp 5",INDEX('Lớp 5 - Phân công'!$Z$14:$Z$262,$T442),IF($S442="Lớp 4",INDEX('Lớp 4 - Danh mục'!$X$14:$X$132,$T442),INDEX('Lớp 3 - Công việc chính'!$W$14:$W$73,$T442))))</f>
        <v>#REF!</v>
      </c>
      <c r="M442" s="694" t="str">
        <f t="array" ref="M442">IF($S442="","",IF($S442="Lớp 5",INDEX('Lớp 5 - Phân công'!$AD$14:$AD$262,$T442),IF($S442="Lớp 4",INDEX('Lớp 4 - Danh mục'!$AC$14:$AC$132,$T442),INDEX('Lớp 3 - Công việc chính'!$Z$14:$Z$73,$T442))))</f>
        <v>#REF!</v>
      </c>
      <c r="N442" s="695" t="str">
        <f t="array" ref="N442">IF($S442="","",IF($S442="Lớp 5",INDEX('Lớp 5 - Phân công'!$AE$14:$AE$262,$T442),IF($S442="Lớp 4",INDEX('Lớp 4 - Danh mục'!$AD$14:$AD$132,$T442),INDEX('Lớp 3 - Công việc chính'!$AA$14:$AA$73,$T442))))</f>
        <v>#REF!</v>
      </c>
      <c r="O442" s="690" t="str">
        <f t="array" ref="O442">IF($S442="","",IF($S442="Lớp 5",INDEX('Lớp 5 - Phân công'!$AB$14:$AB$262,$T442),IF($S442="Lớp 4",INDEX('Lớp 4 - Danh mục'!$AA$14:$AA$132,$T442),INDEX('Lớp 3 - Công việc chính'!$X$14:$X$73,$T442))))</f>
        <v>#REF!</v>
      </c>
      <c r="P442" s="703" t="str">
        <f t="array" ref="P442">IF($S442="","",IF($S442="Lớp 5",INDEX('Lớp 5 - Phân công'!$AC$14:$AC$262,$T442),IF($S442="Lớp 4",INDEX('Lớp 4 - Danh mục'!$AB$14:$AB$132,$T442),INDEX('Lớp 3 - Công việc chính'!$Y$14:$Y$73,$T442))))</f>
        <v>#REF!</v>
      </c>
      <c r="Q442" s="697" t="str">
        <f t="array" ref="Q442">IF($S442="","",IF($S442="Lớp 5",INDEX('Lớp 5 - Phân công'!$AG$14:$AG$262,$T442),IF($S442="Lớp 4",INDEX('Lớp 4 - Danh mục'!$AF$14:$AF$132,$T442),INDEX('Lớp 3 - Công việc chính'!$AC$14:$AC$73,$T442))))</f>
        <v>#REF!</v>
      </c>
      <c r="R442" s="698" t="str">
        <f t="array" ref="R442">IF($S442="","",IF($S442="Lớp 5",INDEX('Lớp 5 - Phân công'!$X$14:$X$262,$T442),IF($S442="Lớp 4",INDEX('Lớp 4 - Danh mục'!$V$14:$V$132,$T442),INDEX('Lớp 3 - Công việc chính'!$T$14:$T$73,$T442))))</f>
        <v>#REF!</v>
      </c>
      <c r="S442" s="699" t="str">
        <f>IF(ROWS($S$14:S442)&lt;=COUNTIF('Lớp 5 - Phân công'!$I$14:$I$262,"&lt;&gt;"),"Lớp 5",IF(ROWS($S$14:S442)&lt;=COUNTIF('Lớp 5 - Phân công'!$I$14:$I$262,"&lt;&gt;")+SUMPRODUCT(--('Lớp 4 - Danh mục'!$I$14:$I$132&lt;&gt;""),--(COUNTIF('Lớp 5 - Phân công'!$J$14:$J$262,'Lớp 4 - Danh mục'!$I$14:$I$132)=0)),"Lớp 4",IF(ROWS($S$14:S442)&lt;=COUNTIF('Lớp 5 - Phân công'!$I$14:$I$262,"&lt;&gt;")+SUMPRODUCT(--('Lớp 4 - Danh mục'!$I$14:$I$132&lt;&gt;""),--(COUNTIF('Lớp 5 - Phân công'!$J$14:$J$262,'Lớp 4 - Danh mục'!$I$14:$I$132)=0))+SUMPRODUCT(--('Lớp 3 - Công việc chính'!$I$14:$I$73&lt;&gt;""),--(COUNTIF('Lớp 4 - Danh mục'!$J$14:$J$132,'Lớp 3 - Công việc chính'!$I$14:$I$73)=0)),"Lớp 3","")))</f>
        <v>#REF!</v>
      </c>
      <c r="T442" s="699" t="str">
        <f t="array" ref="T442">IF(S442="","",IF(S442="Lớp 5",IF(S441&lt;&gt;"Lớp 5",MATCH("*",'Lớp 5 - Phân công'!$I$14:$I$262,0),T441+MATCH("*",INDEX('Lớp 5 - Phân công'!$I$14:$I$262,T441+1):'Lớp 5 - Phân công'!$I$262,0)),IF(S442="Lớp 4",IF(S441&lt;&gt;"Lớp 4",MATCH(1,INDEX(('Lớp 4 - Danh mục'!$I$14:$I$132&lt;&gt;"")*(COUNTIF('Lớp 5 - Phân công'!$J$14:$J$262,'Lớp 4 - Danh mục'!$I$14:$I$132)=0),0),0),T441+MATCH(1,INDEX((INDEX('Lớp 4 - Danh mục'!$I$14:$I$132,T441+1):'Lớp 4 - Danh mục'!$I$132&lt;&gt;"")*(COUNTIF('Lớp 5 - Phân công'!$J$14:$J$262,INDEX('Lớp 4 - Danh mục'!$I$14:$I$132,T441+1):'Lớp 4 - Danh mục'!$I$132)=0),0),0)),IF(S441&lt;&gt;"Lớp 3",MATCH(1,INDEX(('Lớp 3 - Công việc chính'!$I$14:$I$73&lt;&gt;"")*(COUNTIF('Lớp 4 - Danh mục'!$J$14:$J$132,'Lớp 3 - Công việc chính'!$I$14:$I$73)=0),0),0),T441+MATCH(1,INDEX((INDEX('Lớp 3 - Công việc chính'!$I$14:$I$73,T441+1):'Lớp 3 - Công việc chính'!$I$73&lt;&gt;"")*(COUNTIF('Lớp 4 - Danh mục'!$J$14:$J$132,INDEX('Lớp 3 - Công việc chính'!$I$14:$I$73,T441+1):'Lớp 3 - Công việc chính'!$I$73)=0),0),0)))))</f>
        <v>#REF!</v>
      </c>
      <c r="Z442" s="700" t="str">
        <f t="array" ref="Z442">IF($S442="","",IF($S442="Lớp 5",INDEX('Lớp 5 - Phân công'!$AS$14:$AS$262,$T442),IF($S442="Lớp 4",INDEX('Lớp 4 - Danh mục'!$AR$14:$AR$132,$T442),INDEX('Lớp 3 - Công việc chính'!$AO$14:$AO$73,$T442))))</f>
        <v>#REF!</v>
      </c>
      <c r="AA442" s="701" t="str">
        <f t="array" ref="AA442">IF($S442="","",IF($S442="Lớp 5",INDEX('Lớp 5 - Phân công'!$AT$14:$AT$262,$T442),IF($S442="Lớp 4",INDEX('Lớp 4 - Danh mục'!$AS$14:$AS$132,$T442),INDEX('Lớp 3 - Công việc chính'!$AP$14:$AP$73,$T442))))</f>
        <v>#REF!</v>
      </c>
      <c r="AB442" s="701" t="str">
        <f t="array" ref="AB442">IF($S442="","",IF($S442="Lớp 5",INDEX('Lớp 5 - Phân công'!$AJ$14:$AJ$262,$T442),IF($S442="Lớp 4",INDEX('Lớp 4 - Danh mục'!$AI$14:$AI$132,$T442),INDEX('Lớp 3 - Công việc chính'!$AF$14:$AF$73,$T442))))</f>
        <v>#REF!</v>
      </c>
      <c r="AC442" s="702" t="str">
        <f t="array" ref="AC442">IF($S442="","",IF($S442="Lớp 5",INDEX('Lớp 5 - Phân công'!$AV$14:$AV$262,$T442),IF($S442="Lớp 4",INDEX('Lớp 4 - Danh mục'!$AU$14:$AU$132,$T442),INDEX('Lớp 3 - Công việc chính'!$AR$14:$AR$73,$T442))))</f>
        <v>#REF!</v>
      </c>
    </row>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conditionalFormatting sqref="H14:J442 Q14:Q442">
    <cfRule type="expression" dxfId="26" priority="1" stopIfTrue="1">
      <formula>$P14="P1"</formula>
    </cfRule>
  </conditionalFormatting>
  <conditionalFormatting sqref="H14:J442 Q14:Q442">
    <cfRule type="expression" dxfId="27" priority="2" stopIfTrue="1">
      <formula>$P14="P2"</formula>
    </cfRule>
  </conditionalFormatting>
  <conditionalFormatting sqref="H14:J442 Q14:Q442">
    <cfRule type="expression" dxfId="28" priority="3" stopIfTrue="1">
      <formula>$P14="P3"</formula>
    </cfRule>
  </conditionalFormatting>
  <conditionalFormatting sqref="H14:J442 Q14:Q442">
    <cfRule type="expression" dxfId="29" priority="4" stopIfTrue="1">
      <formula>$P14="P4"</formula>
    </cfRule>
  </conditionalFormatting>
  <conditionalFormatting sqref="P14:P442">
    <cfRule type="cellIs" dxfId="9" priority="5" stopIfTrue="1" operator="equal">
      <formula>"P1"</formula>
    </cfRule>
  </conditionalFormatting>
  <conditionalFormatting sqref="P14:P442">
    <cfRule type="cellIs" dxfId="13" priority="6" stopIfTrue="1" operator="equal">
      <formula>"P2"</formula>
    </cfRule>
  </conditionalFormatting>
  <conditionalFormatting sqref="P14:P442">
    <cfRule type="cellIs" dxfId="14" priority="7" stopIfTrue="1" operator="equal">
      <formula>"P3"</formula>
    </cfRule>
  </conditionalFormatting>
  <conditionalFormatting sqref="P14:P442">
    <cfRule type="cellIs" dxfId="15" priority="8" stopIfTrue="1" operator="equal">
      <formula>"P4"</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75"/>
    <col customWidth="1" min="2" max="2" width="22.25"/>
    <col customWidth="1" min="3" max="3" width="4.63"/>
    <col customWidth="1" min="4" max="4" width="11.88"/>
    <col customWidth="1" min="5" max="5" width="6.13"/>
    <col customWidth="1" min="6" max="6" width="17.25"/>
    <col customWidth="1" min="7" max="7" width="16.5"/>
    <col customWidth="1" min="8" max="8" width="8.88"/>
    <col customWidth="1" min="9" max="9" width="23.88"/>
    <col customWidth="1" min="10" max="10" width="11.38"/>
    <col customWidth="1" min="11" max="14" width="8.88"/>
    <col customWidth="1" min="15" max="15" width="12.25"/>
    <col customWidth="1" min="16" max="16" width="8.88"/>
    <col customWidth="1" min="17" max="17" width="18.88"/>
    <col customWidth="1" min="18" max="26" width="8.88"/>
  </cols>
  <sheetData>
    <row r="1">
      <c r="A1" s="708" t="s">
        <v>37</v>
      </c>
      <c r="B1" s="709" t="s">
        <v>45</v>
      </c>
      <c r="C1" s="709" t="s">
        <v>167</v>
      </c>
      <c r="D1" s="709" t="s">
        <v>173</v>
      </c>
      <c r="E1" s="710" t="s">
        <v>175</v>
      </c>
      <c r="F1" s="711" t="s">
        <v>171</v>
      </c>
      <c r="G1" s="712" t="s">
        <v>683</v>
      </c>
      <c r="I1" s="713" t="s">
        <v>684</v>
      </c>
      <c r="J1" s="714"/>
      <c r="K1" s="715" t="s">
        <v>58</v>
      </c>
      <c r="L1" s="715" t="s">
        <v>61</v>
      </c>
      <c r="M1" s="715" t="s">
        <v>606</v>
      </c>
      <c r="N1" s="716" t="s">
        <v>184</v>
      </c>
      <c r="O1" s="717" t="s">
        <v>603</v>
      </c>
      <c r="P1" s="364" t="s">
        <v>685</v>
      </c>
      <c r="Q1" s="717" t="s">
        <v>686</v>
      </c>
    </row>
    <row r="2">
      <c r="A2" s="718" t="s">
        <v>67</v>
      </c>
      <c r="B2" s="719" t="s">
        <v>78</v>
      </c>
      <c r="C2" s="719">
        <v>2026.0</v>
      </c>
      <c r="D2" s="720" t="s">
        <v>322</v>
      </c>
      <c r="E2" s="721" t="s">
        <v>244</v>
      </c>
      <c r="F2" s="719" t="s">
        <v>119</v>
      </c>
      <c r="G2" s="67" t="str">
        <f>IFERROR(__xludf.DUMMYFUNCTION("SORT(UNIQUE(FILTER('Lớp 5 - Phân công'!$I$14:$I$262,'Lớp 5 - Phân công'!$I$14:$I$262&lt;&gt;"""")))"),"HHL5DL01-01")</f>
        <v>HHL5DL01-01</v>
      </c>
      <c r="I2" s="722" t="s">
        <v>687</v>
      </c>
      <c r="J2" s="723">
        <v>8.0</v>
      </c>
      <c r="K2" s="364" t="s">
        <v>248</v>
      </c>
      <c r="L2" s="364" t="s">
        <v>250</v>
      </c>
      <c r="M2" s="364" t="s">
        <v>642</v>
      </c>
      <c r="N2" s="364" t="s">
        <v>639</v>
      </c>
      <c r="O2" s="364" t="s">
        <v>637</v>
      </c>
      <c r="P2" s="364" t="s">
        <v>258</v>
      </c>
      <c r="Q2" s="724" t="str">
        <f>IFERROR(__xludf.DUMMYFUNCTION("IFERROR(SORT(UNIQUE(FILTER('Lớp 6 - Chi tiết'!$I$14:$I$267,'Lớp 6 - Chi tiết'!$I$14:$I$267&lt;&gt;""""))),"""")"),"HHL5RD05-01.01")</f>
        <v>HHL5RD05-01.01</v>
      </c>
    </row>
    <row r="3">
      <c r="A3" s="725" t="s">
        <v>87</v>
      </c>
      <c r="B3" s="726" t="s">
        <v>88</v>
      </c>
      <c r="C3" s="726">
        <v>2027.0</v>
      </c>
      <c r="D3" s="727" t="s">
        <v>243</v>
      </c>
      <c r="E3" s="728" t="s">
        <v>254</v>
      </c>
      <c r="F3" s="726" t="s">
        <v>120</v>
      </c>
      <c r="G3" s="67" t="str">
        <f>IFERROR(__xludf.DUMMYFUNCTION("""COMPUTED_VALUE"""),"HHL5DL01-02")</f>
        <v>HHL5DL01-02</v>
      </c>
      <c r="I3" s="722" t="s">
        <v>688</v>
      </c>
      <c r="J3" s="729">
        <v>0.8</v>
      </c>
      <c r="K3" s="364" t="s">
        <v>297</v>
      </c>
      <c r="L3" s="364" t="s">
        <v>645</v>
      </c>
      <c r="M3" s="364" t="s">
        <v>259</v>
      </c>
      <c r="N3" s="364" t="s">
        <v>250</v>
      </c>
      <c r="O3" s="364" t="s">
        <v>640</v>
      </c>
      <c r="P3" s="364" t="s">
        <v>242</v>
      </c>
      <c r="Q3" s="389" t="str">
        <f>IFERROR(__xludf.DUMMYFUNCTION("""COMPUTED_VALUE"""),"HHL5RD05-01.02")</f>
        <v>HHL5RD05-01.02</v>
      </c>
    </row>
    <row r="4">
      <c r="A4" s="726"/>
      <c r="B4" s="726" t="s">
        <v>89</v>
      </c>
      <c r="C4" s="726"/>
      <c r="D4" s="727" t="s">
        <v>296</v>
      </c>
      <c r="E4" s="730" t="s">
        <v>286</v>
      </c>
      <c r="F4" s="726" t="s">
        <v>121</v>
      </c>
      <c r="G4" s="67" t="str">
        <f>IFERROR(__xludf.DUMMYFUNCTION("""COMPUTED_VALUE"""),"HHL5DL01-03")</f>
        <v>HHL5DL01-03</v>
      </c>
      <c r="K4" s="364" t="s">
        <v>644</v>
      </c>
      <c r="L4" s="364" t="s">
        <v>641</v>
      </c>
      <c r="M4" s="364" t="s">
        <v>595</v>
      </c>
      <c r="O4" s="364" t="s">
        <v>643</v>
      </c>
      <c r="P4" s="364" t="s">
        <v>262</v>
      </c>
      <c r="Q4" s="389" t="str">
        <f>IFERROR(__xludf.DUMMYFUNCTION("""COMPUTED_VALUE"""),"HHL5RD05-01.03")</f>
        <v>HHL5RD05-01.03</v>
      </c>
    </row>
    <row r="5">
      <c r="A5" s="726"/>
      <c r="B5" s="731" t="s">
        <v>92</v>
      </c>
      <c r="C5" s="726"/>
      <c r="D5" s="727" t="s">
        <v>259</v>
      </c>
      <c r="E5" s="732" t="s">
        <v>346</v>
      </c>
      <c r="F5" s="726" t="s">
        <v>650</v>
      </c>
      <c r="G5" s="67" t="str">
        <f>IFERROR(__xludf.DUMMYFUNCTION("""COMPUTED_VALUE"""),"HHL5DL01-04")</f>
        <v>HHL5DL01-04</v>
      </c>
      <c r="K5" s="364" t="s">
        <v>648</v>
      </c>
      <c r="L5" s="364" t="s">
        <v>167</v>
      </c>
      <c r="M5" s="364" t="s">
        <v>638</v>
      </c>
      <c r="O5" s="364" t="s">
        <v>647</v>
      </c>
      <c r="P5" s="364" t="s">
        <v>589</v>
      </c>
      <c r="Q5" s="389" t="str">
        <f>IFERROR(__xludf.DUMMYFUNCTION("""COMPUTED_VALUE"""),"HHL5RD05-01.04")</f>
        <v>HHL5RD05-01.04</v>
      </c>
    </row>
    <row r="6">
      <c r="A6" s="726"/>
      <c r="B6" s="726"/>
      <c r="C6" s="726"/>
      <c r="D6" s="727" t="s">
        <v>649</v>
      </c>
      <c r="E6" s="719"/>
      <c r="F6" s="726" t="s">
        <v>122</v>
      </c>
      <c r="G6" s="67" t="str">
        <f>IFERROR(__xludf.DUMMYFUNCTION("""COMPUTED_VALUE"""),"HHL5DL01-05")</f>
        <v>HHL5DL01-05</v>
      </c>
      <c r="P6" s="364" t="s">
        <v>594</v>
      </c>
    </row>
    <row r="7">
      <c r="A7" s="726"/>
      <c r="B7" s="726"/>
      <c r="C7" s="726"/>
      <c r="D7" s="727" t="s">
        <v>595</v>
      </c>
      <c r="E7" s="726"/>
      <c r="F7" s="726" t="s">
        <v>123</v>
      </c>
      <c r="G7" s="67" t="str">
        <f>IFERROR(__xludf.DUMMYFUNCTION("""COMPUTED_VALUE"""),"HHL5DL02-01")</f>
        <v>HHL5DL02-01</v>
      </c>
    </row>
    <row r="8">
      <c r="A8" s="733"/>
      <c r="B8" s="733"/>
      <c r="C8" s="733"/>
      <c r="D8" s="734" t="s">
        <v>652</v>
      </c>
      <c r="E8" s="733"/>
      <c r="F8" s="733" t="s">
        <v>118</v>
      </c>
      <c r="G8" s="67" t="str">
        <f>IFERROR(__xludf.DUMMYFUNCTION("""COMPUTED_VALUE"""),"HHL5DL02-02")</f>
        <v>HHL5DL02-02</v>
      </c>
    </row>
    <row r="9">
      <c r="G9" s="67" t="str">
        <f>IFERROR(__xludf.DUMMYFUNCTION("""COMPUTED_VALUE"""),"HHL5DL02-03")</f>
        <v>HHL5DL02-03</v>
      </c>
    </row>
    <row r="10">
      <c r="G10" s="67" t="str">
        <f>IFERROR(__xludf.DUMMYFUNCTION("""COMPUTED_VALUE"""),"HHL5DL02-04")</f>
        <v>HHL5DL02-04</v>
      </c>
    </row>
    <row r="11">
      <c r="G11" s="67" t="str">
        <f>IFERROR(__xludf.DUMMYFUNCTION("""COMPUTED_VALUE"""),"HHL5DL02-05")</f>
        <v>HHL5DL02-05</v>
      </c>
    </row>
    <row r="12">
      <c r="G12" s="67" t="str">
        <f>IFERROR(__xludf.DUMMYFUNCTION("""COMPUTED_VALUE"""),"HHL5DL03-01")</f>
        <v>HHL5DL03-01</v>
      </c>
    </row>
    <row r="13">
      <c r="G13" s="67" t="str">
        <f>IFERROR(__xludf.DUMMYFUNCTION("""COMPUTED_VALUE"""),"HHL5DL03-02")</f>
        <v>HHL5DL03-02</v>
      </c>
    </row>
    <row r="14">
      <c r="G14" s="67" t="str">
        <f>IFERROR(__xludf.DUMMYFUNCTION("""COMPUTED_VALUE"""),"HHL5DL03-03")</f>
        <v>HHL5DL03-03</v>
      </c>
    </row>
    <row r="15">
      <c r="G15" s="67" t="str">
        <f>IFERROR(__xludf.DUMMYFUNCTION("""COMPUTED_VALUE"""),"HHL5DL03-04")</f>
        <v>HHL5DL03-04</v>
      </c>
    </row>
    <row r="16">
      <c r="G16" s="67" t="str">
        <f>IFERROR(__xludf.DUMMYFUNCTION("""COMPUTED_VALUE"""),"HHL5DL03-05")</f>
        <v>HHL5DL03-05</v>
      </c>
    </row>
    <row r="17">
      <c r="G17" s="67" t="str">
        <f>IFERROR(__xludf.DUMMYFUNCTION("""COMPUTED_VALUE"""),"HHL5DL04-01")</f>
        <v>HHL5DL04-01</v>
      </c>
    </row>
    <row r="18">
      <c r="G18" s="67" t="str">
        <f>IFERROR(__xludf.DUMMYFUNCTION("""COMPUTED_VALUE"""),"HHL5DL04-02")</f>
        <v>HHL5DL04-02</v>
      </c>
    </row>
    <row r="19">
      <c r="G19" s="67" t="str">
        <f>IFERROR(__xludf.DUMMYFUNCTION("""COMPUTED_VALUE"""),"HHL5DL04-03")</f>
        <v>HHL5DL04-03</v>
      </c>
    </row>
    <row r="20">
      <c r="G20" s="67" t="str">
        <f>IFERROR(__xludf.DUMMYFUNCTION("""COMPUTED_VALUE"""),"HHL5DL04-04")</f>
        <v>HHL5DL04-04</v>
      </c>
    </row>
    <row r="21">
      <c r="G21" s="67" t="str">
        <f>IFERROR(__xludf.DUMMYFUNCTION("""COMPUTED_VALUE"""),"HHL5DL04-05")</f>
        <v>HHL5DL04-05</v>
      </c>
    </row>
    <row r="22">
      <c r="G22" s="67" t="str">
        <f>IFERROR(__xludf.DUMMYFUNCTION("""COMPUTED_VALUE"""),"HHL5DL05-01")</f>
        <v>HHL5DL05-01</v>
      </c>
    </row>
    <row r="23">
      <c r="G23" s="67" t="str">
        <f>IFERROR(__xludf.DUMMYFUNCTION("""COMPUTED_VALUE"""),"HHL5DL05-02")</f>
        <v>HHL5DL05-02</v>
      </c>
    </row>
    <row r="24">
      <c r="G24" s="67" t="str">
        <f>IFERROR(__xludf.DUMMYFUNCTION("""COMPUTED_VALUE"""),"HHL5DL05-03")</f>
        <v>HHL5DL05-03</v>
      </c>
    </row>
    <row r="25">
      <c r="G25" s="67" t="str">
        <f>IFERROR(__xludf.DUMMYFUNCTION("""COMPUTED_VALUE"""),"HHL5DL05-04")</f>
        <v>HHL5DL05-04</v>
      </c>
    </row>
    <row r="26">
      <c r="G26" s="67" t="str">
        <f>IFERROR(__xludf.DUMMYFUNCTION("""COMPUTED_VALUE"""),"HHL5DL05-05")</f>
        <v>HHL5DL05-05</v>
      </c>
    </row>
    <row r="27">
      <c r="G27" s="67" t="str">
        <f>IFERROR(__xludf.DUMMYFUNCTION("""COMPUTED_VALUE"""),"HHL5DL06-01")</f>
        <v>HHL5DL06-01</v>
      </c>
    </row>
    <row r="28">
      <c r="G28" s="67" t="str">
        <f>IFERROR(__xludf.DUMMYFUNCTION("""COMPUTED_VALUE"""),"HHL5DL06-02")</f>
        <v>HHL5DL06-02</v>
      </c>
    </row>
    <row r="29">
      <c r="G29" s="67" t="str">
        <f>IFERROR(__xludf.DUMMYFUNCTION("""COMPUTED_VALUE"""),"HHL5DL06-03")</f>
        <v>HHL5DL06-03</v>
      </c>
    </row>
    <row r="30">
      <c r="G30" s="67" t="str">
        <f>IFERROR(__xludf.DUMMYFUNCTION("""COMPUTED_VALUE"""),"HHL5DL06-04")</f>
        <v>HHL5DL06-04</v>
      </c>
    </row>
    <row r="31">
      <c r="G31" s="67" t="str">
        <f>IFERROR(__xludf.DUMMYFUNCTION("""COMPUTED_VALUE"""),"HHL5DL06-05")</f>
        <v>HHL5DL06-05</v>
      </c>
    </row>
    <row r="32">
      <c r="G32" s="67" t="str">
        <f>IFERROR(__xludf.DUMMYFUNCTION("""COMPUTED_VALUE"""),"HHL5DL07-01")</f>
        <v>HHL5DL07-01</v>
      </c>
    </row>
    <row r="33">
      <c r="G33" s="67" t="str">
        <f>IFERROR(__xludf.DUMMYFUNCTION("""COMPUTED_VALUE"""),"HHL5DL07-02")</f>
        <v>HHL5DL07-02</v>
      </c>
    </row>
    <row r="34">
      <c r="G34" s="67" t="str">
        <f>IFERROR(__xludf.DUMMYFUNCTION("""COMPUTED_VALUE"""),"HHL5DL07-03")</f>
        <v>HHL5DL07-03</v>
      </c>
    </row>
    <row r="35">
      <c r="G35" s="67" t="str">
        <f>IFERROR(__xludf.DUMMYFUNCTION("""COMPUTED_VALUE"""),"HHL5DL07-04")</f>
        <v>HHL5DL07-04</v>
      </c>
    </row>
    <row r="36">
      <c r="G36" s="67" t="str">
        <f>IFERROR(__xludf.DUMMYFUNCTION("""COMPUTED_VALUE"""),"HHL5DL07-05")</f>
        <v>HHL5DL07-05</v>
      </c>
    </row>
    <row r="37">
      <c r="G37" s="67" t="str">
        <f>IFERROR(__xludf.DUMMYFUNCTION("""COMPUTED_VALUE"""),"HHL5RD01-02")</f>
        <v>HHL5RD01-02</v>
      </c>
    </row>
    <row r="38">
      <c r="G38" s="67" t="str">
        <f>IFERROR(__xludf.DUMMYFUNCTION("""COMPUTED_VALUE"""),"HHL5RD01-03")</f>
        <v>HHL5RD01-03</v>
      </c>
    </row>
  </sheetData>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3.38"/>
    <col customWidth="1" min="2" max="2" width="30.63"/>
    <col customWidth="1" min="3" max="3" width="4.63"/>
    <col customWidth="1" min="4" max="4" width="25.13"/>
    <col customWidth="1" min="5" max="5" width="8.88"/>
    <col customWidth="1" min="6" max="6" width="75.0"/>
    <col customWidth="1" min="7" max="7" width="8.63"/>
    <col customWidth="1" min="8" max="8" width="7.75"/>
    <col customWidth="1" min="9" max="9" width="6.5"/>
    <col customWidth="1" min="10" max="26" width="8.88"/>
  </cols>
  <sheetData>
    <row r="1">
      <c r="A1" s="735" t="s">
        <v>689</v>
      </c>
      <c r="B1" s="736"/>
      <c r="C1" s="736"/>
      <c r="D1" s="737"/>
      <c r="E1" s="738"/>
      <c r="F1" s="738"/>
      <c r="G1" s="738"/>
      <c r="H1" s="738"/>
      <c r="I1" s="738"/>
    </row>
    <row r="2">
      <c r="A2" s="739" t="s">
        <v>690</v>
      </c>
      <c r="B2" s="740"/>
      <c r="C2" s="740"/>
      <c r="D2" s="741"/>
      <c r="E2" s="742"/>
      <c r="F2" s="742"/>
      <c r="G2" s="742"/>
      <c r="H2" s="742"/>
      <c r="I2" s="742"/>
    </row>
    <row r="4">
      <c r="A4" s="708" t="s">
        <v>691</v>
      </c>
      <c r="B4" s="709" t="s">
        <v>692</v>
      </c>
      <c r="C4" s="709" t="s">
        <v>167</v>
      </c>
      <c r="D4" s="743" t="s">
        <v>693</v>
      </c>
      <c r="F4" s="744" t="s">
        <v>694</v>
      </c>
      <c r="G4" s="745"/>
      <c r="H4" s="745"/>
      <c r="I4" s="746"/>
    </row>
    <row r="5">
      <c r="A5" s="747">
        <v>46023.0</v>
      </c>
      <c r="B5" s="719" t="s">
        <v>695</v>
      </c>
      <c r="C5" s="748">
        <v>2026.0</v>
      </c>
      <c r="D5" s="719" t="s">
        <v>696</v>
      </c>
      <c r="F5" s="749" t="s">
        <v>697</v>
      </c>
      <c r="G5" s="750" t="s">
        <v>698</v>
      </c>
      <c r="H5" s="750" t="s">
        <v>699</v>
      </c>
      <c r="I5" s="751" t="s">
        <v>700</v>
      </c>
    </row>
    <row r="6">
      <c r="A6" s="752">
        <v>46069.0</v>
      </c>
      <c r="B6" s="726" t="s">
        <v>701</v>
      </c>
      <c r="C6" s="753">
        <v>2026.0</v>
      </c>
      <c r="D6" s="726" t="s">
        <v>702</v>
      </c>
      <c r="F6" s="719" t="s">
        <v>703</v>
      </c>
      <c r="G6" s="747">
        <v>46235.0</v>
      </c>
      <c r="H6" s="747">
        <v>46237.0</v>
      </c>
      <c r="I6" s="748">
        <f t="shared" ref="I6:I7" si="1">_xlfn.NETWORKDAYS.INTL(G6,H6,11,$A$5:$A$80)</f>
        <v>2</v>
      </c>
    </row>
    <row r="7">
      <c r="A7" s="752">
        <v>46070.0</v>
      </c>
      <c r="B7" s="726" t="s">
        <v>701</v>
      </c>
      <c r="C7" s="753">
        <v>2026.0</v>
      </c>
      <c r="D7" s="726" t="s">
        <v>702</v>
      </c>
      <c r="F7" s="733" t="s">
        <v>704</v>
      </c>
      <c r="G7" s="754">
        <v>46142.0</v>
      </c>
      <c r="H7" s="754">
        <v>46143.0</v>
      </c>
      <c r="I7" s="755">
        <f t="shared" si="1"/>
        <v>0</v>
      </c>
    </row>
    <row r="8">
      <c r="A8" s="752">
        <v>46071.0</v>
      </c>
      <c r="B8" s="726" t="s">
        <v>701</v>
      </c>
      <c r="C8" s="753">
        <v>2026.0</v>
      </c>
      <c r="D8" s="726" t="s">
        <v>702</v>
      </c>
    </row>
    <row r="9">
      <c r="A9" s="752">
        <v>46072.0</v>
      </c>
      <c r="B9" s="726" t="s">
        <v>701</v>
      </c>
      <c r="C9" s="753">
        <v>2026.0</v>
      </c>
      <c r="D9" s="726" t="s">
        <v>702</v>
      </c>
      <c r="F9" s="756" t="s">
        <v>705</v>
      </c>
      <c r="G9" s="757"/>
      <c r="H9" s="757"/>
      <c r="I9" s="758"/>
    </row>
    <row r="10">
      <c r="A10" s="752">
        <v>46073.0</v>
      </c>
      <c r="B10" s="726" t="s">
        <v>701</v>
      </c>
      <c r="C10" s="753">
        <v>2026.0</v>
      </c>
      <c r="D10" s="726" t="s">
        <v>702</v>
      </c>
      <c r="F10" s="756" t="s">
        <v>706</v>
      </c>
      <c r="G10" s="757"/>
      <c r="H10" s="757"/>
      <c r="I10" s="758"/>
    </row>
    <row r="11">
      <c r="A11" s="752">
        <v>46139.0</v>
      </c>
      <c r="B11" s="726" t="s">
        <v>707</v>
      </c>
      <c r="C11" s="753">
        <v>2026.0</v>
      </c>
      <c r="D11" s="726" t="s">
        <v>702</v>
      </c>
    </row>
    <row r="12">
      <c r="A12" s="752">
        <v>46142.0</v>
      </c>
      <c r="B12" s="726" t="s">
        <v>708</v>
      </c>
      <c r="C12" s="753">
        <v>2026.0</v>
      </c>
      <c r="D12" s="726" t="s">
        <v>696</v>
      </c>
    </row>
    <row r="13">
      <c r="A13" s="752">
        <v>46143.0</v>
      </c>
      <c r="B13" s="726" t="s">
        <v>709</v>
      </c>
      <c r="C13" s="753">
        <v>2026.0</v>
      </c>
      <c r="D13" s="726" t="s">
        <v>696</v>
      </c>
    </row>
    <row r="14">
      <c r="A14" s="752">
        <v>46266.0</v>
      </c>
      <c r="B14" s="726" t="s">
        <v>710</v>
      </c>
      <c r="C14" s="753">
        <v>2026.0</v>
      </c>
      <c r="D14" s="726" t="s">
        <v>702</v>
      </c>
    </row>
    <row r="15">
      <c r="A15" s="752">
        <v>46267.0</v>
      </c>
      <c r="B15" s="726" t="s">
        <v>711</v>
      </c>
      <c r="C15" s="753">
        <v>2026.0</v>
      </c>
      <c r="D15" s="726" t="s">
        <v>696</v>
      </c>
    </row>
    <row r="16">
      <c r="A16" s="759"/>
      <c r="B16" s="760"/>
      <c r="C16" s="761"/>
      <c r="D16" s="760"/>
    </row>
    <row r="17">
      <c r="A17" s="759"/>
      <c r="B17" s="760"/>
      <c r="C17" s="761"/>
      <c r="D17" s="760"/>
    </row>
    <row r="18">
      <c r="A18" s="759"/>
      <c r="B18" s="760"/>
      <c r="C18" s="761"/>
      <c r="D18" s="760"/>
    </row>
    <row r="19">
      <c r="A19" s="759"/>
      <c r="B19" s="760"/>
      <c r="C19" s="761"/>
      <c r="D19" s="760"/>
    </row>
    <row r="20">
      <c r="A20" s="759"/>
      <c r="B20" s="760"/>
      <c r="C20" s="761"/>
      <c r="D20" s="760"/>
    </row>
    <row r="21">
      <c r="A21" s="759"/>
      <c r="B21" s="760"/>
      <c r="C21" s="761"/>
      <c r="D21" s="760"/>
    </row>
    <row r="22">
      <c r="A22" s="759"/>
      <c r="B22" s="760"/>
      <c r="C22" s="761"/>
      <c r="D22" s="760"/>
    </row>
    <row r="23">
      <c r="A23" s="759"/>
      <c r="B23" s="760"/>
      <c r="C23" s="761"/>
      <c r="D23" s="760"/>
    </row>
    <row r="24">
      <c r="A24" s="759"/>
      <c r="B24" s="760"/>
      <c r="C24" s="761"/>
      <c r="D24" s="760"/>
    </row>
    <row r="25">
      <c r="A25" s="759"/>
      <c r="B25" s="760"/>
      <c r="C25" s="761"/>
      <c r="D25" s="760"/>
    </row>
    <row r="26">
      <c r="A26" s="759"/>
      <c r="B26" s="760"/>
      <c r="C26" s="761"/>
      <c r="D26" s="760"/>
    </row>
    <row r="27">
      <c r="A27" s="759"/>
      <c r="B27" s="760"/>
      <c r="C27" s="761"/>
      <c r="D27" s="760"/>
    </row>
    <row r="28">
      <c r="A28" s="759"/>
      <c r="B28" s="760"/>
      <c r="C28" s="761"/>
      <c r="D28" s="760"/>
    </row>
    <row r="29">
      <c r="A29" s="759"/>
      <c r="B29" s="760"/>
      <c r="C29" s="761"/>
      <c r="D29" s="760"/>
    </row>
    <row r="30">
      <c r="A30" s="759"/>
      <c r="B30" s="760"/>
      <c r="C30" s="761"/>
      <c r="D30" s="760"/>
    </row>
    <row r="31">
      <c r="A31" s="759"/>
      <c r="B31" s="760"/>
      <c r="C31" s="761"/>
      <c r="D31" s="760"/>
    </row>
    <row r="32">
      <c r="A32" s="759"/>
      <c r="B32" s="760"/>
      <c r="C32" s="761"/>
      <c r="D32" s="760"/>
    </row>
    <row r="33">
      <c r="A33" s="759"/>
      <c r="B33" s="760"/>
      <c r="C33" s="761"/>
      <c r="D33" s="760"/>
    </row>
    <row r="34">
      <c r="A34" s="759"/>
      <c r="B34" s="760"/>
      <c r="C34" s="761"/>
      <c r="D34" s="760"/>
    </row>
    <row r="35">
      <c r="A35" s="759"/>
      <c r="B35" s="760"/>
      <c r="C35" s="761"/>
      <c r="D35" s="760"/>
    </row>
    <row r="36">
      <c r="A36" s="759"/>
      <c r="B36" s="760"/>
      <c r="C36" s="761"/>
      <c r="D36" s="760"/>
    </row>
    <row r="37">
      <c r="A37" s="759"/>
      <c r="B37" s="760"/>
      <c r="C37" s="761"/>
      <c r="D37" s="760"/>
    </row>
    <row r="38">
      <c r="A38" s="759"/>
      <c r="B38" s="760"/>
      <c r="C38" s="761"/>
      <c r="D38" s="760"/>
    </row>
    <row r="39">
      <c r="A39" s="759"/>
      <c r="B39" s="760"/>
      <c r="C39" s="761"/>
      <c r="D39" s="760"/>
    </row>
    <row r="40">
      <c r="A40" s="759"/>
      <c r="B40" s="760"/>
      <c r="C40" s="761"/>
      <c r="D40" s="760"/>
    </row>
    <row r="41">
      <c r="A41" s="759"/>
      <c r="B41" s="760"/>
      <c r="C41" s="761"/>
      <c r="D41" s="760"/>
    </row>
    <row r="42">
      <c r="A42" s="759"/>
      <c r="B42" s="760"/>
      <c r="C42" s="761"/>
      <c r="D42" s="760"/>
    </row>
    <row r="43">
      <c r="A43" s="759"/>
      <c r="B43" s="760"/>
      <c r="C43" s="761"/>
      <c r="D43" s="760"/>
    </row>
    <row r="44">
      <c r="A44" s="759"/>
      <c r="B44" s="760"/>
      <c r="C44" s="761"/>
      <c r="D44" s="760"/>
    </row>
    <row r="45">
      <c r="A45" s="759"/>
      <c r="B45" s="760"/>
      <c r="C45" s="761"/>
      <c r="D45" s="760"/>
    </row>
    <row r="46">
      <c r="A46" s="759"/>
      <c r="B46" s="760"/>
      <c r="C46" s="761"/>
      <c r="D46" s="760"/>
    </row>
    <row r="47">
      <c r="A47" s="759"/>
      <c r="B47" s="760"/>
      <c r="C47" s="761"/>
      <c r="D47" s="760"/>
    </row>
    <row r="48">
      <c r="A48" s="759"/>
      <c r="B48" s="760"/>
      <c r="C48" s="761"/>
      <c r="D48" s="760"/>
    </row>
    <row r="49">
      <c r="A49" s="759"/>
      <c r="B49" s="760"/>
      <c r="C49" s="761"/>
      <c r="D49" s="760"/>
    </row>
    <row r="50">
      <c r="A50" s="759"/>
      <c r="B50" s="760"/>
      <c r="C50" s="761"/>
      <c r="D50" s="760"/>
    </row>
    <row r="51">
      <c r="A51" s="759"/>
      <c r="B51" s="760"/>
      <c r="C51" s="761"/>
      <c r="D51" s="760"/>
    </row>
    <row r="52">
      <c r="A52" s="759"/>
      <c r="B52" s="760"/>
      <c r="C52" s="761"/>
      <c r="D52" s="760"/>
    </row>
    <row r="53">
      <c r="A53" s="759"/>
      <c r="B53" s="760"/>
      <c r="C53" s="761"/>
      <c r="D53" s="760"/>
    </row>
    <row r="54">
      <c r="A54" s="759"/>
      <c r="B54" s="760"/>
      <c r="C54" s="761"/>
      <c r="D54" s="760"/>
    </row>
    <row r="55">
      <c r="A55" s="759"/>
      <c r="B55" s="760"/>
      <c r="C55" s="761"/>
      <c r="D55" s="760"/>
    </row>
    <row r="56">
      <c r="A56" s="759"/>
      <c r="B56" s="760"/>
      <c r="C56" s="761"/>
      <c r="D56" s="760"/>
    </row>
    <row r="57">
      <c r="A57" s="759"/>
      <c r="B57" s="760"/>
      <c r="C57" s="761"/>
      <c r="D57" s="760"/>
    </row>
    <row r="58">
      <c r="A58" s="759"/>
      <c r="B58" s="760"/>
      <c r="C58" s="761"/>
      <c r="D58" s="760"/>
    </row>
    <row r="59">
      <c r="A59" s="759"/>
      <c r="B59" s="760"/>
      <c r="C59" s="761"/>
      <c r="D59" s="760"/>
    </row>
    <row r="60">
      <c r="A60" s="759"/>
      <c r="B60" s="760"/>
      <c r="C60" s="761"/>
      <c r="D60" s="760"/>
    </row>
    <row r="61">
      <c r="A61" s="759"/>
      <c r="B61" s="760"/>
      <c r="C61" s="761"/>
      <c r="D61" s="760"/>
    </row>
    <row r="62">
      <c r="A62" s="759"/>
      <c r="B62" s="760"/>
      <c r="C62" s="761"/>
      <c r="D62" s="760"/>
    </row>
    <row r="63">
      <c r="A63" s="759"/>
      <c r="B63" s="760"/>
      <c r="C63" s="761"/>
      <c r="D63" s="760"/>
    </row>
    <row r="64">
      <c r="A64" s="759"/>
      <c r="B64" s="760"/>
      <c r="C64" s="761"/>
      <c r="D64" s="760"/>
    </row>
    <row r="65">
      <c r="A65" s="759"/>
      <c r="B65" s="760"/>
      <c r="C65" s="761"/>
      <c r="D65" s="760"/>
    </row>
    <row r="66">
      <c r="A66" s="759"/>
      <c r="B66" s="760"/>
      <c r="C66" s="761"/>
      <c r="D66" s="760"/>
    </row>
    <row r="67">
      <c r="A67" s="759"/>
      <c r="B67" s="760"/>
      <c r="C67" s="761"/>
      <c r="D67" s="760"/>
    </row>
    <row r="68">
      <c r="A68" s="759"/>
      <c r="B68" s="760"/>
      <c r="C68" s="761"/>
      <c r="D68" s="760"/>
    </row>
    <row r="69">
      <c r="A69" s="759"/>
      <c r="B69" s="760"/>
      <c r="C69" s="761"/>
      <c r="D69" s="760"/>
    </row>
    <row r="70">
      <c r="A70" s="759"/>
      <c r="B70" s="760"/>
      <c r="C70" s="761"/>
      <c r="D70" s="760"/>
    </row>
    <row r="71">
      <c r="A71" s="759"/>
      <c r="B71" s="760"/>
      <c r="C71" s="761"/>
      <c r="D71" s="760"/>
    </row>
    <row r="72">
      <c r="A72" s="759"/>
      <c r="B72" s="760"/>
      <c r="C72" s="761"/>
      <c r="D72" s="760"/>
    </row>
    <row r="73">
      <c r="A73" s="759"/>
      <c r="B73" s="760"/>
      <c r="C73" s="761"/>
      <c r="D73" s="760"/>
    </row>
    <row r="74">
      <c r="A74" s="759"/>
      <c r="B74" s="760"/>
      <c r="C74" s="761"/>
      <c r="D74" s="760"/>
    </row>
    <row r="75">
      <c r="A75" s="759"/>
      <c r="B75" s="760"/>
      <c r="C75" s="761"/>
      <c r="D75" s="760"/>
    </row>
    <row r="76">
      <c r="A76" s="759"/>
      <c r="B76" s="760"/>
      <c r="C76" s="761"/>
      <c r="D76" s="760"/>
    </row>
    <row r="77">
      <c r="A77" s="759"/>
      <c r="B77" s="760"/>
      <c r="C77" s="761"/>
      <c r="D77" s="760"/>
    </row>
    <row r="78">
      <c r="A78" s="759"/>
      <c r="B78" s="760"/>
      <c r="C78" s="761"/>
      <c r="D78" s="760"/>
    </row>
    <row r="79">
      <c r="A79" s="759"/>
      <c r="B79" s="760"/>
      <c r="C79" s="761"/>
      <c r="D79" s="760"/>
    </row>
    <row r="80">
      <c r="A80" s="762"/>
      <c r="B80" s="763"/>
      <c r="C80" s="764"/>
      <c r="D80" s="763"/>
    </row>
  </sheetData>
  <mergeCells count="5">
    <mergeCell ref="A1:D1"/>
    <mergeCell ref="A2:D2"/>
    <mergeCell ref="F4:I4"/>
    <mergeCell ref="F9:I9"/>
    <mergeCell ref="F10:I10"/>
  </mergeCells>
  <printOptions/>
  <pageMargins bottom="0.75" footer="0.0" header="0.0" left="0.7" right="0.7" top="0.75"/>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2330"/>
    <outlinePr summaryBelow="0" summaryRight="0"/>
  </sheetPr>
  <sheetViews>
    <sheetView showGridLines="0" workbookViewId="0"/>
  </sheetViews>
  <sheetFormatPr customHeight="1" defaultColWidth="12.63" defaultRowHeight="15.0"/>
  <cols>
    <col customWidth="1" min="1" max="1" width="25.75"/>
    <col customWidth="1" min="2" max="2" width="10.75"/>
    <col customWidth="1" min="3" max="3" width="55.75"/>
    <col customWidth="1" min="4" max="4" width="12.13"/>
    <col customWidth="1" min="5" max="5" width="13.75"/>
    <col customWidth="1" min="6" max="6" width="23.75"/>
  </cols>
  <sheetData>
    <row r="1" ht="19.5" customHeight="1">
      <c r="A1" s="1" t="s">
        <v>712</v>
      </c>
      <c r="B1" s="160"/>
      <c r="C1" s="3"/>
      <c r="D1" s="3"/>
      <c r="E1" s="3"/>
      <c r="F1" s="3"/>
    </row>
    <row r="2">
      <c r="A2" s="765" t="s">
        <v>713</v>
      </c>
      <c r="B2" s="766">
        <f>TODAY()</f>
        <v>46245</v>
      </c>
      <c r="C2" s="680"/>
      <c r="D2" s="765" t="s">
        <v>714</v>
      </c>
      <c r="E2" s="767">
        <f>TODAY()</f>
        <v>46245</v>
      </c>
    </row>
    <row r="3" ht="13.5" customHeight="1">
      <c r="A3" s="181" t="s">
        <v>715</v>
      </c>
      <c r="B3" s="768"/>
      <c r="C3" s="768"/>
      <c r="D3" s="768"/>
      <c r="E3" s="768"/>
      <c r="F3" s="768"/>
    </row>
    <row r="4">
      <c r="A4" s="27" t="s">
        <v>716</v>
      </c>
      <c r="B4" s="28"/>
      <c r="C4" s="28"/>
      <c r="D4" s="28"/>
      <c r="E4" s="28"/>
      <c r="F4" s="28"/>
    </row>
    <row r="5" ht="13.5" customHeight="1">
      <c r="A5" s="769" t="s">
        <v>717</v>
      </c>
      <c r="B5" s="769" t="s">
        <v>117</v>
      </c>
      <c r="C5" s="769" t="s">
        <v>637</v>
      </c>
      <c r="D5" s="769" t="s">
        <v>640</v>
      </c>
      <c r="E5" s="769" t="s">
        <v>643</v>
      </c>
      <c r="F5" s="769" t="s">
        <v>647</v>
      </c>
    </row>
    <row r="6">
      <c r="A6" s="364" t="s">
        <v>718</v>
      </c>
      <c r="B6" s="770">
        <f t="shared" ref="B6:B9" si="1">SUM(C6:F6)</f>
        <v>0</v>
      </c>
      <c r="C6" s="771">
        <f>COUNTIFS('Lớp 3 - Công việc chính'!$AL$14:$AL$73,"&gt;="&amp;$B$2,'Lớp 3 - Công việc chính'!$AL$14:$AL$73,"&lt;"&amp;$B$2+1,'Lớp 3 - Công việc chính'!$X$14:$X$73,"Hoàn thành")</f>
        <v>0</v>
      </c>
      <c r="D6" s="771">
        <f>COUNTIFS('Lớp 4 - Danh mục'!$AO$14:$AO$132,"&gt;="&amp;$B$2,'Lớp 4 - Danh mục'!$AO$14:$AO$132,"&lt;"&amp;$B$2+1,'Lớp 4 - Danh mục'!$AA$14:$AA$132,"Hoàn thành")</f>
        <v>0</v>
      </c>
      <c r="E6" s="771">
        <f>COUNTIFS('Lớp 5 - Phân công'!$AP$14:$AP$262,"&gt;="&amp;$B$2,'Lớp 5 - Phân công'!$AP$14:$AP$262,"&lt;"&amp;$B$2+1,'Lớp 5 - Phân công'!$AB$14:$AB$262,"Hoàn thành")</f>
        <v>0</v>
      </c>
      <c r="F6" s="771">
        <f>COUNTIFS('Lớp 6 - Chi tiết'!$AS$14:$AS$267,"&gt;="&amp;$B$2,'Lớp 6 - Chi tiết'!$AS$14:$AS$267,"&lt;"&amp;$B$2+1,'Lớp 6 - Chi tiết'!$AE$14:$AE$267,"Hoàn thành")</f>
        <v>0</v>
      </c>
    </row>
    <row r="7">
      <c r="A7" s="364" t="s">
        <v>719</v>
      </c>
      <c r="B7" s="770">
        <f t="shared" si="1"/>
        <v>0</v>
      </c>
      <c r="C7" s="771">
        <f>COUNTIFS('Lớp 3 - Công việc chính'!$X$14:$X$73,"Hoàn thành",'Lớp 3 - Công việc chính'!$AL$14:$AL$73,"")</f>
        <v>0</v>
      </c>
      <c r="D7" s="771">
        <f>COUNTIFS('Lớp 4 - Danh mục'!$AA$14:$AA$132,"Hoàn thành",'Lớp 4 - Danh mục'!$AO$14:$AO$132,"")</f>
        <v>0</v>
      </c>
      <c r="E7" s="771">
        <f>COUNTIFS('Lớp 5 - Phân công'!$AB$14:$AB$262,"Hoàn thành",'Lớp 5 - Phân công'!$AP$14:$AP$262,"")</f>
        <v>0</v>
      </c>
      <c r="F7" s="771">
        <f>COUNTIFS('Lớp 6 - Chi tiết'!$AE$14:$AE$267,"Hoàn thành",'Lớp 6 - Chi tiết'!$AS$14:$AS$267,"")</f>
        <v>0</v>
      </c>
    </row>
    <row r="8">
      <c r="A8" s="364" t="s">
        <v>720</v>
      </c>
      <c r="B8" s="770" t="str">
        <f t="shared" si="1"/>
        <v>#REF!</v>
      </c>
      <c r="C8" s="771" t="str">
        <f>SUMPRODUCT(('Lớp 3 - Công việc chính'!$AL$14:$AL$73&gt;=$B$2)*('Lớp 3 - Công việc chính'!$AL$14:$AL$73&lt;$B$2+1)*('Lớp 3 - Công việc chính'!$X$14:$X$73="Hoàn thành")*('Lớp 3 - Công việc chính'!$AA$14:$AA$73&lt;&gt;"")*('Lớp 3 - Công việc chính'!$AL$14:$AL$73&lt;='Lớp 3 - Công việc chính'!$AA$14:$AA$73))</f>
        <v>#REF!</v>
      </c>
      <c r="D8" s="771" t="str">
        <f>SUMPRODUCT(('Lớp 4 - Danh mục'!$AO$14:$AO$132&gt;=$B$2)*('Lớp 4 - Danh mục'!$AO$14:$AO$132&lt;$B$2+1)*('Lớp 4 - Danh mục'!$AA$14:$AA$132="Hoàn thành")*('Lớp 4 - Danh mục'!$AD$14:$AD$132&lt;&gt;"")*('Lớp 4 - Danh mục'!$AO$14:$AO$132&lt;='Lớp 4 - Danh mục'!$AD$14:$AD$132))</f>
        <v>#REF!</v>
      </c>
      <c r="E8" s="771" t="str">
        <f>SUMPRODUCT(('Lớp 5 - Phân công'!$AP$14:$AP$262&gt;=$B$2)*('Lớp 5 - Phân công'!$AP$14:$AP$262&lt;$B$2+1)*('Lớp 5 - Phân công'!$AB$14:$AB$262="Hoàn thành")*('Lớp 5 - Phân công'!$AE$14:$AE$262&lt;&gt;"")*('Lớp 5 - Phân công'!$AP$14:$AP$262&lt;='Lớp 5 - Phân công'!$AE$14:$AE$262))</f>
        <v>#REF!</v>
      </c>
      <c r="F8" s="771">
        <f>SUMPRODUCT(('Lớp 6 - Chi tiết'!$AS$14:$AS$267&gt;=$B$2)*('Lớp 6 - Chi tiết'!$AS$14:$AS$267&lt;$B$2+1)*('Lớp 6 - Chi tiết'!$AE$14:$AE$267="Hoàn thành")*('Lớp 6 - Chi tiết'!$AH$14:$AH$267&lt;&gt;"")*('Lớp 6 - Chi tiết'!$AS$14:$AS$267&lt;='Lớp 6 - Chi tiết'!$AH$14:$AH$267))</f>
        <v>0</v>
      </c>
    </row>
    <row r="9">
      <c r="A9" s="364" t="s">
        <v>721</v>
      </c>
      <c r="B9" s="770" t="str">
        <f t="shared" si="1"/>
        <v>#REF!</v>
      </c>
      <c r="C9" s="771" t="str">
        <f>SUMPRODUCT(('Lớp 3 - Công việc chính'!$AL$14:$AL$73&gt;=$B$2)*('Lớp 3 - Công việc chính'!$AL$14:$AL$73&lt;$B$2+1)*('Lớp 3 - Công việc chính'!$X$14:$X$73="Hoàn thành")*('Lớp 3 - Công việc chính'!$AA$14:$AA$73&lt;&gt;"")*('Lớp 3 - Công việc chính'!$AL$14:$AL$73&gt;'Lớp 3 - Công việc chính'!$AA$14:$AA$73))</f>
        <v>#REF!</v>
      </c>
      <c r="D9" s="771" t="str">
        <f>SUMPRODUCT(('Lớp 4 - Danh mục'!$AO$14:$AO$132&gt;=$B$2)*('Lớp 4 - Danh mục'!$AO$14:$AO$132&lt;$B$2+1)*('Lớp 4 - Danh mục'!$AA$14:$AA$132="Hoàn thành")*('Lớp 4 - Danh mục'!$AD$14:$AD$132&lt;&gt;"")*('Lớp 4 - Danh mục'!$AO$14:$AO$132&gt;'Lớp 4 - Danh mục'!$AD$14:$AD$132))</f>
        <v>#REF!</v>
      </c>
      <c r="E9" s="771" t="str">
        <f>SUMPRODUCT(('Lớp 5 - Phân công'!$AP$14:$AP$262&gt;=$B$2)*('Lớp 5 - Phân công'!$AP$14:$AP$262&lt;$B$2+1)*('Lớp 5 - Phân công'!$AB$14:$AB$262="Hoàn thành")*('Lớp 5 - Phân công'!$AE$14:$AE$262&lt;&gt;"")*('Lớp 5 - Phân công'!$AP$14:$AP$262&gt;'Lớp 5 - Phân công'!$AE$14:$AE$262))</f>
        <v>#REF!</v>
      </c>
      <c r="F9" s="771">
        <f>SUMPRODUCT(('Lớp 6 - Chi tiết'!$AS$14:$AS$267&gt;=$B$2)*('Lớp 6 - Chi tiết'!$AS$14:$AS$267&lt;$B$2+1)*('Lớp 6 - Chi tiết'!$AE$14:$AE$267="Hoàn thành")*('Lớp 6 - Chi tiết'!$AH$14:$AH$267&lt;&gt;"")*('Lớp 6 - Chi tiết'!$AS$14:$AS$267&gt;'Lớp 6 - Chi tiết'!$AH$14:$AH$267))</f>
        <v>0</v>
      </c>
    </row>
    <row r="10">
      <c r="A10" s="364" t="s">
        <v>722</v>
      </c>
      <c r="B10" s="772">
        <f t="shared" ref="B10:F10" si="2">IFERROR(B8/B6,0)</f>
        <v>0</v>
      </c>
      <c r="C10" s="773">
        <f t="shared" si="2"/>
        <v>0</v>
      </c>
      <c r="D10" s="773">
        <f t="shared" si="2"/>
        <v>0</v>
      </c>
      <c r="E10" s="773">
        <f t="shared" si="2"/>
        <v>0</v>
      </c>
      <c r="F10" s="773">
        <f t="shared" si="2"/>
        <v>0</v>
      </c>
    </row>
    <row r="11" ht="4.5" customHeight="1"/>
    <row r="12" ht="4.5" customHeight="1"/>
    <row r="13">
      <c r="A13" s="27" t="s">
        <v>723</v>
      </c>
      <c r="B13" s="28"/>
      <c r="C13" s="28"/>
      <c r="D13" s="28"/>
      <c r="E13" s="28"/>
      <c r="F13" s="28"/>
    </row>
    <row r="14" ht="13.5" customHeight="1">
      <c r="A14" s="769" t="s">
        <v>717</v>
      </c>
      <c r="B14" s="769" t="s">
        <v>117</v>
      </c>
      <c r="C14" s="769" t="s">
        <v>637</v>
      </c>
      <c r="D14" s="769" t="s">
        <v>640</v>
      </c>
      <c r="E14" s="769" t="s">
        <v>643</v>
      </c>
      <c r="F14" s="769" t="s">
        <v>647</v>
      </c>
    </row>
    <row r="15">
      <c r="A15" s="364" t="s">
        <v>718</v>
      </c>
      <c r="B15" s="770">
        <f t="shared" ref="B15:B17" si="3">SUM(C15:F15)</f>
        <v>0</v>
      </c>
      <c r="C15" s="771">
        <f>COUNTIFS('Trung tâm nhập liệu'!$C$217:$C$1016,"&gt;="&amp;$B$2,'Trung tâm nhập liệu'!$C$217:$C$1016,"&lt;"&amp;$B$2+1,'Trung tâm nhập liệu'!$D$217:$D$1016,C$14,'Trung tâm nhập liệu'!$L$217:$L$1016,"Hoàn thành")</f>
        <v>0</v>
      </c>
      <c r="D15" s="771">
        <f>COUNTIFS('Trung tâm nhập liệu'!$C$217:$C$1016,"&gt;="&amp;$B$2,'Trung tâm nhập liệu'!$C$217:$C$1016,"&lt;"&amp;$B$2+1,'Trung tâm nhập liệu'!$D$217:$D$1016,D$14,'Trung tâm nhập liệu'!$L$217:$L$1016,"Hoàn thành")</f>
        <v>0</v>
      </c>
      <c r="E15" s="771">
        <f>COUNTIFS('Trung tâm nhập liệu'!$C$217:$C$1016,"&gt;="&amp;$B$2,'Trung tâm nhập liệu'!$C$217:$C$1016,"&lt;"&amp;$B$2+1,'Trung tâm nhập liệu'!$D$217:$D$1016,E$14,'Trung tâm nhập liệu'!$L$217:$L$1016,"Hoàn thành")</f>
        <v>0</v>
      </c>
      <c r="F15" s="771">
        <f>COUNTIFS('Trung tâm nhập liệu'!$C$217:$C$1016,"&gt;="&amp;$B$2,'Trung tâm nhập liệu'!$C$217:$C$1016,"&lt;"&amp;$B$2+1,'Trung tâm nhập liệu'!$D$217:$D$1016,F$14,'Trung tâm nhập liệu'!$L$217:$L$1016,"Hoàn thành")</f>
        <v>0</v>
      </c>
    </row>
    <row r="16">
      <c r="A16" s="364" t="s">
        <v>720</v>
      </c>
      <c r="B16" s="770">
        <f t="shared" si="3"/>
        <v>0</v>
      </c>
      <c r="C16" s="771">
        <f>COUNTIFS('Trung tâm nhập liệu'!$C$217:$C$1016,"&gt;="&amp;$B$2,'Trung tâm nhập liệu'!$C$217:$C$1016,"&lt;"&amp;$B$2+1,'Trung tâm nhập liệu'!$D$217:$D$1016,C$14,'Trung tâm nhập liệu'!$L$217:$L$1016,"Hoàn thành",'Trung tâm nhập liệu'!$O$217:$O$1016,"Đúng hạn")</f>
        <v>0</v>
      </c>
      <c r="D16" s="771">
        <f>COUNTIFS('Trung tâm nhập liệu'!$C$217:$C$1016,"&gt;="&amp;$B$2,'Trung tâm nhập liệu'!$C$217:$C$1016,"&lt;"&amp;$B$2+1,'Trung tâm nhập liệu'!$D$217:$D$1016,D$14,'Trung tâm nhập liệu'!$L$217:$L$1016,"Hoàn thành",'Trung tâm nhập liệu'!$O$217:$O$1016,"Đúng hạn")</f>
        <v>0</v>
      </c>
      <c r="E16" s="771">
        <f>COUNTIFS('Trung tâm nhập liệu'!$C$217:$C$1016,"&gt;="&amp;$B$2,'Trung tâm nhập liệu'!$C$217:$C$1016,"&lt;"&amp;$B$2+1,'Trung tâm nhập liệu'!$D$217:$D$1016,E$14,'Trung tâm nhập liệu'!$L$217:$L$1016,"Hoàn thành",'Trung tâm nhập liệu'!$O$217:$O$1016,"Đúng hạn")</f>
        <v>0</v>
      </c>
      <c r="F16" s="771">
        <f>COUNTIFS('Trung tâm nhập liệu'!$C$217:$C$1016,"&gt;="&amp;$B$2,'Trung tâm nhập liệu'!$C$217:$C$1016,"&lt;"&amp;$B$2+1,'Trung tâm nhập liệu'!$D$217:$D$1016,F$14,'Trung tâm nhập liệu'!$L$217:$L$1016,"Hoàn thành",'Trung tâm nhập liệu'!$O$217:$O$1016,"Đúng hạn")</f>
        <v>0</v>
      </c>
    </row>
    <row r="17">
      <c r="A17" s="364" t="s">
        <v>721</v>
      </c>
      <c r="B17" s="770">
        <f t="shared" si="3"/>
        <v>0</v>
      </c>
      <c r="C17" s="771">
        <f>COUNTIFS('Trung tâm nhập liệu'!$C$217:$C$1016,"&gt;="&amp;$B$2,'Trung tâm nhập liệu'!$C$217:$C$1016,"&lt;"&amp;$B$2+1,'Trung tâm nhập liệu'!$D$217:$D$1016,C$14,'Trung tâm nhập liệu'!$L$217:$L$1016,"Hoàn thành",'Trung tâm nhập liệu'!$O$217:$O$1016,"Trễ hạn")</f>
        <v>0</v>
      </c>
      <c r="D17" s="771">
        <f>COUNTIFS('Trung tâm nhập liệu'!$C$217:$C$1016,"&gt;="&amp;$B$2,'Trung tâm nhập liệu'!$C$217:$C$1016,"&lt;"&amp;$B$2+1,'Trung tâm nhập liệu'!$D$217:$D$1016,D$14,'Trung tâm nhập liệu'!$L$217:$L$1016,"Hoàn thành",'Trung tâm nhập liệu'!$O$217:$O$1016,"Trễ hạn")</f>
        <v>0</v>
      </c>
      <c r="E17" s="771">
        <f>COUNTIFS('Trung tâm nhập liệu'!$C$217:$C$1016,"&gt;="&amp;$B$2,'Trung tâm nhập liệu'!$C$217:$C$1016,"&lt;"&amp;$B$2+1,'Trung tâm nhập liệu'!$D$217:$D$1016,E$14,'Trung tâm nhập liệu'!$L$217:$L$1016,"Hoàn thành",'Trung tâm nhập liệu'!$O$217:$O$1016,"Trễ hạn")</f>
        <v>0</v>
      </c>
      <c r="F17" s="771">
        <f>COUNTIFS('Trung tâm nhập liệu'!$C$217:$C$1016,"&gt;="&amp;$B$2,'Trung tâm nhập liệu'!$C$217:$C$1016,"&lt;"&amp;$B$2+1,'Trung tâm nhập liệu'!$D$217:$D$1016,F$14,'Trung tâm nhập liệu'!$L$217:$L$1016,"Hoàn thành",'Trung tâm nhập liệu'!$O$217:$O$1016,"Trễ hạn")</f>
        <v>0</v>
      </c>
    </row>
    <row r="18">
      <c r="A18" s="364" t="s">
        <v>722</v>
      </c>
      <c r="B18" s="774">
        <f t="shared" ref="B18:F18" si="4">IFERROR(B16/B15,0)</f>
        <v>0</v>
      </c>
      <c r="C18" s="775">
        <f t="shared" si="4"/>
        <v>0</v>
      </c>
      <c r="D18" s="775">
        <f t="shared" si="4"/>
        <v>0</v>
      </c>
      <c r="E18" s="775">
        <f t="shared" si="4"/>
        <v>0</v>
      </c>
      <c r="F18" s="775">
        <f t="shared" si="4"/>
        <v>0</v>
      </c>
    </row>
    <row r="19">
      <c r="A19" s="364" t="s">
        <v>724</v>
      </c>
      <c r="B19" s="776">
        <f t="shared" ref="B19:B21" si="5">SUM(C19:F19)</f>
        <v>0</v>
      </c>
      <c r="C19" s="777">
        <f>SUMIFS('Trung tâm nhập liệu'!$N$217:$N$1016,'Trung tâm nhập liệu'!$C$217:$C$1016,"&gt;="&amp;$B$2,'Trung tâm nhập liệu'!$C$217:$C$1016,"&lt;"&amp;$B$2+1,'Trung tâm nhập liệu'!$D$217:$D$1016,C$14)</f>
        <v>0</v>
      </c>
      <c r="D19" s="777">
        <f>SUMIFS('Trung tâm nhập liệu'!$N$217:$N$1016,'Trung tâm nhập liệu'!$C$217:$C$1016,"&gt;="&amp;$B$2,'Trung tâm nhập liệu'!$C$217:$C$1016,"&lt;"&amp;$B$2+1,'Trung tâm nhập liệu'!$D$217:$D$1016,D$14)</f>
        <v>0</v>
      </c>
      <c r="E19" s="777">
        <f>SUMIFS('Trung tâm nhập liệu'!$N$217:$N$1016,'Trung tâm nhập liệu'!$C$217:$C$1016,"&gt;="&amp;$B$2,'Trung tâm nhập liệu'!$C$217:$C$1016,"&lt;"&amp;$B$2+1,'Trung tâm nhập liệu'!$D$217:$D$1016,E$14)</f>
        <v>0</v>
      </c>
      <c r="F19" s="777">
        <f>SUMIFS('Trung tâm nhập liệu'!$N$217:$N$1016,'Trung tâm nhập liệu'!$C$217:$C$1016,"&gt;="&amp;$B$2,'Trung tâm nhập liệu'!$C$217:$C$1016,"&lt;"&amp;$B$2+1,'Trung tâm nhập liệu'!$D$217:$D$1016,F$14)</f>
        <v>0</v>
      </c>
    </row>
    <row r="20">
      <c r="A20" s="364" t="s">
        <v>259</v>
      </c>
      <c r="B20" s="770">
        <f t="shared" si="5"/>
        <v>0</v>
      </c>
      <c r="C20" s="771">
        <f>COUNTIFS('Trung tâm nhập liệu'!$C$217:$C$1016,"&gt;="&amp;$B$2,'Trung tâm nhập liệu'!$C$217:$C$1016,"&lt;"&amp;$B$2+1,'Trung tâm nhập liệu'!$D$217:$D$1016,C$14,'Trung tâm nhập liệu'!$L$217:$L$1016,"Đang thực hiện")</f>
        <v>0</v>
      </c>
      <c r="D20" s="771">
        <f>COUNTIFS('Trung tâm nhập liệu'!$C$217:$C$1016,"&gt;="&amp;$B$2,'Trung tâm nhập liệu'!$C$217:$C$1016,"&lt;"&amp;$B$2+1,'Trung tâm nhập liệu'!$D$217:$D$1016,D$14,'Trung tâm nhập liệu'!$L$217:$L$1016,"Đang thực hiện")</f>
        <v>0</v>
      </c>
      <c r="E20" s="771">
        <f>COUNTIFS('Trung tâm nhập liệu'!$C$217:$C$1016,"&gt;="&amp;$B$2,'Trung tâm nhập liệu'!$C$217:$C$1016,"&lt;"&amp;$B$2+1,'Trung tâm nhập liệu'!$D$217:$D$1016,E$14,'Trung tâm nhập liệu'!$L$217:$L$1016,"Đang thực hiện")</f>
        <v>0</v>
      </c>
      <c r="F20" s="771">
        <f>COUNTIFS('Trung tâm nhập liệu'!$C$217:$C$1016,"&gt;="&amp;$B$2,'Trung tâm nhập liệu'!$C$217:$C$1016,"&lt;"&amp;$B$2+1,'Trung tâm nhập liệu'!$D$217:$D$1016,F$14,'Trung tâm nhập liệu'!$L$217:$L$1016,"Đang thực hiện")</f>
        <v>0</v>
      </c>
    </row>
    <row r="21">
      <c r="A21" s="364" t="s">
        <v>642</v>
      </c>
      <c r="B21" s="778">
        <f t="shared" si="5"/>
        <v>0</v>
      </c>
      <c r="C21" s="779">
        <f>COUNTIFS('Trung tâm nhập liệu'!$C$217:$C$1016,"&gt;="&amp;$B$2,'Trung tâm nhập liệu'!$C$217:$C$1016,"&lt;"&amp;$B$2+1,'Trung tâm nhập liệu'!$D$217:$D$1016,C$14,'Trung tâm nhập liệu'!$L$217:$L$1016,"Chưa thực hiện")</f>
        <v>0</v>
      </c>
      <c r="D21" s="779">
        <f>COUNTIFS('Trung tâm nhập liệu'!$C$217:$C$1016,"&gt;="&amp;$B$2,'Trung tâm nhập liệu'!$C$217:$C$1016,"&lt;"&amp;$B$2+1,'Trung tâm nhập liệu'!$D$217:$D$1016,D$14,'Trung tâm nhập liệu'!$L$217:$L$1016,"Chưa thực hiện")</f>
        <v>0</v>
      </c>
      <c r="E21" s="779">
        <f>COUNTIFS('Trung tâm nhập liệu'!$C$217:$C$1016,"&gt;="&amp;$B$2,'Trung tâm nhập liệu'!$C$217:$C$1016,"&lt;"&amp;$B$2+1,'Trung tâm nhập liệu'!$D$217:$D$1016,E$14,'Trung tâm nhập liệu'!$L$217:$L$1016,"Chưa thực hiện")</f>
        <v>0</v>
      </c>
      <c r="F21" s="779">
        <f>COUNTIFS('Trung tâm nhập liệu'!$C$217:$C$1016,"&gt;="&amp;$B$2,'Trung tâm nhập liệu'!$C$217:$C$1016,"&lt;"&amp;$B$2+1,'Trung tâm nhập liệu'!$D$217:$D$1016,F$14,'Trung tâm nhập liệu'!$L$217:$L$1016,"Chưa thực hiện")</f>
        <v>0</v>
      </c>
    </row>
    <row r="22" ht="4.5" customHeight="1"/>
    <row r="23" ht="4.5" customHeight="1"/>
    <row r="24">
      <c r="A24" s="62" t="s">
        <v>725</v>
      </c>
      <c r="B24" s="780"/>
      <c r="C24" s="780"/>
      <c r="D24" s="780"/>
      <c r="E24" s="780"/>
      <c r="F24" s="780"/>
    </row>
    <row r="25">
      <c r="A25" s="781" t="s">
        <v>726</v>
      </c>
      <c r="B25" s="782">
        <f>B6+B15</f>
        <v>0</v>
      </c>
      <c r="C25" s="783" t="s">
        <v>720</v>
      </c>
      <c r="D25" s="784" t="str">
        <f>B8+B16</f>
        <v>#REF!</v>
      </c>
      <c r="E25" s="785" t="s">
        <v>721</v>
      </c>
      <c r="F25" s="786" t="str">
        <f>B9+B17</f>
        <v>#REF!</v>
      </c>
    </row>
    <row r="26">
      <c r="A26" s="787" t="s">
        <v>727</v>
      </c>
      <c r="B26" s="788">
        <f>IFERROR((B8+B16)/(B6+B15),0)</f>
        <v>0</v>
      </c>
      <c r="C26" s="789" t="s">
        <v>728</v>
      </c>
      <c r="D26" s="790">
        <f>B7</f>
        <v>0</v>
      </c>
      <c r="E26" s="781" t="s">
        <v>259</v>
      </c>
      <c r="F26" s="791">
        <f>B20</f>
        <v>0</v>
      </c>
    </row>
    <row r="27">
      <c r="A27" s="792" t="s">
        <v>729</v>
      </c>
      <c r="B27" s="793">
        <f>B19</f>
        <v>0</v>
      </c>
      <c r="C27" s="789" t="s">
        <v>642</v>
      </c>
      <c r="D27" s="790">
        <f>B21</f>
        <v>0</v>
      </c>
      <c r="E27" s="794" t="s">
        <v>730</v>
      </c>
      <c r="F27" s="795" t="str">
        <f>LET(miss,COUNTIF('Lớp 3 - Công việc chính'!$AR$14:$AR$73,"Thiếu*")+COUNTIF('Lớp 4 - Danh mục'!$AU$14:$AU$132,"Thiếu*")+COUNTIF('Lớp 5 - Phân công'!$AV$14:$AV$262,"Thiếu*")+COUNTIF('Lớp 6 - Chi tiết'!$AY$14:$AY$267,"Thiếu*")+COUNTIF('Lớp 3 - Công việc chính'!$AR$14:$AR$73,"Phân bổ phải &gt; 0")+COUNTIF('Lớp 4 - Danh mục'!$AU$14:$AU$132,"Phân bổ phải &gt; 0")+COUNTIF('Lớp 5 - Phân công'!$AV$14:$AV$262,"Phân bổ phải &gt; 0")+COUNTIF('Lớp 6 - Chi tiết'!$AY$14:$AY$267,"Phân bổ phải &gt; 0"),IF(AND(B7=0,miss=0),"Đủ dữ liệu",IF(B7&gt;0,"Thiếu "&amp;B7&amp;" ngày hoàn thành","")&amp;IF(AND(B7&gt;0,miss&gt;0)," | ","")&amp;IF(miss&gt;0,"Thiếu "&amp;miss&amp;" tham số tải","")))</f>
        <v>Thiếu 78 tham số tải</v>
      </c>
    </row>
    <row r="28" ht="4.5" customHeight="1"/>
    <row r="29">
      <c r="A29" s="27" t="s">
        <v>731</v>
      </c>
      <c r="B29" s="28"/>
      <c r="C29" s="28"/>
      <c r="D29" s="28"/>
      <c r="E29" s="28"/>
      <c r="F29" s="28"/>
    </row>
    <row r="30" ht="13.5" customHeight="1">
      <c r="A30" s="769" t="s">
        <v>107</v>
      </c>
      <c r="B30" s="769" t="s">
        <v>732</v>
      </c>
      <c r="C30" s="769" t="s">
        <v>733</v>
      </c>
      <c r="D30" s="796"/>
      <c r="E30" s="796"/>
      <c r="F30" s="796"/>
    </row>
    <row r="31">
      <c r="A31" s="797" t="s">
        <v>734</v>
      </c>
      <c r="B31" s="798">
        <v>0.4</v>
      </c>
      <c r="C31" s="799" t="s">
        <v>735</v>
      </c>
      <c r="D31" s="800"/>
      <c r="E31" s="800"/>
      <c r="F31" s="800"/>
    </row>
    <row r="32">
      <c r="A32" s="797" t="s">
        <v>736</v>
      </c>
      <c r="B32" s="798">
        <v>0.25</v>
      </c>
      <c r="C32" s="799" t="s">
        <v>737</v>
      </c>
      <c r="D32" s="800"/>
      <c r="E32" s="800"/>
      <c r="F32" s="800"/>
    </row>
    <row r="33">
      <c r="A33" s="797" t="s">
        <v>738</v>
      </c>
      <c r="B33" s="798">
        <v>0.25</v>
      </c>
      <c r="C33" s="799" t="s">
        <v>739</v>
      </c>
      <c r="D33" s="800"/>
      <c r="E33" s="800"/>
      <c r="F33" s="800"/>
    </row>
    <row r="34">
      <c r="A34" s="797" t="s">
        <v>740</v>
      </c>
      <c r="B34" s="801">
        <v>0.1</v>
      </c>
      <c r="C34" s="799" t="s">
        <v>741</v>
      </c>
      <c r="D34" s="800"/>
      <c r="E34" s="800"/>
      <c r="F34" s="800"/>
    </row>
    <row r="35">
      <c r="A35" s="797" t="s">
        <v>742</v>
      </c>
      <c r="B35" s="802" t="s">
        <v>743</v>
      </c>
      <c r="C35" s="799" t="s">
        <v>744</v>
      </c>
      <c r="D35" s="800"/>
      <c r="E35" s="800"/>
      <c r="F35" s="800"/>
    </row>
    <row r="36">
      <c r="A36" s="803" t="s">
        <v>745</v>
      </c>
      <c r="B36" s="804"/>
      <c r="C36" s="805" t="s">
        <v>746</v>
      </c>
      <c r="D36" s="806"/>
      <c r="E36" s="806"/>
      <c r="F36" s="806"/>
    </row>
    <row r="37" ht="4.5" customHeight="1"/>
    <row r="38">
      <c r="A38" s="807" t="s">
        <v>747</v>
      </c>
      <c r="B38" s="808"/>
      <c r="C38" s="808"/>
      <c r="D38" s="808"/>
      <c r="E38" s="808"/>
      <c r="F38" s="808"/>
    </row>
    <row r="39" ht="12.75" customHeight="1">
      <c r="A39" s="809" t="s">
        <v>748</v>
      </c>
      <c r="B39" s="810" t="str">
        <f>IF(B25=0,"Chưa có công việc được ghi nhận hoàn thành trong ngày.","Đã hoàn thành "&amp;B25&amp;" công việc; tỷ lệ đúng hạn "&amp;TEXT(B26,"0.0%")&amp;".")</f>
        <v>Chưa có công việc được ghi nhận hoàn thành trong ngày.</v>
      </c>
      <c r="C39" s="810"/>
      <c r="D39" s="810"/>
      <c r="E39" s="810"/>
      <c r="F39" s="810"/>
    </row>
    <row r="40" ht="13.5" customHeight="1">
      <c r="A40" s="809" t="s">
        <v>749</v>
      </c>
      <c r="B40" s="811">
        <f>COUNTIF('Lớp 3 - Công việc chính'!$AH$14:$AH$73,"Quá tải*")+COUNTIF('Lớp 4 - Danh mục'!$AK$14:$AK$132,"Quá tải*")+COUNTIF('Lớp 5 - Phân công'!$AL$14:$AL$262,"Quá tải*")+COUNTIF('Lớp 6 - Chi tiết'!$AO$14:$AO$267,"Quá tải*")</f>
        <v>22</v>
      </c>
      <c r="C40" s="812" t="s">
        <v>750</v>
      </c>
      <c r="D40" s="813">
        <f>COUNTIF('Lớp 3 - Công việc chính'!$AH$14:$AH$73,"Cận tải*")+COUNTIF('Lớp 4 - Danh mục'!$AK$14:$AK$132,"Cận tải*")+COUNTIF('Lớp 5 - Phân công'!$AL$14:$AL$262,"Cận tải*")+COUNTIF('Lớp 6 - Chi tiết'!$AO$14:$AO$267,"Cận tải*")</f>
        <v>5</v>
      </c>
      <c r="E40" s="785" t="s">
        <v>751</v>
      </c>
      <c r="F40" s="786">
        <f>COUNTIF('Lớp 3 - Công việc chính'!$AH$14:$AH$73,"Quá hạn*")+COUNTIF('Lớp 4 - Danh mục'!$AK$14:$AK$132,"Quá hạn*")+COUNTIF('Lớp 5 - Phân công'!$AL$14:$AL$262,"Quá hạn*")+COUNTIF('Lớp 6 - Chi tiết'!$AO$14:$AO$267,"Quá hạn*")</f>
        <v>0</v>
      </c>
    </row>
    <row r="41">
      <c r="A41" s="809" t="s">
        <v>752</v>
      </c>
      <c r="B41" s="814" t="str">
        <f>IF(F27&lt;&gt;"Đủ dữ liệu","Chưa đủ dữ liệu để kết luận: "&amp;F27&amp;". Hãy hoàn thiện dữ liệu trước khi đánh giá.",IF(B25=0,"Chưa có công việc hoàn thành trong ngày.",IF(AND(B26&gt;=0.9,B40=0),"Kết quả tốt: hoàn thành "&amp;B25&amp;" công việc, đúng hạn "&amp;TEXT(B26,"0.0%")&amp;", tải trong ngưỡng.",IF(B40&gt;0,"Cần điều phối tải: hoàn thành "&amp;B25&amp;" công việc, đúng hạn "&amp;TEXT(B26,"0.0%")&amp;", có "&amp;B40&amp;" dòng quá tải và "&amp;F40&amp;" dòng quá hạn.","Cần cải thiện kế hoạch/thực hiện: hoàn thành "&amp;B25&amp;" công việc, đúng hạn "&amp;TEXT(B26,"0.0%")&amp;"."))))</f>
        <v>Chưa đủ dữ liệu để kết luận: Thiếu 78 tham số tải. Hãy hoàn thiện dữ liệu trước khi đánh giá.</v>
      </c>
      <c r="C41" s="814"/>
      <c r="D41" s="814"/>
      <c r="E41" s="814"/>
      <c r="F41" s="814"/>
    </row>
    <row r="42">
      <c r="A42" s="809" t="s">
        <v>753</v>
      </c>
      <c r="B42" s="815" t="s">
        <v>754</v>
      </c>
      <c r="C42" s="816"/>
      <c r="D42" s="816"/>
      <c r="E42" s="816"/>
      <c r="F42" s="816"/>
    </row>
    <row r="43" ht="12.75" customHeight="1">
      <c r="A43" s="817" t="s">
        <v>755</v>
      </c>
      <c r="B43" s="818" t="s">
        <v>756</v>
      </c>
      <c r="C43" s="819"/>
      <c r="D43" s="819"/>
      <c r="E43" s="819"/>
      <c r="F43" s="819"/>
    </row>
    <row r="44" ht="4.5" customHeight="1"/>
    <row r="45" ht="12.0" customHeight="1">
      <c r="A45" s="820" t="s">
        <v>757</v>
      </c>
      <c r="B45" s="821"/>
      <c r="C45" s="821"/>
      <c r="D45" s="821"/>
      <c r="E45" s="821"/>
      <c r="F45" s="821"/>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2330"/>
    <outlinePr summaryBelow="0" summaryRight="0"/>
  </sheetPr>
  <sheetViews>
    <sheetView showGridLines="0" workbookViewId="0"/>
  </sheetViews>
  <sheetFormatPr customHeight="1" defaultColWidth="12.63" defaultRowHeight="15.0"/>
  <cols>
    <col customWidth="1" min="1" max="1" width="25.75"/>
    <col customWidth="1" min="2" max="2" width="10.75"/>
    <col customWidth="1" min="3" max="3" width="55.75"/>
    <col customWidth="1" min="4" max="4" width="8.0"/>
    <col customWidth="1" min="5" max="5" width="13.75"/>
    <col customWidth="1" min="6" max="6" width="23.75"/>
  </cols>
  <sheetData>
    <row r="1" ht="19.5" customHeight="1">
      <c r="A1" s="1" t="s">
        <v>758</v>
      </c>
      <c r="B1" s="160"/>
      <c r="C1" s="3"/>
      <c r="D1" s="3"/>
      <c r="E1" s="3"/>
      <c r="F1" s="3"/>
    </row>
    <row r="2">
      <c r="A2" s="765" t="s">
        <v>759</v>
      </c>
      <c r="B2" s="766">
        <f>TODAY()-WEEKDAY(TODAY(),2)+1</f>
        <v>46244</v>
      </c>
      <c r="C2" s="680"/>
      <c r="D2" s="765" t="s">
        <v>714</v>
      </c>
      <c r="E2" s="767">
        <f>TODAY()</f>
        <v>46245</v>
      </c>
    </row>
    <row r="3" ht="13.5" customHeight="1">
      <c r="A3" s="181" t="s">
        <v>715</v>
      </c>
      <c r="B3" s="768"/>
      <c r="C3" s="768"/>
      <c r="D3" s="768"/>
      <c r="E3" s="768"/>
      <c r="F3" s="768"/>
    </row>
    <row r="4">
      <c r="A4" s="27" t="s">
        <v>716</v>
      </c>
      <c r="B4" s="28"/>
      <c r="C4" s="28"/>
      <c r="D4" s="28"/>
      <c r="E4" s="28"/>
      <c r="F4" s="28"/>
    </row>
    <row r="5" ht="13.5" customHeight="1">
      <c r="A5" s="769" t="s">
        <v>717</v>
      </c>
      <c r="B5" s="769" t="s">
        <v>117</v>
      </c>
      <c r="C5" s="769" t="s">
        <v>637</v>
      </c>
      <c r="D5" s="769" t="s">
        <v>640</v>
      </c>
      <c r="E5" s="769" t="s">
        <v>643</v>
      </c>
      <c r="F5" s="769" t="s">
        <v>647</v>
      </c>
    </row>
    <row r="6">
      <c r="A6" s="364" t="s">
        <v>760</v>
      </c>
      <c r="B6" s="770">
        <f t="shared" ref="B6:B9" si="1">SUM(C6:F6)</f>
        <v>0</v>
      </c>
      <c r="C6" s="771">
        <f>COUNTIFS('Lớp 3 - Công việc chính'!$AL$14:$AL$73,"&gt;="&amp;$B$2,'Lớp 3 - Công việc chính'!$AL$14:$AL$73,"&lt;"&amp;$B$2+7,'Lớp 3 - Công việc chính'!$X$14:$X$73,"Hoàn thành")</f>
        <v>0</v>
      </c>
      <c r="D6" s="771">
        <f>COUNTIFS('Lớp 4 - Danh mục'!$AO$14:$AO$132,"&gt;="&amp;$B$2,'Lớp 4 - Danh mục'!$AO$14:$AO$132,"&lt;"&amp;$B$2+7,'Lớp 4 - Danh mục'!$AA$14:$AA$132,"Hoàn thành")</f>
        <v>0</v>
      </c>
      <c r="E6" s="771">
        <f>COUNTIFS('Lớp 5 - Phân công'!$AP$14:$AP$262,"&gt;="&amp;$B$2,'Lớp 5 - Phân công'!$AP$14:$AP$262,"&lt;"&amp;$B$2+7,'Lớp 5 - Phân công'!$AB$14:$AB$262,"Hoàn thành")</f>
        <v>0</v>
      </c>
      <c r="F6" s="771">
        <f>COUNTIFS('Lớp 6 - Chi tiết'!$AS$14:$AS$267,"&gt;="&amp;$B$2,'Lớp 6 - Chi tiết'!$AS$14:$AS$267,"&lt;"&amp;$B$2+7,'Lớp 6 - Chi tiết'!$AE$14:$AE$267,"Hoàn thành")</f>
        <v>0</v>
      </c>
    </row>
    <row r="7">
      <c r="A7" s="364" t="s">
        <v>719</v>
      </c>
      <c r="B7" s="770">
        <f t="shared" si="1"/>
        <v>0</v>
      </c>
      <c r="C7" s="771">
        <f>COUNTIFS('Lớp 3 - Công việc chính'!$X$14:$X$73,"Hoàn thành",'Lớp 3 - Công việc chính'!$AL$14:$AL$73,"")</f>
        <v>0</v>
      </c>
      <c r="D7" s="771">
        <f>COUNTIFS('Lớp 4 - Danh mục'!$AA$14:$AA$132,"Hoàn thành",'Lớp 4 - Danh mục'!$AO$14:$AO$132,"")</f>
        <v>0</v>
      </c>
      <c r="E7" s="771">
        <f>COUNTIFS('Lớp 5 - Phân công'!$AB$14:$AB$262,"Hoàn thành",'Lớp 5 - Phân công'!$AP$14:$AP$262,"")</f>
        <v>0</v>
      </c>
      <c r="F7" s="771">
        <f>COUNTIFS('Lớp 6 - Chi tiết'!$AE$14:$AE$267,"Hoàn thành",'Lớp 6 - Chi tiết'!$AS$14:$AS$267,"")</f>
        <v>0</v>
      </c>
    </row>
    <row r="8">
      <c r="A8" s="364" t="s">
        <v>720</v>
      </c>
      <c r="B8" s="770" t="str">
        <f t="shared" si="1"/>
        <v>#REF!</v>
      </c>
      <c r="C8" s="771" t="str">
        <f>SUMPRODUCT(('Lớp 3 - Công việc chính'!$AL$14:$AL$73&gt;=$B$2)*('Lớp 3 - Công việc chính'!$AL$14:$AL$73&lt;$B$2+7)*('Lớp 3 - Công việc chính'!$X$14:$X$73="Hoàn thành")*('Lớp 3 - Công việc chính'!$AA$14:$AA$73&lt;&gt;"")*('Lớp 3 - Công việc chính'!$AL$14:$AL$73&lt;='Lớp 3 - Công việc chính'!$AA$14:$AA$73))</f>
        <v>#REF!</v>
      </c>
      <c r="D8" s="771" t="str">
        <f>SUMPRODUCT(('Lớp 4 - Danh mục'!$AO$14:$AO$132&gt;=$B$2)*('Lớp 4 - Danh mục'!$AO$14:$AO$132&lt;$B$2+7)*('Lớp 4 - Danh mục'!$AA$14:$AA$132="Hoàn thành")*('Lớp 4 - Danh mục'!$AD$14:$AD$132&lt;&gt;"")*('Lớp 4 - Danh mục'!$AO$14:$AO$132&lt;='Lớp 4 - Danh mục'!$AD$14:$AD$132))</f>
        <v>#REF!</v>
      </c>
      <c r="E8" s="771" t="str">
        <f>SUMPRODUCT(('Lớp 5 - Phân công'!$AP$14:$AP$262&gt;=$B$2)*('Lớp 5 - Phân công'!$AP$14:$AP$262&lt;$B$2+7)*('Lớp 5 - Phân công'!$AB$14:$AB$262="Hoàn thành")*('Lớp 5 - Phân công'!$AE$14:$AE$262&lt;&gt;"")*('Lớp 5 - Phân công'!$AP$14:$AP$262&lt;='Lớp 5 - Phân công'!$AE$14:$AE$262))</f>
        <v>#REF!</v>
      </c>
      <c r="F8" s="771">
        <f>SUMPRODUCT(('Lớp 6 - Chi tiết'!$AS$14:$AS$267&gt;=$B$2)*('Lớp 6 - Chi tiết'!$AS$14:$AS$267&lt;$B$2+7)*('Lớp 6 - Chi tiết'!$AE$14:$AE$267="Hoàn thành")*('Lớp 6 - Chi tiết'!$AH$14:$AH$267&lt;&gt;"")*('Lớp 6 - Chi tiết'!$AS$14:$AS$267&lt;='Lớp 6 - Chi tiết'!$AH$14:$AH$267))</f>
        <v>0</v>
      </c>
    </row>
    <row r="9">
      <c r="A9" s="364" t="s">
        <v>721</v>
      </c>
      <c r="B9" s="770" t="str">
        <f t="shared" si="1"/>
        <v>#REF!</v>
      </c>
      <c r="C9" s="771" t="str">
        <f>SUMPRODUCT(('Lớp 3 - Công việc chính'!$AL$14:$AL$73&gt;=$B$2)*('Lớp 3 - Công việc chính'!$AL$14:$AL$73&lt;$B$2+7)*('Lớp 3 - Công việc chính'!$X$14:$X$73="Hoàn thành")*('Lớp 3 - Công việc chính'!$AA$14:$AA$73&lt;&gt;"")*('Lớp 3 - Công việc chính'!$AL$14:$AL$73&gt;'Lớp 3 - Công việc chính'!$AA$14:$AA$73))</f>
        <v>#REF!</v>
      </c>
      <c r="D9" s="771" t="str">
        <f>SUMPRODUCT(('Lớp 4 - Danh mục'!$AO$14:$AO$132&gt;=$B$2)*('Lớp 4 - Danh mục'!$AO$14:$AO$132&lt;$B$2+7)*('Lớp 4 - Danh mục'!$AA$14:$AA$132="Hoàn thành")*('Lớp 4 - Danh mục'!$AD$14:$AD$132&lt;&gt;"")*('Lớp 4 - Danh mục'!$AO$14:$AO$132&gt;'Lớp 4 - Danh mục'!$AD$14:$AD$132))</f>
        <v>#REF!</v>
      </c>
      <c r="E9" s="771" t="str">
        <f>SUMPRODUCT(('Lớp 5 - Phân công'!$AP$14:$AP$262&gt;=$B$2)*('Lớp 5 - Phân công'!$AP$14:$AP$262&lt;$B$2+7)*('Lớp 5 - Phân công'!$AB$14:$AB$262="Hoàn thành")*('Lớp 5 - Phân công'!$AE$14:$AE$262&lt;&gt;"")*('Lớp 5 - Phân công'!$AP$14:$AP$262&gt;'Lớp 5 - Phân công'!$AE$14:$AE$262))</f>
        <v>#REF!</v>
      </c>
      <c r="F9" s="771">
        <f>SUMPRODUCT(('Lớp 6 - Chi tiết'!$AS$14:$AS$267&gt;=$B$2)*('Lớp 6 - Chi tiết'!$AS$14:$AS$267&lt;$B$2+7)*('Lớp 6 - Chi tiết'!$AE$14:$AE$267="Hoàn thành")*('Lớp 6 - Chi tiết'!$AH$14:$AH$267&lt;&gt;"")*('Lớp 6 - Chi tiết'!$AS$14:$AS$267&gt;'Lớp 6 - Chi tiết'!$AH$14:$AH$267))</f>
        <v>0</v>
      </c>
    </row>
    <row r="10">
      <c r="A10" s="364" t="s">
        <v>722</v>
      </c>
      <c r="B10" s="772">
        <f t="shared" ref="B10:F10" si="2">IFERROR(B8/B6,0)</f>
        <v>0</v>
      </c>
      <c r="C10" s="773">
        <f t="shared" si="2"/>
        <v>0</v>
      </c>
      <c r="D10" s="773">
        <f t="shared" si="2"/>
        <v>0</v>
      </c>
      <c r="E10" s="773">
        <f t="shared" si="2"/>
        <v>0</v>
      </c>
      <c r="F10" s="773">
        <f t="shared" si="2"/>
        <v>0</v>
      </c>
    </row>
    <row r="11" ht="4.5" customHeight="1"/>
    <row r="12" ht="4.5" customHeight="1"/>
    <row r="13">
      <c r="A13" s="27" t="s">
        <v>723</v>
      </c>
      <c r="B13" s="28"/>
      <c r="C13" s="28"/>
      <c r="D13" s="28"/>
      <c r="E13" s="28"/>
      <c r="F13" s="28"/>
    </row>
    <row r="14" ht="13.5" customHeight="1">
      <c r="A14" s="769" t="s">
        <v>717</v>
      </c>
      <c r="B14" s="769" t="s">
        <v>117</v>
      </c>
      <c r="C14" s="769" t="s">
        <v>637</v>
      </c>
      <c r="D14" s="769" t="s">
        <v>640</v>
      </c>
      <c r="E14" s="769" t="s">
        <v>643</v>
      </c>
      <c r="F14" s="769" t="s">
        <v>647</v>
      </c>
    </row>
    <row r="15">
      <c r="A15" s="364" t="s">
        <v>760</v>
      </c>
      <c r="B15" s="770">
        <f t="shared" ref="B15:B17" si="3">SUM(C15:F15)</f>
        <v>0</v>
      </c>
      <c r="C15" s="771">
        <f>COUNTIFS('Trung tâm nhập liệu'!$C$217:$C$1016,"&gt;="&amp;$B$2,'Trung tâm nhập liệu'!$C$217:$C$1016,"&lt;"&amp;$B$2+7,'Trung tâm nhập liệu'!$D$217:$D$1016,C$14,'Trung tâm nhập liệu'!$L$217:$L$1016,"Hoàn thành")</f>
        <v>0</v>
      </c>
      <c r="D15" s="771">
        <f>COUNTIFS('Trung tâm nhập liệu'!$C$217:$C$1016,"&gt;="&amp;$B$2,'Trung tâm nhập liệu'!$C$217:$C$1016,"&lt;"&amp;$B$2+7,'Trung tâm nhập liệu'!$D$217:$D$1016,D$14,'Trung tâm nhập liệu'!$L$217:$L$1016,"Hoàn thành")</f>
        <v>0</v>
      </c>
      <c r="E15" s="771">
        <f>COUNTIFS('Trung tâm nhập liệu'!$C$217:$C$1016,"&gt;="&amp;$B$2,'Trung tâm nhập liệu'!$C$217:$C$1016,"&lt;"&amp;$B$2+7,'Trung tâm nhập liệu'!$D$217:$D$1016,E$14,'Trung tâm nhập liệu'!$L$217:$L$1016,"Hoàn thành")</f>
        <v>0</v>
      </c>
      <c r="F15" s="771">
        <f>COUNTIFS('Trung tâm nhập liệu'!$C$217:$C$1016,"&gt;="&amp;$B$2,'Trung tâm nhập liệu'!$C$217:$C$1016,"&lt;"&amp;$B$2+7,'Trung tâm nhập liệu'!$D$217:$D$1016,F$14,'Trung tâm nhập liệu'!$L$217:$L$1016,"Hoàn thành")</f>
        <v>0</v>
      </c>
    </row>
    <row r="16">
      <c r="A16" s="364" t="s">
        <v>720</v>
      </c>
      <c r="B16" s="770">
        <f t="shared" si="3"/>
        <v>0</v>
      </c>
      <c r="C16" s="771">
        <f>COUNTIFS('Trung tâm nhập liệu'!$C$217:$C$1016,"&gt;="&amp;$B$2,'Trung tâm nhập liệu'!$C$217:$C$1016,"&lt;"&amp;$B$2+7,'Trung tâm nhập liệu'!$D$217:$D$1016,C$14,'Trung tâm nhập liệu'!$L$217:$L$1016,"Hoàn thành",'Trung tâm nhập liệu'!$O$217:$O$1016,"Đúng hạn")</f>
        <v>0</v>
      </c>
      <c r="D16" s="771">
        <f>COUNTIFS('Trung tâm nhập liệu'!$C$217:$C$1016,"&gt;="&amp;$B$2,'Trung tâm nhập liệu'!$C$217:$C$1016,"&lt;"&amp;$B$2+7,'Trung tâm nhập liệu'!$D$217:$D$1016,D$14,'Trung tâm nhập liệu'!$L$217:$L$1016,"Hoàn thành",'Trung tâm nhập liệu'!$O$217:$O$1016,"Đúng hạn")</f>
        <v>0</v>
      </c>
      <c r="E16" s="771">
        <f>COUNTIFS('Trung tâm nhập liệu'!$C$217:$C$1016,"&gt;="&amp;$B$2,'Trung tâm nhập liệu'!$C$217:$C$1016,"&lt;"&amp;$B$2+7,'Trung tâm nhập liệu'!$D$217:$D$1016,E$14,'Trung tâm nhập liệu'!$L$217:$L$1016,"Hoàn thành",'Trung tâm nhập liệu'!$O$217:$O$1016,"Đúng hạn")</f>
        <v>0</v>
      </c>
      <c r="F16" s="771">
        <f>COUNTIFS('Trung tâm nhập liệu'!$C$217:$C$1016,"&gt;="&amp;$B$2,'Trung tâm nhập liệu'!$C$217:$C$1016,"&lt;"&amp;$B$2+7,'Trung tâm nhập liệu'!$D$217:$D$1016,F$14,'Trung tâm nhập liệu'!$L$217:$L$1016,"Hoàn thành",'Trung tâm nhập liệu'!$O$217:$O$1016,"Đúng hạn")</f>
        <v>0</v>
      </c>
    </row>
    <row r="17">
      <c r="A17" s="364" t="s">
        <v>721</v>
      </c>
      <c r="B17" s="770">
        <f t="shared" si="3"/>
        <v>0</v>
      </c>
      <c r="C17" s="771">
        <f>COUNTIFS('Trung tâm nhập liệu'!$C$217:$C$1016,"&gt;="&amp;$B$2,'Trung tâm nhập liệu'!$C$217:$C$1016,"&lt;"&amp;$B$2+7,'Trung tâm nhập liệu'!$D$217:$D$1016,C$14,'Trung tâm nhập liệu'!$L$217:$L$1016,"Hoàn thành",'Trung tâm nhập liệu'!$O$217:$O$1016,"Trễ hạn")</f>
        <v>0</v>
      </c>
      <c r="D17" s="771">
        <f>COUNTIFS('Trung tâm nhập liệu'!$C$217:$C$1016,"&gt;="&amp;$B$2,'Trung tâm nhập liệu'!$C$217:$C$1016,"&lt;"&amp;$B$2+7,'Trung tâm nhập liệu'!$D$217:$D$1016,D$14,'Trung tâm nhập liệu'!$L$217:$L$1016,"Hoàn thành",'Trung tâm nhập liệu'!$O$217:$O$1016,"Trễ hạn")</f>
        <v>0</v>
      </c>
      <c r="E17" s="771">
        <f>COUNTIFS('Trung tâm nhập liệu'!$C$217:$C$1016,"&gt;="&amp;$B$2,'Trung tâm nhập liệu'!$C$217:$C$1016,"&lt;"&amp;$B$2+7,'Trung tâm nhập liệu'!$D$217:$D$1016,E$14,'Trung tâm nhập liệu'!$L$217:$L$1016,"Hoàn thành",'Trung tâm nhập liệu'!$O$217:$O$1016,"Trễ hạn")</f>
        <v>0</v>
      </c>
      <c r="F17" s="771">
        <f>COUNTIFS('Trung tâm nhập liệu'!$C$217:$C$1016,"&gt;="&amp;$B$2,'Trung tâm nhập liệu'!$C$217:$C$1016,"&lt;"&amp;$B$2+7,'Trung tâm nhập liệu'!$D$217:$D$1016,F$14,'Trung tâm nhập liệu'!$L$217:$L$1016,"Hoàn thành",'Trung tâm nhập liệu'!$O$217:$O$1016,"Trễ hạn")</f>
        <v>0</v>
      </c>
    </row>
    <row r="18">
      <c r="A18" s="364" t="s">
        <v>722</v>
      </c>
      <c r="B18" s="774">
        <f t="shared" ref="B18:F18" si="4">IFERROR(B16/B15,0)</f>
        <v>0</v>
      </c>
      <c r="C18" s="775">
        <f t="shared" si="4"/>
        <v>0</v>
      </c>
      <c r="D18" s="775">
        <f t="shared" si="4"/>
        <v>0</v>
      </c>
      <c r="E18" s="775">
        <f t="shared" si="4"/>
        <v>0</v>
      </c>
      <c r="F18" s="775">
        <f t="shared" si="4"/>
        <v>0</v>
      </c>
    </row>
    <row r="19">
      <c r="A19" s="364" t="s">
        <v>724</v>
      </c>
      <c r="B19" s="776">
        <f t="shared" ref="B19:B21" si="5">SUM(C19:F19)</f>
        <v>0</v>
      </c>
      <c r="C19" s="777">
        <f>SUMIFS('Trung tâm nhập liệu'!$N$217:$N$1016,'Trung tâm nhập liệu'!$C$217:$C$1016,"&gt;="&amp;$B$2,'Trung tâm nhập liệu'!$C$217:$C$1016,"&lt;"&amp;$B$2+7,'Trung tâm nhập liệu'!$D$217:$D$1016,C$14)</f>
        <v>0</v>
      </c>
      <c r="D19" s="777">
        <f>SUMIFS('Trung tâm nhập liệu'!$N$217:$N$1016,'Trung tâm nhập liệu'!$C$217:$C$1016,"&gt;="&amp;$B$2,'Trung tâm nhập liệu'!$C$217:$C$1016,"&lt;"&amp;$B$2+7,'Trung tâm nhập liệu'!$D$217:$D$1016,D$14)</f>
        <v>0</v>
      </c>
      <c r="E19" s="777">
        <f>SUMIFS('Trung tâm nhập liệu'!$N$217:$N$1016,'Trung tâm nhập liệu'!$C$217:$C$1016,"&gt;="&amp;$B$2,'Trung tâm nhập liệu'!$C$217:$C$1016,"&lt;"&amp;$B$2+7,'Trung tâm nhập liệu'!$D$217:$D$1016,E$14)</f>
        <v>0</v>
      </c>
      <c r="F19" s="777">
        <f>SUMIFS('Trung tâm nhập liệu'!$N$217:$N$1016,'Trung tâm nhập liệu'!$C$217:$C$1016,"&gt;="&amp;$B$2,'Trung tâm nhập liệu'!$C$217:$C$1016,"&lt;"&amp;$B$2+7,'Trung tâm nhập liệu'!$D$217:$D$1016,F$14)</f>
        <v>0</v>
      </c>
    </row>
    <row r="20">
      <c r="A20" s="364" t="s">
        <v>259</v>
      </c>
      <c r="B20" s="770">
        <f t="shared" si="5"/>
        <v>0</v>
      </c>
      <c r="C20" s="771">
        <f>COUNTIFS('Trung tâm nhập liệu'!$C$217:$C$1016,"&gt;="&amp;$B$2,'Trung tâm nhập liệu'!$C$217:$C$1016,"&lt;"&amp;$B$2+7,'Trung tâm nhập liệu'!$D$217:$D$1016,C$14,'Trung tâm nhập liệu'!$L$217:$L$1016,"Đang thực hiện")</f>
        <v>0</v>
      </c>
      <c r="D20" s="771">
        <f>COUNTIFS('Trung tâm nhập liệu'!$C$217:$C$1016,"&gt;="&amp;$B$2,'Trung tâm nhập liệu'!$C$217:$C$1016,"&lt;"&amp;$B$2+7,'Trung tâm nhập liệu'!$D$217:$D$1016,D$14,'Trung tâm nhập liệu'!$L$217:$L$1016,"Đang thực hiện")</f>
        <v>0</v>
      </c>
      <c r="E20" s="771">
        <f>COUNTIFS('Trung tâm nhập liệu'!$C$217:$C$1016,"&gt;="&amp;$B$2,'Trung tâm nhập liệu'!$C$217:$C$1016,"&lt;"&amp;$B$2+7,'Trung tâm nhập liệu'!$D$217:$D$1016,E$14,'Trung tâm nhập liệu'!$L$217:$L$1016,"Đang thực hiện")</f>
        <v>0</v>
      </c>
      <c r="F20" s="771">
        <f>COUNTIFS('Trung tâm nhập liệu'!$C$217:$C$1016,"&gt;="&amp;$B$2,'Trung tâm nhập liệu'!$C$217:$C$1016,"&lt;"&amp;$B$2+7,'Trung tâm nhập liệu'!$D$217:$D$1016,F$14,'Trung tâm nhập liệu'!$L$217:$L$1016,"Đang thực hiện")</f>
        <v>0</v>
      </c>
    </row>
    <row r="21">
      <c r="A21" s="364" t="s">
        <v>642</v>
      </c>
      <c r="B21" s="778">
        <f t="shared" si="5"/>
        <v>0</v>
      </c>
      <c r="C21" s="779">
        <f>COUNTIFS('Trung tâm nhập liệu'!$C$217:$C$1016,"&gt;="&amp;$B$2,'Trung tâm nhập liệu'!$C$217:$C$1016,"&lt;"&amp;$B$2+7,'Trung tâm nhập liệu'!$D$217:$D$1016,C$14,'Trung tâm nhập liệu'!$L$217:$L$1016,"Chưa thực hiện")</f>
        <v>0</v>
      </c>
      <c r="D21" s="779">
        <f>COUNTIFS('Trung tâm nhập liệu'!$C$217:$C$1016,"&gt;="&amp;$B$2,'Trung tâm nhập liệu'!$C$217:$C$1016,"&lt;"&amp;$B$2+7,'Trung tâm nhập liệu'!$D$217:$D$1016,D$14,'Trung tâm nhập liệu'!$L$217:$L$1016,"Chưa thực hiện")</f>
        <v>0</v>
      </c>
      <c r="E21" s="779">
        <f>COUNTIFS('Trung tâm nhập liệu'!$C$217:$C$1016,"&gt;="&amp;$B$2,'Trung tâm nhập liệu'!$C$217:$C$1016,"&lt;"&amp;$B$2+7,'Trung tâm nhập liệu'!$D$217:$D$1016,E$14,'Trung tâm nhập liệu'!$L$217:$L$1016,"Chưa thực hiện")</f>
        <v>0</v>
      </c>
      <c r="F21" s="779">
        <f>COUNTIFS('Trung tâm nhập liệu'!$C$217:$C$1016,"&gt;="&amp;$B$2,'Trung tâm nhập liệu'!$C$217:$C$1016,"&lt;"&amp;$B$2+7,'Trung tâm nhập liệu'!$D$217:$D$1016,F$14,'Trung tâm nhập liệu'!$L$217:$L$1016,"Chưa thực hiện")</f>
        <v>0</v>
      </c>
    </row>
    <row r="22" ht="4.5" customHeight="1"/>
    <row r="23" ht="4.5" customHeight="1"/>
    <row r="24">
      <c r="A24" s="62" t="s">
        <v>761</v>
      </c>
      <c r="B24" s="780"/>
      <c r="C24" s="780"/>
      <c r="D24" s="780"/>
      <c r="E24" s="780"/>
      <c r="F24" s="780"/>
    </row>
    <row r="25">
      <c r="A25" s="781" t="s">
        <v>726</v>
      </c>
      <c r="B25" s="782">
        <f>B6+B15</f>
        <v>0</v>
      </c>
      <c r="C25" s="783" t="s">
        <v>720</v>
      </c>
      <c r="D25" s="784" t="str">
        <f>B8+B16</f>
        <v>#REF!</v>
      </c>
      <c r="E25" s="785" t="s">
        <v>721</v>
      </c>
      <c r="F25" s="786" t="str">
        <f>B9+B17</f>
        <v>#REF!</v>
      </c>
    </row>
    <row r="26">
      <c r="A26" s="787" t="s">
        <v>727</v>
      </c>
      <c r="B26" s="788">
        <f>IFERROR((B8+B16)/(B6+B15),0)</f>
        <v>0</v>
      </c>
      <c r="C26" s="789" t="s">
        <v>728</v>
      </c>
      <c r="D26" s="790">
        <f>B7</f>
        <v>0</v>
      </c>
      <c r="E26" s="781" t="s">
        <v>259</v>
      </c>
      <c r="F26" s="791">
        <f>B20</f>
        <v>0</v>
      </c>
    </row>
    <row r="27">
      <c r="A27" s="792" t="s">
        <v>729</v>
      </c>
      <c r="B27" s="793">
        <f>B19</f>
        <v>0</v>
      </c>
      <c r="C27" s="789" t="s">
        <v>642</v>
      </c>
      <c r="D27" s="790">
        <f>B21</f>
        <v>0</v>
      </c>
      <c r="E27" s="794" t="s">
        <v>730</v>
      </c>
      <c r="F27" s="795" t="str">
        <f>LET(miss,COUNTIF('Lớp 3 - Công việc chính'!$AR$14:$AR$73,"Thiếu*")+COUNTIF('Lớp 4 - Danh mục'!$AU$14:$AU$132,"Thiếu*")+COUNTIF('Lớp 5 - Phân công'!$AV$14:$AV$262,"Thiếu*")+COUNTIF('Lớp 6 - Chi tiết'!$AY$14:$AY$267,"Thiếu*")+COUNTIF('Lớp 3 - Công việc chính'!$AR$14:$AR$73,"Phân bổ phải &gt; 0")+COUNTIF('Lớp 4 - Danh mục'!$AU$14:$AU$132,"Phân bổ phải &gt; 0")+COUNTIF('Lớp 5 - Phân công'!$AV$14:$AV$262,"Phân bổ phải &gt; 0")+COUNTIF('Lớp 6 - Chi tiết'!$AY$14:$AY$267,"Phân bổ phải &gt; 0"),IF(AND(B7=0,miss=0),"Đủ dữ liệu",IF(B7&gt;0,"Thiếu "&amp;B7&amp;" ngày hoàn thành","")&amp;IF(AND(B7&gt;0,miss&gt;0)," | ","")&amp;IF(miss&gt;0,"Thiếu "&amp;miss&amp;" tham số tải","")))</f>
        <v>Thiếu 78 tham số tải</v>
      </c>
    </row>
    <row r="28" ht="4.5" customHeight="1"/>
    <row r="29">
      <c r="A29" s="27" t="s">
        <v>731</v>
      </c>
      <c r="B29" s="28"/>
      <c r="C29" s="28"/>
      <c r="D29" s="28"/>
      <c r="E29" s="28"/>
      <c r="F29" s="28"/>
    </row>
    <row r="30" ht="13.5" customHeight="1">
      <c r="A30" s="769" t="s">
        <v>107</v>
      </c>
      <c r="B30" s="769" t="s">
        <v>732</v>
      </c>
      <c r="C30" s="769" t="s">
        <v>733</v>
      </c>
      <c r="D30" s="796"/>
      <c r="E30" s="796"/>
      <c r="F30" s="796"/>
    </row>
    <row r="31">
      <c r="A31" s="797" t="s">
        <v>734</v>
      </c>
      <c r="B31" s="798">
        <v>0.4</v>
      </c>
      <c r="C31" s="799" t="s">
        <v>735</v>
      </c>
      <c r="D31" s="800"/>
      <c r="E31" s="800"/>
      <c r="F31" s="800"/>
    </row>
    <row r="32">
      <c r="A32" s="797" t="s">
        <v>736</v>
      </c>
      <c r="B32" s="798">
        <v>0.25</v>
      </c>
      <c r="C32" s="799" t="s">
        <v>737</v>
      </c>
      <c r="D32" s="800"/>
      <c r="E32" s="800"/>
      <c r="F32" s="800"/>
    </row>
    <row r="33">
      <c r="A33" s="797" t="s">
        <v>738</v>
      </c>
      <c r="B33" s="798">
        <v>0.25</v>
      </c>
      <c r="C33" s="799" t="s">
        <v>739</v>
      </c>
      <c r="D33" s="800"/>
      <c r="E33" s="800"/>
      <c r="F33" s="800"/>
    </row>
    <row r="34">
      <c r="A34" s="797" t="s">
        <v>740</v>
      </c>
      <c r="B34" s="801">
        <v>0.1</v>
      </c>
      <c r="C34" s="799" t="s">
        <v>741</v>
      </c>
      <c r="D34" s="800"/>
      <c r="E34" s="800"/>
      <c r="F34" s="800"/>
    </row>
    <row r="35">
      <c r="A35" s="797" t="s">
        <v>742</v>
      </c>
      <c r="B35" s="802" t="s">
        <v>743</v>
      </c>
      <c r="C35" s="799" t="s">
        <v>744</v>
      </c>
      <c r="D35" s="800"/>
      <c r="E35" s="800"/>
      <c r="F35" s="800"/>
    </row>
    <row r="36">
      <c r="A36" s="803" t="s">
        <v>745</v>
      </c>
      <c r="B36" s="804"/>
      <c r="C36" s="805" t="s">
        <v>746</v>
      </c>
      <c r="D36" s="806"/>
      <c r="E36" s="806"/>
      <c r="F36" s="806"/>
    </row>
    <row r="37" ht="4.5" customHeight="1"/>
    <row r="38">
      <c r="A38" s="807" t="s">
        <v>747</v>
      </c>
      <c r="B38" s="808"/>
      <c r="C38" s="808"/>
      <c r="D38" s="808"/>
      <c r="E38" s="808"/>
      <c r="F38" s="808"/>
    </row>
    <row r="39" ht="12.75" customHeight="1">
      <c r="A39" s="809" t="s">
        <v>762</v>
      </c>
      <c r="B39" s="810" t="str">
        <f>IF(B25=0,"Chưa có công việc được ghi nhận hoàn thành trong tuần.","Đã hoàn thành "&amp;B25&amp;" công việc; tỷ lệ đúng hạn "&amp;TEXT(B26,"0.0%")&amp;".")</f>
        <v>Chưa có công việc được ghi nhận hoàn thành trong tuần.</v>
      </c>
      <c r="C39" s="810"/>
      <c r="D39" s="810"/>
      <c r="E39" s="810"/>
      <c r="F39" s="810"/>
    </row>
    <row r="40" ht="13.5" customHeight="1">
      <c r="A40" s="809" t="s">
        <v>749</v>
      </c>
      <c r="B40" s="811">
        <f>COUNTIF('Lớp 3 - Công việc chính'!$AH$14:$AH$73,"Quá tải*")+COUNTIF('Lớp 4 - Danh mục'!$AK$14:$AK$132,"Quá tải*")+COUNTIF('Lớp 5 - Phân công'!$AL$14:$AL$262,"Quá tải*")+COUNTIF('Lớp 6 - Chi tiết'!$AO$14:$AO$267,"Quá tải*")</f>
        <v>22</v>
      </c>
      <c r="C40" s="812" t="s">
        <v>750</v>
      </c>
      <c r="D40" s="813">
        <f>COUNTIF('Lớp 3 - Công việc chính'!$AH$14:$AH$73,"Cận tải*")+COUNTIF('Lớp 4 - Danh mục'!$AK$14:$AK$132,"Cận tải*")+COUNTIF('Lớp 5 - Phân công'!$AL$14:$AL$262,"Cận tải*")+COUNTIF('Lớp 6 - Chi tiết'!$AO$14:$AO$267,"Cận tải*")</f>
        <v>5</v>
      </c>
      <c r="E40" s="785" t="s">
        <v>751</v>
      </c>
      <c r="F40" s="786">
        <f>COUNTIF('Lớp 3 - Công việc chính'!$AH$14:$AH$73,"Quá hạn*")+COUNTIF('Lớp 4 - Danh mục'!$AK$14:$AK$132,"Quá hạn*")+COUNTIF('Lớp 5 - Phân công'!$AL$14:$AL$262,"Quá hạn*")+COUNTIF('Lớp 6 - Chi tiết'!$AO$14:$AO$267,"Quá hạn*")</f>
        <v>0</v>
      </c>
    </row>
    <row r="41">
      <c r="A41" s="809" t="s">
        <v>752</v>
      </c>
      <c r="B41" s="814" t="str">
        <f>IF(F27&lt;&gt;"Đủ dữ liệu","Chưa đủ dữ liệu để kết luận: "&amp;F27&amp;". Hãy hoàn thiện dữ liệu trước khi đánh giá.",IF(B25=0,"Chưa có công việc hoàn thành trong tuần.",IF(AND(B26&gt;=0.9,B40=0),"Kết quả tốt: hoàn thành "&amp;B25&amp;" công việc, đúng hạn "&amp;TEXT(B26,"0.0%")&amp;", tải trong ngưỡng.",IF(B40&gt;0,"Cần điều phối tải: hoàn thành "&amp;B25&amp;" công việc, đúng hạn "&amp;TEXT(B26,"0.0%")&amp;", có "&amp;B40&amp;" dòng quá tải và "&amp;F40&amp;" dòng quá hạn.","Cần cải thiện kế hoạch/thực hiện: hoàn thành "&amp;B25&amp;" công việc, đúng hạn "&amp;TEXT(B26,"0.0%")&amp;"."))))</f>
        <v>Chưa đủ dữ liệu để kết luận: Thiếu 78 tham số tải. Hãy hoàn thiện dữ liệu trước khi đánh giá.</v>
      </c>
      <c r="C41" s="814"/>
      <c r="D41" s="814"/>
      <c r="E41" s="814"/>
      <c r="F41" s="814"/>
    </row>
    <row r="42">
      <c r="A42" s="809" t="s">
        <v>753</v>
      </c>
      <c r="B42" s="815" t="s">
        <v>754</v>
      </c>
      <c r="C42" s="816"/>
      <c r="D42" s="816"/>
      <c r="E42" s="816"/>
      <c r="F42" s="816"/>
    </row>
    <row r="43" ht="12.75" customHeight="1">
      <c r="A43" s="817" t="s">
        <v>755</v>
      </c>
      <c r="B43" s="818" t="s">
        <v>756</v>
      </c>
      <c r="C43" s="819"/>
      <c r="D43" s="819"/>
      <c r="E43" s="819"/>
      <c r="F43" s="819"/>
    </row>
    <row r="44" ht="4.5" customHeight="1"/>
    <row r="45" ht="12.0" customHeight="1">
      <c r="A45" s="820" t="s">
        <v>757</v>
      </c>
      <c r="B45" s="821"/>
      <c r="C45" s="821"/>
      <c r="D45" s="821"/>
      <c r="E45" s="821"/>
      <c r="F45" s="821"/>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2330"/>
    <outlinePr summaryBelow="0" summaryRight="0"/>
  </sheetPr>
  <sheetViews>
    <sheetView showGridLines="0" workbookViewId="0"/>
  </sheetViews>
  <sheetFormatPr customHeight="1" defaultColWidth="12.63" defaultRowHeight="15.0"/>
  <cols>
    <col customWidth="1" min="1" max="1" width="25.75"/>
    <col customWidth="1" min="2" max="2" width="10.75"/>
    <col customWidth="1" min="3" max="3" width="55.75"/>
    <col customWidth="1" min="4" max="4" width="8.0"/>
    <col customWidth="1" min="5" max="5" width="13.75"/>
    <col customWidth="1" min="6" max="6" width="23.75"/>
  </cols>
  <sheetData>
    <row r="1" ht="19.5" customHeight="1">
      <c r="A1" s="1" t="s">
        <v>763</v>
      </c>
      <c r="B1" s="160"/>
      <c r="C1" s="3"/>
      <c r="D1" s="3"/>
      <c r="E1" s="3"/>
      <c r="F1" s="3"/>
    </row>
    <row r="2">
      <c r="A2" s="765" t="s">
        <v>765</v>
      </c>
      <c r="B2" s="822">
        <f>DATE(2026,8,1)</f>
        <v>46235</v>
      </c>
      <c r="C2" s="680"/>
      <c r="D2" s="765" t="s">
        <v>714</v>
      </c>
      <c r="E2" s="767">
        <f>TODAY()</f>
        <v>46245</v>
      </c>
    </row>
    <row r="3" ht="13.5" customHeight="1">
      <c r="A3" s="181" t="s">
        <v>715</v>
      </c>
      <c r="B3" s="768"/>
      <c r="C3" s="768"/>
      <c r="D3" s="768"/>
      <c r="E3" s="768"/>
      <c r="F3" s="768"/>
    </row>
    <row r="4">
      <c r="A4" s="27" t="s">
        <v>716</v>
      </c>
      <c r="B4" s="28"/>
      <c r="C4" s="28"/>
      <c r="D4" s="28"/>
      <c r="E4" s="28"/>
      <c r="F4" s="28"/>
    </row>
    <row r="5" ht="13.5" customHeight="1">
      <c r="A5" s="769" t="s">
        <v>717</v>
      </c>
      <c r="B5" s="769" t="s">
        <v>117</v>
      </c>
      <c r="C5" s="769" t="s">
        <v>637</v>
      </c>
      <c r="D5" s="769" t="s">
        <v>640</v>
      </c>
      <c r="E5" s="769" t="s">
        <v>643</v>
      </c>
      <c r="F5" s="769" t="s">
        <v>647</v>
      </c>
    </row>
    <row r="6">
      <c r="A6" s="364" t="s">
        <v>767</v>
      </c>
      <c r="B6" s="770">
        <f t="shared" ref="B6:B9" si="1">SUM(C6:F6)</f>
        <v>1</v>
      </c>
      <c r="C6" s="771">
        <f>COUNTIFS('Lớp 3 - Công việc chính'!$AL$14:$AL$73,"&gt;="&amp;$B$2,'Lớp 3 - Công việc chính'!$AL$14:$AL$73,"&lt;"&amp;EDATE($B$2,1),'Lớp 3 - Công việc chính'!$X$14:$X$73,"Hoàn thành")</f>
        <v>0</v>
      </c>
      <c r="D6" s="771">
        <f>COUNTIFS('Lớp 4 - Danh mục'!$AO$14:$AO$132,"&gt;="&amp;$B$2,'Lớp 4 - Danh mục'!$AO$14:$AO$132,"&lt;"&amp;EDATE($B$2,1),'Lớp 4 - Danh mục'!$AA$14:$AA$132,"Hoàn thành")</f>
        <v>0</v>
      </c>
      <c r="E6" s="771">
        <f>COUNTIFS('Lớp 5 - Phân công'!$AP$14:$AP$262,"&gt;="&amp;$B$2,'Lớp 5 - Phân công'!$AP$14:$AP$262,"&lt;"&amp;EDATE($B$2,1),'Lớp 5 - Phân công'!$AB$14:$AB$262,"Hoàn thành")</f>
        <v>0</v>
      </c>
      <c r="F6" s="771">
        <f>COUNTIFS('Lớp 6 - Chi tiết'!$AS$14:$AS$267,"&gt;="&amp;$B$2,'Lớp 6 - Chi tiết'!$AS$14:$AS$267,"&lt;"&amp;EDATE($B$2,1),'Lớp 6 - Chi tiết'!$AE$14:$AE$267,"Hoàn thành")</f>
        <v>1</v>
      </c>
    </row>
    <row r="7">
      <c r="A7" s="364" t="s">
        <v>719</v>
      </c>
      <c r="B7" s="770">
        <f t="shared" si="1"/>
        <v>0</v>
      </c>
      <c r="C7" s="771">
        <f>COUNTIFS('Lớp 3 - Công việc chính'!$X$14:$X$73,"Hoàn thành",'Lớp 3 - Công việc chính'!$AL$14:$AL$73,"")</f>
        <v>0</v>
      </c>
      <c r="D7" s="771">
        <f>COUNTIFS('Lớp 4 - Danh mục'!$AA$14:$AA$132,"Hoàn thành",'Lớp 4 - Danh mục'!$AO$14:$AO$132,"")</f>
        <v>0</v>
      </c>
      <c r="E7" s="771">
        <f>COUNTIFS('Lớp 5 - Phân công'!$AB$14:$AB$262,"Hoàn thành",'Lớp 5 - Phân công'!$AP$14:$AP$262,"")</f>
        <v>0</v>
      </c>
      <c r="F7" s="771">
        <f>COUNTIFS('Lớp 6 - Chi tiết'!$AE$14:$AE$267,"Hoàn thành",'Lớp 6 - Chi tiết'!$AS$14:$AS$267,"")</f>
        <v>0</v>
      </c>
    </row>
    <row r="8">
      <c r="A8" s="364" t="s">
        <v>720</v>
      </c>
      <c r="B8" s="770" t="str">
        <f t="shared" si="1"/>
        <v>#REF!</v>
      </c>
      <c r="C8" s="771" t="str">
        <f>SUMPRODUCT(('Lớp 3 - Công việc chính'!$AL$14:$AL$73&gt;=$B$2)*('Lớp 3 - Công việc chính'!$AL$14:$AL$73&lt;EDATE($B$2,1))*('Lớp 3 - Công việc chính'!$X$14:$X$73="Hoàn thành")*('Lớp 3 - Công việc chính'!$AA$14:$AA$73&lt;&gt;"")*('Lớp 3 - Công việc chính'!$AL$14:$AL$73&lt;='Lớp 3 - Công việc chính'!$AA$14:$AA$73))</f>
        <v>#REF!</v>
      </c>
      <c r="D8" s="771" t="str">
        <f>SUMPRODUCT(('Lớp 4 - Danh mục'!$AO$14:$AO$132&gt;=$B$2)*('Lớp 4 - Danh mục'!$AO$14:$AO$132&lt;EDATE($B$2,1))*('Lớp 4 - Danh mục'!$AA$14:$AA$132="Hoàn thành")*('Lớp 4 - Danh mục'!$AD$14:$AD$132&lt;&gt;"")*('Lớp 4 - Danh mục'!$AO$14:$AO$132&lt;='Lớp 4 - Danh mục'!$AD$14:$AD$132))</f>
        <v>#REF!</v>
      </c>
      <c r="E8" s="771" t="str">
        <f>SUMPRODUCT(('Lớp 5 - Phân công'!$AP$14:$AP$262&gt;=$B$2)*('Lớp 5 - Phân công'!$AP$14:$AP$262&lt;EDATE($B$2,1))*('Lớp 5 - Phân công'!$AB$14:$AB$262="Hoàn thành")*('Lớp 5 - Phân công'!$AE$14:$AE$262&lt;&gt;"")*('Lớp 5 - Phân công'!$AP$14:$AP$262&lt;='Lớp 5 - Phân công'!$AE$14:$AE$262))</f>
        <v>#REF!</v>
      </c>
      <c r="F8" s="771">
        <f>SUMPRODUCT(('Lớp 6 - Chi tiết'!$AS$14:$AS$267&gt;=$B$2)*('Lớp 6 - Chi tiết'!$AS$14:$AS$267&lt;EDATE($B$2,1))*('Lớp 6 - Chi tiết'!$AE$14:$AE$267="Hoàn thành")*('Lớp 6 - Chi tiết'!$AH$14:$AH$267&lt;&gt;"")*('Lớp 6 - Chi tiết'!$AS$14:$AS$267&lt;='Lớp 6 - Chi tiết'!$AH$14:$AH$267))</f>
        <v>1</v>
      </c>
    </row>
    <row r="9">
      <c r="A9" s="364" t="s">
        <v>721</v>
      </c>
      <c r="B9" s="770" t="str">
        <f t="shared" si="1"/>
        <v>#REF!</v>
      </c>
      <c r="C9" s="771" t="str">
        <f>SUMPRODUCT(('Lớp 3 - Công việc chính'!$AL$14:$AL$73&gt;=$B$2)*('Lớp 3 - Công việc chính'!$AL$14:$AL$73&lt;EDATE($B$2,1))*('Lớp 3 - Công việc chính'!$X$14:$X$73="Hoàn thành")*('Lớp 3 - Công việc chính'!$AA$14:$AA$73&lt;&gt;"")*('Lớp 3 - Công việc chính'!$AL$14:$AL$73&gt;'Lớp 3 - Công việc chính'!$AA$14:$AA$73))</f>
        <v>#REF!</v>
      </c>
      <c r="D9" s="771" t="str">
        <f>SUMPRODUCT(('Lớp 4 - Danh mục'!$AO$14:$AO$132&gt;=$B$2)*('Lớp 4 - Danh mục'!$AO$14:$AO$132&lt;EDATE($B$2,1))*('Lớp 4 - Danh mục'!$AA$14:$AA$132="Hoàn thành")*('Lớp 4 - Danh mục'!$AD$14:$AD$132&lt;&gt;"")*('Lớp 4 - Danh mục'!$AO$14:$AO$132&gt;'Lớp 4 - Danh mục'!$AD$14:$AD$132))</f>
        <v>#REF!</v>
      </c>
      <c r="E9" s="771" t="str">
        <f>SUMPRODUCT(('Lớp 5 - Phân công'!$AP$14:$AP$262&gt;=$B$2)*('Lớp 5 - Phân công'!$AP$14:$AP$262&lt;EDATE($B$2,1))*('Lớp 5 - Phân công'!$AB$14:$AB$262="Hoàn thành")*('Lớp 5 - Phân công'!$AE$14:$AE$262&lt;&gt;"")*('Lớp 5 - Phân công'!$AP$14:$AP$262&gt;'Lớp 5 - Phân công'!$AE$14:$AE$262))</f>
        <v>#REF!</v>
      </c>
      <c r="F9" s="771">
        <f>SUMPRODUCT(('Lớp 6 - Chi tiết'!$AS$14:$AS$267&gt;=$B$2)*('Lớp 6 - Chi tiết'!$AS$14:$AS$267&lt;EDATE($B$2,1))*('Lớp 6 - Chi tiết'!$AE$14:$AE$267="Hoàn thành")*('Lớp 6 - Chi tiết'!$AH$14:$AH$267&lt;&gt;"")*('Lớp 6 - Chi tiết'!$AS$14:$AS$267&gt;'Lớp 6 - Chi tiết'!$AH$14:$AH$267))</f>
        <v>0</v>
      </c>
    </row>
    <row r="10">
      <c r="A10" s="364" t="s">
        <v>722</v>
      </c>
      <c r="B10" s="772">
        <f t="shared" ref="B10:F10" si="2">IFERROR(B8/B6,0)</f>
        <v>0</v>
      </c>
      <c r="C10" s="773">
        <f t="shared" si="2"/>
        <v>0</v>
      </c>
      <c r="D10" s="773">
        <f t="shared" si="2"/>
        <v>0</v>
      </c>
      <c r="E10" s="773">
        <f t="shared" si="2"/>
        <v>0</v>
      </c>
      <c r="F10" s="773">
        <f t="shared" si="2"/>
        <v>1</v>
      </c>
    </row>
    <row r="11" ht="4.5" customHeight="1"/>
    <row r="12" ht="4.5" customHeight="1"/>
    <row r="13">
      <c r="A13" s="27" t="s">
        <v>723</v>
      </c>
      <c r="B13" s="28"/>
      <c r="C13" s="28"/>
      <c r="D13" s="28"/>
      <c r="E13" s="28"/>
      <c r="F13" s="28"/>
    </row>
    <row r="14" ht="13.5" customHeight="1">
      <c r="A14" s="769" t="s">
        <v>717</v>
      </c>
      <c r="B14" s="769" t="s">
        <v>117</v>
      </c>
      <c r="C14" s="769" t="s">
        <v>637</v>
      </c>
      <c r="D14" s="769" t="s">
        <v>640</v>
      </c>
      <c r="E14" s="769" t="s">
        <v>643</v>
      </c>
      <c r="F14" s="769" t="s">
        <v>647</v>
      </c>
    </row>
    <row r="15">
      <c r="A15" s="364" t="s">
        <v>767</v>
      </c>
      <c r="B15" s="770">
        <f t="shared" ref="B15:B17" si="3">SUM(C15:F15)</f>
        <v>0</v>
      </c>
      <c r="C15" s="771">
        <f>COUNTIFS('Trung tâm nhập liệu'!$C$217:$C$1016,"&gt;="&amp;$B$2,'Trung tâm nhập liệu'!$C$217:$C$1016,"&lt;"&amp;EDATE($B$2,1),'Trung tâm nhập liệu'!$D$217:$D$1016,C$14,'Trung tâm nhập liệu'!$L$217:$L$1016,"Hoàn thành")</f>
        <v>0</v>
      </c>
      <c r="D15" s="771">
        <f>COUNTIFS('Trung tâm nhập liệu'!$C$217:$C$1016,"&gt;="&amp;$B$2,'Trung tâm nhập liệu'!$C$217:$C$1016,"&lt;"&amp;EDATE($B$2,1),'Trung tâm nhập liệu'!$D$217:$D$1016,D$14,'Trung tâm nhập liệu'!$L$217:$L$1016,"Hoàn thành")</f>
        <v>0</v>
      </c>
      <c r="E15" s="771">
        <f>COUNTIFS('Trung tâm nhập liệu'!$C$217:$C$1016,"&gt;="&amp;$B$2,'Trung tâm nhập liệu'!$C$217:$C$1016,"&lt;"&amp;EDATE($B$2,1),'Trung tâm nhập liệu'!$D$217:$D$1016,E$14,'Trung tâm nhập liệu'!$L$217:$L$1016,"Hoàn thành")</f>
        <v>0</v>
      </c>
      <c r="F15" s="771">
        <f>COUNTIFS('Trung tâm nhập liệu'!$C$217:$C$1016,"&gt;="&amp;$B$2,'Trung tâm nhập liệu'!$C$217:$C$1016,"&lt;"&amp;EDATE($B$2,1),'Trung tâm nhập liệu'!$D$217:$D$1016,F$14,'Trung tâm nhập liệu'!$L$217:$L$1016,"Hoàn thành")</f>
        <v>0</v>
      </c>
    </row>
    <row r="16">
      <c r="A16" s="364" t="s">
        <v>720</v>
      </c>
      <c r="B16" s="770">
        <f t="shared" si="3"/>
        <v>0</v>
      </c>
      <c r="C16" s="771">
        <f>COUNTIFS('Trung tâm nhập liệu'!$C$217:$C$1016,"&gt;="&amp;$B$2,'Trung tâm nhập liệu'!$C$217:$C$1016,"&lt;"&amp;EDATE($B$2,1),'Trung tâm nhập liệu'!$D$217:$D$1016,C$14,'Trung tâm nhập liệu'!$L$217:$L$1016,"Hoàn thành",'Trung tâm nhập liệu'!$O$217:$O$1016,"Đúng hạn")</f>
        <v>0</v>
      </c>
      <c r="D16" s="771">
        <f>COUNTIFS('Trung tâm nhập liệu'!$C$217:$C$1016,"&gt;="&amp;$B$2,'Trung tâm nhập liệu'!$C$217:$C$1016,"&lt;"&amp;EDATE($B$2,1),'Trung tâm nhập liệu'!$D$217:$D$1016,D$14,'Trung tâm nhập liệu'!$L$217:$L$1016,"Hoàn thành",'Trung tâm nhập liệu'!$O$217:$O$1016,"Đúng hạn")</f>
        <v>0</v>
      </c>
      <c r="E16" s="771">
        <f>COUNTIFS('Trung tâm nhập liệu'!$C$217:$C$1016,"&gt;="&amp;$B$2,'Trung tâm nhập liệu'!$C$217:$C$1016,"&lt;"&amp;EDATE($B$2,1),'Trung tâm nhập liệu'!$D$217:$D$1016,E$14,'Trung tâm nhập liệu'!$L$217:$L$1016,"Hoàn thành",'Trung tâm nhập liệu'!$O$217:$O$1016,"Đúng hạn")</f>
        <v>0</v>
      </c>
      <c r="F16" s="771">
        <f>COUNTIFS('Trung tâm nhập liệu'!$C$217:$C$1016,"&gt;="&amp;$B$2,'Trung tâm nhập liệu'!$C$217:$C$1016,"&lt;"&amp;EDATE($B$2,1),'Trung tâm nhập liệu'!$D$217:$D$1016,F$14,'Trung tâm nhập liệu'!$L$217:$L$1016,"Hoàn thành",'Trung tâm nhập liệu'!$O$217:$O$1016,"Đúng hạn")</f>
        <v>0</v>
      </c>
    </row>
    <row r="17">
      <c r="A17" s="364" t="s">
        <v>721</v>
      </c>
      <c r="B17" s="770">
        <f t="shared" si="3"/>
        <v>0</v>
      </c>
      <c r="C17" s="771">
        <f>COUNTIFS('Trung tâm nhập liệu'!$C$217:$C$1016,"&gt;="&amp;$B$2,'Trung tâm nhập liệu'!$C$217:$C$1016,"&lt;"&amp;EDATE($B$2,1),'Trung tâm nhập liệu'!$D$217:$D$1016,C$14,'Trung tâm nhập liệu'!$L$217:$L$1016,"Hoàn thành",'Trung tâm nhập liệu'!$O$217:$O$1016,"Trễ hạn")</f>
        <v>0</v>
      </c>
      <c r="D17" s="771">
        <f>COUNTIFS('Trung tâm nhập liệu'!$C$217:$C$1016,"&gt;="&amp;$B$2,'Trung tâm nhập liệu'!$C$217:$C$1016,"&lt;"&amp;EDATE($B$2,1),'Trung tâm nhập liệu'!$D$217:$D$1016,D$14,'Trung tâm nhập liệu'!$L$217:$L$1016,"Hoàn thành",'Trung tâm nhập liệu'!$O$217:$O$1016,"Trễ hạn")</f>
        <v>0</v>
      </c>
      <c r="E17" s="771">
        <f>COUNTIFS('Trung tâm nhập liệu'!$C$217:$C$1016,"&gt;="&amp;$B$2,'Trung tâm nhập liệu'!$C$217:$C$1016,"&lt;"&amp;EDATE($B$2,1),'Trung tâm nhập liệu'!$D$217:$D$1016,E$14,'Trung tâm nhập liệu'!$L$217:$L$1016,"Hoàn thành",'Trung tâm nhập liệu'!$O$217:$O$1016,"Trễ hạn")</f>
        <v>0</v>
      </c>
      <c r="F17" s="771">
        <f>COUNTIFS('Trung tâm nhập liệu'!$C$217:$C$1016,"&gt;="&amp;$B$2,'Trung tâm nhập liệu'!$C$217:$C$1016,"&lt;"&amp;EDATE($B$2,1),'Trung tâm nhập liệu'!$D$217:$D$1016,F$14,'Trung tâm nhập liệu'!$L$217:$L$1016,"Hoàn thành",'Trung tâm nhập liệu'!$O$217:$O$1016,"Trễ hạn")</f>
        <v>0</v>
      </c>
    </row>
    <row r="18">
      <c r="A18" s="364" t="s">
        <v>722</v>
      </c>
      <c r="B18" s="774">
        <f t="shared" ref="B18:F18" si="4">IFERROR(B16/B15,0)</f>
        <v>0</v>
      </c>
      <c r="C18" s="775">
        <f t="shared" si="4"/>
        <v>0</v>
      </c>
      <c r="D18" s="775">
        <f t="shared" si="4"/>
        <v>0</v>
      </c>
      <c r="E18" s="775">
        <f t="shared" si="4"/>
        <v>0</v>
      </c>
      <c r="F18" s="775">
        <f t="shared" si="4"/>
        <v>0</v>
      </c>
    </row>
    <row r="19">
      <c r="A19" s="364" t="s">
        <v>724</v>
      </c>
      <c r="B19" s="776">
        <f t="shared" ref="B19:B21" si="5">SUM(C19:F19)</f>
        <v>0</v>
      </c>
      <c r="C19" s="777">
        <f>SUMIFS('Trung tâm nhập liệu'!$N$217:$N$1016,'Trung tâm nhập liệu'!$C$217:$C$1016,"&gt;="&amp;$B$2,'Trung tâm nhập liệu'!$C$217:$C$1016,"&lt;"&amp;EDATE($B$2,1),'Trung tâm nhập liệu'!$D$217:$D$1016,C$14)</f>
        <v>0</v>
      </c>
      <c r="D19" s="777">
        <f>SUMIFS('Trung tâm nhập liệu'!$N$217:$N$1016,'Trung tâm nhập liệu'!$C$217:$C$1016,"&gt;="&amp;$B$2,'Trung tâm nhập liệu'!$C$217:$C$1016,"&lt;"&amp;EDATE($B$2,1),'Trung tâm nhập liệu'!$D$217:$D$1016,D$14)</f>
        <v>0</v>
      </c>
      <c r="E19" s="777">
        <f>SUMIFS('Trung tâm nhập liệu'!$N$217:$N$1016,'Trung tâm nhập liệu'!$C$217:$C$1016,"&gt;="&amp;$B$2,'Trung tâm nhập liệu'!$C$217:$C$1016,"&lt;"&amp;EDATE($B$2,1),'Trung tâm nhập liệu'!$D$217:$D$1016,E$14)</f>
        <v>0</v>
      </c>
      <c r="F19" s="777">
        <f>SUMIFS('Trung tâm nhập liệu'!$N$217:$N$1016,'Trung tâm nhập liệu'!$C$217:$C$1016,"&gt;="&amp;$B$2,'Trung tâm nhập liệu'!$C$217:$C$1016,"&lt;"&amp;EDATE($B$2,1),'Trung tâm nhập liệu'!$D$217:$D$1016,F$14)</f>
        <v>0</v>
      </c>
    </row>
    <row r="20">
      <c r="A20" s="364" t="s">
        <v>259</v>
      </c>
      <c r="B20" s="770">
        <f t="shared" si="5"/>
        <v>0</v>
      </c>
      <c r="C20" s="771">
        <f>COUNTIFS('Trung tâm nhập liệu'!$C$217:$C$1016,"&gt;="&amp;$B$2,'Trung tâm nhập liệu'!$C$217:$C$1016,"&lt;"&amp;EDATE($B$2,1),'Trung tâm nhập liệu'!$D$217:$D$1016,C$14,'Trung tâm nhập liệu'!$L$217:$L$1016,"Đang thực hiện")</f>
        <v>0</v>
      </c>
      <c r="D20" s="771">
        <f>COUNTIFS('Trung tâm nhập liệu'!$C$217:$C$1016,"&gt;="&amp;$B$2,'Trung tâm nhập liệu'!$C$217:$C$1016,"&lt;"&amp;EDATE($B$2,1),'Trung tâm nhập liệu'!$D$217:$D$1016,D$14,'Trung tâm nhập liệu'!$L$217:$L$1016,"Đang thực hiện")</f>
        <v>0</v>
      </c>
      <c r="E20" s="771">
        <f>COUNTIFS('Trung tâm nhập liệu'!$C$217:$C$1016,"&gt;="&amp;$B$2,'Trung tâm nhập liệu'!$C$217:$C$1016,"&lt;"&amp;EDATE($B$2,1),'Trung tâm nhập liệu'!$D$217:$D$1016,E$14,'Trung tâm nhập liệu'!$L$217:$L$1016,"Đang thực hiện")</f>
        <v>0</v>
      </c>
      <c r="F20" s="771">
        <f>COUNTIFS('Trung tâm nhập liệu'!$C$217:$C$1016,"&gt;="&amp;$B$2,'Trung tâm nhập liệu'!$C$217:$C$1016,"&lt;"&amp;EDATE($B$2,1),'Trung tâm nhập liệu'!$D$217:$D$1016,F$14,'Trung tâm nhập liệu'!$L$217:$L$1016,"Đang thực hiện")</f>
        <v>0</v>
      </c>
    </row>
    <row r="21">
      <c r="A21" s="364" t="s">
        <v>642</v>
      </c>
      <c r="B21" s="778">
        <f t="shared" si="5"/>
        <v>0</v>
      </c>
      <c r="C21" s="779">
        <f>COUNTIFS('Trung tâm nhập liệu'!$C$217:$C$1016,"&gt;="&amp;$B$2,'Trung tâm nhập liệu'!$C$217:$C$1016,"&lt;"&amp;EDATE($B$2,1),'Trung tâm nhập liệu'!$D$217:$D$1016,C$14,'Trung tâm nhập liệu'!$L$217:$L$1016,"Chưa thực hiện")</f>
        <v>0</v>
      </c>
      <c r="D21" s="779">
        <f>COUNTIFS('Trung tâm nhập liệu'!$C$217:$C$1016,"&gt;="&amp;$B$2,'Trung tâm nhập liệu'!$C$217:$C$1016,"&lt;"&amp;EDATE($B$2,1),'Trung tâm nhập liệu'!$D$217:$D$1016,D$14,'Trung tâm nhập liệu'!$L$217:$L$1016,"Chưa thực hiện")</f>
        <v>0</v>
      </c>
      <c r="E21" s="779">
        <f>COUNTIFS('Trung tâm nhập liệu'!$C$217:$C$1016,"&gt;="&amp;$B$2,'Trung tâm nhập liệu'!$C$217:$C$1016,"&lt;"&amp;EDATE($B$2,1),'Trung tâm nhập liệu'!$D$217:$D$1016,E$14,'Trung tâm nhập liệu'!$L$217:$L$1016,"Chưa thực hiện")</f>
        <v>0</v>
      </c>
      <c r="F21" s="779">
        <f>COUNTIFS('Trung tâm nhập liệu'!$C$217:$C$1016,"&gt;="&amp;$B$2,'Trung tâm nhập liệu'!$C$217:$C$1016,"&lt;"&amp;EDATE($B$2,1),'Trung tâm nhập liệu'!$D$217:$D$1016,F$14,'Trung tâm nhập liệu'!$L$217:$L$1016,"Chưa thực hiện")</f>
        <v>0</v>
      </c>
    </row>
    <row r="22" ht="4.5" customHeight="1"/>
    <row r="23" ht="4.5" customHeight="1"/>
    <row r="24">
      <c r="A24" s="62" t="s">
        <v>769</v>
      </c>
      <c r="B24" s="780"/>
      <c r="C24" s="780"/>
      <c r="D24" s="780"/>
      <c r="E24" s="780"/>
      <c r="F24" s="780"/>
    </row>
    <row r="25">
      <c r="A25" s="781" t="s">
        <v>726</v>
      </c>
      <c r="B25" s="782">
        <f>B6+B15</f>
        <v>1</v>
      </c>
      <c r="C25" s="783" t="s">
        <v>720</v>
      </c>
      <c r="D25" s="784" t="str">
        <f>B8+B16</f>
        <v>#REF!</v>
      </c>
      <c r="E25" s="785" t="s">
        <v>721</v>
      </c>
      <c r="F25" s="786" t="str">
        <f>B9+B17</f>
        <v>#REF!</v>
      </c>
    </row>
    <row r="26">
      <c r="A26" s="787" t="s">
        <v>727</v>
      </c>
      <c r="B26" s="788">
        <f>IFERROR((B8+B16)/(B6+B15),0)</f>
        <v>0</v>
      </c>
      <c r="C26" s="789" t="s">
        <v>728</v>
      </c>
      <c r="D26" s="790">
        <f>B7</f>
        <v>0</v>
      </c>
      <c r="E26" s="781" t="s">
        <v>259</v>
      </c>
      <c r="F26" s="791">
        <f>B20</f>
        <v>0</v>
      </c>
    </row>
    <row r="27">
      <c r="A27" s="792" t="s">
        <v>729</v>
      </c>
      <c r="B27" s="793">
        <f>B19</f>
        <v>0</v>
      </c>
      <c r="C27" s="789" t="s">
        <v>642</v>
      </c>
      <c r="D27" s="790">
        <f>B21</f>
        <v>0</v>
      </c>
      <c r="E27" s="794" t="s">
        <v>730</v>
      </c>
      <c r="F27" s="795" t="str">
        <f>LET(miss,COUNTIF('Lớp 3 - Công việc chính'!$AR$14:$AR$73,"Thiếu*")+COUNTIF('Lớp 4 - Danh mục'!$AU$14:$AU$132,"Thiếu*")+COUNTIF('Lớp 5 - Phân công'!$AV$14:$AV$262,"Thiếu*")+COUNTIF('Lớp 6 - Chi tiết'!$AY$14:$AY$267,"Thiếu*")+COUNTIF('Lớp 3 - Công việc chính'!$AR$14:$AR$73,"Phân bổ phải &gt; 0")+COUNTIF('Lớp 4 - Danh mục'!$AU$14:$AU$132,"Phân bổ phải &gt; 0")+COUNTIF('Lớp 5 - Phân công'!$AV$14:$AV$262,"Phân bổ phải &gt; 0")+COUNTIF('Lớp 6 - Chi tiết'!$AY$14:$AY$267,"Phân bổ phải &gt; 0"),IF(AND(B7=0,miss=0),"Đủ dữ liệu",IF(B7&gt;0,"Thiếu "&amp;B7&amp;" ngày hoàn thành","")&amp;IF(AND(B7&gt;0,miss&gt;0)," | ","")&amp;IF(miss&gt;0,"Thiếu "&amp;miss&amp;" tham số tải","")))</f>
        <v>Thiếu 78 tham số tải</v>
      </c>
    </row>
    <row r="28" ht="4.5" customHeight="1"/>
    <row r="29">
      <c r="A29" s="27" t="s">
        <v>731</v>
      </c>
      <c r="B29" s="28"/>
      <c r="C29" s="28"/>
      <c r="D29" s="28"/>
      <c r="E29" s="28"/>
      <c r="F29" s="28"/>
    </row>
    <row r="30" ht="13.5" customHeight="1">
      <c r="A30" s="769" t="s">
        <v>107</v>
      </c>
      <c r="B30" s="769" t="s">
        <v>732</v>
      </c>
      <c r="C30" s="769" t="s">
        <v>733</v>
      </c>
      <c r="D30" s="796"/>
      <c r="E30" s="796"/>
      <c r="F30" s="796"/>
    </row>
    <row r="31">
      <c r="A31" s="797" t="s">
        <v>734</v>
      </c>
      <c r="B31" s="798">
        <v>0.4</v>
      </c>
      <c r="C31" s="799" t="s">
        <v>735</v>
      </c>
      <c r="D31" s="800"/>
      <c r="E31" s="800"/>
      <c r="F31" s="800"/>
    </row>
    <row r="32">
      <c r="A32" s="797" t="s">
        <v>736</v>
      </c>
      <c r="B32" s="798">
        <v>0.25</v>
      </c>
      <c r="C32" s="799" t="s">
        <v>737</v>
      </c>
      <c r="D32" s="800"/>
      <c r="E32" s="800"/>
      <c r="F32" s="800"/>
    </row>
    <row r="33">
      <c r="A33" s="797" t="s">
        <v>738</v>
      </c>
      <c r="B33" s="798">
        <v>0.25</v>
      </c>
      <c r="C33" s="799" t="s">
        <v>739</v>
      </c>
      <c r="D33" s="800"/>
      <c r="E33" s="800"/>
      <c r="F33" s="800"/>
    </row>
    <row r="34">
      <c r="A34" s="797" t="s">
        <v>740</v>
      </c>
      <c r="B34" s="801">
        <v>0.1</v>
      </c>
      <c r="C34" s="799" t="s">
        <v>741</v>
      </c>
      <c r="D34" s="800"/>
      <c r="E34" s="800"/>
      <c r="F34" s="800"/>
    </row>
    <row r="35">
      <c r="A35" s="797" t="s">
        <v>742</v>
      </c>
      <c r="B35" s="802" t="s">
        <v>743</v>
      </c>
      <c r="C35" s="799" t="s">
        <v>744</v>
      </c>
      <c r="D35" s="800"/>
      <c r="E35" s="800"/>
      <c r="F35" s="800"/>
    </row>
    <row r="36">
      <c r="A36" s="803" t="s">
        <v>745</v>
      </c>
      <c r="B36" s="804"/>
      <c r="C36" s="805" t="s">
        <v>746</v>
      </c>
      <c r="D36" s="806"/>
      <c r="E36" s="806"/>
      <c r="F36" s="806"/>
    </row>
    <row r="37" ht="4.5" customHeight="1"/>
    <row r="38">
      <c r="A38" s="807" t="s">
        <v>747</v>
      </c>
      <c r="B38" s="808"/>
      <c r="C38" s="808"/>
      <c r="D38" s="808"/>
      <c r="E38" s="808"/>
      <c r="F38" s="808"/>
    </row>
    <row r="39" ht="12.75" customHeight="1">
      <c r="A39" s="809" t="s">
        <v>771</v>
      </c>
      <c r="B39" s="810" t="str">
        <f>IF(B25=0,"Chưa có công việc được ghi nhận hoàn thành trong tháng.","Đã hoàn thành "&amp;B25&amp;" công việc; tỷ lệ đúng hạn "&amp;TEXT(B26,"0.0%")&amp;".")</f>
        <v>Đã hoàn thành 1 công việc; tỷ lệ đúng hạn 0.0%.</v>
      </c>
      <c r="C39" s="810"/>
      <c r="D39" s="810"/>
      <c r="E39" s="810"/>
      <c r="F39" s="810"/>
    </row>
    <row r="40" ht="13.5" customHeight="1">
      <c r="A40" s="809" t="s">
        <v>749</v>
      </c>
      <c r="B40" s="811">
        <f>COUNTIF('Lớp 3 - Công việc chính'!$AH$14:$AH$73,"Quá tải*")+COUNTIF('Lớp 4 - Danh mục'!$AK$14:$AK$132,"Quá tải*")+COUNTIF('Lớp 5 - Phân công'!$AL$14:$AL$262,"Quá tải*")+COUNTIF('Lớp 6 - Chi tiết'!$AO$14:$AO$267,"Quá tải*")</f>
        <v>22</v>
      </c>
      <c r="C40" s="812" t="s">
        <v>750</v>
      </c>
      <c r="D40" s="813">
        <f>COUNTIF('Lớp 3 - Công việc chính'!$AH$14:$AH$73,"Cận tải*")+COUNTIF('Lớp 4 - Danh mục'!$AK$14:$AK$132,"Cận tải*")+COUNTIF('Lớp 5 - Phân công'!$AL$14:$AL$262,"Cận tải*")+COUNTIF('Lớp 6 - Chi tiết'!$AO$14:$AO$267,"Cận tải*")</f>
        <v>5</v>
      </c>
      <c r="E40" s="785" t="s">
        <v>751</v>
      </c>
      <c r="F40" s="786">
        <f>COUNTIF('Lớp 3 - Công việc chính'!$AH$14:$AH$73,"Quá hạn*")+COUNTIF('Lớp 4 - Danh mục'!$AK$14:$AK$132,"Quá hạn*")+COUNTIF('Lớp 5 - Phân công'!$AL$14:$AL$262,"Quá hạn*")+COUNTIF('Lớp 6 - Chi tiết'!$AO$14:$AO$267,"Quá hạn*")</f>
        <v>0</v>
      </c>
    </row>
    <row r="41">
      <c r="A41" s="809" t="s">
        <v>752</v>
      </c>
      <c r="B41" s="814" t="str">
        <f>IF(F27&lt;&gt;"Đủ dữ liệu","Chưa đủ dữ liệu để kết luận: "&amp;F27&amp;". Hãy hoàn thiện dữ liệu trước khi đánh giá.",IF(B25=0,"Chưa có công việc hoàn thành trong tháng.",IF(AND(B26&gt;=0.9,B40=0),"Kết quả tốt: hoàn thành "&amp;B25&amp;" công việc, đúng hạn "&amp;TEXT(B26,"0.0%")&amp;", tải trong ngưỡng.",IF(B40&gt;0,"Cần điều phối tải: hoàn thành "&amp;B25&amp;" công việc, đúng hạn "&amp;TEXT(B26,"0.0%")&amp;", có "&amp;B40&amp;" dòng quá tải và "&amp;F40&amp;" dòng quá hạn.","Cần cải thiện kế hoạch/thực hiện: hoàn thành "&amp;B25&amp;" công việc, đúng hạn "&amp;TEXT(B26,"0.0%")&amp;"."))))</f>
        <v>Chưa đủ dữ liệu để kết luận: Thiếu 78 tham số tải. Hãy hoàn thiện dữ liệu trước khi đánh giá.</v>
      </c>
      <c r="D41" s="814"/>
      <c r="E41" s="814"/>
      <c r="F41" s="814"/>
    </row>
    <row r="42">
      <c r="A42" s="809" t="s">
        <v>753</v>
      </c>
      <c r="B42" s="815" t="s">
        <v>754</v>
      </c>
      <c r="C42" s="814"/>
      <c r="D42" s="816"/>
      <c r="E42" s="816"/>
      <c r="F42" s="816"/>
    </row>
    <row r="43" ht="12.75" customHeight="1">
      <c r="A43" s="817" t="s">
        <v>755</v>
      </c>
      <c r="B43" s="818" t="s">
        <v>756</v>
      </c>
      <c r="C43" s="819"/>
      <c r="D43" s="819"/>
      <c r="E43" s="819"/>
      <c r="F43" s="819"/>
    </row>
    <row r="44" ht="4.5" customHeight="1"/>
    <row r="45" ht="12.0" customHeight="1">
      <c r="A45" s="820" t="s">
        <v>757</v>
      </c>
      <c r="B45" s="821"/>
      <c r="C45" s="821"/>
      <c r="D45" s="821"/>
      <c r="E45" s="821"/>
      <c r="F45" s="821"/>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2330"/>
    <outlinePr summaryBelow="0" summaryRight="0"/>
  </sheetPr>
  <sheetViews>
    <sheetView showGridLines="0" workbookViewId="0"/>
  </sheetViews>
  <sheetFormatPr customHeight="1" defaultColWidth="12.63" defaultRowHeight="15.0"/>
  <cols>
    <col customWidth="1" min="1" max="1" width="25.75"/>
    <col customWidth="1" min="2" max="2" width="10.75"/>
    <col customWidth="1" min="3" max="3" width="55.75"/>
    <col customWidth="1" min="4" max="4" width="8.0"/>
    <col customWidth="1" min="5" max="5" width="13.75"/>
    <col customWidth="1" min="6" max="6" width="23.75"/>
  </cols>
  <sheetData>
    <row r="1" ht="19.5" customHeight="1">
      <c r="A1" s="1" t="s">
        <v>764</v>
      </c>
      <c r="B1" s="160"/>
      <c r="C1" s="3"/>
      <c r="D1" s="3"/>
      <c r="E1" s="3"/>
      <c r="F1" s="3"/>
    </row>
    <row r="2">
      <c r="A2" s="765" t="s">
        <v>766</v>
      </c>
      <c r="B2" s="823">
        <f>DATE(YEAR(TODAY()),1,1)</f>
        <v>46023</v>
      </c>
      <c r="C2" s="680"/>
      <c r="D2" s="765" t="s">
        <v>714</v>
      </c>
      <c r="E2" s="767">
        <f>TODAY()</f>
        <v>46245</v>
      </c>
    </row>
    <row r="3" ht="13.5" customHeight="1">
      <c r="A3" s="181" t="s">
        <v>715</v>
      </c>
      <c r="B3" s="768"/>
      <c r="C3" s="768"/>
      <c r="D3" s="768"/>
      <c r="E3" s="768"/>
      <c r="F3" s="768"/>
    </row>
    <row r="4">
      <c r="A4" s="27" t="s">
        <v>716</v>
      </c>
      <c r="B4" s="28"/>
      <c r="C4" s="28"/>
      <c r="D4" s="28"/>
      <c r="E4" s="28"/>
      <c r="F4" s="28"/>
    </row>
    <row r="5" ht="13.5" customHeight="1">
      <c r="A5" s="769" t="s">
        <v>717</v>
      </c>
      <c r="B5" s="769" t="s">
        <v>117</v>
      </c>
      <c r="C5" s="769" t="s">
        <v>637</v>
      </c>
      <c r="D5" s="769" t="s">
        <v>640</v>
      </c>
      <c r="E5" s="769" t="s">
        <v>643</v>
      </c>
      <c r="F5" s="769" t="s">
        <v>647</v>
      </c>
    </row>
    <row r="6">
      <c r="A6" s="364" t="s">
        <v>768</v>
      </c>
      <c r="B6" s="770">
        <f t="shared" ref="B6:B9" si="1">SUM(C6:F6)</f>
        <v>1</v>
      </c>
      <c r="C6" s="771">
        <f>COUNTIFS('Lớp 3 - Công việc chính'!$AL$14:$AL$73,"&gt;="&amp;$B$2,'Lớp 3 - Công việc chính'!$AL$14:$AL$73,"&lt;"&amp;EDATE($B$2,12),'Lớp 3 - Công việc chính'!$X$14:$X$73,"Hoàn thành")</f>
        <v>0</v>
      </c>
      <c r="D6" s="771">
        <f>COUNTIFS('Lớp 4 - Danh mục'!$AO$14:$AO$132,"&gt;="&amp;$B$2,'Lớp 4 - Danh mục'!$AO$14:$AO$132,"&lt;"&amp;EDATE($B$2,12),'Lớp 4 - Danh mục'!$AA$14:$AA$132,"Hoàn thành")</f>
        <v>0</v>
      </c>
      <c r="E6" s="771">
        <f>COUNTIFS('Lớp 5 - Phân công'!$AP$14:$AP$262,"&gt;="&amp;$B$2,'Lớp 5 - Phân công'!$AP$14:$AP$262,"&lt;"&amp;EDATE($B$2,12),'Lớp 5 - Phân công'!$AB$14:$AB$262,"Hoàn thành")</f>
        <v>0</v>
      </c>
      <c r="F6" s="771">
        <f>COUNTIFS('Lớp 6 - Chi tiết'!$AS$14:$AS$267,"&gt;="&amp;$B$2,'Lớp 6 - Chi tiết'!$AS$14:$AS$267,"&lt;"&amp;EDATE($B$2,12),'Lớp 6 - Chi tiết'!$AE$14:$AE$267,"Hoàn thành")</f>
        <v>1</v>
      </c>
    </row>
    <row r="7">
      <c r="A7" s="364" t="s">
        <v>719</v>
      </c>
      <c r="B7" s="770">
        <f t="shared" si="1"/>
        <v>0</v>
      </c>
      <c r="C7" s="771">
        <f>COUNTIFS('Lớp 3 - Công việc chính'!$X$14:$X$73,"Hoàn thành",'Lớp 3 - Công việc chính'!$AL$14:$AL$73,"")</f>
        <v>0</v>
      </c>
      <c r="D7" s="771">
        <f>COUNTIFS('Lớp 4 - Danh mục'!$AA$14:$AA$132,"Hoàn thành",'Lớp 4 - Danh mục'!$AO$14:$AO$132,"")</f>
        <v>0</v>
      </c>
      <c r="E7" s="771">
        <f>COUNTIFS('Lớp 5 - Phân công'!$AB$14:$AB$262,"Hoàn thành",'Lớp 5 - Phân công'!$AP$14:$AP$262,"")</f>
        <v>0</v>
      </c>
      <c r="F7" s="771">
        <f>COUNTIFS('Lớp 6 - Chi tiết'!$AE$14:$AE$267,"Hoàn thành",'Lớp 6 - Chi tiết'!$AS$14:$AS$267,"")</f>
        <v>0</v>
      </c>
    </row>
    <row r="8">
      <c r="A8" s="364" t="s">
        <v>720</v>
      </c>
      <c r="B8" s="770" t="str">
        <f t="shared" si="1"/>
        <v>#REF!</v>
      </c>
      <c r="C8" s="771" t="str">
        <f>SUMPRODUCT(('Lớp 3 - Công việc chính'!$AL$14:$AL$73&gt;=$B$2)*('Lớp 3 - Công việc chính'!$AL$14:$AL$73&lt;EDATE($B$2,12))*('Lớp 3 - Công việc chính'!$X$14:$X$73="Hoàn thành")*('Lớp 3 - Công việc chính'!$AA$14:$AA$73&lt;&gt;"")*('Lớp 3 - Công việc chính'!$AL$14:$AL$73&lt;='Lớp 3 - Công việc chính'!$AA$14:$AA$73))</f>
        <v>#REF!</v>
      </c>
      <c r="D8" s="771" t="str">
        <f>SUMPRODUCT(('Lớp 4 - Danh mục'!$AO$14:$AO$132&gt;=$B$2)*('Lớp 4 - Danh mục'!$AO$14:$AO$132&lt;EDATE($B$2,12))*('Lớp 4 - Danh mục'!$AA$14:$AA$132="Hoàn thành")*('Lớp 4 - Danh mục'!$AD$14:$AD$132&lt;&gt;"")*('Lớp 4 - Danh mục'!$AO$14:$AO$132&lt;='Lớp 4 - Danh mục'!$AD$14:$AD$132))</f>
        <v>#REF!</v>
      </c>
      <c r="E8" s="771" t="str">
        <f>SUMPRODUCT(('Lớp 5 - Phân công'!$AP$14:$AP$262&gt;=$B$2)*('Lớp 5 - Phân công'!$AP$14:$AP$262&lt;EDATE($B$2,12))*('Lớp 5 - Phân công'!$AB$14:$AB$262="Hoàn thành")*('Lớp 5 - Phân công'!$AE$14:$AE$262&lt;&gt;"")*('Lớp 5 - Phân công'!$AP$14:$AP$262&lt;='Lớp 5 - Phân công'!$AE$14:$AE$262))</f>
        <v>#REF!</v>
      </c>
      <c r="F8" s="771">
        <f>SUMPRODUCT(('Lớp 6 - Chi tiết'!$AS$14:$AS$267&gt;=$B$2)*('Lớp 6 - Chi tiết'!$AS$14:$AS$267&lt;EDATE($B$2,12))*('Lớp 6 - Chi tiết'!$AE$14:$AE$267="Hoàn thành")*('Lớp 6 - Chi tiết'!$AH$14:$AH$267&lt;&gt;"")*('Lớp 6 - Chi tiết'!$AS$14:$AS$267&lt;='Lớp 6 - Chi tiết'!$AH$14:$AH$267))</f>
        <v>1</v>
      </c>
    </row>
    <row r="9">
      <c r="A9" s="364" t="s">
        <v>721</v>
      </c>
      <c r="B9" s="770" t="str">
        <f t="shared" si="1"/>
        <v>#REF!</v>
      </c>
      <c r="C9" s="771" t="str">
        <f>SUMPRODUCT(('Lớp 3 - Công việc chính'!$AL$14:$AL$73&gt;=$B$2)*('Lớp 3 - Công việc chính'!$AL$14:$AL$73&lt;EDATE($B$2,12))*('Lớp 3 - Công việc chính'!$X$14:$X$73="Hoàn thành")*('Lớp 3 - Công việc chính'!$AA$14:$AA$73&lt;&gt;"")*('Lớp 3 - Công việc chính'!$AL$14:$AL$73&gt;'Lớp 3 - Công việc chính'!$AA$14:$AA$73))</f>
        <v>#REF!</v>
      </c>
      <c r="D9" s="771" t="str">
        <f>SUMPRODUCT(('Lớp 4 - Danh mục'!$AO$14:$AO$132&gt;=$B$2)*('Lớp 4 - Danh mục'!$AO$14:$AO$132&lt;EDATE($B$2,12))*('Lớp 4 - Danh mục'!$AA$14:$AA$132="Hoàn thành")*('Lớp 4 - Danh mục'!$AD$14:$AD$132&lt;&gt;"")*('Lớp 4 - Danh mục'!$AO$14:$AO$132&gt;'Lớp 4 - Danh mục'!$AD$14:$AD$132))</f>
        <v>#REF!</v>
      </c>
      <c r="E9" s="771" t="str">
        <f>SUMPRODUCT(('Lớp 5 - Phân công'!$AP$14:$AP$262&gt;=$B$2)*('Lớp 5 - Phân công'!$AP$14:$AP$262&lt;EDATE($B$2,12))*('Lớp 5 - Phân công'!$AB$14:$AB$262="Hoàn thành")*('Lớp 5 - Phân công'!$AE$14:$AE$262&lt;&gt;"")*('Lớp 5 - Phân công'!$AP$14:$AP$262&gt;'Lớp 5 - Phân công'!$AE$14:$AE$262))</f>
        <v>#REF!</v>
      </c>
      <c r="F9" s="771">
        <f>SUMPRODUCT(('Lớp 6 - Chi tiết'!$AS$14:$AS$267&gt;=$B$2)*('Lớp 6 - Chi tiết'!$AS$14:$AS$267&lt;EDATE($B$2,12))*('Lớp 6 - Chi tiết'!$AE$14:$AE$267="Hoàn thành")*('Lớp 6 - Chi tiết'!$AH$14:$AH$267&lt;&gt;"")*('Lớp 6 - Chi tiết'!$AS$14:$AS$267&gt;'Lớp 6 - Chi tiết'!$AH$14:$AH$267))</f>
        <v>0</v>
      </c>
    </row>
    <row r="10">
      <c r="A10" s="364" t="s">
        <v>722</v>
      </c>
      <c r="B10" s="772">
        <f t="shared" ref="B10:F10" si="2">IFERROR(B8/B6,0)</f>
        <v>0</v>
      </c>
      <c r="C10" s="773">
        <f t="shared" si="2"/>
        <v>0</v>
      </c>
      <c r="D10" s="773">
        <f t="shared" si="2"/>
        <v>0</v>
      </c>
      <c r="E10" s="773">
        <f t="shared" si="2"/>
        <v>0</v>
      </c>
      <c r="F10" s="773">
        <f t="shared" si="2"/>
        <v>1</v>
      </c>
    </row>
    <row r="11" ht="4.5" customHeight="1"/>
    <row r="12" ht="4.5" customHeight="1"/>
    <row r="13">
      <c r="A13" s="27" t="s">
        <v>723</v>
      </c>
      <c r="B13" s="28"/>
      <c r="C13" s="28"/>
      <c r="D13" s="28"/>
      <c r="E13" s="28"/>
      <c r="F13" s="28"/>
    </row>
    <row r="14" ht="13.5" customHeight="1">
      <c r="A14" s="769" t="s">
        <v>717</v>
      </c>
      <c r="B14" s="769" t="s">
        <v>117</v>
      </c>
      <c r="C14" s="769" t="s">
        <v>637</v>
      </c>
      <c r="D14" s="769" t="s">
        <v>640</v>
      </c>
      <c r="E14" s="769" t="s">
        <v>643</v>
      </c>
      <c r="F14" s="769" t="s">
        <v>647</v>
      </c>
    </row>
    <row r="15">
      <c r="A15" s="364" t="s">
        <v>768</v>
      </c>
      <c r="B15" s="770">
        <f t="shared" ref="B15:B17" si="3">SUM(C15:F15)</f>
        <v>0</v>
      </c>
      <c r="C15" s="771">
        <f>COUNTIFS('Trung tâm nhập liệu'!$C$217:$C$1016,"&gt;="&amp;$B$2,'Trung tâm nhập liệu'!$C$217:$C$1016,"&lt;"&amp;EDATE($B$2,12),'Trung tâm nhập liệu'!$D$217:$D$1016,C$14,'Trung tâm nhập liệu'!$L$217:$L$1016,"Hoàn thành")</f>
        <v>0</v>
      </c>
      <c r="D15" s="771">
        <f>COUNTIFS('Trung tâm nhập liệu'!$C$217:$C$1016,"&gt;="&amp;$B$2,'Trung tâm nhập liệu'!$C$217:$C$1016,"&lt;"&amp;EDATE($B$2,12),'Trung tâm nhập liệu'!$D$217:$D$1016,D$14,'Trung tâm nhập liệu'!$L$217:$L$1016,"Hoàn thành")</f>
        <v>0</v>
      </c>
      <c r="E15" s="771">
        <f>COUNTIFS('Trung tâm nhập liệu'!$C$217:$C$1016,"&gt;="&amp;$B$2,'Trung tâm nhập liệu'!$C$217:$C$1016,"&lt;"&amp;EDATE($B$2,12),'Trung tâm nhập liệu'!$D$217:$D$1016,E$14,'Trung tâm nhập liệu'!$L$217:$L$1016,"Hoàn thành")</f>
        <v>0</v>
      </c>
      <c r="F15" s="771">
        <f>COUNTIFS('Trung tâm nhập liệu'!$C$217:$C$1016,"&gt;="&amp;$B$2,'Trung tâm nhập liệu'!$C$217:$C$1016,"&lt;"&amp;EDATE($B$2,12),'Trung tâm nhập liệu'!$D$217:$D$1016,F$14,'Trung tâm nhập liệu'!$L$217:$L$1016,"Hoàn thành")</f>
        <v>0</v>
      </c>
    </row>
    <row r="16">
      <c r="A16" s="364" t="s">
        <v>720</v>
      </c>
      <c r="B16" s="770">
        <f t="shared" si="3"/>
        <v>0</v>
      </c>
      <c r="C16" s="771">
        <f>COUNTIFS('Trung tâm nhập liệu'!$C$217:$C$1016,"&gt;="&amp;$B$2,'Trung tâm nhập liệu'!$C$217:$C$1016,"&lt;"&amp;EDATE($B$2,12),'Trung tâm nhập liệu'!$D$217:$D$1016,C$14,'Trung tâm nhập liệu'!$L$217:$L$1016,"Hoàn thành",'Trung tâm nhập liệu'!$O$217:$O$1016,"Đúng hạn")</f>
        <v>0</v>
      </c>
      <c r="D16" s="771">
        <f>COUNTIFS('Trung tâm nhập liệu'!$C$217:$C$1016,"&gt;="&amp;$B$2,'Trung tâm nhập liệu'!$C$217:$C$1016,"&lt;"&amp;EDATE($B$2,12),'Trung tâm nhập liệu'!$D$217:$D$1016,D$14,'Trung tâm nhập liệu'!$L$217:$L$1016,"Hoàn thành",'Trung tâm nhập liệu'!$O$217:$O$1016,"Đúng hạn")</f>
        <v>0</v>
      </c>
      <c r="E16" s="771">
        <f>COUNTIFS('Trung tâm nhập liệu'!$C$217:$C$1016,"&gt;="&amp;$B$2,'Trung tâm nhập liệu'!$C$217:$C$1016,"&lt;"&amp;EDATE($B$2,12),'Trung tâm nhập liệu'!$D$217:$D$1016,E$14,'Trung tâm nhập liệu'!$L$217:$L$1016,"Hoàn thành",'Trung tâm nhập liệu'!$O$217:$O$1016,"Đúng hạn")</f>
        <v>0</v>
      </c>
      <c r="F16" s="771">
        <f>COUNTIFS('Trung tâm nhập liệu'!$C$217:$C$1016,"&gt;="&amp;$B$2,'Trung tâm nhập liệu'!$C$217:$C$1016,"&lt;"&amp;EDATE($B$2,12),'Trung tâm nhập liệu'!$D$217:$D$1016,F$14,'Trung tâm nhập liệu'!$L$217:$L$1016,"Hoàn thành",'Trung tâm nhập liệu'!$O$217:$O$1016,"Đúng hạn")</f>
        <v>0</v>
      </c>
    </row>
    <row r="17">
      <c r="A17" s="364" t="s">
        <v>721</v>
      </c>
      <c r="B17" s="770">
        <f t="shared" si="3"/>
        <v>0</v>
      </c>
      <c r="C17" s="771">
        <f>COUNTIFS('Trung tâm nhập liệu'!$C$217:$C$1016,"&gt;="&amp;$B$2,'Trung tâm nhập liệu'!$C$217:$C$1016,"&lt;"&amp;EDATE($B$2,12),'Trung tâm nhập liệu'!$D$217:$D$1016,C$14,'Trung tâm nhập liệu'!$L$217:$L$1016,"Hoàn thành",'Trung tâm nhập liệu'!$O$217:$O$1016,"Trễ hạn")</f>
        <v>0</v>
      </c>
      <c r="D17" s="771">
        <f>COUNTIFS('Trung tâm nhập liệu'!$C$217:$C$1016,"&gt;="&amp;$B$2,'Trung tâm nhập liệu'!$C$217:$C$1016,"&lt;"&amp;EDATE($B$2,12),'Trung tâm nhập liệu'!$D$217:$D$1016,D$14,'Trung tâm nhập liệu'!$L$217:$L$1016,"Hoàn thành",'Trung tâm nhập liệu'!$O$217:$O$1016,"Trễ hạn")</f>
        <v>0</v>
      </c>
      <c r="E17" s="771">
        <f>COUNTIFS('Trung tâm nhập liệu'!$C$217:$C$1016,"&gt;="&amp;$B$2,'Trung tâm nhập liệu'!$C$217:$C$1016,"&lt;"&amp;EDATE($B$2,12),'Trung tâm nhập liệu'!$D$217:$D$1016,E$14,'Trung tâm nhập liệu'!$L$217:$L$1016,"Hoàn thành",'Trung tâm nhập liệu'!$O$217:$O$1016,"Trễ hạn")</f>
        <v>0</v>
      </c>
      <c r="F17" s="771">
        <f>COUNTIFS('Trung tâm nhập liệu'!$C$217:$C$1016,"&gt;="&amp;$B$2,'Trung tâm nhập liệu'!$C$217:$C$1016,"&lt;"&amp;EDATE($B$2,12),'Trung tâm nhập liệu'!$D$217:$D$1016,F$14,'Trung tâm nhập liệu'!$L$217:$L$1016,"Hoàn thành",'Trung tâm nhập liệu'!$O$217:$O$1016,"Trễ hạn")</f>
        <v>0</v>
      </c>
    </row>
    <row r="18">
      <c r="A18" s="364" t="s">
        <v>722</v>
      </c>
      <c r="B18" s="774">
        <f t="shared" ref="B18:F18" si="4">IFERROR(B16/B15,0)</f>
        <v>0</v>
      </c>
      <c r="C18" s="775">
        <f t="shared" si="4"/>
        <v>0</v>
      </c>
      <c r="D18" s="775">
        <f t="shared" si="4"/>
        <v>0</v>
      </c>
      <c r="E18" s="775">
        <f t="shared" si="4"/>
        <v>0</v>
      </c>
      <c r="F18" s="775">
        <f t="shared" si="4"/>
        <v>0</v>
      </c>
    </row>
    <row r="19">
      <c r="A19" s="364" t="s">
        <v>724</v>
      </c>
      <c r="B19" s="776">
        <f t="shared" ref="B19:B21" si="5">SUM(C19:F19)</f>
        <v>0</v>
      </c>
      <c r="C19" s="777">
        <f>SUMIFS('Trung tâm nhập liệu'!$N$217:$N$1016,'Trung tâm nhập liệu'!$C$217:$C$1016,"&gt;="&amp;$B$2,'Trung tâm nhập liệu'!$C$217:$C$1016,"&lt;"&amp;EDATE($B$2,12),'Trung tâm nhập liệu'!$D$217:$D$1016,C$14)</f>
        <v>0</v>
      </c>
      <c r="D19" s="777">
        <f>SUMIFS('Trung tâm nhập liệu'!$N$217:$N$1016,'Trung tâm nhập liệu'!$C$217:$C$1016,"&gt;="&amp;$B$2,'Trung tâm nhập liệu'!$C$217:$C$1016,"&lt;"&amp;EDATE($B$2,12),'Trung tâm nhập liệu'!$D$217:$D$1016,D$14)</f>
        <v>0</v>
      </c>
      <c r="E19" s="777">
        <f>SUMIFS('Trung tâm nhập liệu'!$N$217:$N$1016,'Trung tâm nhập liệu'!$C$217:$C$1016,"&gt;="&amp;$B$2,'Trung tâm nhập liệu'!$C$217:$C$1016,"&lt;"&amp;EDATE($B$2,12),'Trung tâm nhập liệu'!$D$217:$D$1016,E$14)</f>
        <v>0</v>
      </c>
      <c r="F19" s="777">
        <f>SUMIFS('Trung tâm nhập liệu'!$N$217:$N$1016,'Trung tâm nhập liệu'!$C$217:$C$1016,"&gt;="&amp;$B$2,'Trung tâm nhập liệu'!$C$217:$C$1016,"&lt;"&amp;EDATE($B$2,12),'Trung tâm nhập liệu'!$D$217:$D$1016,F$14)</f>
        <v>0</v>
      </c>
    </row>
    <row r="20">
      <c r="A20" s="364" t="s">
        <v>259</v>
      </c>
      <c r="B20" s="770">
        <f t="shared" si="5"/>
        <v>0</v>
      </c>
      <c r="C20" s="771">
        <f>COUNTIFS('Trung tâm nhập liệu'!$C$217:$C$1016,"&gt;="&amp;$B$2,'Trung tâm nhập liệu'!$C$217:$C$1016,"&lt;"&amp;EDATE($B$2,12),'Trung tâm nhập liệu'!$D$217:$D$1016,C$14,'Trung tâm nhập liệu'!$L$217:$L$1016,"Đang thực hiện")</f>
        <v>0</v>
      </c>
      <c r="D20" s="771">
        <f>COUNTIFS('Trung tâm nhập liệu'!$C$217:$C$1016,"&gt;="&amp;$B$2,'Trung tâm nhập liệu'!$C$217:$C$1016,"&lt;"&amp;EDATE($B$2,12),'Trung tâm nhập liệu'!$D$217:$D$1016,D$14,'Trung tâm nhập liệu'!$L$217:$L$1016,"Đang thực hiện")</f>
        <v>0</v>
      </c>
      <c r="E20" s="771">
        <f>COUNTIFS('Trung tâm nhập liệu'!$C$217:$C$1016,"&gt;="&amp;$B$2,'Trung tâm nhập liệu'!$C$217:$C$1016,"&lt;"&amp;EDATE($B$2,12),'Trung tâm nhập liệu'!$D$217:$D$1016,E$14,'Trung tâm nhập liệu'!$L$217:$L$1016,"Đang thực hiện")</f>
        <v>0</v>
      </c>
      <c r="F20" s="771">
        <f>COUNTIFS('Trung tâm nhập liệu'!$C$217:$C$1016,"&gt;="&amp;$B$2,'Trung tâm nhập liệu'!$C$217:$C$1016,"&lt;"&amp;EDATE($B$2,12),'Trung tâm nhập liệu'!$D$217:$D$1016,F$14,'Trung tâm nhập liệu'!$L$217:$L$1016,"Đang thực hiện")</f>
        <v>0</v>
      </c>
    </row>
    <row r="21">
      <c r="A21" s="364" t="s">
        <v>642</v>
      </c>
      <c r="B21" s="778">
        <f t="shared" si="5"/>
        <v>0</v>
      </c>
      <c r="C21" s="779">
        <f>COUNTIFS('Trung tâm nhập liệu'!$C$217:$C$1016,"&gt;="&amp;$B$2,'Trung tâm nhập liệu'!$C$217:$C$1016,"&lt;"&amp;EDATE($B$2,12),'Trung tâm nhập liệu'!$D$217:$D$1016,C$14,'Trung tâm nhập liệu'!$L$217:$L$1016,"Chưa thực hiện")</f>
        <v>0</v>
      </c>
      <c r="D21" s="779">
        <f>COUNTIFS('Trung tâm nhập liệu'!$C$217:$C$1016,"&gt;="&amp;$B$2,'Trung tâm nhập liệu'!$C$217:$C$1016,"&lt;"&amp;EDATE($B$2,12),'Trung tâm nhập liệu'!$D$217:$D$1016,D$14,'Trung tâm nhập liệu'!$L$217:$L$1016,"Chưa thực hiện")</f>
        <v>0</v>
      </c>
      <c r="E21" s="779">
        <f>COUNTIFS('Trung tâm nhập liệu'!$C$217:$C$1016,"&gt;="&amp;$B$2,'Trung tâm nhập liệu'!$C$217:$C$1016,"&lt;"&amp;EDATE($B$2,12),'Trung tâm nhập liệu'!$D$217:$D$1016,E$14,'Trung tâm nhập liệu'!$L$217:$L$1016,"Chưa thực hiện")</f>
        <v>0</v>
      </c>
      <c r="F21" s="779">
        <f>COUNTIFS('Trung tâm nhập liệu'!$C$217:$C$1016,"&gt;="&amp;$B$2,'Trung tâm nhập liệu'!$C$217:$C$1016,"&lt;"&amp;EDATE($B$2,12),'Trung tâm nhập liệu'!$D$217:$D$1016,F$14,'Trung tâm nhập liệu'!$L$217:$L$1016,"Chưa thực hiện")</f>
        <v>0</v>
      </c>
    </row>
    <row r="22" ht="4.5" customHeight="1"/>
    <row r="23" ht="4.5" customHeight="1"/>
    <row r="24">
      <c r="A24" s="62" t="s">
        <v>770</v>
      </c>
      <c r="B24" s="780"/>
      <c r="C24" s="780"/>
      <c r="D24" s="780"/>
      <c r="E24" s="780"/>
      <c r="F24" s="780"/>
    </row>
    <row r="25">
      <c r="A25" s="781" t="s">
        <v>726</v>
      </c>
      <c r="B25" s="782">
        <f>B6+B15</f>
        <v>1</v>
      </c>
      <c r="C25" s="783" t="s">
        <v>720</v>
      </c>
      <c r="D25" s="784" t="str">
        <f>B8+B16</f>
        <v>#REF!</v>
      </c>
      <c r="E25" s="785" t="s">
        <v>721</v>
      </c>
      <c r="F25" s="786" t="str">
        <f>B9+B17</f>
        <v>#REF!</v>
      </c>
    </row>
    <row r="26">
      <c r="A26" s="787" t="s">
        <v>727</v>
      </c>
      <c r="B26" s="788">
        <f>IFERROR((B8+B16)/(B6+B15),0)</f>
        <v>0</v>
      </c>
      <c r="C26" s="789" t="s">
        <v>728</v>
      </c>
      <c r="D26" s="790">
        <f>B7</f>
        <v>0</v>
      </c>
      <c r="E26" s="781" t="s">
        <v>259</v>
      </c>
      <c r="F26" s="791">
        <f>B20</f>
        <v>0</v>
      </c>
    </row>
    <row r="27">
      <c r="A27" s="792" t="s">
        <v>729</v>
      </c>
      <c r="B27" s="793">
        <f>B19</f>
        <v>0</v>
      </c>
      <c r="C27" s="789" t="s">
        <v>642</v>
      </c>
      <c r="D27" s="790">
        <f>B21</f>
        <v>0</v>
      </c>
      <c r="E27" s="794" t="s">
        <v>730</v>
      </c>
      <c r="F27" s="795" t="str">
        <f>LET(miss,COUNTIF('Lớp 3 - Công việc chính'!$AR$14:$AR$73,"Thiếu*")+COUNTIF('Lớp 4 - Danh mục'!$AU$14:$AU$132,"Thiếu*")+COUNTIF('Lớp 5 - Phân công'!$AV$14:$AV$262,"Thiếu*")+COUNTIF('Lớp 6 - Chi tiết'!$AY$14:$AY$267,"Thiếu*")+COUNTIF('Lớp 3 - Công việc chính'!$AR$14:$AR$73,"Phân bổ phải &gt; 0")+COUNTIF('Lớp 4 - Danh mục'!$AU$14:$AU$132,"Phân bổ phải &gt; 0")+COUNTIF('Lớp 5 - Phân công'!$AV$14:$AV$262,"Phân bổ phải &gt; 0")+COUNTIF('Lớp 6 - Chi tiết'!$AY$14:$AY$267,"Phân bổ phải &gt; 0"),IF(AND(B7=0,miss=0),"Đủ dữ liệu",IF(B7&gt;0,"Thiếu "&amp;B7&amp;" ngày hoàn thành","")&amp;IF(AND(B7&gt;0,miss&gt;0)," | ","")&amp;IF(miss&gt;0,"Thiếu "&amp;miss&amp;" tham số tải","")))</f>
        <v>Thiếu 78 tham số tải</v>
      </c>
    </row>
    <row r="28" ht="4.5" customHeight="1"/>
    <row r="29">
      <c r="A29" s="27" t="s">
        <v>731</v>
      </c>
      <c r="B29" s="28"/>
      <c r="C29" s="28"/>
      <c r="D29" s="28"/>
      <c r="E29" s="28"/>
      <c r="F29" s="28"/>
    </row>
    <row r="30" ht="13.5" customHeight="1">
      <c r="A30" s="769" t="s">
        <v>107</v>
      </c>
      <c r="B30" s="769" t="s">
        <v>732</v>
      </c>
      <c r="C30" s="769" t="s">
        <v>733</v>
      </c>
      <c r="D30" s="796"/>
      <c r="E30" s="796"/>
      <c r="F30" s="796"/>
    </row>
    <row r="31">
      <c r="A31" s="797" t="s">
        <v>734</v>
      </c>
      <c r="B31" s="798">
        <v>0.4</v>
      </c>
      <c r="C31" s="799" t="s">
        <v>735</v>
      </c>
      <c r="D31" s="800"/>
      <c r="E31" s="800"/>
      <c r="F31" s="800"/>
    </row>
    <row r="32">
      <c r="A32" s="797" t="s">
        <v>736</v>
      </c>
      <c r="B32" s="798">
        <v>0.25</v>
      </c>
      <c r="C32" s="799" t="s">
        <v>737</v>
      </c>
      <c r="D32" s="800"/>
      <c r="E32" s="800"/>
      <c r="F32" s="800"/>
    </row>
    <row r="33">
      <c r="A33" s="797" t="s">
        <v>738</v>
      </c>
      <c r="B33" s="798">
        <v>0.25</v>
      </c>
      <c r="C33" s="799" t="s">
        <v>739</v>
      </c>
      <c r="D33" s="800"/>
      <c r="E33" s="800"/>
      <c r="F33" s="800"/>
    </row>
    <row r="34">
      <c r="A34" s="797" t="s">
        <v>740</v>
      </c>
      <c r="B34" s="801">
        <v>0.1</v>
      </c>
      <c r="C34" s="799" t="s">
        <v>741</v>
      </c>
      <c r="D34" s="800"/>
      <c r="E34" s="800"/>
      <c r="F34" s="800"/>
    </row>
    <row r="35">
      <c r="A35" s="797" t="s">
        <v>742</v>
      </c>
      <c r="B35" s="802" t="s">
        <v>743</v>
      </c>
      <c r="C35" s="799" t="s">
        <v>744</v>
      </c>
      <c r="D35" s="800"/>
      <c r="E35" s="800"/>
      <c r="F35" s="800"/>
    </row>
    <row r="36">
      <c r="A36" s="803" t="s">
        <v>745</v>
      </c>
      <c r="B36" s="804"/>
      <c r="C36" s="805" t="s">
        <v>746</v>
      </c>
      <c r="D36" s="806"/>
      <c r="E36" s="806"/>
      <c r="F36" s="806"/>
    </row>
    <row r="37" ht="4.5" customHeight="1"/>
    <row r="38">
      <c r="A38" s="807" t="s">
        <v>747</v>
      </c>
      <c r="B38" s="808"/>
      <c r="C38" s="808"/>
      <c r="D38" s="808"/>
      <c r="E38" s="808"/>
      <c r="F38" s="808"/>
    </row>
    <row r="39" ht="12.75" customHeight="1">
      <c r="A39" s="809" t="s">
        <v>772</v>
      </c>
      <c r="B39" s="810" t="str">
        <f>IF(B25=0,"Chưa có công việc được ghi nhận hoàn thành trong năm.","Đã hoàn thành "&amp;B25&amp;" công việc; tỷ lệ đúng hạn "&amp;TEXT(B26,"0.0%")&amp;".")</f>
        <v>Đã hoàn thành 1 công việc; tỷ lệ đúng hạn 0.0%.</v>
      </c>
      <c r="C39" s="810"/>
      <c r="D39" s="810"/>
      <c r="E39" s="810"/>
      <c r="F39" s="810"/>
    </row>
    <row r="40" ht="13.5" customHeight="1">
      <c r="A40" s="809" t="s">
        <v>749</v>
      </c>
      <c r="B40" s="811">
        <f>COUNTIF('Lớp 3 - Công việc chính'!$AH$14:$AH$73,"Quá tải*")+COUNTIF('Lớp 4 - Danh mục'!$AK$14:$AK$132,"Quá tải*")+COUNTIF('Lớp 5 - Phân công'!$AL$14:$AL$262,"Quá tải*")+COUNTIF('Lớp 6 - Chi tiết'!$AO$14:$AO$267,"Quá tải*")</f>
        <v>22</v>
      </c>
      <c r="C40" s="812" t="s">
        <v>750</v>
      </c>
      <c r="D40" s="813">
        <f>COUNTIF('Lớp 3 - Công việc chính'!$AH$14:$AH$73,"Cận tải*")+COUNTIF('Lớp 4 - Danh mục'!$AK$14:$AK$132,"Cận tải*")+COUNTIF('Lớp 5 - Phân công'!$AL$14:$AL$262,"Cận tải*")+COUNTIF('Lớp 6 - Chi tiết'!$AO$14:$AO$267,"Cận tải*")</f>
        <v>5</v>
      </c>
      <c r="E40" s="785" t="s">
        <v>751</v>
      </c>
      <c r="F40" s="786">
        <f>COUNTIF('Lớp 3 - Công việc chính'!$AH$14:$AH$73,"Quá hạn*")+COUNTIF('Lớp 4 - Danh mục'!$AK$14:$AK$132,"Quá hạn*")+COUNTIF('Lớp 5 - Phân công'!$AL$14:$AL$262,"Quá hạn*")+COUNTIF('Lớp 6 - Chi tiết'!$AO$14:$AO$267,"Quá hạn*")</f>
        <v>0</v>
      </c>
    </row>
    <row r="41">
      <c r="A41" s="809" t="s">
        <v>752</v>
      </c>
      <c r="B41" s="814" t="str">
        <f>IF(F27&lt;&gt;"Đủ dữ liệu","Chưa đủ dữ liệu để kết luận: "&amp;F27&amp;". Hãy hoàn thiện dữ liệu trước khi đánh giá.",IF(B25=0,"Chưa có công việc hoàn thành trong năm.",IF(AND(B26&gt;=0.9,B40=0),"Kết quả tốt: hoàn thành "&amp;B25&amp;" công việc, đúng hạn "&amp;TEXT(B26,"0.0%")&amp;", tải trong ngưỡng.",IF(B40&gt;0,"Cần điều phối tải: hoàn thành "&amp;B25&amp;" công việc, đúng hạn "&amp;TEXT(B26,"0.0%")&amp;", có "&amp;B40&amp;" dòng quá tải và "&amp;F40&amp;" dòng quá hạn.","Cần cải thiện kế hoạch/thực hiện: hoàn thành "&amp;B25&amp;" công việc, đúng hạn "&amp;TEXT(B26,"0.0%")&amp;"."))))</f>
        <v>Chưa đủ dữ liệu để kết luận: Thiếu 78 tham số tải. Hãy hoàn thiện dữ liệu trước khi đánh giá.</v>
      </c>
      <c r="C41" s="814"/>
      <c r="D41" s="814"/>
      <c r="E41" s="814"/>
      <c r="F41" s="814"/>
    </row>
    <row r="42">
      <c r="A42" s="809" t="s">
        <v>753</v>
      </c>
      <c r="B42" s="815" t="s">
        <v>754</v>
      </c>
      <c r="C42" s="816"/>
      <c r="D42" s="816"/>
      <c r="E42" s="816"/>
      <c r="F42" s="816"/>
    </row>
    <row r="43" ht="12.75" customHeight="1">
      <c r="A43" s="817" t="s">
        <v>755</v>
      </c>
      <c r="B43" s="818" t="s">
        <v>756</v>
      </c>
      <c r="C43" s="819"/>
      <c r="D43" s="819"/>
      <c r="E43" s="819"/>
      <c r="F43" s="819"/>
    </row>
    <row r="44" ht="4.5" customHeight="1"/>
    <row r="45" ht="12.0" customHeight="1">
      <c r="A45" s="820" t="s">
        <v>757</v>
      </c>
      <c r="B45" s="821"/>
      <c r="C45" s="821"/>
      <c r="D45" s="821"/>
      <c r="E45" s="821"/>
      <c r="F45" s="821"/>
    </row>
  </sheetData>
  <drawing r:id="rId2"/>
  <legacyDrawing r:id="rId3"/>
</worksheet>
</file>